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mc:AlternateContent xmlns:mc="http://schemas.openxmlformats.org/markup-compatibility/2006">
    <mc:Choice Requires="x15">
      <x15ac:absPath xmlns:x15ac="http://schemas.microsoft.com/office/spreadsheetml/2010/11/ac" url="C:\Hello Builders\Ganusha - QS\HB-000 Estimate\HBFP - 011 - 2023.10.31 - Mr Rolf @ Hikkaduwa (C+)\002 - BOQ\"/>
    </mc:Choice>
  </mc:AlternateContent>
  <xr:revisionPtr revIDLastSave="0" documentId="13_ncr:1_{FB5CFA06-CD73-424C-B86F-97049EF643A3}" xr6:coauthVersionLast="36" xr6:coauthVersionMax="36" xr10:uidLastSave="{00000000-0000-0000-0000-000000000000}"/>
  <bookViews>
    <workbookView xWindow="0" yWindow="0" windowWidth="23040" windowHeight="8196" tabRatio="958" firstSheet="2" activeTab="6" xr2:uid="{00000000-000D-0000-FFFF-FFFF00000000}"/>
  </bookViews>
  <sheets>
    <sheet name="bar schedule-wattala" sheetId="43" state="hidden" r:id="rId1"/>
    <sheet name="M sheet- dodangoda (2)" sheetId="52" state="hidden" r:id="rId2"/>
    <sheet name="front" sheetId="44" r:id="rId3"/>
    <sheet name="grnd summry- tender" sheetId="32" r:id="rId4"/>
    <sheet name="prelims" sheetId="10" r:id="rId5"/>
    <sheet name="summary" sheetId="29" r:id="rId6"/>
    <sheet name="exca" sheetId="15" r:id="rId7"/>
    <sheet name="masnry" sheetId="16" r:id="rId8"/>
    <sheet name="flooring" sheetId="13" r:id="rId9"/>
    <sheet name="waterprof" sheetId="31" r:id="rId10"/>
    <sheet name="plastering" sheetId="19" r:id="rId11"/>
    <sheet name="tile" sheetId="21" r:id="rId12"/>
    <sheet name="paint" sheetId="20" r:id="rId13"/>
    <sheet name="plumbing" sheetId="22" r:id="rId14"/>
    <sheet name="electicle " sheetId="55" r:id="rId15"/>
    <sheet name="metal" sheetId="26" r:id="rId16"/>
    <sheet name="roof" sheetId="37" r:id="rId17"/>
    <sheet name="Ps" sheetId="42" r:id="rId18"/>
    <sheet name="Material" sheetId="63" r:id="rId19"/>
    <sheet name="Rate Breakdowns" sheetId="64" r:id="rId20"/>
    <sheet name="grnd summry- sign" sheetId="47" state="hidden" r:id="rId21"/>
    <sheet name="demolition" sheetId="54" state="hidden" r:id="rId22"/>
    <sheet name="concrete" sheetId="30" state="hidden" r:id="rId23"/>
    <sheet name="formwrk" sheetId="17" state="hidden" r:id="rId24"/>
    <sheet name="Sheet4" sheetId="39" state="hidden" r:id="rId25"/>
    <sheet name="Sheet5" sheetId="40" state="hidden" r:id="rId26"/>
    <sheet name="rf" sheetId="18" state="hidden" r:id="rId27"/>
    <sheet name="m shet rolf" sheetId="12" state="hidden" r:id="rId28"/>
    <sheet name="Minuwangoda Final" sheetId="36" state="hidden" r:id="rId29"/>
    <sheet name="Timber doors" sheetId="24" state="hidden" r:id="rId30"/>
    <sheet name="steel work" sheetId="50" state="hidden" r:id="rId31"/>
    <sheet name="Sheet6" sheetId="48" state="hidden" r:id="rId32"/>
    <sheet name="BOQ-Electrical System" sheetId="56" state="hidden" r:id="rId33"/>
    <sheet name="electicle" sheetId="27" state="hidden" r:id="rId34"/>
    <sheet name="Wattala - (6)" sheetId="25" state="hidden" r:id="rId35"/>
    <sheet name="machncle" sheetId="33" state="hidden" r:id="rId36"/>
    <sheet name="fire" sheetId="45" state="hidden" r:id="rId37"/>
    <sheet name="misalenous" sheetId="35" state="hidden" r:id="rId38"/>
    <sheet name="L.toilet" sheetId="38" state="hidden" r:id="rId39"/>
    <sheet name="lps" sheetId="57" state="hidden" r:id="rId40"/>
    <sheet name="cctv" sheetId="58" state="hidden" r:id="rId41"/>
    <sheet name="TS" sheetId="60" state="hidden" r:id="rId42"/>
    <sheet name="retaining wall" sheetId="49" state="hidden" r:id="rId43"/>
    <sheet name="Sheet3" sheetId="34" state="hidden" r:id="rId44"/>
    <sheet name="Sheet2" sheetId="28" state="hidden" r:id="rId45"/>
    <sheet name="Sheet1" sheetId="11" state="hidden" r:id="rId46"/>
  </sheets>
  <externalReferences>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___REM1">#REF!</definedName>
    <definedName name="___REM2">#REF!</definedName>
    <definedName name="___Val101">#REF!</definedName>
    <definedName name="___Val102">#REF!</definedName>
    <definedName name="___Val201">#REF!</definedName>
    <definedName name="___Val202">#REF!</definedName>
    <definedName name="___Val301">#REF!</definedName>
    <definedName name="___Val302">#REF!</definedName>
    <definedName name="__123Graph_ACURRENT" hidden="1">[1]FitOutConfCentre!#REF!</definedName>
    <definedName name="__IntlFixup" hidden="1">TRUE</definedName>
    <definedName name="__REM1">#REF!</definedName>
    <definedName name="__REM2">#REF!</definedName>
    <definedName name="__Val101">#REF!</definedName>
    <definedName name="__Val102">#REF!</definedName>
    <definedName name="__Val201">#REF!</definedName>
    <definedName name="__Val202">#REF!</definedName>
    <definedName name="__Val301">#REF!</definedName>
    <definedName name="__Val302">#REF!</definedName>
    <definedName name="_xlnm._FilterDatabase" localSheetId="16" hidden="1">roof!$A$1:$D$7</definedName>
    <definedName name="_xlnm._FilterDatabase" localSheetId="30" hidden="1">'steel work'!$A$1:$D$57</definedName>
    <definedName name="_REM1">#REF!</definedName>
    <definedName name="_REM2">#REF!</definedName>
    <definedName name="_Val101">#REF!</definedName>
    <definedName name="_Val102">#REF!</definedName>
    <definedName name="_Val201">#REF!</definedName>
    <definedName name="_Val202">#REF!</definedName>
    <definedName name="_Val301">#REF!</definedName>
    <definedName name="_Val302">#REF!</definedName>
    <definedName name="A" localSheetId="18">#REF!</definedName>
    <definedName name="a">'[2]B-3.2 EB'!#REF!</definedName>
    <definedName name="aa" localSheetId="18">#REF!</definedName>
    <definedName name="aa">#REF!</definedName>
    <definedName name="aaa">#REF!</definedName>
    <definedName name="ad">'[2]B-3.2 EB'!#REF!</definedName>
    <definedName name="Anton" localSheetId="18">#REF!</definedName>
    <definedName name="Anton">#REF!</definedName>
    <definedName name="as">#REF!</definedName>
    <definedName name="asgsdfg">#REF!</definedName>
    <definedName name="b">'[2]B-3.2 EB'!#REF!</definedName>
    <definedName name="b.two">[3]Sheet1!$E$497</definedName>
    <definedName name="B_10_10">'[4]Bill 3 - Site Works'!#REF!</definedName>
    <definedName name="B_10_11A">'[4]Bill 3 - Site Works'!#REF!</definedName>
    <definedName name="B_10_11B">'[4]Bill 3 - Site Works'!#REF!</definedName>
    <definedName name="B_10_12">'[4]Bill 3 - Site Works'!#REF!</definedName>
    <definedName name="B_10_13">'[4]Bill 3 - Site Works'!#REF!</definedName>
    <definedName name="B_10_14">'[4]Bill 3 - Site Works'!#REF!</definedName>
    <definedName name="B_10_2">'[4]Bill 3 - Site Works'!#REF!</definedName>
    <definedName name="B_10_3">'[4]Bill 3 - Site Works'!#REF!</definedName>
    <definedName name="B_10_4">'[4]Bill 3 - Site Works'!#REF!</definedName>
    <definedName name="B_10_5">'[4]Bill 3 - Site Works'!#REF!</definedName>
    <definedName name="B_10_6">'[4]Bill 3 - Site Works'!#REF!</definedName>
    <definedName name="B_10_7A">'[4]Bill 3 - Site Works'!#REF!</definedName>
    <definedName name="B_10_8A">'[4]Bill 3 - Site Works'!#REF!</definedName>
    <definedName name="B_10_9">'[4]Bill 3 - Site Works'!#REF!</definedName>
    <definedName name="B107A">'[4]Bill 3 - Site Works'!#REF!</definedName>
    <definedName name="BB">#REF!</definedName>
    <definedName name="bbb">#REF!</definedName>
    <definedName name="bhhbhj">#REF!</definedName>
    <definedName name="Bill">#REF!</definedName>
    <definedName name="bill1">#REF!</definedName>
    <definedName name="C_">#REF!</definedName>
    <definedName name="CApentry">#REF!</definedName>
    <definedName name="cc">#REF!</definedName>
    <definedName name="CoolingCapacity">'[5]Room Type'!$O$3</definedName>
    <definedName name="COP">'[5]Room Type'!$O$2</definedName>
    <definedName name="_xlnm.Criteria">#REF!</definedName>
    <definedName name="d">'[6]B-3'!#REF!</definedName>
    <definedName name="d.six">[3]Sheet1!$E$1355</definedName>
    <definedName name="d.two">[3]Sheet1!$E$1317</definedName>
    <definedName name="_xlnm.Database">#REF!</definedName>
    <definedName name="dddddd">#REF!</definedName>
    <definedName name="ddikkkk">#REF!</definedName>
    <definedName name="Desc01">#REF!</definedName>
    <definedName name="Desc02">#REF!</definedName>
    <definedName name="DFASDFDF">#REF!</definedName>
    <definedName name="drrn">#REF!</definedName>
    <definedName name="dsdf">#REF!</definedName>
    <definedName name="DVD">'[4]Bill 3 - Site Works'!#REF!</definedName>
    <definedName name="e">#REF!</definedName>
    <definedName name="e.one">[3]Sheet1!$E$1459</definedName>
    <definedName name="edfewe">'[7]B-3.2 EB'!#REF!</definedName>
    <definedName name="Edited">#REF!</definedName>
    <definedName name="eee" hidden="1">[1]FitOutConfCentre!#REF!</definedName>
    <definedName name="eeye5y">#REF!</definedName>
    <definedName name="EURO">#REF!</definedName>
    <definedName name="EURO_USD">#REF!</definedName>
    <definedName name="ewf">#REF!</definedName>
    <definedName name="_xlnm.Extract">#REF!</definedName>
    <definedName name="f">#REF!</definedName>
    <definedName name="FD">#REF!</definedName>
    <definedName name="FDF">#REF!</definedName>
    <definedName name="FDFF">#REF!</definedName>
    <definedName name="fdfsd">#REF!</definedName>
    <definedName name="fdghhh">'[4]Bill 3 - Site Works'!#REF!</definedName>
    <definedName name="fesf">#REF!</definedName>
    <definedName name="fg">#REF!</definedName>
    <definedName name="fgrthrtg">#REF!</definedName>
    <definedName name="FORM">#REF!</definedName>
    <definedName name="formula_1">"#NAME!()"</definedName>
    <definedName name="fred">#REF!</definedName>
    <definedName name="FREIGHT">#REF!</definedName>
    <definedName name="frt">#REF!</definedName>
    <definedName name="g">#REF!</definedName>
    <definedName name="g.seventeen">[3]Sheet1!$E$2173</definedName>
    <definedName name="gdsd">#REF!</definedName>
    <definedName name="gg">#REF!</definedName>
    <definedName name="globref">INDIRECT("rc",FALSE)</definedName>
    <definedName name="GTOT">#REF!</definedName>
    <definedName name="H">#REF!</definedName>
    <definedName name="h.thirtyone">[3]Sheet1!$E$3136</definedName>
    <definedName name="hh">'[8]Material Prices'!$A$5:'[8]Material Prices'!$A$5:$F$65536</definedName>
    <definedName name="hhhhhhhhhhhhhhhhhhhh">#REF!</definedName>
    <definedName name="hi">'[8]Material Prices'!$A$5:'[8]Material Prices'!$A$5:$F$65536</definedName>
    <definedName name="I">#REF!</definedName>
    <definedName name="InsD1">#REF!</definedName>
    <definedName name="InsD2">#REF!</definedName>
    <definedName name="io">'[8]Material Prices'!$A$5:'[8]Material Prices'!$A$5:$F$65536</definedName>
    <definedName name="Item">#REF!</definedName>
    <definedName name="j">#REF!</definedName>
    <definedName name="ji">'[9]Material Prices'!$A$5:'[9]Material Prices'!$A$5:$F$65536</definedName>
    <definedName name="jjdd">#REF!</definedName>
    <definedName name="job.no" hidden="1">[10]Database!$C$6:$C$26</definedName>
    <definedName name="joinery">#REF!</definedName>
    <definedName name="k">#REF!</definedName>
    <definedName name="k.nineteen">[3]Sheet1!$E$1881</definedName>
    <definedName name="k.six">[3]Sheet1!$E$1814</definedName>
    <definedName name="l">#REF!</definedName>
    <definedName name="list">#REF!</definedName>
    <definedName name="M" localSheetId="32">'[11]B-2'!$J$1</definedName>
    <definedName name="m" localSheetId="18">#REF!</definedName>
    <definedName name="M">'[12]B-2'!$J$1</definedName>
    <definedName name="MD">#REF!</definedName>
    <definedName name="MF">#REF!</definedName>
    <definedName name="MFeq">#REF!</definedName>
    <definedName name="mhgg" localSheetId="18">#REF!</definedName>
    <definedName name="mhgg">#REF!</definedName>
    <definedName name="mk">#REF!</definedName>
    <definedName name="MP">'[13]Material Prices'!$A$5:'[13]Material Prices'!$A$5:$F$65536</definedName>
    <definedName name="n" localSheetId="18">#REF!</definedName>
    <definedName name="n">#REF!</definedName>
    <definedName name="nn">#REF!</definedName>
    <definedName name="oh">#REF!</definedName>
    <definedName name="ooo">'[14]B-3'!#REF!</definedName>
    <definedName name="p">'[2]B-3.2 EB'!#REF!</definedName>
    <definedName name="PackageName">'[15]cover page'!$E$13</definedName>
    <definedName name="pf">'[5]Basement2 DB'!$M$2</definedName>
    <definedName name="PG">#REF!</definedName>
    <definedName name="pp">'[9]Material Prices'!$A$5:'[9]Material Prices'!$A$5:$F$65536</definedName>
    <definedName name="ppp">'[7]B-3.2 EB'!#REF!</definedName>
    <definedName name="PRELIM">#REF!</definedName>
    <definedName name="prepared.by" hidden="1">[10]Database!$D$6:$D$26</definedName>
    <definedName name="_xlnm.Print_Area" localSheetId="0">'bar schedule-wattala'!$A$1:$Z$149</definedName>
    <definedName name="_xlnm.Print_Area" localSheetId="32">'BOQ-Electrical System'!$A$1:$F$641</definedName>
    <definedName name="_xlnm.Print_Area" localSheetId="22">concrete!$A$1:$F$277</definedName>
    <definedName name="_xlnm.Print_Area" localSheetId="21">demolition!$A$1:$F$12</definedName>
    <definedName name="_xlnm.Print_Area" localSheetId="33">electicle!$A$1:$F$339</definedName>
    <definedName name="_xlnm.Print_Area" localSheetId="14">'electicle '!$A$1:$H$302</definedName>
    <definedName name="_xlnm.Print_Area" localSheetId="6">exca!$A$1:$H$57</definedName>
    <definedName name="_xlnm.Print_Area" localSheetId="36">fire!$A$1:$F$29</definedName>
    <definedName name="_xlnm.Print_Area" localSheetId="8">flooring!$A$1:$H$11</definedName>
    <definedName name="_xlnm.Print_Area" localSheetId="2">front!$A$1:$G$50</definedName>
    <definedName name="_xlnm.Print_Area" localSheetId="20">'grnd summry- sign'!$A$1:$C$61</definedName>
    <definedName name="_xlnm.Print_Area" localSheetId="3">'grnd summry- tender'!$A$1:$C$23</definedName>
    <definedName name="_xlnm.Print_Area" localSheetId="38">L.toilet!$A$1:$F$236</definedName>
    <definedName name="_xlnm.Print_Area" localSheetId="39">lps!$A$1:$F$134</definedName>
    <definedName name="_xlnm.Print_Area" localSheetId="27">'m shet rolf'!$A$1:$O$2226</definedName>
    <definedName name="_xlnm.Print_Area" localSheetId="35">machncle!$A$1:$F$19</definedName>
    <definedName name="_xlnm.Print_Area" localSheetId="7">masnry!$A$1:$H$44</definedName>
    <definedName name="_xlnm.Print_Area" localSheetId="18">Material!$A$1:$F$163</definedName>
    <definedName name="_xlnm.Print_Area" localSheetId="15">metal!$A$1:$H$160</definedName>
    <definedName name="_xlnm.Print_Area" localSheetId="37">misalenous!$A$1:$F$27</definedName>
    <definedName name="_xlnm.Print_Area" localSheetId="12">paint!$A$1:$H$25</definedName>
    <definedName name="_xlnm.Print_Area" localSheetId="10">plastering!$A$1:$H$62</definedName>
    <definedName name="_xlnm.Print_Area" localSheetId="13">plumbing!$A$1:$H$235</definedName>
    <definedName name="_xlnm.Print_Area" localSheetId="4">prelims!$A$1:$I$135</definedName>
    <definedName name="_xlnm.Print_Area" localSheetId="17">Ps!$A$1:$H$9</definedName>
    <definedName name="_xlnm.Print_Area" localSheetId="42">'retaining wall'!$A$1:$F$61</definedName>
    <definedName name="_xlnm.Print_Area" localSheetId="16">roof!$A$1:$H$7</definedName>
    <definedName name="_xlnm.Print_Area" localSheetId="30">'steel work'!$A$1:$F$57</definedName>
    <definedName name="_xlnm.Print_Area" localSheetId="5">summary!$A$1:$C$19</definedName>
    <definedName name="_xlnm.Print_Area" localSheetId="11">tile!$A$1:$H$278</definedName>
    <definedName name="_xlnm.Print_Area" localSheetId="29">'Timber doors'!$A$1:$F$64</definedName>
    <definedName name="_xlnm.Print_Area" localSheetId="41">TS!$A$1:$F$111</definedName>
    <definedName name="_xlnm.Print_Area" localSheetId="9">waterprof!$A$1:$H$50</definedName>
    <definedName name="_xlnm.Print_Area">#REF!</definedName>
    <definedName name="PRINT_AREA_MI" localSheetId="18">#N/A</definedName>
    <definedName name="PRINT_AREA_MI">#N/A</definedName>
    <definedName name="_xlnm.Print_Titles" localSheetId="32">'BOQ-Electrical System'!$1:$5</definedName>
    <definedName name="_xlnm.Print_Titles" localSheetId="18">#REF!</definedName>
    <definedName name="_xlnm.Print_Titles" localSheetId="15">metal!$1:$1</definedName>
    <definedName name="_xlnm.Print_Titles" localSheetId="10">plastering!$1:$1</definedName>
    <definedName name="_xlnm.Print_Titles" localSheetId="13">plumbing!$1:$1</definedName>
    <definedName name="_xlnm.Print_Titles" localSheetId="4">prelims!$1:$1</definedName>
    <definedName name="_xlnm.Print_Titles" localSheetId="16">roof!$1:$1</definedName>
    <definedName name="_xlnm.Print_Titles" localSheetId="30">'steel work'!$1:$1</definedName>
    <definedName name="_xlnm.Print_Titles" localSheetId="11">tile!$1:$1</definedName>
    <definedName name="_xlnm.Print_Titles" localSheetId="9">waterprof!$1:$1</definedName>
    <definedName name="_xlnm.Print_Titles">#REF!</definedName>
    <definedName name="PRINT_TITLES_MI" localSheetId="18">#REF!</definedName>
    <definedName name="PRINT_TITLES_MI">#REF!</definedName>
    <definedName name="qq">'[9]Material Prices'!$A$5:'[9]Material Prices'!$A$5:$F$65536</definedName>
    <definedName name="qqq">#REF!</definedName>
    <definedName name="range" hidden="1">[10]SCHEDULE!$AJ$10:$AJ$32</definedName>
    <definedName name="RAW">#REF!</definedName>
    <definedName name="rg">#REF!</definedName>
    <definedName name="s" localSheetId="18">#REF!</definedName>
    <definedName name="s">#REF!</definedName>
    <definedName name="Sascon" localSheetId="18">#REF!</definedName>
    <definedName name="Sascon">#REF!</definedName>
    <definedName name="schedule.nos" hidden="1">'[10]schedule nos'!$A$1:$A$99</definedName>
    <definedName name="sd">'[16]B-3'!#REF!</definedName>
    <definedName name="SEC">#REF!</definedName>
    <definedName name="SHIPPING">#REF!</definedName>
    <definedName name="site.ref" hidden="1">[10]Database!$B$6:$B$26</definedName>
    <definedName name="SLRS_USD">#REF!</definedName>
    <definedName name="Sum" localSheetId="18">#REF!</definedName>
    <definedName name="Sum">#REF!</definedName>
    <definedName name="SupD1" localSheetId="18">#REF!</definedName>
    <definedName name="SupD1">#REF!</definedName>
    <definedName name="SupD2" localSheetId="18">#REF!</definedName>
    <definedName name="SupD2">#REF!</definedName>
    <definedName name="t">'[2]B-3.2 EB'!#REF!</definedName>
    <definedName name="tfggt" hidden="1">[1]FitOutConfCentre!#REF!</definedName>
    <definedName name="TTT" hidden="1">{#N/A,#N/A,TRUE,"PC &amp; PROV"}</definedName>
    <definedName name="tttttt">#REF!</definedName>
    <definedName name="usd">#REF!</definedName>
    <definedName name="VariationNo">'[15]cover page'!$E$24</definedName>
    <definedName name="VCV">'[4]Bill 3 - Site Works'!#REF!</definedName>
    <definedName name="vgg">'[2]B-3.2 EB'!#REF!</definedName>
    <definedName name="w">'[2]B-3.2 EB'!#REF!</definedName>
    <definedName name="wefe">#REF!</definedName>
    <definedName name="wrn.printing1." hidden="1">{#N/A,#N/A,TRUE,"PC &amp; PROV"}</definedName>
    <definedName name="x" localSheetId="18">#REF!</definedName>
    <definedName name="x">#REF!</definedName>
    <definedName name="xx">#REF!</definedName>
    <definedName name="yjgyj" localSheetId="18">#REF!</definedName>
    <definedName name="yjgyj">#REF!</definedName>
    <definedName name="yjy">'[17]B-2'!$J$1</definedName>
    <definedName name="ytu">#REF!</definedName>
    <definedName name="ytuyu">'[18]B-3.2 EB'!#REF!</definedName>
    <definedName name="z">#REF!</definedName>
    <definedName name="ZZ">#REF!</definedName>
    <definedName name="ZZZ">#REF!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37" l="1"/>
  <c r="E151" i="26"/>
  <c r="E150" i="26"/>
  <c r="E149" i="26"/>
  <c r="E146" i="26"/>
  <c r="E143" i="26"/>
  <c r="E140" i="26"/>
  <c r="E136" i="26"/>
  <c r="E139" i="26"/>
  <c r="E133" i="26"/>
  <c r="E130" i="26"/>
  <c r="E127" i="26"/>
  <c r="E124" i="26"/>
  <c r="E111" i="26"/>
  <c r="E110" i="26"/>
  <c r="E107" i="26"/>
  <c r="E106" i="26"/>
  <c r="E103" i="26"/>
  <c r="E101" i="26"/>
  <c r="E97" i="26"/>
  <c r="E92" i="26" l="1"/>
  <c r="E89" i="26"/>
  <c r="E86" i="26"/>
  <c r="E85" i="26"/>
  <c r="E84" i="26"/>
  <c r="E81" i="26"/>
  <c r="E80" i="26"/>
  <c r="E79" i="26"/>
  <c r="E76" i="26"/>
  <c r="E75" i="26"/>
  <c r="E74" i="26"/>
  <c r="E71" i="26"/>
  <c r="E68" i="26"/>
  <c r="E65" i="26"/>
  <c r="H99" i="10"/>
  <c r="I99" i="10" s="1"/>
  <c r="G99" i="10"/>
  <c r="G85" i="10"/>
  <c r="H85" i="10" s="1"/>
  <c r="I85" i="10" s="1"/>
  <c r="C11" i="29"/>
  <c r="H62" i="19"/>
  <c r="G54" i="19"/>
  <c r="H54" i="19" s="1"/>
  <c r="F54" i="19"/>
  <c r="G53" i="19"/>
  <c r="H53" i="19" s="1"/>
  <c r="F53" i="19"/>
  <c r="F52" i="19"/>
  <c r="G52" i="19" s="1"/>
  <c r="H52" i="19" s="1"/>
  <c r="G47" i="19"/>
  <c r="H47" i="19" s="1"/>
  <c r="F47" i="19"/>
  <c r="G45" i="19"/>
  <c r="H45" i="19" s="1"/>
  <c r="F45" i="19"/>
  <c r="G43" i="19"/>
  <c r="H43" i="19" s="1"/>
  <c r="F43" i="19"/>
  <c r="F39" i="19"/>
  <c r="G39" i="19" s="1"/>
  <c r="H39" i="19" s="1"/>
  <c r="F38" i="19"/>
  <c r="G38" i="19" s="1"/>
  <c r="H38" i="19" s="1"/>
  <c r="F37" i="19"/>
  <c r="G37" i="19" s="1"/>
  <c r="H37" i="19" s="1"/>
  <c r="F22" i="19"/>
  <c r="G22" i="19" s="1"/>
  <c r="H22" i="19" s="1"/>
  <c r="F20" i="19"/>
  <c r="G20" i="19" s="1"/>
  <c r="H20" i="19" s="1"/>
  <c r="F18" i="19"/>
  <c r="G18" i="19" s="1"/>
  <c r="H18" i="19" s="1"/>
  <c r="F15" i="19"/>
  <c r="G15" i="19" s="1"/>
  <c r="H15" i="19" s="1"/>
  <c r="F13" i="19"/>
  <c r="G13" i="19" s="1"/>
  <c r="H13" i="19" s="1"/>
  <c r="F14" i="19"/>
  <c r="G14" i="19" s="1"/>
  <c r="H14" i="19" s="1"/>
  <c r="G12" i="19"/>
  <c r="H12" i="19" s="1"/>
  <c r="F12" i="19"/>
  <c r="I1" i="19"/>
  <c r="F9" i="19" s="1"/>
  <c r="G9" i="19" s="1"/>
  <c r="H9" i="19" s="1"/>
  <c r="E39" i="19"/>
  <c r="E38" i="19"/>
  <c r="E37" i="19"/>
  <c r="E15" i="19"/>
  <c r="E14" i="19"/>
  <c r="E13" i="19"/>
  <c r="E12" i="19"/>
  <c r="G757" i="64"/>
  <c r="F754" i="64"/>
  <c r="F753" i="64"/>
  <c r="F752" i="64"/>
  <c r="F724" i="64"/>
  <c r="F725" i="64"/>
  <c r="F723" i="64"/>
  <c r="F688" i="64"/>
  <c r="F689" i="64"/>
  <c r="I1" i="55"/>
  <c r="E269" i="55"/>
  <c r="E236" i="55"/>
  <c r="E223" i="55"/>
  <c r="E255" i="55" s="1"/>
  <c r="E221" i="55"/>
  <c r="E257" i="55" s="1"/>
  <c r="E219" i="55"/>
  <c r="E217" i="55"/>
  <c r="E215" i="55"/>
  <c r="E284" i="55" s="1"/>
  <c r="E213" i="55"/>
  <c r="E251" i="55" s="1"/>
  <c r="E210" i="55"/>
  <c r="E246" i="55" s="1"/>
  <c r="E208" i="55"/>
  <c r="E282" i="55" s="1"/>
  <c r="I135" i="10" l="1"/>
  <c r="C5" i="32" s="1"/>
  <c r="E253" i="55"/>
  <c r="F190" i="55"/>
  <c r="G190" i="55" s="1"/>
  <c r="H190" i="55" s="1"/>
  <c r="F58" i="55"/>
  <c r="G58" i="55" s="1"/>
  <c r="H58" i="55" s="1"/>
  <c r="F56" i="55"/>
  <c r="G56" i="55" s="1"/>
  <c r="H56" i="55" s="1"/>
  <c r="F78" i="55"/>
  <c r="G78" i="55" s="1"/>
  <c r="H78" i="55" s="1"/>
  <c r="F76" i="55"/>
  <c r="G76" i="55" s="1"/>
  <c r="H76" i="55" s="1"/>
  <c r="E277" i="55"/>
  <c r="E279" i="55"/>
  <c r="E248" i="55"/>
  <c r="F223" i="55"/>
  <c r="G223" i="55" s="1"/>
  <c r="H223" i="55" s="1"/>
  <c r="F261" i="55"/>
  <c r="G261" i="55" s="1"/>
  <c r="H261" i="55" s="1"/>
  <c r="F192" i="55"/>
  <c r="G192" i="55" s="1"/>
  <c r="H192" i="55" s="1"/>
  <c r="F215" i="55"/>
  <c r="G215" i="55" s="1"/>
  <c r="H215" i="55" s="1"/>
  <c r="F228" i="55"/>
  <c r="G228" i="55" s="1"/>
  <c r="H228" i="55" s="1"/>
  <c r="F251" i="55"/>
  <c r="G251" i="55" s="1"/>
  <c r="H251" i="55" s="1"/>
  <c r="F284" i="55"/>
  <c r="G284" i="55" s="1"/>
  <c r="H284" i="55" s="1"/>
  <c r="F194" i="55"/>
  <c r="G194" i="55" s="1"/>
  <c r="H194" i="55" s="1"/>
  <c r="F217" i="55"/>
  <c r="G217" i="55" s="1"/>
  <c r="H217" i="55" s="1"/>
  <c r="F263" i="55"/>
  <c r="G263" i="55" s="1"/>
  <c r="H263" i="55" s="1"/>
  <c r="F300" i="55"/>
  <c r="G300" i="55" s="1"/>
  <c r="H300" i="55" s="1"/>
  <c r="F201" i="55"/>
  <c r="G201" i="55" s="1"/>
  <c r="F230" i="55"/>
  <c r="G230" i="55" s="1"/>
  <c r="H230" i="55" s="1"/>
  <c r="F265" i="55"/>
  <c r="G265" i="55" s="1"/>
  <c r="H265" i="55" s="1"/>
  <c r="F208" i="55"/>
  <c r="G208" i="55" s="1"/>
  <c r="H208" i="55" s="1"/>
  <c r="F219" i="55"/>
  <c r="G219" i="55" s="1"/>
  <c r="H219" i="55" s="1"/>
  <c r="F232" i="55"/>
  <c r="G232" i="55" s="1"/>
  <c r="H232" i="55" s="1"/>
  <c r="F236" i="55"/>
  <c r="G236" i="55" s="1"/>
  <c r="F255" i="55"/>
  <c r="G255" i="55" s="1"/>
  <c r="H255" i="55" s="1"/>
  <c r="F269" i="55"/>
  <c r="G269" i="55" s="1"/>
  <c r="F282" i="55"/>
  <c r="G282" i="55" s="1"/>
  <c r="H282" i="55" s="1"/>
  <c r="F253" i="55"/>
  <c r="G253" i="55" s="1"/>
  <c r="H253" i="55" s="1"/>
  <c r="F210" i="55"/>
  <c r="G210" i="55" s="1"/>
  <c r="H210" i="55" s="1"/>
  <c r="F246" i="55"/>
  <c r="G246" i="55" s="1"/>
  <c r="H246" i="55" s="1"/>
  <c r="F277" i="55"/>
  <c r="G277" i="55" s="1"/>
  <c r="H277" i="55" s="1"/>
  <c r="F213" i="55"/>
  <c r="G213" i="55" s="1"/>
  <c r="H213" i="55" s="1"/>
  <c r="F221" i="55"/>
  <c r="G221" i="55" s="1"/>
  <c r="H221" i="55" s="1"/>
  <c r="F248" i="55"/>
  <c r="G248" i="55" s="1"/>
  <c r="H248" i="55" s="1"/>
  <c r="F257" i="55"/>
  <c r="G257" i="55" s="1"/>
  <c r="H257" i="55" s="1"/>
  <c r="F279" i="55"/>
  <c r="G279" i="55" l="1"/>
  <c r="H279" i="55" s="1"/>
  <c r="E194" i="21"/>
  <c r="E110" i="21"/>
  <c r="E191" i="21" s="1"/>
  <c r="I1" i="26" l="1"/>
  <c r="F71" i="26" s="1"/>
  <c r="G71" i="26" s="1"/>
  <c r="H71" i="26" s="1"/>
  <c r="E43" i="26"/>
  <c r="E124" i="22"/>
  <c r="E125" i="22"/>
  <c r="E123" i="22"/>
  <c r="E119" i="22"/>
  <c r="E120" i="22"/>
  <c r="E118" i="22"/>
  <c r="E115" i="22"/>
  <c r="E114" i="22"/>
  <c r="E113" i="22"/>
  <c r="E110" i="22"/>
  <c r="E109" i="22"/>
  <c r="E108" i="22"/>
  <c r="E104" i="22"/>
  <c r="E105" i="22"/>
  <c r="E103" i="22"/>
  <c r="E95" i="22"/>
  <c r="E96" i="22"/>
  <c r="E94" i="22"/>
  <c r="E90" i="22"/>
  <c r="E91" i="22"/>
  <c r="E89" i="22"/>
  <c r="E79" i="22"/>
  <c r="E80" i="22"/>
  <c r="E78" i="22"/>
  <c r="E73" i="22"/>
  <c r="E72" i="22"/>
  <c r="E71" i="22"/>
  <c r="E66" i="22"/>
  <c r="E67" i="22"/>
  <c r="E68" i="22"/>
  <c r="E62" i="22"/>
  <c r="E63" i="22"/>
  <c r="E61" i="22"/>
  <c r="E54" i="22"/>
  <c r="E55" i="22"/>
  <c r="E53" i="22"/>
  <c r="E50" i="22"/>
  <c r="E49" i="22"/>
  <c r="E48" i="22"/>
  <c r="E42" i="22"/>
  <c r="E41" i="22"/>
  <c r="E40" i="22"/>
  <c r="I1" i="22"/>
  <c r="F125" i="22" s="1"/>
  <c r="G125" i="22" s="1"/>
  <c r="H125" i="22" s="1"/>
  <c r="F23" i="20"/>
  <c r="F22" i="20"/>
  <c r="F21" i="20"/>
  <c r="F20" i="20"/>
  <c r="F15" i="20"/>
  <c r="F14" i="20"/>
  <c r="F13" i="20"/>
  <c r="F9" i="20"/>
  <c r="F8" i="20"/>
  <c r="I1" i="20"/>
  <c r="F7" i="20" s="1"/>
  <c r="E196" i="21"/>
  <c r="I1" i="21"/>
  <c r="F17" i="21" s="1"/>
  <c r="D1010" i="64"/>
  <c r="F1025" i="64"/>
  <c r="F1021" i="64"/>
  <c r="F1020" i="64"/>
  <c r="F1018" i="64"/>
  <c r="F1010" i="64"/>
  <c r="F1011" i="64" s="1"/>
  <c r="H9" i="13"/>
  <c r="F9" i="13"/>
  <c r="G9" i="13" s="1"/>
  <c r="F4" i="13"/>
  <c r="I1" i="31"/>
  <c r="F32" i="31" s="1"/>
  <c r="I1" i="13"/>
  <c r="F6" i="13" s="1"/>
  <c r="E100" i="64"/>
  <c r="F100" i="64" s="1"/>
  <c r="I1" i="16"/>
  <c r="F25" i="16" s="1"/>
  <c r="F23" i="16"/>
  <c r="F17" i="16"/>
  <c r="F15" i="16"/>
  <c r="F13" i="16"/>
  <c r="F11" i="16"/>
  <c r="I1" i="37"/>
  <c r="F4" i="37" s="1"/>
  <c r="G4" i="37" s="1"/>
  <c r="I1" i="15"/>
  <c r="F1440" i="64"/>
  <c r="F1438" i="64"/>
  <c r="G1440" i="64" s="1"/>
  <c r="F1437" i="64"/>
  <c r="F1435" i="64"/>
  <c r="F1434" i="64"/>
  <c r="F1433" i="64"/>
  <c r="F1432" i="64"/>
  <c r="E1431" i="64"/>
  <c r="F1431" i="64" s="1"/>
  <c r="F1430" i="64"/>
  <c r="F1429" i="64"/>
  <c r="D1428" i="64"/>
  <c r="F1428" i="64" s="1"/>
  <c r="D1427" i="64"/>
  <c r="F1427" i="64" s="1"/>
  <c r="F1426" i="64"/>
  <c r="D1426" i="64"/>
  <c r="F1404" i="64"/>
  <c r="F1402" i="64"/>
  <c r="O1401" i="64"/>
  <c r="M1401" i="64"/>
  <c r="L1401" i="64"/>
  <c r="M1402" i="64" s="1"/>
  <c r="O1402" i="64" s="1"/>
  <c r="P1402" i="64" s="1"/>
  <c r="F1401" i="64"/>
  <c r="F1399" i="64"/>
  <c r="Q1398" i="64"/>
  <c r="N1398" i="64"/>
  <c r="O1398" i="64" s="1"/>
  <c r="Q1397" i="64"/>
  <c r="N1397" i="64"/>
  <c r="O1397" i="64" s="1"/>
  <c r="O1396" i="64"/>
  <c r="O1392" i="64"/>
  <c r="M1392" i="64"/>
  <c r="L1392" i="64"/>
  <c r="L1393" i="64" s="1"/>
  <c r="O1391" i="64"/>
  <c r="O1390" i="64"/>
  <c r="P1390" i="64" s="1"/>
  <c r="P1391" i="64" s="1"/>
  <c r="D1392" i="64" s="1"/>
  <c r="H1388" i="64"/>
  <c r="K1387" i="64"/>
  <c r="H1387" i="64"/>
  <c r="K1386" i="64"/>
  <c r="M1383" i="64"/>
  <c r="O1383" i="64" s="1"/>
  <c r="M1380" i="64"/>
  <c r="M1379" i="64"/>
  <c r="F1379" i="64"/>
  <c r="F1377" i="64"/>
  <c r="N1376" i="64"/>
  <c r="O1376" i="64" s="1"/>
  <c r="F1376" i="64"/>
  <c r="R1375" i="64"/>
  <c r="Q1375" i="64"/>
  <c r="O1375" i="64"/>
  <c r="R1374" i="64"/>
  <c r="Q1374" i="64"/>
  <c r="N1374" i="64"/>
  <c r="O1374" i="64" s="1"/>
  <c r="F1374" i="64"/>
  <c r="O1373" i="64"/>
  <c r="O1370" i="64"/>
  <c r="L1370" i="64"/>
  <c r="M1381" i="64" s="1"/>
  <c r="O1381" i="64" s="1"/>
  <c r="M1369" i="64"/>
  <c r="L1369" i="64"/>
  <c r="O1369" i="64" s="1"/>
  <c r="M1368" i="64"/>
  <c r="O1368" i="64" s="1"/>
  <c r="D1373" i="64" s="1"/>
  <c r="F1373" i="64" s="1"/>
  <c r="L1368" i="64"/>
  <c r="L1379" i="64" s="1"/>
  <c r="O1367" i="64"/>
  <c r="O1365" i="64"/>
  <c r="O1364" i="64"/>
  <c r="P1364" i="64" s="1"/>
  <c r="P1365" i="64" s="1"/>
  <c r="D1367" i="64" s="1"/>
  <c r="F1354" i="64"/>
  <c r="F1352" i="64"/>
  <c r="G1354" i="64" s="1"/>
  <c r="M1351" i="64"/>
  <c r="M1352" i="64" s="1"/>
  <c r="O1352" i="64" s="1"/>
  <c r="L1351" i="64"/>
  <c r="F1351" i="64"/>
  <c r="F1349" i="64"/>
  <c r="Q1348" i="64"/>
  <c r="N1348" i="64"/>
  <c r="O1348" i="64" s="1"/>
  <c r="Q1347" i="64"/>
  <c r="N1347" i="64"/>
  <c r="O1347" i="64" s="1"/>
  <c r="H1347" i="64"/>
  <c r="O1346" i="64"/>
  <c r="D1345" i="64"/>
  <c r="F1345" i="64" s="1"/>
  <c r="M1342" i="64"/>
  <c r="L1342" i="64"/>
  <c r="O1341" i="64"/>
  <c r="O1340" i="64"/>
  <c r="P1340" i="64" s="1"/>
  <c r="P1341" i="64" s="1"/>
  <c r="D1342" i="64" s="1"/>
  <c r="F1329" i="64"/>
  <c r="F1326" i="64"/>
  <c r="F1324" i="64"/>
  <c r="F1327" i="64" s="1"/>
  <c r="F1322" i="64"/>
  <c r="F1319" i="64"/>
  <c r="F1317" i="64"/>
  <c r="F1313" i="64"/>
  <c r="F1312" i="64"/>
  <c r="E1311" i="64"/>
  <c r="F1311" i="64" s="1"/>
  <c r="F1297" i="64"/>
  <c r="G1297" i="64" s="1"/>
  <c r="F1295" i="64"/>
  <c r="F1294" i="64"/>
  <c r="F1292" i="64"/>
  <c r="F1290" i="64"/>
  <c r="F1287" i="64"/>
  <c r="F1285" i="64"/>
  <c r="F1283" i="64"/>
  <c r="E1282" i="64"/>
  <c r="F1282" i="64" s="1"/>
  <c r="F1281" i="64"/>
  <c r="F1280" i="64"/>
  <c r="E1280" i="64"/>
  <c r="E1279" i="64"/>
  <c r="F1279" i="64" s="1"/>
  <c r="F1264" i="64"/>
  <c r="F1259" i="64"/>
  <c r="F1263" i="64" s="1"/>
  <c r="F1258" i="64"/>
  <c r="F1256" i="64"/>
  <c r="F1254" i="64"/>
  <c r="F1253" i="64"/>
  <c r="F1252" i="64"/>
  <c r="F1248" i="64"/>
  <c r="F1247" i="64"/>
  <c r="D1246" i="64"/>
  <c r="F1246" i="64" s="1"/>
  <c r="F1245" i="64"/>
  <c r="F1244" i="64"/>
  <c r="E1244" i="64"/>
  <c r="F1243" i="64"/>
  <c r="F1242" i="64"/>
  <c r="F1241" i="64"/>
  <c r="F1240" i="64"/>
  <c r="F1239" i="64"/>
  <c r="F1238" i="64"/>
  <c r="F1237" i="64"/>
  <c r="F1225" i="64"/>
  <c r="F1220" i="64"/>
  <c r="F1218" i="64"/>
  <c r="L1215" i="64"/>
  <c r="J1215" i="64"/>
  <c r="K1215" i="64" s="1"/>
  <c r="F1215" i="64"/>
  <c r="F1213" i="64"/>
  <c r="D1211" i="64"/>
  <c r="F1211" i="64" s="1"/>
  <c r="H1209" i="64"/>
  <c r="F1209" i="64"/>
  <c r="E1208" i="64"/>
  <c r="F1208" i="64" s="1"/>
  <c r="F1207" i="64"/>
  <c r="F1206" i="64"/>
  <c r="E1206" i="64"/>
  <c r="E1205" i="64"/>
  <c r="F1205" i="64" s="1"/>
  <c r="G1197" i="64"/>
  <c r="F1194" i="64"/>
  <c r="F1191" i="64"/>
  <c r="F1190" i="64"/>
  <c r="F1189" i="64"/>
  <c r="F1188" i="64"/>
  <c r="E1187" i="64"/>
  <c r="F1187" i="64" s="1"/>
  <c r="K1182" i="64"/>
  <c r="J1182" i="64"/>
  <c r="I1179" i="64"/>
  <c r="J1179" i="64" s="1"/>
  <c r="J1174" i="64"/>
  <c r="I1159" i="64"/>
  <c r="J1159" i="64" s="1"/>
  <c r="K1159" i="64" s="1"/>
  <c r="F1151" i="64"/>
  <c r="F1150" i="64"/>
  <c r="F1148" i="64"/>
  <c r="F1147" i="64"/>
  <c r="F1145" i="64"/>
  <c r="E1144" i="64"/>
  <c r="F1144" i="64" s="1"/>
  <c r="F1141" i="64"/>
  <c r="I1140" i="64"/>
  <c r="E1140" i="64"/>
  <c r="F1140" i="64" s="1"/>
  <c r="E1139" i="64"/>
  <c r="F1139" i="64" s="1"/>
  <c r="F1125" i="64"/>
  <c r="F1122" i="64"/>
  <c r="F1121" i="64"/>
  <c r="F1119" i="64"/>
  <c r="E1118" i="64"/>
  <c r="F1115" i="64"/>
  <c r="E1114" i="64"/>
  <c r="F1114" i="64" s="1"/>
  <c r="K1113" i="64"/>
  <c r="E1113" i="64"/>
  <c r="F1113" i="64" s="1"/>
  <c r="K1112" i="64"/>
  <c r="E1112" i="64"/>
  <c r="F1100" i="64"/>
  <c r="F1097" i="64"/>
  <c r="F1096" i="64"/>
  <c r="F1094" i="64"/>
  <c r="E1093" i="64"/>
  <c r="F1090" i="64"/>
  <c r="I1089" i="64"/>
  <c r="E1089" i="64"/>
  <c r="F1089" i="64" s="1"/>
  <c r="I1088" i="64"/>
  <c r="E1088" i="64"/>
  <c r="F1088" i="64" s="1"/>
  <c r="E1087" i="64"/>
  <c r="Y1061" i="64"/>
  <c r="Y1060" i="64"/>
  <c r="Y1058" i="64"/>
  <c r="T1057" i="64"/>
  <c r="T1053" i="64"/>
  <c r="F1053" i="64"/>
  <c r="G1053" i="64" s="1"/>
  <c r="T1052" i="64"/>
  <c r="T1050" i="64"/>
  <c r="F1049" i="64"/>
  <c r="F1048" i="64"/>
  <c r="F1046" i="64"/>
  <c r="S1045" i="64"/>
  <c r="T1045" i="64" s="1"/>
  <c r="S1044" i="64"/>
  <c r="T1044" i="64" s="1"/>
  <c r="S1043" i="64"/>
  <c r="T1043" i="64" s="1"/>
  <c r="S1042" i="64"/>
  <c r="T1042" i="64" s="1"/>
  <c r="E1041" i="64"/>
  <c r="F1041" i="64" s="1"/>
  <c r="T1040" i="64"/>
  <c r="T1041" i="64" s="1"/>
  <c r="E1040" i="64"/>
  <c r="F1040" i="64" s="1"/>
  <c r="E1039" i="64"/>
  <c r="F1039" i="64" s="1"/>
  <c r="F1036" i="64"/>
  <c r="F1037" i="64" s="1"/>
  <c r="F998" i="64"/>
  <c r="F994" i="64"/>
  <c r="G998" i="64" s="1"/>
  <c r="F993" i="64"/>
  <c r="F991" i="64"/>
  <c r="E986" i="64"/>
  <c r="F986" i="64" s="1"/>
  <c r="E985" i="64"/>
  <c r="F985" i="64" s="1"/>
  <c r="E984" i="64"/>
  <c r="F984" i="64" s="1"/>
  <c r="F981" i="64"/>
  <c r="F982" i="64" s="1"/>
  <c r="F968" i="64"/>
  <c r="F964" i="64"/>
  <c r="G968" i="64" s="1"/>
  <c r="F963" i="64"/>
  <c r="F961" i="64"/>
  <c r="E956" i="64"/>
  <c r="F956" i="64" s="1"/>
  <c r="E955" i="64"/>
  <c r="F955" i="64" s="1"/>
  <c r="E954" i="64"/>
  <c r="F954" i="64" s="1"/>
  <c r="F951" i="64"/>
  <c r="F952" i="64" s="1"/>
  <c r="I949" i="64"/>
  <c r="F875" i="64"/>
  <c r="F871" i="64"/>
  <c r="G875" i="64" s="1"/>
  <c r="F866" i="64"/>
  <c r="E865" i="64"/>
  <c r="F865" i="64" s="1"/>
  <c r="F850" i="64"/>
  <c r="G850" i="64" s="1"/>
  <c r="F846" i="64"/>
  <c r="F841" i="64"/>
  <c r="E840" i="64"/>
  <c r="F840" i="64" s="1"/>
  <c r="F815" i="64"/>
  <c r="F810" i="64"/>
  <c r="F812" i="64" s="1"/>
  <c r="F808" i="64"/>
  <c r="E804" i="64"/>
  <c r="F804" i="64" s="1"/>
  <c r="E803" i="64"/>
  <c r="F803" i="64" s="1"/>
  <c r="F788" i="64"/>
  <c r="F784" i="64"/>
  <c r="F786" i="64" s="1"/>
  <c r="F783" i="64"/>
  <c r="I781" i="64"/>
  <c r="J781" i="64" s="1"/>
  <c r="J783" i="64" s="1"/>
  <c r="E778" i="64"/>
  <c r="F778" i="64" s="1"/>
  <c r="F763" i="64"/>
  <c r="F759" i="64"/>
  <c r="F761" i="64" s="1"/>
  <c r="G763" i="64" s="1"/>
  <c r="F758" i="64"/>
  <c r="E751" i="64"/>
  <c r="F751" i="64" s="1"/>
  <c r="F735" i="64"/>
  <c r="F730" i="64"/>
  <c r="F732" i="64" s="1"/>
  <c r="F728" i="64"/>
  <c r="E722" i="64"/>
  <c r="F722" i="64" s="1"/>
  <c r="E721" i="64"/>
  <c r="F721" i="64" s="1"/>
  <c r="F699" i="64"/>
  <c r="F697" i="64"/>
  <c r="F694" i="64"/>
  <c r="F696" i="64" s="1"/>
  <c r="F692" i="64"/>
  <c r="E687" i="64"/>
  <c r="F687" i="64" s="1"/>
  <c r="F667" i="64"/>
  <c r="F665" i="64"/>
  <c r="G667" i="64" s="1"/>
  <c r="F663" i="64"/>
  <c r="F662" i="64"/>
  <c r="F660" i="64"/>
  <c r="F659" i="64"/>
  <c r="E657" i="64"/>
  <c r="F657" i="64" s="1"/>
  <c r="E654" i="64"/>
  <c r="F654" i="64" s="1"/>
  <c r="F655" i="64" s="1"/>
  <c r="F641" i="64"/>
  <c r="F639" i="64"/>
  <c r="F637" i="64"/>
  <c r="F636" i="64"/>
  <c r="F634" i="64"/>
  <c r="F633" i="64"/>
  <c r="E631" i="64"/>
  <c r="F631" i="64" s="1"/>
  <c r="E628" i="64"/>
  <c r="F628" i="64" s="1"/>
  <c r="F629" i="64" s="1"/>
  <c r="F615" i="64"/>
  <c r="F611" i="64"/>
  <c r="F610" i="64"/>
  <c r="F608" i="64"/>
  <c r="F607" i="64"/>
  <c r="E605" i="64"/>
  <c r="F605" i="64" s="1"/>
  <c r="E602" i="64"/>
  <c r="F602" i="64" s="1"/>
  <c r="F603" i="64" s="1"/>
  <c r="F588" i="64"/>
  <c r="F584" i="64"/>
  <c r="F586" i="64" s="1"/>
  <c r="F583" i="64"/>
  <c r="F581" i="64"/>
  <c r="E580" i="64"/>
  <c r="F580" i="64" s="1"/>
  <c r="E578" i="64"/>
  <c r="F578" i="64" s="1"/>
  <c r="E575" i="64"/>
  <c r="F575" i="64" s="1"/>
  <c r="F576" i="64" s="1"/>
  <c r="F562" i="64"/>
  <c r="F559" i="64"/>
  <c r="G562" i="64" s="1"/>
  <c r="F558" i="64"/>
  <c r="F556" i="64"/>
  <c r="E555" i="64"/>
  <c r="E554" i="64"/>
  <c r="F554" i="64" s="1"/>
  <c r="E552" i="64"/>
  <c r="F552" i="64" s="1"/>
  <c r="F534" i="64"/>
  <c r="F532" i="64"/>
  <c r="F531" i="64"/>
  <c r="F530" i="64"/>
  <c r="F525" i="64"/>
  <c r="F524" i="64"/>
  <c r="E522" i="64"/>
  <c r="F522" i="64" s="1"/>
  <c r="F499" i="64"/>
  <c r="F497" i="64"/>
  <c r="G499" i="64" s="1"/>
  <c r="F492" i="64"/>
  <c r="F476" i="64"/>
  <c r="F475" i="64"/>
  <c r="E474" i="64"/>
  <c r="F474" i="64" s="1"/>
  <c r="F427" i="64"/>
  <c r="F425" i="64"/>
  <c r="G427" i="64" s="1"/>
  <c r="F424" i="64"/>
  <c r="F421" i="64"/>
  <c r="F419" i="64"/>
  <c r="F418" i="64"/>
  <c r="F417" i="64"/>
  <c r="F416" i="64"/>
  <c r="I415" i="64"/>
  <c r="I416" i="64" s="1"/>
  <c r="H415" i="64"/>
  <c r="H414" i="64"/>
  <c r="F413" i="64"/>
  <c r="O412" i="64"/>
  <c r="O414" i="64" s="1"/>
  <c r="H412" i="64"/>
  <c r="E412" i="64"/>
  <c r="F412" i="64" s="1"/>
  <c r="O411" i="64"/>
  <c r="H411" i="64"/>
  <c r="E411" i="64"/>
  <c r="F411" i="64" s="1"/>
  <c r="H410" i="64"/>
  <c r="I409" i="64"/>
  <c r="I410" i="64" s="1"/>
  <c r="F409" i="64"/>
  <c r="O407" i="64"/>
  <c r="O408" i="64" s="1"/>
  <c r="F396" i="64"/>
  <c r="F394" i="64"/>
  <c r="F393" i="64"/>
  <c r="F390" i="64"/>
  <c r="F388" i="64"/>
  <c r="F387" i="64"/>
  <c r="F386" i="64"/>
  <c r="F385" i="64"/>
  <c r="I384" i="64"/>
  <c r="I385" i="64" s="1"/>
  <c r="H384" i="64"/>
  <c r="O383" i="64"/>
  <c r="H383" i="64"/>
  <c r="F382" i="64"/>
  <c r="O381" i="64"/>
  <c r="E381" i="64"/>
  <c r="F381" i="64" s="1"/>
  <c r="O380" i="64"/>
  <c r="H380" i="64"/>
  <c r="E380" i="64"/>
  <c r="F380" i="64" s="1"/>
  <c r="F378" i="64"/>
  <c r="D378" i="64"/>
  <c r="H381" i="64" s="1"/>
  <c r="O376" i="64"/>
  <c r="O377" i="64" s="1"/>
  <c r="F364" i="64"/>
  <c r="F362" i="64"/>
  <c r="F361" i="64"/>
  <c r="F358" i="64"/>
  <c r="F356" i="64"/>
  <c r="F355" i="64"/>
  <c r="F354" i="64"/>
  <c r="F353" i="64"/>
  <c r="I352" i="64"/>
  <c r="I351" i="64"/>
  <c r="F350" i="64"/>
  <c r="E349" i="64"/>
  <c r="F349" i="64" s="1"/>
  <c r="E348" i="64"/>
  <c r="F348" i="64" s="1"/>
  <c r="I346" i="64"/>
  <c r="J346" i="64" s="1"/>
  <c r="F346" i="64"/>
  <c r="F333" i="64"/>
  <c r="F331" i="64"/>
  <c r="F330" i="64"/>
  <c r="F327" i="64"/>
  <c r="F325" i="64"/>
  <c r="F324" i="64"/>
  <c r="F323" i="64"/>
  <c r="F322" i="64"/>
  <c r="H321" i="64"/>
  <c r="H320" i="64"/>
  <c r="F319" i="64"/>
  <c r="H318" i="64"/>
  <c r="E318" i="64"/>
  <c r="F318" i="64" s="1"/>
  <c r="H317" i="64"/>
  <c r="E317" i="64"/>
  <c r="F317" i="64" s="1"/>
  <c r="H316" i="64"/>
  <c r="I315" i="64"/>
  <c r="J315" i="64" s="1"/>
  <c r="F315" i="64"/>
  <c r="F299" i="64"/>
  <c r="F297" i="64"/>
  <c r="F296" i="64"/>
  <c r="F293" i="64"/>
  <c r="F291" i="64"/>
  <c r="F289" i="64"/>
  <c r="F286" i="64"/>
  <c r="F269" i="64"/>
  <c r="F267" i="64"/>
  <c r="F266" i="64"/>
  <c r="F263" i="64"/>
  <c r="F261" i="64"/>
  <c r="F259" i="64"/>
  <c r="I254" i="64"/>
  <c r="J254" i="64" s="1"/>
  <c r="F241" i="64"/>
  <c r="F238" i="64"/>
  <c r="G241" i="64" s="1"/>
  <c r="F235" i="64"/>
  <c r="F233" i="64"/>
  <c r="F231" i="64"/>
  <c r="F212" i="64"/>
  <c r="F210" i="64"/>
  <c r="F209" i="64"/>
  <c r="G212" i="64" s="1"/>
  <c r="F206" i="64"/>
  <c r="F204" i="64"/>
  <c r="G206" i="64" s="1"/>
  <c r="F203" i="64"/>
  <c r="F202" i="64"/>
  <c r="F201" i="64"/>
  <c r="E200" i="64"/>
  <c r="F200" i="64" s="1"/>
  <c r="E199" i="64"/>
  <c r="F199" i="64" s="1"/>
  <c r="F180" i="64"/>
  <c r="G182" i="64" s="1"/>
  <c r="F179" i="64"/>
  <c r="G176" i="64"/>
  <c r="F174" i="64"/>
  <c r="E170" i="64"/>
  <c r="F170" i="64" s="1"/>
  <c r="E169" i="64"/>
  <c r="F169" i="64" s="1"/>
  <c r="F154" i="64"/>
  <c r="F152" i="64"/>
  <c r="F151" i="64"/>
  <c r="F148" i="64"/>
  <c r="F146" i="64"/>
  <c r="F145" i="64"/>
  <c r="F144" i="64"/>
  <c r="F143" i="64"/>
  <c r="E142" i="64"/>
  <c r="F142" i="64" s="1"/>
  <c r="E141" i="64"/>
  <c r="F141" i="64" s="1"/>
  <c r="F126" i="64"/>
  <c r="F125" i="64"/>
  <c r="E124" i="64"/>
  <c r="F124" i="64" s="1"/>
  <c r="F108" i="64"/>
  <c r="F106" i="64"/>
  <c r="G108" i="64" s="1"/>
  <c r="F105" i="64"/>
  <c r="F104" i="64"/>
  <c r="F103" i="64"/>
  <c r="F86" i="64"/>
  <c r="F84" i="64"/>
  <c r="F83" i="64"/>
  <c r="F80" i="64"/>
  <c r="F78" i="64"/>
  <c r="F77" i="64"/>
  <c r="F75" i="64"/>
  <c r="F74" i="64"/>
  <c r="F73" i="64"/>
  <c r="F72" i="64"/>
  <c r="E70" i="64"/>
  <c r="F70" i="64" s="1"/>
  <c r="F53" i="64"/>
  <c r="F51" i="64"/>
  <c r="G53" i="64" s="1"/>
  <c r="F48" i="64"/>
  <c r="F46" i="64"/>
  <c r="F43" i="64"/>
  <c r="F42" i="64"/>
  <c r="F41" i="64"/>
  <c r="F27" i="64"/>
  <c r="F25" i="64"/>
  <c r="F24" i="64"/>
  <c r="F11" i="64"/>
  <c r="F9" i="64"/>
  <c r="G11" i="64" s="1"/>
  <c r="G15" i="64" s="1"/>
  <c r="G16" i="64" s="1"/>
  <c r="G17" i="64" s="1"/>
  <c r="F8" i="64"/>
  <c r="G163" i="63"/>
  <c r="G162" i="63"/>
  <c r="G161" i="63"/>
  <c r="P155" i="63"/>
  <c r="E155" i="63"/>
  <c r="G154" i="63"/>
  <c r="E154" i="63"/>
  <c r="G153" i="63"/>
  <c r="G149" i="63"/>
  <c r="E149" i="63"/>
  <c r="K147" i="63"/>
  <c r="G145" i="63"/>
  <c r="G144" i="63"/>
  <c r="K143" i="63"/>
  <c r="G143" i="63"/>
  <c r="O142" i="63"/>
  <c r="K142" i="63"/>
  <c r="G142" i="63"/>
  <c r="K141" i="63"/>
  <c r="G141" i="63"/>
  <c r="O140" i="63"/>
  <c r="O139" i="63"/>
  <c r="G139" i="63"/>
  <c r="G138" i="63"/>
  <c r="G137" i="63"/>
  <c r="G117" i="63"/>
  <c r="G116" i="63"/>
  <c r="G113" i="63"/>
  <c r="G112" i="63"/>
  <c r="G111" i="63"/>
  <c r="G110" i="63"/>
  <c r="G109" i="63"/>
  <c r="L61" i="63"/>
  <c r="M42" i="63"/>
  <c r="M41" i="63"/>
  <c r="E41" i="63"/>
  <c r="Q35" i="63"/>
  <c r="P35" i="63"/>
  <c r="O35" i="63"/>
  <c r="N35" i="63"/>
  <c r="Q33" i="63"/>
  <c r="P33" i="63"/>
  <c r="O33" i="63"/>
  <c r="N33" i="63"/>
  <c r="K30" i="63"/>
  <c r="T28" i="63"/>
  <c r="S28" i="63"/>
  <c r="T16" i="63"/>
  <c r="S16" i="63"/>
  <c r="G15" i="63"/>
  <c r="G14" i="63"/>
  <c r="G13" i="63"/>
  <c r="G11" i="63"/>
  <c r="G10" i="63"/>
  <c r="F41" i="22" l="1"/>
  <c r="G41" i="22" s="1"/>
  <c r="H41" i="22" s="1"/>
  <c r="F91" i="22"/>
  <c r="G91" i="22" s="1"/>
  <c r="H91" i="22" s="1"/>
  <c r="F72" i="22"/>
  <c r="F40" i="22"/>
  <c r="F62" i="22"/>
  <c r="G62" i="22" s="1"/>
  <c r="H62" i="22" s="1"/>
  <c r="F49" i="22"/>
  <c r="G49" i="22" s="1"/>
  <c r="H49" i="22" s="1"/>
  <c r="F67" i="22"/>
  <c r="G67" i="22" s="1"/>
  <c r="H67" i="22" s="1"/>
  <c r="F33" i="31"/>
  <c r="F34" i="31"/>
  <c r="F41" i="31"/>
  <c r="F42" i="31"/>
  <c r="F43" i="31"/>
  <c r="F194" i="21"/>
  <c r="G194" i="21" s="1"/>
  <c r="F76" i="21"/>
  <c r="F95" i="21"/>
  <c r="F97" i="21"/>
  <c r="F31" i="21"/>
  <c r="G31" i="21" s="1"/>
  <c r="F103" i="21"/>
  <c r="F35" i="21"/>
  <c r="F157" i="21"/>
  <c r="F44" i="21"/>
  <c r="F160" i="21"/>
  <c r="F47" i="21"/>
  <c r="F165" i="21"/>
  <c r="F73" i="21"/>
  <c r="F191" i="21"/>
  <c r="G191" i="21" s="1"/>
  <c r="F68" i="26"/>
  <c r="G68" i="26" s="1"/>
  <c r="H68" i="26" s="1"/>
  <c r="F733" i="64"/>
  <c r="G735" i="64" s="1"/>
  <c r="F79" i="26"/>
  <c r="G79" i="26" s="1"/>
  <c r="H79" i="26" s="1"/>
  <c r="F85" i="26"/>
  <c r="G85" i="26" s="1"/>
  <c r="H85" i="26" s="1"/>
  <c r="F140" i="26"/>
  <c r="G140" i="26" s="1"/>
  <c r="H140" i="26" s="1"/>
  <c r="F110" i="26"/>
  <c r="G110" i="26" s="1"/>
  <c r="H110" i="26" s="1"/>
  <c r="F101" i="26"/>
  <c r="G101" i="26" s="1"/>
  <c r="H101" i="26" s="1"/>
  <c r="F143" i="26"/>
  <c r="G143" i="26" s="1"/>
  <c r="H143" i="26" s="1"/>
  <c r="F133" i="26"/>
  <c r="G133" i="26" s="1"/>
  <c r="H133" i="26" s="1"/>
  <c r="F107" i="26"/>
  <c r="G107" i="26" s="1"/>
  <c r="H107" i="26" s="1"/>
  <c r="F146" i="26"/>
  <c r="G146" i="26" s="1"/>
  <c r="H146" i="26" s="1"/>
  <c r="F139" i="26"/>
  <c r="G139" i="26" s="1"/>
  <c r="H139" i="26" s="1"/>
  <c r="F130" i="26"/>
  <c r="G130" i="26" s="1"/>
  <c r="H130" i="26" s="1"/>
  <c r="F106" i="26"/>
  <c r="G106" i="26" s="1"/>
  <c r="H106" i="26" s="1"/>
  <c r="F124" i="26"/>
  <c r="G124" i="26" s="1"/>
  <c r="H124" i="26" s="1"/>
  <c r="F151" i="26"/>
  <c r="G151" i="26" s="1"/>
  <c r="H151" i="26" s="1"/>
  <c r="F127" i="26"/>
  <c r="G127" i="26" s="1"/>
  <c r="H127" i="26" s="1"/>
  <c r="F103" i="26"/>
  <c r="G103" i="26" s="1"/>
  <c r="H103" i="26" s="1"/>
  <c r="F150" i="26"/>
  <c r="G150" i="26" s="1"/>
  <c r="H150" i="26" s="1"/>
  <c r="F97" i="26"/>
  <c r="G97" i="26" s="1"/>
  <c r="H97" i="26" s="1"/>
  <c r="F136" i="26"/>
  <c r="G136" i="26" s="1"/>
  <c r="H136" i="26" s="1"/>
  <c r="F149" i="26"/>
  <c r="G149" i="26" s="1"/>
  <c r="H149" i="26" s="1"/>
  <c r="F111" i="26"/>
  <c r="G111" i="26" s="1"/>
  <c r="H111" i="26" s="1"/>
  <c r="F80" i="26"/>
  <c r="G80" i="26" s="1"/>
  <c r="H80" i="26" s="1"/>
  <c r="F86" i="26"/>
  <c r="G86" i="26" s="1"/>
  <c r="H86" i="26" s="1"/>
  <c r="F74" i="26"/>
  <c r="G74" i="26" s="1"/>
  <c r="H74" i="26" s="1"/>
  <c r="F43" i="26"/>
  <c r="G43" i="26" s="1"/>
  <c r="H43" i="26" s="1"/>
  <c r="F81" i="26"/>
  <c r="G81" i="26" s="1"/>
  <c r="H81" i="26" s="1"/>
  <c r="F89" i="26"/>
  <c r="G89" i="26" s="1"/>
  <c r="H89" i="26" s="1"/>
  <c r="F75" i="26"/>
  <c r="G75" i="26" s="1"/>
  <c r="H75" i="26" s="1"/>
  <c r="F84" i="26"/>
  <c r="G84" i="26" s="1"/>
  <c r="H84" i="26" s="1"/>
  <c r="F92" i="26"/>
  <c r="G92" i="26" s="1"/>
  <c r="H92" i="26" s="1"/>
  <c r="F65" i="26"/>
  <c r="G65" i="26" s="1"/>
  <c r="H65" i="26" s="1"/>
  <c r="F76" i="26"/>
  <c r="G76" i="26" s="1"/>
  <c r="H76" i="26" s="1"/>
  <c r="F53" i="21"/>
  <c r="F107" i="21"/>
  <c r="G107" i="21" s="1"/>
  <c r="F196" i="21"/>
  <c r="G196" i="21" s="1"/>
  <c r="F38" i="21"/>
  <c r="F56" i="21"/>
  <c r="F89" i="21"/>
  <c r="F169" i="21"/>
  <c r="F50" i="21"/>
  <c r="F59" i="21"/>
  <c r="F110" i="21"/>
  <c r="G110" i="21" s="1"/>
  <c r="F172" i="21"/>
  <c r="F235" i="21"/>
  <c r="F41" i="21"/>
  <c r="F92" i="21"/>
  <c r="F142" i="21"/>
  <c r="F188" i="21"/>
  <c r="G188" i="21" s="1"/>
  <c r="F100" i="21"/>
  <c r="F163" i="21"/>
  <c r="G114" i="22"/>
  <c r="H114" i="22" s="1"/>
  <c r="F54" i="22"/>
  <c r="G54" i="22" s="1"/>
  <c r="F94" i="22"/>
  <c r="G94" i="22" s="1"/>
  <c r="H94" i="22" s="1"/>
  <c r="F103" i="22"/>
  <c r="G103" i="22" s="1"/>
  <c r="H103" i="22" s="1"/>
  <c r="F109" i="22"/>
  <c r="G109" i="22" s="1"/>
  <c r="H109" i="22" s="1"/>
  <c r="F114" i="22"/>
  <c r="F50" i="22"/>
  <c r="G50" i="22" s="1"/>
  <c r="H50" i="22" s="1"/>
  <c r="F71" i="22"/>
  <c r="G71" i="22" s="1"/>
  <c r="H71" i="22" s="1"/>
  <c r="F95" i="22"/>
  <c r="G95" i="22" s="1"/>
  <c r="H95" i="22" s="1"/>
  <c r="F104" i="22"/>
  <c r="G104" i="22" s="1"/>
  <c r="H104" i="22" s="1"/>
  <c r="F66" i="22"/>
  <c r="G66" i="22" s="1"/>
  <c r="H66" i="22" s="1"/>
  <c r="F89" i="22"/>
  <c r="G89" i="22" s="1"/>
  <c r="H89" i="22" s="1"/>
  <c r="F119" i="22"/>
  <c r="G119" i="22" s="1"/>
  <c r="H119" i="22" s="1"/>
  <c r="F55" i="22"/>
  <c r="G55" i="22" s="1"/>
  <c r="F96" i="22"/>
  <c r="G96" i="22" s="1"/>
  <c r="H96" i="22" s="1"/>
  <c r="F105" i="22"/>
  <c r="G105" i="22" s="1"/>
  <c r="H105" i="22" s="1"/>
  <c r="F110" i="22"/>
  <c r="G110" i="22" s="1"/>
  <c r="H110" i="22" s="1"/>
  <c r="F115" i="22"/>
  <c r="G115" i="22" s="1"/>
  <c r="H115" i="22" s="1"/>
  <c r="F191" i="22"/>
  <c r="G191" i="22" s="1"/>
  <c r="H191" i="22" s="1"/>
  <c r="F61" i="22"/>
  <c r="G61" i="22" s="1"/>
  <c r="H61" i="22" s="1"/>
  <c r="G72" i="22"/>
  <c r="H72" i="22" s="1"/>
  <c r="F78" i="22"/>
  <c r="G78" i="22" s="1"/>
  <c r="H78" i="22" s="1"/>
  <c r="F90" i="22"/>
  <c r="G90" i="22" s="1"/>
  <c r="H90" i="22" s="1"/>
  <c r="F123" i="22"/>
  <c r="G123" i="22" s="1"/>
  <c r="H123" i="22" s="1"/>
  <c r="F113" i="22"/>
  <c r="G113" i="22" s="1"/>
  <c r="H113" i="22" s="1"/>
  <c r="F120" i="22"/>
  <c r="G120" i="22" s="1"/>
  <c r="H120" i="22" s="1"/>
  <c r="F193" i="22"/>
  <c r="G193" i="22" s="1"/>
  <c r="H193" i="22" s="1"/>
  <c r="F48" i="22"/>
  <c r="G48" i="22" s="1"/>
  <c r="H48" i="22" s="1"/>
  <c r="F63" i="22"/>
  <c r="G63" i="22" s="1"/>
  <c r="H63" i="22" s="1"/>
  <c r="F68" i="22"/>
  <c r="G68" i="22" s="1"/>
  <c r="H68" i="22" s="1"/>
  <c r="F79" i="22"/>
  <c r="G79" i="22" s="1"/>
  <c r="H79" i="22" s="1"/>
  <c r="F108" i="22"/>
  <c r="G108" i="22" s="1"/>
  <c r="H108" i="22" s="1"/>
  <c r="F124" i="22"/>
  <c r="G124" i="22" s="1"/>
  <c r="H124" i="22" s="1"/>
  <c r="F196" i="22"/>
  <c r="G196" i="22" s="1"/>
  <c r="H196" i="22" s="1"/>
  <c r="F42" i="22"/>
  <c r="G42" i="22" s="1"/>
  <c r="H42" i="22" s="1"/>
  <c r="F53" i="22"/>
  <c r="G53" i="22" s="1"/>
  <c r="F73" i="22"/>
  <c r="G73" i="22" s="1"/>
  <c r="H73" i="22" s="1"/>
  <c r="F80" i="22"/>
  <c r="G80" i="22" s="1"/>
  <c r="H80" i="22" s="1"/>
  <c r="F118" i="22"/>
  <c r="G118" i="22" s="1"/>
  <c r="H118" i="22" s="1"/>
  <c r="G40" i="22"/>
  <c r="H40" i="22" s="1"/>
  <c r="F20" i="21"/>
  <c r="G20" i="21" s="1"/>
  <c r="H20" i="21" s="1"/>
  <c r="F19" i="21"/>
  <c r="F18" i="21"/>
  <c r="I347" i="64"/>
  <c r="I348" i="64"/>
  <c r="G154" i="64"/>
  <c r="G588" i="64"/>
  <c r="G641" i="64"/>
  <c r="F1193" i="64"/>
  <c r="O1351" i="64"/>
  <c r="P1352" i="64" s="1"/>
  <c r="O1379" i="64"/>
  <c r="P1381" i="64" s="1"/>
  <c r="G80" i="64"/>
  <c r="G333" i="64"/>
  <c r="G358" i="64"/>
  <c r="G396" i="64"/>
  <c r="G1151" i="64"/>
  <c r="G1379" i="64"/>
  <c r="G1404" i="64"/>
  <c r="O1349" i="64"/>
  <c r="P1349" i="64" s="1"/>
  <c r="D1344" i="64" s="1"/>
  <c r="E1012" i="64"/>
  <c r="F1012" i="64" s="1"/>
  <c r="G1019" i="64" s="1"/>
  <c r="G1257" i="64"/>
  <c r="G27" i="64"/>
  <c r="G31" i="64" s="1"/>
  <c r="G32" i="64" s="1"/>
  <c r="G293" i="64"/>
  <c r="G699" i="64"/>
  <c r="U1057" i="64"/>
  <c r="L1343" i="64"/>
  <c r="E1013" i="64"/>
  <c r="F1013" i="64" s="1"/>
  <c r="G86" i="64"/>
  <c r="G299" i="64"/>
  <c r="G269" i="64"/>
  <c r="G364" i="64"/>
  <c r="G421" i="64"/>
  <c r="G1329" i="64"/>
  <c r="G1436" i="64"/>
  <c r="G1443" i="64" s="1"/>
  <c r="G1444" i="64" s="1"/>
  <c r="G1445" i="64" s="1"/>
  <c r="O1343" i="64"/>
  <c r="M1354" i="64"/>
  <c r="O1354" i="64" s="1"/>
  <c r="P1354" i="64" s="1"/>
  <c r="D1346" i="64" s="1"/>
  <c r="F1346" i="64" s="1"/>
  <c r="M1404" i="64"/>
  <c r="O1404" i="64" s="1"/>
  <c r="P1404" i="64" s="1"/>
  <c r="D1396" i="64" s="1"/>
  <c r="F1396" i="64" s="1"/>
  <c r="O1393" i="64"/>
  <c r="O1394" i="64" s="1"/>
  <c r="J785" i="64"/>
  <c r="K785" i="64" s="1"/>
  <c r="J784" i="64"/>
  <c r="K784" i="64" s="1"/>
  <c r="O1353" i="64"/>
  <c r="D1347" i="64" s="1"/>
  <c r="O1384" i="64"/>
  <c r="P1383" i="64"/>
  <c r="D1371" i="64" s="1"/>
  <c r="F1371" i="64" s="1"/>
  <c r="G1267" i="64"/>
  <c r="G1268" i="64" s="1"/>
  <c r="G1269" i="64" s="1"/>
  <c r="G1270" i="64" s="1"/>
  <c r="O1377" i="64"/>
  <c r="P1377" i="64" s="1"/>
  <c r="D1369" i="64" s="1"/>
  <c r="O1399" i="64"/>
  <c r="P1399" i="64" s="1"/>
  <c r="D1394" i="64" s="1"/>
  <c r="O1403" i="64"/>
  <c r="D1397" i="64" s="1"/>
  <c r="F813" i="64"/>
  <c r="F1222" i="64"/>
  <c r="G1225" i="64" s="1"/>
  <c r="O1366" i="64"/>
  <c r="O1371" i="64"/>
  <c r="F130" i="64"/>
  <c r="F131" i="64" s="1"/>
  <c r="E316" i="64" s="1"/>
  <c r="F316" i="64" s="1"/>
  <c r="F1099" i="64"/>
  <c r="G1100" i="64" s="1"/>
  <c r="F1223" i="64"/>
  <c r="F1262" i="64"/>
  <c r="G1264" i="64" s="1"/>
  <c r="O1342" i="64"/>
  <c r="L1380" i="64"/>
  <c r="O1380" i="64" s="1"/>
  <c r="O1382" i="64" s="1"/>
  <c r="D1372" i="64" s="1"/>
  <c r="G43" i="64"/>
  <c r="F1124" i="64"/>
  <c r="G1125" i="64" s="1"/>
  <c r="G48" i="64"/>
  <c r="G148" i="64"/>
  <c r="H379" i="64"/>
  <c r="G788" i="64"/>
  <c r="G815" i="64"/>
  <c r="D1398" i="64"/>
  <c r="F1398" i="64" s="1"/>
  <c r="Q1392" i="64"/>
  <c r="G327" i="64"/>
  <c r="G390" i="64"/>
  <c r="Q1367" i="64"/>
  <c r="U1051" i="64"/>
  <c r="U1060" i="64" s="1"/>
  <c r="U1061" i="64" s="1"/>
  <c r="U1062" i="64" s="1"/>
  <c r="F1118" i="64"/>
  <c r="G1120" i="64" s="1"/>
  <c r="F1143" i="64"/>
  <c r="G1146" i="64" s="1"/>
  <c r="G1154" i="64" s="1"/>
  <c r="G1155" i="64" s="1"/>
  <c r="G1217" i="64"/>
  <c r="G1289" i="64"/>
  <c r="G1300" i="64" s="1"/>
  <c r="G1301" i="64" s="1"/>
  <c r="G1302" i="64" s="1"/>
  <c r="G235" i="64"/>
  <c r="G263" i="64"/>
  <c r="F480" i="64"/>
  <c r="F481" i="64" s="1"/>
  <c r="E490" i="64" s="1"/>
  <c r="F490" i="64" s="1"/>
  <c r="F491" i="64" s="1"/>
  <c r="F493" i="64" s="1"/>
  <c r="G1025" i="64"/>
  <c r="F1093" i="64"/>
  <c r="G1095" i="64" s="1"/>
  <c r="G104" i="64"/>
  <c r="G111" i="64" s="1"/>
  <c r="G112" i="64" s="1"/>
  <c r="G534" i="64"/>
  <c r="F613" i="64"/>
  <c r="G615" i="64" s="1"/>
  <c r="F482" i="64"/>
  <c r="F71" i="64"/>
  <c r="G74" i="64" s="1"/>
  <c r="H160" i="26" l="1"/>
  <c r="C16" i="29" s="1"/>
  <c r="G1156" i="64"/>
  <c r="E1315" i="64" s="1"/>
  <c r="F1315" i="64" s="1"/>
  <c r="G1321" i="64" s="1"/>
  <c r="G1332" i="64" s="1"/>
  <c r="G1333" i="64" s="1"/>
  <c r="G1334" i="64" s="1"/>
  <c r="E20" i="20"/>
  <c r="E953" i="64"/>
  <c r="F953" i="64" s="1"/>
  <c r="G962" i="64" s="1"/>
  <c r="G971" i="64" s="1"/>
  <c r="G972" i="64" s="1"/>
  <c r="E686" i="64"/>
  <c r="F686" i="64" s="1"/>
  <c r="G691" i="64" s="1"/>
  <c r="G702" i="64" s="1"/>
  <c r="G703" i="64" s="1"/>
  <c r="E604" i="64"/>
  <c r="F604" i="64" s="1"/>
  <c r="G609" i="64" s="1"/>
  <c r="E750" i="64"/>
  <c r="F750" i="64" s="1"/>
  <c r="G766" i="64" s="1"/>
  <c r="G767" i="64" s="1"/>
  <c r="G768" i="64" s="1"/>
  <c r="G1128" i="64"/>
  <c r="G1129" i="64" s="1"/>
  <c r="E521" i="64"/>
  <c r="F521" i="64" s="1"/>
  <c r="F526" i="64" s="1"/>
  <c r="G529" i="64" s="1"/>
  <c r="E553" i="64"/>
  <c r="F553" i="64" s="1"/>
  <c r="G557" i="64" s="1"/>
  <c r="G565" i="64" s="1"/>
  <c r="G566" i="64" s="1"/>
  <c r="E864" i="64"/>
  <c r="F864" i="64" s="1"/>
  <c r="G869" i="64" s="1"/>
  <c r="G878" i="64" s="1"/>
  <c r="G879" i="64" s="1"/>
  <c r="G880" i="64" s="1"/>
  <c r="G89" i="64"/>
  <c r="G90" i="64" s="1"/>
  <c r="G91" i="64" s="1"/>
  <c r="E720" i="64"/>
  <c r="F720" i="64" s="1"/>
  <c r="G727" i="64" s="1"/>
  <c r="G738" i="64" s="1"/>
  <c r="G739" i="64" s="1"/>
  <c r="G740" i="64" s="1"/>
  <c r="G1103" i="64"/>
  <c r="G1104" i="64" s="1"/>
  <c r="E983" i="64"/>
  <c r="F983" i="64" s="1"/>
  <c r="G992" i="64" s="1"/>
  <c r="G1001" i="64" s="1"/>
  <c r="G1002" i="64" s="1"/>
  <c r="G1003" i="64" s="1"/>
  <c r="E379" i="64"/>
  <c r="F379" i="64" s="1"/>
  <c r="D1370" i="64"/>
  <c r="F1370" i="64" s="1"/>
  <c r="P1371" i="64"/>
  <c r="P1394" i="64"/>
  <c r="D1395" i="64"/>
  <c r="F1395" i="64" s="1"/>
  <c r="G56" i="64"/>
  <c r="G57" i="64" s="1"/>
  <c r="G58" i="64" s="1"/>
  <c r="G1228" i="64"/>
  <c r="G1229" i="64" s="1"/>
  <c r="G1230" i="64" s="1"/>
  <c r="E168" i="64"/>
  <c r="F168" i="64" s="1"/>
  <c r="G172" i="64" s="1"/>
  <c r="E282" i="64" s="1"/>
  <c r="F282" i="64" s="1"/>
  <c r="E777" i="64"/>
  <c r="F777" i="64" s="1"/>
  <c r="G782" i="64" s="1"/>
  <c r="G791" i="64" s="1"/>
  <c r="G792" i="64" s="1"/>
  <c r="G793" i="64" s="1"/>
  <c r="E1038" i="64"/>
  <c r="F1038" i="64" s="1"/>
  <c r="G1047" i="64" s="1"/>
  <c r="G1056" i="64" s="1"/>
  <c r="G1057" i="64" s="1"/>
  <c r="G1058" i="64" s="1"/>
  <c r="D1348" i="64"/>
  <c r="F1348" i="64" s="1"/>
  <c r="O1344" i="64"/>
  <c r="P1344" i="64" s="1"/>
  <c r="Q1342" i="64"/>
  <c r="E198" i="64"/>
  <c r="F198" i="64" s="1"/>
  <c r="G202" i="64" s="1"/>
  <c r="G215" i="64" s="1"/>
  <c r="G216" i="64" s="1"/>
  <c r="E656" i="64"/>
  <c r="F656" i="64" s="1"/>
  <c r="G661" i="64" s="1"/>
  <c r="G670" i="64" s="1"/>
  <c r="G671" i="64" s="1"/>
  <c r="G672" i="64" s="1"/>
  <c r="E347" i="64"/>
  <c r="F347" i="64" s="1"/>
  <c r="G1028" i="64"/>
  <c r="G1029" i="64" s="1"/>
  <c r="E577" i="64"/>
  <c r="F577" i="64" s="1"/>
  <c r="G582" i="64" s="1"/>
  <c r="G591" i="64" s="1"/>
  <c r="G592" i="64" s="1"/>
  <c r="G593" i="64" s="1"/>
  <c r="E140" i="64"/>
  <c r="F140" i="64" s="1"/>
  <c r="G144" i="64" s="1"/>
  <c r="G157" i="64" s="1"/>
  <c r="G158" i="64" s="1"/>
  <c r="E410" i="64"/>
  <c r="F410" i="64" s="1"/>
  <c r="E802" i="64"/>
  <c r="F802" i="64" s="1"/>
  <c r="G807" i="64" s="1"/>
  <c r="G818" i="64" s="1"/>
  <c r="G819" i="64" s="1"/>
  <c r="G820" i="64" s="1"/>
  <c r="E630" i="64"/>
  <c r="F630" i="64" s="1"/>
  <c r="G635" i="64" s="1"/>
  <c r="G644" i="64" s="1"/>
  <c r="G645" i="64" s="1"/>
  <c r="G646" i="64" s="1"/>
  <c r="E839" i="64"/>
  <c r="F839" i="64" s="1"/>
  <c r="G844" i="64" s="1"/>
  <c r="G853" i="64" s="1"/>
  <c r="G854" i="64" s="1"/>
  <c r="G855" i="64" s="1"/>
  <c r="G113" i="64"/>
  <c r="E6" i="13"/>
  <c r="G6" i="13" s="1"/>
  <c r="H6" i="13" s="1"/>
  <c r="G537" i="64"/>
  <c r="G538" i="64" s="1"/>
  <c r="G539" i="64" s="1"/>
  <c r="E32" i="31" s="1"/>
  <c r="G618" i="64"/>
  <c r="G619" i="64" s="1"/>
  <c r="G620" i="64" s="1"/>
  <c r="E383" i="64"/>
  <c r="F383" i="64" s="1"/>
  <c r="E351" i="64"/>
  <c r="F351" i="64" s="1"/>
  <c r="G354" i="64" s="1"/>
  <c r="G367" i="64" s="1"/>
  <c r="G368" i="64" s="1"/>
  <c r="G369" i="64" s="1"/>
  <c r="E414" i="64"/>
  <c r="F414" i="64" s="1"/>
  <c r="E320" i="64"/>
  <c r="F320" i="64" s="1"/>
  <c r="G323" i="64" s="1"/>
  <c r="G336" i="64" s="1"/>
  <c r="G337" i="64" s="1"/>
  <c r="G338" i="64" s="1"/>
  <c r="F494" i="64"/>
  <c r="G495" i="64" s="1"/>
  <c r="G704" i="64" l="1"/>
  <c r="E9" i="19"/>
  <c r="E1347" i="64"/>
  <c r="F1347" i="64" s="1"/>
  <c r="E38" i="21"/>
  <c r="E44" i="21"/>
  <c r="E50" i="21"/>
  <c r="G1130" i="64"/>
  <c r="E13" i="20"/>
  <c r="G1105" i="64"/>
  <c r="E7" i="20"/>
  <c r="G973" i="64"/>
  <c r="E17" i="21"/>
  <c r="E47" i="21"/>
  <c r="G47" i="21" s="1"/>
  <c r="E41" i="21"/>
  <c r="E35" i="21"/>
  <c r="E254" i="64"/>
  <c r="F254" i="64" s="1"/>
  <c r="G185" i="64"/>
  <c r="G20" i="20"/>
  <c r="H20" i="20" s="1"/>
  <c r="E23" i="20"/>
  <c r="G23" i="20" s="1"/>
  <c r="H23" i="20" s="1"/>
  <c r="E22" i="20"/>
  <c r="G22" i="20" s="1"/>
  <c r="H22" i="20" s="1"/>
  <c r="E21" i="20"/>
  <c r="G21" i="20" s="1"/>
  <c r="H21" i="20" s="1"/>
  <c r="E1342" i="64"/>
  <c r="G417" i="64"/>
  <c r="G430" i="64" s="1"/>
  <c r="G431" i="64" s="1"/>
  <c r="G432" i="64" s="1"/>
  <c r="E23" i="16"/>
  <c r="G23" i="16" s="1"/>
  <c r="H23" i="16" s="1"/>
  <c r="E226" i="64"/>
  <c r="F226" i="64" s="1"/>
  <c r="F228" i="64" s="1"/>
  <c r="G231" i="64" s="1"/>
  <c r="G244" i="64" s="1"/>
  <c r="G245" i="64" s="1"/>
  <c r="G246" i="64" s="1"/>
  <c r="G386" i="64"/>
  <c r="G399" i="64" s="1"/>
  <c r="G400" i="64" s="1"/>
  <c r="G401" i="64" s="1"/>
  <c r="E11" i="16"/>
  <c r="G11" i="16" s="1"/>
  <c r="H11" i="16" s="1"/>
  <c r="E4" i="13"/>
  <c r="G4" i="13" s="1"/>
  <c r="H4" i="13" s="1"/>
  <c r="H11" i="13" s="1"/>
  <c r="C9" i="29" s="1"/>
  <c r="E33" i="31"/>
  <c r="E43" i="31"/>
  <c r="G43" i="31" s="1"/>
  <c r="G32" i="31"/>
  <c r="E34" i="31"/>
  <c r="H504" i="64"/>
  <c r="H505" i="64" s="1"/>
  <c r="H506" i="64" s="1"/>
  <c r="E1344" i="64" s="1"/>
  <c r="E1369" i="64" s="1"/>
  <c r="G504" i="64"/>
  <c r="G505" i="64" s="1"/>
  <c r="G506" i="64" s="1"/>
  <c r="G186" i="64"/>
  <c r="G187" i="64"/>
  <c r="G188" i="64"/>
  <c r="F256" i="64"/>
  <c r="G259" i="64" s="1"/>
  <c r="G272" i="64" s="1"/>
  <c r="G273" i="64" s="1"/>
  <c r="G274" i="64" s="1"/>
  <c r="F284" i="64"/>
  <c r="G289" i="64" s="1"/>
  <c r="G302" i="64" s="1"/>
  <c r="G303" i="64" s="1"/>
  <c r="G304" i="64" s="1"/>
  <c r="E1367" i="64"/>
  <c r="F1342" i="64"/>
  <c r="E1372" i="64"/>
  <c r="E8" i="20" l="1"/>
  <c r="G8" i="20" s="1"/>
  <c r="H8" i="20" s="1"/>
  <c r="G7" i="20"/>
  <c r="H7" i="20" s="1"/>
  <c r="E9" i="20"/>
  <c r="G9" i="20" s="1"/>
  <c r="H9" i="20" s="1"/>
  <c r="E19" i="21"/>
  <c r="G19" i="21" s="1"/>
  <c r="E18" i="21"/>
  <c r="G18" i="21" s="1"/>
  <c r="G17" i="21"/>
  <c r="E15" i="20"/>
  <c r="G15" i="20" s="1"/>
  <c r="H15" i="20" s="1"/>
  <c r="E14" i="20"/>
  <c r="G14" i="20" s="1"/>
  <c r="H14" i="20" s="1"/>
  <c r="G13" i="20"/>
  <c r="H13" i="20" s="1"/>
  <c r="E160" i="21"/>
  <c r="G38" i="21"/>
  <c r="E157" i="21"/>
  <c r="G157" i="21" s="1"/>
  <c r="E89" i="21"/>
  <c r="G89" i="21" s="1"/>
  <c r="G35" i="21"/>
  <c r="E59" i="21"/>
  <c r="E53" i="21"/>
  <c r="G41" i="21"/>
  <c r="E56" i="21"/>
  <c r="G50" i="21"/>
  <c r="E92" i="21"/>
  <c r="G44" i="21"/>
  <c r="E15" i="16"/>
  <c r="G15" i="16" s="1"/>
  <c r="H15" i="16" s="1"/>
  <c r="E13" i="16"/>
  <c r="G13" i="16" s="1"/>
  <c r="H13" i="16" s="1"/>
  <c r="E25" i="16"/>
  <c r="G25" i="16" s="1"/>
  <c r="H25" i="16" s="1"/>
  <c r="E17" i="16"/>
  <c r="G17" i="16" s="1"/>
  <c r="H17" i="16" s="1"/>
  <c r="E42" i="31"/>
  <c r="G42" i="31" s="1"/>
  <c r="G34" i="31"/>
  <c r="E41" i="31"/>
  <c r="G41" i="31" s="1"/>
  <c r="G33" i="31"/>
  <c r="E49" i="15"/>
  <c r="F1344" i="64"/>
  <c r="E1394" i="64"/>
  <c r="F1394" i="64" s="1"/>
  <c r="F1369" i="64"/>
  <c r="F1343" i="64"/>
  <c r="E1392" i="64"/>
  <c r="F1392" i="64" s="1"/>
  <c r="F1367" i="64"/>
  <c r="F1372" i="64"/>
  <c r="E1397" i="64"/>
  <c r="F1397" i="64" s="1"/>
  <c r="H25" i="20" l="1"/>
  <c r="C13" i="29" s="1"/>
  <c r="E142" i="21"/>
  <c r="G142" i="21" s="1"/>
  <c r="E235" i="21"/>
  <c r="G235" i="21" s="1"/>
  <c r="G59" i="21"/>
  <c r="E97" i="21"/>
  <c r="G92" i="21"/>
  <c r="E76" i="21"/>
  <c r="G76" i="21" s="1"/>
  <c r="G56" i="21"/>
  <c r="E165" i="21"/>
  <c r="G160" i="21"/>
  <c r="H44" i="16"/>
  <c r="C8" i="29" s="1"/>
  <c r="E163" i="21"/>
  <c r="E95" i="21"/>
  <c r="G95" i="21" s="1"/>
  <c r="E73" i="21"/>
  <c r="G53" i="21"/>
  <c r="G1350" i="64"/>
  <c r="G1357" i="64" s="1"/>
  <c r="G1358" i="64" s="1"/>
  <c r="G1359" i="64" s="1"/>
  <c r="H4" i="37"/>
  <c r="F1393" i="64"/>
  <c r="G1400" i="64" s="1"/>
  <c r="G1407" i="64" s="1"/>
  <c r="G1408" i="64" s="1"/>
  <c r="G1409" i="64" s="1"/>
  <c r="F1368" i="64"/>
  <c r="G1375" i="64" s="1"/>
  <c r="G1382" i="64" s="1"/>
  <c r="G1383" i="64" s="1"/>
  <c r="G1384" i="64" s="1"/>
  <c r="C17" i="29" l="1"/>
  <c r="H7" i="37"/>
  <c r="E100" i="21"/>
  <c r="G100" i="21" s="1"/>
  <c r="G73" i="21"/>
  <c r="E103" i="21"/>
  <c r="G103" i="21" s="1"/>
  <c r="G97" i="21"/>
  <c r="E169" i="21"/>
  <c r="G169" i="21" s="1"/>
  <c r="G163" i="21"/>
  <c r="E172" i="21"/>
  <c r="G172" i="21" s="1"/>
  <c r="G165" i="21"/>
  <c r="F49" i="15"/>
  <c r="F12" i="15"/>
  <c r="F10" i="15"/>
  <c r="G49" i="15" l="1"/>
  <c r="H49" i="15" s="1"/>
  <c r="J10" i="15" l="1"/>
  <c r="G10" i="15" l="1"/>
  <c r="H10" i="15" s="1"/>
  <c r="B66" i="44" l="1"/>
  <c r="B67" i="44" s="1"/>
  <c r="B62" i="44"/>
  <c r="B70" i="44" s="1"/>
  <c r="B63" i="44" l="1"/>
  <c r="I150" i="12"/>
  <c r="I138" i="12"/>
  <c r="I127" i="12"/>
  <c r="I115" i="12"/>
  <c r="I103" i="12"/>
  <c r="I94" i="12"/>
  <c r="I80" i="12"/>
  <c r="I70" i="12"/>
  <c r="I41" i="12"/>
  <c r="I20" i="12"/>
  <c r="A7" i="42"/>
  <c r="C269" i="55"/>
  <c r="H269" i="55" s="1"/>
  <c r="C236" i="55"/>
  <c r="H236" i="55" s="1"/>
  <c r="C201" i="55"/>
  <c r="H201" i="55" s="1"/>
  <c r="H302" i="55" s="1"/>
  <c r="C15" i="29" s="1"/>
  <c r="J403" i="12" l="1"/>
  <c r="J399" i="12"/>
  <c r="J383" i="12" l="1"/>
  <c r="J379" i="12"/>
  <c r="J375" i="12"/>
  <c r="J372" i="12"/>
  <c r="J364" i="12"/>
  <c r="J361" i="12"/>
  <c r="J349" i="12"/>
  <c r="J345" i="12"/>
  <c r="L145" i="12"/>
  <c r="M145" i="12" s="1"/>
  <c r="N145" i="12" s="1"/>
  <c r="L146" i="12"/>
  <c r="M146" i="12" s="1"/>
  <c r="N146" i="12" s="1"/>
  <c r="L147" i="12"/>
  <c r="M147" i="12" s="1"/>
  <c r="N147" i="12" s="1"/>
  <c r="L148" i="12"/>
  <c r="M148" i="12" s="1"/>
  <c r="N148" i="12" s="1"/>
  <c r="L149" i="12"/>
  <c r="M149" i="12" s="1"/>
  <c r="N149" i="12" s="1"/>
  <c r="L150" i="12"/>
  <c r="M150" i="12" s="1"/>
  <c r="N150" i="12" s="1"/>
  <c r="L152" i="12"/>
  <c r="M152" i="12" s="1"/>
  <c r="N152" i="12" s="1"/>
  <c r="K151" i="12"/>
  <c r="K150" i="12"/>
  <c r="I146" i="12"/>
  <c r="I145" i="12"/>
  <c r="F148" i="12"/>
  <c r="I148" i="12" s="1"/>
  <c r="F147" i="12"/>
  <c r="I147" i="12" s="1"/>
  <c r="F146" i="12"/>
  <c r="F145" i="12"/>
  <c r="K141" i="12"/>
  <c r="L141" i="12" s="1"/>
  <c r="M141" i="12" s="1"/>
  <c r="N141" i="12" s="1"/>
  <c r="K142" i="12"/>
  <c r="L142" i="12" s="1"/>
  <c r="M142" i="12" s="1"/>
  <c r="N142" i="12" s="1"/>
  <c r="K143" i="12"/>
  <c r="K144" i="12"/>
  <c r="L144" i="12" s="1"/>
  <c r="M144" i="12" s="1"/>
  <c r="N144" i="12" s="1"/>
  <c r="I142" i="12"/>
  <c r="I141" i="12"/>
  <c r="J143" i="12" s="1"/>
  <c r="L143" i="12" s="1"/>
  <c r="M143" i="12" s="1"/>
  <c r="N143" i="12" s="1"/>
  <c r="C235" i="21" s="1"/>
  <c r="H235" i="21" s="1"/>
  <c r="K124" i="12"/>
  <c r="L124" i="12" s="1"/>
  <c r="M124" i="12" s="1"/>
  <c r="N124" i="12" s="1"/>
  <c r="K125" i="12"/>
  <c r="L125" i="12" s="1"/>
  <c r="M125" i="12" s="1"/>
  <c r="N125" i="12" s="1"/>
  <c r="K126" i="12"/>
  <c r="L126" i="12"/>
  <c r="M126" i="12" s="1"/>
  <c r="N126" i="12" s="1"/>
  <c r="K127" i="12"/>
  <c r="L127" i="12"/>
  <c r="M127" i="12" s="1"/>
  <c r="N127" i="12" s="1"/>
  <c r="K128" i="12"/>
  <c r="K129" i="12"/>
  <c r="L129" i="12" s="1"/>
  <c r="M129" i="12" s="1"/>
  <c r="N129" i="12" s="1"/>
  <c r="F123" i="12"/>
  <c r="F122" i="12"/>
  <c r="I122" i="12" s="1"/>
  <c r="J128" i="12" s="1"/>
  <c r="I123" i="12"/>
  <c r="K120" i="12"/>
  <c r="K121" i="12"/>
  <c r="L121" i="12" s="1"/>
  <c r="M121" i="12" s="1"/>
  <c r="N121" i="12" s="1"/>
  <c r="K122" i="12"/>
  <c r="L122" i="12" s="1"/>
  <c r="M122" i="12" s="1"/>
  <c r="N122" i="12" s="1"/>
  <c r="K123" i="12"/>
  <c r="L123" i="12" s="1"/>
  <c r="M123" i="12" s="1"/>
  <c r="N123" i="12" s="1"/>
  <c r="I119" i="12"/>
  <c r="J120" i="12" s="1"/>
  <c r="G119" i="12"/>
  <c r="F125" i="12" s="1"/>
  <c r="I125" i="12" s="1"/>
  <c r="F119" i="12"/>
  <c r="F124" i="12" s="1"/>
  <c r="I124" i="12" s="1"/>
  <c r="K118" i="12"/>
  <c r="L118" i="12" s="1"/>
  <c r="M118" i="12" s="1"/>
  <c r="N118" i="12" s="1"/>
  <c r="K119" i="12"/>
  <c r="L119" i="12" s="1"/>
  <c r="M119" i="12" s="1"/>
  <c r="N119" i="12" s="1"/>
  <c r="I118" i="12"/>
  <c r="K103" i="12"/>
  <c r="K104" i="12"/>
  <c r="L104" i="12" s="1"/>
  <c r="M104" i="12" s="1"/>
  <c r="N104" i="12" s="1"/>
  <c r="K105" i="12"/>
  <c r="L105" i="12" s="1"/>
  <c r="M105" i="12" s="1"/>
  <c r="N105" i="12" s="1"/>
  <c r="F101" i="12"/>
  <c r="F100" i="12"/>
  <c r="I101" i="12"/>
  <c r="I100" i="12"/>
  <c r="J103" i="12" s="1"/>
  <c r="K97" i="12"/>
  <c r="K98" i="12"/>
  <c r="L98" i="12" s="1"/>
  <c r="M98" i="12" s="1"/>
  <c r="N98" i="12" s="1"/>
  <c r="K99" i="12"/>
  <c r="L99" i="12" s="1"/>
  <c r="M99" i="12" s="1"/>
  <c r="N99" i="12" s="1"/>
  <c r="K100" i="12"/>
  <c r="L100" i="12" s="1"/>
  <c r="M100" i="12" s="1"/>
  <c r="N100" i="12" s="1"/>
  <c r="K101" i="12"/>
  <c r="L101" i="12" s="1"/>
  <c r="M101" i="12" s="1"/>
  <c r="N101" i="12" s="1"/>
  <c r="K102" i="12"/>
  <c r="L102" i="12" s="1"/>
  <c r="M102" i="12" s="1"/>
  <c r="N102" i="12" s="1"/>
  <c r="I97" i="12"/>
  <c r="J97" i="12" s="1"/>
  <c r="J151" i="12" l="1"/>
  <c r="L151" i="12" s="1"/>
  <c r="M151" i="12" s="1"/>
  <c r="N151" i="12" s="1"/>
  <c r="C19" i="21" s="1"/>
  <c r="H19" i="21" s="1"/>
  <c r="L120" i="12"/>
  <c r="M120" i="12" s="1"/>
  <c r="N120" i="12" s="1"/>
  <c r="C142" i="21" s="1"/>
  <c r="H142" i="21" s="1"/>
  <c r="L128" i="12"/>
  <c r="M128" i="12" s="1"/>
  <c r="N128" i="12" s="1"/>
  <c r="C18" i="21" s="1"/>
  <c r="H18" i="21" s="1"/>
  <c r="L103" i="12"/>
  <c r="M103" i="12" s="1"/>
  <c r="N103" i="12" s="1"/>
  <c r="C17" i="21" s="1"/>
  <c r="H17" i="21" s="1"/>
  <c r="L97" i="12"/>
  <c r="M97" i="12" s="1"/>
  <c r="N97" i="12" s="1"/>
  <c r="C59" i="21" s="1"/>
  <c r="H59" i="21" s="1"/>
  <c r="I336" i="12"/>
  <c r="J337" i="12" s="1"/>
  <c r="I335" i="12"/>
  <c r="F336" i="12"/>
  <c r="F335" i="12"/>
  <c r="C54" i="22"/>
  <c r="H54" i="22" s="1"/>
  <c r="C55" i="22"/>
  <c r="H55" i="22" s="1"/>
  <c r="C53" i="22"/>
  <c r="H53" i="22" s="1"/>
  <c r="J333" i="12"/>
  <c r="J331" i="12"/>
  <c r="J329" i="12"/>
  <c r="F318" i="12"/>
  <c r="I318" i="12" s="1"/>
  <c r="F319" i="12"/>
  <c r="I319" i="12" s="1"/>
  <c r="F320" i="12"/>
  <c r="I320" i="12" s="1"/>
  <c r="F321" i="12"/>
  <c r="I321" i="12" s="1"/>
  <c r="F322" i="12"/>
  <c r="I322" i="12" s="1"/>
  <c r="F323" i="12"/>
  <c r="I323" i="12" s="1"/>
  <c r="F324" i="12"/>
  <c r="I324" i="12" s="1"/>
  <c r="F325" i="12"/>
  <c r="I325" i="12" s="1"/>
  <c r="F317" i="12"/>
  <c r="I317" i="12" s="1"/>
  <c r="I313" i="12"/>
  <c r="I312" i="12"/>
  <c r="I311" i="12"/>
  <c r="I310" i="12"/>
  <c r="I309" i="12"/>
  <c r="I308" i="12"/>
  <c r="I307" i="12"/>
  <c r="I306" i="12"/>
  <c r="I305" i="12"/>
  <c r="I303" i="12"/>
  <c r="F293" i="12"/>
  <c r="I293" i="12" s="1"/>
  <c r="F294" i="12"/>
  <c r="I294" i="12" s="1"/>
  <c r="F295" i="12"/>
  <c r="I295" i="12" s="1"/>
  <c r="F296" i="12"/>
  <c r="I296" i="12" s="1"/>
  <c r="F297" i="12"/>
  <c r="I297" i="12" s="1"/>
  <c r="F298" i="12"/>
  <c r="I298" i="12" s="1"/>
  <c r="F299" i="12"/>
  <c r="I299" i="12" s="1"/>
  <c r="F300" i="12"/>
  <c r="I300" i="12" s="1"/>
  <c r="F292" i="12"/>
  <c r="I292" i="12" s="1"/>
  <c r="I288" i="12"/>
  <c r="I287" i="12"/>
  <c r="I286" i="12"/>
  <c r="I285" i="12"/>
  <c r="I284" i="12"/>
  <c r="I283" i="12"/>
  <c r="I282" i="12"/>
  <c r="I281" i="12"/>
  <c r="I280" i="12"/>
  <c r="I278" i="12"/>
  <c r="F263" i="12"/>
  <c r="I263" i="12" s="1"/>
  <c r="F264" i="12"/>
  <c r="I264" i="12" s="1"/>
  <c r="F265" i="12"/>
  <c r="I265" i="12" s="1"/>
  <c r="F266" i="12"/>
  <c r="I266" i="12" s="1"/>
  <c r="F267" i="12"/>
  <c r="I267" i="12" s="1"/>
  <c r="F268" i="12"/>
  <c r="I268" i="12" s="1"/>
  <c r="F269" i="12"/>
  <c r="I269" i="12" s="1"/>
  <c r="F270" i="12"/>
  <c r="I270" i="12" s="1"/>
  <c r="F271" i="12"/>
  <c r="I271" i="12" s="1"/>
  <c r="F272" i="12"/>
  <c r="I272" i="12" s="1"/>
  <c r="F273" i="12"/>
  <c r="I273" i="12" s="1"/>
  <c r="F274" i="12"/>
  <c r="I274" i="12" s="1"/>
  <c r="F275" i="12"/>
  <c r="I275" i="12" s="1"/>
  <c r="F262" i="12"/>
  <c r="I262" i="12" s="1"/>
  <c r="I258" i="12"/>
  <c r="I257" i="12"/>
  <c r="I256" i="12"/>
  <c r="I255" i="12"/>
  <c r="I254" i="12"/>
  <c r="I253" i="12"/>
  <c r="I252" i="12"/>
  <c r="I251" i="12"/>
  <c r="I250" i="12"/>
  <c r="I249" i="12"/>
  <c r="I248" i="12"/>
  <c r="I247" i="12"/>
  <c r="I246" i="12"/>
  <c r="I245" i="12"/>
  <c r="I244" i="12"/>
  <c r="I240" i="12"/>
  <c r="J240" i="12" s="1"/>
  <c r="F231" i="12"/>
  <c r="I231" i="12" s="1"/>
  <c r="F232" i="12"/>
  <c r="I232" i="12" s="1"/>
  <c r="F233" i="12"/>
  <c r="I233" i="12" s="1"/>
  <c r="F234" i="12"/>
  <c r="I234" i="12" s="1"/>
  <c r="F235" i="12"/>
  <c r="I235" i="12" s="1"/>
  <c r="F236" i="12"/>
  <c r="I236" i="12" s="1"/>
  <c r="F237" i="12"/>
  <c r="I237" i="12" s="1"/>
  <c r="F230" i="12"/>
  <c r="I230" i="12" s="1"/>
  <c r="I226" i="12"/>
  <c r="I225" i="12"/>
  <c r="I224" i="12"/>
  <c r="I223" i="12"/>
  <c r="I222" i="12"/>
  <c r="I221" i="12"/>
  <c r="I220" i="12"/>
  <c r="I219" i="12"/>
  <c r="I217" i="12"/>
  <c r="F180" i="12"/>
  <c r="I180" i="12" s="1"/>
  <c r="F208" i="12"/>
  <c r="I208" i="12" s="1"/>
  <c r="F209" i="12"/>
  <c r="I209" i="12" s="1"/>
  <c r="F210" i="12"/>
  <c r="I210" i="12" s="1"/>
  <c r="F211" i="12"/>
  <c r="I211" i="12" s="1"/>
  <c r="F212" i="12"/>
  <c r="I212" i="12" s="1"/>
  <c r="F213" i="12"/>
  <c r="I213" i="12" s="1"/>
  <c r="F214" i="12"/>
  <c r="I214" i="12" s="1"/>
  <c r="F207" i="12"/>
  <c r="I207" i="12" s="1"/>
  <c r="I203" i="12"/>
  <c r="I202" i="12"/>
  <c r="I201" i="12"/>
  <c r="I200" i="12"/>
  <c r="I199" i="12"/>
  <c r="I198" i="12"/>
  <c r="I197" i="12"/>
  <c r="I196" i="12"/>
  <c r="I194" i="12"/>
  <c r="I193" i="12"/>
  <c r="F181" i="12"/>
  <c r="I181" i="12" s="1"/>
  <c r="F182" i="12"/>
  <c r="I182" i="12" s="1"/>
  <c r="F183" i="12"/>
  <c r="I183" i="12" s="1"/>
  <c r="F184" i="12"/>
  <c r="I184" i="12" s="1"/>
  <c r="F185" i="12"/>
  <c r="I185" i="12" s="1"/>
  <c r="F186" i="12"/>
  <c r="I186" i="12" s="1"/>
  <c r="F187" i="12"/>
  <c r="I187" i="12" s="1"/>
  <c r="F188" i="12"/>
  <c r="I188" i="12" s="1"/>
  <c r="F189" i="12"/>
  <c r="I189" i="12" s="1"/>
  <c r="F190" i="12"/>
  <c r="I190" i="12" s="1"/>
  <c r="I177" i="12"/>
  <c r="I176" i="12"/>
  <c r="I175" i="12"/>
  <c r="I174" i="12"/>
  <c r="I173" i="12"/>
  <c r="I172" i="12"/>
  <c r="I171" i="12"/>
  <c r="I170" i="12"/>
  <c r="I169" i="12"/>
  <c r="I168" i="12"/>
  <c r="I167" i="12"/>
  <c r="I165" i="12"/>
  <c r="I161" i="12"/>
  <c r="I160" i="12"/>
  <c r="I159" i="12"/>
  <c r="I156" i="12"/>
  <c r="I155" i="12"/>
  <c r="I154" i="12"/>
  <c r="F136" i="12"/>
  <c r="I136" i="12" s="1"/>
  <c r="F135" i="12"/>
  <c r="I135" i="12" s="1"/>
  <c r="I134" i="12"/>
  <c r="F133" i="12"/>
  <c r="I133" i="12" s="1"/>
  <c r="F132" i="12"/>
  <c r="I132" i="12" s="1"/>
  <c r="I131" i="12"/>
  <c r="I111" i="12"/>
  <c r="F113" i="12"/>
  <c r="I113" i="12" s="1"/>
  <c r="F112" i="12"/>
  <c r="I112" i="12" s="1"/>
  <c r="F110" i="12"/>
  <c r="I110" i="12" s="1"/>
  <c r="F109" i="12"/>
  <c r="I109" i="12" s="1"/>
  <c r="I108" i="12"/>
  <c r="I90" i="12"/>
  <c r="F92" i="12"/>
  <c r="I92" i="12" s="1"/>
  <c r="F91" i="12"/>
  <c r="I91" i="12" s="1"/>
  <c r="J86" i="12"/>
  <c r="I78" i="12"/>
  <c r="I77" i="12"/>
  <c r="J75" i="12"/>
  <c r="I71" i="12"/>
  <c r="I72" i="12"/>
  <c r="I69" i="12"/>
  <c r="I68" i="12"/>
  <c r="I67" i="12"/>
  <c r="I66" i="12"/>
  <c r="I65" i="12"/>
  <c r="I64" i="12"/>
  <c r="I63" i="12"/>
  <c r="I60" i="12"/>
  <c r="I38" i="12"/>
  <c r="I61" i="12"/>
  <c r="I59" i="12"/>
  <c r="I58" i="12"/>
  <c r="I57" i="12"/>
  <c r="I56" i="12"/>
  <c r="I55" i="12"/>
  <c r="I54" i="12"/>
  <c r="I53" i="12"/>
  <c r="I52" i="12"/>
  <c r="I37" i="12"/>
  <c r="I47" i="12"/>
  <c r="I49" i="12"/>
  <c r="I48" i="12"/>
  <c r="I46" i="12"/>
  <c r="I45" i="12"/>
  <c r="I44" i="12"/>
  <c r="I43" i="12"/>
  <c r="I42" i="12"/>
  <c r="I40" i="12"/>
  <c r="I36" i="12"/>
  <c r="I35" i="12"/>
  <c r="I34" i="12"/>
  <c r="I33" i="12"/>
  <c r="I32" i="12"/>
  <c r="I31" i="12"/>
  <c r="I30" i="12"/>
  <c r="I14" i="12"/>
  <c r="I15" i="12"/>
  <c r="I16" i="12"/>
  <c r="I17" i="12"/>
  <c r="I18" i="12"/>
  <c r="I19" i="12"/>
  <c r="I21" i="12"/>
  <c r="I22" i="12"/>
  <c r="I23" i="12"/>
  <c r="I24" i="12"/>
  <c r="I25" i="12"/>
  <c r="I26" i="12"/>
  <c r="I27" i="12"/>
  <c r="I13" i="12"/>
  <c r="I5" i="12"/>
  <c r="I11" i="12"/>
  <c r="I10" i="12"/>
  <c r="I9" i="12"/>
  <c r="I8" i="12"/>
  <c r="I7" i="12"/>
  <c r="I6" i="12"/>
  <c r="I4" i="12"/>
  <c r="H235" i="22" l="1"/>
  <c r="C14" i="29" s="1"/>
  <c r="J326" i="12"/>
  <c r="J289" i="12"/>
  <c r="J314" i="12"/>
  <c r="J301" i="12"/>
  <c r="J276" i="12"/>
  <c r="J259" i="12"/>
  <c r="J178" i="12"/>
  <c r="J227" i="12"/>
  <c r="J238" i="12"/>
  <c r="J204" i="12"/>
  <c r="J215" i="12"/>
  <c r="J191" i="12"/>
  <c r="J139" i="12"/>
  <c r="J157" i="12"/>
  <c r="J116" i="12"/>
  <c r="J162" i="12"/>
  <c r="J73" i="12"/>
  <c r="J94" i="12"/>
  <c r="J81" i="12"/>
  <c r="J50" i="12"/>
  <c r="J28" i="12"/>
  <c r="A96" i="26"/>
  <c r="A100" i="26" s="1"/>
  <c r="K500" i="12"/>
  <c r="L500" i="12" s="1"/>
  <c r="M500" i="12" s="1"/>
  <c r="N500" i="12" s="1"/>
  <c r="K501" i="12"/>
  <c r="L501" i="12" s="1"/>
  <c r="M501" i="12" s="1"/>
  <c r="N501" i="12" s="1"/>
  <c r="K502" i="12"/>
  <c r="L502" i="12" s="1"/>
  <c r="M502" i="12" s="1"/>
  <c r="N502" i="12" s="1"/>
  <c r="K503" i="12"/>
  <c r="L503" i="12" s="1"/>
  <c r="M503" i="12" s="1"/>
  <c r="N503" i="12" s="1"/>
  <c r="K504" i="12"/>
  <c r="L504" i="12" s="1"/>
  <c r="M504" i="12" s="1"/>
  <c r="N504" i="12" s="1"/>
  <c r="K505" i="12"/>
  <c r="L505" i="12" s="1"/>
  <c r="M505" i="12" s="1"/>
  <c r="N505" i="12" s="1"/>
  <c r="K506" i="12"/>
  <c r="L506" i="12" s="1"/>
  <c r="M506" i="12" s="1"/>
  <c r="N506" i="12" s="1"/>
  <c r="K507" i="12"/>
  <c r="L507" i="12" s="1"/>
  <c r="M507" i="12" s="1"/>
  <c r="N507" i="12" s="1"/>
  <c r="K508" i="12"/>
  <c r="L508" i="12" s="1"/>
  <c r="M508" i="12" s="1"/>
  <c r="N508" i="12" s="1"/>
  <c r="K509" i="12"/>
  <c r="L509" i="12" s="1"/>
  <c r="M509" i="12" s="1"/>
  <c r="N509" i="12" s="1"/>
  <c r="K510" i="12"/>
  <c r="L510" i="12" s="1"/>
  <c r="M510" i="12" s="1"/>
  <c r="N510" i="12" s="1"/>
  <c r="K511" i="12"/>
  <c r="L511" i="12" s="1"/>
  <c r="M511" i="12" s="1"/>
  <c r="N511" i="12" s="1"/>
  <c r="K512" i="12"/>
  <c r="L512" i="12" s="1"/>
  <c r="M512" i="12" s="1"/>
  <c r="N512" i="12" s="1"/>
  <c r="K513" i="12"/>
  <c r="L513" i="12" s="1"/>
  <c r="M513" i="12" s="1"/>
  <c r="N513" i="12" s="1"/>
  <c r="K514" i="12"/>
  <c r="L514" i="12" s="1"/>
  <c r="M514" i="12" s="1"/>
  <c r="N514" i="12" s="1"/>
  <c r="K515" i="12"/>
  <c r="L515" i="12" s="1"/>
  <c r="M515" i="12" s="1"/>
  <c r="N515" i="12" s="1"/>
  <c r="K516" i="12"/>
  <c r="L516" i="12" s="1"/>
  <c r="M516" i="12" s="1"/>
  <c r="N516" i="12" s="1"/>
  <c r="K517" i="12"/>
  <c r="L517" i="12" s="1"/>
  <c r="M517" i="12" s="1"/>
  <c r="N517" i="12" s="1"/>
  <c r="K518" i="12"/>
  <c r="L518" i="12" s="1"/>
  <c r="M518" i="12" s="1"/>
  <c r="N518" i="12" s="1"/>
  <c r="K519" i="12"/>
  <c r="L519" i="12" s="1"/>
  <c r="M519" i="12" s="1"/>
  <c r="N519" i="12" s="1"/>
  <c r="K520" i="12"/>
  <c r="L520" i="12" s="1"/>
  <c r="M520" i="12" s="1"/>
  <c r="N520" i="12" s="1"/>
  <c r="K521" i="12"/>
  <c r="L521" i="12" s="1"/>
  <c r="M521" i="12" s="1"/>
  <c r="N521" i="12" s="1"/>
  <c r="K522" i="12"/>
  <c r="L522" i="12" s="1"/>
  <c r="M522" i="12" s="1"/>
  <c r="N522" i="12" s="1"/>
  <c r="K523" i="12"/>
  <c r="L523" i="12" s="1"/>
  <c r="M523" i="12" s="1"/>
  <c r="N523" i="12" s="1"/>
  <c r="K524" i="12"/>
  <c r="L524" i="12" s="1"/>
  <c r="M524" i="12" s="1"/>
  <c r="N524" i="12" s="1"/>
  <c r="K525" i="12"/>
  <c r="L525" i="12" s="1"/>
  <c r="M525" i="12" s="1"/>
  <c r="N525" i="12" s="1"/>
  <c r="K526" i="12"/>
  <c r="L526" i="12"/>
  <c r="M526" i="12" s="1"/>
  <c r="N526" i="12" s="1"/>
  <c r="K527" i="12"/>
  <c r="L527" i="12" s="1"/>
  <c r="M527" i="12" s="1"/>
  <c r="N527" i="12" s="1"/>
  <c r="K528" i="12"/>
  <c r="L528" i="12" s="1"/>
  <c r="M528" i="12" s="1"/>
  <c r="N528" i="12" s="1"/>
  <c r="K529" i="12"/>
  <c r="L529" i="12" s="1"/>
  <c r="M529" i="12" s="1"/>
  <c r="N529" i="12" s="1"/>
  <c r="K530" i="12"/>
  <c r="L530" i="12" s="1"/>
  <c r="M530" i="12" s="1"/>
  <c r="N530" i="12" s="1"/>
  <c r="K531" i="12"/>
  <c r="L531" i="12" s="1"/>
  <c r="M531" i="12" s="1"/>
  <c r="N531" i="12" s="1"/>
  <c r="K532" i="12"/>
  <c r="L532" i="12" s="1"/>
  <c r="M532" i="12" s="1"/>
  <c r="N532" i="12" s="1"/>
  <c r="K533" i="12"/>
  <c r="L533" i="12" s="1"/>
  <c r="M533" i="12" s="1"/>
  <c r="N533" i="12" s="1"/>
  <c r="K534" i="12"/>
  <c r="L534" i="12" s="1"/>
  <c r="M534" i="12" s="1"/>
  <c r="N534" i="12" s="1"/>
  <c r="K535" i="12"/>
  <c r="L535" i="12" s="1"/>
  <c r="M535" i="12" s="1"/>
  <c r="N535" i="12" s="1"/>
  <c r="K536" i="12"/>
  <c r="L536" i="12" s="1"/>
  <c r="M536" i="12" s="1"/>
  <c r="N536" i="12" s="1"/>
  <c r="K537" i="12"/>
  <c r="L537" i="12" s="1"/>
  <c r="M537" i="12" s="1"/>
  <c r="N537" i="12" s="1"/>
  <c r="K538" i="12"/>
  <c r="L538" i="12" s="1"/>
  <c r="M538" i="12" s="1"/>
  <c r="N538" i="12" s="1"/>
  <c r="K539" i="12"/>
  <c r="L539" i="12" s="1"/>
  <c r="M539" i="12" s="1"/>
  <c r="N539" i="12" s="1"/>
  <c r="K540" i="12"/>
  <c r="L540" i="12" s="1"/>
  <c r="M540" i="12" s="1"/>
  <c r="N540" i="12" s="1"/>
  <c r="K541" i="12"/>
  <c r="L541" i="12" s="1"/>
  <c r="M541" i="12" s="1"/>
  <c r="N541" i="12" s="1"/>
  <c r="K542" i="12"/>
  <c r="L542" i="12" s="1"/>
  <c r="M542" i="12" s="1"/>
  <c r="N542" i="12" s="1"/>
  <c r="K543" i="12"/>
  <c r="L543" i="12" s="1"/>
  <c r="M543" i="12" s="1"/>
  <c r="N543" i="12" s="1"/>
  <c r="K544" i="12"/>
  <c r="L544" i="12" s="1"/>
  <c r="M544" i="12" s="1"/>
  <c r="N544" i="12" s="1"/>
  <c r="K545" i="12"/>
  <c r="L545" i="12" s="1"/>
  <c r="M545" i="12" s="1"/>
  <c r="N545" i="12" s="1"/>
  <c r="K546" i="12"/>
  <c r="L546" i="12" s="1"/>
  <c r="M546" i="12" s="1"/>
  <c r="N546" i="12" s="1"/>
  <c r="K547" i="12"/>
  <c r="L547" i="12" s="1"/>
  <c r="M547" i="12" s="1"/>
  <c r="N547" i="12" s="1"/>
  <c r="K548" i="12"/>
  <c r="L548" i="12" s="1"/>
  <c r="M548" i="12" s="1"/>
  <c r="N548" i="12" s="1"/>
  <c r="K549" i="12"/>
  <c r="L549" i="12" s="1"/>
  <c r="M549" i="12" s="1"/>
  <c r="N549" i="12" s="1"/>
  <c r="K550" i="12"/>
  <c r="L550" i="12" s="1"/>
  <c r="M550" i="12" s="1"/>
  <c r="N550" i="12" s="1"/>
  <c r="K551" i="12"/>
  <c r="L551" i="12" s="1"/>
  <c r="M551" i="12" s="1"/>
  <c r="N551" i="12" s="1"/>
  <c r="K552" i="12"/>
  <c r="L552" i="12" s="1"/>
  <c r="M552" i="12" s="1"/>
  <c r="N552" i="12" s="1"/>
  <c r="K553" i="12"/>
  <c r="L553" i="12" s="1"/>
  <c r="M553" i="12" s="1"/>
  <c r="N553" i="12" s="1"/>
  <c r="K554" i="12"/>
  <c r="L554" i="12" s="1"/>
  <c r="M554" i="12" s="1"/>
  <c r="N554" i="12" s="1"/>
  <c r="K555" i="12"/>
  <c r="L555" i="12" s="1"/>
  <c r="M555" i="12" s="1"/>
  <c r="N555" i="12" s="1"/>
  <c r="K556" i="12"/>
  <c r="L556" i="12" s="1"/>
  <c r="M556" i="12" s="1"/>
  <c r="N556" i="12" s="1"/>
  <c r="K557" i="12"/>
  <c r="L557" i="12" s="1"/>
  <c r="M557" i="12" s="1"/>
  <c r="N557" i="12" s="1"/>
  <c r="K558" i="12"/>
  <c r="L558" i="12" s="1"/>
  <c r="M558" i="12" s="1"/>
  <c r="N558" i="12" s="1"/>
  <c r="K559" i="12"/>
  <c r="L559" i="12" s="1"/>
  <c r="M559" i="12" s="1"/>
  <c r="N559" i="12" s="1"/>
  <c r="K560" i="12"/>
  <c r="L560" i="12" s="1"/>
  <c r="M560" i="12" s="1"/>
  <c r="N560" i="12" s="1"/>
  <c r="K561" i="12"/>
  <c r="L561" i="12" s="1"/>
  <c r="M561" i="12" s="1"/>
  <c r="N561" i="12" s="1"/>
  <c r="K562" i="12"/>
  <c r="L562" i="12" s="1"/>
  <c r="M562" i="12" s="1"/>
  <c r="N562" i="12" s="1"/>
  <c r="K563" i="12"/>
  <c r="L563" i="12" s="1"/>
  <c r="M563" i="12" s="1"/>
  <c r="N563" i="12" s="1"/>
  <c r="K564" i="12"/>
  <c r="L564" i="12" s="1"/>
  <c r="M564" i="12" s="1"/>
  <c r="N564" i="12" s="1"/>
  <c r="K565" i="12"/>
  <c r="L565" i="12" s="1"/>
  <c r="M565" i="12" s="1"/>
  <c r="N565" i="12" s="1"/>
  <c r="K566" i="12"/>
  <c r="L566" i="12" s="1"/>
  <c r="M566" i="12" s="1"/>
  <c r="N566" i="12" s="1"/>
  <c r="K567" i="12"/>
  <c r="L567" i="12" s="1"/>
  <c r="M567" i="12" s="1"/>
  <c r="N567" i="12" s="1"/>
  <c r="K568" i="12"/>
  <c r="L568" i="12" s="1"/>
  <c r="M568" i="12" s="1"/>
  <c r="N568" i="12" s="1"/>
  <c r="K569" i="12"/>
  <c r="L569" i="12" s="1"/>
  <c r="M569" i="12" s="1"/>
  <c r="N569" i="12" s="1"/>
  <c r="K570" i="12"/>
  <c r="L570" i="12" s="1"/>
  <c r="M570" i="12" s="1"/>
  <c r="N570" i="12" s="1"/>
  <c r="K571" i="12"/>
  <c r="L571" i="12" s="1"/>
  <c r="M571" i="12" s="1"/>
  <c r="N571" i="12" s="1"/>
  <c r="K572" i="12"/>
  <c r="L572" i="12" s="1"/>
  <c r="M572" i="12" s="1"/>
  <c r="N572" i="12" s="1"/>
  <c r="G132" i="30"/>
  <c r="J1026" i="12"/>
  <c r="F1028" i="12"/>
  <c r="J1028" i="12" s="1"/>
  <c r="K987" i="12" l="1"/>
  <c r="L987" i="12" s="1"/>
  <c r="M987" i="12" s="1"/>
  <c r="N987" i="12" s="1"/>
  <c r="K988" i="12"/>
  <c r="K989" i="12"/>
  <c r="L989" i="12" s="1"/>
  <c r="M989" i="12" s="1"/>
  <c r="N989" i="12" s="1"/>
  <c r="K990" i="12"/>
  <c r="L990" i="12" s="1"/>
  <c r="M990" i="12" s="1"/>
  <c r="N990" i="12" s="1"/>
  <c r="K920" i="12"/>
  <c r="L920" i="12" s="1"/>
  <c r="M920" i="12" s="1"/>
  <c r="N920" i="12" s="1"/>
  <c r="K921" i="12"/>
  <c r="L921" i="12" s="1"/>
  <c r="M921" i="12" s="1"/>
  <c r="N921" i="12" s="1"/>
  <c r="K922" i="12"/>
  <c r="L922" i="12" s="1"/>
  <c r="M922" i="12" s="1"/>
  <c r="N922" i="12" s="1"/>
  <c r="K923" i="12"/>
  <c r="L923" i="12" s="1"/>
  <c r="M923" i="12" s="1"/>
  <c r="N923" i="12" s="1"/>
  <c r="K924" i="12"/>
  <c r="L924" i="12" s="1"/>
  <c r="M924" i="12" s="1"/>
  <c r="N924" i="12" s="1"/>
  <c r="K925" i="12"/>
  <c r="L925" i="12" s="1"/>
  <c r="M925" i="12" s="1"/>
  <c r="N925" i="12" s="1"/>
  <c r="K926" i="12"/>
  <c r="L926" i="12" s="1"/>
  <c r="M926" i="12" s="1"/>
  <c r="N926" i="12" s="1"/>
  <c r="K927" i="12"/>
  <c r="L927" i="12" s="1"/>
  <c r="M927" i="12" s="1"/>
  <c r="N927" i="12" s="1"/>
  <c r="K928" i="12"/>
  <c r="K929" i="12"/>
  <c r="L929" i="12" s="1"/>
  <c r="M929" i="12" s="1"/>
  <c r="N929" i="12" s="1"/>
  <c r="K930" i="12"/>
  <c r="L930" i="12" s="1"/>
  <c r="M930" i="12" s="1"/>
  <c r="N930" i="12" s="1"/>
  <c r="K931" i="12"/>
  <c r="L931" i="12" s="1"/>
  <c r="M931" i="12" s="1"/>
  <c r="N931" i="12" s="1"/>
  <c r="Q921" i="12"/>
  <c r="F923" i="12"/>
  <c r="I923" i="12" s="1"/>
  <c r="P919" i="12"/>
  <c r="F920" i="12"/>
  <c r="I920" i="12" s="1"/>
  <c r="I919" i="12"/>
  <c r="K918" i="12"/>
  <c r="L918" i="12" s="1"/>
  <c r="M918" i="12" s="1"/>
  <c r="N918" i="12" s="1"/>
  <c r="K919" i="12"/>
  <c r="L919" i="12" s="1"/>
  <c r="M919" i="12" s="1"/>
  <c r="N919" i="12" s="1"/>
  <c r="K932" i="12"/>
  <c r="L932" i="12" s="1"/>
  <c r="M932" i="12" s="1"/>
  <c r="N932" i="12" s="1"/>
  <c r="K933" i="12"/>
  <c r="L933" i="12" s="1"/>
  <c r="M933" i="12" s="1"/>
  <c r="N933" i="12" s="1"/>
  <c r="K934" i="12"/>
  <c r="L934" i="12" s="1"/>
  <c r="M934" i="12" s="1"/>
  <c r="N934" i="12" s="1"/>
  <c r="K1017" i="12"/>
  <c r="L1017" i="12" s="1"/>
  <c r="M1017" i="12" s="1"/>
  <c r="N1017" i="12" s="1"/>
  <c r="K1018" i="12"/>
  <c r="K1019" i="12"/>
  <c r="L1019" i="12" s="1"/>
  <c r="M1019" i="12" s="1"/>
  <c r="N1019" i="12" s="1"/>
  <c r="K886" i="12"/>
  <c r="L886" i="12" s="1"/>
  <c r="M886" i="12" s="1"/>
  <c r="N886" i="12" s="1"/>
  <c r="K887" i="12"/>
  <c r="L887" i="12" s="1"/>
  <c r="M887" i="12" s="1"/>
  <c r="N887" i="12" s="1"/>
  <c r="H805" i="12"/>
  <c r="H804" i="12"/>
  <c r="K804" i="12"/>
  <c r="L804" i="12" s="1"/>
  <c r="M804" i="12" s="1"/>
  <c r="N804" i="12" s="1"/>
  <c r="K805" i="12"/>
  <c r="L805" i="12" s="1"/>
  <c r="M805" i="12" s="1"/>
  <c r="N805" i="12" s="1"/>
  <c r="K806" i="12"/>
  <c r="L806" i="12" s="1"/>
  <c r="M806" i="12" s="1"/>
  <c r="N806" i="12" s="1"/>
  <c r="K807" i="12"/>
  <c r="K808" i="12"/>
  <c r="L808" i="12" s="1"/>
  <c r="M808" i="12" s="1"/>
  <c r="N808" i="12" s="1"/>
  <c r="K809" i="12"/>
  <c r="L809" i="12" s="1"/>
  <c r="M809" i="12" s="1"/>
  <c r="N809" i="12" s="1"/>
  <c r="K810" i="12"/>
  <c r="L810" i="12" s="1"/>
  <c r="M810" i="12" s="1"/>
  <c r="N810" i="12" s="1"/>
  <c r="Q806" i="12"/>
  <c r="F806" i="12"/>
  <c r="H806" i="12" s="1"/>
  <c r="K772" i="12"/>
  <c r="L772" i="12" s="1"/>
  <c r="M772" i="12" s="1"/>
  <c r="N772" i="12" s="1"/>
  <c r="K773" i="12"/>
  <c r="L773" i="12" s="1"/>
  <c r="M773" i="12" s="1"/>
  <c r="N773" i="12" s="1"/>
  <c r="K774" i="12"/>
  <c r="K775" i="12"/>
  <c r="L775" i="12" s="1"/>
  <c r="M775" i="12" s="1"/>
  <c r="N775" i="12" s="1"/>
  <c r="K776" i="12"/>
  <c r="L776" i="12" s="1"/>
  <c r="M776" i="12" s="1"/>
  <c r="N776" i="12" s="1"/>
  <c r="K777" i="12"/>
  <c r="L777" i="12" s="1"/>
  <c r="M777" i="12" s="1"/>
  <c r="N777" i="12" s="1"/>
  <c r="I773" i="12"/>
  <c r="Q773" i="12"/>
  <c r="K841" i="12"/>
  <c r="L841" i="12" s="1"/>
  <c r="M841" i="12" s="1"/>
  <c r="N841" i="12" s="1"/>
  <c r="K842" i="12"/>
  <c r="L842" i="12" s="1"/>
  <c r="M842" i="12" s="1"/>
  <c r="N842" i="12" s="1"/>
  <c r="K843" i="12"/>
  <c r="L843" i="12" s="1"/>
  <c r="M843" i="12" s="1"/>
  <c r="N843" i="12" s="1"/>
  <c r="K844" i="12"/>
  <c r="L844" i="12" s="1"/>
  <c r="M844" i="12" s="1"/>
  <c r="N844" i="12" s="1"/>
  <c r="K845" i="12"/>
  <c r="K846" i="12"/>
  <c r="L846" i="12" s="1"/>
  <c r="M846" i="12" s="1"/>
  <c r="N846" i="12" s="1"/>
  <c r="K847" i="12"/>
  <c r="L847" i="12" s="1"/>
  <c r="M847" i="12" s="1"/>
  <c r="N847" i="12" s="1"/>
  <c r="K848" i="12"/>
  <c r="L848" i="12" s="1"/>
  <c r="M848" i="12" s="1"/>
  <c r="N848" i="12" s="1"/>
  <c r="I842" i="12"/>
  <c r="R842" i="12"/>
  <c r="F843" i="12"/>
  <c r="I843" i="12" s="1"/>
  <c r="Q842" i="12"/>
  <c r="Q841" i="12"/>
  <c r="I841" i="12"/>
  <c r="K1024" i="12"/>
  <c r="F1024" i="12"/>
  <c r="J1024" i="12" s="1"/>
  <c r="K1023" i="12"/>
  <c r="L1023" i="12" s="1"/>
  <c r="M1023" i="12" s="1"/>
  <c r="N1023" i="12" s="1"/>
  <c r="K1022" i="12"/>
  <c r="J1022" i="12"/>
  <c r="F1020" i="12"/>
  <c r="J1020" i="12" s="1"/>
  <c r="J1016" i="12"/>
  <c r="F1018" i="12" s="1"/>
  <c r="J1018" i="12" s="1"/>
  <c r="K889" i="12"/>
  <c r="K890" i="12"/>
  <c r="L890" i="12" s="1"/>
  <c r="M890" i="12" s="1"/>
  <c r="N890" i="12" s="1"/>
  <c r="H889" i="12"/>
  <c r="F889" i="12"/>
  <c r="K849" i="12"/>
  <c r="L849" i="12" s="1"/>
  <c r="M849" i="12" s="1"/>
  <c r="N849" i="12" s="1"/>
  <c r="K850" i="12"/>
  <c r="L850" i="12" s="1"/>
  <c r="M850" i="12" s="1"/>
  <c r="N850" i="12" s="1"/>
  <c r="K851" i="12"/>
  <c r="L851" i="12" s="1"/>
  <c r="M851" i="12" s="1"/>
  <c r="N851" i="12" s="1"/>
  <c r="K852" i="12"/>
  <c r="L852" i="12" s="1"/>
  <c r="M852" i="12" s="1"/>
  <c r="N852" i="12" s="1"/>
  <c r="K853" i="12"/>
  <c r="L853" i="12" s="1"/>
  <c r="M853" i="12" s="1"/>
  <c r="N853" i="12" s="1"/>
  <c r="K854" i="12"/>
  <c r="L854" i="12" s="1"/>
  <c r="M854" i="12" s="1"/>
  <c r="N854" i="12" s="1"/>
  <c r="K855" i="12"/>
  <c r="L855" i="12" s="1"/>
  <c r="M855" i="12" s="1"/>
  <c r="N855" i="12" s="1"/>
  <c r="K856" i="12"/>
  <c r="L856" i="12" s="1"/>
  <c r="M856" i="12" s="1"/>
  <c r="N856" i="12" s="1"/>
  <c r="K857" i="12"/>
  <c r="L857" i="12" s="1"/>
  <c r="M857" i="12" s="1"/>
  <c r="N857" i="12" s="1"/>
  <c r="K858" i="12"/>
  <c r="L858" i="12" s="1"/>
  <c r="M858" i="12" s="1"/>
  <c r="N858" i="12" s="1"/>
  <c r="K859" i="12"/>
  <c r="L859" i="12" s="1"/>
  <c r="M859" i="12" s="1"/>
  <c r="N859" i="12" s="1"/>
  <c r="K860" i="12"/>
  <c r="L860" i="12" s="1"/>
  <c r="M860" i="12" s="1"/>
  <c r="N860" i="12" s="1"/>
  <c r="K861" i="12"/>
  <c r="L861" i="12" s="1"/>
  <c r="M861" i="12" s="1"/>
  <c r="N861" i="12" s="1"/>
  <c r="K862" i="12"/>
  <c r="L862" i="12" s="1"/>
  <c r="M862" i="12" s="1"/>
  <c r="N862" i="12" s="1"/>
  <c r="K863" i="12"/>
  <c r="L863" i="12" s="1"/>
  <c r="M863" i="12" s="1"/>
  <c r="N863" i="12" s="1"/>
  <c r="K864" i="12"/>
  <c r="L864" i="12" s="1"/>
  <c r="M864" i="12" s="1"/>
  <c r="N864" i="12" s="1"/>
  <c r="K865" i="12"/>
  <c r="L865" i="12" s="1"/>
  <c r="M865" i="12" s="1"/>
  <c r="N865" i="12" s="1"/>
  <c r="K866" i="12"/>
  <c r="L866" i="12" s="1"/>
  <c r="M866" i="12" s="1"/>
  <c r="N866" i="12" s="1"/>
  <c r="K867" i="12"/>
  <c r="L867" i="12" s="1"/>
  <c r="M867" i="12" s="1"/>
  <c r="N867" i="12" s="1"/>
  <c r="K868" i="12"/>
  <c r="L868" i="12" s="1"/>
  <c r="M868" i="12" s="1"/>
  <c r="N868" i="12" s="1"/>
  <c r="K869" i="12"/>
  <c r="L869" i="12" s="1"/>
  <c r="M869" i="12" s="1"/>
  <c r="N869" i="12" s="1"/>
  <c r="K870" i="12"/>
  <c r="L870" i="12" s="1"/>
  <c r="M870" i="12" s="1"/>
  <c r="N870" i="12" s="1"/>
  <c r="K871" i="12"/>
  <c r="L871" i="12" s="1"/>
  <c r="M871" i="12" s="1"/>
  <c r="N871" i="12" s="1"/>
  <c r="K872" i="12"/>
  <c r="L872" i="12" s="1"/>
  <c r="M872" i="12" s="1"/>
  <c r="N872" i="12" s="1"/>
  <c r="K873" i="12"/>
  <c r="K874" i="12"/>
  <c r="L874" i="12" s="1"/>
  <c r="M874" i="12" s="1"/>
  <c r="N874" i="12" s="1"/>
  <c r="K875" i="12"/>
  <c r="L875" i="12" s="1"/>
  <c r="M875" i="12" s="1"/>
  <c r="N875" i="12" s="1"/>
  <c r="H851" i="12"/>
  <c r="I851" i="12" s="1"/>
  <c r="H852" i="12"/>
  <c r="I852" i="12" s="1"/>
  <c r="H853" i="12"/>
  <c r="I853" i="12" s="1"/>
  <c r="H854" i="12"/>
  <c r="I854" i="12" s="1"/>
  <c r="H855" i="12"/>
  <c r="I855" i="12" s="1"/>
  <c r="H856" i="12"/>
  <c r="I856" i="12" s="1"/>
  <c r="H857" i="12"/>
  <c r="I857" i="12" s="1"/>
  <c r="H858" i="12"/>
  <c r="I858" i="12" s="1"/>
  <c r="H859" i="12"/>
  <c r="I859" i="12" s="1"/>
  <c r="H860" i="12"/>
  <c r="I860" i="12" s="1"/>
  <c r="H861" i="12"/>
  <c r="I861" i="12" s="1"/>
  <c r="H862" i="12"/>
  <c r="I862" i="12" s="1"/>
  <c r="H863" i="12"/>
  <c r="I863" i="12" s="1"/>
  <c r="H864" i="12"/>
  <c r="I864" i="12" s="1"/>
  <c r="H865" i="12"/>
  <c r="I865" i="12" s="1"/>
  <c r="H866" i="12"/>
  <c r="I866" i="12" s="1"/>
  <c r="H867" i="12"/>
  <c r="I867" i="12" s="1"/>
  <c r="H868" i="12"/>
  <c r="I868" i="12" s="1"/>
  <c r="H869" i="12"/>
  <c r="I869" i="12" s="1"/>
  <c r="H870" i="12"/>
  <c r="I870" i="12" s="1"/>
  <c r="H871" i="12"/>
  <c r="I871" i="12" s="1"/>
  <c r="H872" i="12"/>
  <c r="I872" i="12" s="1"/>
  <c r="H850" i="12"/>
  <c r="I850" i="12" s="1"/>
  <c r="K812" i="12"/>
  <c r="K813" i="12"/>
  <c r="L813" i="12" s="1"/>
  <c r="M813" i="12" s="1"/>
  <c r="N813" i="12" s="1"/>
  <c r="K814" i="12"/>
  <c r="L814" i="12" s="1"/>
  <c r="M814" i="12" s="1"/>
  <c r="N814" i="12" s="1"/>
  <c r="K815" i="12"/>
  <c r="L815" i="12" s="1"/>
  <c r="M815" i="12" s="1"/>
  <c r="N815" i="12" s="1"/>
  <c r="F812" i="12"/>
  <c r="K778" i="12"/>
  <c r="L778" i="12" s="1"/>
  <c r="M778" i="12" s="1"/>
  <c r="N778" i="12" s="1"/>
  <c r="K779" i="12"/>
  <c r="L779" i="12" s="1"/>
  <c r="M779" i="12" s="1"/>
  <c r="N779" i="12" s="1"/>
  <c r="K780" i="12"/>
  <c r="L780" i="12" s="1"/>
  <c r="M780" i="12" s="1"/>
  <c r="N780" i="12" s="1"/>
  <c r="K781" i="12"/>
  <c r="L781" i="12" s="1"/>
  <c r="M781" i="12" s="1"/>
  <c r="N781" i="12" s="1"/>
  <c r="K782" i="12"/>
  <c r="L782" i="12" s="1"/>
  <c r="M782" i="12" s="1"/>
  <c r="N782" i="12" s="1"/>
  <c r="K783" i="12"/>
  <c r="L783" i="12" s="1"/>
  <c r="M783" i="12" s="1"/>
  <c r="N783" i="12" s="1"/>
  <c r="K784" i="12"/>
  <c r="L784" i="12" s="1"/>
  <c r="M784" i="12" s="1"/>
  <c r="N784" i="12" s="1"/>
  <c r="K785" i="12"/>
  <c r="L785" i="12" s="1"/>
  <c r="M785" i="12" s="1"/>
  <c r="N785" i="12" s="1"/>
  <c r="K786" i="12"/>
  <c r="L786" i="12" s="1"/>
  <c r="M786" i="12" s="1"/>
  <c r="N786" i="12" s="1"/>
  <c r="K787" i="12"/>
  <c r="L787" i="12" s="1"/>
  <c r="M787" i="12" s="1"/>
  <c r="N787" i="12" s="1"/>
  <c r="K788" i="12"/>
  <c r="L788" i="12" s="1"/>
  <c r="M788" i="12" s="1"/>
  <c r="N788" i="12" s="1"/>
  <c r="K789" i="12"/>
  <c r="L789" i="12" s="1"/>
  <c r="M789" i="12" s="1"/>
  <c r="N789" i="12" s="1"/>
  <c r="K790" i="12"/>
  <c r="L790" i="12" s="1"/>
  <c r="M790" i="12" s="1"/>
  <c r="N790" i="12" s="1"/>
  <c r="K791" i="12"/>
  <c r="L791" i="12" s="1"/>
  <c r="M791" i="12" s="1"/>
  <c r="N791" i="12" s="1"/>
  <c r="K792" i="12"/>
  <c r="L792" i="12" s="1"/>
  <c r="M792" i="12" s="1"/>
  <c r="N792" i="12" s="1"/>
  <c r="K793" i="12"/>
  <c r="L793" i="12" s="1"/>
  <c r="M793" i="12" s="1"/>
  <c r="N793" i="12" s="1"/>
  <c r="K794" i="12"/>
  <c r="L794" i="12" s="1"/>
  <c r="M794" i="12" s="1"/>
  <c r="N794" i="12" s="1"/>
  <c r="K795" i="12"/>
  <c r="L795" i="12" s="1"/>
  <c r="M795" i="12" s="1"/>
  <c r="N795" i="12" s="1"/>
  <c r="K796" i="12"/>
  <c r="K797" i="12"/>
  <c r="L797" i="12" s="1"/>
  <c r="M797" i="12" s="1"/>
  <c r="N797" i="12" s="1"/>
  <c r="H781" i="12"/>
  <c r="H782" i="12"/>
  <c r="H783" i="12"/>
  <c r="H784" i="12"/>
  <c r="H785" i="12"/>
  <c r="H786" i="12"/>
  <c r="H787" i="12"/>
  <c r="H788" i="12"/>
  <c r="H789" i="12"/>
  <c r="H790" i="12"/>
  <c r="H791" i="12"/>
  <c r="H792" i="12"/>
  <c r="H793" i="12"/>
  <c r="H794" i="12"/>
  <c r="H795" i="12"/>
  <c r="H780" i="12"/>
  <c r="F781" i="12"/>
  <c r="I781" i="12" s="1"/>
  <c r="F782" i="12"/>
  <c r="I782" i="12" s="1"/>
  <c r="F783" i="12"/>
  <c r="I783" i="12" s="1"/>
  <c r="F784" i="12"/>
  <c r="I784" i="12" s="1"/>
  <c r="F785" i="12"/>
  <c r="I785" i="12" s="1"/>
  <c r="F786" i="12"/>
  <c r="I786" i="12" s="1"/>
  <c r="F787" i="12"/>
  <c r="I787" i="12" s="1"/>
  <c r="F788" i="12"/>
  <c r="I788" i="12" s="1"/>
  <c r="F789" i="12"/>
  <c r="I789" i="12" s="1"/>
  <c r="F790" i="12"/>
  <c r="I790" i="12" s="1"/>
  <c r="F791" i="12"/>
  <c r="I791" i="12" s="1"/>
  <c r="F792" i="12"/>
  <c r="I792" i="12" s="1"/>
  <c r="F793" i="12"/>
  <c r="I793" i="12" s="1"/>
  <c r="F794" i="12"/>
  <c r="I794" i="12" s="1"/>
  <c r="F795" i="12"/>
  <c r="I795" i="12" s="1"/>
  <c r="H994" i="12"/>
  <c r="I994" i="12" s="1"/>
  <c r="H995" i="12"/>
  <c r="I995" i="12" s="1"/>
  <c r="H996" i="12"/>
  <c r="I996" i="12" s="1"/>
  <c r="H997" i="12"/>
  <c r="I997" i="12" s="1"/>
  <c r="H998" i="12"/>
  <c r="I998" i="12" s="1"/>
  <c r="H999" i="12"/>
  <c r="I999" i="12" s="1"/>
  <c r="H1000" i="12"/>
  <c r="I1000" i="12" s="1"/>
  <c r="H1001" i="12"/>
  <c r="I1001" i="12" s="1"/>
  <c r="H1002" i="12"/>
  <c r="I1002" i="12" s="1"/>
  <c r="H1003" i="12"/>
  <c r="I1003" i="12" s="1"/>
  <c r="H1004" i="12"/>
  <c r="I1004" i="12" s="1"/>
  <c r="H1005" i="12"/>
  <c r="I1005" i="12" s="1"/>
  <c r="H1006" i="12"/>
  <c r="I1006" i="12" s="1"/>
  <c r="H1007" i="12"/>
  <c r="I1007" i="12" s="1"/>
  <c r="H1008" i="12"/>
  <c r="I1008" i="12" s="1"/>
  <c r="H1009" i="12"/>
  <c r="I1009" i="12" s="1"/>
  <c r="H1010" i="12"/>
  <c r="I1010" i="12" s="1"/>
  <c r="H1011" i="12"/>
  <c r="I1011" i="12" s="1"/>
  <c r="H1012" i="12"/>
  <c r="I1012" i="12" s="1"/>
  <c r="H1013" i="12"/>
  <c r="I1013" i="12" s="1"/>
  <c r="H993" i="12"/>
  <c r="I993" i="12" s="1"/>
  <c r="I983" i="12"/>
  <c r="I985" i="12"/>
  <c r="I984" i="12"/>
  <c r="I982" i="12"/>
  <c r="I981" i="12"/>
  <c r="I980" i="12"/>
  <c r="I979" i="12"/>
  <c r="I978" i="12"/>
  <c r="I977" i="12"/>
  <c r="I976" i="12"/>
  <c r="I975" i="12"/>
  <c r="I974" i="12"/>
  <c r="I973" i="12"/>
  <c r="I972" i="12"/>
  <c r="I971" i="12"/>
  <c r="I970" i="12"/>
  <c r="I969" i="12"/>
  <c r="I968" i="12"/>
  <c r="I967" i="12"/>
  <c r="I966" i="12"/>
  <c r="I965" i="12"/>
  <c r="H937" i="12"/>
  <c r="I937" i="12" s="1"/>
  <c r="H938" i="12"/>
  <c r="I938" i="12" s="1"/>
  <c r="H939" i="12"/>
  <c r="I939" i="12" s="1"/>
  <c r="H940" i="12"/>
  <c r="I940" i="12" s="1"/>
  <c r="H941" i="12"/>
  <c r="I941" i="12" s="1"/>
  <c r="H942" i="12"/>
  <c r="I942" i="12" s="1"/>
  <c r="H943" i="12"/>
  <c r="I943" i="12" s="1"/>
  <c r="H944" i="12"/>
  <c r="I944" i="12" s="1"/>
  <c r="H945" i="12"/>
  <c r="I945" i="12" s="1"/>
  <c r="H946" i="12"/>
  <c r="I946" i="12" s="1"/>
  <c r="H947" i="12"/>
  <c r="I947" i="12" s="1"/>
  <c r="H948" i="12"/>
  <c r="I948" i="12" s="1"/>
  <c r="H949" i="12"/>
  <c r="I949" i="12" s="1"/>
  <c r="H950" i="12"/>
  <c r="I950" i="12" s="1"/>
  <c r="H951" i="12"/>
  <c r="I951" i="12" s="1"/>
  <c r="H952" i="12"/>
  <c r="I952" i="12" s="1"/>
  <c r="H953" i="12"/>
  <c r="I953" i="12" s="1"/>
  <c r="H954" i="12"/>
  <c r="I954" i="12" s="1"/>
  <c r="H955" i="12"/>
  <c r="I955" i="12" s="1"/>
  <c r="H956" i="12"/>
  <c r="I956" i="12" s="1"/>
  <c r="H957" i="12"/>
  <c r="I957" i="12" s="1"/>
  <c r="H936" i="12"/>
  <c r="I936" i="12" s="1"/>
  <c r="I915" i="12"/>
  <c r="I914" i="12"/>
  <c r="I913" i="12"/>
  <c r="I912" i="12"/>
  <c r="I911" i="12"/>
  <c r="I910" i="12"/>
  <c r="I909" i="12"/>
  <c r="I908" i="12"/>
  <c r="I907" i="12"/>
  <c r="I906" i="12"/>
  <c r="I905" i="12"/>
  <c r="I904" i="12"/>
  <c r="I903" i="12"/>
  <c r="I902" i="12"/>
  <c r="I901" i="12"/>
  <c r="I900" i="12"/>
  <c r="I899" i="12"/>
  <c r="I898" i="12"/>
  <c r="I897" i="12"/>
  <c r="I896" i="12"/>
  <c r="I895" i="12"/>
  <c r="I894" i="12"/>
  <c r="J881" i="12"/>
  <c r="I839" i="12"/>
  <c r="I838" i="12"/>
  <c r="I835" i="12"/>
  <c r="I834" i="12"/>
  <c r="I833" i="12"/>
  <c r="I832" i="12"/>
  <c r="I831" i="12"/>
  <c r="I830" i="12"/>
  <c r="I829" i="12"/>
  <c r="I827" i="12"/>
  <c r="I826" i="12"/>
  <c r="I825" i="12"/>
  <c r="I824" i="12"/>
  <c r="I823" i="12"/>
  <c r="I822" i="12"/>
  <c r="I821" i="12"/>
  <c r="I820" i="12"/>
  <c r="I819" i="12"/>
  <c r="I818" i="12"/>
  <c r="I817" i="12"/>
  <c r="I677" i="12"/>
  <c r="I678" i="12"/>
  <c r="I679" i="12"/>
  <c r="I680" i="12"/>
  <c r="I681" i="12"/>
  <c r="I682" i="12"/>
  <c r="E802" i="12"/>
  <c r="E883" i="12" s="1"/>
  <c r="J883" i="12" s="1"/>
  <c r="H885" i="12" s="1"/>
  <c r="H802" i="12"/>
  <c r="S805" i="12" s="1"/>
  <c r="I756" i="12"/>
  <c r="I757" i="12"/>
  <c r="I758" i="12"/>
  <c r="I759" i="12"/>
  <c r="I760" i="12"/>
  <c r="I761" i="12"/>
  <c r="I762" i="12"/>
  <c r="I763" i="12"/>
  <c r="I764" i="12"/>
  <c r="I765" i="12"/>
  <c r="I766" i="12"/>
  <c r="I767" i="12"/>
  <c r="I768" i="12"/>
  <c r="I769" i="12"/>
  <c r="I770" i="12"/>
  <c r="G755" i="12"/>
  <c r="F755" i="12"/>
  <c r="I665" i="12"/>
  <c r="I666" i="12"/>
  <c r="I667" i="12"/>
  <c r="I668" i="12"/>
  <c r="I669" i="12"/>
  <c r="I670" i="12"/>
  <c r="I671" i="12"/>
  <c r="I672" i="12"/>
  <c r="I673" i="12"/>
  <c r="I674" i="12"/>
  <c r="I675" i="12"/>
  <c r="I676" i="12"/>
  <c r="I683" i="12"/>
  <c r="I684" i="12"/>
  <c r="I685" i="12"/>
  <c r="I686" i="12"/>
  <c r="I687" i="12"/>
  <c r="I688" i="12"/>
  <c r="I689" i="12"/>
  <c r="I690" i="12"/>
  <c r="I664" i="12"/>
  <c r="I647" i="12"/>
  <c r="I648" i="12"/>
  <c r="I649" i="12"/>
  <c r="I650" i="12"/>
  <c r="I651" i="12"/>
  <c r="I652" i="12"/>
  <c r="I653" i="12"/>
  <c r="I654" i="12"/>
  <c r="I655" i="12"/>
  <c r="I656" i="12"/>
  <c r="I657" i="12"/>
  <c r="I658" i="12"/>
  <c r="I659" i="12"/>
  <c r="I660" i="12"/>
  <c r="I661" i="12"/>
  <c r="K611" i="12"/>
  <c r="L611" i="12" s="1"/>
  <c r="M611" i="12" s="1"/>
  <c r="N611" i="12" s="1"/>
  <c r="K612" i="12"/>
  <c r="L612" i="12" s="1"/>
  <c r="M612" i="12" s="1"/>
  <c r="N612" i="12" s="1"/>
  <c r="K613" i="12"/>
  <c r="L613" i="12" s="1"/>
  <c r="M613" i="12" s="1"/>
  <c r="N613" i="12" s="1"/>
  <c r="K614" i="12"/>
  <c r="L614" i="12" s="1"/>
  <c r="M614" i="12" s="1"/>
  <c r="N614" i="12" s="1"/>
  <c r="K615" i="12"/>
  <c r="L615" i="12" s="1"/>
  <c r="M615" i="12" s="1"/>
  <c r="N615" i="12" s="1"/>
  <c r="K616" i="12"/>
  <c r="L616" i="12" s="1"/>
  <c r="M616" i="12" s="1"/>
  <c r="N616" i="12" s="1"/>
  <c r="K617" i="12"/>
  <c r="L617" i="12" s="1"/>
  <c r="M617" i="12" s="1"/>
  <c r="N617" i="12" s="1"/>
  <c r="K618" i="12"/>
  <c r="L618" i="12" s="1"/>
  <c r="M618" i="12" s="1"/>
  <c r="N618" i="12" s="1"/>
  <c r="K619" i="12"/>
  <c r="L619" i="12" s="1"/>
  <c r="M619" i="12" s="1"/>
  <c r="N619" i="12" s="1"/>
  <c r="K620" i="12"/>
  <c r="L620" i="12" s="1"/>
  <c r="M620" i="12" s="1"/>
  <c r="N620" i="12" s="1"/>
  <c r="K621" i="12"/>
  <c r="L621" i="12" s="1"/>
  <c r="M621" i="12" s="1"/>
  <c r="N621" i="12" s="1"/>
  <c r="K622" i="12"/>
  <c r="L622" i="12" s="1"/>
  <c r="M622" i="12" s="1"/>
  <c r="N622" i="12" s="1"/>
  <c r="K623" i="12"/>
  <c r="L623" i="12" s="1"/>
  <c r="M623" i="12" s="1"/>
  <c r="N623" i="12" s="1"/>
  <c r="K624" i="12"/>
  <c r="L624" i="12" s="1"/>
  <c r="M624" i="12" s="1"/>
  <c r="N624" i="12" s="1"/>
  <c r="K625" i="12"/>
  <c r="L625" i="12" s="1"/>
  <c r="M625" i="12" s="1"/>
  <c r="N625" i="12" s="1"/>
  <c r="K626" i="12"/>
  <c r="L626" i="12" s="1"/>
  <c r="M626" i="12" s="1"/>
  <c r="N626" i="12" s="1"/>
  <c r="K627" i="12"/>
  <c r="L627" i="12" s="1"/>
  <c r="M627" i="12" s="1"/>
  <c r="N627" i="12" s="1"/>
  <c r="K628" i="12"/>
  <c r="L628" i="12" s="1"/>
  <c r="M628" i="12" s="1"/>
  <c r="N628" i="12" s="1"/>
  <c r="K629" i="12"/>
  <c r="K630" i="12"/>
  <c r="L630" i="12" s="1"/>
  <c r="M630" i="12" s="1"/>
  <c r="N630" i="12" s="1"/>
  <c r="K631" i="12"/>
  <c r="L631" i="12" s="1"/>
  <c r="M631" i="12" s="1"/>
  <c r="N631" i="12" s="1"/>
  <c r="G628" i="12"/>
  <c r="F628" i="12"/>
  <c r="G627" i="12"/>
  <c r="F627" i="12"/>
  <c r="G626" i="12"/>
  <c r="F626" i="12"/>
  <c r="G625" i="12"/>
  <c r="F625" i="12"/>
  <c r="G624" i="12"/>
  <c r="F624" i="12"/>
  <c r="G623" i="12"/>
  <c r="F623" i="12"/>
  <c r="G622" i="12"/>
  <c r="F622" i="12"/>
  <c r="G621" i="12"/>
  <c r="F621" i="12"/>
  <c r="G620" i="12"/>
  <c r="F620" i="12"/>
  <c r="G619" i="12"/>
  <c r="F619" i="12"/>
  <c r="G618" i="12"/>
  <c r="F618" i="12"/>
  <c r="G617" i="12"/>
  <c r="F617" i="12"/>
  <c r="G616" i="12"/>
  <c r="F616" i="12"/>
  <c r="G615" i="12"/>
  <c r="F615" i="12"/>
  <c r="G614" i="12"/>
  <c r="F614" i="12"/>
  <c r="G613" i="12"/>
  <c r="F613" i="12"/>
  <c r="K495" i="12"/>
  <c r="L495" i="12" s="1"/>
  <c r="M495" i="12" s="1"/>
  <c r="N495" i="12" s="1"/>
  <c r="K496" i="12"/>
  <c r="L496" i="12" s="1"/>
  <c r="M496" i="12" s="1"/>
  <c r="N496" i="12" s="1"/>
  <c r="K497" i="12"/>
  <c r="L497" i="12" s="1"/>
  <c r="M497" i="12" s="1"/>
  <c r="N497" i="12" s="1"/>
  <c r="K498" i="12"/>
  <c r="K499" i="12"/>
  <c r="L499" i="12" s="1"/>
  <c r="M499" i="12" s="1"/>
  <c r="N499" i="12" s="1"/>
  <c r="K593" i="12"/>
  <c r="L593" i="12" s="1"/>
  <c r="M593" i="12" s="1"/>
  <c r="N593" i="12" s="1"/>
  <c r="K594" i="12"/>
  <c r="L594" i="12" s="1"/>
  <c r="M594" i="12" s="1"/>
  <c r="N594" i="12" s="1"/>
  <c r="K595" i="12"/>
  <c r="L595" i="12" s="1"/>
  <c r="M595" i="12" s="1"/>
  <c r="N595" i="12" s="1"/>
  <c r="K596" i="12"/>
  <c r="L596" i="12" s="1"/>
  <c r="M596" i="12" s="1"/>
  <c r="N596" i="12" s="1"/>
  <c r="K597" i="12"/>
  <c r="L597" i="12" s="1"/>
  <c r="M597" i="12" s="1"/>
  <c r="N597" i="12" s="1"/>
  <c r="K598" i="12"/>
  <c r="L598" i="12" s="1"/>
  <c r="M598" i="12" s="1"/>
  <c r="N598" i="12" s="1"/>
  <c r="K599" i="12"/>
  <c r="L599" i="12" s="1"/>
  <c r="M599" i="12" s="1"/>
  <c r="N599" i="12" s="1"/>
  <c r="K600" i="12"/>
  <c r="L600" i="12" s="1"/>
  <c r="M600" i="12" s="1"/>
  <c r="N600" i="12" s="1"/>
  <c r="K601" i="12"/>
  <c r="L601" i="12" s="1"/>
  <c r="M601" i="12" s="1"/>
  <c r="N601" i="12" s="1"/>
  <c r="K602" i="12"/>
  <c r="L602" i="12" s="1"/>
  <c r="M602" i="12" s="1"/>
  <c r="N602" i="12" s="1"/>
  <c r="K603" i="12"/>
  <c r="L603" i="12" s="1"/>
  <c r="M603" i="12" s="1"/>
  <c r="N603" i="12" s="1"/>
  <c r="K604" i="12"/>
  <c r="L604" i="12" s="1"/>
  <c r="M604" i="12" s="1"/>
  <c r="N604" i="12" s="1"/>
  <c r="K605" i="12"/>
  <c r="L605" i="12" s="1"/>
  <c r="M605" i="12" s="1"/>
  <c r="N605" i="12" s="1"/>
  <c r="K606" i="12"/>
  <c r="L606" i="12" s="1"/>
  <c r="M606" i="12" s="1"/>
  <c r="N606" i="12" s="1"/>
  <c r="F606" i="12"/>
  <c r="I606" i="12" s="1"/>
  <c r="F604" i="12"/>
  <c r="I604" i="12" s="1"/>
  <c r="F600" i="12"/>
  <c r="I600" i="12" s="1"/>
  <c r="F596" i="12"/>
  <c r="I596" i="12" s="1"/>
  <c r="G646" i="12"/>
  <c r="F646" i="12"/>
  <c r="P453" i="12"/>
  <c r="B17" i="29"/>
  <c r="A4" i="37"/>
  <c r="A156" i="21"/>
  <c r="A159" i="21" s="1"/>
  <c r="A162" i="21" s="1"/>
  <c r="A164" i="21" s="1"/>
  <c r="A167" i="21" s="1"/>
  <c r="A171" i="21" s="1"/>
  <c r="A187" i="21" s="1"/>
  <c r="A190" i="21" s="1"/>
  <c r="A193" i="21" s="1"/>
  <c r="A195" i="21" s="1"/>
  <c r="A234" i="21" s="1"/>
  <c r="K403" i="12"/>
  <c r="K404" i="12"/>
  <c r="L404" i="12" s="1"/>
  <c r="M404" i="12" s="1"/>
  <c r="N404" i="12" s="1"/>
  <c r="K405" i="12"/>
  <c r="L405" i="12" s="1"/>
  <c r="M405" i="12" s="1"/>
  <c r="N405" i="12" s="1"/>
  <c r="C194" i="21" s="1"/>
  <c r="H194" i="21" s="1"/>
  <c r="K406" i="12"/>
  <c r="L406" i="12" s="1"/>
  <c r="M406" i="12" s="1"/>
  <c r="N406" i="12" s="1"/>
  <c r="C196" i="21" s="1"/>
  <c r="H196" i="21" s="1"/>
  <c r="K407" i="12"/>
  <c r="L407" i="12" s="1"/>
  <c r="M407" i="12" s="1"/>
  <c r="N407" i="12" s="1"/>
  <c r="K408" i="12"/>
  <c r="L408" i="12" s="1"/>
  <c r="M408" i="12" s="1"/>
  <c r="N408" i="12" s="1"/>
  <c r="C188" i="21" s="1"/>
  <c r="H188" i="21" s="1"/>
  <c r="A88" i="21"/>
  <c r="A91" i="21" s="1"/>
  <c r="A94" i="21" s="1"/>
  <c r="A96" i="21" s="1"/>
  <c r="A99" i="21" s="1"/>
  <c r="A102" i="21" s="1"/>
  <c r="A106" i="21" s="1"/>
  <c r="A141" i="21" s="1"/>
  <c r="F780" i="12" l="1"/>
  <c r="I806" i="12"/>
  <c r="S806" i="12" s="1"/>
  <c r="I885" i="12" s="1"/>
  <c r="J885" i="12" s="1"/>
  <c r="L885" i="12" s="1"/>
  <c r="M885" i="12" s="1"/>
  <c r="N885" i="12" s="1"/>
  <c r="G263" i="30" s="1"/>
  <c r="I844" i="12"/>
  <c r="I845" i="12" s="1"/>
  <c r="I613" i="12"/>
  <c r="I621" i="12"/>
  <c r="I627" i="12"/>
  <c r="H812" i="12"/>
  <c r="I807" i="12"/>
  <c r="J807" i="12" s="1"/>
  <c r="L807" i="12" s="1"/>
  <c r="M807" i="12" s="1"/>
  <c r="N807" i="12" s="1"/>
  <c r="I780" i="12"/>
  <c r="Q804" i="12"/>
  <c r="F921" i="12"/>
  <c r="E812" i="12"/>
  <c r="E889" i="12"/>
  <c r="J889" i="12" s="1"/>
  <c r="L889" i="12" s="1"/>
  <c r="M889" i="12" s="1"/>
  <c r="N889" i="12" s="1"/>
  <c r="L1022" i="12"/>
  <c r="M1022" i="12" s="1"/>
  <c r="N1022" i="12" s="1"/>
  <c r="L1018" i="12"/>
  <c r="M1018" i="12" s="1"/>
  <c r="N1018" i="12" s="1"/>
  <c r="J840" i="12"/>
  <c r="J986" i="12"/>
  <c r="I988" i="12" s="1"/>
  <c r="J988" i="12" s="1"/>
  <c r="L988" i="12" s="1"/>
  <c r="M988" i="12" s="1"/>
  <c r="N988" i="12" s="1"/>
  <c r="J1014" i="12"/>
  <c r="J873" i="12"/>
  <c r="L873" i="12" s="1"/>
  <c r="M873" i="12" s="1"/>
  <c r="N873" i="12" s="1"/>
  <c r="L1024" i="12"/>
  <c r="M1024" i="12" s="1"/>
  <c r="N1024" i="12" s="1"/>
  <c r="J796" i="12"/>
  <c r="L796" i="12" s="1"/>
  <c r="M796" i="12" s="1"/>
  <c r="N796" i="12" s="1"/>
  <c r="J916" i="12"/>
  <c r="H928" i="12" s="1"/>
  <c r="J928" i="12" s="1"/>
  <c r="L928" i="12" s="1"/>
  <c r="M928" i="12" s="1"/>
  <c r="N928" i="12" s="1"/>
  <c r="J958" i="12"/>
  <c r="I615" i="12"/>
  <c r="J802" i="12"/>
  <c r="I628" i="12"/>
  <c r="F597" i="12"/>
  <c r="I597" i="12" s="1"/>
  <c r="F601" i="12"/>
  <c r="I601" i="12" s="1"/>
  <c r="F605" i="12"/>
  <c r="I605" i="12" s="1"/>
  <c r="I616" i="12"/>
  <c r="I624" i="12"/>
  <c r="I646" i="12"/>
  <c r="J691" i="12" s="1"/>
  <c r="F595" i="12"/>
  <c r="I595" i="12" s="1"/>
  <c r="F603" i="12"/>
  <c r="I603" i="12" s="1"/>
  <c r="F609" i="12"/>
  <c r="I609" i="12" s="1"/>
  <c r="I614" i="12"/>
  <c r="I620" i="12"/>
  <c r="I622" i="12"/>
  <c r="F594" i="12"/>
  <c r="I594" i="12" s="1"/>
  <c r="F598" i="12"/>
  <c r="I598" i="12" s="1"/>
  <c r="F602" i="12"/>
  <c r="I602" i="12" s="1"/>
  <c r="I619" i="12"/>
  <c r="F608" i="12"/>
  <c r="I608" i="12" s="1"/>
  <c r="I623" i="12"/>
  <c r="I755" i="12"/>
  <c r="J771" i="12" s="1"/>
  <c r="J774" i="12" s="1"/>
  <c r="L774" i="12" s="1"/>
  <c r="M774" i="12" s="1"/>
  <c r="N774" i="12" s="1"/>
  <c r="F599" i="12"/>
  <c r="I599" i="12" s="1"/>
  <c r="I617" i="12"/>
  <c r="I626" i="12"/>
  <c r="F607" i="12"/>
  <c r="I607" i="12" s="1"/>
  <c r="I618" i="12"/>
  <c r="I625" i="12"/>
  <c r="L403" i="12"/>
  <c r="M403" i="12" s="1"/>
  <c r="N403" i="12" s="1"/>
  <c r="C172" i="21" s="1"/>
  <c r="H172" i="21" s="1"/>
  <c r="J845" i="12" l="1"/>
  <c r="L845" i="12" s="1"/>
  <c r="M845" i="12" s="1"/>
  <c r="N845" i="12" s="1"/>
  <c r="S807" i="12"/>
  <c r="J812" i="12"/>
  <c r="L812" i="12" s="1"/>
  <c r="M812" i="12" s="1"/>
  <c r="N812" i="12" s="1"/>
  <c r="F922" i="12"/>
  <c r="I922" i="12" s="1"/>
  <c r="I921" i="12"/>
  <c r="J610" i="12"/>
  <c r="J629" i="12"/>
  <c r="L629" i="12" s="1"/>
  <c r="M629" i="12" s="1"/>
  <c r="N629" i="12" s="1"/>
  <c r="L498" i="12"/>
  <c r="M498" i="12" s="1"/>
  <c r="N498" i="12" s="1"/>
  <c r="I925" i="12" l="1"/>
  <c r="I926" i="12" s="1"/>
  <c r="H7" i="42"/>
  <c r="H9" i="42" s="1"/>
  <c r="K196" i="12"/>
  <c r="L196" i="12" s="1"/>
  <c r="M196" i="12" s="1"/>
  <c r="N196" i="12" s="1"/>
  <c r="K197" i="12"/>
  <c r="L197" i="12" s="1"/>
  <c r="M197" i="12" s="1"/>
  <c r="N197" i="12" s="1"/>
  <c r="K198" i="12"/>
  <c r="K192" i="12"/>
  <c r="K193" i="12"/>
  <c r="L193" i="12" s="1"/>
  <c r="M193" i="12" s="1"/>
  <c r="N193" i="12" s="1"/>
  <c r="K194" i="12"/>
  <c r="L194" i="12" s="1"/>
  <c r="M194" i="12" s="1"/>
  <c r="N194" i="12" s="1"/>
  <c r="K195" i="12"/>
  <c r="L195" i="12" s="1"/>
  <c r="M195" i="12" s="1"/>
  <c r="N195" i="12" s="1"/>
  <c r="K171" i="12"/>
  <c r="L171" i="12" s="1"/>
  <c r="M171" i="12" s="1"/>
  <c r="N171" i="12" s="1"/>
  <c r="K172" i="12"/>
  <c r="L172" i="12" s="1"/>
  <c r="M172" i="12" s="1"/>
  <c r="N172" i="12" s="1"/>
  <c r="K173" i="12"/>
  <c r="L173" i="12" s="1"/>
  <c r="M173" i="12" s="1"/>
  <c r="N173" i="12" s="1"/>
  <c r="K174" i="12"/>
  <c r="L174" i="12" s="1"/>
  <c r="M174" i="12" s="1"/>
  <c r="N174" i="12" s="1"/>
  <c r="K175" i="12"/>
  <c r="L175" i="12" s="1"/>
  <c r="M175" i="12" s="1"/>
  <c r="N175" i="12" s="1"/>
  <c r="K176" i="12"/>
  <c r="L176" i="12" s="1"/>
  <c r="M176" i="12" s="1"/>
  <c r="N176" i="12" s="1"/>
  <c r="K177" i="12"/>
  <c r="K178" i="12"/>
  <c r="L178" i="12" s="1"/>
  <c r="M178" i="12" s="1"/>
  <c r="N178" i="12" s="1"/>
  <c r="C12" i="19" s="1"/>
  <c r="K168" i="12"/>
  <c r="L168" i="12" s="1"/>
  <c r="M168" i="12" s="1"/>
  <c r="N168" i="12" s="1"/>
  <c r="K169" i="12"/>
  <c r="L169" i="12" s="1"/>
  <c r="M169" i="12" s="1"/>
  <c r="N169" i="12" s="1"/>
  <c r="K170" i="12"/>
  <c r="K139" i="12"/>
  <c r="L139" i="12" s="1"/>
  <c r="M139" i="12" s="1"/>
  <c r="N139" i="12" s="1"/>
  <c r="C34" i="31" s="1"/>
  <c r="H34" i="31" s="1"/>
  <c r="K140" i="12"/>
  <c r="L140" i="12" s="1"/>
  <c r="M140" i="12" s="1"/>
  <c r="N140" i="12" s="1"/>
  <c r="K153" i="12"/>
  <c r="K154" i="12"/>
  <c r="L154" i="12" s="1"/>
  <c r="M154" i="12" s="1"/>
  <c r="N154" i="12" s="1"/>
  <c r="K117" i="12"/>
  <c r="L117" i="12" s="1"/>
  <c r="M117" i="12" s="1"/>
  <c r="N117" i="12" s="1"/>
  <c r="K131" i="12"/>
  <c r="L131" i="12" s="1"/>
  <c r="M131" i="12" s="1"/>
  <c r="N131" i="12" s="1"/>
  <c r="K132" i="12"/>
  <c r="K133" i="12"/>
  <c r="L133" i="12" s="1"/>
  <c r="M133" i="12" s="1"/>
  <c r="N133" i="12" s="1"/>
  <c r="K134" i="12"/>
  <c r="L134" i="12" s="1"/>
  <c r="M134" i="12" s="1"/>
  <c r="N134" i="12" s="1"/>
  <c r="K138" i="12"/>
  <c r="L138" i="12" s="1"/>
  <c r="M138" i="12" s="1"/>
  <c r="N138" i="12" s="1"/>
  <c r="K155" i="12"/>
  <c r="L155" i="12" s="1"/>
  <c r="M155" i="12" s="1"/>
  <c r="N155" i="12" s="1"/>
  <c r="K250" i="12"/>
  <c r="L250" i="12" s="1"/>
  <c r="M250" i="12" s="1"/>
  <c r="N250" i="12" s="1"/>
  <c r="K251" i="12"/>
  <c r="L251" i="12" s="1"/>
  <c r="M251" i="12" s="1"/>
  <c r="N251" i="12" s="1"/>
  <c r="K252" i="12"/>
  <c r="L252" i="12" s="1"/>
  <c r="M252" i="12" s="1"/>
  <c r="N252" i="12" s="1"/>
  <c r="K253" i="12"/>
  <c r="L253" i="12" s="1"/>
  <c r="M253" i="12" s="1"/>
  <c r="N253" i="12" s="1"/>
  <c r="K254" i="12"/>
  <c r="L254" i="12" s="1"/>
  <c r="M254" i="12" s="1"/>
  <c r="N254" i="12" s="1"/>
  <c r="K255" i="12"/>
  <c r="L255" i="12" s="1"/>
  <c r="M255" i="12" s="1"/>
  <c r="N255" i="12" s="1"/>
  <c r="K256" i="12"/>
  <c r="L256" i="12" s="1"/>
  <c r="M256" i="12" s="1"/>
  <c r="N256" i="12" s="1"/>
  <c r="K257" i="12"/>
  <c r="L257" i="12" s="1"/>
  <c r="M257" i="12" s="1"/>
  <c r="N257" i="12" s="1"/>
  <c r="K258" i="12"/>
  <c r="L258" i="12" s="1"/>
  <c r="M258" i="12" s="1"/>
  <c r="N258" i="12" s="1"/>
  <c r="K259" i="12"/>
  <c r="L259" i="12" s="1"/>
  <c r="M259" i="12" s="1"/>
  <c r="N259" i="12" s="1"/>
  <c r="C37" i="19" s="1"/>
  <c r="K260" i="12"/>
  <c r="L260" i="12" s="1"/>
  <c r="M260" i="12" s="1"/>
  <c r="N260" i="12" s="1"/>
  <c r="K261" i="12"/>
  <c r="K262" i="12"/>
  <c r="L262" i="12" s="1"/>
  <c r="M262" i="12" s="1"/>
  <c r="N262" i="12" s="1"/>
  <c r="K222" i="12"/>
  <c r="L222" i="12" s="1"/>
  <c r="M222" i="12" s="1"/>
  <c r="N222" i="12" s="1"/>
  <c r="K223" i="12"/>
  <c r="L223" i="12" s="1"/>
  <c r="M223" i="12" s="1"/>
  <c r="N223" i="12" s="1"/>
  <c r="K224" i="12"/>
  <c r="L224" i="12" s="1"/>
  <c r="M224" i="12" s="1"/>
  <c r="N224" i="12" s="1"/>
  <c r="K225" i="12"/>
  <c r="L225" i="12" s="1"/>
  <c r="M225" i="12" s="1"/>
  <c r="N225" i="12" s="1"/>
  <c r="K226" i="12"/>
  <c r="L226" i="12" s="1"/>
  <c r="M226" i="12" s="1"/>
  <c r="N226" i="12" s="1"/>
  <c r="K227" i="12"/>
  <c r="L227" i="12" s="1"/>
  <c r="M227" i="12" s="1"/>
  <c r="N227" i="12" s="1"/>
  <c r="C14" i="19" s="1"/>
  <c r="K228" i="12"/>
  <c r="L228" i="12" s="1"/>
  <c r="M228" i="12" s="1"/>
  <c r="N228" i="12" s="1"/>
  <c r="K229" i="12"/>
  <c r="L229" i="12" s="1"/>
  <c r="M229" i="12" s="1"/>
  <c r="N229" i="12" s="1"/>
  <c r="K230" i="12"/>
  <c r="K231" i="12"/>
  <c r="L231" i="12" s="1"/>
  <c r="M231" i="12" s="1"/>
  <c r="N231" i="12" s="1"/>
  <c r="K232" i="12"/>
  <c r="L232" i="12" s="1"/>
  <c r="M232" i="12" s="1"/>
  <c r="N232" i="12" s="1"/>
  <c r="L192" i="12" l="1"/>
  <c r="M192" i="12" s="1"/>
  <c r="N192" i="12" s="1"/>
  <c r="L261" i="12"/>
  <c r="M261" i="12" s="1"/>
  <c r="N261" i="12" s="1"/>
  <c r="L153" i="12"/>
  <c r="M153" i="12" s="1"/>
  <c r="N153" i="12" s="1"/>
  <c r="L177" i="12"/>
  <c r="M177" i="12" s="1"/>
  <c r="N177" i="12" s="1"/>
  <c r="L170" i="12"/>
  <c r="M170" i="12" s="1"/>
  <c r="N170" i="12" s="1"/>
  <c r="L198" i="12"/>
  <c r="M198" i="12" s="1"/>
  <c r="N198" i="12" s="1"/>
  <c r="L132" i="12"/>
  <c r="M132" i="12" s="1"/>
  <c r="N132" i="12" s="1"/>
  <c r="L230" i="12"/>
  <c r="M230" i="12" s="1"/>
  <c r="N230" i="12" s="1"/>
  <c r="K212" i="12"/>
  <c r="L212" i="12" s="1"/>
  <c r="M212" i="12" s="1"/>
  <c r="N212" i="12" s="1"/>
  <c r="K213" i="12"/>
  <c r="L213" i="12" s="1"/>
  <c r="M213" i="12" s="1"/>
  <c r="N213" i="12" s="1"/>
  <c r="K214" i="12"/>
  <c r="L214" i="12" s="1"/>
  <c r="M214" i="12" s="1"/>
  <c r="N214" i="12" s="1"/>
  <c r="K215" i="12"/>
  <c r="L215" i="12" s="1"/>
  <c r="M215" i="12" s="1"/>
  <c r="N215" i="12" s="1"/>
  <c r="C20" i="19" s="1"/>
  <c r="K216" i="12"/>
  <c r="L216" i="12" s="1"/>
  <c r="M216" i="12" s="1"/>
  <c r="N216" i="12" s="1"/>
  <c r="K217" i="12"/>
  <c r="L217" i="12" s="1"/>
  <c r="M217" i="12" s="1"/>
  <c r="N217" i="12" s="1"/>
  <c r="K218" i="12"/>
  <c r="L218" i="12" s="1"/>
  <c r="M218" i="12" s="1"/>
  <c r="N218" i="12" s="1"/>
  <c r="K219" i="12"/>
  <c r="L219" i="12" s="1"/>
  <c r="M219" i="12" s="1"/>
  <c r="N219" i="12" s="1"/>
  <c r="K220" i="12"/>
  <c r="L220" i="12" s="1"/>
  <c r="M220" i="12" s="1"/>
  <c r="N220" i="12" s="1"/>
  <c r="K221" i="12"/>
  <c r="L221" i="12" s="1"/>
  <c r="M221" i="12" s="1"/>
  <c r="N221" i="12" s="1"/>
  <c r="K237" i="12"/>
  <c r="L237" i="12" s="1"/>
  <c r="M237" i="12" s="1"/>
  <c r="N237" i="12" s="1"/>
  <c r="K238" i="12"/>
  <c r="L238" i="12" s="1"/>
  <c r="M238" i="12" s="1"/>
  <c r="N238" i="12" s="1"/>
  <c r="C22" i="19" s="1"/>
  <c r="C22" i="20" s="1"/>
  <c r="K239" i="12"/>
  <c r="L239" i="12" s="1"/>
  <c r="M239" i="12" s="1"/>
  <c r="N239" i="12" s="1"/>
  <c r="K240" i="12"/>
  <c r="L240" i="12" s="1"/>
  <c r="M240" i="12" s="1"/>
  <c r="N240" i="12" s="1"/>
  <c r="C15" i="19" s="1"/>
  <c r="C23" i="20" s="1"/>
  <c r="K241" i="12"/>
  <c r="L241" i="12" s="1"/>
  <c r="M241" i="12" s="1"/>
  <c r="N241" i="12" s="1"/>
  <c r="K242" i="12"/>
  <c r="L242" i="12" s="1"/>
  <c r="M242" i="12" s="1"/>
  <c r="N242" i="12" s="1"/>
  <c r="K243" i="12"/>
  <c r="L243" i="12" s="1"/>
  <c r="M243" i="12" s="1"/>
  <c r="N243" i="12" s="1"/>
  <c r="K244" i="12"/>
  <c r="L244" i="12" s="1"/>
  <c r="M244" i="12" s="1"/>
  <c r="N244" i="12" s="1"/>
  <c r="K245" i="12"/>
  <c r="L245" i="12" s="1"/>
  <c r="M245" i="12" s="1"/>
  <c r="N245" i="12" s="1"/>
  <c r="K246" i="12"/>
  <c r="L246" i="12" s="1"/>
  <c r="M246" i="12" s="1"/>
  <c r="N246" i="12" s="1"/>
  <c r="K247" i="12"/>
  <c r="L247" i="12" s="1"/>
  <c r="M247" i="12" s="1"/>
  <c r="N247" i="12" s="1"/>
  <c r="K248" i="12"/>
  <c r="L248" i="12" s="1"/>
  <c r="M248" i="12" s="1"/>
  <c r="N248" i="12" s="1"/>
  <c r="K249" i="12"/>
  <c r="L249" i="12" s="1"/>
  <c r="M249" i="12" s="1"/>
  <c r="N249" i="12" s="1"/>
  <c r="K266" i="12"/>
  <c r="L266" i="12" s="1"/>
  <c r="M266" i="12" s="1"/>
  <c r="N266" i="12" s="1"/>
  <c r="K267" i="12"/>
  <c r="L267" i="12" s="1"/>
  <c r="M267" i="12" s="1"/>
  <c r="N267" i="12" s="1"/>
  <c r="K268" i="12"/>
  <c r="L268" i="12" s="1"/>
  <c r="M268" i="12" s="1"/>
  <c r="N268" i="12" s="1"/>
  <c r="K271" i="12"/>
  <c r="L271" i="12" s="1"/>
  <c r="M271" i="12" s="1"/>
  <c r="N271" i="12" s="1"/>
  <c r="K272" i="12"/>
  <c r="L272" i="12" s="1"/>
  <c r="M272" i="12" s="1"/>
  <c r="N272" i="12" s="1"/>
  <c r="K273" i="12"/>
  <c r="L273" i="12" s="1"/>
  <c r="M273" i="12" s="1"/>
  <c r="N273" i="12" s="1"/>
  <c r="K274" i="12"/>
  <c r="L274" i="12" s="1"/>
  <c r="M274" i="12" s="1"/>
  <c r="N274" i="12" s="1"/>
  <c r="K275" i="12"/>
  <c r="L276" i="12"/>
  <c r="M276" i="12" s="1"/>
  <c r="N276" i="12" s="1"/>
  <c r="C43" i="19" s="1"/>
  <c r="C7" i="20" s="1"/>
  <c r="K277" i="12"/>
  <c r="L277" i="12" s="1"/>
  <c r="M277" i="12" s="1"/>
  <c r="N277" i="12" s="1"/>
  <c r="K278" i="12"/>
  <c r="L278" i="12" s="1"/>
  <c r="M278" i="12" s="1"/>
  <c r="N278" i="12" s="1"/>
  <c r="K279" i="12"/>
  <c r="L279" i="12" s="1"/>
  <c r="M279" i="12" s="1"/>
  <c r="N279" i="12" s="1"/>
  <c r="K280" i="12"/>
  <c r="L280" i="12" s="1"/>
  <c r="M280" i="12" s="1"/>
  <c r="N280" i="12" s="1"/>
  <c r="K281" i="12"/>
  <c r="L281" i="12" s="1"/>
  <c r="M281" i="12" s="1"/>
  <c r="N281" i="12" s="1"/>
  <c r="K282" i="12"/>
  <c r="L282" i="12" s="1"/>
  <c r="M282" i="12" s="1"/>
  <c r="N282" i="12" s="1"/>
  <c r="K283" i="12"/>
  <c r="L283" i="12" s="1"/>
  <c r="M283" i="12" s="1"/>
  <c r="N283" i="12" s="1"/>
  <c r="K284" i="12"/>
  <c r="L284" i="12" s="1"/>
  <c r="M284" i="12" s="1"/>
  <c r="N284" i="12" s="1"/>
  <c r="K285" i="12"/>
  <c r="L285" i="12" s="1"/>
  <c r="M285" i="12" s="1"/>
  <c r="N285" i="12" s="1"/>
  <c r="K286" i="12"/>
  <c r="L286" i="12" s="1"/>
  <c r="M286" i="12" s="1"/>
  <c r="N286" i="12" s="1"/>
  <c r="K287" i="12"/>
  <c r="L287" i="12" s="1"/>
  <c r="M287" i="12" s="1"/>
  <c r="N287" i="12" s="1"/>
  <c r="K288" i="12"/>
  <c r="L288" i="12" s="1"/>
  <c r="M288" i="12" s="1"/>
  <c r="N288" i="12" s="1"/>
  <c r="K289" i="12"/>
  <c r="L289" i="12" s="1"/>
  <c r="M289" i="12" s="1"/>
  <c r="N289" i="12" s="1"/>
  <c r="C38" i="19" s="1"/>
  <c r="K290" i="12"/>
  <c r="L290" i="12" s="1"/>
  <c r="M290" i="12" s="1"/>
  <c r="N290" i="12" s="1"/>
  <c r="K291" i="12"/>
  <c r="L291" i="12" s="1"/>
  <c r="M291" i="12" s="1"/>
  <c r="N291" i="12" s="1"/>
  <c r="K292" i="12"/>
  <c r="L292" i="12" s="1"/>
  <c r="M292" i="12" s="1"/>
  <c r="N292" i="12" s="1"/>
  <c r="K293" i="12"/>
  <c r="L293" i="12" s="1"/>
  <c r="M293" i="12" s="1"/>
  <c r="N293" i="12" s="1"/>
  <c r="K294" i="12"/>
  <c r="L294" i="12" s="1"/>
  <c r="M294" i="12" s="1"/>
  <c r="N294" i="12" s="1"/>
  <c r="K295" i="12"/>
  <c r="L295" i="12" s="1"/>
  <c r="M295" i="12" s="1"/>
  <c r="N295" i="12" s="1"/>
  <c r="K296" i="12"/>
  <c r="L296" i="12" s="1"/>
  <c r="M296" i="12" s="1"/>
  <c r="N296" i="12" s="1"/>
  <c r="K297" i="12"/>
  <c r="L297" i="12" s="1"/>
  <c r="M297" i="12" s="1"/>
  <c r="N297" i="12" s="1"/>
  <c r="K298" i="12"/>
  <c r="L298" i="12" s="1"/>
  <c r="M298" i="12" s="1"/>
  <c r="N298" i="12" s="1"/>
  <c r="K299" i="12"/>
  <c r="L299" i="12" s="1"/>
  <c r="M299" i="12" s="1"/>
  <c r="N299" i="12" s="1"/>
  <c r="K300" i="12"/>
  <c r="L300" i="12" s="1"/>
  <c r="M300" i="12" s="1"/>
  <c r="N300" i="12" s="1"/>
  <c r="K301" i="12"/>
  <c r="L301" i="12" s="1"/>
  <c r="M301" i="12" s="1"/>
  <c r="N301" i="12" s="1"/>
  <c r="C45" i="19" s="1"/>
  <c r="K302" i="12"/>
  <c r="L302" i="12" s="1"/>
  <c r="M302" i="12" s="1"/>
  <c r="N302" i="12" s="1"/>
  <c r="K303" i="12"/>
  <c r="L303" i="12" s="1"/>
  <c r="M303" i="12" s="1"/>
  <c r="N303" i="12" s="1"/>
  <c r="K304" i="12"/>
  <c r="L304" i="12" s="1"/>
  <c r="M304" i="12" s="1"/>
  <c r="N304" i="12" s="1"/>
  <c r="K305" i="12"/>
  <c r="L305" i="12" s="1"/>
  <c r="M305" i="12" s="1"/>
  <c r="N305" i="12" s="1"/>
  <c r="K306" i="12"/>
  <c r="L306" i="12" s="1"/>
  <c r="M306" i="12" s="1"/>
  <c r="N306" i="12" s="1"/>
  <c r="K307" i="12"/>
  <c r="L307" i="12" s="1"/>
  <c r="M307" i="12" s="1"/>
  <c r="N307" i="12" s="1"/>
  <c r="K308" i="12"/>
  <c r="L308" i="12" s="1"/>
  <c r="M308" i="12" s="1"/>
  <c r="N308" i="12" s="1"/>
  <c r="K309" i="12"/>
  <c r="L309" i="12" s="1"/>
  <c r="M309" i="12" s="1"/>
  <c r="N309" i="12" s="1"/>
  <c r="K310" i="12"/>
  <c r="L310" i="12" s="1"/>
  <c r="M310" i="12" s="1"/>
  <c r="N310" i="12" s="1"/>
  <c r="K311" i="12"/>
  <c r="L311" i="12" s="1"/>
  <c r="M311" i="12" s="1"/>
  <c r="N311" i="12" s="1"/>
  <c r="K312" i="12"/>
  <c r="L312" i="12" s="1"/>
  <c r="M312" i="12" s="1"/>
  <c r="N312" i="12" s="1"/>
  <c r="K313" i="12"/>
  <c r="L313" i="12" s="1"/>
  <c r="M313" i="12" s="1"/>
  <c r="N313" i="12" s="1"/>
  <c r="K314" i="12"/>
  <c r="L314" i="12" s="1"/>
  <c r="M314" i="12" s="1"/>
  <c r="N314" i="12" s="1"/>
  <c r="C39" i="19" s="1"/>
  <c r="K315" i="12"/>
  <c r="L315" i="12" s="1"/>
  <c r="M315" i="12" s="1"/>
  <c r="N315" i="12" s="1"/>
  <c r="K316" i="12"/>
  <c r="K317" i="12"/>
  <c r="L317" i="12" s="1"/>
  <c r="M317" i="12" s="1"/>
  <c r="N317" i="12" s="1"/>
  <c r="K318" i="12"/>
  <c r="L318" i="12" s="1"/>
  <c r="M318" i="12" s="1"/>
  <c r="N318" i="12" s="1"/>
  <c r="K319" i="12"/>
  <c r="L319" i="12" s="1"/>
  <c r="M319" i="12" s="1"/>
  <c r="N319" i="12" s="1"/>
  <c r="K320" i="12"/>
  <c r="L320" i="12" s="1"/>
  <c r="M320" i="12" s="1"/>
  <c r="N320" i="12" s="1"/>
  <c r="K321" i="12"/>
  <c r="L321" i="12" s="1"/>
  <c r="M321" i="12" s="1"/>
  <c r="N321" i="12" s="1"/>
  <c r="K322" i="12"/>
  <c r="L322" i="12" s="1"/>
  <c r="M322" i="12" s="1"/>
  <c r="N322" i="12" s="1"/>
  <c r="K323" i="12"/>
  <c r="L323" i="12" s="1"/>
  <c r="M323" i="12" s="1"/>
  <c r="N323" i="12" s="1"/>
  <c r="K324" i="12"/>
  <c r="L324" i="12" s="1"/>
  <c r="M324" i="12" s="1"/>
  <c r="N324" i="12" s="1"/>
  <c r="K325" i="12"/>
  <c r="L325" i="12" s="1"/>
  <c r="M325" i="12" s="1"/>
  <c r="N325" i="12" s="1"/>
  <c r="K326" i="12"/>
  <c r="L326" i="12" s="1"/>
  <c r="M326" i="12" s="1"/>
  <c r="N326" i="12" s="1"/>
  <c r="C47" i="19" s="1"/>
  <c r="K327" i="12"/>
  <c r="L327" i="12" s="1"/>
  <c r="M327" i="12" s="1"/>
  <c r="N327" i="12" s="1"/>
  <c r="K328" i="12"/>
  <c r="L328" i="12" s="1"/>
  <c r="M328" i="12" s="1"/>
  <c r="N328" i="12" s="1"/>
  <c r="K329" i="12"/>
  <c r="L329" i="12" s="1"/>
  <c r="M329" i="12" s="1"/>
  <c r="N329" i="12" s="1"/>
  <c r="C52" i="19" s="1"/>
  <c r="C13" i="20" s="1"/>
  <c r="K330" i="12"/>
  <c r="L330" i="12" s="1"/>
  <c r="M330" i="12" s="1"/>
  <c r="N330" i="12" s="1"/>
  <c r="K331" i="12"/>
  <c r="L331" i="12" s="1"/>
  <c r="M331" i="12" s="1"/>
  <c r="N331" i="12" s="1"/>
  <c r="C53" i="19" s="1"/>
  <c r="C14" i="20" s="1"/>
  <c r="K332" i="12"/>
  <c r="L332" i="12" s="1"/>
  <c r="M332" i="12" s="1"/>
  <c r="N332" i="12" s="1"/>
  <c r="K333" i="12"/>
  <c r="L333" i="12" s="1"/>
  <c r="M333" i="12" s="1"/>
  <c r="N333" i="12" s="1"/>
  <c r="C54" i="19" s="1"/>
  <c r="C15" i="20" s="1"/>
  <c r="K334" i="12"/>
  <c r="L334" i="12" s="1"/>
  <c r="M334" i="12" s="1"/>
  <c r="N334" i="12" s="1"/>
  <c r="K335" i="12"/>
  <c r="L335" i="12" s="1"/>
  <c r="M335" i="12" s="1"/>
  <c r="N335" i="12" s="1"/>
  <c r="K336" i="12"/>
  <c r="L336" i="12" s="1"/>
  <c r="M336" i="12" s="1"/>
  <c r="N336" i="12" s="1"/>
  <c r="K337" i="12"/>
  <c r="L337" i="12" s="1"/>
  <c r="M337" i="12" s="1"/>
  <c r="N337" i="12" s="1"/>
  <c r="C4" i="37" s="1"/>
  <c r="K338" i="12"/>
  <c r="L338" i="12" s="1"/>
  <c r="M338" i="12" s="1"/>
  <c r="N338" i="12" s="1"/>
  <c r="K339" i="12"/>
  <c r="K340" i="12"/>
  <c r="L340" i="12" s="1"/>
  <c r="M340" i="12" s="1"/>
  <c r="N340" i="12" s="1"/>
  <c r="C35" i="21" s="1"/>
  <c r="H35" i="21" s="1"/>
  <c r="K341" i="12"/>
  <c r="L341" i="12" s="1"/>
  <c r="M341" i="12" s="1"/>
  <c r="N341" i="12" s="1"/>
  <c r="K342" i="12"/>
  <c r="L342" i="12" s="1"/>
  <c r="M342" i="12" s="1"/>
  <c r="N342" i="12" s="1"/>
  <c r="C38" i="21" s="1"/>
  <c r="H38" i="21" s="1"/>
  <c r="K343" i="12"/>
  <c r="L343" i="12" s="1"/>
  <c r="M343" i="12" s="1"/>
  <c r="N343" i="12" s="1"/>
  <c r="K344" i="12"/>
  <c r="L344" i="12" s="1"/>
  <c r="M344" i="12" s="1"/>
  <c r="N344" i="12" s="1"/>
  <c r="K345" i="12"/>
  <c r="L345" i="12" s="1"/>
  <c r="M345" i="12" s="1"/>
  <c r="N345" i="12" s="1"/>
  <c r="C41" i="21" s="1"/>
  <c r="H41" i="21" s="1"/>
  <c r="K346" i="12"/>
  <c r="L346" i="12" s="1"/>
  <c r="M346" i="12" s="1"/>
  <c r="N346" i="12" s="1"/>
  <c r="K347" i="12"/>
  <c r="L347" i="12" s="1"/>
  <c r="M347" i="12" s="1"/>
  <c r="N347" i="12" s="1"/>
  <c r="K348" i="12"/>
  <c r="L348" i="12" s="1"/>
  <c r="M348" i="12" s="1"/>
  <c r="N348" i="12" s="1"/>
  <c r="K349" i="12"/>
  <c r="L349" i="12" s="1"/>
  <c r="M349" i="12" s="1"/>
  <c r="N349" i="12" s="1"/>
  <c r="C44" i="21" s="1"/>
  <c r="H44" i="21" s="1"/>
  <c r="K350" i="12"/>
  <c r="L350" i="12" s="1"/>
  <c r="M350" i="12" s="1"/>
  <c r="N350" i="12" s="1"/>
  <c r="K351" i="12"/>
  <c r="L351" i="12" s="1"/>
  <c r="M351" i="12" s="1"/>
  <c r="N351" i="12" s="1"/>
  <c r="C31" i="21" s="1"/>
  <c r="H31" i="21" s="1"/>
  <c r="K352" i="12"/>
  <c r="L352" i="12" s="1"/>
  <c r="M352" i="12" s="1"/>
  <c r="N352" i="12" s="1"/>
  <c r="K353" i="12"/>
  <c r="L353" i="12" s="1"/>
  <c r="M353" i="12" s="1"/>
  <c r="N353" i="12" s="1"/>
  <c r="C53" i="21" s="1"/>
  <c r="H53" i="21" s="1"/>
  <c r="K354" i="12"/>
  <c r="L354" i="12" s="1"/>
  <c r="M354" i="12" s="1"/>
  <c r="N354" i="12" s="1"/>
  <c r="C56" i="21" s="1"/>
  <c r="H56" i="21" s="1"/>
  <c r="K355" i="12"/>
  <c r="L355" i="12" s="1"/>
  <c r="M355" i="12" s="1"/>
  <c r="N355" i="12" s="1"/>
  <c r="K356" i="12"/>
  <c r="L356" i="12" s="1"/>
  <c r="M356" i="12" s="1"/>
  <c r="N356" i="12" s="1"/>
  <c r="C47" i="21" s="1"/>
  <c r="H47" i="21" s="1"/>
  <c r="K357" i="12"/>
  <c r="L357" i="12" s="1"/>
  <c r="M357" i="12" s="1"/>
  <c r="N357" i="12" s="1"/>
  <c r="C50" i="21" s="1"/>
  <c r="H50" i="21" s="1"/>
  <c r="K358" i="12"/>
  <c r="L358" i="12" s="1"/>
  <c r="M358" i="12" s="1"/>
  <c r="N358" i="12" s="1"/>
  <c r="K359" i="12"/>
  <c r="L359" i="12" s="1"/>
  <c r="M359" i="12" s="1"/>
  <c r="N359" i="12" s="1"/>
  <c r="K360" i="12"/>
  <c r="L360" i="12" s="1"/>
  <c r="M360" i="12" s="1"/>
  <c r="N360" i="12" s="1"/>
  <c r="K361" i="12"/>
  <c r="L361" i="12" s="1"/>
  <c r="M361" i="12" s="1"/>
  <c r="N361" i="12" s="1"/>
  <c r="C73" i="21" s="1"/>
  <c r="H73" i="21" s="1"/>
  <c r="K362" i="12"/>
  <c r="L362" i="12" s="1"/>
  <c r="M362" i="12" s="1"/>
  <c r="N362" i="12" s="1"/>
  <c r="K363" i="12"/>
  <c r="L363" i="12" s="1"/>
  <c r="M363" i="12" s="1"/>
  <c r="N363" i="12" s="1"/>
  <c r="K364" i="12"/>
  <c r="K365" i="12"/>
  <c r="L365" i="12" s="1"/>
  <c r="M365" i="12" s="1"/>
  <c r="N365" i="12" s="1"/>
  <c r="K366" i="12"/>
  <c r="L366" i="12" s="1"/>
  <c r="M366" i="12" s="1"/>
  <c r="N366" i="12" s="1"/>
  <c r="K367" i="12"/>
  <c r="L367" i="12" s="1"/>
  <c r="M367" i="12" s="1"/>
  <c r="N367" i="12" s="1"/>
  <c r="C89" i="21" s="1"/>
  <c r="H89" i="21" s="1"/>
  <c r="K368" i="12"/>
  <c r="L368" i="12" s="1"/>
  <c r="M368" i="12" s="1"/>
  <c r="N368" i="12" s="1"/>
  <c r="C92" i="21" s="1"/>
  <c r="H92" i="21" s="1"/>
  <c r="K369" i="12"/>
  <c r="L369" i="12" s="1"/>
  <c r="M369" i="12" s="1"/>
  <c r="N369" i="12" s="1"/>
  <c r="K370" i="12"/>
  <c r="L370" i="12" s="1"/>
  <c r="M370" i="12" s="1"/>
  <c r="N370" i="12" s="1"/>
  <c r="K371" i="12"/>
  <c r="L371" i="12" s="1"/>
  <c r="M371" i="12" s="1"/>
  <c r="N371" i="12" s="1"/>
  <c r="K372" i="12"/>
  <c r="L372" i="12" s="1"/>
  <c r="M372" i="12" s="1"/>
  <c r="N372" i="12" s="1"/>
  <c r="C95" i="21" s="1"/>
  <c r="H95" i="21" s="1"/>
  <c r="K373" i="12"/>
  <c r="L373" i="12" s="1"/>
  <c r="M373" i="12" s="1"/>
  <c r="N373" i="12" s="1"/>
  <c r="K374" i="12"/>
  <c r="L374" i="12" s="1"/>
  <c r="M374" i="12" s="1"/>
  <c r="N374" i="12" s="1"/>
  <c r="K375" i="12"/>
  <c r="L375" i="12" s="1"/>
  <c r="M375" i="12" s="1"/>
  <c r="N375" i="12" s="1"/>
  <c r="C97" i="21" s="1"/>
  <c r="H97" i="21" s="1"/>
  <c r="K376" i="12"/>
  <c r="L376" i="12" s="1"/>
  <c r="M376" i="12" s="1"/>
  <c r="N376" i="12" s="1"/>
  <c r="K377" i="12"/>
  <c r="L377" i="12" s="1"/>
  <c r="M377" i="12" s="1"/>
  <c r="N377" i="12" s="1"/>
  <c r="K378" i="12"/>
  <c r="L378" i="12" s="1"/>
  <c r="M378" i="12" s="1"/>
  <c r="N378" i="12" s="1"/>
  <c r="K379" i="12"/>
  <c r="L379" i="12" s="1"/>
  <c r="M379" i="12" s="1"/>
  <c r="N379" i="12" s="1"/>
  <c r="C100" i="21" s="1"/>
  <c r="H100" i="21" s="1"/>
  <c r="K381" i="12"/>
  <c r="L381" i="12" s="1"/>
  <c r="M381" i="12" s="1"/>
  <c r="N381" i="12" s="1"/>
  <c r="K382" i="12"/>
  <c r="L382" i="12" s="1"/>
  <c r="M382" i="12" s="1"/>
  <c r="N382" i="12" s="1"/>
  <c r="K383" i="12"/>
  <c r="L383" i="12" s="1"/>
  <c r="M383" i="12" s="1"/>
  <c r="N383" i="12" s="1"/>
  <c r="C103" i="21" s="1"/>
  <c r="H103" i="21" s="1"/>
  <c r="K384" i="12"/>
  <c r="L384" i="12" s="1"/>
  <c r="M384" i="12" s="1"/>
  <c r="N384" i="12" s="1"/>
  <c r="K385" i="12"/>
  <c r="L385" i="12" s="1"/>
  <c r="M385" i="12" s="1"/>
  <c r="N385" i="12" s="1"/>
  <c r="C107" i="21" s="1"/>
  <c r="H107" i="21" s="1"/>
  <c r="K386" i="12"/>
  <c r="L386" i="12" s="1"/>
  <c r="M386" i="12" s="1"/>
  <c r="N386" i="12" s="1"/>
  <c r="C110" i="21" s="1"/>
  <c r="H110" i="21" s="1"/>
  <c r="K387" i="12"/>
  <c r="L387" i="12" s="1"/>
  <c r="M387" i="12" s="1"/>
  <c r="N387" i="12" s="1"/>
  <c r="K388" i="12"/>
  <c r="L388" i="12" s="1"/>
  <c r="M388" i="12" s="1"/>
  <c r="N388" i="12" s="1"/>
  <c r="K389" i="12"/>
  <c r="L389" i="12" s="1"/>
  <c r="M389" i="12" s="1"/>
  <c r="N389" i="12" s="1"/>
  <c r="K390" i="12"/>
  <c r="L390" i="12" s="1"/>
  <c r="M390" i="12" s="1"/>
  <c r="N390" i="12" s="1"/>
  <c r="K391" i="12"/>
  <c r="L391" i="12" s="1"/>
  <c r="M391" i="12" s="1"/>
  <c r="N391" i="12" s="1"/>
  <c r="C157" i="21" s="1"/>
  <c r="H157" i="21" s="1"/>
  <c r="K392" i="12"/>
  <c r="L392" i="12" s="1"/>
  <c r="M392" i="12" s="1"/>
  <c r="N392" i="12" s="1"/>
  <c r="C160" i="21" s="1"/>
  <c r="H160" i="21" s="1"/>
  <c r="K393" i="12"/>
  <c r="L393" i="12" s="1"/>
  <c r="M393" i="12" s="1"/>
  <c r="N393" i="12" s="1"/>
  <c r="K394" i="12"/>
  <c r="L394" i="12" s="1"/>
  <c r="M394" i="12" s="1"/>
  <c r="N394" i="12" s="1"/>
  <c r="C163" i="21" s="1"/>
  <c r="H163" i="21" s="1"/>
  <c r="K395" i="12"/>
  <c r="L395" i="12" s="1"/>
  <c r="M395" i="12" s="1"/>
  <c r="N395" i="12" s="1"/>
  <c r="C165" i="21" s="1"/>
  <c r="H165" i="21" s="1"/>
  <c r="K396" i="12"/>
  <c r="L396" i="12" s="1"/>
  <c r="M396" i="12" s="1"/>
  <c r="N396" i="12" s="1"/>
  <c r="K397" i="12"/>
  <c r="L397" i="12" s="1"/>
  <c r="M397" i="12" s="1"/>
  <c r="N397" i="12" s="1"/>
  <c r="K398" i="12"/>
  <c r="L398" i="12" s="1"/>
  <c r="M398" i="12" s="1"/>
  <c r="N398" i="12" s="1"/>
  <c r="K399" i="12"/>
  <c r="L399" i="12" s="1"/>
  <c r="M399" i="12" s="1"/>
  <c r="N399" i="12" s="1"/>
  <c r="C169" i="21" s="1"/>
  <c r="H169" i="21" s="1"/>
  <c r="K400" i="12"/>
  <c r="L400" i="12" s="1"/>
  <c r="M400" i="12" s="1"/>
  <c r="N400" i="12" s="1"/>
  <c r="K401" i="12"/>
  <c r="L401" i="12" s="1"/>
  <c r="M401" i="12" s="1"/>
  <c r="N401" i="12" s="1"/>
  <c r="K402" i="12"/>
  <c r="L402" i="12" s="1"/>
  <c r="M402" i="12" s="1"/>
  <c r="N402" i="12" s="1"/>
  <c r="K409" i="12"/>
  <c r="L409" i="12" s="1"/>
  <c r="M409" i="12" s="1"/>
  <c r="N409" i="12" s="1"/>
  <c r="C191" i="21" s="1"/>
  <c r="H191" i="21" s="1"/>
  <c r="K410" i="12"/>
  <c r="L410" i="12" s="1"/>
  <c r="M410" i="12" s="1"/>
  <c r="N410" i="12" s="1"/>
  <c r="K411" i="12"/>
  <c r="L411" i="12" s="1"/>
  <c r="M411" i="12" s="1"/>
  <c r="N411" i="12" s="1"/>
  <c r="K412" i="12"/>
  <c r="L412" i="12" s="1"/>
  <c r="M412" i="12" s="1"/>
  <c r="N412" i="12" s="1"/>
  <c r="K413" i="12"/>
  <c r="L413" i="12" s="1"/>
  <c r="M413" i="12" s="1"/>
  <c r="N413" i="12" s="1"/>
  <c r="K414" i="12"/>
  <c r="L414" i="12" s="1"/>
  <c r="M414" i="12" s="1"/>
  <c r="N414" i="12" s="1"/>
  <c r="K415" i="12"/>
  <c r="L415" i="12" s="1"/>
  <c r="M415" i="12" s="1"/>
  <c r="N415" i="12" s="1"/>
  <c r="K416" i="12"/>
  <c r="L416" i="12" s="1"/>
  <c r="M416" i="12" s="1"/>
  <c r="N416" i="12" s="1"/>
  <c r="K417" i="12"/>
  <c r="L417" i="12" s="1"/>
  <c r="M417" i="12" s="1"/>
  <c r="N417" i="12" s="1"/>
  <c r="K418" i="12"/>
  <c r="L418" i="12" s="1"/>
  <c r="M418" i="12" s="1"/>
  <c r="N418" i="12" s="1"/>
  <c r="K419" i="12"/>
  <c r="L419" i="12" s="1"/>
  <c r="M419" i="12" s="1"/>
  <c r="N419" i="12" s="1"/>
  <c r="K420" i="12"/>
  <c r="L420" i="12" s="1"/>
  <c r="M420" i="12" s="1"/>
  <c r="N420" i="12" s="1"/>
  <c r="K421" i="12"/>
  <c r="L421" i="12" s="1"/>
  <c r="M421" i="12" s="1"/>
  <c r="N421" i="12" s="1"/>
  <c r="K422" i="12"/>
  <c r="L422" i="12" s="1"/>
  <c r="M422" i="12" s="1"/>
  <c r="N422" i="12" s="1"/>
  <c r="K423" i="12"/>
  <c r="L423" i="12" s="1"/>
  <c r="M423" i="12" s="1"/>
  <c r="N423" i="12" s="1"/>
  <c r="K424" i="12"/>
  <c r="L424" i="12" s="1"/>
  <c r="M424" i="12" s="1"/>
  <c r="N424" i="12" s="1"/>
  <c r="K425" i="12"/>
  <c r="L425" i="12" s="1"/>
  <c r="M425" i="12" s="1"/>
  <c r="N425" i="12" s="1"/>
  <c r="K426" i="12"/>
  <c r="L426" i="12" s="1"/>
  <c r="M426" i="12" s="1"/>
  <c r="N426" i="12" s="1"/>
  <c r="K427" i="12"/>
  <c r="L427" i="12" s="1"/>
  <c r="M427" i="12" s="1"/>
  <c r="N427" i="12" s="1"/>
  <c r="K428" i="12"/>
  <c r="L428" i="12" s="1"/>
  <c r="M428" i="12" s="1"/>
  <c r="N428" i="12" s="1"/>
  <c r="K429" i="12"/>
  <c r="L429" i="12" s="1"/>
  <c r="M429" i="12" s="1"/>
  <c r="N429" i="12" s="1"/>
  <c r="K430" i="12"/>
  <c r="L430" i="12" s="1"/>
  <c r="M430" i="12" s="1"/>
  <c r="N430" i="12" s="1"/>
  <c r="K431" i="12"/>
  <c r="L431" i="12" s="1"/>
  <c r="M431" i="12" s="1"/>
  <c r="N431" i="12" s="1"/>
  <c r="K432" i="12"/>
  <c r="L432" i="12" s="1"/>
  <c r="M432" i="12" s="1"/>
  <c r="N432" i="12" s="1"/>
  <c r="K433" i="12"/>
  <c r="L433" i="12" s="1"/>
  <c r="M433" i="12" s="1"/>
  <c r="N433" i="12" s="1"/>
  <c r="K434" i="12"/>
  <c r="L434" i="12" s="1"/>
  <c r="M434" i="12" s="1"/>
  <c r="N434" i="12" s="1"/>
  <c r="K435" i="12"/>
  <c r="L435" i="12" s="1"/>
  <c r="M435" i="12" s="1"/>
  <c r="N435" i="12" s="1"/>
  <c r="K436" i="12"/>
  <c r="L436" i="12" s="1"/>
  <c r="M436" i="12" s="1"/>
  <c r="N436" i="12" s="1"/>
  <c r="K437" i="12"/>
  <c r="L437" i="12" s="1"/>
  <c r="M437" i="12" s="1"/>
  <c r="N437" i="12" s="1"/>
  <c r="K438" i="12"/>
  <c r="L438" i="12" s="1"/>
  <c r="M438" i="12" s="1"/>
  <c r="N438" i="12" s="1"/>
  <c r="K439" i="12"/>
  <c r="L439" i="12" s="1"/>
  <c r="M439" i="12" s="1"/>
  <c r="N439" i="12" s="1"/>
  <c r="K440" i="12"/>
  <c r="L440" i="12" s="1"/>
  <c r="M440" i="12" s="1"/>
  <c r="N440" i="12" s="1"/>
  <c r="K441" i="12"/>
  <c r="L441" i="12" s="1"/>
  <c r="M441" i="12" s="1"/>
  <c r="N441" i="12" s="1"/>
  <c r="K443" i="12"/>
  <c r="L443" i="12" s="1"/>
  <c r="M443" i="12" s="1"/>
  <c r="N443" i="12" s="1"/>
  <c r="K444" i="12"/>
  <c r="L444" i="12" s="1"/>
  <c r="M444" i="12" s="1"/>
  <c r="N444" i="12" s="1"/>
  <c r="K445" i="12"/>
  <c r="L445" i="12" s="1"/>
  <c r="M445" i="12" s="1"/>
  <c r="N445" i="12" s="1"/>
  <c r="K446" i="12"/>
  <c r="L446" i="12" s="1"/>
  <c r="M446" i="12" s="1"/>
  <c r="N446" i="12" s="1"/>
  <c r="K447" i="12"/>
  <c r="L447" i="12" s="1"/>
  <c r="M447" i="12" s="1"/>
  <c r="N447" i="12" s="1"/>
  <c r="K448" i="12"/>
  <c r="L448" i="12" s="1"/>
  <c r="M448" i="12" s="1"/>
  <c r="N448" i="12" s="1"/>
  <c r="K449" i="12"/>
  <c r="L449" i="12" s="1"/>
  <c r="M449" i="12" s="1"/>
  <c r="N449" i="12" s="1"/>
  <c r="K450" i="12"/>
  <c r="L450" i="12" s="1"/>
  <c r="M450" i="12" s="1"/>
  <c r="N450" i="12" s="1"/>
  <c r="K452" i="12"/>
  <c r="L452" i="12" s="1"/>
  <c r="M452" i="12" s="1"/>
  <c r="N452" i="12" s="1"/>
  <c r="K453" i="12"/>
  <c r="L453" i="12" s="1"/>
  <c r="M453" i="12" s="1"/>
  <c r="N453" i="12" s="1"/>
  <c r="K454" i="12"/>
  <c r="L454" i="12" s="1"/>
  <c r="M454" i="12" s="1"/>
  <c r="N454" i="12" s="1"/>
  <c r="K455" i="12"/>
  <c r="L455" i="12" s="1"/>
  <c r="M455" i="12" s="1"/>
  <c r="N455" i="12" s="1"/>
  <c r="K456" i="12"/>
  <c r="L456" i="12" s="1"/>
  <c r="M456" i="12" s="1"/>
  <c r="N456" i="12" s="1"/>
  <c r="K457" i="12"/>
  <c r="L457" i="12" s="1"/>
  <c r="M457" i="12" s="1"/>
  <c r="N457" i="12" s="1"/>
  <c r="K458" i="12"/>
  <c r="L458" i="12" s="1"/>
  <c r="M458" i="12" s="1"/>
  <c r="N458" i="12" s="1"/>
  <c r="K459" i="12"/>
  <c r="L459" i="12" s="1"/>
  <c r="M459" i="12" s="1"/>
  <c r="N459" i="12" s="1"/>
  <c r="K460" i="12"/>
  <c r="L460" i="12" s="1"/>
  <c r="M460" i="12" s="1"/>
  <c r="N460" i="12" s="1"/>
  <c r="K461" i="12"/>
  <c r="L461" i="12" s="1"/>
  <c r="M461" i="12" s="1"/>
  <c r="N461" i="12" s="1"/>
  <c r="K470" i="12"/>
  <c r="L470" i="12" s="1"/>
  <c r="M470" i="12" s="1"/>
  <c r="N470" i="12" s="1"/>
  <c r="K471" i="12"/>
  <c r="L471" i="12" s="1"/>
  <c r="M471" i="12" s="1"/>
  <c r="N471" i="12" s="1"/>
  <c r="K607" i="12"/>
  <c r="L607" i="12" s="1"/>
  <c r="M607" i="12" s="1"/>
  <c r="N607" i="12" s="1"/>
  <c r="K608" i="12"/>
  <c r="L608" i="12" s="1"/>
  <c r="M608" i="12" s="1"/>
  <c r="N608" i="12" s="1"/>
  <c r="K609" i="12"/>
  <c r="L609" i="12" s="1"/>
  <c r="M609" i="12" s="1"/>
  <c r="N609" i="12" s="1"/>
  <c r="K610" i="12"/>
  <c r="L610" i="12" s="1"/>
  <c r="M610" i="12" s="1"/>
  <c r="N610" i="12" s="1"/>
  <c r="K645" i="12"/>
  <c r="L645" i="12" s="1"/>
  <c r="M645" i="12" s="1"/>
  <c r="N645" i="12" s="1"/>
  <c r="K646" i="12"/>
  <c r="L646" i="12" s="1"/>
  <c r="M646" i="12" s="1"/>
  <c r="N646" i="12" s="1"/>
  <c r="K647" i="12"/>
  <c r="L647" i="12" s="1"/>
  <c r="M647" i="12" s="1"/>
  <c r="N647" i="12" s="1"/>
  <c r="K648" i="12"/>
  <c r="L648" i="12" s="1"/>
  <c r="M648" i="12" s="1"/>
  <c r="N648" i="12" s="1"/>
  <c r="K649" i="12"/>
  <c r="L649" i="12" s="1"/>
  <c r="M649" i="12" s="1"/>
  <c r="N649" i="12" s="1"/>
  <c r="K650" i="12"/>
  <c r="L650" i="12" s="1"/>
  <c r="M650" i="12" s="1"/>
  <c r="N650" i="12" s="1"/>
  <c r="K651" i="12"/>
  <c r="L651" i="12" s="1"/>
  <c r="M651" i="12" s="1"/>
  <c r="N651" i="12" s="1"/>
  <c r="K652" i="12"/>
  <c r="L652" i="12" s="1"/>
  <c r="M652" i="12" s="1"/>
  <c r="N652" i="12" s="1"/>
  <c r="K653" i="12"/>
  <c r="L653" i="12" s="1"/>
  <c r="M653" i="12" s="1"/>
  <c r="N653" i="12" s="1"/>
  <c r="K654" i="12"/>
  <c r="L654" i="12" s="1"/>
  <c r="M654" i="12" s="1"/>
  <c r="N654" i="12" s="1"/>
  <c r="K655" i="12"/>
  <c r="L655" i="12" s="1"/>
  <c r="M655" i="12" s="1"/>
  <c r="N655" i="12" s="1"/>
  <c r="K656" i="12"/>
  <c r="L656" i="12" s="1"/>
  <c r="M656" i="12" s="1"/>
  <c r="N656" i="12" s="1"/>
  <c r="K657" i="12"/>
  <c r="L657" i="12" s="1"/>
  <c r="M657" i="12" s="1"/>
  <c r="N657" i="12" s="1"/>
  <c r="K658" i="12"/>
  <c r="L658" i="12" s="1"/>
  <c r="M658" i="12" s="1"/>
  <c r="N658" i="12" s="1"/>
  <c r="K659" i="12"/>
  <c r="L659" i="12" s="1"/>
  <c r="M659" i="12" s="1"/>
  <c r="N659" i="12" s="1"/>
  <c r="K660" i="12"/>
  <c r="L660" i="12" s="1"/>
  <c r="M660" i="12" s="1"/>
  <c r="N660" i="12" s="1"/>
  <c r="K661" i="12"/>
  <c r="L661" i="12" s="1"/>
  <c r="M661" i="12" s="1"/>
  <c r="N661" i="12" s="1"/>
  <c r="K663" i="12"/>
  <c r="L663" i="12" s="1"/>
  <c r="M663" i="12" s="1"/>
  <c r="N663" i="12" s="1"/>
  <c r="K664" i="12"/>
  <c r="L664" i="12" s="1"/>
  <c r="M664" i="12" s="1"/>
  <c r="N664" i="12" s="1"/>
  <c r="K665" i="12"/>
  <c r="L665" i="12" s="1"/>
  <c r="M665" i="12" s="1"/>
  <c r="N665" i="12" s="1"/>
  <c r="K666" i="12"/>
  <c r="L666" i="12" s="1"/>
  <c r="M666" i="12" s="1"/>
  <c r="N666" i="12" s="1"/>
  <c r="K667" i="12"/>
  <c r="L667" i="12" s="1"/>
  <c r="M667" i="12" s="1"/>
  <c r="N667" i="12" s="1"/>
  <c r="K668" i="12"/>
  <c r="L668" i="12" s="1"/>
  <c r="M668" i="12" s="1"/>
  <c r="N668" i="12" s="1"/>
  <c r="K669" i="12"/>
  <c r="L669" i="12" s="1"/>
  <c r="M669" i="12" s="1"/>
  <c r="N669" i="12" s="1"/>
  <c r="K670" i="12"/>
  <c r="L670" i="12" s="1"/>
  <c r="M670" i="12" s="1"/>
  <c r="N670" i="12" s="1"/>
  <c r="K671" i="12"/>
  <c r="L671" i="12" s="1"/>
  <c r="M671" i="12" s="1"/>
  <c r="N671" i="12" s="1"/>
  <c r="K672" i="12"/>
  <c r="L672" i="12" s="1"/>
  <c r="M672" i="12" s="1"/>
  <c r="N672" i="12" s="1"/>
  <c r="K673" i="12"/>
  <c r="L673" i="12" s="1"/>
  <c r="M673" i="12" s="1"/>
  <c r="N673" i="12" s="1"/>
  <c r="K674" i="12"/>
  <c r="L674" i="12" s="1"/>
  <c r="M674" i="12" s="1"/>
  <c r="N674" i="12" s="1"/>
  <c r="K675" i="12"/>
  <c r="L675" i="12" s="1"/>
  <c r="M675" i="12" s="1"/>
  <c r="N675" i="12" s="1"/>
  <c r="K676" i="12"/>
  <c r="L676" i="12" s="1"/>
  <c r="M676" i="12" s="1"/>
  <c r="N676" i="12" s="1"/>
  <c r="K677" i="12"/>
  <c r="L677" i="12" s="1"/>
  <c r="M677" i="12" s="1"/>
  <c r="N677" i="12" s="1"/>
  <c r="K678" i="12"/>
  <c r="L678" i="12" s="1"/>
  <c r="M678" i="12" s="1"/>
  <c r="N678" i="12" s="1"/>
  <c r="K679" i="12"/>
  <c r="L679" i="12" s="1"/>
  <c r="M679" i="12" s="1"/>
  <c r="N679" i="12" s="1"/>
  <c r="K680" i="12"/>
  <c r="L680" i="12" s="1"/>
  <c r="M680" i="12" s="1"/>
  <c r="N680" i="12" s="1"/>
  <c r="K681" i="12"/>
  <c r="L681" i="12" s="1"/>
  <c r="M681" i="12" s="1"/>
  <c r="N681" i="12" s="1"/>
  <c r="K683" i="12"/>
  <c r="L683" i="12" s="1"/>
  <c r="M683" i="12" s="1"/>
  <c r="N683" i="12" s="1"/>
  <c r="K684" i="12"/>
  <c r="L684" i="12" s="1"/>
  <c r="M684" i="12" s="1"/>
  <c r="N684" i="12" s="1"/>
  <c r="K685" i="12"/>
  <c r="L685" i="12" s="1"/>
  <c r="M685" i="12" s="1"/>
  <c r="N685" i="12" s="1"/>
  <c r="K686" i="12"/>
  <c r="L686" i="12" s="1"/>
  <c r="M686" i="12" s="1"/>
  <c r="N686" i="12" s="1"/>
  <c r="K687" i="12"/>
  <c r="L687" i="12" s="1"/>
  <c r="M687" i="12" s="1"/>
  <c r="N687" i="12" s="1"/>
  <c r="K688" i="12"/>
  <c r="L688" i="12" s="1"/>
  <c r="M688" i="12" s="1"/>
  <c r="N688" i="12" s="1"/>
  <c r="K689" i="12"/>
  <c r="L689" i="12" s="1"/>
  <c r="M689" i="12" s="1"/>
  <c r="N689" i="12" s="1"/>
  <c r="K690" i="12"/>
  <c r="L690" i="12" s="1"/>
  <c r="M690" i="12" s="1"/>
  <c r="N690" i="12" s="1"/>
  <c r="K691" i="12"/>
  <c r="L691" i="12" s="1"/>
  <c r="M691" i="12" s="1"/>
  <c r="N691" i="12" s="1"/>
  <c r="K692" i="12"/>
  <c r="L692" i="12" s="1"/>
  <c r="M692" i="12" s="1"/>
  <c r="N692" i="12" s="1"/>
  <c r="K754" i="12"/>
  <c r="L754" i="12" s="1"/>
  <c r="M754" i="12" s="1"/>
  <c r="N754" i="12" s="1"/>
  <c r="K755" i="12"/>
  <c r="L755" i="12" s="1"/>
  <c r="M755" i="12" s="1"/>
  <c r="N755" i="12" s="1"/>
  <c r="K756" i="12"/>
  <c r="L756" i="12" s="1"/>
  <c r="M756" i="12" s="1"/>
  <c r="N756" i="12" s="1"/>
  <c r="K757" i="12"/>
  <c r="L757" i="12" s="1"/>
  <c r="M757" i="12" s="1"/>
  <c r="N757" i="12" s="1"/>
  <c r="K758" i="12"/>
  <c r="L758" i="12" s="1"/>
  <c r="M758" i="12" s="1"/>
  <c r="N758" i="12" s="1"/>
  <c r="K759" i="12"/>
  <c r="L759" i="12" s="1"/>
  <c r="M759" i="12" s="1"/>
  <c r="N759" i="12" s="1"/>
  <c r="K760" i="12"/>
  <c r="L760" i="12" s="1"/>
  <c r="M760" i="12" s="1"/>
  <c r="N760" i="12" s="1"/>
  <c r="K761" i="12"/>
  <c r="L761" i="12" s="1"/>
  <c r="M761" i="12" s="1"/>
  <c r="N761" i="12" s="1"/>
  <c r="K762" i="12"/>
  <c r="L762" i="12" s="1"/>
  <c r="M762" i="12" s="1"/>
  <c r="N762" i="12" s="1"/>
  <c r="K763" i="12"/>
  <c r="L763" i="12" s="1"/>
  <c r="M763" i="12" s="1"/>
  <c r="N763" i="12" s="1"/>
  <c r="K764" i="12"/>
  <c r="L764" i="12" s="1"/>
  <c r="M764" i="12" s="1"/>
  <c r="N764" i="12" s="1"/>
  <c r="K765" i="12"/>
  <c r="L765" i="12" s="1"/>
  <c r="M765" i="12" s="1"/>
  <c r="N765" i="12" s="1"/>
  <c r="K766" i="12"/>
  <c r="L766" i="12" s="1"/>
  <c r="M766" i="12" s="1"/>
  <c r="N766" i="12" s="1"/>
  <c r="K767" i="12"/>
  <c r="L767" i="12" s="1"/>
  <c r="M767" i="12" s="1"/>
  <c r="N767" i="12" s="1"/>
  <c r="K768" i="12"/>
  <c r="L768" i="12" s="1"/>
  <c r="M768" i="12" s="1"/>
  <c r="N768" i="12" s="1"/>
  <c r="K769" i="12"/>
  <c r="L769" i="12" s="1"/>
  <c r="M769" i="12" s="1"/>
  <c r="N769" i="12" s="1"/>
  <c r="K770" i="12"/>
  <c r="L770" i="12" s="1"/>
  <c r="M770" i="12" s="1"/>
  <c r="N770" i="12" s="1"/>
  <c r="K771" i="12"/>
  <c r="L771" i="12" s="1"/>
  <c r="M771" i="12" s="1"/>
  <c r="N771" i="12" s="1"/>
  <c r="K802" i="12"/>
  <c r="L802" i="12" s="1"/>
  <c r="M802" i="12" s="1"/>
  <c r="N802" i="12" s="1"/>
  <c r="K803" i="12"/>
  <c r="L803" i="12" s="1"/>
  <c r="M803" i="12" s="1"/>
  <c r="N803" i="12" s="1"/>
  <c r="K816" i="12"/>
  <c r="L816" i="12" s="1"/>
  <c r="M816" i="12" s="1"/>
  <c r="N816" i="12" s="1"/>
  <c r="K817" i="12"/>
  <c r="L817" i="12" s="1"/>
  <c r="M817" i="12" s="1"/>
  <c r="N817" i="12" s="1"/>
  <c r="K818" i="12"/>
  <c r="L818" i="12" s="1"/>
  <c r="M818" i="12" s="1"/>
  <c r="N818" i="12" s="1"/>
  <c r="K819" i="12"/>
  <c r="L819" i="12" s="1"/>
  <c r="M819" i="12" s="1"/>
  <c r="N819" i="12" s="1"/>
  <c r="K820" i="12"/>
  <c r="L820" i="12" s="1"/>
  <c r="M820" i="12" s="1"/>
  <c r="N820" i="12" s="1"/>
  <c r="K821" i="12"/>
  <c r="L821" i="12" s="1"/>
  <c r="M821" i="12" s="1"/>
  <c r="N821" i="12" s="1"/>
  <c r="K822" i="12"/>
  <c r="L822" i="12" s="1"/>
  <c r="M822" i="12" s="1"/>
  <c r="N822" i="12" s="1"/>
  <c r="K823" i="12"/>
  <c r="L823" i="12" s="1"/>
  <c r="M823" i="12" s="1"/>
  <c r="N823" i="12" s="1"/>
  <c r="K824" i="12"/>
  <c r="L824" i="12" s="1"/>
  <c r="M824" i="12" s="1"/>
  <c r="N824" i="12" s="1"/>
  <c r="K825" i="12"/>
  <c r="L825" i="12" s="1"/>
  <c r="M825" i="12" s="1"/>
  <c r="N825" i="12" s="1"/>
  <c r="K826" i="12"/>
  <c r="L826" i="12" s="1"/>
  <c r="M826" i="12" s="1"/>
  <c r="N826" i="12" s="1"/>
  <c r="K827" i="12"/>
  <c r="L827" i="12" s="1"/>
  <c r="M827" i="12" s="1"/>
  <c r="N827" i="12" s="1"/>
  <c r="K828" i="12"/>
  <c r="L828" i="12" s="1"/>
  <c r="M828" i="12" s="1"/>
  <c r="N828" i="12" s="1"/>
  <c r="K829" i="12"/>
  <c r="L829" i="12" s="1"/>
  <c r="M829" i="12" s="1"/>
  <c r="N829" i="12" s="1"/>
  <c r="K830" i="12"/>
  <c r="L830" i="12" s="1"/>
  <c r="M830" i="12" s="1"/>
  <c r="N830" i="12" s="1"/>
  <c r="K831" i="12"/>
  <c r="L831" i="12" s="1"/>
  <c r="M831" i="12" s="1"/>
  <c r="N831" i="12" s="1"/>
  <c r="K832" i="12"/>
  <c r="L832" i="12" s="1"/>
  <c r="M832" i="12" s="1"/>
  <c r="N832" i="12" s="1"/>
  <c r="K833" i="12"/>
  <c r="L833" i="12" s="1"/>
  <c r="M833" i="12" s="1"/>
  <c r="N833" i="12" s="1"/>
  <c r="K834" i="12"/>
  <c r="L834" i="12" s="1"/>
  <c r="M834" i="12" s="1"/>
  <c r="N834" i="12" s="1"/>
  <c r="K835" i="12"/>
  <c r="L835" i="12" s="1"/>
  <c r="M835" i="12" s="1"/>
  <c r="N835" i="12" s="1"/>
  <c r="K836" i="12"/>
  <c r="L836" i="12" s="1"/>
  <c r="M836" i="12" s="1"/>
  <c r="N836" i="12" s="1"/>
  <c r="K837" i="12"/>
  <c r="L837" i="12" s="1"/>
  <c r="M837" i="12" s="1"/>
  <c r="N837" i="12" s="1"/>
  <c r="K838" i="12"/>
  <c r="L838" i="12" s="1"/>
  <c r="M838" i="12" s="1"/>
  <c r="N838" i="12" s="1"/>
  <c r="K839" i="12"/>
  <c r="L839" i="12" s="1"/>
  <c r="M839" i="12" s="1"/>
  <c r="N839" i="12" s="1"/>
  <c r="K840" i="12"/>
  <c r="L840" i="12" s="1"/>
  <c r="M840" i="12" s="1"/>
  <c r="N840" i="12" s="1"/>
  <c r="K881" i="12"/>
  <c r="L881" i="12" s="1"/>
  <c r="M881" i="12" s="1"/>
  <c r="N881" i="12" s="1"/>
  <c r="K882" i="12"/>
  <c r="L882" i="12" s="1"/>
  <c r="M882" i="12" s="1"/>
  <c r="N882" i="12" s="1"/>
  <c r="K883" i="12"/>
  <c r="L883" i="12" s="1"/>
  <c r="M883" i="12" s="1"/>
  <c r="N883" i="12" s="1"/>
  <c r="K884" i="12"/>
  <c r="L884" i="12" s="1"/>
  <c r="M884" i="12" s="1"/>
  <c r="N884" i="12" s="1"/>
  <c r="K891" i="12"/>
  <c r="L891" i="12" s="1"/>
  <c r="M891" i="12" s="1"/>
  <c r="N891" i="12" s="1"/>
  <c r="K892" i="12"/>
  <c r="L892" i="12" s="1"/>
  <c r="M892" i="12" s="1"/>
  <c r="N892" i="12" s="1"/>
  <c r="K893" i="12"/>
  <c r="L893" i="12" s="1"/>
  <c r="M893" i="12" s="1"/>
  <c r="N893" i="12" s="1"/>
  <c r="K894" i="12"/>
  <c r="L894" i="12" s="1"/>
  <c r="M894" i="12" s="1"/>
  <c r="N894" i="12" s="1"/>
  <c r="K895" i="12"/>
  <c r="L895" i="12" s="1"/>
  <c r="M895" i="12" s="1"/>
  <c r="N895" i="12" s="1"/>
  <c r="K896" i="12"/>
  <c r="L896" i="12" s="1"/>
  <c r="M896" i="12" s="1"/>
  <c r="N896" i="12" s="1"/>
  <c r="K897" i="12"/>
  <c r="L897" i="12" s="1"/>
  <c r="M897" i="12" s="1"/>
  <c r="N897" i="12" s="1"/>
  <c r="K898" i="12"/>
  <c r="L898" i="12" s="1"/>
  <c r="M898" i="12" s="1"/>
  <c r="N898" i="12" s="1"/>
  <c r="K899" i="12"/>
  <c r="L899" i="12" s="1"/>
  <c r="M899" i="12" s="1"/>
  <c r="N899" i="12" s="1"/>
  <c r="K900" i="12"/>
  <c r="L900" i="12" s="1"/>
  <c r="M900" i="12" s="1"/>
  <c r="N900" i="12" s="1"/>
  <c r="K901" i="12"/>
  <c r="L901" i="12" s="1"/>
  <c r="M901" i="12" s="1"/>
  <c r="N901" i="12" s="1"/>
  <c r="K902" i="12"/>
  <c r="L902" i="12" s="1"/>
  <c r="M902" i="12" s="1"/>
  <c r="N902" i="12" s="1"/>
  <c r="K903" i="12"/>
  <c r="L903" i="12" s="1"/>
  <c r="M903" i="12" s="1"/>
  <c r="N903" i="12" s="1"/>
  <c r="K904" i="12"/>
  <c r="L904" i="12" s="1"/>
  <c r="M904" i="12" s="1"/>
  <c r="N904" i="12" s="1"/>
  <c r="K906" i="12"/>
  <c r="L906" i="12" s="1"/>
  <c r="M906" i="12" s="1"/>
  <c r="N906" i="12" s="1"/>
  <c r="K907" i="12"/>
  <c r="L907" i="12" s="1"/>
  <c r="M907" i="12" s="1"/>
  <c r="N907" i="12" s="1"/>
  <c r="K908" i="12"/>
  <c r="L908" i="12" s="1"/>
  <c r="M908" i="12" s="1"/>
  <c r="N908" i="12" s="1"/>
  <c r="K909" i="12"/>
  <c r="L909" i="12" s="1"/>
  <c r="M909" i="12" s="1"/>
  <c r="N909" i="12" s="1"/>
  <c r="K911" i="12"/>
  <c r="L911" i="12" s="1"/>
  <c r="M911" i="12" s="1"/>
  <c r="N911" i="12" s="1"/>
  <c r="K912" i="12"/>
  <c r="L912" i="12" s="1"/>
  <c r="M912" i="12" s="1"/>
  <c r="N912" i="12" s="1"/>
  <c r="K913" i="12"/>
  <c r="L913" i="12" s="1"/>
  <c r="M913" i="12" s="1"/>
  <c r="N913" i="12" s="1"/>
  <c r="K914" i="12"/>
  <c r="L914" i="12" s="1"/>
  <c r="M914" i="12" s="1"/>
  <c r="N914" i="12" s="1"/>
  <c r="K915" i="12"/>
  <c r="L915" i="12" s="1"/>
  <c r="M915" i="12" s="1"/>
  <c r="N915" i="12" s="1"/>
  <c r="K916" i="12"/>
  <c r="L916" i="12" s="1"/>
  <c r="M916" i="12" s="1"/>
  <c r="N916" i="12" s="1"/>
  <c r="G133" i="30" s="1"/>
  <c r="K917" i="12"/>
  <c r="L917" i="12" s="1"/>
  <c r="M917" i="12" s="1"/>
  <c r="N917" i="12" s="1"/>
  <c r="K935" i="12"/>
  <c r="L935" i="12" s="1"/>
  <c r="M935" i="12" s="1"/>
  <c r="N935" i="12" s="1"/>
  <c r="K936" i="12"/>
  <c r="L936" i="12" s="1"/>
  <c r="M936" i="12" s="1"/>
  <c r="N936" i="12" s="1"/>
  <c r="K937" i="12"/>
  <c r="L937" i="12" s="1"/>
  <c r="M937" i="12" s="1"/>
  <c r="N937" i="12" s="1"/>
  <c r="K938" i="12"/>
  <c r="L938" i="12" s="1"/>
  <c r="M938" i="12" s="1"/>
  <c r="N938" i="12" s="1"/>
  <c r="K939" i="12"/>
  <c r="L939" i="12" s="1"/>
  <c r="M939" i="12" s="1"/>
  <c r="N939" i="12" s="1"/>
  <c r="K940" i="12"/>
  <c r="L940" i="12" s="1"/>
  <c r="M940" i="12" s="1"/>
  <c r="N940" i="12" s="1"/>
  <c r="K941" i="12"/>
  <c r="L941" i="12" s="1"/>
  <c r="M941" i="12" s="1"/>
  <c r="N941" i="12" s="1"/>
  <c r="K942" i="12"/>
  <c r="L942" i="12" s="1"/>
  <c r="M942" i="12" s="1"/>
  <c r="N942" i="12" s="1"/>
  <c r="K943" i="12"/>
  <c r="L943" i="12" s="1"/>
  <c r="M943" i="12" s="1"/>
  <c r="N943" i="12" s="1"/>
  <c r="K944" i="12"/>
  <c r="L944" i="12" s="1"/>
  <c r="M944" i="12" s="1"/>
  <c r="N944" i="12" s="1"/>
  <c r="K945" i="12"/>
  <c r="L945" i="12" s="1"/>
  <c r="M945" i="12" s="1"/>
  <c r="N945" i="12" s="1"/>
  <c r="K946" i="12"/>
  <c r="L946" i="12" s="1"/>
  <c r="M946" i="12" s="1"/>
  <c r="N946" i="12" s="1"/>
  <c r="K947" i="12"/>
  <c r="L947" i="12" s="1"/>
  <c r="M947" i="12" s="1"/>
  <c r="N947" i="12" s="1"/>
  <c r="K948" i="12"/>
  <c r="L948" i="12" s="1"/>
  <c r="M948" i="12" s="1"/>
  <c r="N948" i="12" s="1"/>
  <c r="K949" i="12"/>
  <c r="L949" i="12" s="1"/>
  <c r="M949" i="12" s="1"/>
  <c r="N949" i="12" s="1"/>
  <c r="K950" i="12"/>
  <c r="L950" i="12" s="1"/>
  <c r="M950" i="12" s="1"/>
  <c r="N950" i="12" s="1"/>
  <c r="K951" i="12"/>
  <c r="L951" i="12" s="1"/>
  <c r="M951" i="12" s="1"/>
  <c r="N951" i="12" s="1"/>
  <c r="K952" i="12"/>
  <c r="L952" i="12" s="1"/>
  <c r="M952" i="12" s="1"/>
  <c r="N952" i="12" s="1"/>
  <c r="K953" i="12"/>
  <c r="L953" i="12" s="1"/>
  <c r="M953" i="12" s="1"/>
  <c r="N953" i="12" s="1"/>
  <c r="K954" i="12"/>
  <c r="L954" i="12" s="1"/>
  <c r="M954" i="12" s="1"/>
  <c r="N954" i="12" s="1"/>
  <c r="K955" i="12"/>
  <c r="L955" i="12" s="1"/>
  <c r="M955" i="12" s="1"/>
  <c r="N955" i="12" s="1"/>
  <c r="K956" i="12"/>
  <c r="L956" i="12" s="1"/>
  <c r="M956" i="12" s="1"/>
  <c r="N956" i="12" s="1"/>
  <c r="K957" i="12"/>
  <c r="L957" i="12" s="1"/>
  <c r="M957" i="12" s="1"/>
  <c r="N957" i="12" s="1"/>
  <c r="K958" i="12"/>
  <c r="L958" i="12" s="1"/>
  <c r="M958" i="12" s="1"/>
  <c r="N958" i="12" s="1"/>
  <c r="K959" i="12"/>
  <c r="L959" i="12" s="1"/>
  <c r="M959" i="12" s="1"/>
  <c r="N959" i="12" s="1"/>
  <c r="K960" i="12"/>
  <c r="L960" i="12" s="1"/>
  <c r="M960" i="12" s="1"/>
  <c r="N960" i="12" s="1"/>
  <c r="K961" i="12"/>
  <c r="L961" i="12" s="1"/>
  <c r="M961" i="12" s="1"/>
  <c r="N961" i="12" s="1"/>
  <c r="K962" i="12"/>
  <c r="L962" i="12" s="1"/>
  <c r="M962" i="12" s="1"/>
  <c r="N962" i="12" s="1"/>
  <c r="K963" i="12"/>
  <c r="L963" i="12" s="1"/>
  <c r="M963" i="12" s="1"/>
  <c r="N963" i="12" s="1"/>
  <c r="K964" i="12"/>
  <c r="L964" i="12" s="1"/>
  <c r="M964" i="12" s="1"/>
  <c r="N964" i="12" s="1"/>
  <c r="K965" i="12"/>
  <c r="L965" i="12" s="1"/>
  <c r="M965" i="12" s="1"/>
  <c r="N965" i="12" s="1"/>
  <c r="K966" i="12"/>
  <c r="L966" i="12" s="1"/>
  <c r="M966" i="12" s="1"/>
  <c r="N966" i="12" s="1"/>
  <c r="K967" i="12"/>
  <c r="L967" i="12" s="1"/>
  <c r="M967" i="12" s="1"/>
  <c r="N967" i="12" s="1"/>
  <c r="K968" i="12"/>
  <c r="L968" i="12" s="1"/>
  <c r="M968" i="12" s="1"/>
  <c r="N968" i="12" s="1"/>
  <c r="K969" i="12"/>
  <c r="L969" i="12" s="1"/>
  <c r="M969" i="12" s="1"/>
  <c r="N969" i="12" s="1"/>
  <c r="K970" i="12"/>
  <c r="L970" i="12" s="1"/>
  <c r="M970" i="12" s="1"/>
  <c r="N970" i="12" s="1"/>
  <c r="K971" i="12"/>
  <c r="L971" i="12" s="1"/>
  <c r="M971" i="12" s="1"/>
  <c r="N971" i="12" s="1"/>
  <c r="K972" i="12"/>
  <c r="L972" i="12" s="1"/>
  <c r="M972" i="12" s="1"/>
  <c r="N972" i="12" s="1"/>
  <c r="K973" i="12"/>
  <c r="L973" i="12" s="1"/>
  <c r="M973" i="12" s="1"/>
  <c r="N973" i="12" s="1"/>
  <c r="K974" i="12"/>
  <c r="L974" i="12" s="1"/>
  <c r="M974" i="12" s="1"/>
  <c r="N974" i="12" s="1"/>
  <c r="K975" i="12"/>
  <c r="L975" i="12" s="1"/>
  <c r="M975" i="12" s="1"/>
  <c r="N975" i="12" s="1"/>
  <c r="K976" i="12"/>
  <c r="L976" i="12" s="1"/>
  <c r="M976" i="12" s="1"/>
  <c r="N976" i="12" s="1"/>
  <c r="K977" i="12"/>
  <c r="L977" i="12" s="1"/>
  <c r="M977" i="12" s="1"/>
  <c r="N977" i="12" s="1"/>
  <c r="K978" i="12"/>
  <c r="L978" i="12" s="1"/>
  <c r="M978" i="12" s="1"/>
  <c r="N978" i="12" s="1"/>
  <c r="K979" i="12"/>
  <c r="L979" i="12" s="1"/>
  <c r="M979" i="12" s="1"/>
  <c r="N979" i="12" s="1"/>
  <c r="K981" i="12"/>
  <c r="L981" i="12" s="1"/>
  <c r="M981" i="12" s="1"/>
  <c r="N981" i="12" s="1"/>
  <c r="K982" i="12"/>
  <c r="L982" i="12" s="1"/>
  <c r="M982" i="12" s="1"/>
  <c r="N982" i="12" s="1"/>
  <c r="K983" i="12"/>
  <c r="L983" i="12" s="1"/>
  <c r="M983" i="12" s="1"/>
  <c r="N983" i="12" s="1"/>
  <c r="K984" i="12"/>
  <c r="L984" i="12" s="1"/>
  <c r="M984" i="12" s="1"/>
  <c r="N984" i="12" s="1"/>
  <c r="K985" i="12"/>
  <c r="L985" i="12" s="1"/>
  <c r="M985" i="12" s="1"/>
  <c r="N985" i="12" s="1"/>
  <c r="K986" i="12"/>
  <c r="L986" i="12" s="1"/>
  <c r="M986" i="12" s="1"/>
  <c r="N986" i="12" s="1"/>
  <c r="K991" i="12"/>
  <c r="L991" i="12" s="1"/>
  <c r="M991" i="12" s="1"/>
  <c r="N991" i="12" s="1"/>
  <c r="K992" i="12"/>
  <c r="L992" i="12" s="1"/>
  <c r="M992" i="12" s="1"/>
  <c r="N992" i="12" s="1"/>
  <c r="K993" i="12"/>
  <c r="L993" i="12" s="1"/>
  <c r="M993" i="12" s="1"/>
  <c r="N993" i="12" s="1"/>
  <c r="K994" i="12"/>
  <c r="L994" i="12" s="1"/>
  <c r="M994" i="12" s="1"/>
  <c r="N994" i="12" s="1"/>
  <c r="K995" i="12"/>
  <c r="L995" i="12" s="1"/>
  <c r="M995" i="12" s="1"/>
  <c r="N995" i="12" s="1"/>
  <c r="K996" i="12"/>
  <c r="L996" i="12" s="1"/>
  <c r="M996" i="12" s="1"/>
  <c r="N996" i="12" s="1"/>
  <c r="K997" i="12"/>
  <c r="L997" i="12" s="1"/>
  <c r="M997" i="12" s="1"/>
  <c r="N997" i="12" s="1"/>
  <c r="K998" i="12"/>
  <c r="L998" i="12" s="1"/>
  <c r="M998" i="12" s="1"/>
  <c r="N998" i="12" s="1"/>
  <c r="K999" i="12"/>
  <c r="L999" i="12" s="1"/>
  <c r="M999" i="12" s="1"/>
  <c r="N999" i="12" s="1"/>
  <c r="K1000" i="12"/>
  <c r="L1000" i="12" s="1"/>
  <c r="M1000" i="12" s="1"/>
  <c r="N1000" i="12" s="1"/>
  <c r="K1001" i="12"/>
  <c r="L1001" i="12" s="1"/>
  <c r="M1001" i="12" s="1"/>
  <c r="N1001" i="12" s="1"/>
  <c r="K1002" i="12"/>
  <c r="L1002" i="12" s="1"/>
  <c r="M1002" i="12" s="1"/>
  <c r="N1002" i="12" s="1"/>
  <c r="K1003" i="12"/>
  <c r="L1003" i="12" s="1"/>
  <c r="M1003" i="12" s="1"/>
  <c r="N1003" i="12" s="1"/>
  <c r="K1004" i="12"/>
  <c r="L1004" i="12" s="1"/>
  <c r="M1004" i="12" s="1"/>
  <c r="N1004" i="12" s="1"/>
  <c r="K1005" i="12"/>
  <c r="L1005" i="12" s="1"/>
  <c r="M1005" i="12" s="1"/>
  <c r="N1005" i="12" s="1"/>
  <c r="K1006" i="12"/>
  <c r="L1006" i="12" s="1"/>
  <c r="M1006" i="12" s="1"/>
  <c r="N1006" i="12" s="1"/>
  <c r="K1007" i="12"/>
  <c r="L1007" i="12" s="1"/>
  <c r="M1007" i="12" s="1"/>
  <c r="N1007" i="12" s="1"/>
  <c r="K1008" i="12"/>
  <c r="L1008" i="12" s="1"/>
  <c r="M1008" i="12" s="1"/>
  <c r="N1008" i="12" s="1"/>
  <c r="K1009" i="12"/>
  <c r="L1009" i="12" s="1"/>
  <c r="M1009" i="12" s="1"/>
  <c r="N1009" i="12" s="1"/>
  <c r="K1010" i="12"/>
  <c r="L1010" i="12" s="1"/>
  <c r="M1010" i="12" s="1"/>
  <c r="N1010" i="12" s="1"/>
  <c r="K1011" i="12"/>
  <c r="L1011" i="12" s="1"/>
  <c r="M1011" i="12" s="1"/>
  <c r="N1011" i="12" s="1"/>
  <c r="K1012" i="12"/>
  <c r="L1012" i="12" s="1"/>
  <c r="M1012" i="12" s="1"/>
  <c r="N1012" i="12" s="1"/>
  <c r="K1013" i="12"/>
  <c r="L1013" i="12" s="1"/>
  <c r="M1013" i="12" s="1"/>
  <c r="N1013" i="12" s="1"/>
  <c r="K1014" i="12"/>
  <c r="L1014" i="12" s="1"/>
  <c r="M1014" i="12" s="1"/>
  <c r="N1014" i="12" s="1"/>
  <c r="G226" i="30" s="1"/>
  <c r="K1015" i="12"/>
  <c r="L1015" i="12" s="1"/>
  <c r="M1015" i="12" s="1"/>
  <c r="N1015" i="12" s="1"/>
  <c r="K1016" i="12"/>
  <c r="L1016" i="12" s="1"/>
  <c r="M1016" i="12" s="1"/>
  <c r="N1016" i="12" s="1"/>
  <c r="K1020" i="12"/>
  <c r="L1020" i="12" s="1"/>
  <c r="M1020" i="12" s="1"/>
  <c r="N1020" i="12" s="1"/>
  <c r="K1021" i="12"/>
  <c r="L1021" i="12" s="1"/>
  <c r="M1021" i="12" s="1"/>
  <c r="N1021" i="12" s="1"/>
  <c r="K1025" i="12"/>
  <c r="L1025" i="12" s="1"/>
  <c r="M1025" i="12" s="1"/>
  <c r="N1025" i="12" s="1"/>
  <c r="K1026" i="12"/>
  <c r="L1026" i="12" s="1"/>
  <c r="M1026" i="12" s="1"/>
  <c r="N1026" i="12" s="1"/>
  <c r="K1027" i="12"/>
  <c r="L1027" i="12" s="1"/>
  <c r="M1027" i="12" s="1"/>
  <c r="N1027" i="12" s="1"/>
  <c r="K1028" i="12"/>
  <c r="L1028" i="12" s="1"/>
  <c r="M1028" i="12" s="1"/>
  <c r="N1028" i="12" s="1"/>
  <c r="K1029" i="12"/>
  <c r="L1029" i="12" s="1"/>
  <c r="M1029" i="12" s="1"/>
  <c r="N1029" i="12" s="1"/>
  <c r="K1030" i="12"/>
  <c r="L1030" i="12" s="1"/>
  <c r="M1030" i="12" s="1"/>
  <c r="N1030" i="12" s="1"/>
  <c r="K1031" i="12"/>
  <c r="L1031" i="12" s="1"/>
  <c r="M1031" i="12" s="1"/>
  <c r="N1031" i="12" s="1"/>
  <c r="K1032" i="12"/>
  <c r="L1032" i="12" s="1"/>
  <c r="M1032" i="12" s="1"/>
  <c r="N1032" i="12" s="1"/>
  <c r="K1033" i="12"/>
  <c r="L1033" i="12" s="1"/>
  <c r="M1033" i="12" s="1"/>
  <c r="N1033" i="12" s="1"/>
  <c r="K1034" i="12"/>
  <c r="L1034" i="12" s="1"/>
  <c r="M1034" i="12" s="1"/>
  <c r="N1034" i="12" s="1"/>
  <c r="K1035" i="12"/>
  <c r="L1035" i="12" s="1"/>
  <c r="M1035" i="12" s="1"/>
  <c r="N1035" i="12" s="1"/>
  <c r="K1036" i="12"/>
  <c r="L1036" i="12" s="1"/>
  <c r="M1036" i="12" s="1"/>
  <c r="N1036" i="12" s="1"/>
  <c r="K1037" i="12"/>
  <c r="L1037" i="12" s="1"/>
  <c r="M1037" i="12" s="1"/>
  <c r="N1037" i="12" s="1"/>
  <c r="K1038" i="12"/>
  <c r="L1038" i="12" s="1"/>
  <c r="M1038" i="12" s="1"/>
  <c r="N1038" i="12" s="1"/>
  <c r="K1039" i="12"/>
  <c r="L1039" i="12" s="1"/>
  <c r="M1039" i="12" s="1"/>
  <c r="N1039" i="12" s="1"/>
  <c r="K1040" i="12"/>
  <c r="L1040" i="12" s="1"/>
  <c r="M1040" i="12" s="1"/>
  <c r="N1040" i="12" s="1"/>
  <c r="K1041" i="12"/>
  <c r="L1041" i="12" s="1"/>
  <c r="M1041" i="12" s="1"/>
  <c r="N1041" i="12" s="1"/>
  <c r="K1042" i="12"/>
  <c r="L1042" i="12" s="1"/>
  <c r="M1042" i="12" s="1"/>
  <c r="N1042" i="12" s="1"/>
  <c r="K1043" i="12"/>
  <c r="L1043" i="12" s="1"/>
  <c r="M1043" i="12" s="1"/>
  <c r="N1043" i="12" s="1"/>
  <c r="K1044" i="12"/>
  <c r="L1044" i="12" s="1"/>
  <c r="M1044" i="12" s="1"/>
  <c r="N1044" i="12" s="1"/>
  <c r="K1045" i="12"/>
  <c r="L1045" i="12" s="1"/>
  <c r="M1045" i="12" s="1"/>
  <c r="N1045" i="12" s="1"/>
  <c r="K1046" i="12"/>
  <c r="L1046" i="12" s="1"/>
  <c r="M1046" i="12" s="1"/>
  <c r="N1046" i="12" s="1"/>
  <c r="K1047" i="12"/>
  <c r="L1047" i="12" s="1"/>
  <c r="M1047" i="12" s="1"/>
  <c r="N1047" i="12" s="1"/>
  <c r="K1048" i="12"/>
  <c r="L1048" i="12" s="1"/>
  <c r="M1048" i="12" s="1"/>
  <c r="N1048" i="12" s="1"/>
  <c r="K1049" i="12"/>
  <c r="L1049" i="12" s="1"/>
  <c r="M1049" i="12" s="1"/>
  <c r="N1049" i="12" s="1"/>
  <c r="K1050" i="12"/>
  <c r="L1050" i="12" s="1"/>
  <c r="M1050" i="12" s="1"/>
  <c r="N1050" i="12" s="1"/>
  <c r="K1051" i="12"/>
  <c r="L1051" i="12" s="1"/>
  <c r="M1051" i="12" s="1"/>
  <c r="N1051" i="12" s="1"/>
  <c r="K1052" i="12"/>
  <c r="L1052" i="12" s="1"/>
  <c r="M1052" i="12" s="1"/>
  <c r="N1052" i="12" s="1"/>
  <c r="K1053" i="12"/>
  <c r="L1053" i="12" s="1"/>
  <c r="M1053" i="12" s="1"/>
  <c r="N1053" i="12" s="1"/>
  <c r="K1054" i="12"/>
  <c r="L1054" i="12" s="1"/>
  <c r="M1054" i="12" s="1"/>
  <c r="N1054" i="12" s="1"/>
  <c r="K1055" i="12"/>
  <c r="L1055" i="12" s="1"/>
  <c r="M1055" i="12" s="1"/>
  <c r="N1055" i="12" s="1"/>
  <c r="K1056" i="12"/>
  <c r="L1056" i="12" s="1"/>
  <c r="M1056" i="12" s="1"/>
  <c r="N1056" i="12" s="1"/>
  <c r="K1057" i="12"/>
  <c r="L1057" i="12" s="1"/>
  <c r="M1057" i="12" s="1"/>
  <c r="N1057" i="12" s="1"/>
  <c r="K1058" i="12"/>
  <c r="L1058" i="12" s="1"/>
  <c r="M1058" i="12" s="1"/>
  <c r="N1058" i="12" s="1"/>
  <c r="K1059" i="12"/>
  <c r="L1059" i="12" s="1"/>
  <c r="M1059" i="12" s="1"/>
  <c r="N1059" i="12" s="1"/>
  <c r="K1060" i="12"/>
  <c r="L1060" i="12" s="1"/>
  <c r="M1060" i="12" s="1"/>
  <c r="N1060" i="12" s="1"/>
  <c r="K1061" i="12"/>
  <c r="L1061" i="12" s="1"/>
  <c r="M1061" i="12" s="1"/>
  <c r="N1061" i="12" s="1"/>
  <c r="K1062" i="12"/>
  <c r="L1062" i="12" s="1"/>
  <c r="M1062" i="12" s="1"/>
  <c r="N1062" i="12" s="1"/>
  <c r="K1063" i="12"/>
  <c r="L1063" i="12" s="1"/>
  <c r="M1063" i="12" s="1"/>
  <c r="N1063" i="12" s="1"/>
  <c r="K1064" i="12"/>
  <c r="L1064" i="12" s="1"/>
  <c r="M1064" i="12" s="1"/>
  <c r="N1064" i="12" s="1"/>
  <c r="K1065" i="12"/>
  <c r="L1065" i="12" s="1"/>
  <c r="M1065" i="12" s="1"/>
  <c r="N1065" i="12" s="1"/>
  <c r="K1066" i="12"/>
  <c r="L1066" i="12" s="1"/>
  <c r="M1066" i="12" s="1"/>
  <c r="N1066" i="12" s="1"/>
  <c r="K1067" i="12"/>
  <c r="L1067" i="12" s="1"/>
  <c r="M1067" i="12" s="1"/>
  <c r="N1067" i="12" s="1"/>
  <c r="K1068" i="12"/>
  <c r="L1068" i="12" s="1"/>
  <c r="M1068" i="12" s="1"/>
  <c r="N1068" i="12" s="1"/>
  <c r="K1069" i="12"/>
  <c r="L1069" i="12" s="1"/>
  <c r="M1069" i="12" s="1"/>
  <c r="N1069" i="12" s="1"/>
  <c r="K1070" i="12"/>
  <c r="L1070" i="12" s="1"/>
  <c r="M1070" i="12" s="1"/>
  <c r="N1070" i="12" s="1"/>
  <c r="K1071" i="12"/>
  <c r="L1071" i="12" s="1"/>
  <c r="M1071" i="12" s="1"/>
  <c r="N1071" i="12" s="1"/>
  <c r="K1072" i="12"/>
  <c r="L1072" i="12" s="1"/>
  <c r="M1072" i="12" s="1"/>
  <c r="N1072" i="12" s="1"/>
  <c r="K1073" i="12"/>
  <c r="L1073" i="12" s="1"/>
  <c r="M1073" i="12" s="1"/>
  <c r="N1073" i="12" s="1"/>
  <c r="K1074" i="12"/>
  <c r="L1074" i="12" s="1"/>
  <c r="M1074" i="12" s="1"/>
  <c r="N1074" i="12" s="1"/>
  <c r="K1075" i="12"/>
  <c r="L1075" i="12" s="1"/>
  <c r="M1075" i="12" s="1"/>
  <c r="N1075" i="12" s="1"/>
  <c r="K1076" i="12"/>
  <c r="L1076" i="12" s="1"/>
  <c r="M1076" i="12" s="1"/>
  <c r="N1076" i="12" s="1"/>
  <c r="K1077" i="12"/>
  <c r="L1077" i="12" s="1"/>
  <c r="M1077" i="12" s="1"/>
  <c r="N1077" i="12" s="1"/>
  <c r="K1078" i="12"/>
  <c r="L1078" i="12" s="1"/>
  <c r="M1078" i="12" s="1"/>
  <c r="N1078" i="12" s="1"/>
  <c r="K1079" i="12"/>
  <c r="L1079" i="12" s="1"/>
  <c r="M1079" i="12" s="1"/>
  <c r="N1079" i="12" s="1"/>
  <c r="K1080" i="12"/>
  <c r="L1080" i="12" s="1"/>
  <c r="M1080" i="12" s="1"/>
  <c r="N1080" i="12" s="1"/>
  <c r="K1081" i="12"/>
  <c r="L1081" i="12" s="1"/>
  <c r="M1081" i="12" s="1"/>
  <c r="N1081" i="12" s="1"/>
  <c r="K1082" i="12"/>
  <c r="L1082" i="12" s="1"/>
  <c r="M1082" i="12" s="1"/>
  <c r="N1082" i="12" s="1"/>
  <c r="K1083" i="12"/>
  <c r="L1083" i="12" s="1"/>
  <c r="M1083" i="12" s="1"/>
  <c r="N1083" i="12" s="1"/>
  <c r="K1084" i="12"/>
  <c r="L1084" i="12" s="1"/>
  <c r="M1084" i="12" s="1"/>
  <c r="N1084" i="12" s="1"/>
  <c r="K1085" i="12"/>
  <c r="L1085" i="12" s="1"/>
  <c r="M1085" i="12" s="1"/>
  <c r="N1085" i="12" s="1"/>
  <c r="K1086" i="12"/>
  <c r="L1086" i="12" s="1"/>
  <c r="M1086" i="12" s="1"/>
  <c r="N1086" i="12" s="1"/>
  <c r="K1087" i="12"/>
  <c r="L1087" i="12" s="1"/>
  <c r="M1087" i="12" s="1"/>
  <c r="N1087" i="12" s="1"/>
  <c r="K1088" i="12"/>
  <c r="L1088" i="12" s="1"/>
  <c r="M1088" i="12" s="1"/>
  <c r="N1088" i="12" s="1"/>
  <c r="K1089" i="12"/>
  <c r="L1089" i="12" s="1"/>
  <c r="M1089" i="12" s="1"/>
  <c r="N1089" i="12" s="1"/>
  <c r="K1090" i="12"/>
  <c r="L1090" i="12" s="1"/>
  <c r="M1090" i="12" s="1"/>
  <c r="N1090" i="12" s="1"/>
  <c r="K1091" i="12"/>
  <c r="L1091" i="12" s="1"/>
  <c r="M1091" i="12" s="1"/>
  <c r="N1091" i="12" s="1"/>
  <c r="K1092" i="12"/>
  <c r="L1092" i="12" s="1"/>
  <c r="M1092" i="12" s="1"/>
  <c r="N1092" i="12" s="1"/>
  <c r="K1093" i="12"/>
  <c r="L1093" i="12" s="1"/>
  <c r="M1093" i="12" s="1"/>
  <c r="N1093" i="12" s="1"/>
  <c r="K1094" i="12"/>
  <c r="L1094" i="12" s="1"/>
  <c r="M1094" i="12" s="1"/>
  <c r="N1094" i="12" s="1"/>
  <c r="K1095" i="12"/>
  <c r="L1095" i="12" s="1"/>
  <c r="M1095" i="12" s="1"/>
  <c r="N1095" i="12" s="1"/>
  <c r="K1096" i="12"/>
  <c r="L1096" i="12" s="1"/>
  <c r="M1096" i="12" s="1"/>
  <c r="N1096" i="12" s="1"/>
  <c r="K1097" i="12"/>
  <c r="L1097" i="12" s="1"/>
  <c r="M1097" i="12" s="1"/>
  <c r="N1097" i="12" s="1"/>
  <c r="K1098" i="12"/>
  <c r="L1098" i="12" s="1"/>
  <c r="M1098" i="12" s="1"/>
  <c r="N1098" i="12" s="1"/>
  <c r="K1099" i="12"/>
  <c r="L1099" i="12" s="1"/>
  <c r="M1099" i="12" s="1"/>
  <c r="N1099" i="12" s="1"/>
  <c r="K1100" i="12"/>
  <c r="L1100" i="12" s="1"/>
  <c r="M1100" i="12" s="1"/>
  <c r="N1100" i="12" s="1"/>
  <c r="K1101" i="12"/>
  <c r="L1101" i="12" s="1"/>
  <c r="M1101" i="12" s="1"/>
  <c r="N1101" i="12" s="1"/>
  <c r="K1102" i="12"/>
  <c r="L1102" i="12" s="1"/>
  <c r="M1102" i="12" s="1"/>
  <c r="N1102" i="12" s="1"/>
  <c r="K1103" i="12"/>
  <c r="L1103" i="12" s="1"/>
  <c r="M1103" i="12" s="1"/>
  <c r="N1103" i="12" s="1"/>
  <c r="K1104" i="12"/>
  <c r="L1104" i="12" s="1"/>
  <c r="M1104" i="12" s="1"/>
  <c r="N1104" i="12" s="1"/>
  <c r="K1105" i="12"/>
  <c r="L1105" i="12" s="1"/>
  <c r="M1105" i="12" s="1"/>
  <c r="N1105" i="12" s="1"/>
  <c r="K1106" i="12"/>
  <c r="L1106" i="12" s="1"/>
  <c r="M1106" i="12" s="1"/>
  <c r="N1106" i="12" s="1"/>
  <c r="K1107" i="12"/>
  <c r="L1107" i="12" s="1"/>
  <c r="M1107" i="12" s="1"/>
  <c r="N1107" i="12" s="1"/>
  <c r="K1108" i="12"/>
  <c r="L1108" i="12" s="1"/>
  <c r="M1108" i="12" s="1"/>
  <c r="N1108" i="12" s="1"/>
  <c r="K1109" i="12"/>
  <c r="L1109" i="12" s="1"/>
  <c r="M1109" i="12" s="1"/>
  <c r="N1109" i="12" s="1"/>
  <c r="K1110" i="12"/>
  <c r="L1110" i="12" s="1"/>
  <c r="M1110" i="12" s="1"/>
  <c r="N1110" i="12" s="1"/>
  <c r="K1111" i="12"/>
  <c r="L1111" i="12" s="1"/>
  <c r="M1111" i="12" s="1"/>
  <c r="N1111" i="12" s="1"/>
  <c r="K1112" i="12"/>
  <c r="L1112" i="12" s="1"/>
  <c r="M1112" i="12" s="1"/>
  <c r="N1112" i="12" s="1"/>
  <c r="K1113" i="12"/>
  <c r="L1113" i="12" s="1"/>
  <c r="M1113" i="12" s="1"/>
  <c r="N1113" i="12" s="1"/>
  <c r="K1114" i="12"/>
  <c r="L1114" i="12" s="1"/>
  <c r="M1114" i="12" s="1"/>
  <c r="N1114" i="12" s="1"/>
  <c r="K1115" i="12"/>
  <c r="L1115" i="12" s="1"/>
  <c r="M1115" i="12" s="1"/>
  <c r="N1115" i="12" s="1"/>
  <c r="K1116" i="12"/>
  <c r="L1116" i="12" s="1"/>
  <c r="M1116" i="12" s="1"/>
  <c r="N1116" i="12" s="1"/>
  <c r="K1117" i="12"/>
  <c r="L1117" i="12" s="1"/>
  <c r="M1117" i="12" s="1"/>
  <c r="N1117" i="12" s="1"/>
  <c r="K1118" i="12"/>
  <c r="L1118" i="12" s="1"/>
  <c r="M1118" i="12" s="1"/>
  <c r="N1118" i="12" s="1"/>
  <c r="K1119" i="12"/>
  <c r="L1119" i="12" s="1"/>
  <c r="M1119" i="12" s="1"/>
  <c r="N1119" i="12" s="1"/>
  <c r="K1120" i="12"/>
  <c r="L1120" i="12" s="1"/>
  <c r="M1120" i="12" s="1"/>
  <c r="N1120" i="12" s="1"/>
  <c r="K1121" i="12"/>
  <c r="L1121" i="12" s="1"/>
  <c r="M1121" i="12" s="1"/>
  <c r="N1121" i="12" s="1"/>
  <c r="K1122" i="12"/>
  <c r="L1122" i="12" s="1"/>
  <c r="M1122" i="12" s="1"/>
  <c r="N1122" i="12" s="1"/>
  <c r="K1123" i="12"/>
  <c r="L1123" i="12" s="1"/>
  <c r="M1123" i="12" s="1"/>
  <c r="N1123" i="12" s="1"/>
  <c r="K1124" i="12"/>
  <c r="L1124" i="12" s="1"/>
  <c r="M1124" i="12" s="1"/>
  <c r="N1124" i="12" s="1"/>
  <c r="K1125" i="12"/>
  <c r="L1125" i="12" s="1"/>
  <c r="M1125" i="12" s="1"/>
  <c r="N1125" i="12" s="1"/>
  <c r="K1126" i="12"/>
  <c r="L1126" i="12" s="1"/>
  <c r="M1126" i="12" s="1"/>
  <c r="N1126" i="12" s="1"/>
  <c r="K1127" i="12"/>
  <c r="L1127" i="12" s="1"/>
  <c r="M1127" i="12" s="1"/>
  <c r="N1127" i="12" s="1"/>
  <c r="K1128" i="12"/>
  <c r="L1128" i="12" s="1"/>
  <c r="M1128" i="12" s="1"/>
  <c r="N1128" i="12" s="1"/>
  <c r="K1129" i="12"/>
  <c r="L1129" i="12" s="1"/>
  <c r="M1129" i="12" s="1"/>
  <c r="N1129" i="12" s="1"/>
  <c r="K1130" i="12"/>
  <c r="L1130" i="12" s="1"/>
  <c r="M1130" i="12" s="1"/>
  <c r="N1130" i="12" s="1"/>
  <c r="K1131" i="12"/>
  <c r="L1131" i="12" s="1"/>
  <c r="M1131" i="12" s="1"/>
  <c r="N1131" i="12" s="1"/>
  <c r="K1132" i="12"/>
  <c r="L1132" i="12" s="1"/>
  <c r="M1132" i="12" s="1"/>
  <c r="N1132" i="12" s="1"/>
  <c r="K1133" i="12"/>
  <c r="L1133" i="12" s="1"/>
  <c r="M1133" i="12" s="1"/>
  <c r="N1133" i="12" s="1"/>
  <c r="K1134" i="12"/>
  <c r="L1134" i="12" s="1"/>
  <c r="M1134" i="12" s="1"/>
  <c r="N1134" i="12" s="1"/>
  <c r="K1135" i="12"/>
  <c r="L1135" i="12" s="1"/>
  <c r="M1135" i="12" s="1"/>
  <c r="N1135" i="12" s="1"/>
  <c r="K1136" i="12"/>
  <c r="L1136" i="12" s="1"/>
  <c r="M1136" i="12" s="1"/>
  <c r="N1136" i="12" s="1"/>
  <c r="K1137" i="12"/>
  <c r="L1137" i="12" s="1"/>
  <c r="M1137" i="12" s="1"/>
  <c r="N1137" i="12" s="1"/>
  <c r="K1138" i="12"/>
  <c r="L1138" i="12" s="1"/>
  <c r="M1138" i="12" s="1"/>
  <c r="N1138" i="12" s="1"/>
  <c r="K1139" i="12"/>
  <c r="L1139" i="12" s="1"/>
  <c r="M1139" i="12" s="1"/>
  <c r="N1139" i="12" s="1"/>
  <c r="K1140" i="12"/>
  <c r="L1140" i="12" s="1"/>
  <c r="M1140" i="12" s="1"/>
  <c r="N1140" i="12" s="1"/>
  <c r="K1141" i="12"/>
  <c r="L1141" i="12" s="1"/>
  <c r="M1141" i="12" s="1"/>
  <c r="N1141" i="12" s="1"/>
  <c r="K1142" i="12"/>
  <c r="L1142" i="12" s="1"/>
  <c r="M1142" i="12" s="1"/>
  <c r="N1142" i="12" s="1"/>
  <c r="K1143" i="12"/>
  <c r="L1143" i="12" s="1"/>
  <c r="M1143" i="12" s="1"/>
  <c r="N1143" i="12" s="1"/>
  <c r="K1144" i="12"/>
  <c r="L1144" i="12" s="1"/>
  <c r="M1144" i="12" s="1"/>
  <c r="N1144" i="12" s="1"/>
  <c r="K1145" i="12"/>
  <c r="L1145" i="12" s="1"/>
  <c r="M1145" i="12" s="1"/>
  <c r="N1145" i="12" s="1"/>
  <c r="K1146" i="12"/>
  <c r="L1146" i="12" s="1"/>
  <c r="M1146" i="12" s="1"/>
  <c r="N1146" i="12" s="1"/>
  <c r="K1147" i="12"/>
  <c r="L1147" i="12" s="1"/>
  <c r="M1147" i="12" s="1"/>
  <c r="N1147" i="12" s="1"/>
  <c r="K1148" i="12"/>
  <c r="L1148" i="12" s="1"/>
  <c r="M1148" i="12" s="1"/>
  <c r="N1148" i="12" s="1"/>
  <c r="K1149" i="12"/>
  <c r="L1149" i="12" s="1"/>
  <c r="M1149" i="12" s="1"/>
  <c r="N1149" i="12" s="1"/>
  <c r="K1150" i="12"/>
  <c r="L1150" i="12" s="1"/>
  <c r="M1150" i="12" s="1"/>
  <c r="N1150" i="12" s="1"/>
  <c r="K1151" i="12"/>
  <c r="L1151" i="12" s="1"/>
  <c r="M1151" i="12" s="1"/>
  <c r="N1151" i="12" s="1"/>
  <c r="K1152" i="12"/>
  <c r="L1152" i="12" s="1"/>
  <c r="M1152" i="12" s="1"/>
  <c r="N1152" i="12" s="1"/>
  <c r="K1153" i="12"/>
  <c r="L1153" i="12" s="1"/>
  <c r="M1153" i="12" s="1"/>
  <c r="N1153" i="12" s="1"/>
  <c r="K1154" i="12"/>
  <c r="L1154" i="12" s="1"/>
  <c r="M1154" i="12" s="1"/>
  <c r="N1154" i="12" s="1"/>
  <c r="K1155" i="12"/>
  <c r="L1155" i="12" s="1"/>
  <c r="M1155" i="12" s="1"/>
  <c r="N1155" i="12" s="1"/>
  <c r="K1156" i="12"/>
  <c r="L1156" i="12" s="1"/>
  <c r="M1156" i="12" s="1"/>
  <c r="N1156" i="12" s="1"/>
  <c r="K1157" i="12"/>
  <c r="L1157" i="12" s="1"/>
  <c r="M1157" i="12" s="1"/>
  <c r="N1157" i="12" s="1"/>
  <c r="K1158" i="12"/>
  <c r="L1158" i="12" s="1"/>
  <c r="M1158" i="12" s="1"/>
  <c r="N1158" i="12" s="1"/>
  <c r="K1159" i="12"/>
  <c r="L1159" i="12" s="1"/>
  <c r="M1159" i="12" s="1"/>
  <c r="N1159" i="12" s="1"/>
  <c r="K1160" i="12"/>
  <c r="L1160" i="12" s="1"/>
  <c r="M1160" i="12" s="1"/>
  <c r="N1160" i="12" s="1"/>
  <c r="K1161" i="12"/>
  <c r="L1161" i="12" s="1"/>
  <c r="M1161" i="12" s="1"/>
  <c r="N1161" i="12" s="1"/>
  <c r="K1162" i="12"/>
  <c r="L1162" i="12" s="1"/>
  <c r="M1162" i="12" s="1"/>
  <c r="N1162" i="12" s="1"/>
  <c r="K1163" i="12"/>
  <c r="L1163" i="12" s="1"/>
  <c r="M1163" i="12" s="1"/>
  <c r="N1163" i="12" s="1"/>
  <c r="K1164" i="12"/>
  <c r="L1164" i="12" s="1"/>
  <c r="M1164" i="12" s="1"/>
  <c r="N1164" i="12" s="1"/>
  <c r="K1165" i="12"/>
  <c r="L1165" i="12" s="1"/>
  <c r="M1165" i="12" s="1"/>
  <c r="N1165" i="12" s="1"/>
  <c r="K1166" i="12"/>
  <c r="L1166" i="12" s="1"/>
  <c r="M1166" i="12" s="1"/>
  <c r="N1166" i="12" s="1"/>
  <c r="K1167" i="12"/>
  <c r="L1167" i="12" s="1"/>
  <c r="M1167" i="12" s="1"/>
  <c r="N1167" i="12" s="1"/>
  <c r="K1168" i="12"/>
  <c r="L1168" i="12" s="1"/>
  <c r="M1168" i="12" s="1"/>
  <c r="N1168" i="12" s="1"/>
  <c r="K1169" i="12"/>
  <c r="L1169" i="12" s="1"/>
  <c r="M1169" i="12" s="1"/>
  <c r="N1169" i="12" s="1"/>
  <c r="K1170" i="12"/>
  <c r="L1170" i="12" s="1"/>
  <c r="M1170" i="12" s="1"/>
  <c r="N1170" i="12" s="1"/>
  <c r="K1171" i="12"/>
  <c r="L1171" i="12" s="1"/>
  <c r="M1171" i="12" s="1"/>
  <c r="N1171" i="12" s="1"/>
  <c r="K1172" i="12"/>
  <c r="L1172" i="12" s="1"/>
  <c r="M1172" i="12" s="1"/>
  <c r="N1172" i="12" s="1"/>
  <c r="K1173" i="12"/>
  <c r="L1173" i="12" s="1"/>
  <c r="M1173" i="12" s="1"/>
  <c r="N1173" i="12" s="1"/>
  <c r="K1174" i="12"/>
  <c r="L1174" i="12" s="1"/>
  <c r="M1174" i="12" s="1"/>
  <c r="N1174" i="12" s="1"/>
  <c r="K1175" i="12"/>
  <c r="L1175" i="12" s="1"/>
  <c r="M1175" i="12" s="1"/>
  <c r="N1175" i="12" s="1"/>
  <c r="K1176" i="12"/>
  <c r="L1176" i="12" s="1"/>
  <c r="M1176" i="12" s="1"/>
  <c r="N1176" i="12" s="1"/>
  <c r="K1177" i="12"/>
  <c r="L1177" i="12" s="1"/>
  <c r="M1177" i="12" s="1"/>
  <c r="N1177" i="12" s="1"/>
  <c r="K1178" i="12"/>
  <c r="L1178" i="12" s="1"/>
  <c r="M1178" i="12" s="1"/>
  <c r="N1178" i="12" s="1"/>
  <c r="K1179" i="12"/>
  <c r="L1179" i="12" s="1"/>
  <c r="M1179" i="12" s="1"/>
  <c r="N1179" i="12" s="1"/>
  <c r="K1180" i="12"/>
  <c r="L1180" i="12" s="1"/>
  <c r="M1180" i="12" s="1"/>
  <c r="N1180" i="12" s="1"/>
  <c r="K1181" i="12"/>
  <c r="L1181" i="12" s="1"/>
  <c r="M1181" i="12" s="1"/>
  <c r="N1181" i="12" s="1"/>
  <c r="K1182" i="12"/>
  <c r="L1182" i="12" s="1"/>
  <c r="M1182" i="12" s="1"/>
  <c r="N1182" i="12" s="1"/>
  <c r="K1183" i="12"/>
  <c r="L1183" i="12" s="1"/>
  <c r="M1183" i="12" s="1"/>
  <c r="N1183" i="12" s="1"/>
  <c r="K1184" i="12"/>
  <c r="L1184" i="12" s="1"/>
  <c r="M1184" i="12" s="1"/>
  <c r="N1184" i="12" s="1"/>
  <c r="K1185" i="12"/>
  <c r="L1185" i="12" s="1"/>
  <c r="M1185" i="12" s="1"/>
  <c r="N1185" i="12" s="1"/>
  <c r="K1186" i="12"/>
  <c r="L1186" i="12" s="1"/>
  <c r="M1186" i="12" s="1"/>
  <c r="N1186" i="12" s="1"/>
  <c r="K1187" i="12"/>
  <c r="L1187" i="12" s="1"/>
  <c r="M1187" i="12" s="1"/>
  <c r="N1187" i="12" s="1"/>
  <c r="K1188" i="12"/>
  <c r="L1188" i="12" s="1"/>
  <c r="M1188" i="12" s="1"/>
  <c r="N1188" i="12" s="1"/>
  <c r="K1189" i="12"/>
  <c r="L1189" i="12" s="1"/>
  <c r="M1189" i="12" s="1"/>
  <c r="N1189" i="12" s="1"/>
  <c r="K1190" i="12"/>
  <c r="L1190" i="12" s="1"/>
  <c r="M1190" i="12" s="1"/>
  <c r="N1190" i="12" s="1"/>
  <c r="K1191" i="12"/>
  <c r="L1191" i="12" s="1"/>
  <c r="M1191" i="12" s="1"/>
  <c r="N1191" i="12" s="1"/>
  <c r="K1192" i="12"/>
  <c r="L1192" i="12" s="1"/>
  <c r="M1192" i="12" s="1"/>
  <c r="N1192" i="12" s="1"/>
  <c r="K1193" i="12"/>
  <c r="L1193" i="12" s="1"/>
  <c r="M1193" i="12" s="1"/>
  <c r="N1193" i="12" s="1"/>
  <c r="K1194" i="12"/>
  <c r="L1194" i="12" s="1"/>
  <c r="M1194" i="12" s="1"/>
  <c r="N1194" i="12" s="1"/>
  <c r="K1195" i="12"/>
  <c r="L1195" i="12" s="1"/>
  <c r="M1195" i="12" s="1"/>
  <c r="N1195" i="12" s="1"/>
  <c r="K1196" i="12"/>
  <c r="L1196" i="12" s="1"/>
  <c r="M1196" i="12" s="1"/>
  <c r="N1196" i="12" s="1"/>
  <c r="K1197" i="12"/>
  <c r="L1197" i="12" s="1"/>
  <c r="M1197" i="12" s="1"/>
  <c r="N1197" i="12" s="1"/>
  <c r="K1198" i="12"/>
  <c r="L1198" i="12" s="1"/>
  <c r="M1198" i="12" s="1"/>
  <c r="N1198" i="12" s="1"/>
  <c r="K1199" i="12"/>
  <c r="L1199" i="12" s="1"/>
  <c r="M1199" i="12" s="1"/>
  <c r="N1199" i="12" s="1"/>
  <c r="K1200" i="12"/>
  <c r="L1200" i="12" s="1"/>
  <c r="M1200" i="12" s="1"/>
  <c r="N1200" i="12" s="1"/>
  <c r="K1201" i="12"/>
  <c r="L1201" i="12" s="1"/>
  <c r="M1201" i="12" s="1"/>
  <c r="N1201" i="12" s="1"/>
  <c r="K1202" i="12"/>
  <c r="L1202" i="12" s="1"/>
  <c r="M1202" i="12" s="1"/>
  <c r="N1202" i="12" s="1"/>
  <c r="K1203" i="12"/>
  <c r="L1203" i="12" s="1"/>
  <c r="M1203" i="12" s="1"/>
  <c r="N1203" i="12" s="1"/>
  <c r="K1204" i="12"/>
  <c r="L1204" i="12" s="1"/>
  <c r="M1204" i="12" s="1"/>
  <c r="N1204" i="12" s="1"/>
  <c r="K1205" i="12"/>
  <c r="L1205" i="12" s="1"/>
  <c r="M1205" i="12" s="1"/>
  <c r="N1205" i="12" s="1"/>
  <c r="K1206" i="12"/>
  <c r="L1206" i="12" s="1"/>
  <c r="M1206" i="12" s="1"/>
  <c r="N1206" i="12" s="1"/>
  <c r="K1207" i="12"/>
  <c r="L1207" i="12" s="1"/>
  <c r="M1207" i="12" s="1"/>
  <c r="N1207" i="12" s="1"/>
  <c r="K1208" i="12"/>
  <c r="L1208" i="12" s="1"/>
  <c r="M1208" i="12" s="1"/>
  <c r="N1208" i="12" s="1"/>
  <c r="K1209" i="12"/>
  <c r="L1209" i="12" s="1"/>
  <c r="M1209" i="12" s="1"/>
  <c r="N1209" i="12" s="1"/>
  <c r="K1210" i="12"/>
  <c r="L1210" i="12" s="1"/>
  <c r="M1210" i="12" s="1"/>
  <c r="N1210" i="12" s="1"/>
  <c r="K1211" i="12"/>
  <c r="L1211" i="12" s="1"/>
  <c r="M1211" i="12" s="1"/>
  <c r="N1211" i="12" s="1"/>
  <c r="K1212" i="12"/>
  <c r="L1212" i="12" s="1"/>
  <c r="M1212" i="12" s="1"/>
  <c r="N1212" i="12" s="1"/>
  <c r="K1213" i="12"/>
  <c r="L1213" i="12" s="1"/>
  <c r="M1213" i="12" s="1"/>
  <c r="N1213" i="12" s="1"/>
  <c r="K1214" i="12"/>
  <c r="L1214" i="12" s="1"/>
  <c r="M1214" i="12" s="1"/>
  <c r="N1214" i="12" s="1"/>
  <c r="K1215" i="12"/>
  <c r="L1215" i="12" s="1"/>
  <c r="M1215" i="12" s="1"/>
  <c r="N1215" i="12" s="1"/>
  <c r="K1216" i="12"/>
  <c r="L1216" i="12" s="1"/>
  <c r="M1216" i="12" s="1"/>
  <c r="N1216" i="12" s="1"/>
  <c r="K1217" i="12"/>
  <c r="L1217" i="12" s="1"/>
  <c r="M1217" i="12" s="1"/>
  <c r="N1217" i="12" s="1"/>
  <c r="K1218" i="12"/>
  <c r="L1218" i="12" s="1"/>
  <c r="M1218" i="12" s="1"/>
  <c r="N1218" i="12" s="1"/>
  <c r="K1219" i="12"/>
  <c r="L1219" i="12" s="1"/>
  <c r="M1219" i="12" s="1"/>
  <c r="N1219" i="12" s="1"/>
  <c r="K1220" i="12"/>
  <c r="L1220" i="12" s="1"/>
  <c r="M1220" i="12" s="1"/>
  <c r="N1220" i="12" s="1"/>
  <c r="K1221" i="12"/>
  <c r="L1221" i="12" s="1"/>
  <c r="M1221" i="12" s="1"/>
  <c r="N1221" i="12" s="1"/>
  <c r="K1222" i="12"/>
  <c r="L1222" i="12" s="1"/>
  <c r="M1222" i="12" s="1"/>
  <c r="N1222" i="12" s="1"/>
  <c r="K1223" i="12"/>
  <c r="L1223" i="12" s="1"/>
  <c r="M1223" i="12" s="1"/>
  <c r="N1223" i="12" s="1"/>
  <c r="K1224" i="12"/>
  <c r="L1224" i="12" s="1"/>
  <c r="M1224" i="12" s="1"/>
  <c r="N1224" i="12" s="1"/>
  <c r="K1225" i="12"/>
  <c r="L1225" i="12" s="1"/>
  <c r="M1225" i="12" s="1"/>
  <c r="N1225" i="12" s="1"/>
  <c r="K1226" i="12"/>
  <c r="L1226" i="12" s="1"/>
  <c r="M1226" i="12" s="1"/>
  <c r="N1226" i="12" s="1"/>
  <c r="K1227" i="12"/>
  <c r="L1227" i="12" s="1"/>
  <c r="M1227" i="12" s="1"/>
  <c r="N1227" i="12" s="1"/>
  <c r="K1228" i="12"/>
  <c r="L1228" i="12" s="1"/>
  <c r="M1228" i="12" s="1"/>
  <c r="N1228" i="12" s="1"/>
  <c r="K1229" i="12"/>
  <c r="L1229" i="12" s="1"/>
  <c r="M1229" i="12" s="1"/>
  <c r="N1229" i="12" s="1"/>
  <c r="K1230" i="12"/>
  <c r="L1230" i="12" s="1"/>
  <c r="M1230" i="12" s="1"/>
  <c r="N1230" i="12" s="1"/>
  <c r="K1231" i="12"/>
  <c r="L1231" i="12" s="1"/>
  <c r="M1231" i="12" s="1"/>
  <c r="N1231" i="12" s="1"/>
  <c r="K1232" i="12"/>
  <c r="L1232" i="12" s="1"/>
  <c r="M1232" i="12" s="1"/>
  <c r="N1232" i="12" s="1"/>
  <c r="K1233" i="12"/>
  <c r="L1233" i="12" s="1"/>
  <c r="M1233" i="12" s="1"/>
  <c r="N1233" i="12" s="1"/>
  <c r="K1234" i="12"/>
  <c r="L1234" i="12" s="1"/>
  <c r="M1234" i="12" s="1"/>
  <c r="N1234" i="12" s="1"/>
  <c r="K1235" i="12"/>
  <c r="L1235" i="12" s="1"/>
  <c r="M1235" i="12" s="1"/>
  <c r="N1235" i="12" s="1"/>
  <c r="K1236" i="12"/>
  <c r="L1236" i="12" s="1"/>
  <c r="M1236" i="12" s="1"/>
  <c r="N1236" i="12" s="1"/>
  <c r="K1237" i="12"/>
  <c r="L1237" i="12" s="1"/>
  <c r="M1237" i="12" s="1"/>
  <c r="N1237" i="12" s="1"/>
  <c r="K1238" i="12"/>
  <c r="L1238" i="12" s="1"/>
  <c r="M1238" i="12" s="1"/>
  <c r="N1238" i="12" s="1"/>
  <c r="K1239" i="12"/>
  <c r="L1239" i="12" s="1"/>
  <c r="M1239" i="12" s="1"/>
  <c r="N1239" i="12" s="1"/>
  <c r="K1240" i="12"/>
  <c r="L1240" i="12" s="1"/>
  <c r="M1240" i="12" s="1"/>
  <c r="N1240" i="12" s="1"/>
  <c r="K1241" i="12"/>
  <c r="L1241" i="12" s="1"/>
  <c r="M1241" i="12" s="1"/>
  <c r="N1241" i="12" s="1"/>
  <c r="K1242" i="12"/>
  <c r="L1242" i="12" s="1"/>
  <c r="M1242" i="12" s="1"/>
  <c r="N1242" i="12" s="1"/>
  <c r="K1243" i="12"/>
  <c r="L1243" i="12" s="1"/>
  <c r="M1243" i="12" s="1"/>
  <c r="N1243" i="12" s="1"/>
  <c r="K1244" i="12"/>
  <c r="L1244" i="12" s="1"/>
  <c r="M1244" i="12" s="1"/>
  <c r="N1244" i="12" s="1"/>
  <c r="K1245" i="12"/>
  <c r="L1245" i="12" s="1"/>
  <c r="M1245" i="12" s="1"/>
  <c r="N1245" i="12" s="1"/>
  <c r="K1246" i="12"/>
  <c r="L1246" i="12" s="1"/>
  <c r="M1246" i="12" s="1"/>
  <c r="N1246" i="12" s="1"/>
  <c r="K1247" i="12"/>
  <c r="L1247" i="12" s="1"/>
  <c r="M1247" i="12" s="1"/>
  <c r="N1247" i="12" s="1"/>
  <c r="K1248" i="12"/>
  <c r="L1248" i="12" s="1"/>
  <c r="M1248" i="12" s="1"/>
  <c r="N1248" i="12" s="1"/>
  <c r="K1249" i="12"/>
  <c r="L1249" i="12" s="1"/>
  <c r="M1249" i="12" s="1"/>
  <c r="N1249" i="12" s="1"/>
  <c r="K1250" i="12"/>
  <c r="L1250" i="12" s="1"/>
  <c r="M1250" i="12" s="1"/>
  <c r="N1250" i="12" s="1"/>
  <c r="K1251" i="12"/>
  <c r="L1251" i="12" s="1"/>
  <c r="M1251" i="12" s="1"/>
  <c r="N1251" i="12" s="1"/>
  <c r="K1252" i="12"/>
  <c r="L1252" i="12" s="1"/>
  <c r="M1252" i="12" s="1"/>
  <c r="N1252" i="12" s="1"/>
  <c r="K1253" i="12"/>
  <c r="L1253" i="12" s="1"/>
  <c r="M1253" i="12" s="1"/>
  <c r="N1253" i="12" s="1"/>
  <c r="K1254" i="12"/>
  <c r="L1254" i="12" s="1"/>
  <c r="M1254" i="12" s="1"/>
  <c r="N1254" i="12" s="1"/>
  <c r="K1255" i="12"/>
  <c r="L1255" i="12" s="1"/>
  <c r="M1255" i="12" s="1"/>
  <c r="N1255" i="12" s="1"/>
  <c r="K1256" i="12"/>
  <c r="L1256" i="12" s="1"/>
  <c r="M1256" i="12" s="1"/>
  <c r="N1256" i="12" s="1"/>
  <c r="K1257" i="12"/>
  <c r="L1257" i="12" s="1"/>
  <c r="M1257" i="12" s="1"/>
  <c r="N1257" i="12" s="1"/>
  <c r="K1258" i="12"/>
  <c r="L1258" i="12" s="1"/>
  <c r="M1258" i="12" s="1"/>
  <c r="N1258" i="12" s="1"/>
  <c r="K1259" i="12"/>
  <c r="L1259" i="12" s="1"/>
  <c r="M1259" i="12" s="1"/>
  <c r="N1259" i="12" s="1"/>
  <c r="K1260" i="12"/>
  <c r="L1260" i="12" s="1"/>
  <c r="M1260" i="12" s="1"/>
  <c r="N1260" i="12" s="1"/>
  <c r="K1261" i="12"/>
  <c r="L1261" i="12" s="1"/>
  <c r="M1261" i="12" s="1"/>
  <c r="N1261" i="12" s="1"/>
  <c r="K1262" i="12"/>
  <c r="L1262" i="12" s="1"/>
  <c r="M1262" i="12" s="1"/>
  <c r="N1262" i="12" s="1"/>
  <c r="K1263" i="12"/>
  <c r="L1263" i="12" s="1"/>
  <c r="M1263" i="12" s="1"/>
  <c r="N1263" i="12" s="1"/>
  <c r="K1264" i="12"/>
  <c r="L1264" i="12" s="1"/>
  <c r="M1264" i="12" s="1"/>
  <c r="N1264" i="12" s="1"/>
  <c r="K1265" i="12"/>
  <c r="L1265" i="12" s="1"/>
  <c r="M1265" i="12" s="1"/>
  <c r="N1265" i="12" s="1"/>
  <c r="K1266" i="12"/>
  <c r="L1266" i="12" s="1"/>
  <c r="M1266" i="12" s="1"/>
  <c r="N1266" i="12" s="1"/>
  <c r="K1267" i="12"/>
  <c r="L1267" i="12" s="1"/>
  <c r="M1267" i="12" s="1"/>
  <c r="N1267" i="12" s="1"/>
  <c r="K1268" i="12"/>
  <c r="L1268" i="12" s="1"/>
  <c r="M1268" i="12" s="1"/>
  <c r="N1268" i="12" s="1"/>
  <c r="K1269" i="12"/>
  <c r="L1269" i="12" s="1"/>
  <c r="M1269" i="12" s="1"/>
  <c r="N1269" i="12" s="1"/>
  <c r="K1270" i="12"/>
  <c r="L1270" i="12" s="1"/>
  <c r="M1270" i="12" s="1"/>
  <c r="N1270" i="12" s="1"/>
  <c r="K1271" i="12"/>
  <c r="L1271" i="12" s="1"/>
  <c r="M1271" i="12" s="1"/>
  <c r="N1271" i="12" s="1"/>
  <c r="K1272" i="12"/>
  <c r="L1272" i="12" s="1"/>
  <c r="M1272" i="12" s="1"/>
  <c r="N1272" i="12" s="1"/>
  <c r="K1273" i="12"/>
  <c r="L1273" i="12" s="1"/>
  <c r="M1273" i="12" s="1"/>
  <c r="N1273" i="12" s="1"/>
  <c r="K1274" i="12"/>
  <c r="L1274" i="12" s="1"/>
  <c r="M1274" i="12" s="1"/>
  <c r="N1274" i="12" s="1"/>
  <c r="K1275" i="12"/>
  <c r="L1275" i="12" s="1"/>
  <c r="M1275" i="12" s="1"/>
  <c r="N1275" i="12" s="1"/>
  <c r="K1276" i="12"/>
  <c r="L1276" i="12" s="1"/>
  <c r="M1276" i="12" s="1"/>
  <c r="N1276" i="12" s="1"/>
  <c r="K1277" i="12"/>
  <c r="L1277" i="12" s="1"/>
  <c r="M1277" i="12" s="1"/>
  <c r="N1277" i="12" s="1"/>
  <c r="K1278" i="12"/>
  <c r="L1278" i="12" s="1"/>
  <c r="M1278" i="12" s="1"/>
  <c r="N1278" i="12" s="1"/>
  <c r="K1279" i="12"/>
  <c r="L1279" i="12" s="1"/>
  <c r="M1279" i="12" s="1"/>
  <c r="N1279" i="12" s="1"/>
  <c r="K1280" i="12"/>
  <c r="L1280" i="12" s="1"/>
  <c r="M1280" i="12" s="1"/>
  <c r="N1280" i="12" s="1"/>
  <c r="K1281" i="12"/>
  <c r="L1281" i="12" s="1"/>
  <c r="M1281" i="12" s="1"/>
  <c r="N1281" i="12" s="1"/>
  <c r="K1282" i="12"/>
  <c r="L1282" i="12" s="1"/>
  <c r="M1282" i="12" s="1"/>
  <c r="N1282" i="12" s="1"/>
  <c r="K1283" i="12"/>
  <c r="L1283" i="12" s="1"/>
  <c r="M1283" i="12" s="1"/>
  <c r="N1283" i="12" s="1"/>
  <c r="K1284" i="12"/>
  <c r="L1284" i="12" s="1"/>
  <c r="M1284" i="12" s="1"/>
  <c r="N1284" i="12" s="1"/>
  <c r="K1285" i="12"/>
  <c r="L1285" i="12" s="1"/>
  <c r="M1285" i="12" s="1"/>
  <c r="N1285" i="12" s="1"/>
  <c r="K1286" i="12"/>
  <c r="L1286" i="12" s="1"/>
  <c r="M1286" i="12" s="1"/>
  <c r="N1286" i="12" s="1"/>
  <c r="K1287" i="12"/>
  <c r="L1287" i="12" s="1"/>
  <c r="M1287" i="12" s="1"/>
  <c r="N1287" i="12" s="1"/>
  <c r="K1288" i="12"/>
  <c r="L1288" i="12" s="1"/>
  <c r="M1288" i="12" s="1"/>
  <c r="N1288" i="12" s="1"/>
  <c r="K1289" i="12"/>
  <c r="L1289" i="12" s="1"/>
  <c r="M1289" i="12" s="1"/>
  <c r="N1289" i="12" s="1"/>
  <c r="K1290" i="12"/>
  <c r="L1290" i="12" s="1"/>
  <c r="M1290" i="12" s="1"/>
  <c r="N1290" i="12" s="1"/>
  <c r="K1291" i="12"/>
  <c r="L1291" i="12" s="1"/>
  <c r="M1291" i="12" s="1"/>
  <c r="N1291" i="12" s="1"/>
  <c r="K1292" i="12"/>
  <c r="L1292" i="12" s="1"/>
  <c r="M1292" i="12" s="1"/>
  <c r="N1292" i="12" s="1"/>
  <c r="K1293" i="12"/>
  <c r="L1293" i="12" s="1"/>
  <c r="M1293" i="12" s="1"/>
  <c r="N1293" i="12" s="1"/>
  <c r="K1294" i="12"/>
  <c r="L1294" i="12" s="1"/>
  <c r="M1294" i="12" s="1"/>
  <c r="N1294" i="12" s="1"/>
  <c r="K1295" i="12"/>
  <c r="L1295" i="12" s="1"/>
  <c r="M1295" i="12" s="1"/>
  <c r="N1295" i="12" s="1"/>
  <c r="K1296" i="12"/>
  <c r="L1296" i="12" s="1"/>
  <c r="M1296" i="12" s="1"/>
  <c r="N1296" i="12" s="1"/>
  <c r="K1297" i="12"/>
  <c r="L1297" i="12" s="1"/>
  <c r="M1297" i="12" s="1"/>
  <c r="N1297" i="12" s="1"/>
  <c r="K1298" i="12"/>
  <c r="L1298" i="12" s="1"/>
  <c r="M1298" i="12" s="1"/>
  <c r="N1298" i="12" s="1"/>
  <c r="K1299" i="12"/>
  <c r="L1299" i="12" s="1"/>
  <c r="M1299" i="12" s="1"/>
  <c r="N1299" i="12" s="1"/>
  <c r="K1300" i="12"/>
  <c r="L1300" i="12" s="1"/>
  <c r="M1300" i="12" s="1"/>
  <c r="N1300" i="12" s="1"/>
  <c r="K1301" i="12"/>
  <c r="L1301" i="12" s="1"/>
  <c r="M1301" i="12" s="1"/>
  <c r="N1301" i="12" s="1"/>
  <c r="K1302" i="12"/>
  <c r="L1302" i="12" s="1"/>
  <c r="M1302" i="12" s="1"/>
  <c r="N1302" i="12" s="1"/>
  <c r="K1303" i="12"/>
  <c r="L1303" i="12" s="1"/>
  <c r="M1303" i="12" s="1"/>
  <c r="N1303" i="12" s="1"/>
  <c r="K1304" i="12"/>
  <c r="L1304" i="12" s="1"/>
  <c r="M1304" i="12" s="1"/>
  <c r="N1304" i="12" s="1"/>
  <c r="K1305" i="12"/>
  <c r="L1305" i="12" s="1"/>
  <c r="M1305" i="12" s="1"/>
  <c r="N1305" i="12" s="1"/>
  <c r="K1306" i="12"/>
  <c r="L1306" i="12" s="1"/>
  <c r="M1306" i="12" s="1"/>
  <c r="N1306" i="12" s="1"/>
  <c r="K1307" i="12"/>
  <c r="L1307" i="12" s="1"/>
  <c r="M1307" i="12" s="1"/>
  <c r="N1307" i="12" s="1"/>
  <c r="K1308" i="12"/>
  <c r="L1308" i="12" s="1"/>
  <c r="M1308" i="12" s="1"/>
  <c r="N1308" i="12" s="1"/>
  <c r="K1309" i="12"/>
  <c r="L1309" i="12" s="1"/>
  <c r="M1309" i="12" s="1"/>
  <c r="N1309" i="12" s="1"/>
  <c r="K1310" i="12"/>
  <c r="L1310" i="12" s="1"/>
  <c r="M1310" i="12" s="1"/>
  <c r="N1310" i="12" s="1"/>
  <c r="K1311" i="12"/>
  <c r="L1311" i="12" s="1"/>
  <c r="M1311" i="12" s="1"/>
  <c r="N1311" i="12" s="1"/>
  <c r="K1312" i="12"/>
  <c r="L1312" i="12" s="1"/>
  <c r="M1312" i="12" s="1"/>
  <c r="N1312" i="12" s="1"/>
  <c r="K1313" i="12"/>
  <c r="L1313" i="12" s="1"/>
  <c r="M1313" i="12" s="1"/>
  <c r="N1313" i="12" s="1"/>
  <c r="K1314" i="12"/>
  <c r="L1314" i="12" s="1"/>
  <c r="M1314" i="12" s="1"/>
  <c r="N1314" i="12" s="1"/>
  <c r="K1315" i="12"/>
  <c r="L1315" i="12" s="1"/>
  <c r="M1315" i="12" s="1"/>
  <c r="N1315" i="12" s="1"/>
  <c r="K1316" i="12"/>
  <c r="L1316" i="12" s="1"/>
  <c r="M1316" i="12" s="1"/>
  <c r="N1316" i="12" s="1"/>
  <c r="K1317" i="12"/>
  <c r="L1317" i="12" s="1"/>
  <c r="M1317" i="12" s="1"/>
  <c r="N1317" i="12" s="1"/>
  <c r="K1318" i="12"/>
  <c r="L1318" i="12" s="1"/>
  <c r="M1318" i="12" s="1"/>
  <c r="N1318" i="12" s="1"/>
  <c r="K1319" i="12"/>
  <c r="L1319" i="12" s="1"/>
  <c r="M1319" i="12" s="1"/>
  <c r="N1319" i="12" s="1"/>
  <c r="K1320" i="12"/>
  <c r="L1320" i="12" s="1"/>
  <c r="M1320" i="12" s="1"/>
  <c r="N1320" i="12" s="1"/>
  <c r="K1321" i="12"/>
  <c r="L1321" i="12" s="1"/>
  <c r="M1321" i="12" s="1"/>
  <c r="N1321" i="12" s="1"/>
  <c r="K1322" i="12"/>
  <c r="L1322" i="12" s="1"/>
  <c r="M1322" i="12" s="1"/>
  <c r="N1322" i="12" s="1"/>
  <c r="K1323" i="12"/>
  <c r="L1323" i="12" s="1"/>
  <c r="M1323" i="12" s="1"/>
  <c r="N1323" i="12" s="1"/>
  <c r="K1324" i="12"/>
  <c r="L1324" i="12" s="1"/>
  <c r="M1324" i="12" s="1"/>
  <c r="N1324" i="12" s="1"/>
  <c r="K1325" i="12"/>
  <c r="L1325" i="12" s="1"/>
  <c r="M1325" i="12" s="1"/>
  <c r="N1325" i="12" s="1"/>
  <c r="K1326" i="12"/>
  <c r="L1326" i="12" s="1"/>
  <c r="M1326" i="12" s="1"/>
  <c r="N1326" i="12" s="1"/>
  <c r="K1327" i="12"/>
  <c r="L1327" i="12" s="1"/>
  <c r="M1327" i="12" s="1"/>
  <c r="N1327" i="12" s="1"/>
  <c r="K1328" i="12"/>
  <c r="L1328" i="12" s="1"/>
  <c r="M1328" i="12" s="1"/>
  <c r="N1328" i="12" s="1"/>
  <c r="K1329" i="12"/>
  <c r="L1329" i="12" s="1"/>
  <c r="M1329" i="12" s="1"/>
  <c r="N1329" i="12" s="1"/>
  <c r="K1330" i="12"/>
  <c r="L1330" i="12" s="1"/>
  <c r="M1330" i="12" s="1"/>
  <c r="N1330" i="12" s="1"/>
  <c r="K1331" i="12"/>
  <c r="L1331" i="12" s="1"/>
  <c r="M1331" i="12" s="1"/>
  <c r="N1331" i="12" s="1"/>
  <c r="K1332" i="12"/>
  <c r="L1332" i="12" s="1"/>
  <c r="M1332" i="12" s="1"/>
  <c r="N1332" i="12" s="1"/>
  <c r="K1333" i="12"/>
  <c r="L1333" i="12" s="1"/>
  <c r="M1333" i="12" s="1"/>
  <c r="N1333" i="12" s="1"/>
  <c r="K1334" i="12"/>
  <c r="L1334" i="12" s="1"/>
  <c r="M1334" i="12" s="1"/>
  <c r="N1334" i="12" s="1"/>
  <c r="K1335" i="12"/>
  <c r="L1335" i="12" s="1"/>
  <c r="M1335" i="12" s="1"/>
  <c r="N1335" i="12" s="1"/>
  <c r="K1336" i="12"/>
  <c r="L1336" i="12" s="1"/>
  <c r="M1336" i="12" s="1"/>
  <c r="N1336" i="12" s="1"/>
  <c r="K1337" i="12"/>
  <c r="L1337" i="12" s="1"/>
  <c r="M1337" i="12" s="1"/>
  <c r="N1337" i="12" s="1"/>
  <c r="K1338" i="12"/>
  <c r="L1338" i="12" s="1"/>
  <c r="M1338" i="12" s="1"/>
  <c r="N1338" i="12" s="1"/>
  <c r="K1339" i="12"/>
  <c r="L1339" i="12" s="1"/>
  <c r="M1339" i="12" s="1"/>
  <c r="N1339" i="12" s="1"/>
  <c r="K1340" i="12"/>
  <c r="L1340" i="12" s="1"/>
  <c r="M1340" i="12" s="1"/>
  <c r="N1340" i="12" s="1"/>
  <c r="K1341" i="12"/>
  <c r="L1341" i="12" s="1"/>
  <c r="M1341" i="12" s="1"/>
  <c r="N1341" i="12" s="1"/>
  <c r="K1342" i="12"/>
  <c r="L1342" i="12" s="1"/>
  <c r="M1342" i="12" s="1"/>
  <c r="N1342" i="12" s="1"/>
  <c r="K1343" i="12"/>
  <c r="L1343" i="12" s="1"/>
  <c r="M1343" i="12" s="1"/>
  <c r="N1343" i="12" s="1"/>
  <c r="K1344" i="12"/>
  <c r="L1344" i="12" s="1"/>
  <c r="M1344" i="12" s="1"/>
  <c r="N1344" i="12" s="1"/>
  <c r="K1345" i="12"/>
  <c r="L1345" i="12" s="1"/>
  <c r="M1345" i="12" s="1"/>
  <c r="N1345" i="12" s="1"/>
  <c r="K1346" i="12"/>
  <c r="L1346" i="12" s="1"/>
  <c r="M1346" i="12" s="1"/>
  <c r="N1346" i="12" s="1"/>
  <c r="K1347" i="12"/>
  <c r="L1347" i="12" s="1"/>
  <c r="M1347" i="12" s="1"/>
  <c r="N1347" i="12" s="1"/>
  <c r="K1348" i="12"/>
  <c r="L1348" i="12" s="1"/>
  <c r="M1348" i="12" s="1"/>
  <c r="N1348" i="12" s="1"/>
  <c r="K1349" i="12"/>
  <c r="L1349" i="12" s="1"/>
  <c r="M1349" i="12" s="1"/>
  <c r="N1349" i="12" s="1"/>
  <c r="K1350" i="12"/>
  <c r="L1350" i="12" s="1"/>
  <c r="M1350" i="12" s="1"/>
  <c r="N1350" i="12" s="1"/>
  <c r="K1351" i="12"/>
  <c r="L1351" i="12" s="1"/>
  <c r="M1351" i="12" s="1"/>
  <c r="N1351" i="12" s="1"/>
  <c r="K1352" i="12"/>
  <c r="L1352" i="12" s="1"/>
  <c r="M1352" i="12" s="1"/>
  <c r="N1352" i="12" s="1"/>
  <c r="K1353" i="12"/>
  <c r="L1353" i="12" s="1"/>
  <c r="M1353" i="12" s="1"/>
  <c r="N1353" i="12" s="1"/>
  <c r="K1354" i="12"/>
  <c r="L1354" i="12" s="1"/>
  <c r="M1354" i="12" s="1"/>
  <c r="N1354" i="12" s="1"/>
  <c r="K1355" i="12"/>
  <c r="L1355" i="12" s="1"/>
  <c r="M1355" i="12" s="1"/>
  <c r="N1355" i="12" s="1"/>
  <c r="K1356" i="12"/>
  <c r="L1356" i="12" s="1"/>
  <c r="M1356" i="12" s="1"/>
  <c r="N1356" i="12" s="1"/>
  <c r="K1357" i="12"/>
  <c r="L1357" i="12" s="1"/>
  <c r="M1357" i="12" s="1"/>
  <c r="N1357" i="12" s="1"/>
  <c r="K1358" i="12"/>
  <c r="L1358" i="12" s="1"/>
  <c r="M1358" i="12" s="1"/>
  <c r="N1358" i="12" s="1"/>
  <c r="K1359" i="12"/>
  <c r="L1359" i="12" s="1"/>
  <c r="M1359" i="12" s="1"/>
  <c r="N1359" i="12" s="1"/>
  <c r="K1360" i="12"/>
  <c r="L1360" i="12" s="1"/>
  <c r="M1360" i="12" s="1"/>
  <c r="N1360" i="12" s="1"/>
  <c r="K1361" i="12"/>
  <c r="L1361" i="12" s="1"/>
  <c r="M1361" i="12" s="1"/>
  <c r="N1361" i="12" s="1"/>
  <c r="K1362" i="12"/>
  <c r="L1362" i="12" s="1"/>
  <c r="M1362" i="12" s="1"/>
  <c r="N1362" i="12" s="1"/>
  <c r="K1363" i="12"/>
  <c r="L1363" i="12" s="1"/>
  <c r="M1363" i="12" s="1"/>
  <c r="N1363" i="12" s="1"/>
  <c r="K1364" i="12"/>
  <c r="L1364" i="12" s="1"/>
  <c r="M1364" i="12" s="1"/>
  <c r="N1364" i="12" s="1"/>
  <c r="K1365" i="12"/>
  <c r="L1365" i="12" s="1"/>
  <c r="M1365" i="12" s="1"/>
  <c r="N1365" i="12" s="1"/>
  <c r="K1366" i="12"/>
  <c r="L1366" i="12" s="1"/>
  <c r="M1366" i="12" s="1"/>
  <c r="N1366" i="12" s="1"/>
  <c r="K1367" i="12"/>
  <c r="L1367" i="12" s="1"/>
  <c r="M1367" i="12" s="1"/>
  <c r="N1367" i="12" s="1"/>
  <c r="K1368" i="12"/>
  <c r="L1368" i="12" s="1"/>
  <c r="M1368" i="12" s="1"/>
  <c r="N1368" i="12" s="1"/>
  <c r="K1369" i="12"/>
  <c r="L1369" i="12" s="1"/>
  <c r="M1369" i="12" s="1"/>
  <c r="N1369" i="12" s="1"/>
  <c r="K1370" i="12"/>
  <c r="L1370" i="12" s="1"/>
  <c r="M1370" i="12" s="1"/>
  <c r="N1370" i="12" s="1"/>
  <c r="K1371" i="12"/>
  <c r="L1371" i="12" s="1"/>
  <c r="M1371" i="12" s="1"/>
  <c r="N1371" i="12" s="1"/>
  <c r="K1372" i="12"/>
  <c r="L1372" i="12" s="1"/>
  <c r="M1372" i="12" s="1"/>
  <c r="N1372" i="12" s="1"/>
  <c r="K1373" i="12"/>
  <c r="L1373" i="12" s="1"/>
  <c r="M1373" i="12" s="1"/>
  <c r="N1373" i="12" s="1"/>
  <c r="K1374" i="12"/>
  <c r="L1374" i="12" s="1"/>
  <c r="M1374" i="12" s="1"/>
  <c r="N1374" i="12" s="1"/>
  <c r="K1375" i="12"/>
  <c r="L1375" i="12" s="1"/>
  <c r="M1375" i="12" s="1"/>
  <c r="N1375" i="12" s="1"/>
  <c r="K1376" i="12"/>
  <c r="L1376" i="12" s="1"/>
  <c r="M1376" i="12" s="1"/>
  <c r="N1376" i="12" s="1"/>
  <c r="K1377" i="12"/>
  <c r="L1377" i="12" s="1"/>
  <c r="M1377" i="12" s="1"/>
  <c r="N1377" i="12" s="1"/>
  <c r="K1378" i="12"/>
  <c r="L1378" i="12" s="1"/>
  <c r="M1378" i="12" s="1"/>
  <c r="N1378" i="12" s="1"/>
  <c r="K1379" i="12"/>
  <c r="L1379" i="12" s="1"/>
  <c r="M1379" i="12" s="1"/>
  <c r="N1379" i="12" s="1"/>
  <c r="K1380" i="12"/>
  <c r="L1380" i="12" s="1"/>
  <c r="M1380" i="12" s="1"/>
  <c r="N1380" i="12" s="1"/>
  <c r="K1381" i="12"/>
  <c r="L1381" i="12" s="1"/>
  <c r="M1381" i="12" s="1"/>
  <c r="N1381" i="12" s="1"/>
  <c r="K1382" i="12"/>
  <c r="L1382" i="12" s="1"/>
  <c r="M1382" i="12" s="1"/>
  <c r="N1382" i="12" s="1"/>
  <c r="K1383" i="12"/>
  <c r="L1383" i="12" s="1"/>
  <c r="M1383" i="12" s="1"/>
  <c r="N1383" i="12" s="1"/>
  <c r="K1384" i="12"/>
  <c r="L1384" i="12" s="1"/>
  <c r="M1384" i="12" s="1"/>
  <c r="N1384" i="12" s="1"/>
  <c r="K1385" i="12"/>
  <c r="L1385" i="12" s="1"/>
  <c r="M1385" i="12" s="1"/>
  <c r="N1385" i="12" s="1"/>
  <c r="K1386" i="12"/>
  <c r="L1386" i="12" s="1"/>
  <c r="M1386" i="12" s="1"/>
  <c r="N1386" i="12" s="1"/>
  <c r="K1387" i="12"/>
  <c r="L1387" i="12" s="1"/>
  <c r="M1387" i="12" s="1"/>
  <c r="N1387" i="12" s="1"/>
  <c r="K1388" i="12"/>
  <c r="L1388" i="12" s="1"/>
  <c r="M1388" i="12" s="1"/>
  <c r="N1388" i="12" s="1"/>
  <c r="K1389" i="12"/>
  <c r="L1389" i="12" s="1"/>
  <c r="M1389" i="12" s="1"/>
  <c r="N1389" i="12" s="1"/>
  <c r="K1390" i="12"/>
  <c r="L1390" i="12" s="1"/>
  <c r="M1390" i="12" s="1"/>
  <c r="N1390" i="12" s="1"/>
  <c r="K1391" i="12"/>
  <c r="L1391" i="12" s="1"/>
  <c r="M1391" i="12" s="1"/>
  <c r="N1391" i="12" s="1"/>
  <c r="K1392" i="12"/>
  <c r="L1392" i="12" s="1"/>
  <c r="M1392" i="12" s="1"/>
  <c r="N1392" i="12" s="1"/>
  <c r="K1393" i="12"/>
  <c r="L1393" i="12" s="1"/>
  <c r="M1393" i="12" s="1"/>
  <c r="N1393" i="12" s="1"/>
  <c r="K1394" i="12"/>
  <c r="L1394" i="12" s="1"/>
  <c r="M1394" i="12" s="1"/>
  <c r="N1394" i="12" s="1"/>
  <c r="K1395" i="12"/>
  <c r="L1395" i="12" s="1"/>
  <c r="M1395" i="12" s="1"/>
  <c r="N1395" i="12" s="1"/>
  <c r="K1396" i="12"/>
  <c r="L1396" i="12" s="1"/>
  <c r="M1396" i="12" s="1"/>
  <c r="N1396" i="12" s="1"/>
  <c r="K1397" i="12"/>
  <c r="L1397" i="12" s="1"/>
  <c r="M1397" i="12" s="1"/>
  <c r="N1397" i="12" s="1"/>
  <c r="K1398" i="12"/>
  <c r="L1398" i="12" s="1"/>
  <c r="M1398" i="12" s="1"/>
  <c r="N1398" i="12" s="1"/>
  <c r="K1399" i="12"/>
  <c r="L1399" i="12" s="1"/>
  <c r="M1399" i="12" s="1"/>
  <c r="N1399" i="12" s="1"/>
  <c r="K1400" i="12"/>
  <c r="L1400" i="12" s="1"/>
  <c r="M1400" i="12" s="1"/>
  <c r="N1400" i="12" s="1"/>
  <c r="K1401" i="12"/>
  <c r="L1401" i="12" s="1"/>
  <c r="M1401" i="12" s="1"/>
  <c r="N1401" i="12" s="1"/>
  <c r="K1402" i="12"/>
  <c r="L1402" i="12" s="1"/>
  <c r="M1402" i="12" s="1"/>
  <c r="N1402" i="12" s="1"/>
  <c r="K1403" i="12"/>
  <c r="L1403" i="12" s="1"/>
  <c r="M1403" i="12" s="1"/>
  <c r="N1403" i="12" s="1"/>
  <c r="K1404" i="12"/>
  <c r="L1404" i="12" s="1"/>
  <c r="M1404" i="12" s="1"/>
  <c r="N1404" i="12" s="1"/>
  <c r="K1405" i="12"/>
  <c r="L1405" i="12" s="1"/>
  <c r="M1405" i="12" s="1"/>
  <c r="N1405" i="12" s="1"/>
  <c r="K1406" i="12"/>
  <c r="L1406" i="12" s="1"/>
  <c r="M1406" i="12" s="1"/>
  <c r="N1406" i="12" s="1"/>
  <c r="K1407" i="12"/>
  <c r="L1407" i="12" s="1"/>
  <c r="M1407" i="12" s="1"/>
  <c r="N1407" i="12" s="1"/>
  <c r="K1408" i="12"/>
  <c r="L1408" i="12" s="1"/>
  <c r="M1408" i="12" s="1"/>
  <c r="N1408" i="12" s="1"/>
  <c r="K1409" i="12"/>
  <c r="L1409" i="12" s="1"/>
  <c r="M1409" i="12" s="1"/>
  <c r="N1409" i="12" s="1"/>
  <c r="K1410" i="12"/>
  <c r="L1410" i="12" s="1"/>
  <c r="M1410" i="12" s="1"/>
  <c r="N1410" i="12" s="1"/>
  <c r="K1411" i="12"/>
  <c r="L1411" i="12" s="1"/>
  <c r="M1411" i="12" s="1"/>
  <c r="N1411" i="12" s="1"/>
  <c r="K1412" i="12"/>
  <c r="L1412" i="12" s="1"/>
  <c r="M1412" i="12" s="1"/>
  <c r="N1412" i="12" s="1"/>
  <c r="K1413" i="12"/>
  <c r="L1413" i="12" s="1"/>
  <c r="M1413" i="12" s="1"/>
  <c r="N1413" i="12" s="1"/>
  <c r="K1414" i="12"/>
  <c r="L1414" i="12" s="1"/>
  <c r="M1414" i="12" s="1"/>
  <c r="N1414" i="12" s="1"/>
  <c r="K1415" i="12"/>
  <c r="L1415" i="12" s="1"/>
  <c r="M1415" i="12" s="1"/>
  <c r="N1415" i="12" s="1"/>
  <c r="K1416" i="12"/>
  <c r="L1416" i="12" s="1"/>
  <c r="M1416" i="12" s="1"/>
  <c r="N1416" i="12" s="1"/>
  <c r="K1417" i="12"/>
  <c r="L1417" i="12" s="1"/>
  <c r="M1417" i="12" s="1"/>
  <c r="N1417" i="12" s="1"/>
  <c r="K1418" i="12"/>
  <c r="L1418" i="12" s="1"/>
  <c r="M1418" i="12" s="1"/>
  <c r="N1418" i="12" s="1"/>
  <c r="K1419" i="12"/>
  <c r="L1419" i="12" s="1"/>
  <c r="M1419" i="12" s="1"/>
  <c r="N1419" i="12" s="1"/>
  <c r="K1420" i="12"/>
  <c r="L1420" i="12" s="1"/>
  <c r="M1420" i="12" s="1"/>
  <c r="N1420" i="12" s="1"/>
  <c r="K1421" i="12"/>
  <c r="L1421" i="12" s="1"/>
  <c r="M1421" i="12" s="1"/>
  <c r="N1421" i="12" s="1"/>
  <c r="K1422" i="12"/>
  <c r="L1422" i="12" s="1"/>
  <c r="M1422" i="12" s="1"/>
  <c r="N1422" i="12" s="1"/>
  <c r="K1423" i="12"/>
  <c r="L1423" i="12" s="1"/>
  <c r="M1423" i="12" s="1"/>
  <c r="N1423" i="12" s="1"/>
  <c r="K1424" i="12"/>
  <c r="L1424" i="12" s="1"/>
  <c r="M1424" i="12" s="1"/>
  <c r="N1424" i="12" s="1"/>
  <c r="K1425" i="12"/>
  <c r="L1425" i="12" s="1"/>
  <c r="M1425" i="12" s="1"/>
  <c r="N1425" i="12" s="1"/>
  <c r="K1426" i="12"/>
  <c r="L1426" i="12" s="1"/>
  <c r="M1426" i="12" s="1"/>
  <c r="N1426" i="12" s="1"/>
  <c r="K1427" i="12"/>
  <c r="L1427" i="12" s="1"/>
  <c r="M1427" i="12" s="1"/>
  <c r="N1427" i="12" s="1"/>
  <c r="K1428" i="12"/>
  <c r="L1428" i="12" s="1"/>
  <c r="M1428" i="12" s="1"/>
  <c r="N1428" i="12" s="1"/>
  <c r="K1429" i="12"/>
  <c r="L1429" i="12" s="1"/>
  <c r="M1429" i="12" s="1"/>
  <c r="N1429" i="12" s="1"/>
  <c r="K1430" i="12"/>
  <c r="L1430" i="12" s="1"/>
  <c r="M1430" i="12" s="1"/>
  <c r="N1430" i="12" s="1"/>
  <c r="K1431" i="12"/>
  <c r="L1431" i="12" s="1"/>
  <c r="M1431" i="12" s="1"/>
  <c r="N1431" i="12" s="1"/>
  <c r="K1432" i="12"/>
  <c r="L1432" i="12" s="1"/>
  <c r="M1432" i="12" s="1"/>
  <c r="N1432" i="12" s="1"/>
  <c r="K1433" i="12"/>
  <c r="L1433" i="12" s="1"/>
  <c r="M1433" i="12" s="1"/>
  <c r="N1433" i="12" s="1"/>
  <c r="K1434" i="12"/>
  <c r="L1434" i="12" s="1"/>
  <c r="M1434" i="12" s="1"/>
  <c r="N1434" i="12" s="1"/>
  <c r="K1435" i="12"/>
  <c r="L1435" i="12" s="1"/>
  <c r="M1435" i="12" s="1"/>
  <c r="N1435" i="12" s="1"/>
  <c r="K1436" i="12"/>
  <c r="L1436" i="12" s="1"/>
  <c r="M1436" i="12" s="1"/>
  <c r="N1436" i="12" s="1"/>
  <c r="K1437" i="12"/>
  <c r="L1437" i="12" s="1"/>
  <c r="M1437" i="12" s="1"/>
  <c r="N1437" i="12" s="1"/>
  <c r="K1438" i="12"/>
  <c r="L1438" i="12" s="1"/>
  <c r="M1438" i="12" s="1"/>
  <c r="N1438" i="12" s="1"/>
  <c r="K1439" i="12"/>
  <c r="L1439" i="12" s="1"/>
  <c r="M1439" i="12" s="1"/>
  <c r="N1439" i="12" s="1"/>
  <c r="K1440" i="12"/>
  <c r="L1440" i="12" s="1"/>
  <c r="M1440" i="12" s="1"/>
  <c r="N1440" i="12" s="1"/>
  <c r="K1441" i="12"/>
  <c r="L1441" i="12" s="1"/>
  <c r="M1441" i="12" s="1"/>
  <c r="N1441" i="12" s="1"/>
  <c r="K1442" i="12"/>
  <c r="L1442" i="12" s="1"/>
  <c r="M1442" i="12" s="1"/>
  <c r="N1442" i="12" s="1"/>
  <c r="K1443" i="12"/>
  <c r="L1443" i="12" s="1"/>
  <c r="M1443" i="12" s="1"/>
  <c r="N1443" i="12" s="1"/>
  <c r="K1444" i="12"/>
  <c r="L1444" i="12" s="1"/>
  <c r="M1444" i="12" s="1"/>
  <c r="N1444" i="12" s="1"/>
  <c r="K1445" i="12"/>
  <c r="L1445" i="12" s="1"/>
  <c r="M1445" i="12" s="1"/>
  <c r="N1445" i="12" s="1"/>
  <c r="K1446" i="12"/>
  <c r="L1446" i="12" s="1"/>
  <c r="M1446" i="12" s="1"/>
  <c r="N1446" i="12" s="1"/>
  <c r="K1447" i="12"/>
  <c r="L1447" i="12" s="1"/>
  <c r="M1447" i="12" s="1"/>
  <c r="N1447" i="12" s="1"/>
  <c r="K1448" i="12"/>
  <c r="L1448" i="12" s="1"/>
  <c r="M1448" i="12" s="1"/>
  <c r="N1448" i="12" s="1"/>
  <c r="K1449" i="12"/>
  <c r="L1449" i="12" s="1"/>
  <c r="M1449" i="12" s="1"/>
  <c r="N1449" i="12" s="1"/>
  <c r="K1450" i="12"/>
  <c r="L1450" i="12" s="1"/>
  <c r="M1450" i="12" s="1"/>
  <c r="N1450" i="12" s="1"/>
  <c r="K1451" i="12"/>
  <c r="L1451" i="12" s="1"/>
  <c r="M1451" i="12" s="1"/>
  <c r="N1451" i="12" s="1"/>
  <c r="K1452" i="12"/>
  <c r="L1452" i="12" s="1"/>
  <c r="M1452" i="12" s="1"/>
  <c r="N1452" i="12" s="1"/>
  <c r="K1453" i="12"/>
  <c r="L1453" i="12" s="1"/>
  <c r="M1453" i="12" s="1"/>
  <c r="N1453" i="12" s="1"/>
  <c r="K1454" i="12"/>
  <c r="L1454" i="12" s="1"/>
  <c r="M1454" i="12" s="1"/>
  <c r="N1454" i="12" s="1"/>
  <c r="K1455" i="12"/>
  <c r="L1455" i="12" s="1"/>
  <c r="M1455" i="12" s="1"/>
  <c r="N1455" i="12" s="1"/>
  <c r="K1456" i="12"/>
  <c r="L1456" i="12" s="1"/>
  <c r="M1456" i="12" s="1"/>
  <c r="N1456" i="12" s="1"/>
  <c r="K1457" i="12"/>
  <c r="L1457" i="12" s="1"/>
  <c r="M1457" i="12" s="1"/>
  <c r="N1457" i="12" s="1"/>
  <c r="K1458" i="12"/>
  <c r="L1458" i="12" s="1"/>
  <c r="M1458" i="12" s="1"/>
  <c r="N1458" i="12" s="1"/>
  <c r="K1459" i="12"/>
  <c r="L1459" i="12" s="1"/>
  <c r="M1459" i="12" s="1"/>
  <c r="N1459" i="12" s="1"/>
  <c r="K1460" i="12"/>
  <c r="L1460" i="12" s="1"/>
  <c r="M1460" i="12" s="1"/>
  <c r="N1460" i="12" s="1"/>
  <c r="K1461" i="12"/>
  <c r="L1461" i="12" s="1"/>
  <c r="M1461" i="12" s="1"/>
  <c r="N1461" i="12" s="1"/>
  <c r="K1462" i="12"/>
  <c r="L1462" i="12" s="1"/>
  <c r="M1462" i="12" s="1"/>
  <c r="N1462" i="12" s="1"/>
  <c r="K1463" i="12"/>
  <c r="L1463" i="12" s="1"/>
  <c r="M1463" i="12" s="1"/>
  <c r="N1463" i="12" s="1"/>
  <c r="K1464" i="12"/>
  <c r="L1464" i="12" s="1"/>
  <c r="M1464" i="12" s="1"/>
  <c r="N1464" i="12" s="1"/>
  <c r="K1465" i="12"/>
  <c r="L1465" i="12" s="1"/>
  <c r="M1465" i="12" s="1"/>
  <c r="N1465" i="12" s="1"/>
  <c r="K1466" i="12"/>
  <c r="L1466" i="12" s="1"/>
  <c r="M1466" i="12" s="1"/>
  <c r="N1466" i="12" s="1"/>
  <c r="K1467" i="12"/>
  <c r="L1467" i="12" s="1"/>
  <c r="M1467" i="12" s="1"/>
  <c r="N1467" i="12" s="1"/>
  <c r="K1468" i="12"/>
  <c r="L1468" i="12" s="1"/>
  <c r="M1468" i="12" s="1"/>
  <c r="N1468" i="12" s="1"/>
  <c r="K1469" i="12"/>
  <c r="L1469" i="12" s="1"/>
  <c r="M1469" i="12" s="1"/>
  <c r="N1469" i="12" s="1"/>
  <c r="K1470" i="12"/>
  <c r="L1470" i="12" s="1"/>
  <c r="M1470" i="12" s="1"/>
  <c r="N1470" i="12" s="1"/>
  <c r="K1471" i="12"/>
  <c r="L1471" i="12" s="1"/>
  <c r="M1471" i="12" s="1"/>
  <c r="N1471" i="12" s="1"/>
  <c r="K1472" i="12"/>
  <c r="L1472" i="12" s="1"/>
  <c r="M1472" i="12" s="1"/>
  <c r="N1472" i="12" s="1"/>
  <c r="K1473" i="12"/>
  <c r="L1473" i="12" s="1"/>
  <c r="M1473" i="12" s="1"/>
  <c r="N1473" i="12" s="1"/>
  <c r="K1474" i="12"/>
  <c r="L1474" i="12" s="1"/>
  <c r="M1474" i="12" s="1"/>
  <c r="N1474" i="12" s="1"/>
  <c r="K1475" i="12"/>
  <c r="L1475" i="12" s="1"/>
  <c r="M1475" i="12" s="1"/>
  <c r="N1475" i="12" s="1"/>
  <c r="K1476" i="12"/>
  <c r="L1476" i="12" s="1"/>
  <c r="M1476" i="12" s="1"/>
  <c r="N1476" i="12" s="1"/>
  <c r="K1477" i="12"/>
  <c r="L1477" i="12" s="1"/>
  <c r="M1477" i="12" s="1"/>
  <c r="N1477" i="12" s="1"/>
  <c r="K1478" i="12"/>
  <c r="L1478" i="12" s="1"/>
  <c r="M1478" i="12" s="1"/>
  <c r="N1478" i="12" s="1"/>
  <c r="K1479" i="12"/>
  <c r="L1479" i="12" s="1"/>
  <c r="M1479" i="12" s="1"/>
  <c r="N1479" i="12" s="1"/>
  <c r="K1480" i="12"/>
  <c r="L1480" i="12" s="1"/>
  <c r="M1480" i="12" s="1"/>
  <c r="N1480" i="12" s="1"/>
  <c r="K1481" i="12"/>
  <c r="L1481" i="12" s="1"/>
  <c r="M1481" i="12" s="1"/>
  <c r="N1481" i="12" s="1"/>
  <c r="K1482" i="12"/>
  <c r="L1482" i="12" s="1"/>
  <c r="M1482" i="12" s="1"/>
  <c r="N1482" i="12" s="1"/>
  <c r="K1483" i="12"/>
  <c r="L1483" i="12" s="1"/>
  <c r="M1483" i="12" s="1"/>
  <c r="N1483" i="12" s="1"/>
  <c r="K1484" i="12"/>
  <c r="L1484" i="12" s="1"/>
  <c r="M1484" i="12" s="1"/>
  <c r="N1484" i="12" s="1"/>
  <c r="K1485" i="12"/>
  <c r="L1485" i="12" s="1"/>
  <c r="M1485" i="12" s="1"/>
  <c r="N1485" i="12" s="1"/>
  <c r="K1486" i="12"/>
  <c r="L1486" i="12" s="1"/>
  <c r="M1486" i="12" s="1"/>
  <c r="N1486" i="12" s="1"/>
  <c r="K1487" i="12"/>
  <c r="L1487" i="12" s="1"/>
  <c r="M1487" i="12" s="1"/>
  <c r="N1487" i="12" s="1"/>
  <c r="K1488" i="12"/>
  <c r="L1488" i="12" s="1"/>
  <c r="M1488" i="12" s="1"/>
  <c r="N1488" i="12" s="1"/>
  <c r="K1489" i="12"/>
  <c r="L1489" i="12" s="1"/>
  <c r="M1489" i="12" s="1"/>
  <c r="N1489" i="12" s="1"/>
  <c r="K1490" i="12"/>
  <c r="L1490" i="12" s="1"/>
  <c r="M1490" i="12" s="1"/>
  <c r="N1490" i="12" s="1"/>
  <c r="K1491" i="12"/>
  <c r="L1491" i="12" s="1"/>
  <c r="M1491" i="12" s="1"/>
  <c r="N1491" i="12" s="1"/>
  <c r="K1492" i="12"/>
  <c r="L1492" i="12" s="1"/>
  <c r="M1492" i="12" s="1"/>
  <c r="N1492" i="12" s="1"/>
  <c r="K1493" i="12"/>
  <c r="L1493" i="12" s="1"/>
  <c r="M1493" i="12" s="1"/>
  <c r="N1493" i="12" s="1"/>
  <c r="K1494" i="12"/>
  <c r="L1494" i="12" s="1"/>
  <c r="M1494" i="12" s="1"/>
  <c r="N1494" i="12" s="1"/>
  <c r="K1495" i="12"/>
  <c r="L1495" i="12" s="1"/>
  <c r="M1495" i="12" s="1"/>
  <c r="N1495" i="12" s="1"/>
  <c r="K1496" i="12"/>
  <c r="L1496" i="12" s="1"/>
  <c r="M1496" i="12" s="1"/>
  <c r="N1496" i="12" s="1"/>
  <c r="K1497" i="12"/>
  <c r="L1497" i="12" s="1"/>
  <c r="M1497" i="12" s="1"/>
  <c r="N1497" i="12" s="1"/>
  <c r="K1498" i="12"/>
  <c r="L1498" i="12" s="1"/>
  <c r="M1498" i="12" s="1"/>
  <c r="N1498" i="12" s="1"/>
  <c r="K1499" i="12"/>
  <c r="L1499" i="12" s="1"/>
  <c r="M1499" i="12" s="1"/>
  <c r="N1499" i="12" s="1"/>
  <c r="K1500" i="12"/>
  <c r="L1500" i="12" s="1"/>
  <c r="M1500" i="12" s="1"/>
  <c r="N1500" i="12" s="1"/>
  <c r="K1501" i="12"/>
  <c r="L1501" i="12" s="1"/>
  <c r="M1501" i="12" s="1"/>
  <c r="N1501" i="12" s="1"/>
  <c r="K1502" i="12"/>
  <c r="L1502" i="12" s="1"/>
  <c r="M1502" i="12" s="1"/>
  <c r="N1502" i="12" s="1"/>
  <c r="K1503" i="12"/>
  <c r="L1503" i="12" s="1"/>
  <c r="M1503" i="12" s="1"/>
  <c r="N1503" i="12" s="1"/>
  <c r="K1504" i="12"/>
  <c r="L1504" i="12" s="1"/>
  <c r="M1504" i="12" s="1"/>
  <c r="N1504" i="12" s="1"/>
  <c r="K1505" i="12"/>
  <c r="L1505" i="12" s="1"/>
  <c r="M1505" i="12" s="1"/>
  <c r="N1505" i="12" s="1"/>
  <c r="K1506" i="12"/>
  <c r="L1506" i="12" s="1"/>
  <c r="M1506" i="12" s="1"/>
  <c r="N1506" i="12" s="1"/>
  <c r="K1507" i="12"/>
  <c r="L1507" i="12" s="1"/>
  <c r="M1507" i="12" s="1"/>
  <c r="N1507" i="12" s="1"/>
  <c r="K1508" i="12"/>
  <c r="L1508" i="12" s="1"/>
  <c r="M1508" i="12" s="1"/>
  <c r="N1508" i="12" s="1"/>
  <c r="K1509" i="12"/>
  <c r="L1509" i="12" s="1"/>
  <c r="M1509" i="12" s="1"/>
  <c r="N1509" i="12" s="1"/>
  <c r="K1510" i="12"/>
  <c r="L1510" i="12" s="1"/>
  <c r="M1510" i="12" s="1"/>
  <c r="N1510" i="12" s="1"/>
  <c r="K1511" i="12"/>
  <c r="L1511" i="12" s="1"/>
  <c r="M1511" i="12" s="1"/>
  <c r="N1511" i="12" s="1"/>
  <c r="K1512" i="12"/>
  <c r="L1512" i="12" s="1"/>
  <c r="M1512" i="12" s="1"/>
  <c r="N1512" i="12" s="1"/>
  <c r="K1513" i="12"/>
  <c r="L1513" i="12" s="1"/>
  <c r="M1513" i="12" s="1"/>
  <c r="N1513" i="12" s="1"/>
  <c r="K1514" i="12"/>
  <c r="L1514" i="12" s="1"/>
  <c r="M1514" i="12" s="1"/>
  <c r="N1514" i="12" s="1"/>
  <c r="K1515" i="12"/>
  <c r="L1515" i="12" s="1"/>
  <c r="M1515" i="12" s="1"/>
  <c r="N1515" i="12" s="1"/>
  <c r="K1516" i="12"/>
  <c r="L1516" i="12" s="1"/>
  <c r="M1516" i="12" s="1"/>
  <c r="N1516" i="12" s="1"/>
  <c r="K1517" i="12"/>
  <c r="L1517" i="12" s="1"/>
  <c r="M1517" i="12" s="1"/>
  <c r="N1517" i="12" s="1"/>
  <c r="K1518" i="12"/>
  <c r="L1518" i="12" s="1"/>
  <c r="M1518" i="12" s="1"/>
  <c r="N1518" i="12" s="1"/>
  <c r="K1519" i="12"/>
  <c r="L1519" i="12" s="1"/>
  <c r="M1519" i="12" s="1"/>
  <c r="N1519" i="12" s="1"/>
  <c r="K1520" i="12"/>
  <c r="L1520" i="12" s="1"/>
  <c r="M1520" i="12" s="1"/>
  <c r="N1520" i="12" s="1"/>
  <c r="K1521" i="12"/>
  <c r="L1521" i="12" s="1"/>
  <c r="M1521" i="12" s="1"/>
  <c r="N1521" i="12" s="1"/>
  <c r="K1522" i="12"/>
  <c r="L1522" i="12" s="1"/>
  <c r="M1522" i="12" s="1"/>
  <c r="N1522" i="12" s="1"/>
  <c r="K1523" i="12"/>
  <c r="L1523" i="12" s="1"/>
  <c r="M1523" i="12" s="1"/>
  <c r="N1523" i="12" s="1"/>
  <c r="K1524" i="12"/>
  <c r="L1524" i="12" s="1"/>
  <c r="M1524" i="12" s="1"/>
  <c r="N1524" i="12" s="1"/>
  <c r="K1525" i="12"/>
  <c r="L1525" i="12" s="1"/>
  <c r="M1525" i="12" s="1"/>
  <c r="N1525" i="12" s="1"/>
  <c r="K1526" i="12"/>
  <c r="L1526" i="12" s="1"/>
  <c r="M1526" i="12" s="1"/>
  <c r="N1526" i="12" s="1"/>
  <c r="K1527" i="12"/>
  <c r="L1527" i="12" s="1"/>
  <c r="M1527" i="12" s="1"/>
  <c r="N1527" i="12" s="1"/>
  <c r="K1528" i="12"/>
  <c r="L1528" i="12" s="1"/>
  <c r="M1528" i="12" s="1"/>
  <c r="N1528" i="12" s="1"/>
  <c r="K1529" i="12"/>
  <c r="L1529" i="12" s="1"/>
  <c r="M1529" i="12" s="1"/>
  <c r="N1529" i="12" s="1"/>
  <c r="K1530" i="12"/>
  <c r="L1530" i="12" s="1"/>
  <c r="M1530" i="12" s="1"/>
  <c r="N1530" i="12" s="1"/>
  <c r="K1531" i="12"/>
  <c r="L1531" i="12" s="1"/>
  <c r="M1531" i="12" s="1"/>
  <c r="N1531" i="12" s="1"/>
  <c r="K1532" i="12"/>
  <c r="L1532" i="12" s="1"/>
  <c r="M1532" i="12" s="1"/>
  <c r="N1532" i="12" s="1"/>
  <c r="K1533" i="12"/>
  <c r="L1533" i="12" s="1"/>
  <c r="M1533" i="12" s="1"/>
  <c r="N1533" i="12" s="1"/>
  <c r="K1534" i="12"/>
  <c r="L1534" i="12" s="1"/>
  <c r="M1534" i="12" s="1"/>
  <c r="N1534" i="12" s="1"/>
  <c r="K1535" i="12"/>
  <c r="L1535" i="12" s="1"/>
  <c r="M1535" i="12" s="1"/>
  <c r="N1535" i="12" s="1"/>
  <c r="K1536" i="12"/>
  <c r="L1536" i="12" s="1"/>
  <c r="M1536" i="12" s="1"/>
  <c r="N1536" i="12" s="1"/>
  <c r="K1537" i="12"/>
  <c r="L1537" i="12" s="1"/>
  <c r="M1537" i="12" s="1"/>
  <c r="N1537" i="12" s="1"/>
  <c r="K1538" i="12"/>
  <c r="L1538" i="12" s="1"/>
  <c r="M1538" i="12" s="1"/>
  <c r="N1538" i="12" s="1"/>
  <c r="K1539" i="12"/>
  <c r="L1539" i="12" s="1"/>
  <c r="M1539" i="12" s="1"/>
  <c r="N1539" i="12" s="1"/>
  <c r="K1540" i="12"/>
  <c r="L1540" i="12" s="1"/>
  <c r="M1540" i="12" s="1"/>
  <c r="N1540" i="12" s="1"/>
  <c r="K1541" i="12"/>
  <c r="L1541" i="12" s="1"/>
  <c r="M1541" i="12" s="1"/>
  <c r="N1541" i="12" s="1"/>
  <c r="K1542" i="12"/>
  <c r="L1542" i="12" s="1"/>
  <c r="M1542" i="12" s="1"/>
  <c r="N1542" i="12" s="1"/>
  <c r="K1543" i="12"/>
  <c r="L1543" i="12" s="1"/>
  <c r="M1543" i="12" s="1"/>
  <c r="N1543" i="12" s="1"/>
  <c r="K1544" i="12"/>
  <c r="L1544" i="12" s="1"/>
  <c r="M1544" i="12" s="1"/>
  <c r="N1544" i="12" s="1"/>
  <c r="K1545" i="12"/>
  <c r="L1545" i="12" s="1"/>
  <c r="M1545" i="12" s="1"/>
  <c r="N1545" i="12" s="1"/>
  <c r="K1546" i="12"/>
  <c r="L1546" i="12" s="1"/>
  <c r="M1546" i="12" s="1"/>
  <c r="N1546" i="12" s="1"/>
  <c r="K1547" i="12"/>
  <c r="L1547" i="12" s="1"/>
  <c r="M1547" i="12" s="1"/>
  <c r="N1547" i="12" s="1"/>
  <c r="K1548" i="12"/>
  <c r="L1548" i="12" s="1"/>
  <c r="M1548" i="12" s="1"/>
  <c r="N1548" i="12" s="1"/>
  <c r="K1549" i="12"/>
  <c r="L1549" i="12" s="1"/>
  <c r="M1549" i="12" s="1"/>
  <c r="N1549" i="12" s="1"/>
  <c r="K1550" i="12"/>
  <c r="L1550" i="12" s="1"/>
  <c r="M1550" i="12" s="1"/>
  <c r="N1550" i="12" s="1"/>
  <c r="K1551" i="12"/>
  <c r="L1551" i="12" s="1"/>
  <c r="M1551" i="12" s="1"/>
  <c r="N1551" i="12" s="1"/>
  <c r="K1552" i="12"/>
  <c r="L1552" i="12" s="1"/>
  <c r="M1552" i="12" s="1"/>
  <c r="N1552" i="12" s="1"/>
  <c r="K1553" i="12"/>
  <c r="L1553" i="12" s="1"/>
  <c r="M1553" i="12" s="1"/>
  <c r="N1553" i="12" s="1"/>
  <c r="K1554" i="12"/>
  <c r="L1554" i="12" s="1"/>
  <c r="M1554" i="12" s="1"/>
  <c r="N1554" i="12" s="1"/>
  <c r="K1555" i="12"/>
  <c r="L1555" i="12" s="1"/>
  <c r="M1555" i="12" s="1"/>
  <c r="N1555" i="12" s="1"/>
  <c r="K1556" i="12"/>
  <c r="L1556" i="12" s="1"/>
  <c r="M1556" i="12" s="1"/>
  <c r="N1556" i="12" s="1"/>
  <c r="K1557" i="12"/>
  <c r="L1557" i="12" s="1"/>
  <c r="M1557" i="12" s="1"/>
  <c r="N1557" i="12" s="1"/>
  <c r="K1558" i="12"/>
  <c r="L1558" i="12" s="1"/>
  <c r="M1558" i="12" s="1"/>
  <c r="N1558" i="12" s="1"/>
  <c r="K1559" i="12"/>
  <c r="L1559" i="12" s="1"/>
  <c r="M1559" i="12" s="1"/>
  <c r="N1559" i="12" s="1"/>
  <c r="K1560" i="12"/>
  <c r="L1560" i="12" s="1"/>
  <c r="M1560" i="12" s="1"/>
  <c r="N1560" i="12" s="1"/>
  <c r="K1561" i="12"/>
  <c r="L1561" i="12" s="1"/>
  <c r="M1561" i="12" s="1"/>
  <c r="N1561" i="12" s="1"/>
  <c r="K1562" i="12"/>
  <c r="L1562" i="12" s="1"/>
  <c r="M1562" i="12" s="1"/>
  <c r="N1562" i="12" s="1"/>
  <c r="K1563" i="12"/>
  <c r="L1563" i="12" s="1"/>
  <c r="M1563" i="12" s="1"/>
  <c r="N1563" i="12" s="1"/>
  <c r="K1564" i="12"/>
  <c r="L1564" i="12" s="1"/>
  <c r="M1564" i="12" s="1"/>
  <c r="N1564" i="12" s="1"/>
  <c r="K1565" i="12"/>
  <c r="L1565" i="12" s="1"/>
  <c r="M1565" i="12" s="1"/>
  <c r="N1565" i="12" s="1"/>
  <c r="K1566" i="12"/>
  <c r="L1566" i="12" s="1"/>
  <c r="M1566" i="12" s="1"/>
  <c r="N1566" i="12" s="1"/>
  <c r="K1567" i="12"/>
  <c r="L1567" i="12" s="1"/>
  <c r="M1567" i="12" s="1"/>
  <c r="N1567" i="12" s="1"/>
  <c r="K1568" i="12"/>
  <c r="L1568" i="12" s="1"/>
  <c r="M1568" i="12" s="1"/>
  <c r="N1568" i="12" s="1"/>
  <c r="K1569" i="12"/>
  <c r="L1569" i="12" s="1"/>
  <c r="M1569" i="12" s="1"/>
  <c r="N1569" i="12" s="1"/>
  <c r="K1570" i="12"/>
  <c r="L1570" i="12" s="1"/>
  <c r="M1570" i="12" s="1"/>
  <c r="N1570" i="12" s="1"/>
  <c r="K1571" i="12"/>
  <c r="L1571" i="12" s="1"/>
  <c r="M1571" i="12" s="1"/>
  <c r="N1571" i="12" s="1"/>
  <c r="K1572" i="12"/>
  <c r="L1572" i="12" s="1"/>
  <c r="M1572" i="12" s="1"/>
  <c r="N1572" i="12" s="1"/>
  <c r="K1573" i="12"/>
  <c r="L1573" i="12" s="1"/>
  <c r="M1573" i="12" s="1"/>
  <c r="N1573" i="12" s="1"/>
  <c r="K1574" i="12"/>
  <c r="L1574" i="12" s="1"/>
  <c r="M1574" i="12" s="1"/>
  <c r="N1574" i="12" s="1"/>
  <c r="K1575" i="12"/>
  <c r="L1575" i="12" s="1"/>
  <c r="M1575" i="12" s="1"/>
  <c r="N1575" i="12" s="1"/>
  <c r="K1576" i="12"/>
  <c r="L1576" i="12" s="1"/>
  <c r="M1576" i="12" s="1"/>
  <c r="N1576" i="12" s="1"/>
  <c r="K1577" i="12"/>
  <c r="L1577" i="12" s="1"/>
  <c r="M1577" i="12" s="1"/>
  <c r="N1577" i="12" s="1"/>
  <c r="K1578" i="12"/>
  <c r="L1578" i="12" s="1"/>
  <c r="M1578" i="12" s="1"/>
  <c r="N1578" i="12" s="1"/>
  <c r="K1579" i="12"/>
  <c r="L1579" i="12" s="1"/>
  <c r="M1579" i="12" s="1"/>
  <c r="N1579" i="12" s="1"/>
  <c r="K1580" i="12"/>
  <c r="L1580" i="12" s="1"/>
  <c r="M1580" i="12" s="1"/>
  <c r="N1580" i="12" s="1"/>
  <c r="K1581" i="12"/>
  <c r="L1581" i="12" s="1"/>
  <c r="M1581" i="12" s="1"/>
  <c r="N1581" i="12" s="1"/>
  <c r="K1582" i="12"/>
  <c r="L1582" i="12" s="1"/>
  <c r="M1582" i="12" s="1"/>
  <c r="N1582" i="12" s="1"/>
  <c r="K1583" i="12"/>
  <c r="L1583" i="12" s="1"/>
  <c r="M1583" i="12" s="1"/>
  <c r="N1583" i="12" s="1"/>
  <c r="K1584" i="12"/>
  <c r="L1584" i="12" s="1"/>
  <c r="M1584" i="12" s="1"/>
  <c r="N1584" i="12" s="1"/>
  <c r="K1585" i="12"/>
  <c r="L1585" i="12" s="1"/>
  <c r="M1585" i="12" s="1"/>
  <c r="N1585" i="12" s="1"/>
  <c r="K1586" i="12"/>
  <c r="L1586" i="12" s="1"/>
  <c r="M1586" i="12" s="1"/>
  <c r="N1586" i="12" s="1"/>
  <c r="K1587" i="12"/>
  <c r="L1587" i="12" s="1"/>
  <c r="M1587" i="12" s="1"/>
  <c r="N1587" i="12" s="1"/>
  <c r="K1588" i="12"/>
  <c r="L1588" i="12" s="1"/>
  <c r="M1588" i="12" s="1"/>
  <c r="N1588" i="12" s="1"/>
  <c r="K1589" i="12"/>
  <c r="L1589" i="12" s="1"/>
  <c r="M1589" i="12" s="1"/>
  <c r="N1589" i="12" s="1"/>
  <c r="K1590" i="12"/>
  <c r="L1590" i="12" s="1"/>
  <c r="M1590" i="12" s="1"/>
  <c r="N1590" i="12" s="1"/>
  <c r="K1591" i="12"/>
  <c r="L1591" i="12" s="1"/>
  <c r="M1591" i="12" s="1"/>
  <c r="N1591" i="12" s="1"/>
  <c r="K1592" i="12"/>
  <c r="L1592" i="12" s="1"/>
  <c r="M1592" i="12" s="1"/>
  <c r="N1592" i="12" s="1"/>
  <c r="K1593" i="12"/>
  <c r="L1593" i="12" s="1"/>
  <c r="M1593" i="12" s="1"/>
  <c r="N1593" i="12" s="1"/>
  <c r="K1594" i="12"/>
  <c r="L1594" i="12" s="1"/>
  <c r="M1594" i="12" s="1"/>
  <c r="N1594" i="12" s="1"/>
  <c r="K1595" i="12"/>
  <c r="L1595" i="12" s="1"/>
  <c r="M1595" i="12" s="1"/>
  <c r="N1595" i="12" s="1"/>
  <c r="K1596" i="12"/>
  <c r="L1596" i="12" s="1"/>
  <c r="M1596" i="12" s="1"/>
  <c r="N1596" i="12" s="1"/>
  <c r="K1597" i="12"/>
  <c r="L1597" i="12" s="1"/>
  <c r="M1597" i="12" s="1"/>
  <c r="N1597" i="12" s="1"/>
  <c r="K1598" i="12"/>
  <c r="L1598" i="12" s="1"/>
  <c r="M1598" i="12" s="1"/>
  <c r="N1598" i="12" s="1"/>
  <c r="K1599" i="12"/>
  <c r="L1599" i="12" s="1"/>
  <c r="M1599" i="12" s="1"/>
  <c r="N1599" i="12" s="1"/>
  <c r="K1600" i="12"/>
  <c r="L1600" i="12" s="1"/>
  <c r="M1600" i="12" s="1"/>
  <c r="N1600" i="12" s="1"/>
  <c r="K1601" i="12"/>
  <c r="L1601" i="12" s="1"/>
  <c r="M1601" i="12" s="1"/>
  <c r="N1601" i="12" s="1"/>
  <c r="K1602" i="12"/>
  <c r="L1602" i="12" s="1"/>
  <c r="M1602" i="12" s="1"/>
  <c r="N1602" i="12" s="1"/>
  <c r="K1603" i="12"/>
  <c r="L1603" i="12" s="1"/>
  <c r="M1603" i="12" s="1"/>
  <c r="N1603" i="12" s="1"/>
  <c r="K1604" i="12"/>
  <c r="L1604" i="12" s="1"/>
  <c r="M1604" i="12" s="1"/>
  <c r="N1604" i="12" s="1"/>
  <c r="K1605" i="12"/>
  <c r="L1605" i="12" s="1"/>
  <c r="M1605" i="12" s="1"/>
  <c r="N1605" i="12" s="1"/>
  <c r="K1606" i="12"/>
  <c r="L1606" i="12" s="1"/>
  <c r="M1606" i="12" s="1"/>
  <c r="N1606" i="12" s="1"/>
  <c r="K1607" i="12"/>
  <c r="L1607" i="12" s="1"/>
  <c r="M1607" i="12" s="1"/>
  <c r="N1607" i="12" s="1"/>
  <c r="K1608" i="12"/>
  <c r="L1608" i="12" s="1"/>
  <c r="M1608" i="12" s="1"/>
  <c r="N1608" i="12" s="1"/>
  <c r="K1609" i="12"/>
  <c r="L1609" i="12" s="1"/>
  <c r="M1609" i="12" s="1"/>
  <c r="N1609" i="12" s="1"/>
  <c r="K1610" i="12"/>
  <c r="L1610" i="12" s="1"/>
  <c r="M1610" i="12" s="1"/>
  <c r="N1610" i="12" s="1"/>
  <c r="K1611" i="12"/>
  <c r="L1611" i="12" s="1"/>
  <c r="M1611" i="12" s="1"/>
  <c r="N1611" i="12" s="1"/>
  <c r="K1612" i="12"/>
  <c r="L1612" i="12" s="1"/>
  <c r="M1612" i="12" s="1"/>
  <c r="N1612" i="12" s="1"/>
  <c r="K1613" i="12"/>
  <c r="L1613" i="12" s="1"/>
  <c r="M1613" i="12" s="1"/>
  <c r="N1613" i="12" s="1"/>
  <c r="K1614" i="12"/>
  <c r="L1614" i="12" s="1"/>
  <c r="M1614" i="12" s="1"/>
  <c r="N1614" i="12" s="1"/>
  <c r="K1615" i="12"/>
  <c r="L1615" i="12" s="1"/>
  <c r="M1615" i="12" s="1"/>
  <c r="N1615" i="12" s="1"/>
  <c r="K1616" i="12"/>
  <c r="L1616" i="12" s="1"/>
  <c r="M1616" i="12" s="1"/>
  <c r="N1616" i="12" s="1"/>
  <c r="K1617" i="12"/>
  <c r="L1617" i="12" s="1"/>
  <c r="M1617" i="12" s="1"/>
  <c r="N1617" i="12" s="1"/>
  <c r="K1618" i="12"/>
  <c r="L1618" i="12" s="1"/>
  <c r="M1618" i="12" s="1"/>
  <c r="N1618" i="12" s="1"/>
  <c r="K1619" i="12"/>
  <c r="L1619" i="12" s="1"/>
  <c r="M1619" i="12" s="1"/>
  <c r="N1619" i="12" s="1"/>
  <c r="K1620" i="12"/>
  <c r="L1620" i="12" s="1"/>
  <c r="M1620" i="12" s="1"/>
  <c r="N1620" i="12" s="1"/>
  <c r="K1621" i="12"/>
  <c r="L1621" i="12" s="1"/>
  <c r="M1621" i="12" s="1"/>
  <c r="N1621" i="12" s="1"/>
  <c r="K1622" i="12"/>
  <c r="L1622" i="12" s="1"/>
  <c r="M1622" i="12" s="1"/>
  <c r="N1622" i="12" s="1"/>
  <c r="K1623" i="12"/>
  <c r="L1623" i="12" s="1"/>
  <c r="M1623" i="12" s="1"/>
  <c r="N1623" i="12" s="1"/>
  <c r="K1624" i="12"/>
  <c r="L1624" i="12" s="1"/>
  <c r="M1624" i="12" s="1"/>
  <c r="N1624" i="12" s="1"/>
  <c r="K1625" i="12"/>
  <c r="L1625" i="12" s="1"/>
  <c r="M1625" i="12" s="1"/>
  <c r="N1625" i="12" s="1"/>
  <c r="K1626" i="12"/>
  <c r="L1626" i="12" s="1"/>
  <c r="M1626" i="12" s="1"/>
  <c r="N1626" i="12" s="1"/>
  <c r="K1627" i="12"/>
  <c r="L1627" i="12" s="1"/>
  <c r="M1627" i="12" s="1"/>
  <c r="N1627" i="12" s="1"/>
  <c r="K1628" i="12"/>
  <c r="L1628" i="12" s="1"/>
  <c r="M1628" i="12" s="1"/>
  <c r="N1628" i="12" s="1"/>
  <c r="K1629" i="12"/>
  <c r="L1629" i="12" s="1"/>
  <c r="M1629" i="12" s="1"/>
  <c r="N1629" i="12" s="1"/>
  <c r="K1630" i="12"/>
  <c r="L1630" i="12" s="1"/>
  <c r="M1630" i="12" s="1"/>
  <c r="N1630" i="12" s="1"/>
  <c r="K1631" i="12"/>
  <c r="L1631" i="12" s="1"/>
  <c r="M1631" i="12" s="1"/>
  <c r="N1631" i="12" s="1"/>
  <c r="K1632" i="12"/>
  <c r="L1632" i="12" s="1"/>
  <c r="M1632" i="12" s="1"/>
  <c r="N1632" i="12" s="1"/>
  <c r="K1633" i="12"/>
  <c r="L1633" i="12" s="1"/>
  <c r="M1633" i="12" s="1"/>
  <c r="N1633" i="12" s="1"/>
  <c r="K1634" i="12"/>
  <c r="L1634" i="12" s="1"/>
  <c r="M1634" i="12" s="1"/>
  <c r="N1634" i="12" s="1"/>
  <c r="K1635" i="12"/>
  <c r="L1635" i="12" s="1"/>
  <c r="M1635" i="12" s="1"/>
  <c r="N1635" i="12" s="1"/>
  <c r="K1636" i="12"/>
  <c r="L1636" i="12" s="1"/>
  <c r="M1636" i="12" s="1"/>
  <c r="N1636" i="12" s="1"/>
  <c r="K1637" i="12"/>
  <c r="L1637" i="12" s="1"/>
  <c r="M1637" i="12" s="1"/>
  <c r="N1637" i="12" s="1"/>
  <c r="K1638" i="12"/>
  <c r="L1638" i="12" s="1"/>
  <c r="M1638" i="12" s="1"/>
  <c r="N1638" i="12" s="1"/>
  <c r="K1639" i="12"/>
  <c r="L1639" i="12" s="1"/>
  <c r="M1639" i="12" s="1"/>
  <c r="N1639" i="12" s="1"/>
  <c r="K1640" i="12"/>
  <c r="L1640" i="12" s="1"/>
  <c r="M1640" i="12" s="1"/>
  <c r="N1640" i="12" s="1"/>
  <c r="K1641" i="12"/>
  <c r="L1641" i="12" s="1"/>
  <c r="M1641" i="12" s="1"/>
  <c r="N1641" i="12" s="1"/>
  <c r="K1642" i="12"/>
  <c r="L1642" i="12" s="1"/>
  <c r="M1642" i="12" s="1"/>
  <c r="N1642" i="12" s="1"/>
  <c r="K1643" i="12"/>
  <c r="L1643" i="12" s="1"/>
  <c r="M1643" i="12" s="1"/>
  <c r="N1643" i="12" s="1"/>
  <c r="K1644" i="12"/>
  <c r="L1644" i="12" s="1"/>
  <c r="M1644" i="12" s="1"/>
  <c r="N1644" i="12" s="1"/>
  <c r="K1645" i="12"/>
  <c r="L1645" i="12" s="1"/>
  <c r="M1645" i="12" s="1"/>
  <c r="N1645" i="12" s="1"/>
  <c r="K1646" i="12"/>
  <c r="L1646" i="12" s="1"/>
  <c r="M1646" i="12" s="1"/>
  <c r="N1646" i="12" s="1"/>
  <c r="K1647" i="12"/>
  <c r="L1647" i="12" s="1"/>
  <c r="M1647" i="12" s="1"/>
  <c r="N1647" i="12" s="1"/>
  <c r="K1648" i="12"/>
  <c r="L1648" i="12" s="1"/>
  <c r="M1648" i="12" s="1"/>
  <c r="N1648" i="12" s="1"/>
  <c r="K1649" i="12"/>
  <c r="L1649" i="12" s="1"/>
  <c r="M1649" i="12" s="1"/>
  <c r="N1649" i="12" s="1"/>
  <c r="K1650" i="12"/>
  <c r="L1650" i="12" s="1"/>
  <c r="M1650" i="12" s="1"/>
  <c r="N1650" i="12" s="1"/>
  <c r="K1651" i="12"/>
  <c r="L1651" i="12" s="1"/>
  <c r="M1651" i="12" s="1"/>
  <c r="N1651" i="12" s="1"/>
  <c r="K1652" i="12"/>
  <c r="L1652" i="12" s="1"/>
  <c r="M1652" i="12" s="1"/>
  <c r="N1652" i="12" s="1"/>
  <c r="K1653" i="12"/>
  <c r="L1653" i="12" s="1"/>
  <c r="M1653" i="12" s="1"/>
  <c r="N1653" i="12" s="1"/>
  <c r="K1654" i="12"/>
  <c r="L1654" i="12" s="1"/>
  <c r="M1654" i="12" s="1"/>
  <c r="N1654" i="12" s="1"/>
  <c r="K1655" i="12"/>
  <c r="L1655" i="12" s="1"/>
  <c r="M1655" i="12" s="1"/>
  <c r="N1655" i="12" s="1"/>
  <c r="K1656" i="12"/>
  <c r="L1656" i="12" s="1"/>
  <c r="M1656" i="12" s="1"/>
  <c r="N1656" i="12" s="1"/>
  <c r="K1657" i="12"/>
  <c r="L1657" i="12" s="1"/>
  <c r="M1657" i="12" s="1"/>
  <c r="N1657" i="12" s="1"/>
  <c r="K1658" i="12"/>
  <c r="L1658" i="12" s="1"/>
  <c r="M1658" i="12" s="1"/>
  <c r="N1658" i="12" s="1"/>
  <c r="K1659" i="12"/>
  <c r="L1659" i="12" s="1"/>
  <c r="M1659" i="12" s="1"/>
  <c r="N1659" i="12" s="1"/>
  <c r="K1660" i="12"/>
  <c r="L1660" i="12" s="1"/>
  <c r="M1660" i="12" s="1"/>
  <c r="N1660" i="12" s="1"/>
  <c r="K1661" i="12"/>
  <c r="L1661" i="12" s="1"/>
  <c r="M1661" i="12" s="1"/>
  <c r="N1661" i="12" s="1"/>
  <c r="K1662" i="12"/>
  <c r="L1662" i="12" s="1"/>
  <c r="M1662" i="12" s="1"/>
  <c r="N1662" i="12" s="1"/>
  <c r="K1663" i="12"/>
  <c r="L1663" i="12" s="1"/>
  <c r="M1663" i="12" s="1"/>
  <c r="N1663" i="12" s="1"/>
  <c r="K1664" i="12"/>
  <c r="L1664" i="12" s="1"/>
  <c r="M1664" i="12" s="1"/>
  <c r="N1664" i="12" s="1"/>
  <c r="K1665" i="12"/>
  <c r="L1665" i="12" s="1"/>
  <c r="M1665" i="12" s="1"/>
  <c r="N1665" i="12" s="1"/>
  <c r="K1666" i="12"/>
  <c r="L1666" i="12" s="1"/>
  <c r="M1666" i="12" s="1"/>
  <c r="N1666" i="12" s="1"/>
  <c r="K1667" i="12"/>
  <c r="L1667" i="12" s="1"/>
  <c r="M1667" i="12" s="1"/>
  <c r="N1667" i="12" s="1"/>
  <c r="K1668" i="12"/>
  <c r="L1668" i="12" s="1"/>
  <c r="M1668" i="12" s="1"/>
  <c r="N1668" i="12" s="1"/>
  <c r="K1669" i="12"/>
  <c r="L1669" i="12" s="1"/>
  <c r="M1669" i="12" s="1"/>
  <c r="N1669" i="12" s="1"/>
  <c r="K1670" i="12"/>
  <c r="L1670" i="12" s="1"/>
  <c r="M1670" i="12" s="1"/>
  <c r="N1670" i="12" s="1"/>
  <c r="K1671" i="12"/>
  <c r="L1671" i="12" s="1"/>
  <c r="M1671" i="12" s="1"/>
  <c r="N1671" i="12" s="1"/>
  <c r="K1672" i="12"/>
  <c r="L1672" i="12" s="1"/>
  <c r="M1672" i="12" s="1"/>
  <c r="N1672" i="12" s="1"/>
  <c r="K1673" i="12"/>
  <c r="L1673" i="12" s="1"/>
  <c r="M1673" i="12" s="1"/>
  <c r="N1673" i="12" s="1"/>
  <c r="K1674" i="12"/>
  <c r="L1674" i="12" s="1"/>
  <c r="M1674" i="12" s="1"/>
  <c r="N1674" i="12" s="1"/>
  <c r="K1675" i="12"/>
  <c r="L1675" i="12" s="1"/>
  <c r="M1675" i="12" s="1"/>
  <c r="N1675" i="12" s="1"/>
  <c r="K1676" i="12"/>
  <c r="L1676" i="12" s="1"/>
  <c r="M1676" i="12" s="1"/>
  <c r="N1676" i="12" s="1"/>
  <c r="K1677" i="12"/>
  <c r="L1677" i="12" s="1"/>
  <c r="M1677" i="12" s="1"/>
  <c r="N1677" i="12" s="1"/>
  <c r="K1678" i="12"/>
  <c r="L1678" i="12" s="1"/>
  <c r="M1678" i="12" s="1"/>
  <c r="N1678" i="12" s="1"/>
  <c r="K1679" i="12"/>
  <c r="L1679" i="12" s="1"/>
  <c r="M1679" i="12" s="1"/>
  <c r="N1679" i="12" s="1"/>
  <c r="K1680" i="12"/>
  <c r="L1680" i="12" s="1"/>
  <c r="M1680" i="12" s="1"/>
  <c r="N1680" i="12" s="1"/>
  <c r="K1681" i="12"/>
  <c r="L1681" i="12" s="1"/>
  <c r="M1681" i="12" s="1"/>
  <c r="N1681" i="12" s="1"/>
  <c r="K1682" i="12"/>
  <c r="L1682" i="12" s="1"/>
  <c r="M1682" i="12" s="1"/>
  <c r="N1682" i="12" s="1"/>
  <c r="K1683" i="12"/>
  <c r="L1683" i="12" s="1"/>
  <c r="M1683" i="12" s="1"/>
  <c r="N1683" i="12" s="1"/>
  <c r="K1684" i="12"/>
  <c r="L1684" i="12" s="1"/>
  <c r="M1684" i="12" s="1"/>
  <c r="N1684" i="12" s="1"/>
  <c r="K1685" i="12"/>
  <c r="L1685" i="12" s="1"/>
  <c r="M1685" i="12" s="1"/>
  <c r="N1685" i="12" s="1"/>
  <c r="K1686" i="12"/>
  <c r="L1686" i="12" s="1"/>
  <c r="M1686" i="12" s="1"/>
  <c r="N1686" i="12" s="1"/>
  <c r="K1687" i="12"/>
  <c r="L1687" i="12" s="1"/>
  <c r="M1687" i="12" s="1"/>
  <c r="N1687" i="12" s="1"/>
  <c r="K1688" i="12"/>
  <c r="L1688" i="12" s="1"/>
  <c r="M1688" i="12" s="1"/>
  <c r="N1688" i="12" s="1"/>
  <c r="K1689" i="12"/>
  <c r="L1689" i="12" s="1"/>
  <c r="M1689" i="12" s="1"/>
  <c r="N1689" i="12" s="1"/>
  <c r="K1690" i="12"/>
  <c r="L1690" i="12" s="1"/>
  <c r="M1690" i="12" s="1"/>
  <c r="N1690" i="12" s="1"/>
  <c r="K1691" i="12"/>
  <c r="L1691" i="12" s="1"/>
  <c r="M1691" i="12" s="1"/>
  <c r="N1691" i="12" s="1"/>
  <c r="K1692" i="12"/>
  <c r="L1692" i="12" s="1"/>
  <c r="M1692" i="12" s="1"/>
  <c r="N1692" i="12" s="1"/>
  <c r="K1693" i="12"/>
  <c r="L1693" i="12" s="1"/>
  <c r="M1693" i="12" s="1"/>
  <c r="N1693" i="12" s="1"/>
  <c r="K1694" i="12"/>
  <c r="L1694" i="12" s="1"/>
  <c r="M1694" i="12" s="1"/>
  <c r="N1694" i="12" s="1"/>
  <c r="K1695" i="12"/>
  <c r="L1695" i="12" s="1"/>
  <c r="M1695" i="12" s="1"/>
  <c r="N1695" i="12" s="1"/>
  <c r="K1696" i="12"/>
  <c r="L1696" i="12" s="1"/>
  <c r="M1696" i="12" s="1"/>
  <c r="N1696" i="12" s="1"/>
  <c r="K1697" i="12"/>
  <c r="L1697" i="12" s="1"/>
  <c r="M1697" i="12" s="1"/>
  <c r="N1697" i="12" s="1"/>
  <c r="K1698" i="12"/>
  <c r="L1698" i="12" s="1"/>
  <c r="M1698" i="12" s="1"/>
  <c r="N1698" i="12" s="1"/>
  <c r="K1699" i="12"/>
  <c r="L1699" i="12" s="1"/>
  <c r="M1699" i="12" s="1"/>
  <c r="N1699" i="12" s="1"/>
  <c r="K1700" i="12"/>
  <c r="L1700" i="12" s="1"/>
  <c r="M1700" i="12" s="1"/>
  <c r="N1700" i="12" s="1"/>
  <c r="K1701" i="12"/>
  <c r="L1701" i="12" s="1"/>
  <c r="M1701" i="12" s="1"/>
  <c r="N1701" i="12" s="1"/>
  <c r="K1702" i="12"/>
  <c r="L1702" i="12" s="1"/>
  <c r="M1702" i="12" s="1"/>
  <c r="N1702" i="12" s="1"/>
  <c r="K1703" i="12"/>
  <c r="L1703" i="12" s="1"/>
  <c r="M1703" i="12" s="1"/>
  <c r="N1703" i="12" s="1"/>
  <c r="K1704" i="12"/>
  <c r="L1704" i="12" s="1"/>
  <c r="M1704" i="12" s="1"/>
  <c r="N1704" i="12" s="1"/>
  <c r="K1705" i="12"/>
  <c r="L1705" i="12" s="1"/>
  <c r="M1705" i="12" s="1"/>
  <c r="N1705" i="12" s="1"/>
  <c r="K1706" i="12"/>
  <c r="L1706" i="12" s="1"/>
  <c r="M1706" i="12" s="1"/>
  <c r="N1706" i="12" s="1"/>
  <c r="K1707" i="12"/>
  <c r="L1707" i="12" s="1"/>
  <c r="M1707" i="12" s="1"/>
  <c r="N1707" i="12" s="1"/>
  <c r="K1708" i="12"/>
  <c r="L1708" i="12" s="1"/>
  <c r="M1708" i="12" s="1"/>
  <c r="N1708" i="12" s="1"/>
  <c r="K1709" i="12"/>
  <c r="L1709" i="12" s="1"/>
  <c r="M1709" i="12" s="1"/>
  <c r="N1709" i="12" s="1"/>
  <c r="K1710" i="12"/>
  <c r="L1710" i="12" s="1"/>
  <c r="M1710" i="12" s="1"/>
  <c r="N1710" i="12" s="1"/>
  <c r="K1711" i="12"/>
  <c r="L1711" i="12" s="1"/>
  <c r="M1711" i="12" s="1"/>
  <c r="N1711" i="12" s="1"/>
  <c r="K1712" i="12"/>
  <c r="L1712" i="12" s="1"/>
  <c r="M1712" i="12" s="1"/>
  <c r="N1712" i="12" s="1"/>
  <c r="K1713" i="12"/>
  <c r="L1713" i="12" s="1"/>
  <c r="M1713" i="12" s="1"/>
  <c r="N1713" i="12" s="1"/>
  <c r="K1714" i="12"/>
  <c r="L1714" i="12" s="1"/>
  <c r="M1714" i="12" s="1"/>
  <c r="N1714" i="12" s="1"/>
  <c r="K1715" i="12"/>
  <c r="L1715" i="12" s="1"/>
  <c r="M1715" i="12" s="1"/>
  <c r="N1715" i="12" s="1"/>
  <c r="K1716" i="12"/>
  <c r="L1716" i="12" s="1"/>
  <c r="M1716" i="12" s="1"/>
  <c r="N1716" i="12" s="1"/>
  <c r="K1717" i="12"/>
  <c r="L1717" i="12" s="1"/>
  <c r="M1717" i="12" s="1"/>
  <c r="N1717" i="12" s="1"/>
  <c r="K1718" i="12"/>
  <c r="L1718" i="12" s="1"/>
  <c r="M1718" i="12" s="1"/>
  <c r="N1718" i="12" s="1"/>
  <c r="K1719" i="12"/>
  <c r="L1719" i="12" s="1"/>
  <c r="M1719" i="12" s="1"/>
  <c r="N1719" i="12" s="1"/>
  <c r="K1720" i="12"/>
  <c r="L1720" i="12" s="1"/>
  <c r="M1720" i="12" s="1"/>
  <c r="N1720" i="12" s="1"/>
  <c r="K1721" i="12"/>
  <c r="L1721" i="12" s="1"/>
  <c r="M1721" i="12" s="1"/>
  <c r="N1721" i="12" s="1"/>
  <c r="K1722" i="12"/>
  <c r="L1722" i="12" s="1"/>
  <c r="M1722" i="12" s="1"/>
  <c r="N1722" i="12" s="1"/>
  <c r="K1723" i="12"/>
  <c r="L1723" i="12" s="1"/>
  <c r="M1723" i="12" s="1"/>
  <c r="N1723" i="12" s="1"/>
  <c r="K1724" i="12"/>
  <c r="L1724" i="12" s="1"/>
  <c r="M1724" i="12" s="1"/>
  <c r="N1724" i="12" s="1"/>
  <c r="K1725" i="12"/>
  <c r="L1725" i="12" s="1"/>
  <c r="M1725" i="12" s="1"/>
  <c r="N1725" i="12" s="1"/>
  <c r="K1726" i="12"/>
  <c r="L1726" i="12" s="1"/>
  <c r="M1726" i="12" s="1"/>
  <c r="N1726" i="12" s="1"/>
  <c r="K1727" i="12"/>
  <c r="L1727" i="12" s="1"/>
  <c r="M1727" i="12" s="1"/>
  <c r="N1727" i="12" s="1"/>
  <c r="K1728" i="12"/>
  <c r="L1728" i="12" s="1"/>
  <c r="M1728" i="12" s="1"/>
  <c r="N1728" i="12" s="1"/>
  <c r="K1729" i="12"/>
  <c r="L1729" i="12" s="1"/>
  <c r="M1729" i="12" s="1"/>
  <c r="N1729" i="12" s="1"/>
  <c r="K1730" i="12"/>
  <c r="L1730" i="12" s="1"/>
  <c r="M1730" i="12" s="1"/>
  <c r="N1730" i="12" s="1"/>
  <c r="K1731" i="12"/>
  <c r="L1731" i="12" s="1"/>
  <c r="M1731" i="12" s="1"/>
  <c r="N1731" i="12" s="1"/>
  <c r="K1732" i="12"/>
  <c r="L1732" i="12" s="1"/>
  <c r="M1732" i="12" s="1"/>
  <c r="N1732" i="12" s="1"/>
  <c r="K1733" i="12"/>
  <c r="L1733" i="12" s="1"/>
  <c r="M1733" i="12" s="1"/>
  <c r="N1733" i="12" s="1"/>
  <c r="K1734" i="12"/>
  <c r="L1734" i="12" s="1"/>
  <c r="M1734" i="12" s="1"/>
  <c r="N1734" i="12" s="1"/>
  <c r="K1735" i="12"/>
  <c r="L1735" i="12" s="1"/>
  <c r="M1735" i="12" s="1"/>
  <c r="N1735" i="12" s="1"/>
  <c r="K1736" i="12"/>
  <c r="L1736" i="12" s="1"/>
  <c r="M1736" i="12" s="1"/>
  <c r="N1736" i="12" s="1"/>
  <c r="K1737" i="12"/>
  <c r="L1737" i="12" s="1"/>
  <c r="M1737" i="12" s="1"/>
  <c r="N1737" i="12" s="1"/>
  <c r="K1738" i="12"/>
  <c r="L1738" i="12" s="1"/>
  <c r="M1738" i="12" s="1"/>
  <c r="N1738" i="12" s="1"/>
  <c r="K1739" i="12"/>
  <c r="L1739" i="12" s="1"/>
  <c r="M1739" i="12" s="1"/>
  <c r="N1739" i="12" s="1"/>
  <c r="K1740" i="12"/>
  <c r="L1740" i="12" s="1"/>
  <c r="M1740" i="12" s="1"/>
  <c r="N1740" i="12" s="1"/>
  <c r="K1741" i="12"/>
  <c r="L1741" i="12" s="1"/>
  <c r="M1741" i="12" s="1"/>
  <c r="N1741" i="12" s="1"/>
  <c r="K1742" i="12"/>
  <c r="L1742" i="12" s="1"/>
  <c r="M1742" i="12" s="1"/>
  <c r="N1742" i="12" s="1"/>
  <c r="K1743" i="12"/>
  <c r="L1743" i="12" s="1"/>
  <c r="M1743" i="12" s="1"/>
  <c r="N1743" i="12" s="1"/>
  <c r="K1744" i="12"/>
  <c r="L1744" i="12" s="1"/>
  <c r="M1744" i="12" s="1"/>
  <c r="N1744" i="12" s="1"/>
  <c r="K1745" i="12"/>
  <c r="L1745" i="12" s="1"/>
  <c r="M1745" i="12" s="1"/>
  <c r="N1745" i="12" s="1"/>
  <c r="K1746" i="12"/>
  <c r="L1746" i="12" s="1"/>
  <c r="M1746" i="12" s="1"/>
  <c r="N1746" i="12" s="1"/>
  <c r="K1747" i="12"/>
  <c r="L1747" i="12" s="1"/>
  <c r="M1747" i="12" s="1"/>
  <c r="N1747" i="12" s="1"/>
  <c r="K1748" i="12"/>
  <c r="L1748" i="12" s="1"/>
  <c r="M1748" i="12" s="1"/>
  <c r="N1748" i="12" s="1"/>
  <c r="K1749" i="12"/>
  <c r="L1749" i="12" s="1"/>
  <c r="M1749" i="12" s="1"/>
  <c r="N1749" i="12" s="1"/>
  <c r="K1750" i="12"/>
  <c r="L1750" i="12" s="1"/>
  <c r="M1750" i="12" s="1"/>
  <c r="N1750" i="12" s="1"/>
  <c r="K1751" i="12"/>
  <c r="L1751" i="12" s="1"/>
  <c r="M1751" i="12" s="1"/>
  <c r="N1751" i="12" s="1"/>
  <c r="K1752" i="12"/>
  <c r="L1752" i="12" s="1"/>
  <c r="M1752" i="12" s="1"/>
  <c r="N1752" i="12" s="1"/>
  <c r="K1753" i="12"/>
  <c r="L1753" i="12" s="1"/>
  <c r="M1753" i="12" s="1"/>
  <c r="N1753" i="12" s="1"/>
  <c r="K1754" i="12"/>
  <c r="L1754" i="12" s="1"/>
  <c r="M1754" i="12" s="1"/>
  <c r="N1754" i="12" s="1"/>
  <c r="K1755" i="12"/>
  <c r="L1755" i="12" s="1"/>
  <c r="M1755" i="12" s="1"/>
  <c r="N1755" i="12" s="1"/>
  <c r="K1756" i="12"/>
  <c r="L1756" i="12" s="1"/>
  <c r="M1756" i="12" s="1"/>
  <c r="N1756" i="12" s="1"/>
  <c r="K1757" i="12"/>
  <c r="L1757" i="12" s="1"/>
  <c r="M1757" i="12" s="1"/>
  <c r="N1757" i="12" s="1"/>
  <c r="K1758" i="12"/>
  <c r="L1758" i="12" s="1"/>
  <c r="M1758" i="12" s="1"/>
  <c r="N1758" i="12" s="1"/>
  <c r="K1759" i="12"/>
  <c r="L1759" i="12" s="1"/>
  <c r="M1759" i="12" s="1"/>
  <c r="N1759" i="12" s="1"/>
  <c r="K1760" i="12"/>
  <c r="L1760" i="12" s="1"/>
  <c r="M1760" i="12" s="1"/>
  <c r="N1760" i="12" s="1"/>
  <c r="K1761" i="12"/>
  <c r="L1761" i="12" s="1"/>
  <c r="M1761" i="12" s="1"/>
  <c r="N1761" i="12" s="1"/>
  <c r="K1762" i="12"/>
  <c r="L1762" i="12" s="1"/>
  <c r="M1762" i="12" s="1"/>
  <c r="N1762" i="12" s="1"/>
  <c r="K1763" i="12"/>
  <c r="L1763" i="12" s="1"/>
  <c r="M1763" i="12" s="1"/>
  <c r="N1763" i="12" s="1"/>
  <c r="K1764" i="12"/>
  <c r="L1764" i="12" s="1"/>
  <c r="M1764" i="12" s="1"/>
  <c r="N1764" i="12" s="1"/>
  <c r="K1765" i="12"/>
  <c r="L1765" i="12" s="1"/>
  <c r="M1765" i="12" s="1"/>
  <c r="N1765" i="12" s="1"/>
  <c r="K1766" i="12"/>
  <c r="L1766" i="12" s="1"/>
  <c r="M1766" i="12" s="1"/>
  <c r="N1766" i="12" s="1"/>
  <c r="K1767" i="12"/>
  <c r="L1767" i="12" s="1"/>
  <c r="M1767" i="12" s="1"/>
  <c r="N1767" i="12" s="1"/>
  <c r="K1768" i="12"/>
  <c r="L1768" i="12" s="1"/>
  <c r="M1768" i="12" s="1"/>
  <c r="N1768" i="12" s="1"/>
  <c r="K1769" i="12"/>
  <c r="L1769" i="12" s="1"/>
  <c r="M1769" i="12" s="1"/>
  <c r="N1769" i="12" s="1"/>
  <c r="K1770" i="12"/>
  <c r="L1770" i="12" s="1"/>
  <c r="M1770" i="12" s="1"/>
  <c r="N1770" i="12" s="1"/>
  <c r="K1771" i="12"/>
  <c r="L1771" i="12" s="1"/>
  <c r="M1771" i="12" s="1"/>
  <c r="N1771" i="12" s="1"/>
  <c r="K1772" i="12"/>
  <c r="L1772" i="12" s="1"/>
  <c r="M1772" i="12" s="1"/>
  <c r="N1772" i="12" s="1"/>
  <c r="K1773" i="12"/>
  <c r="L1773" i="12" s="1"/>
  <c r="M1773" i="12" s="1"/>
  <c r="N1773" i="12" s="1"/>
  <c r="K1774" i="12"/>
  <c r="L1774" i="12" s="1"/>
  <c r="M1774" i="12" s="1"/>
  <c r="N1774" i="12" s="1"/>
  <c r="K1775" i="12"/>
  <c r="L1775" i="12" s="1"/>
  <c r="M1775" i="12" s="1"/>
  <c r="N1775" i="12" s="1"/>
  <c r="K1776" i="12"/>
  <c r="L1776" i="12" s="1"/>
  <c r="M1776" i="12" s="1"/>
  <c r="N1776" i="12" s="1"/>
  <c r="K1777" i="12"/>
  <c r="L1777" i="12" s="1"/>
  <c r="M1777" i="12" s="1"/>
  <c r="N1777" i="12" s="1"/>
  <c r="K1778" i="12"/>
  <c r="L1778" i="12" s="1"/>
  <c r="M1778" i="12" s="1"/>
  <c r="N1778" i="12" s="1"/>
  <c r="K1779" i="12"/>
  <c r="L1779" i="12" s="1"/>
  <c r="M1779" i="12" s="1"/>
  <c r="N1779" i="12" s="1"/>
  <c r="K1780" i="12"/>
  <c r="L1780" i="12" s="1"/>
  <c r="M1780" i="12" s="1"/>
  <c r="N1780" i="12" s="1"/>
  <c r="K1781" i="12"/>
  <c r="L1781" i="12" s="1"/>
  <c r="M1781" i="12" s="1"/>
  <c r="N1781" i="12" s="1"/>
  <c r="K1782" i="12"/>
  <c r="L1782" i="12" s="1"/>
  <c r="M1782" i="12" s="1"/>
  <c r="N1782" i="12" s="1"/>
  <c r="K1783" i="12"/>
  <c r="L1783" i="12" s="1"/>
  <c r="M1783" i="12" s="1"/>
  <c r="N1783" i="12" s="1"/>
  <c r="K1784" i="12"/>
  <c r="L1784" i="12" s="1"/>
  <c r="M1784" i="12" s="1"/>
  <c r="N1784" i="12" s="1"/>
  <c r="K1785" i="12"/>
  <c r="L1785" i="12" s="1"/>
  <c r="M1785" i="12" s="1"/>
  <c r="N1785" i="12" s="1"/>
  <c r="K1786" i="12"/>
  <c r="L1786" i="12" s="1"/>
  <c r="M1786" i="12" s="1"/>
  <c r="N1786" i="12" s="1"/>
  <c r="K1787" i="12"/>
  <c r="L1787" i="12" s="1"/>
  <c r="M1787" i="12" s="1"/>
  <c r="N1787" i="12" s="1"/>
  <c r="K1788" i="12"/>
  <c r="L1788" i="12" s="1"/>
  <c r="M1788" i="12" s="1"/>
  <c r="N1788" i="12" s="1"/>
  <c r="K1789" i="12"/>
  <c r="L1789" i="12" s="1"/>
  <c r="M1789" i="12" s="1"/>
  <c r="N1789" i="12" s="1"/>
  <c r="K1790" i="12"/>
  <c r="L1790" i="12" s="1"/>
  <c r="M1790" i="12" s="1"/>
  <c r="N1790" i="12" s="1"/>
  <c r="K1791" i="12"/>
  <c r="L1791" i="12" s="1"/>
  <c r="M1791" i="12" s="1"/>
  <c r="N1791" i="12" s="1"/>
  <c r="K1792" i="12"/>
  <c r="L1792" i="12" s="1"/>
  <c r="M1792" i="12" s="1"/>
  <c r="N1792" i="12" s="1"/>
  <c r="K1793" i="12"/>
  <c r="L1793" i="12" s="1"/>
  <c r="M1793" i="12" s="1"/>
  <c r="N1793" i="12" s="1"/>
  <c r="K1794" i="12"/>
  <c r="L1794" i="12" s="1"/>
  <c r="M1794" i="12" s="1"/>
  <c r="N1794" i="12" s="1"/>
  <c r="K1795" i="12"/>
  <c r="L1795" i="12" s="1"/>
  <c r="M1795" i="12" s="1"/>
  <c r="N1795" i="12" s="1"/>
  <c r="K1796" i="12"/>
  <c r="L1796" i="12" s="1"/>
  <c r="M1796" i="12" s="1"/>
  <c r="N1796" i="12" s="1"/>
  <c r="K1797" i="12"/>
  <c r="L1797" i="12" s="1"/>
  <c r="M1797" i="12" s="1"/>
  <c r="N1797" i="12" s="1"/>
  <c r="K1798" i="12"/>
  <c r="L1798" i="12" s="1"/>
  <c r="M1798" i="12" s="1"/>
  <c r="N1798" i="12" s="1"/>
  <c r="K1799" i="12"/>
  <c r="L1799" i="12" s="1"/>
  <c r="M1799" i="12" s="1"/>
  <c r="N1799" i="12" s="1"/>
  <c r="K1800" i="12"/>
  <c r="L1800" i="12" s="1"/>
  <c r="M1800" i="12" s="1"/>
  <c r="N1800" i="12" s="1"/>
  <c r="K1801" i="12"/>
  <c r="L1801" i="12" s="1"/>
  <c r="M1801" i="12" s="1"/>
  <c r="N1801" i="12" s="1"/>
  <c r="K1802" i="12"/>
  <c r="L1802" i="12" s="1"/>
  <c r="M1802" i="12" s="1"/>
  <c r="N1802" i="12" s="1"/>
  <c r="K1803" i="12"/>
  <c r="L1803" i="12" s="1"/>
  <c r="M1803" i="12" s="1"/>
  <c r="N1803" i="12" s="1"/>
  <c r="K1804" i="12"/>
  <c r="L1804" i="12" s="1"/>
  <c r="M1804" i="12" s="1"/>
  <c r="N1804" i="12" s="1"/>
  <c r="K1805" i="12"/>
  <c r="L1805" i="12" s="1"/>
  <c r="M1805" i="12" s="1"/>
  <c r="N1805" i="12" s="1"/>
  <c r="K1806" i="12"/>
  <c r="L1806" i="12" s="1"/>
  <c r="M1806" i="12" s="1"/>
  <c r="N1806" i="12" s="1"/>
  <c r="K1807" i="12"/>
  <c r="L1807" i="12" s="1"/>
  <c r="M1807" i="12" s="1"/>
  <c r="N1807" i="12" s="1"/>
  <c r="K1808" i="12"/>
  <c r="L1808" i="12" s="1"/>
  <c r="M1808" i="12" s="1"/>
  <c r="N1808" i="12" s="1"/>
  <c r="K1809" i="12"/>
  <c r="L1809" i="12" s="1"/>
  <c r="M1809" i="12" s="1"/>
  <c r="N1809" i="12" s="1"/>
  <c r="K1810" i="12"/>
  <c r="L1810" i="12" s="1"/>
  <c r="M1810" i="12" s="1"/>
  <c r="N1810" i="12" s="1"/>
  <c r="K1811" i="12"/>
  <c r="L1811" i="12" s="1"/>
  <c r="M1811" i="12" s="1"/>
  <c r="N1811" i="12" s="1"/>
  <c r="K1812" i="12"/>
  <c r="L1812" i="12" s="1"/>
  <c r="M1812" i="12" s="1"/>
  <c r="N1812" i="12" s="1"/>
  <c r="K1813" i="12"/>
  <c r="L1813" i="12" s="1"/>
  <c r="M1813" i="12" s="1"/>
  <c r="N1813" i="12" s="1"/>
  <c r="K1814" i="12"/>
  <c r="L1814" i="12" s="1"/>
  <c r="M1814" i="12" s="1"/>
  <c r="N1814" i="12" s="1"/>
  <c r="K1815" i="12"/>
  <c r="L1815" i="12" s="1"/>
  <c r="M1815" i="12" s="1"/>
  <c r="N1815" i="12" s="1"/>
  <c r="K1816" i="12"/>
  <c r="L1816" i="12" s="1"/>
  <c r="M1816" i="12" s="1"/>
  <c r="N1816" i="12" s="1"/>
  <c r="K1817" i="12"/>
  <c r="L1817" i="12" s="1"/>
  <c r="M1817" i="12" s="1"/>
  <c r="N1817" i="12" s="1"/>
  <c r="K1818" i="12"/>
  <c r="L1818" i="12" s="1"/>
  <c r="M1818" i="12" s="1"/>
  <c r="N1818" i="12" s="1"/>
  <c r="K1819" i="12"/>
  <c r="L1819" i="12" s="1"/>
  <c r="M1819" i="12" s="1"/>
  <c r="N1819" i="12" s="1"/>
  <c r="K1820" i="12"/>
  <c r="L1820" i="12" s="1"/>
  <c r="M1820" i="12" s="1"/>
  <c r="N1820" i="12" s="1"/>
  <c r="K1821" i="12"/>
  <c r="L1821" i="12" s="1"/>
  <c r="M1821" i="12" s="1"/>
  <c r="N1821" i="12" s="1"/>
  <c r="K1822" i="12"/>
  <c r="L1822" i="12" s="1"/>
  <c r="M1822" i="12" s="1"/>
  <c r="N1822" i="12" s="1"/>
  <c r="K1823" i="12"/>
  <c r="L1823" i="12" s="1"/>
  <c r="M1823" i="12" s="1"/>
  <c r="N1823" i="12" s="1"/>
  <c r="K1824" i="12"/>
  <c r="L1824" i="12" s="1"/>
  <c r="M1824" i="12" s="1"/>
  <c r="N1824" i="12" s="1"/>
  <c r="K1825" i="12"/>
  <c r="L1825" i="12" s="1"/>
  <c r="M1825" i="12" s="1"/>
  <c r="N1825" i="12" s="1"/>
  <c r="K1826" i="12"/>
  <c r="L1826" i="12" s="1"/>
  <c r="M1826" i="12" s="1"/>
  <c r="N1826" i="12" s="1"/>
  <c r="K1827" i="12"/>
  <c r="L1827" i="12" s="1"/>
  <c r="M1827" i="12" s="1"/>
  <c r="N1827" i="12" s="1"/>
  <c r="K1828" i="12"/>
  <c r="L1828" i="12" s="1"/>
  <c r="M1828" i="12" s="1"/>
  <c r="N1828" i="12" s="1"/>
  <c r="K1829" i="12"/>
  <c r="L1829" i="12" s="1"/>
  <c r="M1829" i="12" s="1"/>
  <c r="N1829" i="12" s="1"/>
  <c r="K1830" i="12"/>
  <c r="L1830" i="12" s="1"/>
  <c r="M1830" i="12" s="1"/>
  <c r="N1830" i="12" s="1"/>
  <c r="K1831" i="12"/>
  <c r="L1831" i="12" s="1"/>
  <c r="M1831" i="12" s="1"/>
  <c r="N1831" i="12" s="1"/>
  <c r="K1832" i="12"/>
  <c r="L1832" i="12" s="1"/>
  <c r="M1832" i="12" s="1"/>
  <c r="N1832" i="12" s="1"/>
  <c r="K1833" i="12"/>
  <c r="L1833" i="12" s="1"/>
  <c r="M1833" i="12" s="1"/>
  <c r="N1833" i="12" s="1"/>
  <c r="K1834" i="12"/>
  <c r="L1834" i="12" s="1"/>
  <c r="M1834" i="12" s="1"/>
  <c r="N1834" i="12" s="1"/>
  <c r="K1835" i="12"/>
  <c r="L1835" i="12" s="1"/>
  <c r="M1835" i="12" s="1"/>
  <c r="N1835" i="12" s="1"/>
  <c r="K1836" i="12"/>
  <c r="L1836" i="12" s="1"/>
  <c r="M1836" i="12" s="1"/>
  <c r="N1836" i="12" s="1"/>
  <c r="K1837" i="12"/>
  <c r="L1837" i="12" s="1"/>
  <c r="M1837" i="12" s="1"/>
  <c r="N1837" i="12" s="1"/>
  <c r="K1838" i="12"/>
  <c r="L1838" i="12" s="1"/>
  <c r="M1838" i="12" s="1"/>
  <c r="N1838" i="12" s="1"/>
  <c r="K1839" i="12"/>
  <c r="L1839" i="12" s="1"/>
  <c r="M1839" i="12" s="1"/>
  <c r="N1839" i="12" s="1"/>
  <c r="K1840" i="12"/>
  <c r="L1840" i="12" s="1"/>
  <c r="M1840" i="12" s="1"/>
  <c r="N1840" i="12" s="1"/>
  <c r="K1841" i="12"/>
  <c r="L1841" i="12" s="1"/>
  <c r="M1841" i="12" s="1"/>
  <c r="N1841" i="12" s="1"/>
  <c r="K1842" i="12"/>
  <c r="L1842" i="12" s="1"/>
  <c r="M1842" i="12" s="1"/>
  <c r="N1842" i="12" s="1"/>
  <c r="K1843" i="12"/>
  <c r="L1843" i="12" s="1"/>
  <c r="M1843" i="12" s="1"/>
  <c r="N1843" i="12" s="1"/>
  <c r="K1844" i="12"/>
  <c r="L1844" i="12" s="1"/>
  <c r="M1844" i="12" s="1"/>
  <c r="N1844" i="12" s="1"/>
  <c r="K1845" i="12"/>
  <c r="L1845" i="12" s="1"/>
  <c r="M1845" i="12" s="1"/>
  <c r="N1845" i="12" s="1"/>
  <c r="K1846" i="12"/>
  <c r="L1846" i="12" s="1"/>
  <c r="M1846" i="12" s="1"/>
  <c r="N1846" i="12" s="1"/>
  <c r="K1847" i="12"/>
  <c r="L1847" i="12" s="1"/>
  <c r="M1847" i="12" s="1"/>
  <c r="N1847" i="12" s="1"/>
  <c r="K1848" i="12"/>
  <c r="L1848" i="12" s="1"/>
  <c r="M1848" i="12" s="1"/>
  <c r="N1848" i="12" s="1"/>
  <c r="K1849" i="12"/>
  <c r="L1849" i="12" s="1"/>
  <c r="M1849" i="12" s="1"/>
  <c r="N1849" i="12" s="1"/>
  <c r="K1850" i="12"/>
  <c r="L1850" i="12" s="1"/>
  <c r="M1850" i="12" s="1"/>
  <c r="N1850" i="12" s="1"/>
  <c r="K1851" i="12"/>
  <c r="L1851" i="12" s="1"/>
  <c r="M1851" i="12" s="1"/>
  <c r="N1851" i="12" s="1"/>
  <c r="K1852" i="12"/>
  <c r="L1852" i="12" s="1"/>
  <c r="M1852" i="12" s="1"/>
  <c r="N1852" i="12" s="1"/>
  <c r="K1853" i="12"/>
  <c r="L1853" i="12" s="1"/>
  <c r="M1853" i="12" s="1"/>
  <c r="N1853" i="12" s="1"/>
  <c r="K1854" i="12"/>
  <c r="L1854" i="12" s="1"/>
  <c r="M1854" i="12" s="1"/>
  <c r="N1854" i="12" s="1"/>
  <c r="K1855" i="12"/>
  <c r="L1855" i="12" s="1"/>
  <c r="M1855" i="12" s="1"/>
  <c r="N1855" i="12" s="1"/>
  <c r="K1856" i="12"/>
  <c r="L1856" i="12" s="1"/>
  <c r="M1856" i="12" s="1"/>
  <c r="N1856" i="12" s="1"/>
  <c r="K1857" i="12"/>
  <c r="L1857" i="12" s="1"/>
  <c r="M1857" i="12" s="1"/>
  <c r="N1857" i="12" s="1"/>
  <c r="K1858" i="12"/>
  <c r="L1858" i="12" s="1"/>
  <c r="M1858" i="12" s="1"/>
  <c r="N1858" i="12" s="1"/>
  <c r="K1859" i="12"/>
  <c r="L1859" i="12" s="1"/>
  <c r="M1859" i="12" s="1"/>
  <c r="N1859" i="12" s="1"/>
  <c r="K1860" i="12"/>
  <c r="L1860" i="12" s="1"/>
  <c r="M1860" i="12" s="1"/>
  <c r="N1860" i="12" s="1"/>
  <c r="K1861" i="12"/>
  <c r="L1861" i="12" s="1"/>
  <c r="M1861" i="12" s="1"/>
  <c r="N1861" i="12" s="1"/>
  <c r="K1862" i="12"/>
  <c r="L1862" i="12" s="1"/>
  <c r="M1862" i="12" s="1"/>
  <c r="N1862" i="12" s="1"/>
  <c r="K1863" i="12"/>
  <c r="L1863" i="12" s="1"/>
  <c r="M1863" i="12" s="1"/>
  <c r="N1863" i="12" s="1"/>
  <c r="K1864" i="12"/>
  <c r="L1864" i="12" s="1"/>
  <c r="M1864" i="12" s="1"/>
  <c r="N1864" i="12" s="1"/>
  <c r="K1865" i="12"/>
  <c r="L1865" i="12" s="1"/>
  <c r="M1865" i="12" s="1"/>
  <c r="N1865" i="12" s="1"/>
  <c r="K1866" i="12"/>
  <c r="L1866" i="12" s="1"/>
  <c r="M1866" i="12" s="1"/>
  <c r="N1866" i="12" s="1"/>
  <c r="K1867" i="12"/>
  <c r="L1867" i="12" s="1"/>
  <c r="M1867" i="12" s="1"/>
  <c r="N1867" i="12" s="1"/>
  <c r="K1868" i="12"/>
  <c r="L1868" i="12" s="1"/>
  <c r="M1868" i="12" s="1"/>
  <c r="N1868" i="12" s="1"/>
  <c r="K1869" i="12"/>
  <c r="L1869" i="12" s="1"/>
  <c r="M1869" i="12" s="1"/>
  <c r="N1869" i="12" s="1"/>
  <c r="K1870" i="12"/>
  <c r="L1870" i="12" s="1"/>
  <c r="M1870" i="12" s="1"/>
  <c r="N1870" i="12" s="1"/>
  <c r="K1871" i="12"/>
  <c r="L1871" i="12" s="1"/>
  <c r="M1871" i="12" s="1"/>
  <c r="N1871" i="12" s="1"/>
  <c r="K1872" i="12"/>
  <c r="L1872" i="12" s="1"/>
  <c r="M1872" i="12" s="1"/>
  <c r="N1872" i="12" s="1"/>
  <c r="K1873" i="12"/>
  <c r="L1873" i="12" s="1"/>
  <c r="M1873" i="12" s="1"/>
  <c r="N1873" i="12" s="1"/>
  <c r="K1874" i="12"/>
  <c r="L1874" i="12" s="1"/>
  <c r="M1874" i="12" s="1"/>
  <c r="N1874" i="12" s="1"/>
  <c r="K1875" i="12"/>
  <c r="L1875" i="12" s="1"/>
  <c r="M1875" i="12" s="1"/>
  <c r="N1875" i="12" s="1"/>
  <c r="K1876" i="12"/>
  <c r="L1876" i="12" s="1"/>
  <c r="M1876" i="12" s="1"/>
  <c r="N1876" i="12" s="1"/>
  <c r="K1877" i="12"/>
  <c r="L1877" i="12" s="1"/>
  <c r="M1877" i="12" s="1"/>
  <c r="N1877" i="12" s="1"/>
  <c r="K1878" i="12"/>
  <c r="L1878" i="12" s="1"/>
  <c r="M1878" i="12" s="1"/>
  <c r="N1878" i="12" s="1"/>
  <c r="K1879" i="12"/>
  <c r="L1879" i="12" s="1"/>
  <c r="M1879" i="12" s="1"/>
  <c r="N1879" i="12" s="1"/>
  <c r="K1880" i="12"/>
  <c r="L1880" i="12" s="1"/>
  <c r="M1880" i="12" s="1"/>
  <c r="N1880" i="12" s="1"/>
  <c r="K1881" i="12"/>
  <c r="L1881" i="12" s="1"/>
  <c r="M1881" i="12" s="1"/>
  <c r="N1881" i="12" s="1"/>
  <c r="K1882" i="12"/>
  <c r="L1882" i="12" s="1"/>
  <c r="M1882" i="12" s="1"/>
  <c r="N1882" i="12" s="1"/>
  <c r="K1883" i="12"/>
  <c r="L1883" i="12" s="1"/>
  <c r="M1883" i="12" s="1"/>
  <c r="N1883" i="12" s="1"/>
  <c r="K1884" i="12"/>
  <c r="L1884" i="12" s="1"/>
  <c r="M1884" i="12" s="1"/>
  <c r="N1884" i="12" s="1"/>
  <c r="K1885" i="12"/>
  <c r="L1885" i="12" s="1"/>
  <c r="M1885" i="12" s="1"/>
  <c r="N1885" i="12" s="1"/>
  <c r="K1886" i="12"/>
  <c r="L1886" i="12" s="1"/>
  <c r="M1886" i="12" s="1"/>
  <c r="N1886" i="12" s="1"/>
  <c r="K1887" i="12"/>
  <c r="L1887" i="12" s="1"/>
  <c r="M1887" i="12" s="1"/>
  <c r="N1887" i="12" s="1"/>
  <c r="K1888" i="12"/>
  <c r="L1888" i="12" s="1"/>
  <c r="M1888" i="12" s="1"/>
  <c r="N1888" i="12" s="1"/>
  <c r="K1889" i="12"/>
  <c r="L1889" i="12" s="1"/>
  <c r="M1889" i="12" s="1"/>
  <c r="N1889" i="12" s="1"/>
  <c r="K1890" i="12"/>
  <c r="L1890" i="12" s="1"/>
  <c r="M1890" i="12" s="1"/>
  <c r="N1890" i="12" s="1"/>
  <c r="K1891" i="12"/>
  <c r="L1891" i="12" s="1"/>
  <c r="M1891" i="12" s="1"/>
  <c r="N1891" i="12" s="1"/>
  <c r="K1892" i="12"/>
  <c r="L1892" i="12" s="1"/>
  <c r="M1892" i="12" s="1"/>
  <c r="N1892" i="12" s="1"/>
  <c r="K1893" i="12"/>
  <c r="L1893" i="12" s="1"/>
  <c r="M1893" i="12" s="1"/>
  <c r="N1893" i="12" s="1"/>
  <c r="K1894" i="12"/>
  <c r="L1894" i="12" s="1"/>
  <c r="M1894" i="12" s="1"/>
  <c r="N1894" i="12" s="1"/>
  <c r="K1895" i="12"/>
  <c r="L1895" i="12" s="1"/>
  <c r="M1895" i="12" s="1"/>
  <c r="N1895" i="12" s="1"/>
  <c r="K1896" i="12"/>
  <c r="L1896" i="12" s="1"/>
  <c r="M1896" i="12" s="1"/>
  <c r="N1896" i="12" s="1"/>
  <c r="K1897" i="12"/>
  <c r="L1897" i="12" s="1"/>
  <c r="M1897" i="12" s="1"/>
  <c r="N1897" i="12" s="1"/>
  <c r="K1898" i="12"/>
  <c r="L1898" i="12" s="1"/>
  <c r="M1898" i="12" s="1"/>
  <c r="N1898" i="12" s="1"/>
  <c r="K1899" i="12"/>
  <c r="L1899" i="12" s="1"/>
  <c r="M1899" i="12" s="1"/>
  <c r="N1899" i="12" s="1"/>
  <c r="K1900" i="12"/>
  <c r="L1900" i="12" s="1"/>
  <c r="M1900" i="12" s="1"/>
  <c r="N1900" i="12" s="1"/>
  <c r="K1901" i="12"/>
  <c r="L1901" i="12" s="1"/>
  <c r="M1901" i="12" s="1"/>
  <c r="N1901" i="12" s="1"/>
  <c r="K1902" i="12"/>
  <c r="L1902" i="12" s="1"/>
  <c r="M1902" i="12" s="1"/>
  <c r="N1902" i="12" s="1"/>
  <c r="K1903" i="12"/>
  <c r="L1903" i="12" s="1"/>
  <c r="M1903" i="12" s="1"/>
  <c r="N1903" i="12" s="1"/>
  <c r="K1904" i="12"/>
  <c r="L1904" i="12" s="1"/>
  <c r="M1904" i="12" s="1"/>
  <c r="N1904" i="12" s="1"/>
  <c r="K1905" i="12"/>
  <c r="L1905" i="12" s="1"/>
  <c r="M1905" i="12" s="1"/>
  <c r="N1905" i="12" s="1"/>
  <c r="K1906" i="12"/>
  <c r="L1906" i="12" s="1"/>
  <c r="M1906" i="12" s="1"/>
  <c r="N1906" i="12" s="1"/>
  <c r="K1907" i="12"/>
  <c r="L1907" i="12" s="1"/>
  <c r="M1907" i="12" s="1"/>
  <c r="N1907" i="12" s="1"/>
  <c r="K1908" i="12"/>
  <c r="L1908" i="12" s="1"/>
  <c r="M1908" i="12" s="1"/>
  <c r="N1908" i="12" s="1"/>
  <c r="K1909" i="12"/>
  <c r="L1909" i="12" s="1"/>
  <c r="M1909" i="12" s="1"/>
  <c r="N1909" i="12" s="1"/>
  <c r="K1910" i="12"/>
  <c r="L1910" i="12" s="1"/>
  <c r="M1910" i="12" s="1"/>
  <c r="N1910" i="12" s="1"/>
  <c r="K1911" i="12"/>
  <c r="L1911" i="12" s="1"/>
  <c r="M1911" i="12" s="1"/>
  <c r="N1911" i="12" s="1"/>
  <c r="K1912" i="12"/>
  <c r="L1912" i="12" s="1"/>
  <c r="M1912" i="12" s="1"/>
  <c r="N1912" i="12" s="1"/>
  <c r="K1913" i="12"/>
  <c r="L1913" i="12" s="1"/>
  <c r="M1913" i="12" s="1"/>
  <c r="N1913" i="12" s="1"/>
  <c r="K1914" i="12"/>
  <c r="L1914" i="12" s="1"/>
  <c r="M1914" i="12" s="1"/>
  <c r="N1914" i="12" s="1"/>
  <c r="K1915" i="12"/>
  <c r="L1915" i="12" s="1"/>
  <c r="M1915" i="12" s="1"/>
  <c r="N1915" i="12" s="1"/>
  <c r="K1916" i="12"/>
  <c r="L1916" i="12" s="1"/>
  <c r="M1916" i="12" s="1"/>
  <c r="N1916" i="12" s="1"/>
  <c r="K1917" i="12"/>
  <c r="L1917" i="12" s="1"/>
  <c r="M1917" i="12" s="1"/>
  <c r="N1917" i="12" s="1"/>
  <c r="K1918" i="12"/>
  <c r="L1918" i="12" s="1"/>
  <c r="M1918" i="12" s="1"/>
  <c r="N1918" i="12" s="1"/>
  <c r="K1919" i="12"/>
  <c r="L1919" i="12" s="1"/>
  <c r="M1919" i="12" s="1"/>
  <c r="N1919" i="12" s="1"/>
  <c r="K1920" i="12"/>
  <c r="L1920" i="12" s="1"/>
  <c r="M1920" i="12" s="1"/>
  <c r="N1920" i="12" s="1"/>
  <c r="K1921" i="12"/>
  <c r="L1921" i="12" s="1"/>
  <c r="M1921" i="12" s="1"/>
  <c r="N1921" i="12" s="1"/>
  <c r="K1922" i="12"/>
  <c r="L1922" i="12" s="1"/>
  <c r="M1922" i="12" s="1"/>
  <c r="N1922" i="12" s="1"/>
  <c r="K1923" i="12"/>
  <c r="L1923" i="12" s="1"/>
  <c r="M1923" i="12" s="1"/>
  <c r="N1923" i="12" s="1"/>
  <c r="K1924" i="12"/>
  <c r="L1924" i="12" s="1"/>
  <c r="M1924" i="12" s="1"/>
  <c r="N1924" i="12" s="1"/>
  <c r="K1925" i="12"/>
  <c r="L1925" i="12" s="1"/>
  <c r="M1925" i="12" s="1"/>
  <c r="N1925" i="12" s="1"/>
  <c r="K1926" i="12"/>
  <c r="L1926" i="12" s="1"/>
  <c r="M1926" i="12" s="1"/>
  <c r="N1926" i="12" s="1"/>
  <c r="K1927" i="12"/>
  <c r="L1927" i="12" s="1"/>
  <c r="M1927" i="12" s="1"/>
  <c r="N1927" i="12" s="1"/>
  <c r="K1928" i="12"/>
  <c r="L1928" i="12" s="1"/>
  <c r="M1928" i="12" s="1"/>
  <c r="N1928" i="12" s="1"/>
  <c r="K1929" i="12"/>
  <c r="L1929" i="12" s="1"/>
  <c r="M1929" i="12" s="1"/>
  <c r="N1929" i="12" s="1"/>
  <c r="K1930" i="12"/>
  <c r="L1930" i="12" s="1"/>
  <c r="M1930" i="12" s="1"/>
  <c r="N1930" i="12" s="1"/>
  <c r="K1931" i="12"/>
  <c r="L1931" i="12" s="1"/>
  <c r="M1931" i="12" s="1"/>
  <c r="N1931" i="12" s="1"/>
  <c r="K1932" i="12"/>
  <c r="L1932" i="12" s="1"/>
  <c r="M1932" i="12" s="1"/>
  <c r="N1932" i="12" s="1"/>
  <c r="K1933" i="12"/>
  <c r="L1933" i="12" s="1"/>
  <c r="M1933" i="12" s="1"/>
  <c r="N1933" i="12" s="1"/>
  <c r="K1934" i="12"/>
  <c r="L1934" i="12" s="1"/>
  <c r="M1934" i="12" s="1"/>
  <c r="N1934" i="12" s="1"/>
  <c r="K1935" i="12"/>
  <c r="L1935" i="12" s="1"/>
  <c r="M1935" i="12" s="1"/>
  <c r="N1935" i="12" s="1"/>
  <c r="K1936" i="12"/>
  <c r="L1936" i="12" s="1"/>
  <c r="M1936" i="12" s="1"/>
  <c r="N1936" i="12" s="1"/>
  <c r="K1937" i="12"/>
  <c r="L1937" i="12" s="1"/>
  <c r="M1937" i="12" s="1"/>
  <c r="N1937" i="12" s="1"/>
  <c r="K1938" i="12"/>
  <c r="L1938" i="12" s="1"/>
  <c r="M1938" i="12" s="1"/>
  <c r="N1938" i="12" s="1"/>
  <c r="K1939" i="12"/>
  <c r="L1939" i="12" s="1"/>
  <c r="M1939" i="12" s="1"/>
  <c r="N1939" i="12" s="1"/>
  <c r="K1940" i="12"/>
  <c r="L1940" i="12" s="1"/>
  <c r="M1940" i="12" s="1"/>
  <c r="N1940" i="12" s="1"/>
  <c r="K1941" i="12"/>
  <c r="L1941" i="12" s="1"/>
  <c r="M1941" i="12" s="1"/>
  <c r="N1941" i="12" s="1"/>
  <c r="K1942" i="12"/>
  <c r="L1942" i="12" s="1"/>
  <c r="M1942" i="12" s="1"/>
  <c r="N1942" i="12" s="1"/>
  <c r="K1943" i="12"/>
  <c r="L1943" i="12" s="1"/>
  <c r="M1943" i="12" s="1"/>
  <c r="N1943" i="12" s="1"/>
  <c r="K1944" i="12"/>
  <c r="L1944" i="12" s="1"/>
  <c r="M1944" i="12" s="1"/>
  <c r="N1944" i="12" s="1"/>
  <c r="K1945" i="12"/>
  <c r="L1945" i="12" s="1"/>
  <c r="M1945" i="12" s="1"/>
  <c r="N1945" i="12" s="1"/>
  <c r="K1946" i="12"/>
  <c r="L1946" i="12" s="1"/>
  <c r="M1946" i="12" s="1"/>
  <c r="N1946" i="12" s="1"/>
  <c r="K1947" i="12"/>
  <c r="L1947" i="12" s="1"/>
  <c r="M1947" i="12" s="1"/>
  <c r="N1947" i="12" s="1"/>
  <c r="K1948" i="12"/>
  <c r="L1948" i="12" s="1"/>
  <c r="M1948" i="12" s="1"/>
  <c r="N1948" i="12" s="1"/>
  <c r="K1949" i="12"/>
  <c r="L1949" i="12" s="1"/>
  <c r="M1949" i="12" s="1"/>
  <c r="N1949" i="12" s="1"/>
  <c r="K1950" i="12"/>
  <c r="L1950" i="12" s="1"/>
  <c r="M1950" i="12" s="1"/>
  <c r="N1950" i="12" s="1"/>
  <c r="K1951" i="12"/>
  <c r="L1951" i="12" s="1"/>
  <c r="M1951" i="12" s="1"/>
  <c r="N1951" i="12" s="1"/>
  <c r="K1952" i="12"/>
  <c r="L1952" i="12" s="1"/>
  <c r="M1952" i="12" s="1"/>
  <c r="N1952" i="12" s="1"/>
  <c r="K1953" i="12"/>
  <c r="L1953" i="12" s="1"/>
  <c r="M1953" i="12" s="1"/>
  <c r="N1953" i="12" s="1"/>
  <c r="K1954" i="12"/>
  <c r="L1954" i="12" s="1"/>
  <c r="M1954" i="12" s="1"/>
  <c r="N1954" i="12" s="1"/>
  <c r="K1955" i="12"/>
  <c r="L1955" i="12" s="1"/>
  <c r="M1955" i="12" s="1"/>
  <c r="N1955" i="12" s="1"/>
  <c r="K1956" i="12"/>
  <c r="L1956" i="12" s="1"/>
  <c r="M1956" i="12" s="1"/>
  <c r="N1956" i="12" s="1"/>
  <c r="K1957" i="12"/>
  <c r="L1957" i="12" s="1"/>
  <c r="M1957" i="12" s="1"/>
  <c r="N1957" i="12" s="1"/>
  <c r="K1958" i="12"/>
  <c r="L1958" i="12" s="1"/>
  <c r="M1958" i="12" s="1"/>
  <c r="N1958" i="12" s="1"/>
  <c r="K1959" i="12"/>
  <c r="L1959" i="12" s="1"/>
  <c r="M1959" i="12" s="1"/>
  <c r="N1959" i="12" s="1"/>
  <c r="K1960" i="12"/>
  <c r="L1960" i="12" s="1"/>
  <c r="M1960" i="12" s="1"/>
  <c r="N1960" i="12" s="1"/>
  <c r="K1961" i="12"/>
  <c r="L1961" i="12" s="1"/>
  <c r="M1961" i="12" s="1"/>
  <c r="N1961" i="12" s="1"/>
  <c r="K1962" i="12"/>
  <c r="L1962" i="12" s="1"/>
  <c r="M1962" i="12" s="1"/>
  <c r="N1962" i="12" s="1"/>
  <c r="K1963" i="12"/>
  <c r="L1963" i="12" s="1"/>
  <c r="M1963" i="12" s="1"/>
  <c r="N1963" i="12" s="1"/>
  <c r="K1964" i="12"/>
  <c r="L1964" i="12" s="1"/>
  <c r="M1964" i="12" s="1"/>
  <c r="N1964" i="12" s="1"/>
  <c r="K1965" i="12"/>
  <c r="L1965" i="12" s="1"/>
  <c r="M1965" i="12" s="1"/>
  <c r="N1965" i="12" s="1"/>
  <c r="K1966" i="12"/>
  <c r="L1966" i="12" s="1"/>
  <c r="M1966" i="12" s="1"/>
  <c r="N1966" i="12" s="1"/>
  <c r="K1967" i="12"/>
  <c r="L1967" i="12" s="1"/>
  <c r="M1967" i="12" s="1"/>
  <c r="N1967" i="12" s="1"/>
  <c r="K1968" i="12"/>
  <c r="L1968" i="12" s="1"/>
  <c r="M1968" i="12" s="1"/>
  <c r="N1968" i="12" s="1"/>
  <c r="K1969" i="12"/>
  <c r="L1969" i="12" s="1"/>
  <c r="M1969" i="12" s="1"/>
  <c r="N1969" i="12" s="1"/>
  <c r="K1970" i="12"/>
  <c r="L1970" i="12" s="1"/>
  <c r="M1970" i="12" s="1"/>
  <c r="N1970" i="12" s="1"/>
  <c r="K1971" i="12"/>
  <c r="L1971" i="12" s="1"/>
  <c r="M1971" i="12" s="1"/>
  <c r="N1971" i="12" s="1"/>
  <c r="K1972" i="12"/>
  <c r="L1972" i="12" s="1"/>
  <c r="M1972" i="12" s="1"/>
  <c r="N1972" i="12" s="1"/>
  <c r="K1973" i="12"/>
  <c r="L1973" i="12" s="1"/>
  <c r="M1973" i="12" s="1"/>
  <c r="N1973" i="12" s="1"/>
  <c r="K1974" i="12"/>
  <c r="L1974" i="12" s="1"/>
  <c r="M1974" i="12" s="1"/>
  <c r="N1974" i="12" s="1"/>
  <c r="K1975" i="12"/>
  <c r="L1975" i="12" s="1"/>
  <c r="M1975" i="12" s="1"/>
  <c r="N1975" i="12" s="1"/>
  <c r="K1976" i="12"/>
  <c r="L1976" i="12" s="1"/>
  <c r="M1976" i="12" s="1"/>
  <c r="N1976" i="12" s="1"/>
  <c r="K1977" i="12"/>
  <c r="L1977" i="12" s="1"/>
  <c r="M1977" i="12" s="1"/>
  <c r="N1977" i="12" s="1"/>
  <c r="K1978" i="12"/>
  <c r="L1978" i="12" s="1"/>
  <c r="M1978" i="12" s="1"/>
  <c r="N1978" i="12" s="1"/>
  <c r="K1979" i="12"/>
  <c r="L1979" i="12" s="1"/>
  <c r="M1979" i="12" s="1"/>
  <c r="N1979" i="12" s="1"/>
  <c r="K1980" i="12"/>
  <c r="L1980" i="12" s="1"/>
  <c r="M1980" i="12" s="1"/>
  <c r="N1980" i="12" s="1"/>
  <c r="K1981" i="12"/>
  <c r="L1981" i="12" s="1"/>
  <c r="M1981" i="12" s="1"/>
  <c r="N1981" i="12" s="1"/>
  <c r="K1982" i="12"/>
  <c r="L1982" i="12" s="1"/>
  <c r="M1982" i="12" s="1"/>
  <c r="N1982" i="12" s="1"/>
  <c r="K1983" i="12"/>
  <c r="L1983" i="12" s="1"/>
  <c r="M1983" i="12" s="1"/>
  <c r="N1983" i="12" s="1"/>
  <c r="K1984" i="12"/>
  <c r="L1984" i="12" s="1"/>
  <c r="M1984" i="12" s="1"/>
  <c r="N1984" i="12" s="1"/>
  <c r="K1985" i="12"/>
  <c r="L1985" i="12" s="1"/>
  <c r="M1985" i="12" s="1"/>
  <c r="N1985" i="12" s="1"/>
  <c r="K1986" i="12"/>
  <c r="L1986" i="12" s="1"/>
  <c r="M1986" i="12" s="1"/>
  <c r="N1986" i="12" s="1"/>
  <c r="K1987" i="12"/>
  <c r="L1987" i="12" s="1"/>
  <c r="M1987" i="12" s="1"/>
  <c r="N1987" i="12" s="1"/>
  <c r="K1988" i="12"/>
  <c r="L1988" i="12" s="1"/>
  <c r="M1988" i="12" s="1"/>
  <c r="N1988" i="12" s="1"/>
  <c r="K1989" i="12"/>
  <c r="L1989" i="12" s="1"/>
  <c r="M1989" i="12" s="1"/>
  <c r="N1989" i="12" s="1"/>
  <c r="K1990" i="12"/>
  <c r="L1990" i="12" s="1"/>
  <c r="M1990" i="12" s="1"/>
  <c r="N1990" i="12" s="1"/>
  <c r="K1991" i="12"/>
  <c r="L1991" i="12" s="1"/>
  <c r="M1991" i="12" s="1"/>
  <c r="N1991" i="12" s="1"/>
  <c r="K1992" i="12"/>
  <c r="L1992" i="12" s="1"/>
  <c r="M1992" i="12" s="1"/>
  <c r="N1992" i="12" s="1"/>
  <c r="K1993" i="12"/>
  <c r="L1993" i="12" s="1"/>
  <c r="M1993" i="12" s="1"/>
  <c r="N1993" i="12" s="1"/>
  <c r="K1994" i="12"/>
  <c r="L1994" i="12" s="1"/>
  <c r="M1994" i="12" s="1"/>
  <c r="N1994" i="12" s="1"/>
  <c r="K1995" i="12"/>
  <c r="L1995" i="12" s="1"/>
  <c r="M1995" i="12" s="1"/>
  <c r="N1995" i="12" s="1"/>
  <c r="K1996" i="12"/>
  <c r="L1996" i="12" s="1"/>
  <c r="M1996" i="12" s="1"/>
  <c r="N1996" i="12" s="1"/>
  <c r="K1997" i="12"/>
  <c r="L1997" i="12" s="1"/>
  <c r="M1997" i="12" s="1"/>
  <c r="N1997" i="12" s="1"/>
  <c r="K1998" i="12"/>
  <c r="L1998" i="12" s="1"/>
  <c r="M1998" i="12" s="1"/>
  <c r="N1998" i="12" s="1"/>
  <c r="K1999" i="12"/>
  <c r="L1999" i="12" s="1"/>
  <c r="M1999" i="12" s="1"/>
  <c r="N1999" i="12" s="1"/>
  <c r="K2000" i="12"/>
  <c r="L2000" i="12" s="1"/>
  <c r="M2000" i="12" s="1"/>
  <c r="N2000" i="12" s="1"/>
  <c r="K2001" i="12"/>
  <c r="L2001" i="12" s="1"/>
  <c r="M2001" i="12" s="1"/>
  <c r="N2001" i="12" s="1"/>
  <c r="K2002" i="12"/>
  <c r="L2002" i="12" s="1"/>
  <c r="M2002" i="12" s="1"/>
  <c r="N2002" i="12" s="1"/>
  <c r="K2003" i="12"/>
  <c r="L2003" i="12" s="1"/>
  <c r="M2003" i="12" s="1"/>
  <c r="N2003" i="12" s="1"/>
  <c r="K2004" i="12"/>
  <c r="L2004" i="12" s="1"/>
  <c r="M2004" i="12" s="1"/>
  <c r="N2004" i="12" s="1"/>
  <c r="K2005" i="12"/>
  <c r="L2005" i="12" s="1"/>
  <c r="M2005" i="12" s="1"/>
  <c r="N2005" i="12" s="1"/>
  <c r="K2006" i="12"/>
  <c r="L2006" i="12" s="1"/>
  <c r="M2006" i="12" s="1"/>
  <c r="N2006" i="12" s="1"/>
  <c r="K2007" i="12"/>
  <c r="L2007" i="12" s="1"/>
  <c r="M2007" i="12" s="1"/>
  <c r="N2007" i="12" s="1"/>
  <c r="K2008" i="12"/>
  <c r="L2008" i="12" s="1"/>
  <c r="M2008" i="12" s="1"/>
  <c r="N2008" i="12" s="1"/>
  <c r="K2009" i="12"/>
  <c r="L2009" i="12" s="1"/>
  <c r="M2009" i="12" s="1"/>
  <c r="N2009" i="12" s="1"/>
  <c r="K2010" i="12"/>
  <c r="L2010" i="12" s="1"/>
  <c r="M2010" i="12" s="1"/>
  <c r="N2010" i="12" s="1"/>
  <c r="K2011" i="12"/>
  <c r="L2011" i="12" s="1"/>
  <c r="M2011" i="12" s="1"/>
  <c r="N2011" i="12" s="1"/>
  <c r="K2012" i="12"/>
  <c r="L2012" i="12" s="1"/>
  <c r="M2012" i="12" s="1"/>
  <c r="N2012" i="12" s="1"/>
  <c r="K2013" i="12"/>
  <c r="L2013" i="12" s="1"/>
  <c r="M2013" i="12" s="1"/>
  <c r="N2013" i="12" s="1"/>
  <c r="K2014" i="12"/>
  <c r="L2014" i="12" s="1"/>
  <c r="M2014" i="12" s="1"/>
  <c r="N2014" i="12" s="1"/>
  <c r="K2015" i="12"/>
  <c r="L2015" i="12" s="1"/>
  <c r="M2015" i="12" s="1"/>
  <c r="N2015" i="12" s="1"/>
  <c r="K2016" i="12"/>
  <c r="L2016" i="12" s="1"/>
  <c r="M2016" i="12" s="1"/>
  <c r="N2016" i="12" s="1"/>
  <c r="K2017" i="12"/>
  <c r="L2017" i="12" s="1"/>
  <c r="M2017" i="12" s="1"/>
  <c r="N2017" i="12" s="1"/>
  <c r="K2018" i="12"/>
  <c r="L2018" i="12" s="1"/>
  <c r="M2018" i="12" s="1"/>
  <c r="N2018" i="12" s="1"/>
  <c r="K2019" i="12"/>
  <c r="L2019" i="12" s="1"/>
  <c r="M2019" i="12" s="1"/>
  <c r="N2019" i="12" s="1"/>
  <c r="K2020" i="12"/>
  <c r="L2020" i="12" s="1"/>
  <c r="M2020" i="12" s="1"/>
  <c r="N2020" i="12" s="1"/>
  <c r="K2021" i="12"/>
  <c r="L2021" i="12" s="1"/>
  <c r="M2021" i="12" s="1"/>
  <c r="N2021" i="12" s="1"/>
  <c r="K2022" i="12"/>
  <c r="L2022" i="12" s="1"/>
  <c r="M2022" i="12" s="1"/>
  <c r="N2022" i="12" s="1"/>
  <c r="K2023" i="12"/>
  <c r="L2023" i="12" s="1"/>
  <c r="M2023" i="12" s="1"/>
  <c r="N2023" i="12" s="1"/>
  <c r="K2024" i="12"/>
  <c r="L2024" i="12" s="1"/>
  <c r="M2024" i="12" s="1"/>
  <c r="N2024" i="12" s="1"/>
  <c r="K2025" i="12"/>
  <c r="L2025" i="12" s="1"/>
  <c r="M2025" i="12" s="1"/>
  <c r="N2025" i="12" s="1"/>
  <c r="K2026" i="12"/>
  <c r="L2026" i="12" s="1"/>
  <c r="M2026" i="12" s="1"/>
  <c r="N2026" i="12" s="1"/>
  <c r="K2027" i="12"/>
  <c r="L2027" i="12" s="1"/>
  <c r="M2027" i="12" s="1"/>
  <c r="N2027" i="12" s="1"/>
  <c r="K2028" i="12"/>
  <c r="L2028" i="12" s="1"/>
  <c r="M2028" i="12" s="1"/>
  <c r="N2028" i="12" s="1"/>
  <c r="K2029" i="12"/>
  <c r="L2029" i="12" s="1"/>
  <c r="M2029" i="12" s="1"/>
  <c r="N2029" i="12" s="1"/>
  <c r="K2030" i="12"/>
  <c r="L2030" i="12" s="1"/>
  <c r="M2030" i="12" s="1"/>
  <c r="N2030" i="12" s="1"/>
  <c r="K2031" i="12"/>
  <c r="L2031" i="12" s="1"/>
  <c r="M2031" i="12" s="1"/>
  <c r="N2031" i="12" s="1"/>
  <c r="K2032" i="12"/>
  <c r="L2032" i="12" s="1"/>
  <c r="M2032" i="12" s="1"/>
  <c r="N2032" i="12" s="1"/>
  <c r="K2033" i="12"/>
  <c r="L2033" i="12" s="1"/>
  <c r="M2033" i="12" s="1"/>
  <c r="N2033" i="12" s="1"/>
  <c r="K2034" i="12"/>
  <c r="L2034" i="12" s="1"/>
  <c r="M2034" i="12" s="1"/>
  <c r="N2034" i="12" s="1"/>
  <c r="K2035" i="12"/>
  <c r="L2035" i="12" s="1"/>
  <c r="M2035" i="12" s="1"/>
  <c r="N2035" i="12" s="1"/>
  <c r="K2036" i="12"/>
  <c r="L2036" i="12" s="1"/>
  <c r="M2036" i="12" s="1"/>
  <c r="N2036" i="12" s="1"/>
  <c r="K2037" i="12"/>
  <c r="L2037" i="12" s="1"/>
  <c r="M2037" i="12" s="1"/>
  <c r="N2037" i="12" s="1"/>
  <c r="K2038" i="12"/>
  <c r="L2038" i="12" s="1"/>
  <c r="M2038" i="12" s="1"/>
  <c r="N2038" i="12" s="1"/>
  <c r="K2039" i="12"/>
  <c r="L2039" i="12" s="1"/>
  <c r="M2039" i="12" s="1"/>
  <c r="N2039" i="12" s="1"/>
  <c r="K2040" i="12"/>
  <c r="L2040" i="12" s="1"/>
  <c r="M2040" i="12" s="1"/>
  <c r="N2040" i="12" s="1"/>
  <c r="K2041" i="12"/>
  <c r="L2041" i="12" s="1"/>
  <c r="M2041" i="12" s="1"/>
  <c r="N2041" i="12" s="1"/>
  <c r="K2042" i="12"/>
  <c r="L2042" i="12" s="1"/>
  <c r="M2042" i="12" s="1"/>
  <c r="N2042" i="12" s="1"/>
  <c r="K2043" i="12"/>
  <c r="L2043" i="12" s="1"/>
  <c r="M2043" i="12" s="1"/>
  <c r="N2043" i="12" s="1"/>
  <c r="K2044" i="12"/>
  <c r="L2044" i="12" s="1"/>
  <c r="M2044" i="12" s="1"/>
  <c r="N2044" i="12" s="1"/>
  <c r="K2045" i="12"/>
  <c r="L2045" i="12" s="1"/>
  <c r="M2045" i="12" s="1"/>
  <c r="N2045" i="12" s="1"/>
  <c r="K2046" i="12"/>
  <c r="L2046" i="12" s="1"/>
  <c r="M2046" i="12" s="1"/>
  <c r="N2046" i="12" s="1"/>
  <c r="K2047" i="12"/>
  <c r="L2047" i="12" s="1"/>
  <c r="M2047" i="12" s="1"/>
  <c r="N2047" i="12" s="1"/>
  <c r="K2048" i="12"/>
  <c r="L2048" i="12" s="1"/>
  <c r="M2048" i="12" s="1"/>
  <c r="N2048" i="12" s="1"/>
  <c r="K2049" i="12"/>
  <c r="L2049" i="12" s="1"/>
  <c r="M2049" i="12" s="1"/>
  <c r="N2049" i="12" s="1"/>
  <c r="K2050" i="12"/>
  <c r="L2050" i="12" s="1"/>
  <c r="M2050" i="12" s="1"/>
  <c r="N2050" i="12" s="1"/>
  <c r="K2051" i="12"/>
  <c r="L2051" i="12" s="1"/>
  <c r="M2051" i="12" s="1"/>
  <c r="N2051" i="12" s="1"/>
  <c r="K2052" i="12"/>
  <c r="L2052" i="12" s="1"/>
  <c r="M2052" i="12" s="1"/>
  <c r="N2052" i="12" s="1"/>
  <c r="K2053" i="12"/>
  <c r="L2053" i="12" s="1"/>
  <c r="M2053" i="12" s="1"/>
  <c r="N2053" i="12" s="1"/>
  <c r="K2054" i="12"/>
  <c r="L2054" i="12" s="1"/>
  <c r="M2054" i="12" s="1"/>
  <c r="N2054" i="12" s="1"/>
  <c r="K2055" i="12"/>
  <c r="L2055" i="12" s="1"/>
  <c r="M2055" i="12" s="1"/>
  <c r="N2055" i="12" s="1"/>
  <c r="K2056" i="12"/>
  <c r="L2056" i="12" s="1"/>
  <c r="M2056" i="12" s="1"/>
  <c r="N2056" i="12" s="1"/>
  <c r="K2057" i="12"/>
  <c r="L2057" i="12" s="1"/>
  <c r="M2057" i="12" s="1"/>
  <c r="N2057" i="12" s="1"/>
  <c r="K2058" i="12"/>
  <c r="L2058" i="12" s="1"/>
  <c r="M2058" i="12" s="1"/>
  <c r="N2058" i="12" s="1"/>
  <c r="K2059" i="12"/>
  <c r="L2059" i="12" s="1"/>
  <c r="M2059" i="12" s="1"/>
  <c r="N2059" i="12" s="1"/>
  <c r="K2060" i="12"/>
  <c r="L2060" i="12" s="1"/>
  <c r="M2060" i="12" s="1"/>
  <c r="N2060" i="12" s="1"/>
  <c r="K2061" i="12"/>
  <c r="L2061" i="12" s="1"/>
  <c r="M2061" i="12" s="1"/>
  <c r="N2061" i="12" s="1"/>
  <c r="K2062" i="12"/>
  <c r="L2062" i="12" s="1"/>
  <c r="M2062" i="12" s="1"/>
  <c r="N2062" i="12" s="1"/>
  <c r="K2063" i="12"/>
  <c r="L2063" i="12" s="1"/>
  <c r="M2063" i="12" s="1"/>
  <c r="N2063" i="12" s="1"/>
  <c r="K2064" i="12"/>
  <c r="L2064" i="12" s="1"/>
  <c r="M2064" i="12" s="1"/>
  <c r="N2064" i="12" s="1"/>
  <c r="K2065" i="12"/>
  <c r="L2065" i="12" s="1"/>
  <c r="M2065" i="12" s="1"/>
  <c r="N2065" i="12" s="1"/>
  <c r="K2066" i="12"/>
  <c r="L2066" i="12" s="1"/>
  <c r="M2066" i="12" s="1"/>
  <c r="N2066" i="12" s="1"/>
  <c r="K2067" i="12"/>
  <c r="L2067" i="12" s="1"/>
  <c r="M2067" i="12" s="1"/>
  <c r="N2067" i="12" s="1"/>
  <c r="K2068" i="12"/>
  <c r="L2068" i="12" s="1"/>
  <c r="M2068" i="12" s="1"/>
  <c r="N2068" i="12" s="1"/>
  <c r="K2069" i="12"/>
  <c r="L2069" i="12" s="1"/>
  <c r="M2069" i="12" s="1"/>
  <c r="N2069" i="12" s="1"/>
  <c r="K2070" i="12"/>
  <c r="L2070" i="12" s="1"/>
  <c r="M2070" i="12" s="1"/>
  <c r="N2070" i="12" s="1"/>
  <c r="K2071" i="12"/>
  <c r="L2071" i="12" s="1"/>
  <c r="M2071" i="12" s="1"/>
  <c r="N2071" i="12" s="1"/>
  <c r="K2072" i="12"/>
  <c r="L2072" i="12" s="1"/>
  <c r="M2072" i="12" s="1"/>
  <c r="N2072" i="12" s="1"/>
  <c r="K2073" i="12"/>
  <c r="L2073" i="12" s="1"/>
  <c r="M2073" i="12" s="1"/>
  <c r="N2073" i="12" s="1"/>
  <c r="K2074" i="12"/>
  <c r="L2074" i="12" s="1"/>
  <c r="M2074" i="12" s="1"/>
  <c r="N2074" i="12" s="1"/>
  <c r="K2075" i="12"/>
  <c r="L2075" i="12" s="1"/>
  <c r="M2075" i="12" s="1"/>
  <c r="N2075" i="12" s="1"/>
  <c r="K2076" i="12"/>
  <c r="L2076" i="12" s="1"/>
  <c r="M2076" i="12" s="1"/>
  <c r="N2076" i="12" s="1"/>
  <c r="K2077" i="12"/>
  <c r="L2077" i="12" s="1"/>
  <c r="M2077" i="12" s="1"/>
  <c r="N2077" i="12" s="1"/>
  <c r="K2078" i="12"/>
  <c r="L2078" i="12" s="1"/>
  <c r="M2078" i="12" s="1"/>
  <c r="N2078" i="12" s="1"/>
  <c r="K2079" i="12"/>
  <c r="L2079" i="12" s="1"/>
  <c r="M2079" i="12" s="1"/>
  <c r="N2079" i="12" s="1"/>
  <c r="K2080" i="12"/>
  <c r="L2080" i="12" s="1"/>
  <c r="M2080" i="12" s="1"/>
  <c r="N2080" i="12" s="1"/>
  <c r="K2081" i="12"/>
  <c r="L2081" i="12" s="1"/>
  <c r="M2081" i="12" s="1"/>
  <c r="N2081" i="12" s="1"/>
  <c r="K2082" i="12"/>
  <c r="L2082" i="12" s="1"/>
  <c r="M2082" i="12" s="1"/>
  <c r="N2082" i="12" s="1"/>
  <c r="K2083" i="12"/>
  <c r="L2083" i="12" s="1"/>
  <c r="M2083" i="12" s="1"/>
  <c r="N2083" i="12" s="1"/>
  <c r="K2084" i="12"/>
  <c r="L2084" i="12" s="1"/>
  <c r="M2084" i="12" s="1"/>
  <c r="N2084" i="12" s="1"/>
  <c r="K2085" i="12"/>
  <c r="L2085" i="12" s="1"/>
  <c r="M2085" i="12" s="1"/>
  <c r="N2085" i="12" s="1"/>
  <c r="K2086" i="12"/>
  <c r="L2086" i="12" s="1"/>
  <c r="M2086" i="12" s="1"/>
  <c r="N2086" i="12" s="1"/>
  <c r="K2087" i="12"/>
  <c r="L2087" i="12" s="1"/>
  <c r="M2087" i="12" s="1"/>
  <c r="N2087" i="12" s="1"/>
  <c r="K2088" i="12"/>
  <c r="L2088" i="12" s="1"/>
  <c r="M2088" i="12" s="1"/>
  <c r="N2088" i="12" s="1"/>
  <c r="K2089" i="12"/>
  <c r="L2089" i="12" s="1"/>
  <c r="M2089" i="12" s="1"/>
  <c r="N2089" i="12" s="1"/>
  <c r="K2090" i="12"/>
  <c r="L2090" i="12" s="1"/>
  <c r="M2090" i="12" s="1"/>
  <c r="N2090" i="12" s="1"/>
  <c r="K2091" i="12"/>
  <c r="L2091" i="12" s="1"/>
  <c r="M2091" i="12" s="1"/>
  <c r="N2091" i="12" s="1"/>
  <c r="K2092" i="12"/>
  <c r="L2092" i="12" s="1"/>
  <c r="M2092" i="12" s="1"/>
  <c r="N2092" i="12" s="1"/>
  <c r="K2093" i="12"/>
  <c r="L2093" i="12" s="1"/>
  <c r="M2093" i="12" s="1"/>
  <c r="N2093" i="12" s="1"/>
  <c r="K2094" i="12"/>
  <c r="L2094" i="12" s="1"/>
  <c r="M2094" i="12" s="1"/>
  <c r="N2094" i="12" s="1"/>
  <c r="K2095" i="12"/>
  <c r="L2095" i="12" s="1"/>
  <c r="M2095" i="12" s="1"/>
  <c r="N2095" i="12" s="1"/>
  <c r="K2096" i="12"/>
  <c r="L2096" i="12" s="1"/>
  <c r="M2096" i="12" s="1"/>
  <c r="N2096" i="12" s="1"/>
  <c r="K2097" i="12"/>
  <c r="L2097" i="12" s="1"/>
  <c r="M2097" i="12" s="1"/>
  <c r="N2097" i="12" s="1"/>
  <c r="K2098" i="12"/>
  <c r="L2098" i="12" s="1"/>
  <c r="M2098" i="12" s="1"/>
  <c r="N2098" i="12" s="1"/>
  <c r="K2099" i="12"/>
  <c r="L2099" i="12" s="1"/>
  <c r="M2099" i="12" s="1"/>
  <c r="N2099" i="12" s="1"/>
  <c r="K2100" i="12"/>
  <c r="L2100" i="12" s="1"/>
  <c r="M2100" i="12" s="1"/>
  <c r="N2100" i="12" s="1"/>
  <c r="K2101" i="12"/>
  <c r="L2101" i="12" s="1"/>
  <c r="M2101" i="12" s="1"/>
  <c r="N2101" i="12" s="1"/>
  <c r="K2102" i="12"/>
  <c r="L2102" i="12" s="1"/>
  <c r="M2102" i="12" s="1"/>
  <c r="N2102" i="12" s="1"/>
  <c r="K2103" i="12"/>
  <c r="L2103" i="12" s="1"/>
  <c r="M2103" i="12" s="1"/>
  <c r="N2103" i="12" s="1"/>
  <c r="K2104" i="12"/>
  <c r="L2104" i="12" s="1"/>
  <c r="M2104" i="12" s="1"/>
  <c r="N2104" i="12" s="1"/>
  <c r="K2105" i="12"/>
  <c r="L2105" i="12" s="1"/>
  <c r="M2105" i="12" s="1"/>
  <c r="N2105" i="12" s="1"/>
  <c r="K2106" i="12"/>
  <c r="L2106" i="12" s="1"/>
  <c r="M2106" i="12" s="1"/>
  <c r="N2106" i="12" s="1"/>
  <c r="K2107" i="12"/>
  <c r="L2107" i="12" s="1"/>
  <c r="M2107" i="12" s="1"/>
  <c r="N2107" i="12" s="1"/>
  <c r="K2108" i="12"/>
  <c r="L2108" i="12" s="1"/>
  <c r="M2108" i="12" s="1"/>
  <c r="N2108" i="12" s="1"/>
  <c r="K2109" i="12"/>
  <c r="L2109" i="12" s="1"/>
  <c r="M2109" i="12" s="1"/>
  <c r="N2109" i="12" s="1"/>
  <c r="K2110" i="12"/>
  <c r="L2110" i="12" s="1"/>
  <c r="M2110" i="12" s="1"/>
  <c r="N2110" i="12" s="1"/>
  <c r="K2111" i="12"/>
  <c r="L2111" i="12" s="1"/>
  <c r="M2111" i="12" s="1"/>
  <c r="N2111" i="12" s="1"/>
  <c r="K2112" i="12"/>
  <c r="L2112" i="12" s="1"/>
  <c r="M2112" i="12" s="1"/>
  <c r="N2112" i="12" s="1"/>
  <c r="K2113" i="12"/>
  <c r="L2113" i="12" s="1"/>
  <c r="M2113" i="12" s="1"/>
  <c r="N2113" i="12" s="1"/>
  <c r="K2114" i="12"/>
  <c r="L2114" i="12" s="1"/>
  <c r="M2114" i="12" s="1"/>
  <c r="N2114" i="12" s="1"/>
  <c r="K2115" i="12"/>
  <c r="L2115" i="12" s="1"/>
  <c r="M2115" i="12" s="1"/>
  <c r="N2115" i="12" s="1"/>
  <c r="K2116" i="12"/>
  <c r="L2116" i="12" s="1"/>
  <c r="M2116" i="12" s="1"/>
  <c r="N2116" i="12" s="1"/>
  <c r="K2117" i="12"/>
  <c r="L2117" i="12" s="1"/>
  <c r="M2117" i="12" s="1"/>
  <c r="N2117" i="12" s="1"/>
  <c r="K2118" i="12"/>
  <c r="L2118" i="12" s="1"/>
  <c r="M2118" i="12" s="1"/>
  <c r="N2118" i="12" s="1"/>
  <c r="K2119" i="12"/>
  <c r="L2119" i="12" s="1"/>
  <c r="M2119" i="12" s="1"/>
  <c r="N2119" i="12" s="1"/>
  <c r="K2120" i="12"/>
  <c r="L2120" i="12" s="1"/>
  <c r="M2120" i="12" s="1"/>
  <c r="N2120" i="12" s="1"/>
  <c r="K2121" i="12"/>
  <c r="L2121" i="12" s="1"/>
  <c r="M2121" i="12" s="1"/>
  <c r="N2121" i="12" s="1"/>
  <c r="K2122" i="12"/>
  <c r="L2122" i="12" s="1"/>
  <c r="M2122" i="12" s="1"/>
  <c r="N2122" i="12" s="1"/>
  <c r="K2123" i="12"/>
  <c r="L2123" i="12" s="1"/>
  <c r="M2123" i="12" s="1"/>
  <c r="N2123" i="12" s="1"/>
  <c r="K2124" i="12"/>
  <c r="L2124" i="12" s="1"/>
  <c r="M2124" i="12" s="1"/>
  <c r="N2124" i="12" s="1"/>
  <c r="K2125" i="12"/>
  <c r="L2125" i="12" s="1"/>
  <c r="M2125" i="12" s="1"/>
  <c r="N2125" i="12" s="1"/>
  <c r="K2126" i="12"/>
  <c r="L2126" i="12" s="1"/>
  <c r="M2126" i="12" s="1"/>
  <c r="N2126" i="12" s="1"/>
  <c r="K2127" i="12"/>
  <c r="L2127" i="12" s="1"/>
  <c r="M2127" i="12" s="1"/>
  <c r="N2127" i="12" s="1"/>
  <c r="K2128" i="12"/>
  <c r="L2128" i="12" s="1"/>
  <c r="M2128" i="12" s="1"/>
  <c r="N2128" i="12" s="1"/>
  <c r="K2129" i="12"/>
  <c r="L2129" i="12" s="1"/>
  <c r="M2129" i="12" s="1"/>
  <c r="N2129" i="12" s="1"/>
  <c r="K2130" i="12"/>
  <c r="L2130" i="12" s="1"/>
  <c r="M2130" i="12" s="1"/>
  <c r="N2130" i="12" s="1"/>
  <c r="K2131" i="12"/>
  <c r="L2131" i="12" s="1"/>
  <c r="M2131" i="12" s="1"/>
  <c r="N2131" i="12" s="1"/>
  <c r="K2132" i="12"/>
  <c r="L2132" i="12" s="1"/>
  <c r="M2132" i="12" s="1"/>
  <c r="N2132" i="12" s="1"/>
  <c r="K2133" i="12"/>
  <c r="L2133" i="12" s="1"/>
  <c r="M2133" i="12" s="1"/>
  <c r="N2133" i="12" s="1"/>
  <c r="K2134" i="12"/>
  <c r="L2134" i="12" s="1"/>
  <c r="M2134" i="12" s="1"/>
  <c r="N2134" i="12" s="1"/>
  <c r="K2135" i="12"/>
  <c r="L2135" i="12" s="1"/>
  <c r="M2135" i="12" s="1"/>
  <c r="N2135" i="12" s="1"/>
  <c r="K2136" i="12"/>
  <c r="L2136" i="12" s="1"/>
  <c r="M2136" i="12" s="1"/>
  <c r="N2136" i="12" s="1"/>
  <c r="K2137" i="12"/>
  <c r="L2137" i="12" s="1"/>
  <c r="M2137" i="12" s="1"/>
  <c r="N2137" i="12" s="1"/>
  <c r="K2138" i="12"/>
  <c r="L2138" i="12" s="1"/>
  <c r="M2138" i="12" s="1"/>
  <c r="N2138" i="12" s="1"/>
  <c r="K2139" i="12"/>
  <c r="L2139" i="12" s="1"/>
  <c r="M2139" i="12" s="1"/>
  <c r="N2139" i="12" s="1"/>
  <c r="K2140" i="12"/>
  <c r="L2140" i="12" s="1"/>
  <c r="M2140" i="12" s="1"/>
  <c r="N2140" i="12" s="1"/>
  <c r="K2141" i="12"/>
  <c r="L2141" i="12" s="1"/>
  <c r="M2141" i="12" s="1"/>
  <c r="N2141" i="12" s="1"/>
  <c r="K2142" i="12"/>
  <c r="L2142" i="12" s="1"/>
  <c r="M2142" i="12" s="1"/>
  <c r="N2142" i="12" s="1"/>
  <c r="K2143" i="12"/>
  <c r="L2143" i="12" s="1"/>
  <c r="M2143" i="12" s="1"/>
  <c r="N2143" i="12" s="1"/>
  <c r="K2144" i="12"/>
  <c r="L2144" i="12" s="1"/>
  <c r="M2144" i="12" s="1"/>
  <c r="N2144" i="12" s="1"/>
  <c r="K2145" i="12"/>
  <c r="L2145" i="12" s="1"/>
  <c r="M2145" i="12" s="1"/>
  <c r="N2145" i="12" s="1"/>
  <c r="K2146" i="12"/>
  <c r="L2146" i="12" s="1"/>
  <c r="M2146" i="12" s="1"/>
  <c r="N2146" i="12" s="1"/>
  <c r="K2147" i="12"/>
  <c r="L2147" i="12" s="1"/>
  <c r="M2147" i="12" s="1"/>
  <c r="N2147" i="12" s="1"/>
  <c r="K2148" i="12"/>
  <c r="L2148" i="12" s="1"/>
  <c r="M2148" i="12" s="1"/>
  <c r="N2148" i="12" s="1"/>
  <c r="K2149" i="12"/>
  <c r="L2149" i="12" s="1"/>
  <c r="M2149" i="12" s="1"/>
  <c r="N2149" i="12" s="1"/>
  <c r="K2150" i="12"/>
  <c r="L2150" i="12" s="1"/>
  <c r="M2150" i="12" s="1"/>
  <c r="N2150" i="12" s="1"/>
  <c r="K2151" i="12"/>
  <c r="L2151" i="12" s="1"/>
  <c r="M2151" i="12" s="1"/>
  <c r="N2151" i="12" s="1"/>
  <c r="K2152" i="12"/>
  <c r="L2152" i="12" s="1"/>
  <c r="M2152" i="12" s="1"/>
  <c r="N2152" i="12" s="1"/>
  <c r="K2153" i="12"/>
  <c r="L2153" i="12" s="1"/>
  <c r="M2153" i="12" s="1"/>
  <c r="N2153" i="12" s="1"/>
  <c r="K2154" i="12"/>
  <c r="L2154" i="12" s="1"/>
  <c r="M2154" i="12" s="1"/>
  <c r="N2154" i="12" s="1"/>
  <c r="K2155" i="12"/>
  <c r="L2155" i="12" s="1"/>
  <c r="M2155" i="12" s="1"/>
  <c r="N2155" i="12" s="1"/>
  <c r="K2156" i="12"/>
  <c r="L2156" i="12" s="1"/>
  <c r="M2156" i="12" s="1"/>
  <c r="N2156" i="12" s="1"/>
  <c r="K2157" i="12"/>
  <c r="L2157" i="12" s="1"/>
  <c r="M2157" i="12" s="1"/>
  <c r="N2157" i="12" s="1"/>
  <c r="K2158" i="12"/>
  <c r="L2158" i="12" s="1"/>
  <c r="M2158" i="12" s="1"/>
  <c r="N2158" i="12" s="1"/>
  <c r="K2159" i="12"/>
  <c r="L2159" i="12" s="1"/>
  <c r="M2159" i="12" s="1"/>
  <c r="N2159" i="12" s="1"/>
  <c r="K2160" i="12"/>
  <c r="L2160" i="12" s="1"/>
  <c r="M2160" i="12" s="1"/>
  <c r="N2160" i="12" s="1"/>
  <c r="K2161" i="12"/>
  <c r="L2161" i="12" s="1"/>
  <c r="M2161" i="12" s="1"/>
  <c r="N2161" i="12" s="1"/>
  <c r="K2162" i="12"/>
  <c r="L2162" i="12" s="1"/>
  <c r="M2162" i="12" s="1"/>
  <c r="N2162" i="12" s="1"/>
  <c r="K2163" i="12"/>
  <c r="L2163" i="12" s="1"/>
  <c r="M2163" i="12" s="1"/>
  <c r="N2163" i="12" s="1"/>
  <c r="K2164" i="12"/>
  <c r="L2164" i="12" s="1"/>
  <c r="M2164" i="12" s="1"/>
  <c r="N2164" i="12" s="1"/>
  <c r="K2165" i="12"/>
  <c r="L2165" i="12" s="1"/>
  <c r="M2165" i="12" s="1"/>
  <c r="N2165" i="12" s="1"/>
  <c r="K2166" i="12"/>
  <c r="L2166" i="12" s="1"/>
  <c r="M2166" i="12" s="1"/>
  <c r="N2166" i="12" s="1"/>
  <c r="K2167" i="12"/>
  <c r="L2167" i="12" s="1"/>
  <c r="M2167" i="12" s="1"/>
  <c r="N2167" i="12" s="1"/>
  <c r="K2168" i="12"/>
  <c r="L2168" i="12" s="1"/>
  <c r="M2168" i="12" s="1"/>
  <c r="N2168" i="12" s="1"/>
  <c r="K2169" i="12"/>
  <c r="L2169" i="12" s="1"/>
  <c r="M2169" i="12" s="1"/>
  <c r="N2169" i="12" s="1"/>
  <c r="K2170" i="12"/>
  <c r="L2170" i="12" s="1"/>
  <c r="M2170" i="12" s="1"/>
  <c r="N2170" i="12" s="1"/>
  <c r="K2171" i="12"/>
  <c r="L2171" i="12" s="1"/>
  <c r="M2171" i="12" s="1"/>
  <c r="N2171" i="12" s="1"/>
  <c r="K2172" i="12"/>
  <c r="L2172" i="12" s="1"/>
  <c r="M2172" i="12" s="1"/>
  <c r="N2172" i="12" s="1"/>
  <c r="K2173" i="12"/>
  <c r="L2173" i="12" s="1"/>
  <c r="M2173" i="12" s="1"/>
  <c r="N2173" i="12" s="1"/>
  <c r="K2174" i="12"/>
  <c r="L2174" i="12" s="1"/>
  <c r="M2174" i="12" s="1"/>
  <c r="N2174" i="12" s="1"/>
  <c r="K2175" i="12"/>
  <c r="L2175" i="12" s="1"/>
  <c r="M2175" i="12" s="1"/>
  <c r="N2175" i="12" s="1"/>
  <c r="K2176" i="12"/>
  <c r="L2176" i="12" s="1"/>
  <c r="M2176" i="12" s="1"/>
  <c r="N2176" i="12" s="1"/>
  <c r="K2177" i="12"/>
  <c r="L2177" i="12" s="1"/>
  <c r="M2177" i="12" s="1"/>
  <c r="N2177" i="12" s="1"/>
  <c r="K2178" i="12"/>
  <c r="L2178" i="12" s="1"/>
  <c r="M2178" i="12" s="1"/>
  <c r="N2178" i="12" s="1"/>
  <c r="K2179" i="12"/>
  <c r="L2179" i="12" s="1"/>
  <c r="M2179" i="12" s="1"/>
  <c r="N2179" i="12" s="1"/>
  <c r="K2180" i="12"/>
  <c r="L2180" i="12" s="1"/>
  <c r="M2180" i="12" s="1"/>
  <c r="N2180" i="12" s="1"/>
  <c r="K2181" i="12"/>
  <c r="L2181" i="12" s="1"/>
  <c r="M2181" i="12" s="1"/>
  <c r="N2181" i="12" s="1"/>
  <c r="K2182" i="12"/>
  <c r="L2182" i="12" s="1"/>
  <c r="M2182" i="12" s="1"/>
  <c r="N2182" i="12" s="1"/>
  <c r="K2183" i="12"/>
  <c r="L2183" i="12" s="1"/>
  <c r="M2183" i="12" s="1"/>
  <c r="N2183" i="12" s="1"/>
  <c r="K2184" i="12"/>
  <c r="L2184" i="12" s="1"/>
  <c r="M2184" i="12" s="1"/>
  <c r="N2184" i="12" s="1"/>
  <c r="K2185" i="12"/>
  <c r="L2185" i="12" s="1"/>
  <c r="M2185" i="12" s="1"/>
  <c r="N2185" i="12" s="1"/>
  <c r="K2186" i="12"/>
  <c r="L2186" i="12" s="1"/>
  <c r="M2186" i="12" s="1"/>
  <c r="N2186" i="12" s="1"/>
  <c r="K2187" i="12"/>
  <c r="L2187" i="12" s="1"/>
  <c r="M2187" i="12" s="1"/>
  <c r="N2187" i="12" s="1"/>
  <c r="K2188" i="12"/>
  <c r="L2188" i="12" s="1"/>
  <c r="M2188" i="12" s="1"/>
  <c r="N2188" i="12" s="1"/>
  <c r="K2189" i="12"/>
  <c r="L2189" i="12" s="1"/>
  <c r="M2189" i="12" s="1"/>
  <c r="N2189" i="12" s="1"/>
  <c r="K2190" i="12"/>
  <c r="L2190" i="12" s="1"/>
  <c r="M2190" i="12" s="1"/>
  <c r="N2190" i="12" s="1"/>
  <c r="K2191" i="12"/>
  <c r="L2191" i="12" s="1"/>
  <c r="M2191" i="12" s="1"/>
  <c r="N2191" i="12" s="1"/>
  <c r="K2192" i="12"/>
  <c r="L2192" i="12" s="1"/>
  <c r="M2192" i="12" s="1"/>
  <c r="N2192" i="12" s="1"/>
  <c r="K2193" i="12"/>
  <c r="L2193" i="12" s="1"/>
  <c r="M2193" i="12" s="1"/>
  <c r="N2193" i="12" s="1"/>
  <c r="K2194" i="12"/>
  <c r="L2194" i="12" s="1"/>
  <c r="M2194" i="12" s="1"/>
  <c r="N2194" i="12" s="1"/>
  <c r="K2195" i="12"/>
  <c r="L2195" i="12" s="1"/>
  <c r="M2195" i="12" s="1"/>
  <c r="N2195" i="12" s="1"/>
  <c r="K2196" i="12"/>
  <c r="L2196" i="12" s="1"/>
  <c r="M2196" i="12" s="1"/>
  <c r="N2196" i="12" s="1"/>
  <c r="K2197" i="12"/>
  <c r="L2197" i="12" s="1"/>
  <c r="M2197" i="12" s="1"/>
  <c r="N2197" i="12" s="1"/>
  <c r="K2198" i="12"/>
  <c r="L2198" i="12" s="1"/>
  <c r="M2198" i="12" s="1"/>
  <c r="N2198" i="12" s="1"/>
  <c r="K2199" i="12"/>
  <c r="L2199" i="12" s="1"/>
  <c r="M2199" i="12" s="1"/>
  <c r="N2199" i="12" s="1"/>
  <c r="K2200" i="12"/>
  <c r="L2200" i="12" s="1"/>
  <c r="M2200" i="12" s="1"/>
  <c r="N2200" i="12" s="1"/>
  <c r="K2201" i="12"/>
  <c r="L2201" i="12" s="1"/>
  <c r="M2201" i="12" s="1"/>
  <c r="N2201" i="12" s="1"/>
  <c r="K2202" i="12"/>
  <c r="L2202" i="12" s="1"/>
  <c r="M2202" i="12" s="1"/>
  <c r="N2202" i="12" s="1"/>
  <c r="K2203" i="12"/>
  <c r="L2203" i="12" s="1"/>
  <c r="M2203" i="12" s="1"/>
  <c r="N2203" i="12" s="1"/>
  <c r="K2204" i="12"/>
  <c r="L2204" i="12" s="1"/>
  <c r="M2204" i="12" s="1"/>
  <c r="N2204" i="12" s="1"/>
  <c r="K2205" i="12"/>
  <c r="L2205" i="12" s="1"/>
  <c r="M2205" i="12" s="1"/>
  <c r="N2205" i="12" s="1"/>
  <c r="K2206" i="12"/>
  <c r="L2206" i="12" s="1"/>
  <c r="M2206" i="12" s="1"/>
  <c r="N2206" i="12" s="1"/>
  <c r="K2207" i="12"/>
  <c r="L2207" i="12" s="1"/>
  <c r="M2207" i="12" s="1"/>
  <c r="N2207" i="12" s="1"/>
  <c r="K2208" i="12"/>
  <c r="L2208" i="12" s="1"/>
  <c r="M2208" i="12" s="1"/>
  <c r="N2208" i="12" s="1"/>
  <c r="K2209" i="12"/>
  <c r="L2209" i="12" s="1"/>
  <c r="M2209" i="12" s="1"/>
  <c r="N2209" i="12" s="1"/>
  <c r="K2210" i="12"/>
  <c r="L2210" i="12" s="1"/>
  <c r="M2210" i="12" s="1"/>
  <c r="N2210" i="12" s="1"/>
  <c r="K2211" i="12"/>
  <c r="L2211" i="12" s="1"/>
  <c r="M2211" i="12" s="1"/>
  <c r="N2211" i="12" s="1"/>
  <c r="K2212" i="12"/>
  <c r="L2212" i="12" s="1"/>
  <c r="M2212" i="12" s="1"/>
  <c r="N2212" i="12" s="1"/>
  <c r="K2213" i="12"/>
  <c r="L2213" i="12" s="1"/>
  <c r="M2213" i="12" s="1"/>
  <c r="N2213" i="12" s="1"/>
  <c r="K2214" i="12"/>
  <c r="L2214" i="12" s="1"/>
  <c r="M2214" i="12" s="1"/>
  <c r="N2214" i="12" s="1"/>
  <c r="K2215" i="12"/>
  <c r="L2215" i="12" s="1"/>
  <c r="M2215" i="12" s="1"/>
  <c r="N2215" i="12" s="1"/>
  <c r="K2216" i="12"/>
  <c r="L2216" i="12" s="1"/>
  <c r="M2216" i="12" s="1"/>
  <c r="N2216" i="12" s="1"/>
  <c r="K2217" i="12"/>
  <c r="L2217" i="12" s="1"/>
  <c r="M2217" i="12" s="1"/>
  <c r="N2217" i="12" s="1"/>
  <c r="K2218" i="12"/>
  <c r="L2218" i="12" s="1"/>
  <c r="M2218" i="12" s="1"/>
  <c r="N2218" i="12" s="1"/>
  <c r="K2219" i="12"/>
  <c r="L2219" i="12" s="1"/>
  <c r="M2219" i="12" s="1"/>
  <c r="N2219" i="12" s="1"/>
  <c r="K2220" i="12"/>
  <c r="L2220" i="12" s="1"/>
  <c r="M2220" i="12" s="1"/>
  <c r="N2220" i="12" s="1"/>
  <c r="K2221" i="12"/>
  <c r="L2221" i="12" s="1"/>
  <c r="M2221" i="12" s="1"/>
  <c r="N2221" i="12" s="1"/>
  <c r="H278" i="21" l="1"/>
  <c r="C12" i="29" s="1"/>
  <c r="C8" i="20"/>
  <c r="C9" i="20"/>
  <c r="L364" i="12"/>
  <c r="M364" i="12" s="1"/>
  <c r="N364" i="12" s="1"/>
  <c r="C76" i="21" s="1"/>
  <c r="H76" i="21" s="1"/>
  <c r="L339" i="12"/>
  <c r="M339" i="12" s="1"/>
  <c r="N339" i="12" s="1"/>
  <c r="L316" i="12"/>
  <c r="M316" i="12" s="1"/>
  <c r="N316" i="12" s="1"/>
  <c r="L275" i="12"/>
  <c r="M275" i="12" s="1"/>
  <c r="N275" i="12" s="1"/>
  <c r="Q30" i="12" l="1"/>
  <c r="K28" i="12"/>
  <c r="K29" i="12"/>
  <c r="L29" i="12" s="1"/>
  <c r="M29" i="12" s="1"/>
  <c r="N29" i="12" s="1"/>
  <c r="K30" i="12"/>
  <c r="L30" i="12" s="1"/>
  <c r="M30" i="12" s="1"/>
  <c r="N30" i="12" s="1"/>
  <c r="R13" i="12"/>
  <c r="L28" i="12" l="1"/>
  <c r="M28" i="12" s="1"/>
  <c r="N28" i="12" s="1"/>
  <c r="C11" i="16" s="1"/>
  <c r="Q74" i="12" l="1"/>
  <c r="Q73" i="12"/>
  <c r="Q75" i="12" l="1"/>
  <c r="Q1006" i="12"/>
  <c r="Q824" i="12"/>
  <c r="Q825" i="12"/>
  <c r="Q826" i="12"/>
  <c r="Q827" i="12"/>
  <c r="Q828" i="12"/>
  <c r="Q829" i="12"/>
  <c r="Q830" i="12"/>
  <c r="Q823" i="12"/>
  <c r="Q802" i="12"/>
  <c r="A112" i="21"/>
  <c r="K201" i="12"/>
  <c r="L201" i="12" s="1"/>
  <c r="M201" i="12" s="1"/>
  <c r="N201" i="12" s="1"/>
  <c r="K202" i="12"/>
  <c r="L202" i="12" s="1"/>
  <c r="M202" i="12" s="1"/>
  <c r="N202" i="12" s="1"/>
  <c r="K203" i="12"/>
  <c r="L203" i="12" s="1"/>
  <c r="M203" i="12" s="1"/>
  <c r="N203" i="12" s="1"/>
  <c r="K204" i="12"/>
  <c r="L204" i="12" s="1"/>
  <c r="M204" i="12" s="1"/>
  <c r="N204" i="12" s="1"/>
  <c r="C13" i="19" s="1"/>
  <c r="C21" i="20" s="1"/>
  <c r="K205" i="12"/>
  <c r="K206" i="12"/>
  <c r="L206" i="12" s="1"/>
  <c r="M206" i="12" s="1"/>
  <c r="N206" i="12" s="1"/>
  <c r="K207" i="12"/>
  <c r="L207" i="12" s="1"/>
  <c r="M207" i="12" s="1"/>
  <c r="N207" i="12" s="1"/>
  <c r="K208" i="12"/>
  <c r="K209" i="12"/>
  <c r="L209" i="12" s="1"/>
  <c r="M209" i="12" s="1"/>
  <c r="N209" i="12" s="1"/>
  <c r="K210" i="12"/>
  <c r="L210" i="12" s="1"/>
  <c r="M210" i="12" s="1"/>
  <c r="N210" i="12" s="1"/>
  <c r="C16" i="13"/>
  <c r="C15" i="13"/>
  <c r="R59" i="12"/>
  <c r="K53" i="12"/>
  <c r="L53" i="12" s="1"/>
  <c r="M53" i="12" s="1"/>
  <c r="N53" i="12" s="1"/>
  <c r="K54" i="12"/>
  <c r="L54" i="12" s="1"/>
  <c r="M54" i="12" s="1"/>
  <c r="N54" i="12" s="1"/>
  <c r="K55" i="12"/>
  <c r="L55" i="12" s="1"/>
  <c r="M55" i="12" s="1"/>
  <c r="N55" i="12" s="1"/>
  <c r="K56" i="12"/>
  <c r="L56" i="12" s="1"/>
  <c r="M56" i="12" s="1"/>
  <c r="N56" i="12" s="1"/>
  <c r="K57" i="12"/>
  <c r="L57" i="12" s="1"/>
  <c r="M57" i="12" s="1"/>
  <c r="N57" i="12" s="1"/>
  <c r="K58" i="12"/>
  <c r="L58" i="12" s="1"/>
  <c r="M58" i="12" s="1"/>
  <c r="N58" i="12" s="1"/>
  <c r="K59" i="12"/>
  <c r="L59" i="12" s="1"/>
  <c r="M59" i="12" s="1"/>
  <c r="N59" i="12" s="1"/>
  <c r="K60" i="12"/>
  <c r="L60" i="12" s="1"/>
  <c r="M60" i="12" s="1"/>
  <c r="N60" i="12" s="1"/>
  <c r="K61" i="12"/>
  <c r="L61" i="12" s="1"/>
  <c r="M61" i="12" s="1"/>
  <c r="N61" i="12" s="1"/>
  <c r="K62" i="12"/>
  <c r="L62" i="12" s="1"/>
  <c r="M62" i="12" s="1"/>
  <c r="N62" i="12" s="1"/>
  <c r="K63" i="12"/>
  <c r="L63" i="12" s="1"/>
  <c r="M63" i="12" s="1"/>
  <c r="N63" i="12" s="1"/>
  <c r="K64" i="12"/>
  <c r="L64" i="12" s="1"/>
  <c r="M64" i="12" s="1"/>
  <c r="N64" i="12" s="1"/>
  <c r="K65" i="12"/>
  <c r="L65" i="12" s="1"/>
  <c r="M65" i="12" s="1"/>
  <c r="N65" i="12" s="1"/>
  <c r="K66" i="12"/>
  <c r="L66" i="12" s="1"/>
  <c r="M66" i="12" s="1"/>
  <c r="N66" i="12" s="1"/>
  <c r="K67" i="12"/>
  <c r="L67" i="12" s="1"/>
  <c r="M67" i="12" s="1"/>
  <c r="N67" i="12" s="1"/>
  <c r="K68" i="12"/>
  <c r="K69" i="12"/>
  <c r="L69" i="12" s="1"/>
  <c r="M69" i="12" s="1"/>
  <c r="N69" i="12" s="1"/>
  <c r="K70" i="12"/>
  <c r="L70" i="12" s="1"/>
  <c r="M70" i="12" s="1"/>
  <c r="N70" i="12" s="1"/>
  <c r="K71" i="12"/>
  <c r="L71" i="12" s="1"/>
  <c r="M71" i="12" s="1"/>
  <c r="N71" i="12" s="1"/>
  <c r="K72" i="12"/>
  <c r="L72" i="12" s="1"/>
  <c r="M72" i="12" s="1"/>
  <c r="N72" i="12" s="1"/>
  <c r="K73" i="12"/>
  <c r="L73" i="12" s="1"/>
  <c r="M73" i="12" s="1"/>
  <c r="N73" i="12" s="1"/>
  <c r="C15" i="16" s="1"/>
  <c r="K74" i="12"/>
  <c r="L74" i="12" s="1"/>
  <c r="M74" i="12" s="1"/>
  <c r="N74" i="12" s="1"/>
  <c r="K75" i="12"/>
  <c r="L75" i="12" s="1"/>
  <c r="M75" i="12" s="1"/>
  <c r="N75" i="12" s="1"/>
  <c r="C17" i="16" s="1"/>
  <c r="K76" i="12"/>
  <c r="L76" i="12" s="1"/>
  <c r="M76" i="12" s="1"/>
  <c r="N76" i="12" s="1"/>
  <c r="K77" i="12"/>
  <c r="L77" i="12" s="1"/>
  <c r="M77" i="12" s="1"/>
  <c r="N77" i="12" s="1"/>
  <c r="K78" i="12"/>
  <c r="L78" i="12" s="1"/>
  <c r="M78" i="12" s="1"/>
  <c r="N78" i="12" s="1"/>
  <c r="K79" i="12"/>
  <c r="L79" i="12" s="1"/>
  <c r="M79" i="12" s="1"/>
  <c r="N79" i="12" s="1"/>
  <c r="K80" i="12"/>
  <c r="L80" i="12" s="1"/>
  <c r="M80" i="12" s="1"/>
  <c r="N80" i="12" s="1"/>
  <c r="K81" i="12"/>
  <c r="L81" i="12" s="1"/>
  <c r="M81" i="12" s="1"/>
  <c r="N81" i="12" s="1"/>
  <c r="C23" i="16" s="1"/>
  <c r="C25" i="16" s="1"/>
  <c r="K82" i="12"/>
  <c r="L82" i="12" s="1"/>
  <c r="M82" i="12" s="1"/>
  <c r="N82" i="12" s="1"/>
  <c r="K83" i="12"/>
  <c r="L83" i="12" s="1"/>
  <c r="M83" i="12" s="1"/>
  <c r="N83" i="12" s="1"/>
  <c r="C6" i="13" s="1"/>
  <c r="K84" i="12"/>
  <c r="L84" i="12" s="1"/>
  <c r="M84" i="12" s="1"/>
  <c r="N84" i="12" s="1"/>
  <c r="K85" i="12"/>
  <c r="L85" i="12" s="1"/>
  <c r="M85" i="12" s="1"/>
  <c r="N85" i="12" s="1"/>
  <c r="K86" i="12"/>
  <c r="L86" i="12" s="1"/>
  <c r="M86" i="12" s="1"/>
  <c r="N86" i="12" s="1"/>
  <c r="C9" i="13" s="1"/>
  <c r="C43" i="31" s="1"/>
  <c r="H43" i="31" s="1"/>
  <c r="K87" i="12"/>
  <c r="L87" i="12" s="1"/>
  <c r="M87" i="12" s="1"/>
  <c r="N87" i="12" s="1"/>
  <c r="K88" i="12"/>
  <c r="L88" i="12" s="1"/>
  <c r="M88" i="12" s="1"/>
  <c r="N88" i="12" s="1"/>
  <c r="K89" i="12"/>
  <c r="L89" i="12" s="1"/>
  <c r="M89" i="12" s="1"/>
  <c r="N89" i="12" s="1"/>
  <c r="K91" i="12"/>
  <c r="L91" i="12" s="1"/>
  <c r="M91" i="12" s="1"/>
  <c r="N91" i="12" s="1"/>
  <c r="K92" i="12"/>
  <c r="L92" i="12" s="1"/>
  <c r="M92" i="12" s="1"/>
  <c r="N92" i="12" s="1"/>
  <c r="K93" i="12"/>
  <c r="L93" i="12" s="1"/>
  <c r="M93" i="12" s="1"/>
  <c r="N93" i="12" s="1"/>
  <c r="K94" i="12"/>
  <c r="L94" i="12" s="1"/>
  <c r="M94" i="12" s="1"/>
  <c r="N94" i="12" s="1"/>
  <c r="C32" i="31" s="1"/>
  <c r="H32" i="31" s="1"/>
  <c r="K95" i="12"/>
  <c r="K96" i="12"/>
  <c r="L96" i="12" s="1"/>
  <c r="M96" i="12" s="1"/>
  <c r="N96" i="12" s="1"/>
  <c r="K108" i="12"/>
  <c r="L108" i="12" s="1"/>
  <c r="M108" i="12" s="1"/>
  <c r="N108" i="12" s="1"/>
  <c r="K109" i="12"/>
  <c r="L109" i="12" s="1"/>
  <c r="M109" i="12" s="1"/>
  <c r="N109" i="12" s="1"/>
  <c r="K110" i="12"/>
  <c r="L110" i="12" s="1"/>
  <c r="M110" i="12" s="1"/>
  <c r="N110" i="12" s="1"/>
  <c r="K111" i="12"/>
  <c r="L111" i="12" s="1"/>
  <c r="M111" i="12" s="1"/>
  <c r="N111" i="12" s="1"/>
  <c r="K112" i="12"/>
  <c r="L112" i="12" s="1"/>
  <c r="M112" i="12" s="1"/>
  <c r="N112" i="12" s="1"/>
  <c r="K113" i="12"/>
  <c r="L113" i="12" s="1"/>
  <c r="M113" i="12" s="1"/>
  <c r="N113" i="12" s="1"/>
  <c r="K114" i="12"/>
  <c r="L114" i="12" s="1"/>
  <c r="M114" i="12" s="1"/>
  <c r="N114" i="12" s="1"/>
  <c r="K115" i="12"/>
  <c r="L115" i="12" s="1"/>
  <c r="M115" i="12" s="1"/>
  <c r="N115" i="12" s="1"/>
  <c r="K116" i="12"/>
  <c r="L116" i="12" s="1"/>
  <c r="M116" i="12" s="1"/>
  <c r="N116" i="12" s="1"/>
  <c r="C33" i="31" s="1"/>
  <c r="H33" i="31" s="1"/>
  <c r="K156" i="12"/>
  <c r="L156" i="12" s="1"/>
  <c r="M156" i="12" s="1"/>
  <c r="N156" i="12" s="1"/>
  <c r="K157" i="12"/>
  <c r="L157" i="12" s="1"/>
  <c r="M157" i="12" s="1"/>
  <c r="N157" i="12" s="1"/>
  <c r="C41" i="31" s="1"/>
  <c r="H41" i="31" s="1"/>
  <c r="K158" i="12"/>
  <c r="L158" i="12" s="1"/>
  <c r="M158" i="12" s="1"/>
  <c r="N158" i="12" s="1"/>
  <c r="K159" i="12"/>
  <c r="L159" i="12" s="1"/>
  <c r="M159" i="12" s="1"/>
  <c r="N159" i="12" s="1"/>
  <c r="K160" i="12"/>
  <c r="L160" i="12" s="1"/>
  <c r="M160" i="12" s="1"/>
  <c r="N160" i="12" s="1"/>
  <c r="K161" i="12"/>
  <c r="K162" i="12"/>
  <c r="L162" i="12" s="1"/>
  <c r="M162" i="12" s="1"/>
  <c r="N162" i="12" s="1"/>
  <c r="C42" i="31" s="1"/>
  <c r="H42" i="31" s="1"/>
  <c r="K163" i="12"/>
  <c r="L163" i="12" s="1"/>
  <c r="M163" i="12" s="1"/>
  <c r="N163" i="12" s="1"/>
  <c r="K164" i="12"/>
  <c r="L164" i="12" s="1"/>
  <c r="M164" i="12" s="1"/>
  <c r="N164" i="12" s="1"/>
  <c r="K165" i="12"/>
  <c r="L165" i="12" s="1"/>
  <c r="M165" i="12" s="1"/>
  <c r="N165" i="12" s="1"/>
  <c r="K166" i="12"/>
  <c r="L166" i="12" s="1"/>
  <c r="M166" i="12" s="1"/>
  <c r="N166" i="12" s="1"/>
  <c r="K167" i="12"/>
  <c r="K185" i="12"/>
  <c r="L185" i="12" s="1"/>
  <c r="M185" i="12" s="1"/>
  <c r="N185" i="12" s="1"/>
  <c r="K186" i="12"/>
  <c r="L186" i="12" s="1"/>
  <c r="M186" i="12" s="1"/>
  <c r="N186" i="12" s="1"/>
  <c r="K187" i="12"/>
  <c r="L187" i="12" s="1"/>
  <c r="M187" i="12" s="1"/>
  <c r="N187" i="12" s="1"/>
  <c r="K188" i="12"/>
  <c r="L188" i="12" s="1"/>
  <c r="M188" i="12" s="1"/>
  <c r="N188" i="12" s="1"/>
  <c r="K189" i="12"/>
  <c r="L189" i="12" s="1"/>
  <c r="M189" i="12" s="1"/>
  <c r="N189" i="12" s="1"/>
  <c r="K190" i="12"/>
  <c r="L190" i="12" s="1"/>
  <c r="M190" i="12" s="1"/>
  <c r="N190" i="12" s="1"/>
  <c r="K191" i="12"/>
  <c r="L191" i="12" s="1"/>
  <c r="M191" i="12" s="1"/>
  <c r="N191" i="12" s="1"/>
  <c r="C18" i="19" s="1"/>
  <c r="C20" i="20" s="1"/>
  <c r="K199" i="12"/>
  <c r="K200" i="12"/>
  <c r="L200" i="12" s="1"/>
  <c r="M200" i="12" s="1"/>
  <c r="N200" i="12" s="1"/>
  <c r="K211" i="12"/>
  <c r="L211" i="12" s="1"/>
  <c r="M211" i="12" s="1"/>
  <c r="N211" i="12" s="1"/>
  <c r="K2222" i="12"/>
  <c r="L2222" i="12" s="1"/>
  <c r="M2222" i="12" s="1"/>
  <c r="N2222" i="12" s="1"/>
  <c r="K2223" i="12"/>
  <c r="L2223" i="12" s="1"/>
  <c r="M2223" i="12" s="1"/>
  <c r="N2223" i="12" s="1"/>
  <c r="K2224" i="12"/>
  <c r="L2224" i="12" s="1"/>
  <c r="M2224" i="12" s="1"/>
  <c r="N2224" i="12" s="1"/>
  <c r="K2225" i="12"/>
  <c r="L2225" i="12" s="1"/>
  <c r="M2225" i="12" s="1"/>
  <c r="N2225" i="12" s="1"/>
  <c r="K2226" i="12"/>
  <c r="L2226" i="12" s="1"/>
  <c r="M2226" i="12" s="1"/>
  <c r="N2226" i="12" s="1"/>
  <c r="Q21" i="12"/>
  <c r="Q23" i="12" s="1"/>
  <c r="H50" i="31" l="1"/>
  <c r="C10" i="29" s="1"/>
  <c r="K225" i="30"/>
  <c r="L208" i="12"/>
  <c r="M208" i="12" s="1"/>
  <c r="N208" i="12" s="1"/>
  <c r="L205" i="12"/>
  <c r="M205" i="12" s="1"/>
  <c r="N205" i="12" s="1"/>
  <c r="L199" i="12"/>
  <c r="M199" i="12" s="1"/>
  <c r="N199" i="12" s="1"/>
  <c r="L68" i="12"/>
  <c r="M68" i="12" s="1"/>
  <c r="N68" i="12" s="1"/>
  <c r="L95" i="12"/>
  <c r="M95" i="12" s="1"/>
  <c r="N95" i="12" s="1"/>
  <c r="L161" i="12"/>
  <c r="M161" i="12" s="1"/>
  <c r="N161" i="12" s="1"/>
  <c r="L167" i="12"/>
  <c r="M167" i="12" s="1"/>
  <c r="N167" i="12" s="1"/>
  <c r="E211" i="30"/>
  <c r="E198" i="30"/>
  <c r="E197" i="30"/>
  <c r="E203" i="30" s="1"/>
  <c r="E194" i="30"/>
  <c r="C42" i="29"/>
  <c r="K243" i="30"/>
  <c r="G243" i="30"/>
  <c r="L243" i="30" l="1"/>
  <c r="Q67" i="12"/>
  <c r="Q68" i="12" s="1"/>
  <c r="P25" i="16" l="1"/>
  <c r="Y24" i="16"/>
  <c r="Y25" i="16" s="1"/>
  <c r="Y22" i="16"/>
  <c r="Y23" i="16" s="1"/>
  <c r="Q22" i="16"/>
  <c r="P21" i="16"/>
  <c r="Q21" i="16" s="1"/>
  <c r="A11" i="16"/>
  <c r="A13" i="16" s="1"/>
  <c r="A15" i="16" s="1"/>
  <c r="A17" i="16" s="1"/>
  <c r="A21" i="16" s="1"/>
  <c r="A23" i="16" s="1"/>
  <c r="A25" i="16" s="1"/>
  <c r="A27" i="16" s="1"/>
  <c r="Q35" i="12"/>
  <c r="K6" i="12"/>
  <c r="L6" i="12" s="1"/>
  <c r="M6" i="12" s="1"/>
  <c r="N6" i="12" s="1"/>
  <c r="K7" i="12"/>
  <c r="L7" i="12" s="1"/>
  <c r="M7" i="12" s="1"/>
  <c r="N7" i="12" s="1"/>
  <c r="K8" i="12"/>
  <c r="L8" i="12" s="1"/>
  <c r="M8" i="12" s="1"/>
  <c r="N8" i="12" s="1"/>
  <c r="K9" i="12"/>
  <c r="L9" i="12" s="1"/>
  <c r="M9" i="12" s="1"/>
  <c r="N9" i="12" s="1"/>
  <c r="K10" i="12"/>
  <c r="L10" i="12" s="1"/>
  <c r="M10" i="12" s="1"/>
  <c r="N10" i="12" s="1"/>
  <c r="K11" i="12"/>
  <c r="L11" i="12" s="1"/>
  <c r="M11" i="12" s="1"/>
  <c r="N11" i="12" s="1"/>
  <c r="K12" i="12"/>
  <c r="L12" i="12" s="1"/>
  <c r="M12" i="12" s="1"/>
  <c r="N12" i="12" s="1"/>
  <c r="K13" i="12"/>
  <c r="L13" i="12" s="1"/>
  <c r="M13" i="12" s="1"/>
  <c r="N13" i="12" s="1"/>
  <c r="K14" i="12"/>
  <c r="L14" i="12" s="1"/>
  <c r="M14" i="12" s="1"/>
  <c r="N14" i="12" s="1"/>
  <c r="K15" i="12"/>
  <c r="L15" i="12" s="1"/>
  <c r="M15" i="12" s="1"/>
  <c r="N15" i="12" s="1"/>
  <c r="K16" i="12"/>
  <c r="L16" i="12" s="1"/>
  <c r="M16" i="12" s="1"/>
  <c r="N16" i="12" s="1"/>
  <c r="K17" i="12"/>
  <c r="L17" i="12" s="1"/>
  <c r="M17" i="12" s="1"/>
  <c r="N17" i="12" s="1"/>
  <c r="K19" i="12"/>
  <c r="L19" i="12" s="1"/>
  <c r="M19" i="12" s="1"/>
  <c r="N19" i="12" s="1"/>
  <c r="K20" i="12"/>
  <c r="L20" i="12" s="1"/>
  <c r="M20" i="12" s="1"/>
  <c r="N20" i="12" s="1"/>
  <c r="K21" i="12"/>
  <c r="K23" i="12"/>
  <c r="L23" i="12" s="1"/>
  <c r="M23" i="12" s="1"/>
  <c r="N23" i="12" s="1"/>
  <c r="K24" i="12"/>
  <c r="L24" i="12" s="1"/>
  <c r="M24" i="12" s="1"/>
  <c r="N24" i="12" s="1"/>
  <c r="K25" i="12"/>
  <c r="L25" i="12" s="1"/>
  <c r="M25" i="12" s="1"/>
  <c r="N25" i="12" s="1"/>
  <c r="K26" i="12"/>
  <c r="L26" i="12" s="1"/>
  <c r="M26" i="12" s="1"/>
  <c r="N26" i="12" s="1"/>
  <c r="K27" i="12"/>
  <c r="L27" i="12" s="1"/>
  <c r="M27" i="12" s="1"/>
  <c r="N27" i="12" s="1"/>
  <c r="K31" i="12"/>
  <c r="L31" i="12" s="1"/>
  <c r="M31" i="12" s="1"/>
  <c r="N31" i="12" s="1"/>
  <c r="K32" i="12"/>
  <c r="L32" i="12" s="1"/>
  <c r="M32" i="12" s="1"/>
  <c r="N32" i="12" s="1"/>
  <c r="K33" i="12"/>
  <c r="L33" i="12" s="1"/>
  <c r="M33" i="12" s="1"/>
  <c r="N33" i="12" s="1"/>
  <c r="K34" i="12"/>
  <c r="K35" i="12"/>
  <c r="L35" i="12" s="1"/>
  <c r="M35" i="12" s="1"/>
  <c r="N35" i="12" s="1"/>
  <c r="K36" i="12"/>
  <c r="L36" i="12" s="1"/>
  <c r="M36" i="12" s="1"/>
  <c r="N36" i="12" s="1"/>
  <c r="K37" i="12"/>
  <c r="L37" i="12" s="1"/>
  <c r="M37" i="12" s="1"/>
  <c r="N37" i="12" s="1"/>
  <c r="K39" i="12"/>
  <c r="L39" i="12" s="1"/>
  <c r="M39" i="12" s="1"/>
  <c r="N39" i="12" s="1"/>
  <c r="K40" i="12"/>
  <c r="L40" i="12" s="1"/>
  <c r="M40" i="12" s="1"/>
  <c r="N40" i="12" s="1"/>
  <c r="K41" i="12"/>
  <c r="L41" i="12" s="1"/>
  <c r="M41" i="12" s="1"/>
  <c r="N41" i="12" s="1"/>
  <c r="K42" i="12"/>
  <c r="L42" i="12" s="1"/>
  <c r="M42" i="12" s="1"/>
  <c r="N42" i="12" s="1"/>
  <c r="K43" i="12"/>
  <c r="L43" i="12" s="1"/>
  <c r="M43" i="12" s="1"/>
  <c r="N43" i="12" s="1"/>
  <c r="K44" i="12"/>
  <c r="L44" i="12" s="1"/>
  <c r="M44" i="12" s="1"/>
  <c r="N44" i="12" s="1"/>
  <c r="K45" i="12"/>
  <c r="L45" i="12" s="1"/>
  <c r="M45" i="12" s="1"/>
  <c r="N45" i="12" s="1"/>
  <c r="K46" i="12"/>
  <c r="L46" i="12" s="1"/>
  <c r="M46" i="12" s="1"/>
  <c r="N46" i="12" s="1"/>
  <c r="K47" i="12"/>
  <c r="L47" i="12" s="1"/>
  <c r="M47" i="12" s="1"/>
  <c r="N47" i="12" s="1"/>
  <c r="K48" i="12"/>
  <c r="L48" i="12" s="1"/>
  <c r="M48" i="12" s="1"/>
  <c r="N48" i="12" s="1"/>
  <c r="K49" i="12"/>
  <c r="L49" i="12" s="1"/>
  <c r="M49" i="12" s="1"/>
  <c r="N49" i="12" s="1"/>
  <c r="K50" i="12"/>
  <c r="L50" i="12" s="1"/>
  <c r="M50" i="12" s="1"/>
  <c r="N50" i="12" s="1"/>
  <c r="C13" i="16" s="1"/>
  <c r="K51" i="12"/>
  <c r="L51" i="12" s="1"/>
  <c r="M51" i="12" s="1"/>
  <c r="N51" i="12" s="1"/>
  <c r="K52" i="12"/>
  <c r="L52" i="12" s="1"/>
  <c r="M52" i="12" s="1"/>
  <c r="N52" i="12" s="1"/>
  <c r="K5" i="12"/>
  <c r="L5" i="12" s="1"/>
  <c r="M5" i="12" s="1"/>
  <c r="N5" i="12" s="1"/>
  <c r="S23" i="16" l="1"/>
  <c r="S25" i="16"/>
  <c r="S21" i="16"/>
  <c r="L21" i="12"/>
  <c r="M21" i="12" s="1"/>
  <c r="N21" i="12" s="1"/>
  <c r="Q999" i="12" l="1"/>
  <c r="G257" i="30" l="1"/>
  <c r="A64" i="26"/>
  <c r="A67" i="26" s="1"/>
  <c r="G39" i="32"/>
  <c r="A70" i="26" l="1"/>
  <c r="A73" i="26" s="1"/>
  <c r="A102" i="26" l="1"/>
  <c r="A105" i="26" s="1"/>
  <c r="A78" i="26"/>
  <c r="A83" i="26" s="1"/>
  <c r="A88" i="26" s="1"/>
  <c r="A91" i="26" s="1"/>
  <c r="L34" i="12"/>
  <c r="M34" i="12" s="1"/>
  <c r="N34" i="12" s="1"/>
  <c r="H16" i="42"/>
  <c r="H17" i="42" s="1"/>
  <c r="H18" i="42" s="1"/>
  <c r="H19" i="42" s="1"/>
  <c r="H20" i="42" s="1"/>
  <c r="N11" i="57"/>
  <c r="A109" i="26" l="1"/>
  <c r="E226" i="30"/>
  <c r="E227" i="30" s="1"/>
  <c r="E225" i="30"/>
  <c r="E224" i="30"/>
  <c r="E219" i="30"/>
  <c r="E218" i="30"/>
  <c r="E199" i="30"/>
  <c r="E130" i="30"/>
  <c r="A113" i="26" l="1"/>
  <c r="A116" i="26" s="1"/>
  <c r="A119" i="26" s="1"/>
  <c r="A123" i="26"/>
  <c r="A126" i="26" s="1"/>
  <c r="A129" i="26"/>
  <c r="A132" i="26" s="1"/>
  <c r="A135" i="26" s="1"/>
  <c r="A138" i="26" s="1"/>
  <c r="A142" i="26" s="1"/>
  <c r="A125" i="10"/>
  <c r="A107" i="10"/>
  <c r="A99" i="10"/>
  <c r="C56" i="32"/>
  <c r="C57" i="32"/>
  <c r="C55" i="32"/>
  <c r="C54" i="32"/>
  <c r="A118" i="21"/>
  <c r="A30" i="21"/>
  <c r="A34" i="21" s="1"/>
  <c r="A37" i="21" s="1"/>
  <c r="A17" i="21"/>
  <c r="A18" i="21" s="1"/>
  <c r="A19" i="21" s="1"/>
  <c r="A20" i="21" s="1"/>
  <c r="C60" i="32" l="1"/>
  <c r="A148" i="26"/>
  <c r="A145" i="26"/>
  <c r="A40" i="21"/>
  <c r="A43" i="21" s="1"/>
  <c r="A46" i="21" s="1"/>
  <c r="A49" i="21" s="1"/>
  <c r="A52" i="21" s="1"/>
  <c r="A55" i="21" s="1"/>
  <c r="A58" i="21" s="1"/>
  <c r="A120" i="21"/>
  <c r="K4" i="12"/>
  <c r="L4" i="12" s="1"/>
  <c r="M4" i="12" s="1"/>
  <c r="N4" i="12" s="1"/>
  <c r="A152" i="26" l="1"/>
  <c r="A156" i="26" s="1"/>
  <c r="A67" i="21"/>
  <c r="A70" i="21" s="1"/>
  <c r="A84" i="21" s="1"/>
  <c r="A72" i="21"/>
  <c r="A75" i="21" s="1"/>
  <c r="A115" i="21"/>
  <c r="A61" i="21"/>
  <c r="A65" i="21" s="1"/>
  <c r="A123" i="21"/>
  <c r="A126" i="21" s="1"/>
  <c r="A130" i="21" s="1"/>
  <c r="A133" i="21" s="1"/>
  <c r="A136" i="21" s="1"/>
  <c r="M257" i="30"/>
  <c r="P225" i="30"/>
  <c r="O225" i="30"/>
  <c r="P131" i="30"/>
  <c r="Q131" i="30" s="1"/>
  <c r="A78" i="21" l="1"/>
  <c r="A81" i="21" s="1"/>
  <c r="A138" i="21"/>
  <c r="Q225" i="30"/>
  <c r="E510" i="56"/>
  <c r="E506" i="56"/>
  <c r="E504" i="56"/>
  <c r="E502" i="56"/>
  <c r="E500" i="56"/>
  <c r="E467" i="56"/>
  <c r="E465" i="56"/>
  <c r="E463" i="56"/>
  <c r="E461" i="56"/>
  <c r="E434" i="56"/>
  <c r="E432" i="56"/>
  <c r="E430" i="56"/>
  <c r="E399" i="56"/>
  <c r="E397" i="56"/>
  <c r="E395" i="56"/>
  <c r="E394" i="56"/>
  <c r="E377" i="56"/>
  <c r="E373" i="56"/>
  <c r="E369" i="56"/>
  <c r="E367" i="56"/>
  <c r="E365" i="56"/>
  <c r="E363" i="56"/>
  <c r="E361" i="56"/>
  <c r="E339" i="56"/>
  <c r="E341" i="56" s="1"/>
  <c r="E343" i="56" s="1"/>
  <c r="E288" i="56"/>
  <c r="E284" i="56"/>
  <c r="E205" i="30"/>
  <c r="E381" i="56" l="1"/>
  <c r="E345" i="56"/>
  <c r="E379" i="56"/>
  <c r="E403" i="56" s="1"/>
  <c r="E407" i="56" s="1"/>
  <c r="E409" i="56" s="1"/>
  <c r="E438" i="56" s="1"/>
  <c r="E442" i="56" s="1"/>
  <c r="E471" i="56" s="1"/>
  <c r="E475" i="56" s="1"/>
  <c r="F73" i="60"/>
  <c r="A73" i="60"/>
  <c r="A72" i="60"/>
  <c r="A71" i="60"/>
  <c r="F70" i="60"/>
  <c r="A70" i="60"/>
  <c r="A69" i="60"/>
  <c r="A68" i="60"/>
  <c r="F67" i="60"/>
  <c r="A67" i="60"/>
  <c r="A66" i="60"/>
  <c r="A65" i="60"/>
  <c r="A64" i="60"/>
  <c r="F63" i="60"/>
  <c r="A63" i="60"/>
  <c r="A62" i="60"/>
  <c r="F61" i="60"/>
  <c r="A61" i="60"/>
  <c r="A60" i="60"/>
  <c r="F59" i="60"/>
  <c r="A59" i="60"/>
  <c r="A58" i="60"/>
  <c r="F57" i="60"/>
  <c r="A57" i="60"/>
  <c r="A56" i="60"/>
  <c r="F55" i="60"/>
  <c r="A55" i="60"/>
  <c r="A54" i="60"/>
  <c r="A53" i="60"/>
  <c r="A52" i="60"/>
  <c r="F51" i="60"/>
  <c r="A51" i="60"/>
  <c r="A50" i="60"/>
  <c r="F49" i="60"/>
  <c r="A49" i="60"/>
  <c r="A48" i="60"/>
  <c r="F47" i="60"/>
  <c r="A47" i="60"/>
  <c r="A46" i="60"/>
  <c r="F45" i="60"/>
  <c r="A45" i="60"/>
  <c r="F43" i="60"/>
  <c r="E371" i="56" l="1"/>
  <c r="E508" i="56" s="1"/>
  <c r="E347" i="56"/>
  <c r="E411" i="56"/>
  <c r="E383" i="56"/>
  <c r="E413" i="56" s="1"/>
  <c r="F75" i="60"/>
  <c r="A133" i="58"/>
  <c r="A132" i="58"/>
  <c r="A131" i="58"/>
  <c r="A130" i="58"/>
  <c r="A129" i="58"/>
  <c r="A128" i="58"/>
  <c r="A127" i="58"/>
  <c r="A126" i="58"/>
  <c r="A125" i="58"/>
  <c r="A124" i="58"/>
  <c r="A123" i="58"/>
  <c r="A122" i="58"/>
  <c r="A121" i="58"/>
  <c r="A119" i="58"/>
  <c r="A118" i="58"/>
  <c r="A117" i="58"/>
  <c r="A116" i="58"/>
  <c r="A115" i="58"/>
  <c r="A114" i="58"/>
  <c r="A93" i="58"/>
  <c r="A89" i="58"/>
  <c r="F87" i="58"/>
  <c r="A87" i="58"/>
  <c r="A86" i="58"/>
  <c r="A85" i="58"/>
  <c r="F84" i="58"/>
  <c r="A84" i="58"/>
  <c r="A83" i="58"/>
  <c r="A82" i="58"/>
  <c r="F81" i="58"/>
  <c r="A81" i="58"/>
  <c r="A80" i="58"/>
  <c r="A78" i="58"/>
  <c r="A76" i="58"/>
  <c r="A75" i="58"/>
  <c r="A74" i="58"/>
  <c r="A73" i="58"/>
  <c r="F72" i="58"/>
  <c r="A72" i="58"/>
  <c r="F70" i="58"/>
  <c r="A70" i="58"/>
  <c r="F68" i="58"/>
  <c r="A68" i="58"/>
  <c r="A67" i="58"/>
  <c r="F66" i="58"/>
  <c r="F64" i="58"/>
  <c r="F62" i="58"/>
  <c r="A62" i="58"/>
  <c r="A61" i="58"/>
  <c r="F60" i="58"/>
  <c r="A60" i="58"/>
  <c r="A59" i="58"/>
  <c r="F58" i="58"/>
  <c r="A58" i="58"/>
  <c r="A57" i="58"/>
  <c r="F56" i="58"/>
  <c r="A56" i="58"/>
  <c r="F54" i="58"/>
  <c r="A54" i="58"/>
  <c r="A53" i="58"/>
  <c r="F52" i="58"/>
  <c r="A52" i="58"/>
  <c r="E415" i="56" l="1"/>
  <c r="E448" i="56"/>
  <c r="F89" i="58"/>
  <c r="A97" i="57"/>
  <c r="F94" i="57"/>
  <c r="A94" i="57"/>
  <c r="A93" i="57"/>
  <c r="A92" i="57"/>
  <c r="F91" i="57"/>
  <c r="A91" i="57"/>
  <c r="A90" i="57"/>
  <c r="A89" i="57"/>
  <c r="F88" i="57"/>
  <c r="A88" i="57"/>
  <c r="A87" i="57"/>
  <c r="A86" i="57"/>
  <c r="A85" i="57"/>
  <c r="A84" i="57"/>
  <c r="F83" i="57"/>
  <c r="A83" i="57"/>
  <c r="A82" i="57"/>
  <c r="F81" i="57"/>
  <c r="A81" i="57"/>
  <c r="A80" i="57"/>
  <c r="F79" i="57"/>
  <c r="A79" i="57"/>
  <c r="A78" i="57"/>
  <c r="F77" i="57"/>
  <c r="A77" i="57"/>
  <c r="A76" i="57"/>
  <c r="F75" i="57"/>
  <c r="A75" i="57"/>
  <c r="A74" i="57"/>
  <c r="F73" i="57"/>
  <c r="A73" i="57"/>
  <c r="A72" i="57"/>
  <c r="A71" i="57"/>
  <c r="A70" i="57"/>
  <c r="F69" i="57"/>
  <c r="A69" i="57"/>
  <c r="A68" i="57"/>
  <c r="F67" i="57"/>
  <c r="A67" i="57"/>
  <c r="F96" i="57" l="1"/>
  <c r="F506" i="56"/>
  <c r="F504" i="56"/>
  <c r="F502" i="56"/>
  <c r="F500" i="56"/>
  <c r="F467" i="56"/>
  <c r="F465" i="56"/>
  <c r="F463" i="56"/>
  <c r="F461" i="56"/>
  <c r="F459" i="56"/>
  <c r="F434" i="56"/>
  <c r="F432" i="56"/>
  <c r="F430" i="56"/>
  <c r="F428" i="56"/>
  <c r="F399" i="56"/>
  <c r="F397" i="56"/>
  <c r="F395" i="56"/>
  <c r="F394" i="56"/>
  <c r="F392" i="56"/>
  <c r="A353" i="56"/>
  <c r="F369" i="56"/>
  <c r="F367" i="56"/>
  <c r="F365" i="56"/>
  <c r="F363" i="56"/>
  <c r="F361" i="56"/>
  <c r="F359" i="56"/>
  <c r="A351" i="56"/>
  <c r="F317" i="56"/>
  <c r="A586" i="56"/>
  <c r="A585" i="56"/>
  <c r="F584" i="56"/>
  <c r="A583" i="56"/>
  <c r="A582" i="56"/>
  <c r="F581" i="56"/>
  <c r="A580" i="56"/>
  <c r="A579" i="56"/>
  <c r="F578" i="56"/>
  <c r="A577" i="56"/>
  <c r="A576" i="56"/>
  <c r="F575" i="56"/>
  <c r="A574" i="56"/>
  <c r="A573" i="56"/>
  <c r="F572" i="56"/>
  <c r="A571" i="56"/>
  <c r="F570" i="56"/>
  <c r="A569" i="56"/>
  <c r="F568" i="56"/>
  <c r="F566" i="56"/>
  <c r="A565" i="56"/>
  <c r="F564" i="56"/>
  <c r="F563" i="56"/>
  <c r="F562" i="56"/>
  <c r="F561" i="56"/>
  <c r="F560" i="56"/>
  <c r="A559" i="56"/>
  <c r="F558" i="56"/>
  <c r="A558" i="56"/>
  <c r="A557" i="56"/>
  <c r="F556" i="56"/>
  <c r="A555" i="56"/>
  <c r="F554" i="56"/>
  <c r="A553" i="56"/>
  <c r="F552" i="56"/>
  <c r="A551" i="56"/>
  <c r="A550" i="56"/>
  <c r="F546" i="56"/>
  <c r="A545" i="56"/>
  <c r="A544" i="56"/>
  <c r="F543" i="56"/>
  <c r="A542" i="56"/>
  <c r="A541" i="56"/>
  <c r="A540" i="56"/>
  <c r="A539" i="56"/>
  <c r="C538" i="56"/>
  <c r="F538" i="56" s="1"/>
  <c r="A537" i="56"/>
  <c r="C536" i="56"/>
  <c r="F536" i="56" s="1"/>
  <c r="A535" i="56"/>
  <c r="A533" i="56"/>
  <c r="A531" i="56"/>
  <c r="A530" i="56"/>
  <c r="A527" i="56"/>
  <c r="A525" i="56"/>
  <c r="C524" i="56"/>
  <c r="A523" i="56"/>
  <c r="C522" i="56"/>
  <c r="A521" i="56"/>
  <c r="A519" i="56"/>
  <c r="A517" i="56"/>
  <c r="A515" i="56"/>
  <c r="A513" i="56"/>
  <c r="A512" i="56"/>
  <c r="A511" i="56"/>
  <c r="C510" i="56"/>
  <c r="A509" i="56"/>
  <c r="F508" i="56"/>
  <c r="A494" i="56"/>
  <c r="A492" i="56"/>
  <c r="A490" i="56"/>
  <c r="C489" i="56"/>
  <c r="A488" i="56"/>
  <c r="E487" i="56"/>
  <c r="E520" i="56" s="1"/>
  <c r="F520" i="56" s="1"/>
  <c r="A486" i="56"/>
  <c r="A484" i="56"/>
  <c r="A482" i="56"/>
  <c r="A480" i="56"/>
  <c r="A478" i="56"/>
  <c r="A477" i="56"/>
  <c r="A476" i="56"/>
  <c r="A474" i="56"/>
  <c r="A473" i="56"/>
  <c r="A472" i="56"/>
  <c r="A470" i="56"/>
  <c r="A469" i="56"/>
  <c r="A457" i="56"/>
  <c r="A453" i="56"/>
  <c r="A451" i="56"/>
  <c r="C450" i="56"/>
  <c r="A449" i="56"/>
  <c r="A447" i="56"/>
  <c r="A445" i="56"/>
  <c r="A443" i="56"/>
  <c r="A441" i="56"/>
  <c r="A440" i="56"/>
  <c r="A439" i="56"/>
  <c r="A437" i="56"/>
  <c r="A436" i="56"/>
  <c r="A435" i="56"/>
  <c r="F419" i="56"/>
  <c r="A418" i="56"/>
  <c r="C417" i="56"/>
  <c r="F417" i="56" s="1"/>
  <c r="A416" i="56"/>
  <c r="F415" i="56"/>
  <c r="A414" i="56"/>
  <c r="F413" i="56"/>
  <c r="A412" i="56"/>
  <c r="A410" i="56"/>
  <c r="A408" i="56"/>
  <c r="A406" i="56"/>
  <c r="A405" i="56"/>
  <c r="A404" i="56"/>
  <c r="A402" i="56"/>
  <c r="A401" i="56"/>
  <c r="A388" i="56"/>
  <c r="A386" i="56"/>
  <c r="A384" i="56"/>
  <c r="F383" i="56"/>
  <c r="A382" i="56"/>
  <c r="A380" i="56"/>
  <c r="A378" i="56"/>
  <c r="F377" i="56"/>
  <c r="A376" i="56"/>
  <c r="A375" i="56"/>
  <c r="A374" i="56"/>
  <c r="C373" i="56"/>
  <c r="A372" i="56"/>
  <c r="F371" i="56"/>
  <c r="A354" i="56"/>
  <c r="A352" i="56"/>
  <c r="A350" i="56"/>
  <c r="A348" i="56"/>
  <c r="F347" i="56"/>
  <c r="A347" i="56"/>
  <c r="A346" i="56"/>
  <c r="F345" i="56"/>
  <c r="A345" i="56"/>
  <c r="A344" i="56"/>
  <c r="F343" i="56"/>
  <c r="A343" i="56"/>
  <c r="A342" i="56"/>
  <c r="F341" i="56"/>
  <c r="A341" i="56"/>
  <c r="A340" i="56"/>
  <c r="F339" i="56"/>
  <c r="A339" i="56"/>
  <c r="A338" i="56"/>
  <c r="F337" i="56"/>
  <c r="A337" i="56"/>
  <c r="A336" i="56"/>
  <c r="A335" i="56"/>
  <c r="A334" i="56"/>
  <c r="A333" i="56"/>
  <c r="F331" i="56"/>
  <c r="A331" i="56"/>
  <c r="A330" i="56"/>
  <c r="F329" i="56"/>
  <c r="A329" i="56"/>
  <c r="F327" i="56"/>
  <c r="A327" i="56"/>
  <c r="A326" i="56"/>
  <c r="F325" i="56"/>
  <c r="A325" i="56"/>
  <c r="A324" i="56"/>
  <c r="F323" i="56"/>
  <c r="A323" i="56"/>
  <c r="A322" i="56"/>
  <c r="F321" i="56"/>
  <c r="A321" i="56"/>
  <c r="A320" i="56"/>
  <c r="F319" i="56"/>
  <c r="A319" i="56"/>
  <c r="A318" i="56"/>
  <c r="A317" i="56"/>
  <c r="A316" i="56"/>
  <c r="F315" i="56"/>
  <c r="A315" i="56"/>
  <c r="A314" i="56"/>
  <c r="F313" i="56"/>
  <c r="A313" i="56"/>
  <c r="A312" i="56"/>
  <c r="F311" i="56"/>
  <c r="A311" i="56"/>
  <c r="A310" i="56"/>
  <c r="F309" i="56"/>
  <c r="A309" i="56"/>
  <c r="A308" i="56"/>
  <c r="F307" i="56"/>
  <c r="A307" i="56"/>
  <c r="A306" i="56"/>
  <c r="F305" i="56"/>
  <c r="A305" i="56"/>
  <c r="A304" i="56"/>
  <c r="F303" i="56"/>
  <c r="A303" i="56"/>
  <c r="A302" i="56"/>
  <c r="F301" i="56"/>
  <c r="A301" i="56"/>
  <c r="A300" i="56"/>
  <c r="F299" i="56"/>
  <c r="A299" i="56"/>
  <c r="A298" i="56"/>
  <c r="F297" i="56"/>
  <c r="A297" i="56"/>
  <c r="A296" i="56"/>
  <c r="F295" i="56"/>
  <c r="A295" i="56"/>
  <c r="A294" i="56"/>
  <c r="F293" i="56"/>
  <c r="A293" i="56"/>
  <c r="A292" i="56"/>
  <c r="A291" i="56"/>
  <c r="A290" i="56"/>
  <c r="F288" i="56"/>
  <c r="A288" i="56"/>
  <c r="A287" i="56"/>
  <c r="F286" i="56"/>
  <c r="A286" i="56"/>
  <c r="A285" i="56"/>
  <c r="F284" i="56"/>
  <c r="A284" i="56"/>
  <c r="A283" i="56"/>
  <c r="F282" i="56"/>
  <c r="A282" i="56"/>
  <c r="A281" i="56"/>
  <c r="A280" i="56"/>
  <c r="A279" i="56"/>
  <c r="A278" i="56"/>
  <c r="A277" i="56"/>
  <c r="A276" i="56"/>
  <c r="A275" i="56"/>
  <c r="A274" i="56"/>
  <c r="A273" i="56"/>
  <c r="A272" i="56"/>
  <c r="A271" i="56"/>
  <c r="F270" i="56"/>
  <c r="A270" i="56"/>
  <c r="A269" i="56"/>
  <c r="A268" i="56"/>
  <c r="A267" i="56"/>
  <c r="A266" i="56"/>
  <c r="A265" i="56"/>
  <c r="A264" i="56"/>
  <c r="A263" i="56"/>
  <c r="A262" i="56"/>
  <c r="F261" i="56"/>
  <c r="A261" i="56"/>
  <c r="A260" i="56"/>
  <c r="A259" i="56"/>
  <c r="A258" i="56"/>
  <c r="A257" i="56"/>
  <c r="A256" i="56"/>
  <c r="A255" i="56"/>
  <c r="A254" i="56"/>
  <c r="A253" i="56"/>
  <c r="F252" i="56"/>
  <c r="A252" i="56"/>
  <c r="A251" i="56"/>
  <c r="A250" i="56"/>
  <c r="A249" i="56"/>
  <c r="A248" i="56"/>
  <c r="A247" i="56"/>
  <c r="A246" i="56"/>
  <c r="A245" i="56"/>
  <c r="A244" i="56"/>
  <c r="F243" i="56"/>
  <c r="A243" i="56"/>
  <c r="A242" i="56"/>
  <c r="A241" i="56"/>
  <c r="A240" i="56"/>
  <c r="A239" i="56"/>
  <c r="A238" i="56"/>
  <c r="F237" i="56"/>
  <c r="A237" i="56"/>
  <c r="A236" i="56"/>
  <c r="A235" i="56"/>
  <c r="A234" i="56"/>
  <c r="A233" i="56"/>
  <c r="A232" i="56"/>
  <c r="A231" i="56"/>
  <c r="A230" i="56"/>
  <c r="A229" i="56"/>
  <c r="A228" i="56"/>
  <c r="A227" i="56"/>
  <c r="F226" i="56"/>
  <c r="A226" i="56"/>
  <c r="A225" i="56"/>
  <c r="A224" i="56"/>
  <c r="A223" i="56"/>
  <c r="A222" i="56"/>
  <c r="A221" i="56"/>
  <c r="A220" i="56"/>
  <c r="A219" i="56"/>
  <c r="A218" i="56"/>
  <c r="A217" i="56"/>
  <c r="F216" i="56"/>
  <c r="A216" i="56"/>
  <c r="A215" i="56"/>
  <c r="A214" i="56"/>
  <c r="A213" i="56"/>
  <c r="A212" i="56"/>
  <c r="A211" i="56"/>
  <c r="A210" i="56"/>
  <c r="A209" i="56"/>
  <c r="F208" i="56"/>
  <c r="A208" i="56"/>
  <c r="A207" i="56"/>
  <c r="A206" i="56"/>
  <c r="A205" i="56"/>
  <c r="A204" i="56"/>
  <c r="A203" i="56"/>
  <c r="A202" i="56"/>
  <c r="A201" i="56"/>
  <c r="A200" i="56"/>
  <c r="A199" i="56"/>
  <c r="F198" i="56"/>
  <c r="A198" i="56"/>
  <c r="A197" i="56"/>
  <c r="A196" i="56"/>
  <c r="A195" i="56"/>
  <c r="A194" i="56"/>
  <c r="A193" i="56"/>
  <c r="A192" i="56"/>
  <c r="A191" i="56"/>
  <c r="F190" i="56"/>
  <c r="A190" i="56"/>
  <c r="A189" i="56"/>
  <c r="A188" i="56"/>
  <c r="A187" i="56"/>
  <c r="A186" i="56"/>
  <c r="A185" i="56"/>
  <c r="A184" i="56"/>
  <c r="A183" i="56"/>
  <c r="A182" i="56"/>
  <c r="A181" i="56"/>
  <c r="F180" i="56"/>
  <c r="A180" i="56"/>
  <c r="A179" i="56"/>
  <c r="A178" i="56"/>
  <c r="A177" i="56"/>
  <c r="A176" i="56"/>
  <c r="A175" i="56"/>
  <c r="A174" i="56"/>
  <c r="A173" i="56"/>
  <c r="F172" i="56"/>
  <c r="A172" i="56"/>
  <c r="A171" i="56"/>
  <c r="A170" i="56"/>
  <c r="A169" i="56"/>
  <c r="A168" i="56"/>
  <c r="A167" i="56"/>
  <c r="A166" i="56"/>
  <c r="A165" i="56"/>
  <c r="A164" i="56"/>
  <c r="F163" i="56"/>
  <c r="A163" i="56"/>
  <c r="A162" i="56"/>
  <c r="A161" i="56"/>
  <c r="A160" i="56"/>
  <c r="A159" i="56"/>
  <c r="A158" i="56"/>
  <c r="A157" i="56"/>
  <c r="A156" i="56"/>
  <c r="A155" i="56"/>
  <c r="A154" i="56"/>
  <c r="F153" i="56"/>
  <c r="A153" i="56"/>
  <c r="A152" i="56"/>
  <c r="A151" i="56"/>
  <c r="A150" i="56"/>
  <c r="A149" i="56"/>
  <c r="A148" i="56"/>
  <c r="A147" i="56"/>
  <c r="A146" i="56"/>
  <c r="A145" i="56"/>
  <c r="A144" i="56"/>
  <c r="A143" i="56"/>
  <c r="A142" i="56"/>
  <c r="A141" i="56"/>
  <c r="A140" i="56"/>
  <c r="A139" i="56"/>
  <c r="A138" i="56"/>
  <c r="A137" i="56"/>
  <c r="A136" i="56"/>
  <c r="A135" i="56"/>
  <c r="A134" i="56"/>
  <c r="F133" i="56"/>
  <c r="A133" i="56"/>
  <c r="F510" i="56" l="1"/>
  <c r="F498" i="56"/>
  <c r="F373" i="56"/>
  <c r="F491" i="56"/>
  <c r="A448" i="56"/>
  <c r="F487" i="56"/>
  <c r="F489" i="56"/>
  <c r="A349" i="56"/>
  <c r="A452" i="56"/>
  <c r="F403" i="56"/>
  <c r="F495" i="56"/>
  <c r="F355" i="56"/>
  <c r="E446" i="56"/>
  <c r="F411" i="56"/>
  <c r="F493" i="56"/>
  <c r="C528" i="56"/>
  <c r="F379" i="56"/>
  <c r="F381" i="56"/>
  <c r="A421" i="56"/>
  <c r="F450" i="56"/>
  <c r="F522" i="56"/>
  <c r="F524" i="56"/>
  <c r="C526" i="56"/>
  <c r="A389" i="56"/>
  <c r="A377" i="56"/>
  <c r="A379" i="56"/>
  <c r="A381" i="56"/>
  <c r="A383" i="56"/>
  <c r="A407" i="56"/>
  <c r="A409" i="56"/>
  <c r="A411" i="56"/>
  <c r="A413" i="56"/>
  <c r="A415" i="56"/>
  <c r="A444" i="56"/>
  <c r="A446" i="56" l="1"/>
  <c r="A520" i="56"/>
  <c r="A442" i="56"/>
  <c r="F425" i="56"/>
  <c r="A450" i="56"/>
  <c r="A516" i="56"/>
  <c r="A561" i="56"/>
  <c r="A475" i="56"/>
  <c r="A491" i="56"/>
  <c r="A524" i="56"/>
  <c r="A538" i="56"/>
  <c r="A483" i="56"/>
  <c r="A575" i="56"/>
  <c r="A518" i="56"/>
  <c r="A556" i="56"/>
  <c r="A536" i="56"/>
  <c r="A489" i="56"/>
  <c r="A481" i="56"/>
  <c r="A403" i="56"/>
  <c r="E485" i="56"/>
  <c r="F485" i="56" s="1"/>
  <c r="F448" i="56"/>
  <c r="A417" i="56"/>
  <c r="E483" i="56"/>
  <c r="E534" i="56" s="1"/>
  <c r="F446" i="56"/>
  <c r="A495" i="56"/>
  <c r="F407" i="56"/>
  <c r="A572" i="56"/>
  <c r="A581" i="56"/>
  <c r="A566" i="56"/>
  <c r="A570" i="56"/>
  <c r="A562" i="56"/>
  <c r="A552" i="56"/>
  <c r="A543" i="56"/>
  <c r="A564" i="56"/>
  <c r="A560" i="56"/>
  <c r="A546" i="56"/>
  <c r="F353" i="56"/>
  <c r="A423" i="56"/>
  <c r="A526" i="56"/>
  <c r="F526" i="56"/>
  <c r="A534" i="56"/>
  <c r="A510" i="56"/>
  <c r="A487" i="56"/>
  <c r="A479" i="56"/>
  <c r="A438" i="56"/>
  <c r="A373" i="56"/>
  <c r="A493" i="56"/>
  <c r="A387" i="56"/>
  <c r="A584" i="56"/>
  <c r="A454" i="56"/>
  <c r="A578" i="56"/>
  <c r="A554" i="56"/>
  <c r="A514" i="56"/>
  <c r="A563" i="56"/>
  <c r="A371" i="56"/>
  <c r="A568" i="56"/>
  <c r="A532" i="56"/>
  <c r="A508" i="56"/>
  <c r="A485" i="56"/>
  <c r="A471" i="56"/>
  <c r="A528" i="56"/>
  <c r="F528" i="56"/>
  <c r="A522" i="56"/>
  <c r="A355" i="56"/>
  <c r="A419" i="56"/>
  <c r="A385" i="56"/>
  <c r="A425" i="56"/>
  <c r="F483" i="56" l="1"/>
  <c r="F534" i="56"/>
  <c r="E518" i="56"/>
  <c r="F518" i="56" s="1"/>
  <c r="F409" i="56"/>
  <c r="F67" i="32"/>
  <c r="F69" i="32" s="1"/>
  <c r="F71" i="32" s="1"/>
  <c r="C15" i="32"/>
  <c r="F438" i="56" l="1"/>
  <c r="F442" i="56" l="1"/>
  <c r="E444" i="56"/>
  <c r="F444" i="56" s="1"/>
  <c r="G12" i="32"/>
  <c r="G18" i="32"/>
  <c r="F471" i="56" l="1"/>
  <c r="E479" i="56" l="1"/>
  <c r="F475" i="56"/>
  <c r="F49" i="32"/>
  <c r="E47" i="32"/>
  <c r="F479" i="56" l="1"/>
  <c r="E481" i="56"/>
  <c r="E514" i="56" s="1"/>
  <c r="F481" i="56" l="1"/>
  <c r="J6" i="44"/>
  <c r="K269" i="30"/>
  <c r="E516" i="56" l="1"/>
  <c r="E532" i="56" s="1"/>
  <c r="F514" i="56"/>
  <c r="F532" i="56" l="1"/>
  <c r="F516" i="56"/>
  <c r="F586" i="56" l="1"/>
  <c r="L209" i="30" l="1"/>
  <c r="Q1595" i="12"/>
  <c r="R1565" i="12"/>
  <c r="Q1537" i="12"/>
  <c r="K275" i="30" l="1"/>
  <c r="K273" i="30"/>
  <c r="K274" i="30" l="1"/>
  <c r="M138" i="30"/>
  <c r="R441" i="12" l="1"/>
  <c r="K3" i="12" l="1"/>
  <c r="B239" i="22" l="1"/>
  <c r="B240" i="22" s="1"/>
  <c r="L205" i="22"/>
  <c r="C96" i="32" l="1"/>
  <c r="E27" i="45"/>
  <c r="E26" i="45"/>
  <c r="E23" i="45"/>
  <c r="E19" i="45"/>
  <c r="F27" i="45"/>
  <c r="F26" i="45"/>
  <c r="F25" i="35"/>
  <c r="F22" i="35"/>
  <c r="E300" i="27"/>
  <c r="F300" i="27" s="1"/>
  <c r="E316" i="27"/>
  <c r="F316" i="27" s="1"/>
  <c r="E311" i="27"/>
  <c r="F311" i="27" s="1"/>
  <c r="E302" i="27"/>
  <c r="E298" i="27"/>
  <c r="E292" i="27"/>
  <c r="E267" i="27"/>
  <c r="E194" i="27"/>
  <c r="F192" i="27"/>
  <c r="E190" i="27"/>
  <c r="F185" i="27"/>
  <c r="E139" i="27"/>
  <c r="F60" i="27"/>
  <c r="F62" i="27"/>
  <c r="E282" i="30" l="1"/>
  <c r="E283" i="30" s="1"/>
  <c r="E284" i="30" s="1"/>
  <c r="O12" i="44" l="1"/>
  <c r="O15" i="44" s="1"/>
  <c r="O16" i="44" s="1"/>
  <c r="N12" i="44"/>
  <c r="P12" i="44" s="1"/>
  <c r="E13" i="35" l="1"/>
  <c r="E19" i="35"/>
  <c r="E10" i="35"/>
  <c r="E4" i="35"/>
  <c r="E7" i="35"/>
  <c r="F19" i="35"/>
  <c r="E16" i="35"/>
  <c r="H13" i="35"/>
  <c r="F13" i="35"/>
  <c r="F16" i="35" l="1"/>
  <c r="F10" i="54"/>
  <c r="F12" i="54" s="1"/>
  <c r="G45" i="54"/>
  <c r="G44" i="54"/>
  <c r="D44" i="54"/>
  <c r="D45" i="54" s="1"/>
  <c r="I45" i="54" s="1"/>
  <c r="D50" i="54" l="1"/>
  <c r="D49" i="54"/>
  <c r="D48" i="54"/>
  <c r="S12" i="44"/>
  <c r="S13" i="44" s="1"/>
  <c r="S16" i="44" s="1"/>
  <c r="S17" i="44" s="1"/>
  <c r="S18" i="44" s="1"/>
  <c r="F4" i="35"/>
  <c r="F10" i="35"/>
  <c r="J4" i="35"/>
  <c r="K4" i="35" s="1"/>
  <c r="L4" i="35" s="1"/>
  <c r="A3" i="35"/>
  <c r="A6" i="35" s="1"/>
  <c r="A9" i="35" s="1"/>
  <c r="A12" i="35" s="1"/>
  <c r="A15" i="35" s="1"/>
  <c r="A18" i="35" s="1"/>
  <c r="A21" i="35" s="1"/>
  <c r="A24" i="35" s="1"/>
  <c r="F7" i="35" l="1"/>
  <c r="F27" i="35" s="1"/>
  <c r="E242" i="30" l="1"/>
  <c r="E131" i="30"/>
  <c r="E251" i="30" l="1"/>
  <c r="E252" i="30" s="1"/>
  <c r="E257" i="30" s="1"/>
  <c r="E243" i="30"/>
  <c r="E244" i="30" s="1"/>
  <c r="E132" i="30"/>
  <c r="E138" i="30" s="1"/>
  <c r="F138" i="30" s="1"/>
  <c r="E136" i="30"/>
  <c r="E83" i="30"/>
  <c r="E88" i="30" s="1"/>
  <c r="F88" i="30" l="1"/>
  <c r="E89" i="30"/>
  <c r="E25" i="30"/>
  <c r="F244" i="30"/>
  <c r="E245" i="30"/>
  <c r="E258" i="30"/>
  <c r="E253" i="30"/>
  <c r="E133" i="30"/>
  <c r="E139" i="30" s="1"/>
  <c r="F139" i="30" s="1"/>
  <c r="E137" i="30"/>
  <c r="F137" i="30" s="1"/>
  <c r="E212" i="30"/>
  <c r="E214" i="30" s="1"/>
  <c r="F89" i="30" l="1"/>
  <c r="E90" i="30"/>
  <c r="E76" i="30"/>
  <c r="F253" i="30"/>
  <c r="E254" i="30"/>
  <c r="F245" i="30"/>
  <c r="E246" i="30"/>
  <c r="E259" i="30"/>
  <c r="E263" i="30"/>
  <c r="F90" i="30" l="1"/>
  <c r="E91" i="30"/>
  <c r="E77" i="30"/>
  <c r="E78" i="30" s="1"/>
  <c r="E79" i="30" s="1"/>
  <c r="E80" i="30" s="1"/>
  <c r="E95" i="30" s="1"/>
  <c r="E207" i="30"/>
  <c r="E209" i="30" s="1"/>
  <c r="F197" i="30"/>
  <c r="E264" i="30"/>
  <c r="F263" i="30"/>
  <c r="E260" i="30"/>
  <c r="F259" i="30"/>
  <c r="F246" i="30"/>
  <c r="E247" i="30"/>
  <c r="E134" i="30"/>
  <c r="E92" i="30" l="1"/>
  <c r="F92" i="30" s="1"/>
  <c r="F91" i="30"/>
  <c r="E102" i="30"/>
  <c r="E108" i="30"/>
  <c r="E97" i="30"/>
  <c r="F209" i="30"/>
  <c r="F198" i="30"/>
  <c r="F247" i="30"/>
  <c r="E248" i="30"/>
  <c r="F248" i="30" s="1"/>
  <c r="E268" i="30"/>
  <c r="F264" i="30"/>
  <c r="E265" i="30"/>
  <c r="E140" i="30"/>
  <c r="Q23" i="16" l="1"/>
  <c r="O23" i="16"/>
  <c r="N21" i="16"/>
  <c r="N22" i="16" s="1"/>
  <c r="E99" i="30"/>
  <c r="E104" i="30" s="1"/>
  <c r="E103" i="30"/>
  <c r="E109" i="30"/>
  <c r="E269" i="30"/>
  <c r="F268" i="30"/>
  <c r="E266" i="30"/>
  <c r="F265" i="30"/>
  <c r="V21" i="16" l="1"/>
  <c r="E110" i="30"/>
  <c r="E100" i="30"/>
  <c r="E220" i="30"/>
  <c r="F219" i="30"/>
  <c r="E270" i="30"/>
  <c r="F269" i="30"/>
  <c r="E273" i="30"/>
  <c r="V23" i="16" l="1"/>
  <c r="V25" i="16"/>
  <c r="E221" i="30"/>
  <c r="F100" i="30"/>
  <c r="F220" i="30"/>
  <c r="F273" i="30"/>
  <c r="E274" i="30"/>
  <c r="F270" i="30"/>
  <c r="E105" i="30" l="1"/>
  <c r="F221" i="30"/>
  <c r="E275" i="30"/>
  <c r="F274" i="30"/>
  <c r="E276" i="30" l="1"/>
  <c r="F276" i="30" s="1"/>
  <c r="F275" i="30"/>
  <c r="D43" i="19"/>
  <c r="D45" i="19" s="1"/>
  <c r="D59" i="19" l="1"/>
  <c r="D60" i="19" s="1"/>
  <c r="D47" i="19"/>
  <c r="J2" i="16"/>
  <c r="K5681" i="52"/>
  <c r="L5681" i="52" s="1"/>
  <c r="M5681" i="52" s="1"/>
  <c r="K5680" i="52"/>
  <c r="L5680" i="52" s="1"/>
  <c r="M5680" i="52" s="1"/>
  <c r="K5679" i="52"/>
  <c r="L5679" i="52" s="1"/>
  <c r="M5679" i="52" s="1"/>
  <c r="K5678" i="52"/>
  <c r="L5678" i="52" s="1"/>
  <c r="M5678" i="52" s="1"/>
  <c r="K5677" i="52"/>
  <c r="L5677" i="52" s="1"/>
  <c r="M5677" i="52" s="1"/>
  <c r="K5676" i="52"/>
  <c r="L5676" i="52" s="1"/>
  <c r="M5676" i="52" s="1"/>
  <c r="K5675" i="52"/>
  <c r="L5675" i="52" s="1"/>
  <c r="M5675" i="52" s="1"/>
  <c r="K5674" i="52"/>
  <c r="L5674" i="52" s="1"/>
  <c r="M5674" i="52" s="1"/>
  <c r="L5673" i="52"/>
  <c r="M5673" i="52" s="1"/>
  <c r="K5673" i="52"/>
  <c r="K5672" i="52"/>
  <c r="L5672" i="52" s="1"/>
  <c r="M5672" i="52" s="1"/>
  <c r="K5671" i="52"/>
  <c r="L5671" i="52" s="1"/>
  <c r="M5671" i="52" s="1"/>
  <c r="K5670" i="52"/>
  <c r="L5670" i="52" s="1"/>
  <c r="M5670" i="52" s="1"/>
  <c r="K5669" i="52"/>
  <c r="L5669" i="52" s="1"/>
  <c r="M5669" i="52" s="1"/>
  <c r="K5668" i="52"/>
  <c r="L5668" i="52" s="1"/>
  <c r="M5668" i="52" s="1"/>
  <c r="K5667" i="52"/>
  <c r="L5667" i="52" s="1"/>
  <c r="M5667" i="52" s="1"/>
  <c r="M5666" i="52"/>
  <c r="K5666" i="52"/>
  <c r="L5666" i="52" s="1"/>
  <c r="K5665" i="52"/>
  <c r="L5665" i="52" s="1"/>
  <c r="M5665" i="52" s="1"/>
  <c r="K5664" i="52"/>
  <c r="L5664" i="52" s="1"/>
  <c r="M5664" i="52" s="1"/>
  <c r="L5663" i="52"/>
  <c r="M5663" i="52" s="1"/>
  <c r="K5663" i="52"/>
  <c r="K5662" i="52"/>
  <c r="L5662" i="52" s="1"/>
  <c r="M5662" i="52" s="1"/>
  <c r="L5661" i="52"/>
  <c r="M5661" i="52" s="1"/>
  <c r="K5661" i="52"/>
  <c r="L5660" i="52"/>
  <c r="M5660" i="52" s="1"/>
  <c r="K5660" i="52"/>
  <c r="K5659" i="52"/>
  <c r="L5659" i="52" s="1"/>
  <c r="M5659" i="52" s="1"/>
  <c r="M5658" i="52"/>
  <c r="K5658" i="52"/>
  <c r="L5658" i="52" s="1"/>
  <c r="L5657" i="52"/>
  <c r="M5657" i="52" s="1"/>
  <c r="K5657" i="52"/>
  <c r="K5656" i="52"/>
  <c r="L5656" i="52" s="1"/>
  <c r="M5656" i="52" s="1"/>
  <c r="K5655" i="52"/>
  <c r="L5655" i="52" s="1"/>
  <c r="M5655" i="52" s="1"/>
  <c r="K5654" i="52"/>
  <c r="L5654" i="52" s="1"/>
  <c r="M5654" i="52" s="1"/>
  <c r="M5653" i="52"/>
  <c r="K5653" i="52"/>
  <c r="L5653" i="52" s="1"/>
  <c r="L5652" i="52"/>
  <c r="M5652" i="52" s="1"/>
  <c r="K5652" i="52"/>
  <c r="K5651" i="52"/>
  <c r="L5651" i="52" s="1"/>
  <c r="M5651" i="52" s="1"/>
  <c r="K5650" i="52"/>
  <c r="L5650" i="52" s="1"/>
  <c r="M5650" i="52" s="1"/>
  <c r="K5649" i="52"/>
  <c r="L5649" i="52" s="1"/>
  <c r="M5649" i="52" s="1"/>
  <c r="K5648" i="52"/>
  <c r="L5648" i="52" s="1"/>
  <c r="M5648" i="52" s="1"/>
  <c r="L5647" i="52"/>
  <c r="M5647" i="52" s="1"/>
  <c r="K5647" i="52"/>
  <c r="K5646" i="52"/>
  <c r="L5646" i="52" s="1"/>
  <c r="M5646" i="52" s="1"/>
  <c r="K5645" i="52"/>
  <c r="L5645" i="52" s="1"/>
  <c r="M5645" i="52" s="1"/>
  <c r="K5644" i="52"/>
  <c r="L5644" i="52" s="1"/>
  <c r="M5644" i="52" s="1"/>
  <c r="K5643" i="52"/>
  <c r="L5643" i="52" s="1"/>
  <c r="M5643" i="52" s="1"/>
  <c r="K5642" i="52"/>
  <c r="L5642" i="52" s="1"/>
  <c r="M5642" i="52" s="1"/>
  <c r="K5641" i="52"/>
  <c r="L5641" i="52" s="1"/>
  <c r="M5641" i="52" s="1"/>
  <c r="K5640" i="52"/>
  <c r="L5640" i="52" s="1"/>
  <c r="M5640" i="52" s="1"/>
  <c r="K5639" i="52"/>
  <c r="L5639" i="52" s="1"/>
  <c r="M5639" i="52" s="1"/>
  <c r="K5638" i="52"/>
  <c r="L5638" i="52" s="1"/>
  <c r="M5638" i="52" s="1"/>
  <c r="L5637" i="52"/>
  <c r="M5637" i="52" s="1"/>
  <c r="K5637" i="52"/>
  <c r="K5636" i="52"/>
  <c r="L5636" i="52" s="1"/>
  <c r="M5636" i="52" s="1"/>
  <c r="K5635" i="52"/>
  <c r="L5635" i="52" s="1"/>
  <c r="M5635" i="52" s="1"/>
  <c r="K5634" i="52"/>
  <c r="L5634" i="52" s="1"/>
  <c r="M5634" i="52" s="1"/>
  <c r="L5633" i="52"/>
  <c r="M5633" i="52" s="1"/>
  <c r="K5633" i="52"/>
  <c r="M5632" i="52"/>
  <c r="K5632" i="52"/>
  <c r="L5632" i="52" s="1"/>
  <c r="K5631" i="52"/>
  <c r="L5631" i="52" s="1"/>
  <c r="M5631" i="52" s="1"/>
  <c r="K5630" i="52"/>
  <c r="L5630" i="52" s="1"/>
  <c r="M5630" i="52" s="1"/>
  <c r="K5629" i="52"/>
  <c r="L5629" i="52" s="1"/>
  <c r="M5629" i="52" s="1"/>
  <c r="L5628" i="52"/>
  <c r="M5628" i="52" s="1"/>
  <c r="K5628" i="52"/>
  <c r="K5627" i="52"/>
  <c r="L5627" i="52" s="1"/>
  <c r="M5627" i="52" s="1"/>
  <c r="K5626" i="52"/>
  <c r="L5626" i="52" s="1"/>
  <c r="M5626" i="52" s="1"/>
  <c r="L5625" i="52"/>
  <c r="M5625" i="52" s="1"/>
  <c r="K5625" i="52"/>
  <c r="K5624" i="52"/>
  <c r="L5624" i="52" s="1"/>
  <c r="M5624" i="52" s="1"/>
  <c r="K5623" i="52"/>
  <c r="L5623" i="52" s="1"/>
  <c r="M5623" i="52" s="1"/>
  <c r="K5622" i="52"/>
  <c r="L5622" i="52" s="1"/>
  <c r="M5622" i="52" s="1"/>
  <c r="K5621" i="52"/>
  <c r="L5621" i="52" s="1"/>
  <c r="M5621" i="52" s="1"/>
  <c r="K5620" i="52"/>
  <c r="L5620" i="52" s="1"/>
  <c r="M5620" i="52" s="1"/>
  <c r="K5619" i="52"/>
  <c r="L5619" i="52" s="1"/>
  <c r="M5619" i="52" s="1"/>
  <c r="K5618" i="52"/>
  <c r="L5618" i="52" s="1"/>
  <c r="M5618" i="52" s="1"/>
  <c r="L5617" i="52"/>
  <c r="M5617" i="52" s="1"/>
  <c r="K5617" i="52"/>
  <c r="K5616" i="52"/>
  <c r="L5616" i="52" s="1"/>
  <c r="M5616" i="52" s="1"/>
  <c r="L5615" i="52"/>
  <c r="M5615" i="52" s="1"/>
  <c r="K5615" i="52"/>
  <c r="K5614" i="52"/>
  <c r="L5614" i="52" s="1"/>
  <c r="M5614" i="52" s="1"/>
  <c r="K5613" i="52"/>
  <c r="L5613" i="52" s="1"/>
  <c r="M5613" i="52" s="1"/>
  <c r="K5612" i="52"/>
  <c r="L5612" i="52" s="1"/>
  <c r="M5612" i="52" s="1"/>
  <c r="K5611" i="52"/>
  <c r="L5611" i="52" s="1"/>
  <c r="M5611" i="52" s="1"/>
  <c r="K5610" i="52"/>
  <c r="L5610" i="52" s="1"/>
  <c r="M5610" i="52" s="1"/>
  <c r="K5609" i="52"/>
  <c r="L5609" i="52" s="1"/>
  <c r="M5609" i="52" s="1"/>
  <c r="K5608" i="52"/>
  <c r="L5608" i="52" s="1"/>
  <c r="M5608" i="52" s="1"/>
  <c r="K5607" i="52"/>
  <c r="L5607" i="52" s="1"/>
  <c r="M5607" i="52" s="1"/>
  <c r="K5606" i="52"/>
  <c r="L5606" i="52" s="1"/>
  <c r="M5606" i="52" s="1"/>
  <c r="L5605" i="52"/>
  <c r="M5605" i="52" s="1"/>
  <c r="K5605" i="52"/>
  <c r="K5604" i="52"/>
  <c r="L5604" i="52" s="1"/>
  <c r="M5604" i="52" s="1"/>
  <c r="K5603" i="52"/>
  <c r="L5603" i="52" s="1"/>
  <c r="M5603" i="52" s="1"/>
  <c r="K5602" i="52"/>
  <c r="L5602" i="52" s="1"/>
  <c r="M5602" i="52" s="1"/>
  <c r="K5601" i="52"/>
  <c r="L5601" i="52" s="1"/>
  <c r="M5601" i="52" s="1"/>
  <c r="M5600" i="52"/>
  <c r="K5600" i="52"/>
  <c r="L5600" i="52" s="1"/>
  <c r="K5599" i="52"/>
  <c r="L5599" i="52" s="1"/>
  <c r="M5599" i="52" s="1"/>
  <c r="K5598" i="52"/>
  <c r="L5598" i="52" s="1"/>
  <c r="M5598" i="52" s="1"/>
  <c r="K5597" i="52"/>
  <c r="L5597" i="52" s="1"/>
  <c r="M5597" i="52" s="1"/>
  <c r="K5596" i="52"/>
  <c r="L5596" i="52" s="1"/>
  <c r="M5596" i="52" s="1"/>
  <c r="K5595" i="52"/>
  <c r="L5595" i="52" s="1"/>
  <c r="M5595" i="52" s="1"/>
  <c r="M5594" i="52"/>
  <c r="K5594" i="52"/>
  <c r="L5594" i="52" s="1"/>
  <c r="K5593" i="52"/>
  <c r="L5593" i="52" s="1"/>
  <c r="M5593" i="52" s="1"/>
  <c r="K5592" i="52"/>
  <c r="L5592" i="52" s="1"/>
  <c r="M5592" i="52" s="1"/>
  <c r="K5591" i="52"/>
  <c r="L5591" i="52" s="1"/>
  <c r="M5591" i="52" s="1"/>
  <c r="K5590" i="52"/>
  <c r="L5590" i="52" s="1"/>
  <c r="M5590" i="52" s="1"/>
  <c r="L5589" i="52"/>
  <c r="M5589" i="52" s="1"/>
  <c r="K5589" i="52"/>
  <c r="K5588" i="52"/>
  <c r="L5588" i="52" s="1"/>
  <c r="M5588" i="52" s="1"/>
  <c r="K5587" i="52"/>
  <c r="L5587" i="52" s="1"/>
  <c r="M5587" i="52" s="1"/>
  <c r="K5586" i="52"/>
  <c r="L5586" i="52" s="1"/>
  <c r="M5586" i="52" s="1"/>
  <c r="K5585" i="52"/>
  <c r="L5585" i="52" s="1"/>
  <c r="M5585" i="52" s="1"/>
  <c r="M5584" i="52"/>
  <c r="K5584" i="52"/>
  <c r="L5584" i="52" s="1"/>
  <c r="L5583" i="52"/>
  <c r="M5583" i="52" s="1"/>
  <c r="K5583" i="52"/>
  <c r="K5582" i="52"/>
  <c r="L5582" i="52" s="1"/>
  <c r="M5582" i="52" s="1"/>
  <c r="K5581" i="52"/>
  <c r="L5581" i="52" s="1"/>
  <c r="M5581" i="52" s="1"/>
  <c r="K5580" i="52"/>
  <c r="L5580" i="52" s="1"/>
  <c r="M5580" i="52" s="1"/>
  <c r="K5579" i="52"/>
  <c r="L5579" i="52" s="1"/>
  <c r="M5579" i="52" s="1"/>
  <c r="K5578" i="52"/>
  <c r="L5578" i="52" s="1"/>
  <c r="M5578" i="52" s="1"/>
  <c r="L5577" i="52"/>
  <c r="M5577" i="52" s="1"/>
  <c r="K5577" i="52"/>
  <c r="K5576" i="52"/>
  <c r="L5576" i="52" s="1"/>
  <c r="M5576" i="52" s="1"/>
  <c r="K5575" i="52"/>
  <c r="L5575" i="52" s="1"/>
  <c r="M5575" i="52" s="1"/>
  <c r="K5574" i="52"/>
  <c r="L5574" i="52" s="1"/>
  <c r="M5574" i="52" s="1"/>
  <c r="K5573" i="52"/>
  <c r="L5573" i="52" s="1"/>
  <c r="M5573" i="52" s="1"/>
  <c r="K5572" i="52"/>
  <c r="L5572" i="52" s="1"/>
  <c r="M5572" i="52" s="1"/>
  <c r="K5571" i="52"/>
  <c r="L5571" i="52" s="1"/>
  <c r="M5571" i="52" s="1"/>
  <c r="K5570" i="52"/>
  <c r="L5570" i="52" s="1"/>
  <c r="M5570" i="52" s="1"/>
  <c r="K5569" i="52"/>
  <c r="L5569" i="52" s="1"/>
  <c r="M5569" i="52" s="1"/>
  <c r="K5568" i="52"/>
  <c r="L5568" i="52" s="1"/>
  <c r="M5568" i="52" s="1"/>
  <c r="K5567" i="52"/>
  <c r="L5567" i="52" s="1"/>
  <c r="M5567" i="52" s="1"/>
  <c r="K5566" i="52"/>
  <c r="L5566" i="52" s="1"/>
  <c r="M5566" i="52" s="1"/>
  <c r="K5565" i="52"/>
  <c r="L5565" i="52" s="1"/>
  <c r="M5565" i="52" s="1"/>
  <c r="K5564" i="52"/>
  <c r="L5564" i="52" s="1"/>
  <c r="M5564" i="52" s="1"/>
  <c r="K5563" i="52"/>
  <c r="L5563" i="52" s="1"/>
  <c r="M5563" i="52" s="1"/>
  <c r="K5562" i="52"/>
  <c r="L5562" i="52" s="1"/>
  <c r="M5562" i="52" s="1"/>
  <c r="L5561" i="52"/>
  <c r="M5561" i="52" s="1"/>
  <c r="K5561" i="52"/>
  <c r="K5560" i="52"/>
  <c r="L5560" i="52" s="1"/>
  <c r="M5560" i="52" s="1"/>
  <c r="K5559" i="52"/>
  <c r="L5559" i="52" s="1"/>
  <c r="M5559" i="52" s="1"/>
  <c r="K5558" i="52"/>
  <c r="L5558" i="52" s="1"/>
  <c r="M5558" i="52" s="1"/>
  <c r="K5557" i="52"/>
  <c r="L5557" i="52" s="1"/>
  <c r="M5557" i="52" s="1"/>
  <c r="K5556" i="52"/>
  <c r="L5556" i="52" s="1"/>
  <c r="M5556" i="52" s="1"/>
  <c r="K5555" i="52"/>
  <c r="L5555" i="52" s="1"/>
  <c r="M5555" i="52" s="1"/>
  <c r="K5554" i="52"/>
  <c r="L5554" i="52" s="1"/>
  <c r="M5554" i="52" s="1"/>
  <c r="K5553" i="52"/>
  <c r="L5553" i="52" s="1"/>
  <c r="M5553" i="52" s="1"/>
  <c r="K5552" i="52"/>
  <c r="L5552" i="52" s="1"/>
  <c r="M5552" i="52" s="1"/>
  <c r="L5551" i="52"/>
  <c r="M5551" i="52" s="1"/>
  <c r="K5551" i="52"/>
  <c r="K5550" i="52"/>
  <c r="L5550" i="52" s="1"/>
  <c r="M5550" i="52" s="1"/>
  <c r="K5549" i="52"/>
  <c r="L5549" i="52" s="1"/>
  <c r="M5549" i="52" s="1"/>
  <c r="K5548" i="52"/>
  <c r="L5548" i="52" s="1"/>
  <c r="M5548" i="52" s="1"/>
  <c r="K5547" i="52"/>
  <c r="L5547" i="52" s="1"/>
  <c r="M5547" i="52" s="1"/>
  <c r="K5546" i="52"/>
  <c r="L5546" i="52" s="1"/>
  <c r="M5546" i="52" s="1"/>
  <c r="L5545" i="52"/>
  <c r="M5545" i="52" s="1"/>
  <c r="K5545" i="52"/>
  <c r="K5544" i="52"/>
  <c r="L5544" i="52" s="1"/>
  <c r="M5544" i="52" s="1"/>
  <c r="K5543" i="52"/>
  <c r="L5543" i="52" s="1"/>
  <c r="M5543" i="52" s="1"/>
  <c r="K5542" i="52"/>
  <c r="L5542" i="52" s="1"/>
  <c r="M5542" i="52" s="1"/>
  <c r="L5541" i="52"/>
  <c r="M5541" i="52" s="1"/>
  <c r="K5541" i="52"/>
  <c r="K5540" i="52"/>
  <c r="L5540" i="52" s="1"/>
  <c r="M5540" i="52" s="1"/>
  <c r="K5539" i="52"/>
  <c r="L5539" i="52" s="1"/>
  <c r="M5539" i="52" s="1"/>
  <c r="K5538" i="52"/>
  <c r="L5538" i="52" s="1"/>
  <c r="M5538" i="52" s="1"/>
  <c r="L5537" i="52"/>
  <c r="M5537" i="52" s="1"/>
  <c r="K5537" i="52"/>
  <c r="M5536" i="52"/>
  <c r="K5536" i="52"/>
  <c r="L5536" i="52" s="1"/>
  <c r="K5535" i="52"/>
  <c r="L5535" i="52" s="1"/>
  <c r="M5535" i="52" s="1"/>
  <c r="K5534" i="52"/>
  <c r="L5534" i="52" s="1"/>
  <c r="M5534" i="52" s="1"/>
  <c r="K5533" i="52"/>
  <c r="L5533" i="52" s="1"/>
  <c r="M5533" i="52" s="1"/>
  <c r="K5532" i="52"/>
  <c r="L5532" i="52" s="1"/>
  <c r="M5532" i="52" s="1"/>
  <c r="K5531" i="52"/>
  <c r="L5531" i="52" s="1"/>
  <c r="M5531" i="52" s="1"/>
  <c r="K5530" i="52"/>
  <c r="L5530" i="52" s="1"/>
  <c r="M5530" i="52" s="1"/>
  <c r="K5529" i="52"/>
  <c r="L5529" i="52" s="1"/>
  <c r="M5529" i="52" s="1"/>
  <c r="K5528" i="52"/>
  <c r="L5528" i="52" s="1"/>
  <c r="M5528" i="52" s="1"/>
  <c r="K5527" i="52"/>
  <c r="L5527" i="52" s="1"/>
  <c r="M5527" i="52" s="1"/>
  <c r="K5526" i="52"/>
  <c r="L5526" i="52" s="1"/>
  <c r="M5526" i="52" s="1"/>
  <c r="L5525" i="52"/>
  <c r="M5525" i="52" s="1"/>
  <c r="K5525" i="52"/>
  <c r="K5524" i="52"/>
  <c r="L5524" i="52" s="1"/>
  <c r="M5524" i="52" s="1"/>
  <c r="K5523" i="52"/>
  <c r="L5523" i="52" s="1"/>
  <c r="M5523" i="52" s="1"/>
  <c r="K5522" i="52"/>
  <c r="L5522" i="52" s="1"/>
  <c r="M5522" i="52" s="1"/>
  <c r="L5521" i="52"/>
  <c r="M5521" i="52" s="1"/>
  <c r="K5521" i="52"/>
  <c r="K5520" i="52"/>
  <c r="L5520" i="52" s="1"/>
  <c r="M5520" i="52" s="1"/>
  <c r="L5519" i="52"/>
  <c r="M5519" i="52" s="1"/>
  <c r="K5519" i="52"/>
  <c r="K5518" i="52"/>
  <c r="L5518" i="52" s="1"/>
  <c r="M5518" i="52" s="1"/>
  <c r="K5517" i="52"/>
  <c r="L5517" i="52" s="1"/>
  <c r="M5517" i="52" s="1"/>
  <c r="K5516" i="52"/>
  <c r="L5516" i="52" s="1"/>
  <c r="M5516" i="52" s="1"/>
  <c r="K5515" i="52"/>
  <c r="L5515" i="52" s="1"/>
  <c r="M5515" i="52" s="1"/>
  <c r="M5514" i="52"/>
  <c r="K5514" i="52"/>
  <c r="L5514" i="52" s="1"/>
  <c r="K5513" i="52"/>
  <c r="L5513" i="52" s="1"/>
  <c r="M5513" i="52" s="1"/>
  <c r="K5512" i="52"/>
  <c r="L5512" i="52" s="1"/>
  <c r="M5512" i="52" s="1"/>
  <c r="L5511" i="52"/>
  <c r="M5511" i="52" s="1"/>
  <c r="K5511" i="52"/>
  <c r="K5510" i="52"/>
  <c r="L5510" i="52" s="1"/>
  <c r="M5510" i="52" s="1"/>
  <c r="K5509" i="52"/>
  <c r="L5509" i="52" s="1"/>
  <c r="M5509" i="52" s="1"/>
  <c r="K5508" i="52"/>
  <c r="L5508" i="52" s="1"/>
  <c r="M5508" i="52" s="1"/>
  <c r="L5507" i="52"/>
  <c r="M5507" i="52" s="1"/>
  <c r="K5507" i="52"/>
  <c r="K5506" i="52"/>
  <c r="L5506" i="52" s="1"/>
  <c r="M5506" i="52" s="1"/>
  <c r="K5505" i="52"/>
  <c r="L5505" i="52" s="1"/>
  <c r="M5505" i="52" s="1"/>
  <c r="L5504" i="52"/>
  <c r="M5504" i="52" s="1"/>
  <c r="K5504" i="52"/>
  <c r="K5503" i="52"/>
  <c r="L5503" i="52" s="1"/>
  <c r="M5503" i="52" s="1"/>
  <c r="K5502" i="52"/>
  <c r="L5502" i="52" s="1"/>
  <c r="M5502" i="52" s="1"/>
  <c r="K5501" i="52"/>
  <c r="L5501" i="52" s="1"/>
  <c r="M5501" i="52" s="1"/>
  <c r="L5500" i="52"/>
  <c r="M5500" i="52" s="1"/>
  <c r="K5500" i="52"/>
  <c r="K5499" i="52"/>
  <c r="L5499" i="52" s="1"/>
  <c r="M5499" i="52" s="1"/>
  <c r="K5498" i="52"/>
  <c r="L5498" i="52" s="1"/>
  <c r="M5498" i="52" s="1"/>
  <c r="K5497" i="52"/>
  <c r="L5497" i="52" s="1"/>
  <c r="M5497" i="52" s="1"/>
  <c r="K5496" i="52"/>
  <c r="L5496" i="52" s="1"/>
  <c r="M5496" i="52" s="1"/>
  <c r="K5495" i="52"/>
  <c r="L5495" i="52" s="1"/>
  <c r="M5495" i="52" s="1"/>
  <c r="K5494" i="52"/>
  <c r="L5494" i="52" s="1"/>
  <c r="M5494" i="52" s="1"/>
  <c r="K5493" i="52"/>
  <c r="L5493" i="52" s="1"/>
  <c r="M5493" i="52" s="1"/>
  <c r="M5492" i="52"/>
  <c r="L5492" i="52"/>
  <c r="K5492" i="52"/>
  <c r="K5491" i="52"/>
  <c r="L5491" i="52" s="1"/>
  <c r="M5491" i="52" s="1"/>
  <c r="K5490" i="52"/>
  <c r="L5490" i="52" s="1"/>
  <c r="M5490" i="52" s="1"/>
  <c r="K5489" i="52"/>
  <c r="L5489" i="52" s="1"/>
  <c r="M5489" i="52" s="1"/>
  <c r="L5488" i="52"/>
  <c r="M5488" i="52" s="1"/>
  <c r="K5488" i="52"/>
  <c r="L5487" i="52"/>
  <c r="M5487" i="52" s="1"/>
  <c r="K5487" i="52"/>
  <c r="K5486" i="52"/>
  <c r="L5486" i="52" s="1"/>
  <c r="M5486" i="52" s="1"/>
  <c r="K5485" i="52"/>
  <c r="L5485" i="52" s="1"/>
  <c r="M5485" i="52" s="1"/>
  <c r="M5484" i="52"/>
  <c r="L5484" i="52"/>
  <c r="K5484" i="52"/>
  <c r="L5483" i="52"/>
  <c r="M5483" i="52" s="1"/>
  <c r="K5483" i="52"/>
  <c r="K5482" i="52"/>
  <c r="L5482" i="52" s="1"/>
  <c r="M5482" i="52" s="1"/>
  <c r="K5481" i="52"/>
  <c r="L5481" i="52" s="1"/>
  <c r="M5481" i="52" s="1"/>
  <c r="K5480" i="52"/>
  <c r="L5480" i="52" s="1"/>
  <c r="M5480" i="52" s="1"/>
  <c r="K5479" i="52"/>
  <c r="L5479" i="52" s="1"/>
  <c r="M5479" i="52" s="1"/>
  <c r="K5478" i="52"/>
  <c r="L5478" i="52" s="1"/>
  <c r="M5478" i="52" s="1"/>
  <c r="K5477" i="52"/>
  <c r="L5477" i="52" s="1"/>
  <c r="M5477" i="52" s="1"/>
  <c r="K5476" i="52"/>
  <c r="L5476" i="52" s="1"/>
  <c r="M5476" i="52" s="1"/>
  <c r="K5475" i="52"/>
  <c r="L5475" i="52" s="1"/>
  <c r="M5475" i="52" s="1"/>
  <c r="K5474" i="52"/>
  <c r="L5474" i="52" s="1"/>
  <c r="M5474" i="52" s="1"/>
  <c r="K5473" i="52"/>
  <c r="L5473" i="52" s="1"/>
  <c r="M5473" i="52" s="1"/>
  <c r="K5472" i="52"/>
  <c r="L5472" i="52" s="1"/>
  <c r="M5472" i="52" s="1"/>
  <c r="L5471" i="52"/>
  <c r="M5471" i="52" s="1"/>
  <c r="K5471" i="52"/>
  <c r="L5470" i="52"/>
  <c r="M5470" i="52" s="1"/>
  <c r="K5470" i="52"/>
  <c r="K5469" i="52"/>
  <c r="L5469" i="52" s="1"/>
  <c r="M5469" i="52" s="1"/>
  <c r="K5468" i="52"/>
  <c r="L5468" i="52" s="1"/>
  <c r="M5468" i="52" s="1"/>
  <c r="L5467" i="52"/>
  <c r="M5467" i="52" s="1"/>
  <c r="K5467" i="52"/>
  <c r="K5466" i="52"/>
  <c r="L5466" i="52" s="1"/>
  <c r="M5466" i="52" s="1"/>
  <c r="K5465" i="52"/>
  <c r="L5465" i="52" s="1"/>
  <c r="M5465" i="52" s="1"/>
  <c r="L5464" i="52"/>
  <c r="M5464" i="52" s="1"/>
  <c r="K5464" i="52"/>
  <c r="K5463" i="52"/>
  <c r="L5463" i="52" s="1"/>
  <c r="M5463" i="52" s="1"/>
  <c r="K5462" i="52"/>
  <c r="L5462" i="52" s="1"/>
  <c r="M5462" i="52" s="1"/>
  <c r="K5461" i="52"/>
  <c r="L5461" i="52" s="1"/>
  <c r="M5461" i="52" s="1"/>
  <c r="K5460" i="52"/>
  <c r="L5460" i="52" s="1"/>
  <c r="M5460" i="52" s="1"/>
  <c r="L5459" i="52"/>
  <c r="M5459" i="52" s="1"/>
  <c r="K5459" i="52"/>
  <c r="K5458" i="52"/>
  <c r="L5458" i="52" s="1"/>
  <c r="M5458" i="52" s="1"/>
  <c r="K5457" i="52"/>
  <c r="L5457" i="52" s="1"/>
  <c r="M5457" i="52" s="1"/>
  <c r="L5456" i="52"/>
  <c r="M5456" i="52" s="1"/>
  <c r="K5456" i="52"/>
  <c r="K5455" i="52"/>
  <c r="L5455" i="52" s="1"/>
  <c r="M5455" i="52" s="1"/>
  <c r="K5454" i="52"/>
  <c r="L5454" i="52" s="1"/>
  <c r="M5454" i="52" s="1"/>
  <c r="K5453" i="52"/>
  <c r="L5453" i="52" s="1"/>
  <c r="M5453" i="52" s="1"/>
  <c r="L5452" i="52"/>
  <c r="M5452" i="52" s="1"/>
  <c r="K5452" i="52"/>
  <c r="K5451" i="52"/>
  <c r="L5451" i="52" s="1"/>
  <c r="M5451" i="52" s="1"/>
  <c r="K5450" i="52"/>
  <c r="L5450" i="52" s="1"/>
  <c r="M5450" i="52" s="1"/>
  <c r="K5449" i="52"/>
  <c r="L5449" i="52" s="1"/>
  <c r="M5449" i="52" s="1"/>
  <c r="K5448" i="52"/>
  <c r="L5448" i="52" s="1"/>
  <c r="M5448" i="52" s="1"/>
  <c r="K5447" i="52"/>
  <c r="L5447" i="52" s="1"/>
  <c r="M5447" i="52" s="1"/>
  <c r="K5446" i="52"/>
  <c r="L5446" i="52" s="1"/>
  <c r="M5446" i="52" s="1"/>
  <c r="K5445" i="52"/>
  <c r="L5445" i="52" s="1"/>
  <c r="M5445" i="52" s="1"/>
  <c r="K5444" i="52"/>
  <c r="L5444" i="52" s="1"/>
  <c r="M5444" i="52" s="1"/>
  <c r="K5443" i="52"/>
  <c r="L5443" i="52" s="1"/>
  <c r="M5443" i="52" s="1"/>
  <c r="L5442" i="52"/>
  <c r="M5442" i="52" s="1"/>
  <c r="K5442" i="52"/>
  <c r="K5441" i="52"/>
  <c r="L5441" i="52" s="1"/>
  <c r="M5441" i="52" s="1"/>
  <c r="K5440" i="52"/>
  <c r="L5440" i="52" s="1"/>
  <c r="M5440" i="52" s="1"/>
  <c r="K5439" i="52"/>
  <c r="L5439" i="52" s="1"/>
  <c r="M5439" i="52" s="1"/>
  <c r="K5438" i="52"/>
  <c r="L5438" i="52" s="1"/>
  <c r="M5438" i="52" s="1"/>
  <c r="K5437" i="52"/>
  <c r="L5437" i="52" s="1"/>
  <c r="M5437" i="52" s="1"/>
  <c r="K5436" i="52"/>
  <c r="L5436" i="52" s="1"/>
  <c r="M5436" i="52" s="1"/>
  <c r="L5435" i="52"/>
  <c r="M5435" i="52" s="1"/>
  <c r="K5435" i="52"/>
  <c r="K5434" i="52"/>
  <c r="L5434" i="52" s="1"/>
  <c r="M5434" i="52" s="1"/>
  <c r="M5433" i="52"/>
  <c r="K5433" i="52"/>
  <c r="L5433" i="52" s="1"/>
  <c r="L5432" i="52"/>
  <c r="M5432" i="52" s="1"/>
  <c r="K5432" i="52"/>
  <c r="K5431" i="52"/>
  <c r="L5431" i="52" s="1"/>
  <c r="M5431" i="52" s="1"/>
  <c r="L5430" i="52"/>
  <c r="M5430" i="52" s="1"/>
  <c r="K5430" i="52"/>
  <c r="K5429" i="52"/>
  <c r="L5429" i="52" s="1"/>
  <c r="M5429" i="52" s="1"/>
  <c r="K5428" i="52"/>
  <c r="L5428" i="52" s="1"/>
  <c r="M5428" i="52" s="1"/>
  <c r="K5427" i="52"/>
  <c r="L5427" i="52" s="1"/>
  <c r="M5427" i="52" s="1"/>
  <c r="K5426" i="52"/>
  <c r="L5426" i="52" s="1"/>
  <c r="M5426" i="52" s="1"/>
  <c r="K5425" i="52"/>
  <c r="L5425" i="52" s="1"/>
  <c r="M5425" i="52" s="1"/>
  <c r="K5424" i="52"/>
  <c r="L5424" i="52" s="1"/>
  <c r="M5424" i="52" s="1"/>
  <c r="K5423" i="52"/>
  <c r="L5423" i="52" s="1"/>
  <c r="M5423" i="52" s="1"/>
  <c r="K5422" i="52"/>
  <c r="L5422" i="52" s="1"/>
  <c r="M5422" i="52" s="1"/>
  <c r="K5421" i="52"/>
  <c r="L5421" i="52" s="1"/>
  <c r="M5421" i="52" s="1"/>
  <c r="L5420" i="52"/>
  <c r="M5420" i="52" s="1"/>
  <c r="K5420" i="52"/>
  <c r="L5419" i="52"/>
  <c r="M5419" i="52" s="1"/>
  <c r="K5419" i="52"/>
  <c r="K5418" i="52"/>
  <c r="L5418" i="52" s="1"/>
  <c r="M5418" i="52" s="1"/>
  <c r="K5417" i="52"/>
  <c r="L5417" i="52" s="1"/>
  <c r="M5417" i="52" s="1"/>
  <c r="K5416" i="52"/>
  <c r="L5416" i="52" s="1"/>
  <c r="M5416" i="52" s="1"/>
  <c r="K5415" i="52"/>
  <c r="L5415" i="52" s="1"/>
  <c r="M5415" i="52" s="1"/>
  <c r="L5414" i="52"/>
  <c r="M5414" i="52" s="1"/>
  <c r="K5414" i="52"/>
  <c r="L5413" i="52"/>
  <c r="M5413" i="52" s="1"/>
  <c r="K5413" i="52"/>
  <c r="K5412" i="52"/>
  <c r="L5412" i="52" s="1"/>
  <c r="M5412" i="52" s="1"/>
  <c r="K5411" i="52"/>
  <c r="L5411" i="52" s="1"/>
  <c r="M5411" i="52" s="1"/>
  <c r="L5410" i="52"/>
  <c r="M5410" i="52" s="1"/>
  <c r="K5410" i="52"/>
  <c r="L5409" i="52"/>
  <c r="M5409" i="52" s="1"/>
  <c r="K5409" i="52"/>
  <c r="K5408" i="52"/>
  <c r="L5408" i="52" s="1"/>
  <c r="M5408" i="52" s="1"/>
  <c r="K5407" i="52"/>
  <c r="L5407" i="52" s="1"/>
  <c r="M5407" i="52" s="1"/>
  <c r="K5406" i="52"/>
  <c r="L5406" i="52" s="1"/>
  <c r="M5406" i="52" s="1"/>
  <c r="L5405" i="52"/>
  <c r="M5405" i="52" s="1"/>
  <c r="K5405" i="52"/>
  <c r="K5404" i="52"/>
  <c r="L5404" i="52" s="1"/>
  <c r="M5404" i="52" s="1"/>
  <c r="K5403" i="52"/>
  <c r="L5403" i="52" s="1"/>
  <c r="M5403" i="52" s="1"/>
  <c r="L5402" i="52"/>
  <c r="M5402" i="52" s="1"/>
  <c r="K5402" i="52"/>
  <c r="K5401" i="52"/>
  <c r="L5401" i="52" s="1"/>
  <c r="M5401" i="52" s="1"/>
  <c r="K5400" i="52"/>
  <c r="L5400" i="52" s="1"/>
  <c r="M5400" i="52" s="1"/>
  <c r="K5399" i="52"/>
  <c r="L5399" i="52" s="1"/>
  <c r="M5399" i="52" s="1"/>
  <c r="L5398" i="52"/>
  <c r="M5398" i="52" s="1"/>
  <c r="K5398" i="52"/>
  <c r="L5397" i="52"/>
  <c r="M5397" i="52" s="1"/>
  <c r="K5397" i="52"/>
  <c r="K5396" i="52"/>
  <c r="L5396" i="52" s="1"/>
  <c r="M5396" i="52" s="1"/>
  <c r="K5395" i="52"/>
  <c r="L5395" i="52" s="1"/>
  <c r="M5395" i="52" s="1"/>
  <c r="L5394" i="52"/>
  <c r="M5394" i="52" s="1"/>
  <c r="K5394" i="52"/>
  <c r="L5393" i="52"/>
  <c r="M5393" i="52" s="1"/>
  <c r="K5393" i="52"/>
  <c r="K5392" i="52"/>
  <c r="L5392" i="52" s="1"/>
  <c r="M5392" i="52" s="1"/>
  <c r="K5391" i="52"/>
  <c r="L5391" i="52" s="1"/>
  <c r="M5391" i="52" s="1"/>
  <c r="K5390" i="52"/>
  <c r="L5390" i="52" s="1"/>
  <c r="M5390" i="52" s="1"/>
  <c r="L5389" i="52"/>
  <c r="M5389" i="52" s="1"/>
  <c r="K5389" i="52"/>
  <c r="K5388" i="52"/>
  <c r="L5388" i="52" s="1"/>
  <c r="M5388" i="52" s="1"/>
  <c r="K5387" i="52"/>
  <c r="L5387" i="52" s="1"/>
  <c r="M5387" i="52" s="1"/>
  <c r="L5386" i="52"/>
  <c r="M5386" i="52" s="1"/>
  <c r="K5386" i="52"/>
  <c r="K5385" i="52"/>
  <c r="L5385" i="52" s="1"/>
  <c r="M5385" i="52" s="1"/>
  <c r="K5384" i="52"/>
  <c r="L5384" i="52" s="1"/>
  <c r="M5384" i="52" s="1"/>
  <c r="K5383" i="52"/>
  <c r="L5383" i="52" s="1"/>
  <c r="M5383" i="52" s="1"/>
  <c r="L5382" i="52"/>
  <c r="M5382" i="52" s="1"/>
  <c r="K5382" i="52"/>
  <c r="L5381" i="52"/>
  <c r="M5381" i="52" s="1"/>
  <c r="K5381" i="52"/>
  <c r="K5380" i="52"/>
  <c r="L5380" i="52" s="1"/>
  <c r="M5380" i="52" s="1"/>
  <c r="K5379" i="52"/>
  <c r="L5379" i="52" s="1"/>
  <c r="M5379" i="52" s="1"/>
  <c r="L5378" i="52"/>
  <c r="M5378" i="52" s="1"/>
  <c r="K5378" i="52"/>
  <c r="L5377" i="52"/>
  <c r="M5377" i="52" s="1"/>
  <c r="K5377" i="52"/>
  <c r="K5376" i="52"/>
  <c r="L5376" i="52" s="1"/>
  <c r="M5376" i="52" s="1"/>
  <c r="K5375" i="52"/>
  <c r="L5375" i="52" s="1"/>
  <c r="M5375" i="52" s="1"/>
  <c r="K5374" i="52"/>
  <c r="L5374" i="52" s="1"/>
  <c r="M5374" i="52" s="1"/>
  <c r="L5373" i="52"/>
  <c r="M5373" i="52" s="1"/>
  <c r="K5373" i="52"/>
  <c r="K5372" i="52"/>
  <c r="L5372" i="52" s="1"/>
  <c r="M5372" i="52" s="1"/>
  <c r="K5371" i="52"/>
  <c r="L5371" i="52" s="1"/>
  <c r="M5371" i="52" s="1"/>
  <c r="L5370" i="52"/>
  <c r="M5370" i="52" s="1"/>
  <c r="K5370" i="52"/>
  <c r="K5369" i="52"/>
  <c r="L5369" i="52" s="1"/>
  <c r="M5369" i="52" s="1"/>
  <c r="K5368" i="52"/>
  <c r="L5368" i="52" s="1"/>
  <c r="M5368" i="52" s="1"/>
  <c r="K5367" i="52"/>
  <c r="L5367" i="52" s="1"/>
  <c r="M5367" i="52" s="1"/>
  <c r="L5366" i="52"/>
  <c r="M5366" i="52" s="1"/>
  <c r="K5366" i="52"/>
  <c r="L5365" i="52"/>
  <c r="M5365" i="52" s="1"/>
  <c r="K5365" i="52"/>
  <c r="K5364" i="52"/>
  <c r="L5364" i="52" s="1"/>
  <c r="M5364" i="52" s="1"/>
  <c r="K5363" i="52"/>
  <c r="L5363" i="52" s="1"/>
  <c r="M5363" i="52" s="1"/>
  <c r="L5362" i="52"/>
  <c r="M5362" i="52" s="1"/>
  <c r="K5362" i="52"/>
  <c r="L5361" i="52"/>
  <c r="M5361" i="52" s="1"/>
  <c r="K5361" i="52"/>
  <c r="K5360" i="52"/>
  <c r="L5360" i="52" s="1"/>
  <c r="M5360" i="52" s="1"/>
  <c r="K5359" i="52"/>
  <c r="L5359" i="52" s="1"/>
  <c r="M5359" i="52" s="1"/>
  <c r="K5358" i="52"/>
  <c r="L5358" i="52" s="1"/>
  <c r="M5358" i="52" s="1"/>
  <c r="L5357" i="52"/>
  <c r="M5357" i="52" s="1"/>
  <c r="K5357" i="52"/>
  <c r="K5356" i="52"/>
  <c r="L5356" i="52" s="1"/>
  <c r="M5356" i="52" s="1"/>
  <c r="K5355" i="52"/>
  <c r="L5355" i="52" s="1"/>
  <c r="M5355" i="52" s="1"/>
  <c r="L5354" i="52"/>
  <c r="M5354" i="52" s="1"/>
  <c r="K5354" i="52"/>
  <c r="K5353" i="52"/>
  <c r="L5353" i="52" s="1"/>
  <c r="M5353" i="52" s="1"/>
  <c r="K5352" i="52"/>
  <c r="L5352" i="52" s="1"/>
  <c r="M5352" i="52" s="1"/>
  <c r="K5351" i="52"/>
  <c r="L5351" i="52" s="1"/>
  <c r="M5351" i="52" s="1"/>
  <c r="L5350" i="52"/>
  <c r="M5350" i="52" s="1"/>
  <c r="K5350" i="52"/>
  <c r="L5349" i="52"/>
  <c r="M5349" i="52" s="1"/>
  <c r="K5349" i="52"/>
  <c r="K5348" i="52"/>
  <c r="L5348" i="52" s="1"/>
  <c r="M5348" i="52" s="1"/>
  <c r="K5347" i="52"/>
  <c r="L5347" i="52" s="1"/>
  <c r="M5347" i="52" s="1"/>
  <c r="L5346" i="52"/>
  <c r="M5346" i="52" s="1"/>
  <c r="K5346" i="52"/>
  <c r="L5345" i="52"/>
  <c r="M5345" i="52" s="1"/>
  <c r="K5345" i="52"/>
  <c r="K5344" i="52"/>
  <c r="L5344" i="52" s="1"/>
  <c r="M5344" i="52" s="1"/>
  <c r="K5343" i="52"/>
  <c r="L5343" i="52" s="1"/>
  <c r="M5343" i="52" s="1"/>
  <c r="K5342" i="52"/>
  <c r="L5342" i="52" s="1"/>
  <c r="M5342" i="52" s="1"/>
  <c r="L5341" i="52"/>
  <c r="M5341" i="52" s="1"/>
  <c r="K5341" i="52"/>
  <c r="K5340" i="52"/>
  <c r="L5340" i="52" s="1"/>
  <c r="M5340" i="52" s="1"/>
  <c r="K5339" i="52"/>
  <c r="L5339" i="52" s="1"/>
  <c r="M5339" i="52" s="1"/>
  <c r="L5338" i="52"/>
  <c r="M5338" i="52" s="1"/>
  <c r="K5338" i="52"/>
  <c r="K5337" i="52"/>
  <c r="L5337" i="52" s="1"/>
  <c r="M5337" i="52" s="1"/>
  <c r="K5336" i="52"/>
  <c r="L5336" i="52" s="1"/>
  <c r="M5336" i="52" s="1"/>
  <c r="K5335" i="52"/>
  <c r="L5335" i="52" s="1"/>
  <c r="M5335" i="52" s="1"/>
  <c r="L5334" i="52"/>
  <c r="M5334" i="52" s="1"/>
  <c r="K5334" i="52"/>
  <c r="L5333" i="52"/>
  <c r="M5333" i="52" s="1"/>
  <c r="K5333" i="52"/>
  <c r="K5332" i="52"/>
  <c r="L5332" i="52" s="1"/>
  <c r="M5332" i="52" s="1"/>
  <c r="K5331" i="52"/>
  <c r="L5331" i="52" s="1"/>
  <c r="M5331" i="52" s="1"/>
  <c r="L5330" i="52"/>
  <c r="M5330" i="52" s="1"/>
  <c r="K5330" i="52"/>
  <c r="L5329" i="52"/>
  <c r="M5329" i="52" s="1"/>
  <c r="K5329" i="52"/>
  <c r="K5328" i="52"/>
  <c r="L5328" i="52" s="1"/>
  <c r="M5328" i="52" s="1"/>
  <c r="K5327" i="52"/>
  <c r="L5327" i="52" s="1"/>
  <c r="M5327" i="52" s="1"/>
  <c r="K5326" i="52"/>
  <c r="L5326" i="52" s="1"/>
  <c r="M5326" i="52" s="1"/>
  <c r="L5325" i="52"/>
  <c r="M5325" i="52" s="1"/>
  <c r="K5325" i="52"/>
  <c r="K5324" i="52"/>
  <c r="L5324" i="52" s="1"/>
  <c r="M5324" i="52" s="1"/>
  <c r="K5323" i="52"/>
  <c r="L5323" i="52" s="1"/>
  <c r="M5323" i="52" s="1"/>
  <c r="L5322" i="52"/>
  <c r="M5322" i="52" s="1"/>
  <c r="K5322" i="52"/>
  <c r="K5321" i="52"/>
  <c r="L5321" i="52" s="1"/>
  <c r="M5321" i="52" s="1"/>
  <c r="K5320" i="52"/>
  <c r="L5320" i="52" s="1"/>
  <c r="M5320" i="52" s="1"/>
  <c r="K5319" i="52"/>
  <c r="L5319" i="52" s="1"/>
  <c r="M5319" i="52" s="1"/>
  <c r="L5318" i="52"/>
  <c r="M5318" i="52" s="1"/>
  <c r="K5318" i="52"/>
  <c r="L5317" i="52"/>
  <c r="M5317" i="52" s="1"/>
  <c r="K5317" i="52"/>
  <c r="K5316" i="52"/>
  <c r="L5316" i="52" s="1"/>
  <c r="M5316" i="52" s="1"/>
  <c r="K5315" i="52"/>
  <c r="L5315" i="52" s="1"/>
  <c r="M5315" i="52" s="1"/>
  <c r="L5314" i="52"/>
  <c r="M5314" i="52" s="1"/>
  <c r="K5314" i="52"/>
  <c r="L5313" i="52"/>
  <c r="M5313" i="52" s="1"/>
  <c r="K5313" i="52"/>
  <c r="K5312" i="52"/>
  <c r="L5312" i="52" s="1"/>
  <c r="M5312" i="52" s="1"/>
  <c r="K5311" i="52"/>
  <c r="L5311" i="52" s="1"/>
  <c r="M5311" i="52" s="1"/>
  <c r="K5310" i="52"/>
  <c r="L5310" i="52" s="1"/>
  <c r="M5310" i="52" s="1"/>
  <c r="L5309" i="52"/>
  <c r="M5309" i="52" s="1"/>
  <c r="K5309" i="52"/>
  <c r="K5308" i="52"/>
  <c r="L5308" i="52" s="1"/>
  <c r="M5308" i="52" s="1"/>
  <c r="K5307" i="52"/>
  <c r="L5307" i="52" s="1"/>
  <c r="M5307" i="52" s="1"/>
  <c r="L5306" i="52"/>
  <c r="M5306" i="52" s="1"/>
  <c r="K5306" i="52"/>
  <c r="K5305" i="52"/>
  <c r="L5305" i="52" s="1"/>
  <c r="M5305" i="52" s="1"/>
  <c r="K5304" i="52"/>
  <c r="L5304" i="52" s="1"/>
  <c r="M5304" i="52" s="1"/>
  <c r="K5303" i="52"/>
  <c r="L5303" i="52" s="1"/>
  <c r="M5303" i="52" s="1"/>
  <c r="L5302" i="52"/>
  <c r="M5302" i="52" s="1"/>
  <c r="K5302" i="52"/>
  <c r="L5301" i="52"/>
  <c r="M5301" i="52" s="1"/>
  <c r="K5301" i="52"/>
  <c r="K5300" i="52"/>
  <c r="L5300" i="52" s="1"/>
  <c r="M5300" i="52" s="1"/>
  <c r="K5299" i="52"/>
  <c r="L5299" i="52" s="1"/>
  <c r="M5299" i="52" s="1"/>
  <c r="L5298" i="52"/>
  <c r="M5298" i="52" s="1"/>
  <c r="K5298" i="52"/>
  <c r="L5297" i="52"/>
  <c r="M5297" i="52" s="1"/>
  <c r="K5297" i="52"/>
  <c r="K5296" i="52"/>
  <c r="L5296" i="52" s="1"/>
  <c r="M5296" i="52" s="1"/>
  <c r="K5295" i="52"/>
  <c r="L5295" i="52" s="1"/>
  <c r="M5295" i="52" s="1"/>
  <c r="K5294" i="52"/>
  <c r="L5294" i="52" s="1"/>
  <c r="M5294" i="52" s="1"/>
  <c r="L5293" i="52"/>
  <c r="M5293" i="52" s="1"/>
  <c r="K5293" i="52"/>
  <c r="K5292" i="52"/>
  <c r="L5292" i="52" s="1"/>
  <c r="M5292" i="52" s="1"/>
  <c r="K5291" i="52"/>
  <c r="L5291" i="52" s="1"/>
  <c r="M5291" i="52" s="1"/>
  <c r="L5290" i="52"/>
  <c r="M5290" i="52" s="1"/>
  <c r="K5290" i="52"/>
  <c r="K5289" i="52"/>
  <c r="L5289" i="52" s="1"/>
  <c r="M5289" i="52" s="1"/>
  <c r="K5288" i="52"/>
  <c r="L5288" i="52" s="1"/>
  <c r="M5288" i="52" s="1"/>
  <c r="K5287" i="52"/>
  <c r="L5287" i="52" s="1"/>
  <c r="M5287" i="52" s="1"/>
  <c r="L5286" i="52"/>
  <c r="M5286" i="52" s="1"/>
  <c r="K5286" i="52"/>
  <c r="L5285" i="52"/>
  <c r="M5285" i="52" s="1"/>
  <c r="K5285" i="52"/>
  <c r="K5284" i="52"/>
  <c r="L5284" i="52" s="1"/>
  <c r="M5284" i="52" s="1"/>
  <c r="K5283" i="52"/>
  <c r="L5283" i="52" s="1"/>
  <c r="M5283" i="52" s="1"/>
  <c r="L5282" i="52"/>
  <c r="M5282" i="52" s="1"/>
  <c r="K5282" i="52"/>
  <c r="L5281" i="52"/>
  <c r="M5281" i="52" s="1"/>
  <c r="K5281" i="52"/>
  <c r="K5280" i="52"/>
  <c r="L5280" i="52" s="1"/>
  <c r="M5280" i="52" s="1"/>
  <c r="K5279" i="52"/>
  <c r="L5279" i="52" s="1"/>
  <c r="M5279" i="52" s="1"/>
  <c r="K5278" i="52"/>
  <c r="L5278" i="52" s="1"/>
  <c r="M5278" i="52" s="1"/>
  <c r="L5277" i="52"/>
  <c r="M5277" i="52" s="1"/>
  <c r="K5277" i="52"/>
  <c r="L5276" i="52"/>
  <c r="M5276" i="52" s="1"/>
  <c r="K5276" i="52"/>
  <c r="M5275" i="52"/>
  <c r="K5275" i="52"/>
  <c r="L5275" i="52" s="1"/>
  <c r="L5274" i="52"/>
  <c r="M5274" i="52" s="1"/>
  <c r="K5274" i="52"/>
  <c r="K5273" i="52"/>
  <c r="L5273" i="52" s="1"/>
  <c r="M5273" i="52" s="1"/>
  <c r="K5272" i="52"/>
  <c r="L5272" i="52" s="1"/>
  <c r="M5272" i="52" s="1"/>
  <c r="K5271" i="52"/>
  <c r="L5271" i="52" s="1"/>
  <c r="M5271" i="52" s="1"/>
  <c r="L5270" i="52"/>
  <c r="M5270" i="52" s="1"/>
  <c r="K5270" i="52"/>
  <c r="L5269" i="52"/>
  <c r="M5269" i="52" s="1"/>
  <c r="K5269" i="52"/>
  <c r="L5268" i="52"/>
  <c r="M5268" i="52" s="1"/>
  <c r="K5268" i="52"/>
  <c r="K5267" i="52"/>
  <c r="L5267" i="52" s="1"/>
  <c r="M5267" i="52" s="1"/>
  <c r="K5266" i="52"/>
  <c r="L5266" i="52" s="1"/>
  <c r="M5266" i="52" s="1"/>
  <c r="K5265" i="52"/>
  <c r="L5265" i="52" s="1"/>
  <c r="M5265" i="52" s="1"/>
  <c r="K5264" i="52"/>
  <c r="L5264" i="52" s="1"/>
  <c r="M5264" i="52" s="1"/>
  <c r="K5263" i="52"/>
  <c r="L5263" i="52" s="1"/>
  <c r="M5263" i="52" s="1"/>
  <c r="L5262" i="52"/>
  <c r="M5262" i="52" s="1"/>
  <c r="K5262" i="52"/>
  <c r="L5261" i="52"/>
  <c r="M5261" i="52" s="1"/>
  <c r="K5261" i="52"/>
  <c r="K5260" i="52"/>
  <c r="L5260" i="52" s="1"/>
  <c r="M5260" i="52" s="1"/>
  <c r="M5259" i="52"/>
  <c r="K5259" i="52"/>
  <c r="L5259" i="52" s="1"/>
  <c r="K5258" i="52"/>
  <c r="L5258" i="52" s="1"/>
  <c r="M5258" i="52" s="1"/>
  <c r="K5257" i="52"/>
  <c r="L5257" i="52" s="1"/>
  <c r="M5257" i="52" s="1"/>
  <c r="L5256" i="52"/>
  <c r="M5256" i="52" s="1"/>
  <c r="K5256" i="52"/>
  <c r="K5255" i="52"/>
  <c r="L5255" i="52" s="1"/>
  <c r="M5255" i="52" s="1"/>
  <c r="L5254" i="52"/>
  <c r="M5254" i="52" s="1"/>
  <c r="K5254" i="52"/>
  <c r="K5253" i="52"/>
  <c r="L5253" i="52" s="1"/>
  <c r="M5253" i="52" s="1"/>
  <c r="L5252" i="52"/>
  <c r="M5252" i="52" s="1"/>
  <c r="K5252" i="52"/>
  <c r="M5251" i="52"/>
  <c r="K5251" i="52"/>
  <c r="L5251" i="52" s="1"/>
  <c r="K5250" i="52"/>
  <c r="L5250" i="52" s="1"/>
  <c r="M5250" i="52" s="1"/>
  <c r="L5249" i="52"/>
  <c r="M5249" i="52" s="1"/>
  <c r="K5249" i="52"/>
  <c r="K5248" i="52"/>
  <c r="L5248" i="52" s="1"/>
  <c r="M5248" i="52" s="1"/>
  <c r="K5247" i="52"/>
  <c r="L5247" i="52" s="1"/>
  <c r="M5247" i="52" s="1"/>
  <c r="K5246" i="52"/>
  <c r="L5246" i="52" s="1"/>
  <c r="M5246" i="52" s="1"/>
  <c r="L5245" i="52"/>
  <c r="M5245" i="52" s="1"/>
  <c r="K5245" i="52"/>
  <c r="L5244" i="52"/>
  <c r="M5244" i="52" s="1"/>
  <c r="K5244" i="52"/>
  <c r="M5243" i="52"/>
  <c r="K5243" i="52"/>
  <c r="L5243" i="52" s="1"/>
  <c r="K5242" i="52"/>
  <c r="L5242" i="52" s="1"/>
  <c r="M5242" i="52" s="1"/>
  <c r="K5241" i="52"/>
  <c r="L5241" i="52" s="1"/>
  <c r="M5241" i="52" s="1"/>
  <c r="K5240" i="52"/>
  <c r="L5240" i="52" s="1"/>
  <c r="M5240" i="52" s="1"/>
  <c r="K5239" i="52"/>
  <c r="L5239" i="52" s="1"/>
  <c r="M5239" i="52" s="1"/>
  <c r="M5238" i="52"/>
  <c r="L5238" i="52"/>
  <c r="K5238" i="52"/>
  <c r="L5237" i="52"/>
  <c r="M5237" i="52" s="1"/>
  <c r="K5237" i="52"/>
  <c r="L5236" i="52"/>
  <c r="M5236" i="52" s="1"/>
  <c r="K5236" i="52"/>
  <c r="K5235" i="52"/>
  <c r="L5235" i="52" s="1"/>
  <c r="M5235" i="52" s="1"/>
  <c r="M5234" i="52"/>
  <c r="K5234" i="52"/>
  <c r="L5234" i="52" s="1"/>
  <c r="K5233" i="52"/>
  <c r="L5233" i="52" s="1"/>
  <c r="M5233" i="52" s="1"/>
  <c r="K5232" i="52"/>
  <c r="L5232" i="52" s="1"/>
  <c r="M5232" i="52" s="1"/>
  <c r="K5231" i="52"/>
  <c r="L5231" i="52" s="1"/>
  <c r="M5231" i="52" s="1"/>
  <c r="L5230" i="52"/>
  <c r="M5230" i="52" s="1"/>
  <c r="K5230" i="52"/>
  <c r="L5229" i="52"/>
  <c r="M5229" i="52" s="1"/>
  <c r="K5229" i="52"/>
  <c r="K5228" i="52"/>
  <c r="L5228" i="52" s="1"/>
  <c r="M5228" i="52" s="1"/>
  <c r="M5227" i="52"/>
  <c r="K5227" i="52"/>
  <c r="L5227" i="52" s="1"/>
  <c r="K5226" i="52"/>
  <c r="L5226" i="52" s="1"/>
  <c r="M5226" i="52" s="1"/>
  <c r="K5225" i="52"/>
  <c r="L5225" i="52" s="1"/>
  <c r="M5225" i="52" s="1"/>
  <c r="K5224" i="52"/>
  <c r="L5224" i="52" s="1"/>
  <c r="M5224" i="52" s="1"/>
  <c r="K5223" i="52"/>
  <c r="L5223" i="52" s="1"/>
  <c r="M5223" i="52" s="1"/>
  <c r="L5222" i="52"/>
  <c r="M5222" i="52" s="1"/>
  <c r="K5222" i="52"/>
  <c r="K5221" i="52"/>
  <c r="L5221" i="52" s="1"/>
  <c r="M5221" i="52" s="1"/>
  <c r="L5220" i="52"/>
  <c r="M5220" i="52" s="1"/>
  <c r="K5220" i="52"/>
  <c r="M5219" i="52"/>
  <c r="K5219" i="52"/>
  <c r="L5219" i="52" s="1"/>
  <c r="K5218" i="52"/>
  <c r="L5218" i="52" s="1"/>
  <c r="M5218" i="52" s="1"/>
  <c r="K5217" i="52"/>
  <c r="L5217" i="52" s="1"/>
  <c r="M5217" i="52" s="1"/>
  <c r="K5216" i="52"/>
  <c r="L5216" i="52" s="1"/>
  <c r="M5216" i="52" s="1"/>
  <c r="K5215" i="52"/>
  <c r="L5215" i="52" s="1"/>
  <c r="M5215" i="52" s="1"/>
  <c r="K5214" i="52"/>
  <c r="L5214" i="52" s="1"/>
  <c r="M5214" i="52" s="1"/>
  <c r="L5213" i="52"/>
  <c r="M5213" i="52" s="1"/>
  <c r="K5213" i="52"/>
  <c r="L5212" i="52"/>
  <c r="M5212" i="52" s="1"/>
  <c r="K5212" i="52"/>
  <c r="M5211" i="52"/>
  <c r="K5211" i="52"/>
  <c r="L5211" i="52" s="1"/>
  <c r="L5210" i="52"/>
  <c r="M5210" i="52" s="1"/>
  <c r="K5210" i="52"/>
  <c r="K5209" i="52"/>
  <c r="L5209" i="52" s="1"/>
  <c r="M5209" i="52" s="1"/>
  <c r="K5208" i="52"/>
  <c r="L5208" i="52" s="1"/>
  <c r="M5208" i="52" s="1"/>
  <c r="K5207" i="52"/>
  <c r="L5207" i="52" s="1"/>
  <c r="M5207" i="52" s="1"/>
  <c r="L5206" i="52"/>
  <c r="M5206" i="52" s="1"/>
  <c r="K5206" i="52"/>
  <c r="L5205" i="52"/>
  <c r="M5205" i="52" s="1"/>
  <c r="K5205" i="52"/>
  <c r="L5204" i="52"/>
  <c r="M5204" i="52" s="1"/>
  <c r="K5204" i="52"/>
  <c r="K5203" i="52"/>
  <c r="L5203" i="52" s="1"/>
  <c r="M5203" i="52" s="1"/>
  <c r="K5202" i="52"/>
  <c r="L5202" i="52" s="1"/>
  <c r="M5202" i="52" s="1"/>
  <c r="K5201" i="52"/>
  <c r="L5201" i="52" s="1"/>
  <c r="M5201" i="52" s="1"/>
  <c r="K5200" i="52"/>
  <c r="L5200" i="52" s="1"/>
  <c r="M5200" i="52" s="1"/>
  <c r="K5199" i="52"/>
  <c r="L5199" i="52" s="1"/>
  <c r="M5199" i="52" s="1"/>
  <c r="L5198" i="52"/>
  <c r="M5198" i="52" s="1"/>
  <c r="K5198" i="52"/>
  <c r="L5197" i="52"/>
  <c r="M5197" i="52" s="1"/>
  <c r="K5197" i="52"/>
  <c r="K5196" i="52"/>
  <c r="L5196" i="52" s="1"/>
  <c r="M5196" i="52" s="1"/>
  <c r="M5195" i="52"/>
  <c r="K5195" i="52"/>
  <c r="L5195" i="52" s="1"/>
  <c r="K5194" i="52"/>
  <c r="L5194" i="52" s="1"/>
  <c r="M5194" i="52" s="1"/>
  <c r="K5193" i="52"/>
  <c r="L5193" i="52" s="1"/>
  <c r="M5193" i="52" s="1"/>
  <c r="L5192" i="52"/>
  <c r="M5192" i="52" s="1"/>
  <c r="K5192" i="52"/>
  <c r="K5191" i="52"/>
  <c r="L5191" i="52" s="1"/>
  <c r="M5191" i="52" s="1"/>
  <c r="L5190" i="52"/>
  <c r="M5190" i="52" s="1"/>
  <c r="K5190" i="52"/>
  <c r="K5189" i="52"/>
  <c r="L5189" i="52" s="1"/>
  <c r="M5189" i="52" s="1"/>
  <c r="L5188" i="52"/>
  <c r="M5188" i="52" s="1"/>
  <c r="K5188" i="52"/>
  <c r="M5187" i="52"/>
  <c r="K5187" i="52"/>
  <c r="L5187" i="52" s="1"/>
  <c r="K5186" i="52"/>
  <c r="L5186" i="52" s="1"/>
  <c r="M5186" i="52" s="1"/>
  <c r="K5185" i="52"/>
  <c r="L5185" i="52" s="1"/>
  <c r="M5185" i="52" s="1"/>
  <c r="K5184" i="52"/>
  <c r="L5184" i="52" s="1"/>
  <c r="M5184" i="52" s="1"/>
  <c r="K5183" i="52"/>
  <c r="L5183" i="52" s="1"/>
  <c r="M5183" i="52" s="1"/>
  <c r="K5182" i="52"/>
  <c r="L5182" i="52" s="1"/>
  <c r="M5182" i="52" s="1"/>
  <c r="L5181" i="52"/>
  <c r="M5181" i="52" s="1"/>
  <c r="K5181" i="52"/>
  <c r="L5180" i="52"/>
  <c r="M5180" i="52" s="1"/>
  <c r="K5180" i="52"/>
  <c r="M5179" i="52"/>
  <c r="K5179" i="52"/>
  <c r="L5179" i="52" s="1"/>
  <c r="K5178" i="52"/>
  <c r="L5178" i="52" s="1"/>
  <c r="M5178" i="52" s="1"/>
  <c r="K5177" i="52"/>
  <c r="L5177" i="52" s="1"/>
  <c r="M5177" i="52" s="1"/>
  <c r="K5176" i="52"/>
  <c r="L5176" i="52" s="1"/>
  <c r="M5176" i="52" s="1"/>
  <c r="K5175" i="52"/>
  <c r="L5175" i="52" s="1"/>
  <c r="M5175" i="52" s="1"/>
  <c r="L5174" i="52"/>
  <c r="M5174" i="52" s="1"/>
  <c r="K5174" i="52"/>
  <c r="L5173" i="52"/>
  <c r="M5173" i="52" s="1"/>
  <c r="K5173" i="52"/>
  <c r="L5172" i="52"/>
  <c r="M5172" i="52" s="1"/>
  <c r="K5172" i="52"/>
  <c r="K5171" i="52"/>
  <c r="L5171" i="52" s="1"/>
  <c r="M5171" i="52" s="1"/>
  <c r="K5170" i="52"/>
  <c r="L5170" i="52" s="1"/>
  <c r="M5170" i="52" s="1"/>
  <c r="K5169" i="52"/>
  <c r="L5169" i="52" s="1"/>
  <c r="M5169" i="52" s="1"/>
  <c r="L5168" i="52"/>
  <c r="M5168" i="52" s="1"/>
  <c r="K5168" i="52"/>
  <c r="M5167" i="52"/>
  <c r="K5167" i="52"/>
  <c r="L5167" i="52" s="1"/>
  <c r="L5166" i="52"/>
  <c r="M5166" i="52" s="1"/>
  <c r="K5166" i="52"/>
  <c r="L5165" i="52"/>
  <c r="M5165" i="52" s="1"/>
  <c r="K5165" i="52"/>
  <c r="K5164" i="52"/>
  <c r="L5164" i="52" s="1"/>
  <c r="M5164" i="52" s="1"/>
  <c r="M5163" i="52"/>
  <c r="K5163" i="52"/>
  <c r="L5163" i="52" s="1"/>
  <c r="K5162" i="52"/>
  <c r="L5162" i="52" s="1"/>
  <c r="M5162" i="52" s="1"/>
  <c r="L5161" i="52"/>
  <c r="M5161" i="52" s="1"/>
  <c r="K5161" i="52"/>
  <c r="L5160" i="52"/>
  <c r="M5160" i="52" s="1"/>
  <c r="K5160" i="52"/>
  <c r="K5159" i="52"/>
  <c r="L5159" i="52" s="1"/>
  <c r="M5159" i="52" s="1"/>
  <c r="L5158" i="52"/>
  <c r="M5158" i="52" s="1"/>
  <c r="K5158" i="52"/>
  <c r="K5157" i="52"/>
  <c r="L5157" i="52" s="1"/>
  <c r="M5157" i="52" s="1"/>
  <c r="L5156" i="52"/>
  <c r="M5156" i="52" s="1"/>
  <c r="K5156" i="52"/>
  <c r="M5155" i="52"/>
  <c r="K5155" i="52"/>
  <c r="L5155" i="52" s="1"/>
  <c r="M5154" i="52"/>
  <c r="L5154" i="52"/>
  <c r="K5154" i="52"/>
  <c r="K5153" i="52"/>
  <c r="L5153" i="52" s="1"/>
  <c r="M5153" i="52" s="1"/>
  <c r="K5152" i="52"/>
  <c r="L5152" i="52" s="1"/>
  <c r="M5152" i="52" s="1"/>
  <c r="K5151" i="52"/>
  <c r="L5151" i="52" s="1"/>
  <c r="M5151" i="52" s="1"/>
  <c r="K5150" i="52"/>
  <c r="L5150" i="52" s="1"/>
  <c r="M5150" i="52" s="1"/>
  <c r="L5149" i="52"/>
  <c r="M5149" i="52" s="1"/>
  <c r="K5149" i="52"/>
  <c r="L5148" i="52"/>
  <c r="M5148" i="52" s="1"/>
  <c r="K5148" i="52"/>
  <c r="M5147" i="52"/>
  <c r="K5147" i="52"/>
  <c r="L5147" i="52" s="1"/>
  <c r="L5146" i="52"/>
  <c r="M5146" i="52" s="1"/>
  <c r="K5146" i="52"/>
  <c r="K5145" i="52"/>
  <c r="L5145" i="52" s="1"/>
  <c r="M5145" i="52" s="1"/>
  <c r="K5144" i="52"/>
  <c r="L5144" i="52" s="1"/>
  <c r="M5144" i="52" s="1"/>
  <c r="M5143" i="52"/>
  <c r="K5143" i="52"/>
  <c r="L5143" i="52" s="1"/>
  <c r="L5142" i="52"/>
  <c r="M5142" i="52" s="1"/>
  <c r="K5142" i="52"/>
  <c r="L5141" i="52"/>
  <c r="M5141" i="52" s="1"/>
  <c r="K5141" i="52"/>
  <c r="L5140" i="52"/>
  <c r="M5140" i="52" s="1"/>
  <c r="K5140" i="52"/>
  <c r="K5139" i="52"/>
  <c r="L5139" i="52" s="1"/>
  <c r="M5139" i="52" s="1"/>
  <c r="K5138" i="52"/>
  <c r="L5138" i="52" s="1"/>
  <c r="M5138" i="52" s="1"/>
  <c r="K5137" i="52"/>
  <c r="L5137" i="52" s="1"/>
  <c r="M5137" i="52" s="1"/>
  <c r="L5136" i="52"/>
  <c r="M5136" i="52" s="1"/>
  <c r="K5136" i="52"/>
  <c r="M5135" i="52"/>
  <c r="K5135" i="52"/>
  <c r="L5135" i="52" s="1"/>
  <c r="L5134" i="52"/>
  <c r="M5134" i="52" s="1"/>
  <c r="K5134" i="52"/>
  <c r="L5133" i="52"/>
  <c r="M5133" i="52" s="1"/>
  <c r="K5133" i="52"/>
  <c r="K5132" i="52"/>
  <c r="L5132" i="52" s="1"/>
  <c r="M5132" i="52" s="1"/>
  <c r="M5131" i="52"/>
  <c r="K5131" i="52"/>
  <c r="L5131" i="52" s="1"/>
  <c r="K5130" i="52"/>
  <c r="L5130" i="52" s="1"/>
  <c r="M5130" i="52" s="1"/>
  <c r="L5129" i="52"/>
  <c r="M5129" i="52" s="1"/>
  <c r="K5129" i="52"/>
  <c r="K5128" i="52"/>
  <c r="L5128" i="52" s="1"/>
  <c r="M5128" i="52" s="1"/>
  <c r="K5127" i="52"/>
  <c r="L5127" i="52" s="1"/>
  <c r="M5127" i="52" s="1"/>
  <c r="L5126" i="52"/>
  <c r="M5126" i="52" s="1"/>
  <c r="K5126" i="52"/>
  <c r="K5125" i="52"/>
  <c r="L5125" i="52" s="1"/>
  <c r="M5125" i="52" s="1"/>
  <c r="L5124" i="52"/>
  <c r="M5124" i="52" s="1"/>
  <c r="K5124" i="52"/>
  <c r="M5123" i="52"/>
  <c r="K5123" i="52"/>
  <c r="L5123" i="52" s="1"/>
  <c r="M5122" i="52"/>
  <c r="L5122" i="52"/>
  <c r="K5122" i="52"/>
  <c r="L5121" i="52"/>
  <c r="M5121" i="52" s="1"/>
  <c r="K5121" i="52"/>
  <c r="K5120" i="52"/>
  <c r="L5120" i="52" s="1"/>
  <c r="M5120" i="52" s="1"/>
  <c r="K5119" i="52"/>
  <c r="L5119" i="52" s="1"/>
  <c r="M5119" i="52" s="1"/>
  <c r="K5118" i="52"/>
  <c r="L5118" i="52" s="1"/>
  <c r="M5118" i="52" s="1"/>
  <c r="L5117" i="52"/>
  <c r="M5117" i="52" s="1"/>
  <c r="K5117" i="52"/>
  <c r="L5116" i="52"/>
  <c r="M5116" i="52" s="1"/>
  <c r="K5116" i="52"/>
  <c r="M5115" i="52"/>
  <c r="K5115" i="52"/>
  <c r="L5115" i="52" s="1"/>
  <c r="K5114" i="52"/>
  <c r="L5114" i="52" s="1"/>
  <c r="M5114" i="52" s="1"/>
  <c r="K5113" i="52"/>
  <c r="L5113" i="52" s="1"/>
  <c r="M5113" i="52" s="1"/>
  <c r="K5112" i="52"/>
  <c r="L5112" i="52" s="1"/>
  <c r="M5112" i="52" s="1"/>
  <c r="M5111" i="52"/>
  <c r="K5111" i="52"/>
  <c r="L5111" i="52" s="1"/>
  <c r="K5110" i="52"/>
  <c r="L5110" i="52" s="1"/>
  <c r="M5110" i="52" s="1"/>
  <c r="K5109" i="52"/>
  <c r="L5109" i="52" s="1"/>
  <c r="M5109" i="52" s="1"/>
  <c r="K5108" i="52"/>
  <c r="L5108" i="52" s="1"/>
  <c r="M5108" i="52" s="1"/>
  <c r="L5107" i="52"/>
  <c r="M5107" i="52" s="1"/>
  <c r="K5107" i="52"/>
  <c r="M5106" i="52"/>
  <c r="K5106" i="52"/>
  <c r="L5106" i="52" s="1"/>
  <c r="K5105" i="52"/>
  <c r="L5105" i="52" s="1"/>
  <c r="M5105" i="52" s="1"/>
  <c r="K5104" i="52"/>
  <c r="L5104" i="52" s="1"/>
  <c r="M5104" i="52" s="1"/>
  <c r="L5103" i="52"/>
  <c r="M5103" i="52" s="1"/>
  <c r="K5103" i="52"/>
  <c r="K5102" i="52"/>
  <c r="L5102" i="52" s="1"/>
  <c r="M5102" i="52" s="1"/>
  <c r="K5101" i="52"/>
  <c r="L5101" i="52" s="1"/>
  <c r="M5101" i="52" s="1"/>
  <c r="K5100" i="52"/>
  <c r="L5100" i="52" s="1"/>
  <c r="M5100" i="52" s="1"/>
  <c r="L5099" i="52"/>
  <c r="M5099" i="52" s="1"/>
  <c r="K5099" i="52"/>
  <c r="K5098" i="52"/>
  <c r="L5098" i="52" s="1"/>
  <c r="M5098" i="52" s="1"/>
  <c r="K5097" i="52"/>
  <c r="L5097" i="52" s="1"/>
  <c r="M5097" i="52" s="1"/>
  <c r="K5096" i="52"/>
  <c r="L5096" i="52" s="1"/>
  <c r="M5096" i="52" s="1"/>
  <c r="L5095" i="52"/>
  <c r="M5095" i="52" s="1"/>
  <c r="K5095" i="52"/>
  <c r="K5094" i="52"/>
  <c r="L5094" i="52" s="1"/>
  <c r="M5094" i="52" s="1"/>
  <c r="K5093" i="52"/>
  <c r="L5093" i="52" s="1"/>
  <c r="M5093" i="52" s="1"/>
  <c r="K5092" i="52"/>
  <c r="L5092" i="52" s="1"/>
  <c r="M5092" i="52" s="1"/>
  <c r="L5091" i="52"/>
  <c r="M5091" i="52" s="1"/>
  <c r="K5091" i="52"/>
  <c r="M5090" i="52"/>
  <c r="K5090" i="52"/>
  <c r="L5090" i="52" s="1"/>
  <c r="K5089" i="52"/>
  <c r="L5089" i="52" s="1"/>
  <c r="M5089" i="52" s="1"/>
  <c r="K5088" i="52"/>
  <c r="L5088" i="52" s="1"/>
  <c r="M5088" i="52" s="1"/>
  <c r="L5087" i="52"/>
  <c r="M5087" i="52" s="1"/>
  <c r="K5087" i="52"/>
  <c r="K5086" i="52"/>
  <c r="L5086" i="52" s="1"/>
  <c r="M5086" i="52" s="1"/>
  <c r="K5085" i="52"/>
  <c r="L5085" i="52" s="1"/>
  <c r="M5085" i="52" s="1"/>
  <c r="K5084" i="52"/>
  <c r="L5084" i="52" s="1"/>
  <c r="M5084" i="52" s="1"/>
  <c r="L5083" i="52"/>
  <c r="M5083" i="52" s="1"/>
  <c r="K5083" i="52"/>
  <c r="K5082" i="52"/>
  <c r="L5082" i="52" s="1"/>
  <c r="M5082" i="52" s="1"/>
  <c r="K5081" i="52"/>
  <c r="L5081" i="52" s="1"/>
  <c r="M5081" i="52" s="1"/>
  <c r="K5080" i="52"/>
  <c r="L5080" i="52" s="1"/>
  <c r="M5080" i="52" s="1"/>
  <c r="L5079" i="52"/>
  <c r="M5079" i="52" s="1"/>
  <c r="K5079" i="52"/>
  <c r="K5078" i="52"/>
  <c r="L5078" i="52" s="1"/>
  <c r="M5078" i="52" s="1"/>
  <c r="K5077" i="52"/>
  <c r="L5077" i="52" s="1"/>
  <c r="M5077" i="52" s="1"/>
  <c r="K5076" i="52"/>
  <c r="L5076" i="52" s="1"/>
  <c r="M5076" i="52" s="1"/>
  <c r="L5075" i="52"/>
  <c r="M5075" i="52" s="1"/>
  <c r="K5075" i="52"/>
  <c r="M5074" i="52"/>
  <c r="K5074" i="52"/>
  <c r="L5074" i="52" s="1"/>
  <c r="K5073" i="52"/>
  <c r="L5073" i="52" s="1"/>
  <c r="M5073" i="52" s="1"/>
  <c r="K5072" i="52"/>
  <c r="L5072" i="52" s="1"/>
  <c r="M5072" i="52" s="1"/>
  <c r="L5071" i="52"/>
  <c r="M5071" i="52" s="1"/>
  <c r="K5071" i="52"/>
  <c r="K5070" i="52"/>
  <c r="L5070" i="52" s="1"/>
  <c r="M5070" i="52" s="1"/>
  <c r="K5069" i="52"/>
  <c r="L5069" i="52" s="1"/>
  <c r="M5069" i="52" s="1"/>
  <c r="K5068" i="52"/>
  <c r="L5068" i="52" s="1"/>
  <c r="M5068" i="52" s="1"/>
  <c r="L5067" i="52"/>
  <c r="M5067" i="52" s="1"/>
  <c r="K5067" i="52"/>
  <c r="K5066" i="52"/>
  <c r="L5066" i="52" s="1"/>
  <c r="M5066" i="52" s="1"/>
  <c r="L5065" i="52"/>
  <c r="M5065" i="52" s="1"/>
  <c r="K5065" i="52"/>
  <c r="K5064" i="52"/>
  <c r="L5064" i="52" s="1"/>
  <c r="M5064" i="52" s="1"/>
  <c r="L5063" i="52"/>
  <c r="M5063" i="52" s="1"/>
  <c r="K5063" i="52"/>
  <c r="K5062" i="52"/>
  <c r="L5062" i="52" s="1"/>
  <c r="M5062" i="52" s="1"/>
  <c r="L5061" i="52"/>
  <c r="M5061" i="52" s="1"/>
  <c r="K5061" i="52"/>
  <c r="K5060" i="52"/>
  <c r="L5060" i="52" s="1"/>
  <c r="M5060" i="52" s="1"/>
  <c r="L5059" i="52"/>
  <c r="M5059" i="52" s="1"/>
  <c r="K5059" i="52"/>
  <c r="K5058" i="52"/>
  <c r="L5058" i="52" s="1"/>
  <c r="M5058" i="52" s="1"/>
  <c r="L5057" i="52"/>
  <c r="M5057" i="52" s="1"/>
  <c r="K5057" i="52"/>
  <c r="K5056" i="52"/>
  <c r="L5056" i="52" s="1"/>
  <c r="M5056" i="52" s="1"/>
  <c r="L5055" i="52"/>
  <c r="M5055" i="52" s="1"/>
  <c r="K5055" i="52"/>
  <c r="M5054" i="52"/>
  <c r="K5054" i="52"/>
  <c r="L5054" i="52" s="1"/>
  <c r="L5053" i="52"/>
  <c r="M5053" i="52" s="1"/>
  <c r="K5053" i="52"/>
  <c r="K5052" i="52"/>
  <c r="L5052" i="52" s="1"/>
  <c r="M5052" i="52" s="1"/>
  <c r="L5051" i="52"/>
  <c r="M5051" i="52" s="1"/>
  <c r="K5051" i="52"/>
  <c r="M5050" i="52"/>
  <c r="K5050" i="52"/>
  <c r="L5050" i="52" s="1"/>
  <c r="L5049" i="52"/>
  <c r="M5049" i="52" s="1"/>
  <c r="K5049" i="52"/>
  <c r="K5048" i="52"/>
  <c r="L5048" i="52" s="1"/>
  <c r="M5048" i="52" s="1"/>
  <c r="L5047" i="52"/>
  <c r="M5047" i="52" s="1"/>
  <c r="K5047" i="52"/>
  <c r="K5046" i="52"/>
  <c r="L5046" i="52" s="1"/>
  <c r="M5046" i="52" s="1"/>
  <c r="L5045" i="52"/>
  <c r="M5045" i="52" s="1"/>
  <c r="K5045" i="52"/>
  <c r="K5044" i="52"/>
  <c r="L5044" i="52" s="1"/>
  <c r="M5044" i="52" s="1"/>
  <c r="L5043" i="52"/>
  <c r="M5043" i="52" s="1"/>
  <c r="K5043" i="52"/>
  <c r="K5042" i="52"/>
  <c r="L5042" i="52" s="1"/>
  <c r="M5042" i="52" s="1"/>
  <c r="L5041" i="52"/>
  <c r="M5041" i="52" s="1"/>
  <c r="K5041" i="52"/>
  <c r="K5040" i="52"/>
  <c r="L5040" i="52" s="1"/>
  <c r="M5040" i="52" s="1"/>
  <c r="L5039" i="52"/>
  <c r="M5039" i="52" s="1"/>
  <c r="K5039" i="52"/>
  <c r="M5038" i="52"/>
  <c r="K5038" i="52"/>
  <c r="L5038" i="52" s="1"/>
  <c r="L5037" i="52"/>
  <c r="M5037" i="52" s="1"/>
  <c r="K5037" i="52"/>
  <c r="K5036" i="52"/>
  <c r="L5036" i="52" s="1"/>
  <c r="M5036" i="52" s="1"/>
  <c r="L5035" i="52"/>
  <c r="M5035" i="52" s="1"/>
  <c r="K5035" i="52"/>
  <c r="K5034" i="52"/>
  <c r="L5034" i="52" s="1"/>
  <c r="M5034" i="52" s="1"/>
  <c r="L5033" i="52"/>
  <c r="M5033" i="52" s="1"/>
  <c r="K5033" i="52"/>
  <c r="K5032" i="52"/>
  <c r="L5032" i="52" s="1"/>
  <c r="M5032" i="52" s="1"/>
  <c r="L5031" i="52"/>
  <c r="M5031" i="52" s="1"/>
  <c r="K5031" i="52"/>
  <c r="K5030" i="52"/>
  <c r="L5030" i="52" s="1"/>
  <c r="M5030" i="52" s="1"/>
  <c r="L5029" i="52"/>
  <c r="M5029" i="52" s="1"/>
  <c r="K5029" i="52"/>
  <c r="K5028" i="52"/>
  <c r="L5028" i="52" s="1"/>
  <c r="M5028" i="52" s="1"/>
  <c r="L5027" i="52"/>
  <c r="M5027" i="52" s="1"/>
  <c r="K5027" i="52"/>
  <c r="K5026" i="52"/>
  <c r="L5026" i="52" s="1"/>
  <c r="M5026" i="52" s="1"/>
  <c r="L5025" i="52"/>
  <c r="M5025" i="52" s="1"/>
  <c r="K5025" i="52"/>
  <c r="K5024" i="52"/>
  <c r="L5024" i="52" s="1"/>
  <c r="M5024" i="52" s="1"/>
  <c r="M5022" i="52"/>
  <c r="L5022" i="52"/>
  <c r="H5021" i="52"/>
  <c r="B5021" i="52"/>
  <c r="H5020" i="52"/>
  <c r="B5020" i="52"/>
  <c r="H5019" i="52"/>
  <c r="B5019" i="52"/>
  <c r="H5018" i="52"/>
  <c r="B5018" i="52"/>
  <c r="H5017" i="52"/>
  <c r="B5017" i="52"/>
  <c r="H5016" i="52"/>
  <c r="B5016" i="52"/>
  <c r="L5015" i="52"/>
  <c r="M5015" i="52" s="1"/>
  <c r="M5014" i="52"/>
  <c r="K5014" i="52"/>
  <c r="L5014" i="52" s="1"/>
  <c r="M5012" i="52"/>
  <c r="K5012" i="52"/>
  <c r="L5012" i="52" s="1"/>
  <c r="K5011" i="52"/>
  <c r="L5011" i="52" s="1"/>
  <c r="M5011" i="52" s="1"/>
  <c r="L5010" i="52"/>
  <c r="M5010" i="52" s="1"/>
  <c r="K5010" i="52"/>
  <c r="K5009" i="52"/>
  <c r="L5009" i="52" s="1"/>
  <c r="M5009" i="52" s="1"/>
  <c r="L5007" i="52"/>
  <c r="M5007" i="52" s="1"/>
  <c r="K5007" i="52"/>
  <c r="K5006" i="52"/>
  <c r="K5005" i="52"/>
  <c r="L5005" i="52" s="1"/>
  <c r="M5005" i="52" s="1"/>
  <c r="H5004" i="52"/>
  <c r="I5004" i="52" s="1"/>
  <c r="F5004" i="52"/>
  <c r="F5011" i="52" s="1"/>
  <c r="F5012" i="52" s="1"/>
  <c r="I5012" i="52" s="1"/>
  <c r="K5003" i="52"/>
  <c r="L5003" i="52" s="1"/>
  <c r="M5003" i="52" s="1"/>
  <c r="H5003" i="52"/>
  <c r="K5002" i="52"/>
  <c r="L5002" i="52" s="1"/>
  <c r="M5002" i="52" s="1"/>
  <c r="H5002" i="52"/>
  <c r="K5001" i="52"/>
  <c r="L5001" i="52" s="1"/>
  <c r="M5001" i="52" s="1"/>
  <c r="H5001" i="52"/>
  <c r="K5000" i="52"/>
  <c r="L5000" i="52" s="1"/>
  <c r="M5000" i="52" s="1"/>
  <c r="L4999" i="52"/>
  <c r="M4999" i="52" s="1"/>
  <c r="K4999" i="52"/>
  <c r="K4997" i="52"/>
  <c r="L4997" i="52" s="1"/>
  <c r="M4997" i="52" s="1"/>
  <c r="I4997" i="52"/>
  <c r="K4996" i="52"/>
  <c r="L4996" i="52" s="1"/>
  <c r="M4996" i="52" s="1"/>
  <c r="F4996" i="52"/>
  <c r="K4995" i="52"/>
  <c r="L4995" i="52" s="1"/>
  <c r="M4995" i="52" s="1"/>
  <c r="F4995" i="52"/>
  <c r="L4994" i="52"/>
  <c r="M4994" i="52" s="1"/>
  <c r="K4994" i="52"/>
  <c r="H4993" i="52"/>
  <c r="G4993" i="52"/>
  <c r="F4993" i="52"/>
  <c r="F4998" i="52" s="1"/>
  <c r="L4992" i="52"/>
  <c r="M4992" i="52" s="1"/>
  <c r="K4992" i="52"/>
  <c r="M4991" i="52"/>
  <c r="K4991" i="52"/>
  <c r="L4991" i="52" s="1"/>
  <c r="K4990" i="52"/>
  <c r="L4990" i="52" s="1"/>
  <c r="M4990" i="52" s="1"/>
  <c r="M4989" i="52"/>
  <c r="K4989" i="52"/>
  <c r="L4989" i="52" s="1"/>
  <c r="L4988" i="52"/>
  <c r="M4988" i="52" s="1"/>
  <c r="K4988" i="52"/>
  <c r="M4987" i="52"/>
  <c r="K4987" i="52"/>
  <c r="L4987" i="52" s="1"/>
  <c r="K4986" i="52"/>
  <c r="L4986" i="52" s="1"/>
  <c r="M4986" i="52" s="1"/>
  <c r="M4985" i="52"/>
  <c r="K4985" i="52"/>
  <c r="L4985" i="52" s="1"/>
  <c r="L4984" i="52"/>
  <c r="M4984" i="52" s="1"/>
  <c r="K4984" i="52"/>
  <c r="M4983" i="52"/>
  <c r="K4983" i="52"/>
  <c r="L4983" i="52" s="1"/>
  <c r="K4982" i="52"/>
  <c r="L4982" i="52" s="1"/>
  <c r="M4982" i="52" s="1"/>
  <c r="M4981" i="52"/>
  <c r="K4981" i="52"/>
  <c r="L4981" i="52" s="1"/>
  <c r="K4980" i="52"/>
  <c r="L4979" i="52"/>
  <c r="M4979" i="52" s="1"/>
  <c r="K4979" i="52"/>
  <c r="K4977" i="52"/>
  <c r="L4977" i="52" s="1"/>
  <c r="M4977" i="52" s="1"/>
  <c r="M4976" i="52"/>
  <c r="K4976" i="52"/>
  <c r="L4976" i="52" s="1"/>
  <c r="K4975" i="52"/>
  <c r="L4975" i="52" s="1"/>
  <c r="M4975" i="52" s="1"/>
  <c r="F4975" i="52"/>
  <c r="K4974" i="52"/>
  <c r="L4974" i="52" s="1"/>
  <c r="M4974" i="52" s="1"/>
  <c r="M4973" i="52"/>
  <c r="K4973" i="52"/>
  <c r="L4973" i="52" s="1"/>
  <c r="K4972" i="52"/>
  <c r="L4971" i="52"/>
  <c r="M4971" i="52" s="1"/>
  <c r="K4971" i="52"/>
  <c r="K4970" i="52"/>
  <c r="K4969" i="52"/>
  <c r="L4969" i="52" s="1"/>
  <c r="M4969" i="52" s="1"/>
  <c r="K4968" i="52"/>
  <c r="L4967" i="52"/>
  <c r="M4967" i="52" s="1"/>
  <c r="K4967" i="52"/>
  <c r="K4966" i="52"/>
  <c r="L4966" i="52" s="1"/>
  <c r="M4966" i="52" s="1"/>
  <c r="K4965" i="52"/>
  <c r="K4964" i="52"/>
  <c r="L4964" i="52" s="1"/>
  <c r="M4964" i="52" s="1"/>
  <c r="K4963" i="52"/>
  <c r="L4963" i="52" s="1"/>
  <c r="M4963" i="52" s="1"/>
  <c r="K4961" i="52"/>
  <c r="L4961" i="52" s="1"/>
  <c r="M4961" i="52" s="1"/>
  <c r="K4960" i="52"/>
  <c r="L4960" i="52" s="1"/>
  <c r="M4960" i="52" s="1"/>
  <c r="K4959" i="52"/>
  <c r="L4959" i="52" s="1"/>
  <c r="M4959" i="52" s="1"/>
  <c r="K4957" i="52"/>
  <c r="L4957" i="52" s="1"/>
  <c r="M4957" i="52" s="1"/>
  <c r="K4956" i="52"/>
  <c r="L4956" i="52" s="1"/>
  <c r="M4956" i="52" s="1"/>
  <c r="L4954" i="52"/>
  <c r="M4954" i="52" s="1"/>
  <c r="K4954" i="52"/>
  <c r="K4953" i="52"/>
  <c r="L4953" i="52" s="1"/>
  <c r="M4953" i="52" s="1"/>
  <c r="K4951" i="52"/>
  <c r="L4951" i="52" s="1"/>
  <c r="M4951" i="52" s="1"/>
  <c r="K4949" i="52"/>
  <c r="L4949" i="52" s="1"/>
  <c r="M4949" i="52" s="1"/>
  <c r="L4947" i="52"/>
  <c r="M4947" i="52" s="1"/>
  <c r="K4947" i="52"/>
  <c r="L4946" i="52"/>
  <c r="M4946" i="52" s="1"/>
  <c r="K4946" i="52"/>
  <c r="I4946" i="52"/>
  <c r="K4945" i="52"/>
  <c r="L4945" i="52" s="1"/>
  <c r="M4945" i="52" s="1"/>
  <c r="K4944" i="52"/>
  <c r="L4944" i="52" s="1"/>
  <c r="M4944" i="52" s="1"/>
  <c r="K4942" i="52"/>
  <c r="L4942" i="52" s="1"/>
  <c r="M4942" i="52" s="1"/>
  <c r="K4941" i="52"/>
  <c r="L4941" i="52" s="1"/>
  <c r="M4941" i="52" s="1"/>
  <c r="M4940" i="52"/>
  <c r="K4940" i="52"/>
  <c r="L4940" i="52" s="1"/>
  <c r="F4940" i="52"/>
  <c r="L4939" i="52"/>
  <c r="M4939" i="52" s="1"/>
  <c r="K4939" i="52"/>
  <c r="K4938" i="52"/>
  <c r="L4938" i="52" s="1"/>
  <c r="M4938" i="52" s="1"/>
  <c r="P4937" i="52"/>
  <c r="K4936" i="52"/>
  <c r="L4936" i="52" s="1"/>
  <c r="M4936" i="52" s="1"/>
  <c r="K4934" i="52"/>
  <c r="L4934" i="52" s="1"/>
  <c r="M4934" i="52" s="1"/>
  <c r="K4933" i="52"/>
  <c r="M4932" i="52"/>
  <c r="K4932" i="52"/>
  <c r="L4932" i="52" s="1"/>
  <c r="K4930" i="52"/>
  <c r="L4930" i="52" s="1"/>
  <c r="M4930" i="52" s="1"/>
  <c r="L4929" i="52"/>
  <c r="M4929" i="52" s="1"/>
  <c r="K4929" i="52"/>
  <c r="K4927" i="52"/>
  <c r="L4927" i="52" s="1"/>
  <c r="M4927" i="52" s="1"/>
  <c r="K4926" i="52"/>
  <c r="L4926" i="52" s="1"/>
  <c r="M4926" i="52" s="1"/>
  <c r="K4925" i="52"/>
  <c r="L4925" i="52" s="1"/>
  <c r="M4925" i="52" s="1"/>
  <c r="K4924" i="52"/>
  <c r="L4924" i="52" s="1"/>
  <c r="M4924" i="52" s="1"/>
  <c r="H4923" i="52"/>
  <c r="I4923" i="52" s="1"/>
  <c r="J4923" i="52" s="1"/>
  <c r="L4923" i="52" s="1"/>
  <c r="M4923" i="52" s="1"/>
  <c r="K4922" i="52"/>
  <c r="L4922" i="52" s="1"/>
  <c r="M4922" i="52" s="1"/>
  <c r="L4919" i="52"/>
  <c r="M4919" i="52" s="1"/>
  <c r="I4919" i="52"/>
  <c r="L4916" i="52"/>
  <c r="M4916" i="52" s="1"/>
  <c r="I4916" i="52"/>
  <c r="I4915" i="52"/>
  <c r="L4914" i="52"/>
  <c r="M4914" i="52" s="1"/>
  <c r="I4914" i="52"/>
  <c r="L4913" i="52"/>
  <c r="M4913" i="52" s="1"/>
  <c r="I4913" i="52"/>
  <c r="L4912" i="52"/>
  <c r="M4912" i="52" s="1"/>
  <c r="I4912" i="52"/>
  <c r="P4911" i="52"/>
  <c r="M4911" i="52"/>
  <c r="L4911" i="52"/>
  <c r="I4911" i="52"/>
  <c r="L4910" i="52"/>
  <c r="M4910" i="52" s="1"/>
  <c r="I4908" i="52"/>
  <c r="L4907" i="52"/>
  <c r="M4907" i="52" s="1"/>
  <c r="I4907" i="52"/>
  <c r="L4906" i="52"/>
  <c r="M4906" i="52" s="1"/>
  <c r="I4906" i="52"/>
  <c r="L4905" i="52"/>
  <c r="M4905" i="52" s="1"/>
  <c r="I4905" i="52"/>
  <c r="P4904" i="52"/>
  <c r="L4904" i="52"/>
  <c r="M4904" i="52" s="1"/>
  <c r="I4904" i="52"/>
  <c r="L4903" i="52"/>
  <c r="M4903" i="52" s="1"/>
  <c r="F4901" i="52"/>
  <c r="H4901" i="52" s="1"/>
  <c r="L4900" i="52"/>
  <c r="M4900" i="52" s="1"/>
  <c r="F4900" i="52"/>
  <c r="H4900" i="52" s="1"/>
  <c r="L4899" i="52"/>
  <c r="M4899" i="52" s="1"/>
  <c r="F4899" i="52"/>
  <c r="H4899" i="52" s="1"/>
  <c r="I4901" i="52" s="1"/>
  <c r="J4901" i="52" s="1"/>
  <c r="Q4897" i="52"/>
  <c r="Q4898" i="52" s="1"/>
  <c r="P4897" i="52"/>
  <c r="L4896" i="52"/>
  <c r="M4896" i="52" s="1"/>
  <c r="I4896" i="52"/>
  <c r="L4895" i="52"/>
  <c r="M4895" i="52" s="1"/>
  <c r="I4895" i="52"/>
  <c r="L4894" i="52"/>
  <c r="M4894" i="52" s="1"/>
  <c r="L4893" i="52"/>
  <c r="M4893" i="52" s="1"/>
  <c r="I4893" i="52"/>
  <c r="J4897" i="52" s="1"/>
  <c r="L4892" i="52"/>
  <c r="M4892" i="52" s="1"/>
  <c r="I4892" i="52"/>
  <c r="L4891" i="52"/>
  <c r="M4891" i="52" s="1"/>
  <c r="I4888" i="52"/>
  <c r="L4887" i="52"/>
  <c r="M4887" i="52" s="1"/>
  <c r="I4887" i="52"/>
  <c r="I4889" i="52" s="1"/>
  <c r="J4889" i="52" s="1"/>
  <c r="L4889" i="52" s="1"/>
  <c r="M4889" i="52" s="1"/>
  <c r="I4886" i="52"/>
  <c r="M4885" i="52"/>
  <c r="L4885" i="52"/>
  <c r="I4883" i="52"/>
  <c r="L4882" i="52"/>
  <c r="M4882" i="52" s="1"/>
  <c r="I4882" i="52"/>
  <c r="L4881" i="52"/>
  <c r="M4881" i="52" s="1"/>
  <c r="I4881" i="52"/>
  <c r="L4880" i="52"/>
  <c r="M4880" i="52" s="1"/>
  <c r="I4880" i="52"/>
  <c r="L4879" i="52"/>
  <c r="M4879" i="52" s="1"/>
  <c r="I4879" i="52"/>
  <c r="L4878" i="52"/>
  <c r="M4878" i="52" s="1"/>
  <c r="I4878" i="52"/>
  <c r="M4877" i="52"/>
  <c r="L4877" i="52"/>
  <c r="I4877" i="52"/>
  <c r="L4876" i="52"/>
  <c r="M4876" i="52" s="1"/>
  <c r="I4876" i="52"/>
  <c r="L4875" i="52"/>
  <c r="M4875" i="52" s="1"/>
  <c r="I4873" i="52"/>
  <c r="L4872" i="52"/>
  <c r="M4872" i="52" s="1"/>
  <c r="I4872" i="52"/>
  <c r="L4871" i="52"/>
  <c r="M4871" i="52" s="1"/>
  <c r="L4870" i="52"/>
  <c r="M4870" i="52" s="1"/>
  <c r="I4870" i="52"/>
  <c r="L4869" i="52"/>
  <c r="M4869" i="52" s="1"/>
  <c r="I4869" i="52"/>
  <c r="L4868" i="52"/>
  <c r="M4868" i="52" s="1"/>
  <c r="I4868" i="52"/>
  <c r="L4867" i="52"/>
  <c r="M4867" i="52" s="1"/>
  <c r="I4867" i="52"/>
  <c r="I4866" i="52"/>
  <c r="L4865" i="52"/>
  <c r="M4865" i="52" s="1"/>
  <c r="I4865" i="52"/>
  <c r="M4864" i="52"/>
  <c r="L4864" i="52"/>
  <c r="L4863" i="52"/>
  <c r="M4863" i="52" s="1"/>
  <c r="I4862" i="52"/>
  <c r="J4862" i="52" s="1"/>
  <c r="L4862" i="52" s="1"/>
  <c r="M4862" i="52" s="1"/>
  <c r="M4861" i="52"/>
  <c r="L4861" i="52"/>
  <c r="L4860" i="52"/>
  <c r="M4860" i="52" s="1"/>
  <c r="M4859" i="52"/>
  <c r="I4859" i="52"/>
  <c r="J4859" i="52" s="1"/>
  <c r="L4859" i="52" s="1"/>
  <c r="M4858" i="52"/>
  <c r="L4858" i="52"/>
  <c r="I4857" i="52"/>
  <c r="J4857" i="52" s="1"/>
  <c r="L4857" i="52" s="1"/>
  <c r="M4857" i="52" s="1"/>
  <c r="L4856" i="52"/>
  <c r="M4856" i="52" s="1"/>
  <c r="I4855" i="52"/>
  <c r="J4855" i="52" s="1"/>
  <c r="L4855" i="52" s="1"/>
  <c r="M4855" i="52" s="1"/>
  <c r="L4854" i="52"/>
  <c r="M4854" i="52" s="1"/>
  <c r="L4853" i="52"/>
  <c r="M4853" i="52" s="1"/>
  <c r="F4851" i="52"/>
  <c r="J4851" i="52" s="1"/>
  <c r="L4850" i="52"/>
  <c r="M4850" i="52" s="1"/>
  <c r="I4848" i="52"/>
  <c r="J4848" i="52" s="1"/>
  <c r="L4847" i="52"/>
  <c r="M4847" i="52" s="1"/>
  <c r="F4845" i="52"/>
  <c r="I4845" i="52" s="1"/>
  <c r="J4845" i="52" s="1"/>
  <c r="M4844" i="52"/>
  <c r="L4844" i="52"/>
  <c r="I4842" i="52"/>
  <c r="L4841" i="52"/>
  <c r="M4841" i="52" s="1"/>
  <c r="I4841" i="52"/>
  <c r="L4840" i="52"/>
  <c r="M4840" i="52" s="1"/>
  <c r="I4838" i="52"/>
  <c r="L4837" i="52"/>
  <c r="M4837" i="52" s="1"/>
  <c r="I4837" i="52"/>
  <c r="I4836" i="52"/>
  <c r="I4835" i="52"/>
  <c r="L4834" i="52"/>
  <c r="M4834" i="52" s="1"/>
  <c r="I4834" i="52"/>
  <c r="M4833" i="52"/>
  <c r="L4833" i="52"/>
  <c r="I4833" i="52"/>
  <c r="L4832" i="52"/>
  <c r="M4832" i="52" s="1"/>
  <c r="I4830" i="52"/>
  <c r="I4829" i="52"/>
  <c r="I4828" i="52"/>
  <c r="L4827" i="52"/>
  <c r="M4827" i="52" s="1"/>
  <c r="I4827" i="52"/>
  <c r="I4826" i="52"/>
  <c r="P4825" i="52"/>
  <c r="M4825" i="52"/>
  <c r="L4825" i="52"/>
  <c r="I4825" i="52"/>
  <c r="L4824" i="52"/>
  <c r="M4824" i="52" s="1"/>
  <c r="I4824" i="52"/>
  <c r="L4823" i="52"/>
  <c r="M4823" i="52" s="1"/>
  <c r="I4821" i="52"/>
  <c r="J4821" i="52" s="1"/>
  <c r="J4822" i="52" s="1"/>
  <c r="L4822" i="52" s="1"/>
  <c r="M4822" i="52" s="1"/>
  <c r="M4820" i="52"/>
  <c r="L4820" i="52"/>
  <c r="I4818" i="52"/>
  <c r="J4818" i="52" s="1"/>
  <c r="L4817" i="52"/>
  <c r="M4817" i="52" s="1"/>
  <c r="F4815" i="52"/>
  <c r="I4815" i="52" s="1"/>
  <c r="J4815" i="52" s="1"/>
  <c r="L4815" i="52" s="1"/>
  <c r="M4815" i="52" s="1"/>
  <c r="L4814" i="52"/>
  <c r="M4814" i="52" s="1"/>
  <c r="I4812" i="52"/>
  <c r="J4812" i="52" s="1"/>
  <c r="L4811" i="52"/>
  <c r="M4811" i="52" s="1"/>
  <c r="I4809" i="52"/>
  <c r="J4809" i="52" s="1"/>
  <c r="M4808" i="52"/>
  <c r="L4808" i="52"/>
  <c r="I4806" i="52"/>
  <c r="J4806" i="52" s="1"/>
  <c r="L4805" i="52"/>
  <c r="M4805" i="52" s="1"/>
  <c r="J4803" i="52"/>
  <c r="I4803" i="52"/>
  <c r="L4802" i="52"/>
  <c r="M4802" i="52" s="1"/>
  <c r="I4800" i="52"/>
  <c r="J4800" i="52" s="1"/>
  <c r="L4799" i="52"/>
  <c r="M4799" i="52" s="1"/>
  <c r="J4798" i="52"/>
  <c r="L4798" i="52" s="1"/>
  <c r="M4798" i="52" s="1"/>
  <c r="M4797" i="52"/>
  <c r="L4797" i="52"/>
  <c r="J4797" i="52"/>
  <c r="K4796" i="52"/>
  <c r="L4796" i="52" s="1"/>
  <c r="M4796" i="52" s="1"/>
  <c r="K4795" i="52"/>
  <c r="L4795" i="52" s="1"/>
  <c r="M4795" i="52" s="1"/>
  <c r="K4794" i="52"/>
  <c r="L4794" i="52" s="1"/>
  <c r="M4794" i="52" s="1"/>
  <c r="M4793" i="52"/>
  <c r="L4793" i="52"/>
  <c r="K4793" i="52"/>
  <c r="K4792" i="52"/>
  <c r="L4792" i="52" s="1"/>
  <c r="M4792" i="52" s="1"/>
  <c r="K4791" i="52"/>
  <c r="J4791" i="52"/>
  <c r="I4791" i="52"/>
  <c r="K4790" i="52"/>
  <c r="L4790" i="52" s="1"/>
  <c r="M4790" i="52" s="1"/>
  <c r="K4789" i="52"/>
  <c r="L4789" i="52" s="1"/>
  <c r="M4789" i="52" s="1"/>
  <c r="F4787" i="52"/>
  <c r="I4787" i="52" s="1"/>
  <c r="K4786" i="52"/>
  <c r="L4786" i="52" s="1"/>
  <c r="M4786" i="52" s="1"/>
  <c r="I4786" i="52"/>
  <c r="F4786" i="52"/>
  <c r="K4785" i="52"/>
  <c r="L4785" i="52" s="1"/>
  <c r="M4785" i="52" s="1"/>
  <c r="K4783" i="52"/>
  <c r="I4783" i="52"/>
  <c r="K4782" i="52"/>
  <c r="L4782" i="52" s="1"/>
  <c r="M4782" i="52" s="1"/>
  <c r="I4782" i="52"/>
  <c r="M4781" i="52"/>
  <c r="K4781" i="52"/>
  <c r="L4781" i="52" s="1"/>
  <c r="I4781" i="52"/>
  <c r="K4780" i="52"/>
  <c r="L4780" i="52" s="1"/>
  <c r="M4780" i="52" s="1"/>
  <c r="I4780" i="52"/>
  <c r="K4779" i="52"/>
  <c r="L4779" i="52" s="1"/>
  <c r="M4779" i="52" s="1"/>
  <c r="I4779" i="52"/>
  <c r="K4778" i="52"/>
  <c r="L4778" i="52" s="1"/>
  <c r="M4778" i="52" s="1"/>
  <c r="I4778" i="52"/>
  <c r="M4777" i="52"/>
  <c r="K4777" i="52"/>
  <c r="L4777" i="52" s="1"/>
  <c r="K4776" i="52"/>
  <c r="L4776" i="52" s="1"/>
  <c r="M4776" i="52" s="1"/>
  <c r="K4775" i="52"/>
  <c r="L4775" i="52" s="1"/>
  <c r="M4775" i="52" s="1"/>
  <c r="E4774" i="52"/>
  <c r="B4774" i="52"/>
  <c r="L4773" i="52"/>
  <c r="M4773" i="52" s="1"/>
  <c r="K4773" i="52"/>
  <c r="E4773" i="52"/>
  <c r="B4773" i="52"/>
  <c r="P4772" i="52"/>
  <c r="K4772" i="52"/>
  <c r="L4772" i="52" s="1"/>
  <c r="M4772" i="52" s="1"/>
  <c r="E4772" i="52"/>
  <c r="B4772" i="52"/>
  <c r="L4771" i="52"/>
  <c r="M4771" i="52" s="1"/>
  <c r="K4771" i="52"/>
  <c r="K4770" i="52"/>
  <c r="L4770" i="52" s="1"/>
  <c r="M4770" i="52" s="1"/>
  <c r="M4769" i="52"/>
  <c r="L4769" i="52"/>
  <c r="K4769" i="52"/>
  <c r="K4768" i="52"/>
  <c r="L4768" i="52" s="1"/>
  <c r="M4768" i="52" s="1"/>
  <c r="K4767" i="52"/>
  <c r="L4767" i="52" s="1"/>
  <c r="M4767" i="52" s="1"/>
  <c r="K4766" i="52"/>
  <c r="L4766" i="52" s="1"/>
  <c r="M4766" i="52" s="1"/>
  <c r="L4765" i="52"/>
  <c r="M4765" i="52" s="1"/>
  <c r="K4765" i="52"/>
  <c r="K4764" i="52"/>
  <c r="L4764" i="52" s="1"/>
  <c r="M4764" i="52" s="1"/>
  <c r="K4763" i="52"/>
  <c r="L4763" i="52" s="1"/>
  <c r="M4763" i="52" s="1"/>
  <c r="K4762" i="52"/>
  <c r="L4762" i="52" s="1"/>
  <c r="M4762" i="52" s="1"/>
  <c r="L4761" i="52"/>
  <c r="M4761" i="52" s="1"/>
  <c r="K4761" i="52"/>
  <c r="K4760" i="52"/>
  <c r="L4760" i="52" s="1"/>
  <c r="M4760" i="52" s="1"/>
  <c r="L4759" i="52"/>
  <c r="M4759" i="52" s="1"/>
  <c r="K4759" i="52"/>
  <c r="K4758" i="52"/>
  <c r="L4758" i="52" s="1"/>
  <c r="M4758" i="52" s="1"/>
  <c r="M4757" i="52"/>
  <c r="L4757" i="52"/>
  <c r="K4757" i="52"/>
  <c r="K4756" i="52"/>
  <c r="L4756" i="52" s="1"/>
  <c r="M4756" i="52" s="1"/>
  <c r="L4755" i="52"/>
  <c r="M4755" i="52" s="1"/>
  <c r="K4755" i="52"/>
  <c r="K4754" i="52"/>
  <c r="L4754" i="52" s="1"/>
  <c r="M4754" i="52" s="1"/>
  <c r="M4753" i="52"/>
  <c r="L4753" i="52"/>
  <c r="K4753" i="52"/>
  <c r="K4752" i="52"/>
  <c r="L4752" i="52" s="1"/>
  <c r="M4752" i="52" s="1"/>
  <c r="K4751" i="52"/>
  <c r="L4751" i="52" s="1"/>
  <c r="M4751" i="52" s="1"/>
  <c r="K4750" i="52"/>
  <c r="L4750" i="52" s="1"/>
  <c r="M4750" i="52" s="1"/>
  <c r="L4749" i="52"/>
  <c r="M4749" i="52" s="1"/>
  <c r="K4749" i="52"/>
  <c r="K4748" i="52"/>
  <c r="L4748" i="52" s="1"/>
  <c r="M4748" i="52" s="1"/>
  <c r="L4747" i="52"/>
  <c r="M4747" i="52" s="1"/>
  <c r="K4747" i="52"/>
  <c r="E4747" i="52"/>
  <c r="B4747" i="52"/>
  <c r="P4746" i="52"/>
  <c r="K4746" i="52"/>
  <c r="L4746" i="52" s="1"/>
  <c r="M4746" i="52" s="1"/>
  <c r="E4746" i="52"/>
  <c r="B4746" i="52"/>
  <c r="L4745" i="52"/>
  <c r="M4745" i="52" s="1"/>
  <c r="K4745" i="52"/>
  <c r="E4745" i="52"/>
  <c r="P4747" i="52" s="1"/>
  <c r="B4745" i="52"/>
  <c r="K4744" i="52"/>
  <c r="L4744" i="52" s="1"/>
  <c r="M4744" i="52" s="1"/>
  <c r="K4743" i="52"/>
  <c r="L4743" i="52" s="1"/>
  <c r="M4743" i="52" s="1"/>
  <c r="K4742" i="52"/>
  <c r="L4742" i="52" s="1"/>
  <c r="M4742" i="52" s="1"/>
  <c r="K4741" i="52"/>
  <c r="L4741" i="52" s="1"/>
  <c r="M4741" i="52" s="1"/>
  <c r="K4740" i="52"/>
  <c r="L4740" i="52" s="1"/>
  <c r="M4740" i="52" s="1"/>
  <c r="K4739" i="52"/>
  <c r="L4739" i="52" s="1"/>
  <c r="M4739" i="52" s="1"/>
  <c r="K4738" i="52"/>
  <c r="L4738" i="52" s="1"/>
  <c r="M4738" i="52" s="1"/>
  <c r="L4737" i="52"/>
  <c r="M4737" i="52" s="1"/>
  <c r="K4737" i="52"/>
  <c r="K4736" i="52"/>
  <c r="L4736" i="52" s="1"/>
  <c r="M4736" i="52" s="1"/>
  <c r="K4735" i="52"/>
  <c r="L4735" i="52" s="1"/>
  <c r="M4735" i="52" s="1"/>
  <c r="K4734" i="52"/>
  <c r="L4734" i="52" s="1"/>
  <c r="M4734" i="52" s="1"/>
  <c r="L4733" i="52"/>
  <c r="M4733" i="52" s="1"/>
  <c r="K4733" i="52"/>
  <c r="K4732" i="52"/>
  <c r="L4732" i="52" s="1"/>
  <c r="M4732" i="52" s="1"/>
  <c r="K4731" i="52"/>
  <c r="L4731" i="52" s="1"/>
  <c r="M4731" i="52" s="1"/>
  <c r="K4730" i="52"/>
  <c r="L4730" i="52" s="1"/>
  <c r="M4730" i="52" s="1"/>
  <c r="K4729" i="52"/>
  <c r="L4729" i="52" s="1"/>
  <c r="M4729" i="52" s="1"/>
  <c r="K4728" i="52"/>
  <c r="L4728" i="52" s="1"/>
  <c r="M4728" i="52" s="1"/>
  <c r="K4727" i="52"/>
  <c r="L4727" i="52" s="1"/>
  <c r="M4727" i="52" s="1"/>
  <c r="K4726" i="52"/>
  <c r="L4726" i="52" s="1"/>
  <c r="M4726" i="52" s="1"/>
  <c r="K4725" i="52"/>
  <c r="L4725" i="52" s="1"/>
  <c r="M4725" i="52" s="1"/>
  <c r="K4724" i="52"/>
  <c r="L4724" i="52" s="1"/>
  <c r="M4724" i="52" s="1"/>
  <c r="K4720" i="52"/>
  <c r="L4720" i="52" s="1"/>
  <c r="M4720" i="52" s="1"/>
  <c r="K4719" i="52"/>
  <c r="L4719" i="52" s="1"/>
  <c r="M4719" i="52" s="1"/>
  <c r="L4718" i="52"/>
  <c r="M4718" i="52" s="1"/>
  <c r="K4718" i="52"/>
  <c r="K4717" i="52"/>
  <c r="L4717" i="52" s="1"/>
  <c r="M4717" i="52" s="1"/>
  <c r="K4716" i="52"/>
  <c r="L4716" i="52" s="1"/>
  <c r="M4716" i="52" s="1"/>
  <c r="K4715" i="52"/>
  <c r="L4715" i="52" s="1"/>
  <c r="M4715" i="52" s="1"/>
  <c r="L4714" i="52"/>
  <c r="M4714" i="52" s="1"/>
  <c r="K4714" i="52"/>
  <c r="K4713" i="52"/>
  <c r="L4713" i="52" s="1"/>
  <c r="M4713" i="52" s="1"/>
  <c r="K4712" i="52"/>
  <c r="L4712" i="52" s="1"/>
  <c r="M4712" i="52" s="1"/>
  <c r="K4711" i="52"/>
  <c r="L4711" i="52" s="1"/>
  <c r="M4711" i="52" s="1"/>
  <c r="K4710" i="52"/>
  <c r="L4710" i="52" s="1"/>
  <c r="M4710" i="52" s="1"/>
  <c r="K4709" i="52"/>
  <c r="L4709" i="52" s="1"/>
  <c r="M4709" i="52" s="1"/>
  <c r="K4708" i="52"/>
  <c r="L4708" i="52" s="1"/>
  <c r="M4708" i="52" s="1"/>
  <c r="K4707" i="52"/>
  <c r="L4707" i="52" s="1"/>
  <c r="M4707" i="52" s="1"/>
  <c r="K4706" i="52"/>
  <c r="L4706" i="52" s="1"/>
  <c r="M4706" i="52" s="1"/>
  <c r="K4705" i="52"/>
  <c r="L4705" i="52" s="1"/>
  <c r="M4705" i="52" s="1"/>
  <c r="K4704" i="52"/>
  <c r="L4704" i="52" s="1"/>
  <c r="M4704" i="52" s="1"/>
  <c r="K4703" i="52"/>
  <c r="L4703" i="52" s="1"/>
  <c r="M4703" i="52" s="1"/>
  <c r="L4702" i="52"/>
  <c r="M4702" i="52" s="1"/>
  <c r="K4702" i="52"/>
  <c r="K4701" i="52"/>
  <c r="L4701" i="52" s="1"/>
  <c r="M4701" i="52" s="1"/>
  <c r="E4701" i="52"/>
  <c r="B4701" i="52"/>
  <c r="K4700" i="52"/>
  <c r="L4700" i="52" s="1"/>
  <c r="M4700" i="52" s="1"/>
  <c r="E4700" i="52"/>
  <c r="P4701" i="52" s="1"/>
  <c r="B4700" i="52"/>
  <c r="K4699" i="52"/>
  <c r="L4699" i="52" s="1"/>
  <c r="M4699" i="52" s="1"/>
  <c r="E4699" i="52"/>
  <c r="B4699" i="52"/>
  <c r="L4698" i="52"/>
  <c r="M4698" i="52" s="1"/>
  <c r="K4698" i="52"/>
  <c r="K4697" i="52"/>
  <c r="L4697" i="52" s="1"/>
  <c r="M4697" i="52" s="1"/>
  <c r="K4696" i="52"/>
  <c r="L4696" i="52" s="1"/>
  <c r="M4696" i="52" s="1"/>
  <c r="K4695" i="52"/>
  <c r="L4695" i="52" s="1"/>
  <c r="M4695" i="52" s="1"/>
  <c r="L4694" i="52"/>
  <c r="M4694" i="52" s="1"/>
  <c r="K4694" i="52"/>
  <c r="K4693" i="52"/>
  <c r="L4693" i="52" s="1"/>
  <c r="M4693" i="52" s="1"/>
  <c r="K4692" i="52"/>
  <c r="L4692" i="52" s="1"/>
  <c r="M4692" i="52" s="1"/>
  <c r="K4691" i="52"/>
  <c r="L4691" i="52" s="1"/>
  <c r="M4691" i="52" s="1"/>
  <c r="M4690" i="52"/>
  <c r="K4690" i="52"/>
  <c r="L4690" i="52" s="1"/>
  <c r="L4689" i="52"/>
  <c r="M4689" i="52" s="1"/>
  <c r="K4689" i="52"/>
  <c r="K4688" i="52"/>
  <c r="L4688" i="52" s="1"/>
  <c r="M4688" i="52" s="1"/>
  <c r="K4687" i="52"/>
  <c r="L4687" i="52" s="1"/>
  <c r="M4687" i="52" s="1"/>
  <c r="K4686" i="52"/>
  <c r="L4686" i="52" s="1"/>
  <c r="M4686" i="52" s="1"/>
  <c r="L4685" i="52"/>
  <c r="M4685" i="52" s="1"/>
  <c r="K4685" i="52"/>
  <c r="K4684" i="52"/>
  <c r="L4684" i="52" s="1"/>
  <c r="M4684" i="52" s="1"/>
  <c r="K4683" i="52"/>
  <c r="L4683" i="52" s="1"/>
  <c r="M4683" i="52" s="1"/>
  <c r="K4682" i="52"/>
  <c r="L4682" i="52" s="1"/>
  <c r="M4682" i="52" s="1"/>
  <c r="K4681" i="52"/>
  <c r="L4681" i="52" s="1"/>
  <c r="M4681" i="52" s="1"/>
  <c r="K4680" i="52"/>
  <c r="L4680" i="52" s="1"/>
  <c r="M4680" i="52" s="1"/>
  <c r="K4679" i="52"/>
  <c r="L4679" i="52" s="1"/>
  <c r="M4679" i="52" s="1"/>
  <c r="K4678" i="52"/>
  <c r="L4678" i="52" s="1"/>
  <c r="M4678" i="52" s="1"/>
  <c r="L4677" i="52"/>
  <c r="M4677" i="52" s="1"/>
  <c r="K4677" i="52"/>
  <c r="K4676" i="52"/>
  <c r="L4676" i="52" s="1"/>
  <c r="M4676" i="52" s="1"/>
  <c r="K4675" i="52"/>
  <c r="L4675" i="52" s="1"/>
  <c r="M4675" i="52" s="1"/>
  <c r="K4674" i="52"/>
  <c r="L4674" i="52" s="1"/>
  <c r="M4674" i="52" s="1"/>
  <c r="L4673" i="52"/>
  <c r="M4673" i="52" s="1"/>
  <c r="K4673" i="52"/>
  <c r="K4672" i="52"/>
  <c r="L4672" i="52" s="1"/>
  <c r="M4672" i="52" s="1"/>
  <c r="L4671" i="52"/>
  <c r="M4671" i="52" s="1"/>
  <c r="K4671" i="52"/>
  <c r="K4670" i="52"/>
  <c r="L4670" i="52" s="1"/>
  <c r="M4670" i="52" s="1"/>
  <c r="L4669" i="52"/>
  <c r="M4669" i="52" s="1"/>
  <c r="K4669" i="52"/>
  <c r="K4668" i="52"/>
  <c r="L4668" i="52" s="1"/>
  <c r="M4668" i="52" s="1"/>
  <c r="L4667" i="52"/>
  <c r="M4667" i="52" s="1"/>
  <c r="K4667" i="52"/>
  <c r="K4666" i="52"/>
  <c r="L4666" i="52" s="1"/>
  <c r="M4666" i="52" s="1"/>
  <c r="K4665" i="52"/>
  <c r="L4665" i="52" s="1"/>
  <c r="M4665" i="52" s="1"/>
  <c r="K4664" i="52"/>
  <c r="L4664" i="52" s="1"/>
  <c r="M4664" i="52" s="1"/>
  <c r="K4663" i="52"/>
  <c r="L4663" i="52" s="1"/>
  <c r="M4663" i="52" s="1"/>
  <c r="K4662" i="52"/>
  <c r="L4662" i="52" s="1"/>
  <c r="M4662" i="52" s="1"/>
  <c r="L4660" i="52"/>
  <c r="M4660" i="52" s="1"/>
  <c r="K4660" i="52"/>
  <c r="K4659" i="52"/>
  <c r="L4659" i="52" s="1"/>
  <c r="M4659" i="52" s="1"/>
  <c r="L4658" i="52"/>
  <c r="M4658" i="52" s="1"/>
  <c r="K4658" i="52"/>
  <c r="K4656" i="52"/>
  <c r="L4656" i="52" s="1"/>
  <c r="M4656" i="52" s="1"/>
  <c r="J4656" i="52"/>
  <c r="J4657" i="52" s="1"/>
  <c r="L4657" i="52" s="1"/>
  <c r="M4657" i="52" s="1"/>
  <c r="I4656" i="52"/>
  <c r="K4652" i="52"/>
  <c r="L4651" i="52"/>
  <c r="M4651" i="52" s="1"/>
  <c r="K4651" i="52"/>
  <c r="I4651" i="52"/>
  <c r="M4650" i="52"/>
  <c r="L4650" i="52"/>
  <c r="K4650" i="52"/>
  <c r="K4648" i="52"/>
  <c r="F4648" i="52"/>
  <c r="I4648" i="52" s="1"/>
  <c r="K4647" i="52"/>
  <c r="L4647" i="52" s="1"/>
  <c r="M4647" i="52" s="1"/>
  <c r="I4647" i="52"/>
  <c r="J4648" i="52" s="1"/>
  <c r="K4643" i="52"/>
  <c r="I4643" i="52"/>
  <c r="K4642" i="52"/>
  <c r="L4642" i="52" s="1"/>
  <c r="M4642" i="52" s="1"/>
  <c r="I4642" i="52"/>
  <c r="J4643" i="52" s="1"/>
  <c r="L4641" i="52"/>
  <c r="M4641" i="52" s="1"/>
  <c r="K4641" i="52"/>
  <c r="K4640" i="52"/>
  <c r="L4640" i="52" s="1"/>
  <c r="M4640" i="52" s="1"/>
  <c r="L4639" i="52"/>
  <c r="M4639" i="52" s="1"/>
  <c r="K4639" i="52"/>
  <c r="J4638" i="52"/>
  <c r="L4638" i="52" s="1"/>
  <c r="M4638" i="52" s="1"/>
  <c r="K4637" i="52"/>
  <c r="I4637" i="52"/>
  <c r="J4637" i="52" s="1"/>
  <c r="M4636" i="52"/>
  <c r="K4636" i="52"/>
  <c r="L4636" i="52" s="1"/>
  <c r="J4635" i="52"/>
  <c r="L4635" i="52" s="1"/>
  <c r="M4635" i="52" s="1"/>
  <c r="K4634" i="52"/>
  <c r="L4634" i="52" s="1"/>
  <c r="M4634" i="52" s="1"/>
  <c r="I4633" i="52"/>
  <c r="K4632" i="52"/>
  <c r="L4632" i="52" s="1"/>
  <c r="M4632" i="52" s="1"/>
  <c r="L4631" i="52"/>
  <c r="M4631" i="52" s="1"/>
  <c r="K4631" i="52"/>
  <c r="K4630" i="52"/>
  <c r="L4630" i="52" s="1"/>
  <c r="M4630" i="52" s="1"/>
  <c r="L4629" i="52"/>
  <c r="M4629" i="52" s="1"/>
  <c r="K4629" i="52"/>
  <c r="J4628" i="52"/>
  <c r="L4628" i="52" s="1"/>
  <c r="M4628" i="52" s="1"/>
  <c r="P4627" i="52"/>
  <c r="P4626" i="52" s="1"/>
  <c r="Q4626" i="52" s="1"/>
  <c r="L4627" i="52"/>
  <c r="M4627" i="52" s="1"/>
  <c r="K4626" i="52"/>
  <c r="L4626" i="52" s="1"/>
  <c r="M4626" i="52" s="1"/>
  <c r="K4625" i="52"/>
  <c r="L4625" i="52" s="1"/>
  <c r="M4625" i="52" s="1"/>
  <c r="K4624" i="52"/>
  <c r="L4624" i="52" s="1"/>
  <c r="M4624" i="52" s="1"/>
  <c r="K4623" i="52"/>
  <c r="L4623" i="52" s="1"/>
  <c r="M4623" i="52" s="1"/>
  <c r="K4622" i="52"/>
  <c r="L4622" i="52" s="1"/>
  <c r="M4622" i="52" s="1"/>
  <c r="K4621" i="52"/>
  <c r="L4621" i="52" s="1"/>
  <c r="M4621" i="52" s="1"/>
  <c r="K4620" i="52"/>
  <c r="L4620" i="52" s="1"/>
  <c r="M4620" i="52" s="1"/>
  <c r="I4620" i="52"/>
  <c r="K4619" i="52"/>
  <c r="L4619" i="52" s="1"/>
  <c r="M4619" i="52" s="1"/>
  <c r="K4617" i="52"/>
  <c r="I4617" i="52"/>
  <c r="J4617" i="52" s="1"/>
  <c r="J4618" i="52" s="1"/>
  <c r="L4618" i="52" s="1"/>
  <c r="M4618" i="52" s="1"/>
  <c r="K4616" i="52"/>
  <c r="L4616" i="52" s="1"/>
  <c r="M4616" i="52" s="1"/>
  <c r="K4615" i="52"/>
  <c r="L4615" i="52" s="1"/>
  <c r="M4615" i="52" s="1"/>
  <c r="K4613" i="52"/>
  <c r="F4613" i="52"/>
  <c r="I4613" i="52" s="1"/>
  <c r="K4612" i="52"/>
  <c r="L4612" i="52" s="1"/>
  <c r="M4612" i="52" s="1"/>
  <c r="F4612" i="52"/>
  <c r="I4612" i="52" s="1"/>
  <c r="J4613" i="52" s="1"/>
  <c r="K4611" i="52"/>
  <c r="L4611" i="52" s="1"/>
  <c r="M4611" i="52" s="1"/>
  <c r="K4609" i="52"/>
  <c r="M4608" i="52"/>
  <c r="L4608" i="52"/>
  <c r="K4608" i="52"/>
  <c r="K4606" i="52"/>
  <c r="K4605" i="52"/>
  <c r="L4605" i="52" s="1"/>
  <c r="M4605" i="52" s="1"/>
  <c r="K4603" i="52"/>
  <c r="J4603" i="52"/>
  <c r="J4604" i="52" s="1"/>
  <c r="L4604" i="52" s="1"/>
  <c r="M4604" i="52" s="1"/>
  <c r="K4602" i="52"/>
  <c r="L4602" i="52" s="1"/>
  <c r="M4602" i="52" s="1"/>
  <c r="K4601" i="52"/>
  <c r="L4601" i="52" s="1"/>
  <c r="M4601" i="52" s="1"/>
  <c r="K4600" i="52"/>
  <c r="P4599" i="52"/>
  <c r="K4599" i="52"/>
  <c r="I4599" i="52"/>
  <c r="J4599" i="52" s="1"/>
  <c r="K4598" i="52"/>
  <c r="L4598" i="52" s="1"/>
  <c r="M4598" i="52" s="1"/>
  <c r="I4598" i="52"/>
  <c r="K4597" i="52"/>
  <c r="L4597" i="52" s="1"/>
  <c r="M4597" i="52" s="1"/>
  <c r="K4595" i="52"/>
  <c r="K4594" i="52"/>
  <c r="L4594" i="52" s="1"/>
  <c r="M4594" i="52" s="1"/>
  <c r="M4593" i="52"/>
  <c r="L4593" i="52"/>
  <c r="K4593" i="52"/>
  <c r="J4590" i="52"/>
  <c r="L4590" i="52" s="1"/>
  <c r="M4590" i="52" s="1"/>
  <c r="K4589" i="52"/>
  <c r="L4589" i="52" s="1"/>
  <c r="M4589" i="52" s="1"/>
  <c r="J4589" i="52"/>
  <c r="K4588" i="52"/>
  <c r="L4588" i="52" s="1"/>
  <c r="M4588" i="52" s="1"/>
  <c r="K4586" i="52"/>
  <c r="K4585" i="52"/>
  <c r="L4585" i="52" s="1"/>
  <c r="M4585" i="52" s="1"/>
  <c r="L4584" i="52"/>
  <c r="M4584" i="52" s="1"/>
  <c r="K4584" i="52"/>
  <c r="J4583" i="52"/>
  <c r="L4583" i="52" s="1"/>
  <c r="M4583" i="52" s="1"/>
  <c r="K4582" i="52"/>
  <c r="L4582" i="52" s="1"/>
  <c r="M4582" i="52" s="1"/>
  <c r="J4582" i="52"/>
  <c r="K4581" i="52"/>
  <c r="L4581" i="52" s="1"/>
  <c r="M4581" i="52" s="1"/>
  <c r="L4580" i="52"/>
  <c r="M4580" i="52" s="1"/>
  <c r="K4580" i="52"/>
  <c r="K4578" i="52"/>
  <c r="L4577" i="52"/>
  <c r="M4577" i="52" s="1"/>
  <c r="K4577" i="52"/>
  <c r="K4576" i="52"/>
  <c r="L4576" i="52" s="1"/>
  <c r="M4576" i="52" s="1"/>
  <c r="K4574" i="52"/>
  <c r="J4574" i="52"/>
  <c r="K4573" i="52"/>
  <c r="L4573" i="52" s="1"/>
  <c r="M4573" i="52" s="1"/>
  <c r="L4572" i="52"/>
  <c r="M4572" i="52" s="1"/>
  <c r="K4572" i="52"/>
  <c r="K4570" i="52"/>
  <c r="K4569" i="52"/>
  <c r="L4569" i="52" s="1"/>
  <c r="M4569" i="52" s="1"/>
  <c r="K4568" i="52"/>
  <c r="L4568" i="52" s="1"/>
  <c r="M4568" i="52" s="1"/>
  <c r="K4567" i="52"/>
  <c r="L4567" i="52" s="1"/>
  <c r="M4567" i="52" s="1"/>
  <c r="K4566" i="52"/>
  <c r="L4566" i="52" s="1"/>
  <c r="M4566" i="52" s="1"/>
  <c r="K4565" i="52"/>
  <c r="L4565" i="52" s="1"/>
  <c r="M4565" i="52" s="1"/>
  <c r="K4563" i="52"/>
  <c r="I4563" i="52"/>
  <c r="K4562" i="52"/>
  <c r="L4562" i="52" s="1"/>
  <c r="M4562" i="52" s="1"/>
  <c r="I4562" i="52"/>
  <c r="K4561" i="52"/>
  <c r="L4561" i="52" s="1"/>
  <c r="F4561" i="52"/>
  <c r="I4561" i="52" s="1"/>
  <c r="J4563" i="52" s="1"/>
  <c r="K4560" i="52"/>
  <c r="L4560" i="52" s="1"/>
  <c r="M4560" i="52" s="1"/>
  <c r="I4560" i="52"/>
  <c r="K4559" i="52"/>
  <c r="L4559" i="52" s="1"/>
  <c r="M4559" i="52" s="1"/>
  <c r="M4558" i="52"/>
  <c r="L4558" i="52"/>
  <c r="K4558" i="52"/>
  <c r="K4556" i="52"/>
  <c r="I4556" i="52"/>
  <c r="J4556" i="52" s="1"/>
  <c r="J4557" i="52" s="1"/>
  <c r="L4557" i="52" s="1"/>
  <c r="M4557" i="52" s="1"/>
  <c r="L4555" i="52"/>
  <c r="K4555" i="52"/>
  <c r="K4553" i="52"/>
  <c r="I4553" i="52"/>
  <c r="K4552" i="52"/>
  <c r="L4552" i="52" s="1"/>
  <c r="M4552" i="52" s="1"/>
  <c r="I4552" i="52"/>
  <c r="J4553" i="52" s="1"/>
  <c r="K4551" i="52"/>
  <c r="L4551" i="52" s="1"/>
  <c r="M4551" i="52" s="1"/>
  <c r="I4551" i="52"/>
  <c r="K4550" i="52"/>
  <c r="L4550" i="52" s="1"/>
  <c r="M4550" i="52" s="1"/>
  <c r="K4548" i="52"/>
  <c r="I4548" i="52"/>
  <c r="K4547" i="52"/>
  <c r="L4547" i="52" s="1"/>
  <c r="M4547" i="52" s="1"/>
  <c r="I4547" i="52"/>
  <c r="L4546" i="52"/>
  <c r="M4546" i="52" s="1"/>
  <c r="K4546" i="52"/>
  <c r="I4546" i="52"/>
  <c r="K4545" i="52"/>
  <c r="L4545" i="52" s="1"/>
  <c r="M4545" i="52" s="1"/>
  <c r="I4545" i="52"/>
  <c r="L4544" i="52"/>
  <c r="M4544" i="52" s="1"/>
  <c r="K4544" i="52"/>
  <c r="I4544" i="52"/>
  <c r="K4543" i="52"/>
  <c r="L4543" i="52" s="1"/>
  <c r="K4541" i="52"/>
  <c r="J4541" i="52"/>
  <c r="J4542" i="52" s="1"/>
  <c r="L4542" i="52" s="1"/>
  <c r="M4542" i="52" s="1"/>
  <c r="I4541" i="52"/>
  <c r="L4540" i="52"/>
  <c r="M4540" i="52" s="1"/>
  <c r="K4540" i="52"/>
  <c r="I4540" i="52"/>
  <c r="L4539" i="52"/>
  <c r="M4539" i="52" s="1"/>
  <c r="K4539" i="52"/>
  <c r="I4539" i="52"/>
  <c r="K4538" i="52"/>
  <c r="L4538" i="52" s="1"/>
  <c r="M4538" i="52" s="1"/>
  <c r="K4536" i="52"/>
  <c r="I4536" i="52"/>
  <c r="K4535" i="52"/>
  <c r="L4535" i="52" s="1"/>
  <c r="M4535" i="52" s="1"/>
  <c r="I4535" i="52"/>
  <c r="K4534" i="52"/>
  <c r="L4534" i="52" s="1"/>
  <c r="M4534" i="52" s="1"/>
  <c r="I4534" i="52"/>
  <c r="K4533" i="52"/>
  <c r="L4533" i="52" s="1"/>
  <c r="M4533" i="52" s="1"/>
  <c r="I4533" i="52"/>
  <c r="K4532" i="52"/>
  <c r="L4532" i="52" s="1"/>
  <c r="M4532" i="52" s="1"/>
  <c r="I4532" i="52"/>
  <c r="K4531" i="52"/>
  <c r="L4531" i="52" s="1"/>
  <c r="M4531" i="52" s="1"/>
  <c r="I4531" i="52"/>
  <c r="K4530" i="52"/>
  <c r="L4530" i="52" s="1"/>
  <c r="M4530" i="52" s="1"/>
  <c r="I4530" i="52"/>
  <c r="K4529" i="52"/>
  <c r="L4529" i="52" s="1"/>
  <c r="M4529" i="52" s="1"/>
  <c r="I4529" i="52"/>
  <c r="K4528" i="52"/>
  <c r="L4528" i="52" s="1"/>
  <c r="M4528" i="52" s="1"/>
  <c r="I4528" i="52"/>
  <c r="K4527" i="52"/>
  <c r="L4527" i="52" s="1"/>
  <c r="M4527" i="52" s="1"/>
  <c r="I4527" i="52"/>
  <c r="J4536" i="52" s="1"/>
  <c r="L4536" i="52" s="1"/>
  <c r="M4536" i="52" s="1"/>
  <c r="K4526" i="52"/>
  <c r="L4526" i="52" s="1"/>
  <c r="M4526" i="52" s="1"/>
  <c r="L4525" i="52"/>
  <c r="M4525" i="52" s="1"/>
  <c r="K4525" i="52"/>
  <c r="M4524" i="52"/>
  <c r="L4524" i="52"/>
  <c r="K4523" i="52"/>
  <c r="L4523" i="52" s="1"/>
  <c r="M4523" i="52" s="1"/>
  <c r="M4522" i="52"/>
  <c r="K4522" i="52"/>
  <c r="L4522" i="52" s="1"/>
  <c r="L4521" i="52"/>
  <c r="K4521" i="52"/>
  <c r="J4520" i="52"/>
  <c r="L4520" i="52" s="1"/>
  <c r="M4520" i="52" s="1"/>
  <c r="K4519" i="52"/>
  <c r="L4519" i="52" s="1"/>
  <c r="M4519" i="52" s="1"/>
  <c r="K4518" i="52"/>
  <c r="L4518" i="52" s="1"/>
  <c r="M4518" i="52" s="1"/>
  <c r="K4517" i="52"/>
  <c r="L4517" i="52" s="1"/>
  <c r="M4517" i="52" s="1"/>
  <c r="K4515" i="52"/>
  <c r="J4515" i="52"/>
  <c r="J4516" i="52" s="1"/>
  <c r="L4516" i="52" s="1"/>
  <c r="M4516" i="52" s="1"/>
  <c r="K4514" i="52"/>
  <c r="L4514" i="52" s="1"/>
  <c r="M4514" i="52" s="1"/>
  <c r="K4513" i="52"/>
  <c r="L4513" i="52" s="1"/>
  <c r="K4512" i="52"/>
  <c r="L4512" i="52" s="1"/>
  <c r="K4510" i="52"/>
  <c r="I4510" i="52"/>
  <c r="K4509" i="52"/>
  <c r="L4509" i="52" s="1"/>
  <c r="I4509" i="52"/>
  <c r="J4510" i="52" s="1"/>
  <c r="K4508" i="52"/>
  <c r="L4508" i="52" s="1"/>
  <c r="L4507" i="52"/>
  <c r="K4507" i="52"/>
  <c r="K4506" i="52"/>
  <c r="L4506" i="52" s="1"/>
  <c r="M4506" i="52" s="1"/>
  <c r="L4505" i="52"/>
  <c r="M4505" i="52" s="1"/>
  <c r="K4505" i="52"/>
  <c r="I4504" i="52"/>
  <c r="K4503" i="52"/>
  <c r="L4503" i="52" s="1"/>
  <c r="M4503" i="52" s="1"/>
  <c r="I4503" i="52"/>
  <c r="F4503" i="52"/>
  <c r="K4502" i="52"/>
  <c r="L4502" i="52" s="1"/>
  <c r="M4502" i="52" s="1"/>
  <c r="I4502" i="52"/>
  <c r="L4501" i="52"/>
  <c r="M4501" i="52" s="1"/>
  <c r="K4501" i="52"/>
  <c r="I4501" i="52"/>
  <c r="L4500" i="52"/>
  <c r="M4500" i="52" s="1"/>
  <c r="K4500" i="52"/>
  <c r="K4498" i="52"/>
  <c r="I4498" i="52"/>
  <c r="K4497" i="52"/>
  <c r="L4497" i="52" s="1"/>
  <c r="M4497" i="52" s="1"/>
  <c r="F4497" i="52"/>
  <c r="I4497" i="52" s="1"/>
  <c r="M4496" i="52"/>
  <c r="L4496" i="52"/>
  <c r="K4496" i="52"/>
  <c r="I4496" i="52"/>
  <c r="M4495" i="52"/>
  <c r="K4495" i="52"/>
  <c r="L4495" i="52" s="1"/>
  <c r="I4495" i="52"/>
  <c r="J4498" i="52" s="1"/>
  <c r="M4494" i="52"/>
  <c r="L4494" i="52"/>
  <c r="K4494" i="52"/>
  <c r="K4493" i="52"/>
  <c r="L4493" i="52" s="1"/>
  <c r="M4493" i="52" s="1"/>
  <c r="I4492" i="52"/>
  <c r="J4492" i="52" s="1"/>
  <c r="L4492" i="52" s="1"/>
  <c r="M4492" i="52" s="1"/>
  <c r="L4491" i="52"/>
  <c r="M4491" i="52" s="1"/>
  <c r="K4491" i="52"/>
  <c r="I4490" i="52"/>
  <c r="J4490" i="52" s="1"/>
  <c r="L4490" i="52" s="1"/>
  <c r="M4490" i="52" s="1"/>
  <c r="K4489" i="52"/>
  <c r="L4489" i="52" s="1"/>
  <c r="M4489" i="52" s="1"/>
  <c r="M4488" i="52"/>
  <c r="I4488" i="52"/>
  <c r="J4488" i="52" s="1"/>
  <c r="L4488" i="52" s="1"/>
  <c r="K4487" i="52"/>
  <c r="L4487" i="52" s="1"/>
  <c r="K4486" i="52"/>
  <c r="L4486" i="52" s="1"/>
  <c r="K4485" i="52"/>
  <c r="L4485" i="52" s="1"/>
  <c r="M4485" i="52" s="1"/>
  <c r="K4484" i="52"/>
  <c r="K4483" i="52"/>
  <c r="I4483" i="52"/>
  <c r="M4482" i="52"/>
  <c r="L4482" i="52"/>
  <c r="K4482" i="52"/>
  <c r="H4482" i="52"/>
  <c r="I4482" i="52" s="1"/>
  <c r="K4481" i="52"/>
  <c r="L4481" i="52" s="1"/>
  <c r="M4481" i="52" s="1"/>
  <c r="H4481" i="52"/>
  <c r="I4481" i="52" s="1"/>
  <c r="L4480" i="52"/>
  <c r="M4480" i="52" s="1"/>
  <c r="K4480" i="52"/>
  <c r="K4479" i="52"/>
  <c r="K4478" i="52"/>
  <c r="I4478" i="52"/>
  <c r="K4477" i="52"/>
  <c r="L4477" i="52" s="1"/>
  <c r="M4477" i="52" s="1"/>
  <c r="I4477" i="52"/>
  <c r="K4476" i="52"/>
  <c r="L4476" i="52" s="1"/>
  <c r="M4476" i="52" s="1"/>
  <c r="I4476" i="52"/>
  <c r="L4475" i="52"/>
  <c r="M4475" i="52" s="1"/>
  <c r="K4475" i="52"/>
  <c r="K4474" i="52"/>
  <c r="L4474" i="52" s="1"/>
  <c r="M4474" i="52" s="1"/>
  <c r="K4473" i="52"/>
  <c r="L4473" i="52" s="1"/>
  <c r="M4473" i="52" s="1"/>
  <c r="H4473" i="52"/>
  <c r="K4472" i="52"/>
  <c r="L4472" i="52" s="1"/>
  <c r="M4472" i="52" s="1"/>
  <c r="K4471" i="52"/>
  <c r="L4471" i="52" s="1"/>
  <c r="M4471" i="52" s="1"/>
  <c r="K4469" i="52"/>
  <c r="I4469" i="52"/>
  <c r="M4468" i="52"/>
  <c r="L4468" i="52"/>
  <c r="K4468" i="52"/>
  <c r="I4468" i="52"/>
  <c r="L4467" i="52"/>
  <c r="M4467" i="52" s="1"/>
  <c r="K4467" i="52"/>
  <c r="I4467" i="52"/>
  <c r="M4466" i="52"/>
  <c r="L4466" i="52"/>
  <c r="K4466" i="52"/>
  <c r="L4465" i="52"/>
  <c r="M4465" i="52" s="1"/>
  <c r="K4465" i="52"/>
  <c r="H4465" i="52"/>
  <c r="K4464" i="52"/>
  <c r="L4464" i="52" s="1"/>
  <c r="M4464" i="52" s="1"/>
  <c r="I4464" i="52"/>
  <c r="H4464" i="52"/>
  <c r="K4463" i="52"/>
  <c r="L4463" i="52" s="1"/>
  <c r="M4463" i="52" s="1"/>
  <c r="K4462" i="52"/>
  <c r="L4462" i="52" s="1"/>
  <c r="M4462" i="52" s="1"/>
  <c r="L4461" i="52"/>
  <c r="M4461" i="52" s="1"/>
  <c r="K4461" i="52"/>
  <c r="K4459" i="52"/>
  <c r="F4459" i="52"/>
  <c r="I4459" i="52" s="1"/>
  <c r="L4458" i="52"/>
  <c r="M4458" i="52" s="1"/>
  <c r="K4458" i="52"/>
  <c r="F4458" i="52"/>
  <c r="I4458" i="52" s="1"/>
  <c r="K4457" i="52"/>
  <c r="L4457" i="52" s="1"/>
  <c r="M4457" i="52" s="1"/>
  <c r="I4457" i="52"/>
  <c r="F4457" i="52"/>
  <c r="K4456" i="52"/>
  <c r="L4456" i="52" s="1"/>
  <c r="M4456" i="52" s="1"/>
  <c r="I4456" i="52"/>
  <c r="F4456" i="52"/>
  <c r="L4455" i="52"/>
  <c r="M4455" i="52" s="1"/>
  <c r="K4455" i="52"/>
  <c r="F4455" i="52"/>
  <c r="I4455" i="52" s="1"/>
  <c r="K4454" i="52"/>
  <c r="L4454" i="52" s="1"/>
  <c r="M4454" i="52" s="1"/>
  <c r="F4454" i="52"/>
  <c r="I4454" i="52" s="1"/>
  <c r="K4453" i="52"/>
  <c r="L4453" i="52" s="1"/>
  <c r="M4453" i="52" s="1"/>
  <c r="F4453" i="52"/>
  <c r="I4453" i="52" s="1"/>
  <c r="L4452" i="52"/>
  <c r="M4452" i="52" s="1"/>
  <c r="K4452" i="52"/>
  <c r="K4450" i="52"/>
  <c r="I4450" i="52"/>
  <c r="M4449" i="52"/>
  <c r="K4449" i="52"/>
  <c r="L4449" i="52" s="1"/>
  <c r="I4449" i="52"/>
  <c r="M4448" i="52"/>
  <c r="K4448" i="52"/>
  <c r="L4448" i="52" s="1"/>
  <c r="I4448" i="52"/>
  <c r="K4447" i="52"/>
  <c r="L4447" i="52" s="1"/>
  <c r="M4447" i="52" s="1"/>
  <c r="I4447" i="52"/>
  <c r="K4446" i="52"/>
  <c r="L4446" i="52" s="1"/>
  <c r="M4446" i="52" s="1"/>
  <c r="I4446" i="52"/>
  <c r="M4445" i="52"/>
  <c r="K4445" i="52"/>
  <c r="L4445" i="52" s="1"/>
  <c r="I4445" i="52"/>
  <c r="K4444" i="52"/>
  <c r="L4444" i="52" s="1"/>
  <c r="M4444" i="52" s="1"/>
  <c r="I4444" i="52"/>
  <c r="K4443" i="52"/>
  <c r="L4443" i="52" s="1"/>
  <c r="M4443" i="52" s="1"/>
  <c r="I4443" i="52"/>
  <c r="K4442" i="52"/>
  <c r="L4442" i="52" s="1"/>
  <c r="M4442" i="52" s="1"/>
  <c r="I4442" i="52"/>
  <c r="M4441" i="52"/>
  <c r="K4441" i="52"/>
  <c r="L4441" i="52" s="1"/>
  <c r="I4441" i="52"/>
  <c r="M4440" i="52"/>
  <c r="K4440" i="52"/>
  <c r="L4440" i="52" s="1"/>
  <c r="I4440" i="52"/>
  <c r="M4439" i="52"/>
  <c r="K4439" i="52"/>
  <c r="L4439" i="52" s="1"/>
  <c r="I4439" i="52"/>
  <c r="K4438" i="52"/>
  <c r="L4438" i="52" s="1"/>
  <c r="I4438" i="52"/>
  <c r="K4437" i="52"/>
  <c r="L4437" i="52" s="1"/>
  <c r="H4437" i="52"/>
  <c r="I4437" i="52" s="1"/>
  <c r="J4450" i="52" s="1"/>
  <c r="L4436" i="52"/>
  <c r="K4436" i="52"/>
  <c r="H4436" i="52"/>
  <c r="I4436" i="52" s="1"/>
  <c r="L4435" i="52"/>
  <c r="M4435" i="52" s="1"/>
  <c r="K4435" i="52"/>
  <c r="I4435" i="52"/>
  <c r="M4434" i="52"/>
  <c r="L4434" i="52"/>
  <c r="K4434" i="52"/>
  <c r="I4434" i="52"/>
  <c r="L4433" i="52"/>
  <c r="M4433" i="52" s="1"/>
  <c r="K4433" i="52"/>
  <c r="I4433" i="52"/>
  <c r="M4432" i="52"/>
  <c r="L4432" i="52"/>
  <c r="K4432" i="52"/>
  <c r="I4432" i="52"/>
  <c r="L4431" i="52"/>
  <c r="M4431" i="52" s="1"/>
  <c r="K4431" i="52"/>
  <c r="I4431" i="52"/>
  <c r="M4430" i="52"/>
  <c r="L4430" i="52"/>
  <c r="K4430" i="52"/>
  <c r="I4430" i="52"/>
  <c r="L4429" i="52"/>
  <c r="M4429" i="52" s="1"/>
  <c r="K4429" i="52"/>
  <c r="I4429" i="52"/>
  <c r="M4428" i="52"/>
  <c r="L4428" i="52"/>
  <c r="K4428" i="52"/>
  <c r="I4428" i="52"/>
  <c r="L4427" i="52"/>
  <c r="M4427" i="52" s="1"/>
  <c r="K4427" i="52"/>
  <c r="I4427" i="52"/>
  <c r="M4426" i="52"/>
  <c r="L4426" i="52"/>
  <c r="K4426" i="52"/>
  <c r="I4426" i="52"/>
  <c r="L4425" i="52"/>
  <c r="M4425" i="52" s="1"/>
  <c r="K4425" i="52"/>
  <c r="I4425" i="52"/>
  <c r="M4424" i="52"/>
  <c r="L4424" i="52"/>
  <c r="K4424" i="52"/>
  <c r="I4424" i="52"/>
  <c r="L4423" i="52"/>
  <c r="M4423" i="52" s="1"/>
  <c r="K4423" i="52"/>
  <c r="I4423" i="52"/>
  <c r="M4422" i="52"/>
  <c r="L4422" i="52"/>
  <c r="K4422" i="52"/>
  <c r="I4422" i="52"/>
  <c r="L4421" i="52"/>
  <c r="M4421" i="52" s="1"/>
  <c r="K4421" i="52"/>
  <c r="I4421" i="52"/>
  <c r="M4420" i="52"/>
  <c r="L4420" i="52"/>
  <c r="K4420" i="52"/>
  <c r="I4420" i="52"/>
  <c r="L4419" i="52"/>
  <c r="M4419" i="52" s="1"/>
  <c r="K4419" i="52"/>
  <c r="I4419" i="52"/>
  <c r="M4418" i="52"/>
  <c r="L4418" i="52"/>
  <c r="K4418" i="52"/>
  <c r="I4418" i="52"/>
  <c r="L4417" i="52"/>
  <c r="M4417" i="52" s="1"/>
  <c r="K4417" i="52"/>
  <c r="I4417" i="52"/>
  <c r="M4416" i="52"/>
  <c r="L4416" i="52"/>
  <c r="K4416" i="52"/>
  <c r="H4416" i="52"/>
  <c r="I4416" i="52" s="1"/>
  <c r="L4415" i="52"/>
  <c r="M4415" i="52" s="1"/>
  <c r="K4415" i="52"/>
  <c r="I4415" i="52"/>
  <c r="M4414" i="52"/>
  <c r="L4414" i="52"/>
  <c r="K4414" i="52"/>
  <c r="K4412" i="52"/>
  <c r="F4412" i="52"/>
  <c r="I4412" i="52" s="1"/>
  <c r="K4411" i="52"/>
  <c r="L4411" i="52" s="1"/>
  <c r="M4411" i="52" s="1"/>
  <c r="F4411" i="52"/>
  <c r="I4411" i="52" s="1"/>
  <c r="K4410" i="52"/>
  <c r="L4410" i="52" s="1"/>
  <c r="M4410" i="52" s="1"/>
  <c r="F4410" i="52"/>
  <c r="I4410" i="52" s="1"/>
  <c r="K4409" i="52"/>
  <c r="L4409" i="52" s="1"/>
  <c r="M4409" i="52" s="1"/>
  <c r="F4409" i="52"/>
  <c r="I4409" i="52" s="1"/>
  <c r="M4408" i="52"/>
  <c r="L4408" i="52"/>
  <c r="K4408" i="52"/>
  <c r="F4408" i="52"/>
  <c r="I4408" i="52" s="1"/>
  <c r="L4407" i="52"/>
  <c r="M4407" i="52" s="1"/>
  <c r="K4407" i="52"/>
  <c r="F4407" i="52"/>
  <c r="I4407" i="52" s="1"/>
  <c r="K4406" i="52"/>
  <c r="L4406" i="52" s="1"/>
  <c r="M4406" i="52" s="1"/>
  <c r="I4406" i="52"/>
  <c r="F4406" i="52"/>
  <c r="K4405" i="52"/>
  <c r="L4405" i="52" s="1"/>
  <c r="M4405" i="52" s="1"/>
  <c r="K4403" i="52"/>
  <c r="I4403" i="52"/>
  <c r="K4402" i="52"/>
  <c r="L4402" i="52" s="1"/>
  <c r="M4402" i="52" s="1"/>
  <c r="I4402" i="52"/>
  <c r="K4401" i="52"/>
  <c r="L4401" i="52" s="1"/>
  <c r="M4401" i="52" s="1"/>
  <c r="I4401" i="52"/>
  <c r="K4400" i="52"/>
  <c r="L4400" i="52" s="1"/>
  <c r="M4400" i="52" s="1"/>
  <c r="F4400" i="52"/>
  <c r="I4400" i="52" s="1"/>
  <c r="K4399" i="52"/>
  <c r="L4399" i="52" s="1"/>
  <c r="M4399" i="52" s="1"/>
  <c r="I4399" i="52"/>
  <c r="K4398" i="52"/>
  <c r="L4398" i="52" s="1"/>
  <c r="M4398" i="52" s="1"/>
  <c r="I4398" i="52"/>
  <c r="K4397" i="52"/>
  <c r="L4397" i="52" s="1"/>
  <c r="M4397" i="52" s="1"/>
  <c r="I4397" i="52"/>
  <c r="K4396" i="52"/>
  <c r="L4396" i="52" s="1"/>
  <c r="M4396" i="52" s="1"/>
  <c r="I4396" i="52"/>
  <c r="L4395" i="52"/>
  <c r="M4395" i="52" s="1"/>
  <c r="K4395" i="52"/>
  <c r="I4395" i="52"/>
  <c r="K4394" i="52"/>
  <c r="L4394" i="52" s="1"/>
  <c r="M4394" i="52" s="1"/>
  <c r="I4394" i="52"/>
  <c r="L4393" i="52"/>
  <c r="M4393" i="52" s="1"/>
  <c r="K4393" i="52"/>
  <c r="I4393" i="52"/>
  <c r="K4392" i="52"/>
  <c r="L4392" i="52" s="1"/>
  <c r="M4392" i="52" s="1"/>
  <c r="I4392" i="52"/>
  <c r="K4391" i="52"/>
  <c r="L4391" i="52" s="1"/>
  <c r="M4391" i="52" s="1"/>
  <c r="I4391" i="52"/>
  <c r="K4390" i="52"/>
  <c r="L4390" i="52" s="1"/>
  <c r="M4390" i="52" s="1"/>
  <c r="I4390" i="52"/>
  <c r="K4389" i="52"/>
  <c r="L4389" i="52" s="1"/>
  <c r="M4389" i="52" s="1"/>
  <c r="I4389" i="52"/>
  <c r="K4388" i="52"/>
  <c r="L4388" i="52" s="1"/>
  <c r="M4388" i="52" s="1"/>
  <c r="I4388" i="52"/>
  <c r="K4387" i="52"/>
  <c r="L4387" i="52" s="1"/>
  <c r="M4387" i="52" s="1"/>
  <c r="I4387" i="52"/>
  <c r="K4386" i="52"/>
  <c r="L4386" i="52" s="1"/>
  <c r="I4386" i="52"/>
  <c r="K4385" i="52"/>
  <c r="L4385" i="52" s="1"/>
  <c r="M4385" i="52" s="1"/>
  <c r="H4385" i="52"/>
  <c r="I4385" i="52" s="1"/>
  <c r="K4384" i="52"/>
  <c r="L4384" i="52" s="1"/>
  <c r="M4384" i="52" s="1"/>
  <c r="I4384" i="52"/>
  <c r="K4383" i="52"/>
  <c r="L4383" i="52" s="1"/>
  <c r="M4383" i="52" s="1"/>
  <c r="I4383" i="52"/>
  <c r="L4382" i="52"/>
  <c r="M4382" i="52" s="1"/>
  <c r="K4382" i="52"/>
  <c r="I4382" i="52"/>
  <c r="K4381" i="52"/>
  <c r="L4381" i="52" s="1"/>
  <c r="M4381" i="52" s="1"/>
  <c r="I4381" i="52"/>
  <c r="K4380" i="52"/>
  <c r="L4380" i="52" s="1"/>
  <c r="M4380" i="52" s="1"/>
  <c r="I4380" i="52"/>
  <c r="K4379" i="52"/>
  <c r="L4379" i="52" s="1"/>
  <c r="M4379" i="52" s="1"/>
  <c r="F4379" i="52"/>
  <c r="I4379" i="52" s="1"/>
  <c r="K4378" i="52"/>
  <c r="L4378" i="52" s="1"/>
  <c r="M4378" i="52" s="1"/>
  <c r="I4378" i="52"/>
  <c r="K4377" i="52"/>
  <c r="L4377" i="52" s="1"/>
  <c r="M4377" i="52" s="1"/>
  <c r="I4377" i="52"/>
  <c r="K4376" i="52"/>
  <c r="L4376" i="52" s="1"/>
  <c r="M4376" i="52" s="1"/>
  <c r="I4376" i="52"/>
  <c r="L4375" i="52"/>
  <c r="M4375" i="52" s="1"/>
  <c r="K4375" i="52"/>
  <c r="I4375" i="52"/>
  <c r="L4374" i="52"/>
  <c r="M4374" i="52" s="1"/>
  <c r="K4374" i="52"/>
  <c r="I4374" i="52"/>
  <c r="K4373" i="52"/>
  <c r="L4373" i="52" s="1"/>
  <c r="M4373" i="52" s="1"/>
  <c r="I4373" i="52"/>
  <c r="K4372" i="52"/>
  <c r="L4372" i="52" s="1"/>
  <c r="M4372" i="52" s="1"/>
  <c r="I4372" i="52"/>
  <c r="L4371" i="52"/>
  <c r="M4371" i="52" s="1"/>
  <c r="K4371" i="52"/>
  <c r="I4371" i="52"/>
  <c r="K4370" i="52"/>
  <c r="L4370" i="52" s="1"/>
  <c r="M4370" i="52" s="1"/>
  <c r="I4370" i="52"/>
  <c r="K4369" i="52"/>
  <c r="L4369" i="52" s="1"/>
  <c r="M4369" i="52" s="1"/>
  <c r="I4369" i="52"/>
  <c r="K4368" i="52"/>
  <c r="L4368" i="52" s="1"/>
  <c r="M4368" i="52" s="1"/>
  <c r="I4368" i="52"/>
  <c r="L4367" i="52"/>
  <c r="M4367" i="52" s="1"/>
  <c r="K4367" i="52"/>
  <c r="I4367" i="52"/>
  <c r="L4366" i="52"/>
  <c r="M4366" i="52" s="1"/>
  <c r="K4366" i="52"/>
  <c r="I4366" i="52"/>
  <c r="K4365" i="52"/>
  <c r="L4365" i="52" s="1"/>
  <c r="M4365" i="52" s="1"/>
  <c r="I4365" i="52"/>
  <c r="K4364" i="52"/>
  <c r="L4364" i="52" s="1"/>
  <c r="M4364" i="52" s="1"/>
  <c r="I4364" i="52"/>
  <c r="L4363" i="52"/>
  <c r="M4363" i="52" s="1"/>
  <c r="K4363" i="52"/>
  <c r="I4363" i="52"/>
  <c r="K4362" i="52"/>
  <c r="L4362" i="52" s="1"/>
  <c r="M4362" i="52" s="1"/>
  <c r="I4362" i="52"/>
  <c r="K4361" i="52"/>
  <c r="L4361" i="52" s="1"/>
  <c r="M4361" i="52" s="1"/>
  <c r="F4361" i="52"/>
  <c r="I4361" i="52" s="1"/>
  <c r="K4360" i="52"/>
  <c r="L4360" i="52" s="1"/>
  <c r="M4360" i="52" s="1"/>
  <c r="I4360" i="52"/>
  <c r="K4359" i="52"/>
  <c r="L4359" i="52" s="1"/>
  <c r="M4359" i="52" s="1"/>
  <c r="I4359" i="52"/>
  <c r="K4358" i="52"/>
  <c r="L4358" i="52" s="1"/>
  <c r="M4358" i="52" s="1"/>
  <c r="I4358" i="52"/>
  <c r="K4357" i="52"/>
  <c r="L4357" i="52" s="1"/>
  <c r="M4357" i="52" s="1"/>
  <c r="I4357" i="52"/>
  <c r="K4356" i="52"/>
  <c r="L4356" i="52" s="1"/>
  <c r="M4356" i="52" s="1"/>
  <c r="I4356" i="52"/>
  <c r="L4355" i="52"/>
  <c r="M4355" i="52" s="1"/>
  <c r="K4355" i="52"/>
  <c r="K4353" i="52"/>
  <c r="F4353" i="52"/>
  <c r="I4353" i="52" s="1"/>
  <c r="L4352" i="52"/>
  <c r="M4352" i="52" s="1"/>
  <c r="K4352" i="52"/>
  <c r="F4352" i="52"/>
  <c r="I4352" i="52" s="1"/>
  <c r="K4351" i="52"/>
  <c r="L4351" i="52" s="1"/>
  <c r="M4351" i="52" s="1"/>
  <c r="I4351" i="52"/>
  <c r="F4351" i="52"/>
  <c r="K4350" i="52"/>
  <c r="L4350" i="52" s="1"/>
  <c r="M4350" i="52" s="1"/>
  <c r="F4350" i="52"/>
  <c r="I4350" i="52" s="1"/>
  <c r="K4349" i="52"/>
  <c r="L4349" i="52" s="1"/>
  <c r="M4349" i="52" s="1"/>
  <c r="F4349" i="52"/>
  <c r="I4349" i="52" s="1"/>
  <c r="L4348" i="52"/>
  <c r="K4348" i="52"/>
  <c r="F4348" i="52"/>
  <c r="I4348" i="52" s="1"/>
  <c r="M4347" i="52"/>
  <c r="L4347" i="52"/>
  <c r="K4347" i="52"/>
  <c r="F4347" i="52"/>
  <c r="I4347" i="52" s="1"/>
  <c r="K4346" i="52"/>
  <c r="L4346" i="52" s="1"/>
  <c r="M4346" i="52" s="1"/>
  <c r="I4346" i="52"/>
  <c r="F4346" i="52"/>
  <c r="K4345" i="52"/>
  <c r="L4345" i="52" s="1"/>
  <c r="M4345" i="52" s="1"/>
  <c r="I4345" i="52"/>
  <c r="F4345" i="52"/>
  <c r="K4344" i="52"/>
  <c r="L4344" i="52" s="1"/>
  <c r="M4344" i="52" s="1"/>
  <c r="F4344" i="52"/>
  <c r="I4344" i="52" s="1"/>
  <c r="L4343" i="52"/>
  <c r="M4343" i="52" s="1"/>
  <c r="K4343" i="52"/>
  <c r="F4343" i="52"/>
  <c r="I4343" i="52" s="1"/>
  <c r="K4342" i="52"/>
  <c r="L4342" i="52" s="1"/>
  <c r="M4342" i="52" s="1"/>
  <c r="F4342" i="52"/>
  <c r="I4342" i="52" s="1"/>
  <c r="K4341" i="52"/>
  <c r="L4341" i="52" s="1"/>
  <c r="K4340" i="52"/>
  <c r="L4340" i="52" s="1"/>
  <c r="K4339" i="52"/>
  <c r="L4339" i="52" s="1"/>
  <c r="L4338" i="52"/>
  <c r="K4338" i="52"/>
  <c r="K4337" i="52"/>
  <c r="L4337" i="52" s="1"/>
  <c r="L4336" i="52"/>
  <c r="K4336" i="52"/>
  <c r="K4335" i="52"/>
  <c r="L4335" i="52" s="1"/>
  <c r="L4334" i="52"/>
  <c r="K4334" i="52"/>
  <c r="K4332" i="52"/>
  <c r="I4332" i="52"/>
  <c r="K4331" i="52"/>
  <c r="L4331" i="52" s="1"/>
  <c r="M4331" i="52" s="1"/>
  <c r="I4331" i="52"/>
  <c r="L4330" i="52"/>
  <c r="M4330" i="52" s="1"/>
  <c r="K4330" i="52"/>
  <c r="I4330" i="52"/>
  <c r="K4329" i="52"/>
  <c r="L4329" i="52" s="1"/>
  <c r="M4329" i="52" s="1"/>
  <c r="I4329" i="52"/>
  <c r="K4328" i="52"/>
  <c r="L4328" i="52" s="1"/>
  <c r="M4328" i="52" s="1"/>
  <c r="I4328" i="52"/>
  <c r="K4327" i="52"/>
  <c r="L4327" i="52" s="1"/>
  <c r="M4327" i="52" s="1"/>
  <c r="I4327" i="52"/>
  <c r="L4326" i="52"/>
  <c r="M4326" i="52" s="1"/>
  <c r="K4326" i="52"/>
  <c r="I4326" i="52"/>
  <c r="K4325" i="52"/>
  <c r="L4325" i="52" s="1"/>
  <c r="M4325" i="52" s="1"/>
  <c r="I4325" i="52"/>
  <c r="L4324" i="52"/>
  <c r="M4324" i="52" s="1"/>
  <c r="K4324" i="52"/>
  <c r="I4324" i="52"/>
  <c r="K4323" i="52"/>
  <c r="L4323" i="52" s="1"/>
  <c r="M4323" i="52" s="1"/>
  <c r="I4323" i="52"/>
  <c r="L4322" i="52"/>
  <c r="M4322" i="52" s="1"/>
  <c r="K4322" i="52"/>
  <c r="I4322" i="52"/>
  <c r="K4321" i="52"/>
  <c r="L4321" i="52" s="1"/>
  <c r="M4321" i="52" s="1"/>
  <c r="I4321" i="52"/>
  <c r="K4320" i="52"/>
  <c r="L4320" i="52" s="1"/>
  <c r="M4320" i="52" s="1"/>
  <c r="I4320" i="52"/>
  <c r="K4319" i="52"/>
  <c r="L4319" i="52" s="1"/>
  <c r="M4319" i="52" s="1"/>
  <c r="I4319" i="52"/>
  <c r="K4318" i="52"/>
  <c r="L4318" i="52" s="1"/>
  <c r="M4318" i="52" s="1"/>
  <c r="I4318" i="52"/>
  <c r="K4317" i="52"/>
  <c r="L4317" i="52" s="1"/>
  <c r="M4317" i="52" s="1"/>
  <c r="I4317" i="52"/>
  <c r="K4316" i="52"/>
  <c r="L4316" i="52" s="1"/>
  <c r="M4316" i="52" s="1"/>
  <c r="I4316" i="52"/>
  <c r="K4315" i="52"/>
  <c r="L4315" i="52" s="1"/>
  <c r="M4315" i="52" s="1"/>
  <c r="I4315" i="52"/>
  <c r="L4314" i="52"/>
  <c r="M4314" i="52" s="1"/>
  <c r="K4314" i="52"/>
  <c r="I4314" i="52"/>
  <c r="K4313" i="52"/>
  <c r="L4313" i="52" s="1"/>
  <c r="M4313" i="52" s="1"/>
  <c r="I4313" i="52"/>
  <c r="F4313" i="52"/>
  <c r="K4312" i="52"/>
  <c r="L4312" i="52" s="1"/>
  <c r="M4312" i="52" s="1"/>
  <c r="I4312" i="52"/>
  <c r="K4311" i="52"/>
  <c r="L4311" i="52" s="1"/>
  <c r="M4311" i="52" s="1"/>
  <c r="I4311" i="52"/>
  <c r="L4310" i="52"/>
  <c r="M4310" i="52" s="1"/>
  <c r="K4310" i="52"/>
  <c r="I4310" i="52"/>
  <c r="L4309" i="52"/>
  <c r="M4309" i="52" s="1"/>
  <c r="K4309" i="52"/>
  <c r="I4309" i="52"/>
  <c r="L4308" i="52"/>
  <c r="M4308" i="52" s="1"/>
  <c r="K4308" i="52"/>
  <c r="I4308" i="52"/>
  <c r="K4307" i="52"/>
  <c r="L4307" i="52" s="1"/>
  <c r="M4307" i="52" s="1"/>
  <c r="I4307" i="52"/>
  <c r="K4306" i="52"/>
  <c r="L4306" i="52" s="1"/>
  <c r="I4306" i="52"/>
  <c r="L4305" i="52"/>
  <c r="M4305" i="52" s="1"/>
  <c r="K4305" i="52"/>
  <c r="I4305" i="52"/>
  <c r="K4304" i="52"/>
  <c r="L4304" i="52" s="1"/>
  <c r="M4304" i="52" s="1"/>
  <c r="I4304" i="52"/>
  <c r="L4303" i="52"/>
  <c r="M4303" i="52" s="1"/>
  <c r="K4303" i="52"/>
  <c r="I4303" i="52"/>
  <c r="K4302" i="52"/>
  <c r="L4302" i="52" s="1"/>
  <c r="M4302" i="52" s="1"/>
  <c r="I4302" i="52"/>
  <c r="L4301" i="52"/>
  <c r="M4301" i="52" s="1"/>
  <c r="K4301" i="52"/>
  <c r="I4301" i="52"/>
  <c r="K4300" i="52"/>
  <c r="L4300" i="52" s="1"/>
  <c r="M4300" i="52" s="1"/>
  <c r="I4300" i="52"/>
  <c r="K4299" i="52"/>
  <c r="L4299" i="52" s="1"/>
  <c r="I4299" i="52"/>
  <c r="K4298" i="52"/>
  <c r="L4298" i="52" s="1"/>
  <c r="I4298" i="52"/>
  <c r="K4297" i="52"/>
  <c r="L4297" i="52" s="1"/>
  <c r="I4297" i="52"/>
  <c r="L4296" i="52"/>
  <c r="M4296" i="52" s="1"/>
  <c r="K4296" i="52"/>
  <c r="I4296" i="52"/>
  <c r="K4295" i="52"/>
  <c r="L4295" i="52" s="1"/>
  <c r="M4295" i="52" s="1"/>
  <c r="I4295" i="52"/>
  <c r="L4294" i="52"/>
  <c r="M4294" i="52" s="1"/>
  <c r="K4294" i="52"/>
  <c r="I4294" i="52"/>
  <c r="K4293" i="52"/>
  <c r="L4293" i="52" s="1"/>
  <c r="M4293" i="52" s="1"/>
  <c r="I4293" i="52"/>
  <c r="L4292" i="52"/>
  <c r="M4292" i="52" s="1"/>
  <c r="K4292" i="52"/>
  <c r="I4292" i="52"/>
  <c r="K4291" i="52"/>
  <c r="L4291" i="52" s="1"/>
  <c r="M4291" i="52" s="1"/>
  <c r="I4291" i="52"/>
  <c r="L4290" i="52"/>
  <c r="M4290" i="52" s="1"/>
  <c r="K4290" i="52"/>
  <c r="I4290" i="52"/>
  <c r="K4289" i="52"/>
  <c r="L4289" i="52" s="1"/>
  <c r="M4289" i="52" s="1"/>
  <c r="I4289" i="52"/>
  <c r="L4288" i="52"/>
  <c r="M4288" i="52" s="1"/>
  <c r="K4288" i="52"/>
  <c r="I4288" i="52"/>
  <c r="K4287" i="52"/>
  <c r="L4287" i="52" s="1"/>
  <c r="M4287" i="52" s="1"/>
  <c r="I4287" i="52"/>
  <c r="L4286" i="52"/>
  <c r="M4286" i="52" s="1"/>
  <c r="K4286" i="52"/>
  <c r="I4286" i="52"/>
  <c r="K4285" i="52"/>
  <c r="L4285" i="52" s="1"/>
  <c r="M4285" i="52" s="1"/>
  <c r="I4285" i="52"/>
  <c r="L4284" i="52"/>
  <c r="M4284" i="52" s="1"/>
  <c r="K4284" i="52"/>
  <c r="I4284" i="52"/>
  <c r="K4283" i="52"/>
  <c r="L4283" i="52" s="1"/>
  <c r="M4283" i="52" s="1"/>
  <c r="I4283" i="52"/>
  <c r="L4282" i="52"/>
  <c r="M4282" i="52" s="1"/>
  <c r="K4282" i="52"/>
  <c r="I4282" i="52"/>
  <c r="K4281" i="52"/>
  <c r="L4281" i="52" s="1"/>
  <c r="M4281" i="52" s="1"/>
  <c r="I4281" i="52"/>
  <c r="L4280" i="52"/>
  <c r="M4280" i="52" s="1"/>
  <c r="K4280" i="52"/>
  <c r="I4280" i="52"/>
  <c r="K4279" i="52"/>
  <c r="L4279" i="52" s="1"/>
  <c r="M4279" i="52" s="1"/>
  <c r="I4279" i="52"/>
  <c r="L4278" i="52"/>
  <c r="M4278" i="52" s="1"/>
  <c r="K4278" i="52"/>
  <c r="I4278" i="52"/>
  <c r="K4277" i="52"/>
  <c r="L4277" i="52" s="1"/>
  <c r="M4277" i="52" s="1"/>
  <c r="I4277" i="52"/>
  <c r="L4276" i="52"/>
  <c r="M4276" i="52" s="1"/>
  <c r="K4276" i="52"/>
  <c r="I4276" i="52"/>
  <c r="L4275" i="52"/>
  <c r="M4275" i="52" s="1"/>
  <c r="K4275" i="52"/>
  <c r="I4275" i="52"/>
  <c r="L4274" i="52"/>
  <c r="M4274" i="52" s="1"/>
  <c r="K4274" i="52"/>
  <c r="I4274" i="52"/>
  <c r="L4273" i="52"/>
  <c r="M4273" i="52" s="1"/>
  <c r="K4273" i="52"/>
  <c r="I4273" i="52"/>
  <c r="L4272" i="52"/>
  <c r="M4272" i="52" s="1"/>
  <c r="K4272" i="52"/>
  <c r="K4271" i="52"/>
  <c r="L4271" i="52" s="1"/>
  <c r="M4271" i="52" s="1"/>
  <c r="K4269" i="52"/>
  <c r="I4269" i="52"/>
  <c r="F4269" i="52"/>
  <c r="K4268" i="52"/>
  <c r="L4268" i="52" s="1"/>
  <c r="M4268" i="52" s="1"/>
  <c r="F4268" i="52"/>
  <c r="I4268" i="52" s="1"/>
  <c r="K4267" i="52"/>
  <c r="L4267" i="52" s="1"/>
  <c r="M4267" i="52" s="1"/>
  <c r="F4267" i="52"/>
  <c r="I4267" i="52" s="1"/>
  <c r="K4266" i="52"/>
  <c r="L4266" i="52" s="1"/>
  <c r="M4266" i="52" s="1"/>
  <c r="I4266" i="52"/>
  <c r="F4266" i="52"/>
  <c r="K4265" i="52"/>
  <c r="L4265" i="52" s="1"/>
  <c r="M4265" i="52" s="1"/>
  <c r="F4265" i="52"/>
  <c r="I4265" i="52" s="1"/>
  <c r="K4264" i="52"/>
  <c r="L4264" i="52" s="1"/>
  <c r="M4264" i="52" s="1"/>
  <c r="K4262" i="52"/>
  <c r="I4262" i="52"/>
  <c r="K4261" i="52"/>
  <c r="L4261" i="52" s="1"/>
  <c r="M4261" i="52" s="1"/>
  <c r="I4261" i="52"/>
  <c r="K4260" i="52"/>
  <c r="L4260" i="52" s="1"/>
  <c r="M4260" i="52" s="1"/>
  <c r="I4260" i="52"/>
  <c r="K4259" i="52"/>
  <c r="L4259" i="52" s="1"/>
  <c r="M4259" i="52" s="1"/>
  <c r="I4259" i="52"/>
  <c r="K4258" i="52"/>
  <c r="L4258" i="52" s="1"/>
  <c r="M4258" i="52" s="1"/>
  <c r="I4258" i="52"/>
  <c r="K4257" i="52"/>
  <c r="L4257" i="52" s="1"/>
  <c r="M4257" i="52" s="1"/>
  <c r="K4256" i="52"/>
  <c r="L4256" i="52" s="1"/>
  <c r="M4256" i="52" s="1"/>
  <c r="L4255" i="52"/>
  <c r="M4255" i="52" s="1"/>
  <c r="K4255" i="52"/>
  <c r="H4255" i="52"/>
  <c r="K4254" i="52"/>
  <c r="L4254" i="52" s="1"/>
  <c r="M4254" i="52" s="1"/>
  <c r="K4252" i="52"/>
  <c r="I4252" i="52"/>
  <c r="F4252" i="52"/>
  <c r="L4251" i="52"/>
  <c r="M4251" i="52" s="1"/>
  <c r="K4251" i="52"/>
  <c r="F4251" i="52"/>
  <c r="I4251" i="52" s="1"/>
  <c r="K4250" i="52"/>
  <c r="L4250" i="52" s="1"/>
  <c r="M4250" i="52" s="1"/>
  <c r="F4250" i="52"/>
  <c r="I4250" i="52" s="1"/>
  <c r="K4249" i="52"/>
  <c r="L4249" i="52" s="1"/>
  <c r="M4249" i="52" s="1"/>
  <c r="F4249" i="52"/>
  <c r="I4249" i="52" s="1"/>
  <c r="K4248" i="52"/>
  <c r="L4248" i="52" s="1"/>
  <c r="M4248" i="52" s="1"/>
  <c r="F4248" i="52"/>
  <c r="I4248" i="52" s="1"/>
  <c r="K4247" i="52"/>
  <c r="L4247" i="52" s="1"/>
  <c r="M4247" i="52" s="1"/>
  <c r="K4245" i="52"/>
  <c r="I4245" i="52"/>
  <c r="K4244" i="52"/>
  <c r="L4244" i="52" s="1"/>
  <c r="M4244" i="52" s="1"/>
  <c r="I4244" i="52"/>
  <c r="L4243" i="52"/>
  <c r="M4243" i="52" s="1"/>
  <c r="K4243" i="52"/>
  <c r="I4243" i="52"/>
  <c r="L4242" i="52"/>
  <c r="M4242" i="52" s="1"/>
  <c r="K4242" i="52"/>
  <c r="I4242" i="52"/>
  <c r="K4241" i="52"/>
  <c r="L4241" i="52" s="1"/>
  <c r="I4241" i="52"/>
  <c r="L4240" i="52"/>
  <c r="M4240" i="52" s="1"/>
  <c r="K4240" i="52"/>
  <c r="K4239" i="52"/>
  <c r="L4239" i="52" s="1"/>
  <c r="M4239" i="52" s="1"/>
  <c r="I4239" i="52"/>
  <c r="K4238" i="52"/>
  <c r="L4238" i="52" s="1"/>
  <c r="M4238" i="52" s="1"/>
  <c r="L4237" i="52"/>
  <c r="M4237" i="52" s="1"/>
  <c r="K4237" i="52"/>
  <c r="M4236" i="52"/>
  <c r="K4236" i="52"/>
  <c r="L4236" i="52" s="1"/>
  <c r="E4236" i="52"/>
  <c r="E4256" i="52" s="1"/>
  <c r="L4235" i="52"/>
  <c r="M4235" i="52" s="1"/>
  <c r="K4235" i="52"/>
  <c r="E4235" i="52"/>
  <c r="E4255" i="52" s="1"/>
  <c r="K4234" i="52"/>
  <c r="L4234" i="52" s="1"/>
  <c r="M4234" i="52" s="1"/>
  <c r="K4232" i="52"/>
  <c r="F4232" i="52"/>
  <c r="I4232" i="52" s="1"/>
  <c r="K4231" i="52"/>
  <c r="L4231" i="52" s="1"/>
  <c r="M4231" i="52" s="1"/>
  <c r="F4231" i="52"/>
  <c r="I4231" i="52" s="1"/>
  <c r="L4230" i="52"/>
  <c r="M4230" i="52" s="1"/>
  <c r="K4230" i="52"/>
  <c r="F4230" i="52"/>
  <c r="I4230" i="52" s="1"/>
  <c r="K4229" i="52"/>
  <c r="L4229" i="52" s="1"/>
  <c r="M4229" i="52" s="1"/>
  <c r="I4229" i="52"/>
  <c r="F4229" i="52"/>
  <c r="K4228" i="52"/>
  <c r="L4228" i="52" s="1"/>
  <c r="M4228" i="52" s="1"/>
  <c r="I4228" i="52"/>
  <c r="F4228" i="52"/>
  <c r="K4227" i="52"/>
  <c r="L4227" i="52" s="1"/>
  <c r="M4227" i="52" s="1"/>
  <c r="F4227" i="52"/>
  <c r="E4227" i="52"/>
  <c r="K4226" i="52"/>
  <c r="L4226" i="52" s="1"/>
  <c r="M4226" i="52" s="1"/>
  <c r="F4226" i="52"/>
  <c r="I4226" i="52" s="1"/>
  <c r="E4226" i="52"/>
  <c r="L4225" i="52"/>
  <c r="M4225" i="52" s="1"/>
  <c r="K4225" i="52"/>
  <c r="F4225" i="52"/>
  <c r="I4225" i="52" s="1"/>
  <c r="E4225" i="52"/>
  <c r="K4224" i="52"/>
  <c r="L4224" i="52" s="1"/>
  <c r="M4224" i="52" s="1"/>
  <c r="P4222" i="52"/>
  <c r="Q4222" i="52" s="1"/>
  <c r="K4222" i="52"/>
  <c r="I4222" i="52"/>
  <c r="K4221" i="52"/>
  <c r="L4221" i="52" s="1"/>
  <c r="M4221" i="52" s="1"/>
  <c r="I4221" i="52"/>
  <c r="K4220" i="52"/>
  <c r="L4220" i="52" s="1"/>
  <c r="M4220" i="52" s="1"/>
  <c r="I4220" i="52"/>
  <c r="K4219" i="52"/>
  <c r="L4219" i="52" s="1"/>
  <c r="M4219" i="52" s="1"/>
  <c r="I4219" i="52"/>
  <c r="K4218" i="52"/>
  <c r="L4218" i="52" s="1"/>
  <c r="M4218" i="52" s="1"/>
  <c r="I4218" i="52"/>
  <c r="K4217" i="52"/>
  <c r="L4217" i="52" s="1"/>
  <c r="M4217" i="52" s="1"/>
  <c r="I4217" i="52"/>
  <c r="K4216" i="52"/>
  <c r="L4216" i="52" s="1"/>
  <c r="M4216" i="52" s="1"/>
  <c r="I4216" i="52"/>
  <c r="K4215" i="52"/>
  <c r="L4215" i="52" s="1"/>
  <c r="M4215" i="52" s="1"/>
  <c r="I4215" i="52"/>
  <c r="K4214" i="52"/>
  <c r="L4214" i="52" s="1"/>
  <c r="M4214" i="52" s="1"/>
  <c r="M4213" i="52"/>
  <c r="K4213" i="52"/>
  <c r="L4213" i="52" s="1"/>
  <c r="H4213" i="52"/>
  <c r="H4236" i="52" s="1"/>
  <c r="K4212" i="52"/>
  <c r="L4212" i="52" s="1"/>
  <c r="M4212" i="52" s="1"/>
  <c r="H4212" i="52"/>
  <c r="H4235" i="52" s="1"/>
  <c r="M4211" i="52"/>
  <c r="K4211" i="52"/>
  <c r="L4211" i="52" s="1"/>
  <c r="K4210" i="52"/>
  <c r="L4210" i="52" s="1"/>
  <c r="M4210" i="52" s="1"/>
  <c r="K4208" i="52"/>
  <c r="L4208" i="52" s="1"/>
  <c r="M4208" i="52" s="1"/>
  <c r="M4207" i="52"/>
  <c r="L4207" i="52"/>
  <c r="K4207" i="52"/>
  <c r="K4202" i="52"/>
  <c r="L4202" i="52" s="1"/>
  <c r="M4202" i="52" s="1"/>
  <c r="K4200" i="52"/>
  <c r="F4200" i="52"/>
  <c r="I4200" i="52" s="1"/>
  <c r="M4199" i="52"/>
  <c r="L4199" i="52"/>
  <c r="K4199" i="52"/>
  <c r="F4199" i="52"/>
  <c r="I4199" i="52" s="1"/>
  <c r="K4198" i="52"/>
  <c r="L4198" i="52" s="1"/>
  <c r="M4198" i="52" s="1"/>
  <c r="I4198" i="52"/>
  <c r="G4198" i="52"/>
  <c r="E4198" i="52"/>
  <c r="L4197" i="52"/>
  <c r="M4197" i="52" s="1"/>
  <c r="K4197" i="52"/>
  <c r="I4197" i="52"/>
  <c r="L4196" i="52"/>
  <c r="M4196" i="52" s="1"/>
  <c r="K4196" i="52"/>
  <c r="K4193" i="52"/>
  <c r="K4192" i="52"/>
  <c r="L4192" i="52" s="1"/>
  <c r="M4192" i="52" s="1"/>
  <c r="F4192" i="52"/>
  <c r="K4191" i="52"/>
  <c r="L4191" i="52" s="1"/>
  <c r="M4191" i="52" s="1"/>
  <c r="L4190" i="52"/>
  <c r="M4190" i="52" s="1"/>
  <c r="K4190" i="52"/>
  <c r="K4188" i="52"/>
  <c r="L4187" i="52"/>
  <c r="M4187" i="52" s="1"/>
  <c r="K4187" i="52"/>
  <c r="I4187" i="52"/>
  <c r="L4186" i="52"/>
  <c r="M4186" i="52" s="1"/>
  <c r="K4186" i="52"/>
  <c r="F4186" i="52"/>
  <c r="I4186" i="52" s="1"/>
  <c r="K4185" i="52"/>
  <c r="L4185" i="52" s="1"/>
  <c r="M4185" i="52" s="1"/>
  <c r="F4185" i="52"/>
  <c r="I4185" i="52" s="1"/>
  <c r="K4184" i="52"/>
  <c r="L4184" i="52" s="1"/>
  <c r="M4184" i="52" s="1"/>
  <c r="K4183" i="52"/>
  <c r="L4183" i="52" s="1"/>
  <c r="M4183" i="52" s="1"/>
  <c r="F4183" i="52"/>
  <c r="I4183" i="52" s="1"/>
  <c r="K4182" i="52"/>
  <c r="L4182" i="52" s="1"/>
  <c r="M4182" i="52" s="1"/>
  <c r="I4182" i="52"/>
  <c r="L4181" i="52"/>
  <c r="M4181" i="52" s="1"/>
  <c r="K4181" i="52"/>
  <c r="I4181" i="52"/>
  <c r="K4180" i="52"/>
  <c r="L4180" i="52" s="1"/>
  <c r="M4180" i="52" s="1"/>
  <c r="K4179" i="52"/>
  <c r="L4179" i="52" s="1"/>
  <c r="L4178" i="52"/>
  <c r="M4178" i="52" s="1"/>
  <c r="K4178" i="52"/>
  <c r="K4177" i="52"/>
  <c r="L4177" i="52" s="1"/>
  <c r="M4177" i="52" s="1"/>
  <c r="K4175" i="52"/>
  <c r="F4175" i="52"/>
  <c r="I4175" i="52" s="1"/>
  <c r="K4174" i="52"/>
  <c r="L4174" i="52" s="1"/>
  <c r="M4174" i="52" s="1"/>
  <c r="F4174" i="52"/>
  <c r="I4174" i="52" s="1"/>
  <c r="K4173" i="52"/>
  <c r="L4173" i="52" s="1"/>
  <c r="I4173" i="52"/>
  <c r="K4172" i="52"/>
  <c r="L4172" i="52" s="1"/>
  <c r="L4171" i="52"/>
  <c r="M4171" i="52" s="1"/>
  <c r="K4171" i="52"/>
  <c r="I4171" i="52"/>
  <c r="K4170" i="52"/>
  <c r="L4170" i="52" s="1"/>
  <c r="M4170" i="52" s="1"/>
  <c r="K4168" i="52"/>
  <c r="I4168" i="52"/>
  <c r="K4167" i="52"/>
  <c r="L4167" i="52" s="1"/>
  <c r="M4167" i="52" s="1"/>
  <c r="I4167" i="52"/>
  <c r="K4166" i="52"/>
  <c r="L4166" i="52" s="1"/>
  <c r="M4166" i="52" s="1"/>
  <c r="I4166" i="52"/>
  <c r="K4165" i="52"/>
  <c r="L4165" i="52" s="1"/>
  <c r="M4165" i="52" s="1"/>
  <c r="I4165" i="52"/>
  <c r="L4164" i="52"/>
  <c r="M4164" i="52" s="1"/>
  <c r="K4164" i="52"/>
  <c r="F4164" i="52"/>
  <c r="I4164" i="52" s="1"/>
  <c r="K4163" i="52"/>
  <c r="L4163" i="52" s="1"/>
  <c r="M4163" i="52" s="1"/>
  <c r="F4163" i="52"/>
  <c r="I4163" i="52" s="1"/>
  <c r="K4162" i="52"/>
  <c r="L4162" i="52" s="1"/>
  <c r="I4162" i="52"/>
  <c r="K4161" i="52"/>
  <c r="L4161" i="52" s="1"/>
  <c r="I4161" i="52"/>
  <c r="K4160" i="52"/>
  <c r="L4160" i="52" s="1"/>
  <c r="K4159" i="52"/>
  <c r="L4159" i="52" s="1"/>
  <c r="M4159" i="52" s="1"/>
  <c r="I4159" i="52"/>
  <c r="J4168" i="52" s="1"/>
  <c r="J4169" i="52" s="1"/>
  <c r="L4169" i="52" s="1"/>
  <c r="M4169" i="52" s="1"/>
  <c r="K4158" i="52"/>
  <c r="L4158" i="52" s="1"/>
  <c r="M4158" i="52" s="1"/>
  <c r="K4157" i="52"/>
  <c r="L4157" i="52" s="1"/>
  <c r="M4157" i="52" s="1"/>
  <c r="K4155" i="52"/>
  <c r="I4155" i="52"/>
  <c r="K4154" i="52"/>
  <c r="L4154" i="52" s="1"/>
  <c r="M4154" i="52" s="1"/>
  <c r="I4154" i="52"/>
  <c r="K4153" i="52"/>
  <c r="L4153" i="52" s="1"/>
  <c r="L4152" i="52"/>
  <c r="K4152" i="52"/>
  <c r="I4152" i="52"/>
  <c r="K4151" i="52"/>
  <c r="L4151" i="52" s="1"/>
  <c r="I4151" i="52"/>
  <c r="K4150" i="52"/>
  <c r="L4150" i="52" s="1"/>
  <c r="M4149" i="52"/>
  <c r="K4149" i="52"/>
  <c r="L4149" i="52" s="1"/>
  <c r="I4149" i="52"/>
  <c r="K4148" i="52"/>
  <c r="L4148" i="52" s="1"/>
  <c r="M4148" i="52" s="1"/>
  <c r="I4148" i="52"/>
  <c r="M4147" i="52"/>
  <c r="K4147" i="52"/>
  <c r="L4147" i="52" s="1"/>
  <c r="I4147" i="52"/>
  <c r="K4146" i="52"/>
  <c r="L4146" i="52" s="1"/>
  <c r="M4146" i="52" s="1"/>
  <c r="I4146" i="52"/>
  <c r="K4145" i="52"/>
  <c r="L4145" i="52" s="1"/>
  <c r="M4145" i="52" s="1"/>
  <c r="F4145" i="52"/>
  <c r="I4145" i="52" s="1"/>
  <c r="K4144" i="52"/>
  <c r="L4144" i="52" s="1"/>
  <c r="M4144" i="52" s="1"/>
  <c r="F4144" i="52"/>
  <c r="I4144" i="52" s="1"/>
  <c r="K4143" i="52"/>
  <c r="L4143" i="52" s="1"/>
  <c r="M4143" i="52" s="1"/>
  <c r="I4143" i="52"/>
  <c r="L4142" i="52"/>
  <c r="M4142" i="52" s="1"/>
  <c r="K4142" i="52"/>
  <c r="K4141" i="52"/>
  <c r="L4141" i="52" s="1"/>
  <c r="M4141" i="52" s="1"/>
  <c r="K4140" i="52"/>
  <c r="L4140" i="52" s="1"/>
  <c r="M4140" i="52" s="1"/>
  <c r="K4139" i="52"/>
  <c r="K4138" i="52"/>
  <c r="K4137" i="52"/>
  <c r="L4137" i="52" s="1"/>
  <c r="M4137" i="52" s="1"/>
  <c r="G4137" i="52"/>
  <c r="F4137" i="52"/>
  <c r="I4137" i="52" s="1"/>
  <c r="L4136" i="52"/>
  <c r="M4136" i="52" s="1"/>
  <c r="K4136" i="52"/>
  <c r="L4135" i="52"/>
  <c r="M4135" i="52" s="1"/>
  <c r="K4135" i="52"/>
  <c r="K4134" i="52"/>
  <c r="L4134" i="52" s="1"/>
  <c r="M4134" i="52" s="1"/>
  <c r="K4133" i="52"/>
  <c r="L4133" i="52" s="1"/>
  <c r="M4133" i="52" s="1"/>
  <c r="L4132" i="52"/>
  <c r="M4132" i="52" s="1"/>
  <c r="K4132" i="52"/>
  <c r="K4131" i="52"/>
  <c r="L4131" i="52" s="1"/>
  <c r="M4131" i="52" s="1"/>
  <c r="L4130" i="52"/>
  <c r="M4130" i="52" s="1"/>
  <c r="K4130" i="52"/>
  <c r="K4129" i="52"/>
  <c r="L4129" i="52" s="1"/>
  <c r="M4129" i="52" s="1"/>
  <c r="L4128" i="52"/>
  <c r="M4128" i="52" s="1"/>
  <c r="K4128" i="52"/>
  <c r="L4127" i="52"/>
  <c r="M4127" i="52" s="1"/>
  <c r="K4127" i="52"/>
  <c r="K4126" i="52"/>
  <c r="L4126" i="52" s="1"/>
  <c r="M4126" i="52" s="1"/>
  <c r="K4125" i="52"/>
  <c r="L4125" i="52" s="1"/>
  <c r="M4125" i="52" s="1"/>
  <c r="L4124" i="52"/>
  <c r="M4124" i="52" s="1"/>
  <c r="K4124" i="52"/>
  <c r="K4123" i="52"/>
  <c r="L4123" i="52" s="1"/>
  <c r="M4123" i="52" s="1"/>
  <c r="L4122" i="52"/>
  <c r="M4122" i="52" s="1"/>
  <c r="K4122" i="52"/>
  <c r="K4121" i="52"/>
  <c r="L4121" i="52" s="1"/>
  <c r="M4121" i="52" s="1"/>
  <c r="L4120" i="52"/>
  <c r="M4120" i="52" s="1"/>
  <c r="K4120" i="52"/>
  <c r="L4119" i="52"/>
  <c r="M4119" i="52" s="1"/>
  <c r="K4119" i="52"/>
  <c r="K4118" i="52"/>
  <c r="L4118" i="52" s="1"/>
  <c r="M4118" i="52" s="1"/>
  <c r="K4117" i="52"/>
  <c r="L4117" i="52" s="1"/>
  <c r="M4117" i="52" s="1"/>
  <c r="L4116" i="52"/>
  <c r="M4116" i="52" s="1"/>
  <c r="K4116" i="52"/>
  <c r="K4115" i="52"/>
  <c r="L4115" i="52" s="1"/>
  <c r="M4115" i="52" s="1"/>
  <c r="L4114" i="52"/>
  <c r="M4114" i="52" s="1"/>
  <c r="K4114" i="52"/>
  <c r="K4113" i="52"/>
  <c r="L4113" i="52" s="1"/>
  <c r="M4113" i="52" s="1"/>
  <c r="L4112" i="52"/>
  <c r="M4112" i="52" s="1"/>
  <c r="K4112" i="52"/>
  <c r="L4111" i="52"/>
  <c r="M4111" i="52" s="1"/>
  <c r="K4111" i="52"/>
  <c r="K4110" i="52"/>
  <c r="L4110" i="52" s="1"/>
  <c r="M4110" i="52" s="1"/>
  <c r="K4109" i="52"/>
  <c r="L4109" i="52" s="1"/>
  <c r="M4109" i="52" s="1"/>
  <c r="L4108" i="52"/>
  <c r="M4108" i="52" s="1"/>
  <c r="K4108" i="52"/>
  <c r="K4107" i="52"/>
  <c r="L4107" i="52" s="1"/>
  <c r="M4107" i="52" s="1"/>
  <c r="L4106" i="52"/>
  <c r="M4106" i="52" s="1"/>
  <c r="K4106" i="52"/>
  <c r="K4105" i="52"/>
  <c r="L4105" i="52" s="1"/>
  <c r="M4105" i="52" s="1"/>
  <c r="L4104" i="52"/>
  <c r="M4104" i="52" s="1"/>
  <c r="K4104" i="52"/>
  <c r="L4103" i="52"/>
  <c r="M4103" i="52" s="1"/>
  <c r="K4103" i="52"/>
  <c r="K4102" i="52"/>
  <c r="L4102" i="52" s="1"/>
  <c r="M4102" i="52" s="1"/>
  <c r="K4101" i="52"/>
  <c r="L4101" i="52" s="1"/>
  <c r="M4101" i="52" s="1"/>
  <c r="K4099" i="52"/>
  <c r="F4099" i="52"/>
  <c r="I4099" i="52" s="1"/>
  <c r="K4098" i="52"/>
  <c r="L4098" i="52" s="1"/>
  <c r="M4098" i="52" s="1"/>
  <c r="K4097" i="52"/>
  <c r="K4096" i="52"/>
  <c r="I4096" i="52"/>
  <c r="L4095" i="52"/>
  <c r="M4095" i="52" s="1"/>
  <c r="K4095" i="52"/>
  <c r="I4095" i="52"/>
  <c r="K4094" i="52"/>
  <c r="L4094" i="52" s="1"/>
  <c r="M4094" i="52" s="1"/>
  <c r="E4094" i="52"/>
  <c r="L4093" i="52"/>
  <c r="M4093" i="52" s="1"/>
  <c r="K4093" i="52"/>
  <c r="H4093" i="52"/>
  <c r="H4094" i="52" s="1"/>
  <c r="I4094" i="52" s="1"/>
  <c r="K4092" i="52"/>
  <c r="L4092" i="52" s="1"/>
  <c r="M4092" i="52" s="1"/>
  <c r="H4092" i="52"/>
  <c r="I4092" i="52" s="1"/>
  <c r="L4091" i="52"/>
  <c r="M4091" i="52" s="1"/>
  <c r="K4091" i="52"/>
  <c r="I4091" i="52"/>
  <c r="H4091" i="52"/>
  <c r="M4090" i="52"/>
  <c r="K4090" i="52"/>
  <c r="L4090" i="52" s="1"/>
  <c r="K4089" i="52"/>
  <c r="L4089" i="52" s="1"/>
  <c r="M4089" i="52" s="1"/>
  <c r="K4088" i="52"/>
  <c r="L4088" i="52" s="1"/>
  <c r="M4088" i="52" s="1"/>
  <c r="L4087" i="52"/>
  <c r="M4087" i="52" s="1"/>
  <c r="K4087" i="52"/>
  <c r="K4086" i="52"/>
  <c r="K4085" i="52"/>
  <c r="F4085" i="52"/>
  <c r="I4085" i="52" s="1"/>
  <c r="K4084" i="52"/>
  <c r="L4084" i="52" s="1"/>
  <c r="M4084" i="52" s="1"/>
  <c r="I4084" i="52"/>
  <c r="F4084" i="52"/>
  <c r="L4083" i="52"/>
  <c r="M4083" i="52" s="1"/>
  <c r="K4083" i="52"/>
  <c r="I4083" i="52"/>
  <c r="F4083" i="52"/>
  <c r="L4082" i="52"/>
  <c r="M4082" i="52" s="1"/>
  <c r="K4082" i="52"/>
  <c r="F4082" i="52"/>
  <c r="I4082" i="52" s="1"/>
  <c r="K4081" i="52"/>
  <c r="L4081" i="52" s="1"/>
  <c r="M4081" i="52" s="1"/>
  <c r="K4080" i="52"/>
  <c r="K4079" i="52"/>
  <c r="I4079" i="52"/>
  <c r="M4078" i="52"/>
  <c r="K4078" i="52"/>
  <c r="L4078" i="52" s="1"/>
  <c r="I4078" i="52"/>
  <c r="K4077" i="52"/>
  <c r="L4077" i="52" s="1"/>
  <c r="M4077" i="52" s="1"/>
  <c r="I4077" i="52"/>
  <c r="K4076" i="52"/>
  <c r="L4076" i="52" s="1"/>
  <c r="M4076" i="52" s="1"/>
  <c r="I4076" i="52"/>
  <c r="K4075" i="52"/>
  <c r="L4075" i="52" s="1"/>
  <c r="M4075" i="52" s="1"/>
  <c r="K4074" i="52"/>
  <c r="L4074" i="52" s="1"/>
  <c r="M4074" i="52" s="1"/>
  <c r="K4073" i="52"/>
  <c r="L4073" i="52" s="1"/>
  <c r="M4073" i="52" s="1"/>
  <c r="H4073" i="52"/>
  <c r="I4073" i="52" s="1"/>
  <c r="K4072" i="52"/>
  <c r="L4072" i="52" s="1"/>
  <c r="M4072" i="52" s="1"/>
  <c r="H4072" i="52"/>
  <c r="I4072" i="52" s="1"/>
  <c r="L4071" i="52"/>
  <c r="M4071" i="52" s="1"/>
  <c r="K4071" i="52"/>
  <c r="I4071" i="52"/>
  <c r="K4070" i="52"/>
  <c r="L4070" i="52" s="1"/>
  <c r="M4070" i="52" s="1"/>
  <c r="H4070" i="52"/>
  <c r="I4070" i="52" s="1"/>
  <c r="K4069" i="52"/>
  <c r="L4069" i="52" s="1"/>
  <c r="I4069" i="52"/>
  <c r="K4068" i="52"/>
  <c r="L4068" i="52" s="1"/>
  <c r="M4068" i="52" s="1"/>
  <c r="I4068" i="52"/>
  <c r="L4067" i="52"/>
  <c r="M4067" i="52" s="1"/>
  <c r="K4067" i="52"/>
  <c r="K4066" i="52"/>
  <c r="L4066" i="52" s="1"/>
  <c r="M4066" i="52" s="1"/>
  <c r="H4066" i="52"/>
  <c r="M4065" i="52"/>
  <c r="K4065" i="52"/>
  <c r="L4065" i="52" s="1"/>
  <c r="K4064" i="52"/>
  <c r="L4064" i="52" s="1"/>
  <c r="M4064" i="52" s="1"/>
  <c r="K4063" i="52"/>
  <c r="L4063" i="52" s="1"/>
  <c r="M4063" i="52" s="1"/>
  <c r="K4062" i="52"/>
  <c r="L4062" i="52" s="1"/>
  <c r="M4062" i="52" s="1"/>
  <c r="M4061" i="52"/>
  <c r="L4061" i="52"/>
  <c r="K4061" i="52"/>
  <c r="L4060" i="52"/>
  <c r="M4060" i="52" s="1"/>
  <c r="K4060" i="52"/>
  <c r="K4059" i="52"/>
  <c r="K4058" i="52"/>
  <c r="F4058" i="52"/>
  <c r="I4058" i="52" s="1"/>
  <c r="K4057" i="52"/>
  <c r="L4057" i="52" s="1"/>
  <c r="M4057" i="52" s="1"/>
  <c r="F4057" i="52"/>
  <c r="I4057" i="52" s="1"/>
  <c r="K4056" i="52"/>
  <c r="L4056" i="52" s="1"/>
  <c r="M4056" i="52" s="1"/>
  <c r="I4056" i="52"/>
  <c r="F4056" i="52"/>
  <c r="L4055" i="52"/>
  <c r="M4055" i="52" s="1"/>
  <c r="K4055" i="52"/>
  <c r="K4054" i="52"/>
  <c r="L4054" i="52" s="1"/>
  <c r="M4054" i="52" s="1"/>
  <c r="T4053" i="52"/>
  <c r="K4052" i="52"/>
  <c r="I4052" i="52"/>
  <c r="L4051" i="52"/>
  <c r="M4051" i="52" s="1"/>
  <c r="K4051" i="52"/>
  <c r="I4051" i="52"/>
  <c r="K4050" i="52"/>
  <c r="L4050" i="52" s="1"/>
  <c r="M4050" i="52" s="1"/>
  <c r="I4050" i="52"/>
  <c r="K4049" i="52"/>
  <c r="L4049" i="52" s="1"/>
  <c r="H4049" i="52"/>
  <c r="I4049" i="52" s="1"/>
  <c r="K4048" i="52"/>
  <c r="L4048" i="52" s="1"/>
  <c r="M4048" i="52" s="1"/>
  <c r="H4048" i="52"/>
  <c r="I4048" i="52" s="1"/>
  <c r="K4047" i="52"/>
  <c r="L4047" i="52" s="1"/>
  <c r="M4047" i="52" s="1"/>
  <c r="I4047" i="52"/>
  <c r="H4047" i="52"/>
  <c r="K4046" i="52"/>
  <c r="L4046" i="52" s="1"/>
  <c r="M4046" i="52" s="1"/>
  <c r="H4046" i="52"/>
  <c r="I4046" i="52" s="1"/>
  <c r="K4045" i="52"/>
  <c r="L4045" i="52" s="1"/>
  <c r="I4045" i="52"/>
  <c r="K4044" i="52"/>
  <c r="L4044" i="52" s="1"/>
  <c r="M4044" i="52" s="1"/>
  <c r="I4044" i="52"/>
  <c r="H4044" i="52"/>
  <c r="L4043" i="52"/>
  <c r="M4043" i="52" s="1"/>
  <c r="K4043" i="52"/>
  <c r="I4043" i="52"/>
  <c r="H4043" i="52"/>
  <c r="L4042" i="52"/>
  <c r="M4042" i="52" s="1"/>
  <c r="K4042" i="52"/>
  <c r="H4042" i="52"/>
  <c r="I4042" i="52" s="1"/>
  <c r="K4041" i="52"/>
  <c r="L4041" i="52" s="1"/>
  <c r="M4041" i="52" s="1"/>
  <c r="H4041" i="52"/>
  <c r="I4041" i="52" s="1"/>
  <c r="K4040" i="52"/>
  <c r="L4040" i="52" s="1"/>
  <c r="M4040" i="52" s="1"/>
  <c r="M4039" i="52"/>
  <c r="L4039" i="52"/>
  <c r="K4039" i="52"/>
  <c r="L4038" i="52"/>
  <c r="M4038" i="52" s="1"/>
  <c r="K4038" i="52"/>
  <c r="L4037" i="52"/>
  <c r="M4037" i="52" s="1"/>
  <c r="K4037" i="52"/>
  <c r="K4036" i="52"/>
  <c r="L4036" i="52" s="1"/>
  <c r="M4036" i="52" s="1"/>
  <c r="K4034" i="52"/>
  <c r="K4033" i="52"/>
  <c r="L4033" i="52" s="1"/>
  <c r="M4033" i="52" s="1"/>
  <c r="I4033" i="52"/>
  <c r="K4032" i="52"/>
  <c r="L4032" i="52" s="1"/>
  <c r="M4032" i="52" s="1"/>
  <c r="I4032" i="52"/>
  <c r="K4031" i="52"/>
  <c r="L4031" i="52" s="1"/>
  <c r="M4031" i="52" s="1"/>
  <c r="I4031" i="52"/>
  <c r="K4030" i="52"/>
  <c r="L4030" i="52" s="1"/>
  <c r="M4030" i="52" s="1"/>
  <c r="I4030" i="52"/>
  <c r="K4029" i="52"/>
  <c r="L4029" i="52" s="1"/>
  <c r="M4029" i="52" s="1"/>
  <c r="I4029" i="52"/>
  <c r="K4028" i="52"/>
  <c r="L4028" i="52" s="1"/>
  <c r="M4028" i="52" s="1"/>
  <c r="L4027" i="52"/>
  <c r="M4027" i="52" s="1"/>
  <c r="I4025" i="52"/>
  <c r="L4024" i="52"/>
  <c r="M4024" i="52" s="1"/>
  <c r="I4024" i="52"/>
  <c r="J4025" i="52" s="1"/>
  <c r="L4025" i="52" s="1"/>
  <c r="M4025" i="52" s="1"/>
  <c r="L4023" i="52"/>
  <c r="M4023" i="52" s="1"/>
  <c r="I4023" i="52"/>
  <c r="L4022" i="52"/>
  <c r="M4022" i="52" s="1"/>
  <c r="P4018" i="52"/>
  <c r="K4017" i="52"/>
  <c r="I4017" i="52"/>
  <c r="K4016" i="52"/>
  <c r="L4016" i="52" s="1"/>
  <c r="M4016" i="52" s="1"/>
  <c r="I4016" i="52"/>
  <c r="L4015" i="52"/>
  <c r="M4015" i="52" s="1"/>
  <c r="K4015" i="52"/>
  <c r="I4015" i="52"/>
  <c r="K4014" i="52"/>
  <c r="L4014" i="52" s="1"/>
  <c r="M4014" i="52" s="1"/>
  <c r="I4014" i="52"/>
  <c r="L4013" i="52"/>
  <c r="M4013" i="52" s="1"/>
  <c r="K4013" i="52"/>
  <c r="I4013" i="52"/>
  <c r="I4012" i="52"/>
  <c r="L4011" i="52"/>
  <c r="M4011" i="52" s="1"/>
  <c r="K4011" i="52"/>
  <c r="I4011" i="52"/>
  <c r="I4010" i="52"/>
  <c r="F4010" i="52"/>
  <c r="K4009" i="52"/>
  <c r="L4009" i="52" s="1"/>
  <c r="M4009" i="52" s="1"/>
  <c r="I4009" i="52"/>
  <c r="H4009" i="52"/>
  <c r="K4008" i="52"/>
  <c r="L4008" i="52" s="1"/>
  <c r="M4008" i="52" s="1"/>
  <c r="H4008" i="52"/>
  <c r="I4008" i="52" s="1"/>
  <c r="L4007" i="52"/>
  <c r="M4007" i="52" s="1"/>
  <c r="K4007" i="52"/>
  <c r="H4007" i="52"/>
  <c r="I4007" i="52" s="1"/>
  <c r="M4006" i="52"/>
  <c r="K4006" i="52"/>
  <c r="L4006" i="52" s="1"/>
  <c r="I4006" i="52"/>
  <c r="H4006" i="52"/>
  <c r="F4006" i="52"/>
  <c r="K4005" i="52"/>
  <c r="L4005" i="52" s="1"/>
  <c r="M4005" i="52" s="1"/>
  <c r="H4005" i="52"/>
  <c r="I4005" i="52" s="1"/>
  <c r="L4004" i="52"/>
  <c r="M4004" i="52" s="1"/>
  <c r="K4004" i="52"/>
  <c r="H4004" i="52"/>
  <c r="I4004" i="52" s="1"/>
  <c r="K4003" i="52"/>
  <c r="L4003" i="52" s="1"/>
  <c r="M4003" i="52" s="1"/>
  <c r="S4001" i="52"/>
  <c r="S4000" i="52"/>
  <c r="K4000" i="52"/>
  <c r="I4000" i="52"/>
  <c r="K3999" i="52"/>
  <c r="L3999" i="52" s="1"/>
  <c r="M3999" i="52" s="1"/>
  <c r="I3999" i="52"/>
  <c r="K3998" i="52"/>
  <c r="L3998" i="52" s="1"/>
  <c r="M3998" i="52" s="1"/>
  <c r="I3998" i="52"/>
  <c r="K3997" i="52"/>
  <c r="L3997" i="52" s="1"/>
  <c r="M3997" i="52" s="1"/>
  <c r="I3997" i="52"/>
  <c r="K3996" i="52"/>
  <c r="L3996" i="52" s="1"/>
  <c r="M3996" i="52" s="1"/>
  <c r="I3996" i="52"/>
  <c r="I3995" i="52"/>
  <c r="L3994" i="52"/>
  <c r="M3994" i="52" s="1"/>
  <c r="K3994" i="52"/>
  <c r="L3992" i="52"/>
  <c r="M3992" i="52" s="1"/>
  <c r="K3992" i="52"/>
  <c r="I3992" i="52"/>
  <c r="K3991" i="52"/>
  <c r="L3991" i="52" s="1"/>
  <c r="M3991" i="52" s="1"/>
  <c r="I3991" i="52"/>
  <c r="L3990" i="52"/>
  <c r="M3990" i="52" s="1"/>
  <c r="K3990" i="52"/>
  <c r="I3990" i="52"/>
  <c r="K3989" i="52"/>
  <c r="L3989" i="52" s="1"/>
  <c r="M3989" i="52" s="1"/>
  <c r="F3989" i="52"/>
  <c r="I3989" i="52" s="1"/>
  <c r="K3988" i="52"/>
  <c r="L3988" i="52" s="1"/>
  <c r="M3988" i="52" s="1"/>
  <c r="I3988" i="52"/>
  <c r="K3987" i="52"/>
  <c r="L3987" i="52" s="1"/>
  <c r="M3987" i="52" s="1"/>
  <c r="I3987" i="52"/>
  <c r="K3986" i="52"/>
  <c r="L3986" i="52" s="1"/>
  <c r="M3986" i="52" s="1"/>
  <c r="K3985" i="52"/>
  <c r="L3985" i="52" s="1"/>
  <c r="M3985" i="52" s="1"/>
  <c r="K3984" i="52"/>
  <c r="L3984" i="52" s="1"/>
  <c r="M3984" i="52" s="1"/>
  <c r="K3982" i="52"/>
  <c r="L3981" i="52"/>
  <c r="M3981" i="52" s="1"/>
  <c r="K3981" i="52"/>
  <c r="I3981" i="52"/>
  <c r="K3980" i="52"/>
  <c r="L3980" i="52" s="1"/>
  <c r="M3980" i="52" s="1"/>
  <c r="I3980" i="52"/>
  <c r="L3979" i="52"/>
  <c r="M3979" i="52" s="1"/>
  <c r="K3979" i="52"/>
  <c r="I3979" i="52"/>
  <c r="K3978" i="52"/>
  <c r="L3978" i="52" s="1"/>
  <c r="M3978" i="52" s="1"/>
  <c r="I3978" i="52"/>
  <c r="K3977" i="52"/>
  <c r="L3977" i="52" s="1"/>
  <c r="M3977" i="52" s="1"/>
  <c r="I3977" i="52"/>
  <c r="K3976" i="52"/>
  <c r="L3976" i="52" s="1"/>
  <c r="M3976" i="52" s="1"/>
  <c r="I3976" i="52"/>
  <c r="L3975" i="52"/>
  <c r="M3975" i="52" s="1"/>
  <c r="K3975" i="52"/>
  <c r="I3975" i="52"/>
  <c r="L3974" i="52"/>
  <c r="M3974" i="52" s="1"/>
  <c r="K3974" i="52"/>
  <c r="K3973" i="52"/>
  <c r="L3973" i="52" s="1"/>
  <c r="M3973" i="52" s="1"/>
  <c r="K3971" i="52"/>
  <c r="I3971" i="52"/>
  <c r="L3970" i="52"/>
  <c r="M3970" i="52" s="1"/>
  <c r="K3970" i="52"/>
  <c r="I3970" i="52"/>
  <c r="L3969" i="52"/>
  <c r="M3969" i="52" s="1"/>
  <c r="K3969" i="52"/>
  <c r="I3969" i="52"/>
  <c r="L3968" i="52"/>
  <c r="M3968" i="52" s="1"/>
  <c r="K3968" i="52"/>
  <c r="K3961" i="52"/>
  <c r="L3961" i="52" s="1"/>
  <c r="M3961" i="52" s="1"/>
  <c r="K3959" i="52"/>
  <c r="I3959" i="52"/>
  <c r="L3958" i="52"/>
  <c r="M3958" i="52" s="1"/>
  <c r="K3958" i="52"/>
  <c r="I3958" i="52"/>
  <c r="L3957" i="52"/>
  <c r="M3957" i="52" s="1"/>
  <c r="K3957" i="52"/>
  <c r="I3957" i="52"/>
  <c r="K3956" i="52"/>
  <c r="L3956" i="52" s="1"/>
  <c r="M3956" i="52" s="1"/>
  <c r="I3956" i="52"/>
  <c r="L3955" i="52"/>
  <c r="M3955" i="52" s="1"/>
  <c r="K3955" i="52"/>
  <c r="I3955" i="52"/>
  <c r="K3954" i="52"/>
  <c r="L3954" i="52" s="1"/>
  <c r="M3954" i="52" s="1"/>
  <c r="I3954" i="52"/>
  <c r="K3953" i="52"/>
  <c r="L3953" i="52" s="1"/>
  <c r="M3953" i="52" s="1"/>
  <c r="I3953" i="52"/>
  <c r="F3952" i="52"/>
  <c r="I3952" i="52" s="1"/>
  <c r="L3951" i="52"/>
  <c r="M3951" i="52" s="1"/>
  <c r="K3951" i="52"/>
  <c r="I3949" i="52"/>
  <c r="F3949" i="52"/>
  <c r="K3948" i="52"/>
  <c r="L3948" i="52" s="1"/>
  <c r="I3948" i="52"/>
  <c r="K3947" i="52"/>
  <c r="L3947" i="52" s="1"/>
  <c r="M3947" i="52" s="1"/>
  <c r="H3947" i="52"/>
  <c r="I3947" i="52" s="1"/>
  <c r="F3947" i="52"/>
  <c r="K3946" i="52"/>
  <c r="L3946" i="52" s="1"/>
  <c r="M3946" i="52" s="1"/>
  <c r="I3946" i="52"/>
  <c r="K3945" i="52"/>
  <c r="L3945" i="52" s="1"/>
  <c r="M3945" i="52" s="1"/>
  <c r="I3945" i="52"/>
  <c r="L3944" i="52"/>
  <c r="M3944" i="52" s="1"/>
  <c r="K3944" i="52"/>
  <c r="I3944" i="52"/>
  <c r="L3943" i="52"/>
  <c r="M3943" i="52" s="1"/>
  <c r="K3943" i="52"/>
  <c r="I3943" i="52"/>
  <c r="L3942" i="52"/>
  <c r="M3942" i="52" s="1"/>
  <c r="K3942" i="52"/>
  <c r="I3942" i="52"/>
  <c r="K3941" i="52"/>
  <c r="L3941" i="52" s="1"/>
  <c r="M3941" i="52" s="1"/>
  <c r="I3941" i="52"/>
  <c r="L3940" i="52"/>
  <c r="M3940" i="52" s="1"/>
  <c r="K3940" i="52"/>
  <c r="I3940" i="52"/>
  <c r="K3939" i="52"/>
  <c r="L3939" i="52" s="1"/>
  <c r="M3939" i="52" s="1"/>
  <c r="I3939" i="52"/>
  <c r="K3938" i="52"/>
  <c r="L3938" i="52" s="1"/>
  <c r="M3938" i="52" s="1"/>
  <c r="I3938" i="52"/>
  <c r="K3937" i="52"/>
  <c r="L3937" i="52" s="1"/>
  <c r="M3937" i="52" s="1"/>
  <c r="K3935" i="52"/>
  <c r="L3935" i="52" s="1"/>
  <c r="M3935" i="52" s="1"/>
  <c r="K3934" i="52"/>
  <c r="K3933" i="52"/>
  <c r="I3933" i="52"/>
  <c r="K3932" i="52"/>
  <c r="L3932" i="52" s="1"/>
  <c r="M3932" i="52" s="1"/>
  <c r="I3932" i="52"/>
  <c r="K3931" i="52"/>
  <c r="L3931" i="52" s="1"/>
  <c r="M3931" i="52" s="1"/>
  <c r="I3931" i="52"/>
  <c r="K3930" i="52"/>
  <c r="L3930" i="52" s="1"/>
  <c r="M3930" i="52" s="1"/>
  <c r="I3930" i="52"/>
  <c r="K3929" i="52"/>
  <c r="L3929" i="52" s="1"/>
  <c r="M3929" i="52" s="1"/>
  <c r="I3929" i="52"/>
  <c r="K3928" i="52"/>
  <c r="L3928" i="52" s="1"/>
  <c r="M3928" i="52" s="1"/>
  <c r="I3928" i="52"/>
  <c r="K3927" i="52"/>
  <c r="L3927" i="52" s="1"/>
  <c r="M3927" i="52" s="1"/>
  <c r="I3927" i="52"/>
  <c r="F3926" i="52"/>
  <c r="I3926" i="52" s="1"/>
  <c r="K3925" i="52"/>
  <c r="L3925" i="52" s="1"/>
  <c r="M3925" i="52" s="1"/>
  <c r="F3923" i="52"/>
  <c r="K3922" i="52"/>
  <c r="L3922" i="52" s="1"/>
  <c r="I3922" i="52"/>
  <c r="K3921" i="52"/>
  <c r="L3921" i="52" s="1"/>
  <c r="M3921" i="52" s="1"/>
  <c r="H3921" i="52"/>
  <c r="I3921" i="52" s="1"/>
  <c r="F3921" i="52"/>
  <c r="K3920" i="52"/>
  <c r="L3920" i="52" s="1"/>
  <c r="M3920" i="52" s="1"/>
  <c r="I3920" i="52"/>
  <c r="K3919" i="52"/>
  <c r="L3919" i="52" s="1"/>
  <c r="M3919" i="52" s="1"/>
  <c r="I3919" i="52"/>
  <c r="K3918" i="52"/>
  <c r="L3918" i="52" s="1"/>
  <c r="M3918" i="52" s="1"/>
  <c r="I3918" i="52"/>
  <c r="K3917" i="52"/>
  <c r="L3917" i="52" s="1"/>
  <c r="M3917" i="52" s="1"/>
  <c r="I3917" i="52"/>
  <c r="K3916" i="52"/>
  <c r="L3916" i="52" s="1"/>
  <c r="M3916" i="52" s="1"/>
  <c r="I3916" i="52"/>
  <c r="K3915" i="52"/>
  <c r="L3915" i="52" s="1"/>
  <c r="M3915" i="52" s="1"/>
  <c r="I3915" i="52"/>
  <c r="K3914" i="52"/>
  <c r="L3914" i="52" s="1"/>
  <c r="M3914" i="52" s="1"/>
  <c r="I3914" i="52"/>
  <c r="K3913" i="52"/>
  <c r="L3913" i="52" s="1"/>
  <c r="M3913" i="52" s="1"/>
  <c r="I3913" i="52"/>
  <c r="K3912" i="52"/>
  <c r="L3912" i="52" s="1"/>
  <c r="M3912" i="52" s="1"/>
  <c r="I3912" i="52"/>
  <c r="K3911" i="52"/>
  <c r="L3911" i="52" s="1"/>
  <c r="M3911" i="52" s="1"/>
  <c r="L3910" i="52"/>
  <c r="M3910" i="52" s="1"/>
  <c r="K3910" i="52"/>
  <c r="K3909" i="52"/>
  <c r="L3909" i="52" s="1"/>
  <c r="M3909" i="52" s="1"/>
  <c r="K3908" i="52"/>
  <c r="L3908" i="52" s="1"/>
  <c r="M3908" i="52" s="1"/>
  <c r="K3906" i="52"/>
  <c r="I3906" i="52"/>
  <c r="K3905" i="52"/>
  <c r="L3905" i="52" s="1"/>
  <c r="M3905" i="52" s="1"/>
  <c r="I3905" i="52"/>
  <c r="K3904" i="52"/>
  <c r="L3904" i="52" s="1"/>
  <c r="M3904" i="52" s="1"/>
  <c r="I3904" i="52"/>
  <c r="K3903" i="52"/>
  <c r="L3903" i="52" s="1"/>
  <c r="M3903" i="52" s="1"/>
  <c r="I3903" i="52"/>
  <c r="K3902" i="52"/>
  <c r="L3902" i="52" s="1"/>
  <c r="M3902" i="52" s="1"/>
  <c r="I3902" i="52"/>
  <c r="K3901" i="52"/>
  <c r="L3901" i="52" s="1"/>
  <c r="M3901" i="52" s="1"/>
  <c r="I3901" i="52"/>
  <c r="K3900" i="52"/>
  <c r="L3900" i="52" s="1"/>
  <c r="M3900" i="52" s="1"/>
  <c r="I3900" i="52"/>
  <c r="K3899" i="52"/>
  <c r="L3899" i="52" s="1"/>
  <c r="M3899" i="52" s="1"/>
  <c r="I3899" i="52"/>
  <c r="K3898" i="52"/>
  <c r="L3898" i="52" s="1"/>
  <c r="M3898" i="52" s="1"/>
  <c r="I3898" i="52"/>
  <c r="K3897" i="52"/>
  <c r="L3897" i="52" s="1"/>
  <c r="M3897" i="52" s="1"/>
  <c r="I3897" i="52"/>
  <c r="K3896" i="52"/>
  <c r="L3896" i="52" s="1"/>
  <c r="M3896" i="52" s="1"/>
  <c r="I3896" i="52"/>
  <c r="K3895" i="52"/>
  <c r="L3895" i="52" s="1"/>
  <c r="M3895" i="52" s="1"/>
  <c r="I3895" i="52"/>
  <c r="K3894" i="52"/>
  <c r="L3894" i="52" s="1"/>
  <c r="M3894" i="52" s="1"/>
  <c r="I3894" i="52"/>
  <c r="K3893" i="52"/>
  <c r="L3893" i="52" s="1"/>
  <c r="M3893" i="52" s="1"/>
  <c r="I3893" i="52"/>
  <c r="K3892" i="52"/>
  <c r="L3892" i="52" s="1"/>
  <c r="M3892" i="52" s="1"/>
  <c r="I3892" i="52"/>
  <c r="K3891" i="52"/>
  <c r="L3891" i="52" s="1"/>
  <c r="M3891" i="52" s="1"/>
  <c r="I3891" i="52"/>
  <c r="J3906" i="52" s="1"/>
  <c r="J3907" i="52" s="1"/>
  <c r="L3907" i="52" s="1"/>
  <c r="M3907" i="52" s="1"/>
  <c r="K3890" i="52"/>
  <c r="L3890" i="52" s="1"/>
  <c r="M3890" i="52" s="1"/>
  <c r="I3890" i="52"/>
  <c r="K3889" i="52"/>
  <c r="L3889" i="52" s="1"/>
  <c r="M3889" i="52" s="1"/>
  <c r="I3889" i="52"/>
  <c r="K3888" i="52"/>
  <c r="L3888" i="52" s="1"/>
  <c r="M3888" i="52" s="1"/>
  <c r="L3887" i="52"/>
  <c r="M3887" i="52" s="1"/>
  <c r="K3887" i="52"/>
  <c r="K3885" i="52"/>
  <c r="F3885" i="52"/>
  <c r="I3885" i="52" s="1"/>
  <c r="L3884" i="52"/>
  <c r="M3884" i="52" s="1"/>
  <c r="K3884" i="52"/>
  <c r="I3884" i="52"/>
  <c r="K3883" i="52"/>
  <c r="L3883" i="52" s="1"/>
  <c r="M3883" i="52" s="1"/>
  <c r="I3883" i="52"/>
  <c r="K3882" i="52"/>
  <c r="L3882" i="52" s="1"/>
  <c r="M3882" i="52" s="1"/>
  <c r="I3882" i="52"/>
  <c r="K3881" i="52"/>
  <c r="L3881" i="52" s="1"/>
  <c r="M3881" i="52" s="1"/>
  <c r="I3881" i="52"/>
  <c r="L3880" i="52"/>
  <c r="M3880" i="52" s="1"/>
  <c r="K3880" i="52"/>
  <c r="I3880" i="52"/>
  <c r="L3879" i="52"/>
  <c r="M3879" i="52" s="1"/>
  <c r="K3879" i="52"/>
  <c r="I3879" i="52"/>
  <c r="L3878" i="52"/>
  <c r="M3878" i="52" s="1"/>
  <c r="K3878" i="52"/>
  <c r="I3878" i="52"/>
  <c r="L3877" i="52"/>
  <c r="M3877" i="52" s="1"/>
  <c r="I3877" i="52"/>
  <c r="M3876" i="52"/>
  <c r="L3876" i="52"/>
  <c r="I3876" i="52"/>
  <c r="L3875" i="52"/>
  <c r="M3875" i="52" s="1"/>
  <c r="L3874" i="52"/>
  <c r="M3874" i="52" s="1"/>
  <c r="K3853" i="52"/>
  <c r="I3853" i="52"/>
  <c r="K3852" i="52"/>
  <c r="L3852" i="52" s="1"/>
  <c r="M3852" i="52" s="1"/>
  <c r="I3852" i="52"/>
  <c r="K3851" i="52"/>
  <c r="L3851" i="52" s="1"/>
  <c r="M3851" i="52" s="1"/>
  <c r="I3851" i="52"/>
  <c r="P3850" i="52"/>
  <c r="Q3850" i="52" s="1"/>
  <c r="K3850" i="52"/>
  <c r="L3850" i="52" s="1"/>
  <c r="M3850" i="52" s="1"/>
  <c r="I3850" i="52"/>
  <c r="L3849" i="52"/>
  <c r="M3849" i="52" s="1"/>
  <c r="K3849" i="52"/>
  <c r="I3849" i="52"/>
  <c r="K3848" i="52"/>
  <c r="L3848" i="52" s="1"/>
  <c r="M3848" i="52" s="1"/>
  <c r="I3848" i="52"/>
  <c r="K3847" i="52"/>
  <c r="L3847" i="52" s="1"/>
  <c r="M3847" i="52" s="1"/>
  <c r="I3847" i="52"/>
  <c r="K3846" i="52"/>
  <c r="L3846" i="52" s="1"/>
  <c r="M3846" i="52" s="1"/>
  <c r="I3846" i="52"/>
  <c r="L3845" i="52"/>
  <c r="M3845" i="52" s="1"/>
  <c r="K3845" i="52"/>
  <c r="I3845" i="52"/>
  <c r="I3844" i="52"/>
  <c r="K3843" i="52"/>
  <c r="L3843" i="52" s="1"/>
  <c r="M3843" i="52" s="1"/>
  <c r="K3841" i="52"/>
  <c r="I3841" i="52"/>
  <c r="K3840" i="52"/>
  <c r="L3840" i="52" s="1"/>
  <c r="M3840" i="52" s="1"/>
  <c r="I3840" i="52"/>
  <c r="K3839" i="52"/>
  <c r="L3839" i="52" s="1"/>
  <c r="M3839" i="52" s="1"/>
  <c r="I3839" i="52"/>
  <c r="K3838" i="52"/>
  <c r="L3838" i="52" s="1"/>
  <c r="M3838" i="52" s="1"/>
  <c r="I3838" i="52"/>
  <c r="L3837" i="52"/>
  <c r="M3837" i="52" s="1"/>
  <c r="K3837" i="52"/>
  <c r="I3837" i="52"/>
  <c r="L3836" i="52"/>
  <c r="M3836" i="52" s="1"/>
  <c r="K3836" i="52"/>
  <c r="I3836" i="52"/>
  <c r="L3835" i="52"/>
  <c r="M3835" i="52" s="1"/>
  <c r="K3835" i="52"/>
  <c r="I3835" i="52"/>
  <c r="K3834" i="52"/>
  <c r="L3834" i="52" s="1"/>
  <c r="M3834" i="52" s="1"/>
  <c r="I3834" i="52"/>
  <c r="L3833" i="52"/>
  <c r="M3833" i="52" s="1"/>
  <c r="K3833" i="52"/>
  <c r="I3833" i="52"/>
  <c r="K3832" i="52"/>
  <c r="L3832" i="52" s="1"/>
  <c r="M3832" i="52" s="1"/>
  <c r="I3832" i="52"/>
  <c r="I3829" i="52"/>
  <c r="M3828" i="52"/>
  <c r="L3828" i="52"/>
  <c r="I3828" i="52"/>
  <c r="L3827" i="52"/>
  <c r="M3827" i="52" s="1"/>
  <c r="I3827" i="52"/>
  <c r="M3826" i="52"/>
  <c r="L3826" i="52"/>
  <c r="V3825" i="52"/>
  <c r="W3825" i="52" s="1"/>
  <c r="W3824" i="52"/>
  <c r="V3824" i="52"/>
  <c r="P3824" i="52"/>
  <c r="K3824" i="52"/>
  <c r="I3824" i="52"/>
  <c r="P3823" i="52"/>
  <c r="K3823" i="52"/>
  <c r="L3823" i="52" s="1"/>
  <c r="M3823" i="52" s="1"/>
  <c r="I3823" i="52"/>
  <c r="P3822" i="52"/>
  <c r="L3822" i="52"/>
  <c r="M3822" i="52" s="1"/>
  <c r="K3822" i="52"/>
  <c r="I3822" i="52"/>
  <c r="P3821" i="52"/>
  <c r="K3821" i="52"/>
  <c r="L3821" i="52" s="1"/>
  <c r="M3821" i="52" s="1"/>
  <c r="I3821" i="52"/>
  <c r="P3820" i="52"/>
  <c r="L3820" i="52"/>
  <c r="M3820" i="52" s="1"/>
  <c r="K3820" i="52"/>
  <c r="I3820" i="52"/>
  <c r="P3819" i="52"/>
  <c r="K3819" i="52"/>
  <c r="L3819" i="52" s="1"/>
  <c r="M3819" i="52" s="1"/>
  <c r="I3819" i="52"/>
  <c r="P3818" i="52"/>
  <c r="K3818" i="52"/>
  <c r="L3818" i="52" s="1"/>
  <c r="M3818" i="52" s="1"/>
  <c r="I3818" i="52"/>
  <c r="P3817" i="52"/>
  <c r="M3817" i="52"/>
  <c r="K3817" i="52"/>
  <c r="L3817" i="52" s="1"/>
  <c r="I3817" i="52"/>
  <c r="P3816" i="52"/>
  <c r="K3816" i="52"/>
  <c r="L3816" i="52" s="1"/>
  <c r="M3816" i="52" s="1"/>
  <c r="I3816" i="52"/>
  <c r="P3815" i="52"/>
  <c r="I3815" i="52"/>
  <c r="P3814" i="52"/>
  <c r="M3814" i="52"/>
  <c r="K3814" i="52"/>
  <c r="L3814" i="52" s="1"/>
  <c r="P3813" i="52"/>
  <c r="P3812" i="52"/>
  <c r="K3812" i="52"/>
  <c r="I3812" i="52"/>
  <c r="P3811" i="52"/>
  <c r="K3811" i="52"/>
  <c r="L3811" i="52" s="1"/>
  <c r="M3811" i="52" s="1"/>
  <c r="I3811" i="52"/>
  <c r="P3810" i="52"/>
  <c r="K3810" i="52"/>
  <c r="L3810" i="52" s="1"/>
  <c r="M3810" i="52" s="1"/>
  <c r="I3810" i="52"/>
  <c r="P3809" i="52"/>
  <c r="L3809" i="52"/>
  <c r="M3809" i="52" s="1"/>
  <c r="K3809" i="52"/>
  <c r="I3809" i="52"/>
  <c r="P3808" i="52"/>
  <c r="K3808" i="52"/>
  <c r="L3808" i="52" s="1"/>
  <c r="M3808" i="52" s="1"/>
  <c r="I3808" i="52"/>
  <c r="P3807" i="52"/>
  <c r="K3807" i="52"/>
  <c r="L3807" i="52" s="1"/>
  <c r="M3807" i="52" s="1"/>
  <c r="I3807" i="52"/>
  <c r="P3806" i="52"/>
  <c r="K3806" i="52"/>
  <c r="L3806" i="52" s="1"/>
  <c r="M3806" i="52" s="1"/>
  <c r="I3806" i="52"/>
  <c r="P3805" i="52"/>
  <c r="L3805" i="52"/>
  <c r="M3805" i="52" s="1"/>
  <c r="K3805" i="52"/>
  <c r="I3805" i="52"/>
  <c r="P3804" i="52"/>
  <c r="M3804" i="52"/>
  <c r="K3804" i="52"/>
  <c r="L3804" i="52" s="1"/>
  <c r="I3804" i="52"/>
  <c r="P3803" i="52"/>
  <c r="L3803" i="52"/>
  <c r="M3803" i="52" s="1"/>
  <c r="K3803" i="52"/>
  <c r="I3803" i="52"/>
  <c r="K3802" i="52"/>
  <c r="L3802" i="52" s="1"/>
  <c r="M3802" i="52" s="1"/>
  <c r="K3801" i="52"/>
  <c r="L3801" i="52" s="1"/>
  <c r="M3801" i="52" s="1"/>
  <c r="K3800" i="52"/>
  <c r="L3800" i="52" s="1"/>
  <c r="M3800" i="52" s="1"/>
  <c r="K3799" i="52"/>
  <c r="L3799" i="52" s="1"/>
  <c r="M3799" i="52" s="1"/>
  <c r="K3798" i="52"/>
  <c r="L3798" i="52" s="1"/>
  <c r="M3798" i="52" s="1"/>
  <c r="K3797" i="52"/>
  <c r="L3797" i="52" s="1"/>
  <c r="M3797" i="52" s="1"/>
  <c r="K3796" i="52"/>
  <c r="L3796" i="52" s="1"/>
  <c r="M3796" i="52" s="1"/>
  <c r="K3795" i="52"/>
  <c r="L3795" i="52" s="1"/>
  <c r="M3795" i="52" s="1"/>
  <c r="L3794" i="52"/>
  <c r="M3794" i="52" s="1"/>
  <c r="K3794" i="52"/>
  <c r="M3793" i="52"/>
  <c r="K3793" i="52"/>
  <c r="L3793" i="52" s="1"/>
  <c r="L3792" i="52"/>
  <c r="M3792" i="52" s="1"/>
  <c r="K3792" i="52"/>
  <c r="K3791" i="52"/>
  <c r="L3791" i="52" s="1"/>
  <c r="M3791" i="52" s="1"/>
  <c r="L3790" i="52"/>
  <c r="M3790" i="52" s="1"/>
  <c r="K3790" i="52"/>
  <c r="K3789" i="52"/>
  <c r="L3789" i="52" s="1"/>
  <c r="M3789" i="52" s="1"/>
  <c r="K3788" i="52"/>
  <c r="L3788" i="52" s="1"/>
  <c r="M3788" i="52" s="1"/>
  <c r="K3787" i="52"/>
  <c r="L3787" i="52" s="1"/>
  <c r="M3787" i="52" s="1"/>
  <c r="K3786" i="52"/>
  <c r="L3786" i="52" s="1"/>
  <c r="M3786" i="52" s="1"/>
  <c r="K3785" i="52"/>
  <c r="L3785" i="52" s="1"/>
  <c r="M3785" i="52" s="1"/>
  <c r="K3784" i="52"/>
  <c r="L3784" i="52" s="1"/>
  <c r="M3784" i="52" s="1"/>
  <c r="K3783" i="52"/>
  <c r="L3783" i="52" s="1"/>
  <c r="M3783" i="52" s="1"/>
  <c r="L3782" i="52"/>
  <c r="M3782" i="52" s="1"/>
  <c r="K3782" i="52"/>
  <c r="M3781" i="52"/>
  <c r="K3781" i="52"/>
  <c r="L3781" i="52" s="1"/>
  <c r="L3780" i="52"/>
  <c r="M3780" i="52" s="1"/>
  <c r="K3780" i="52"/>
  <c r="I3778" i="52"/>
  <c r="I3777" i="52"/>
  <c r="I3776" i="52"/>
  <c r="K3775" i="52"/>
  <c r="I3775" i="52"/>
  <c r="J3775" i="52" s="1"/>
  <c r="J3779" i="52" s="1"/>
  <c r="L3779" i="52" s="1"/>
  <c r="M3779" i="52" s="1"/>
  <c r="F3775" i="52"/>
  <c r="K3774" i="52"/>
  <c r="L3774" i="52" s="1"/>
  <c r="M3774" i="52" s="1"/>
  <c r="K3773" i="52"/>
  <c r="L3773" i="52" s="1"/>
  <c r="M3773" i="52" s="1"/>
  <c r="K3772" i="52"/>
  <c r="L3772" i="52" s="1"/>
  <c r="M3772" i="52" s="1"/>
  <c r="K3770" i="52"/>
  <c r="F3770" i="52"/>
  <c r="K3769" i="52"/>
  <c r="L3769" i="52" s="1"/>
  <c r="M3769" i="52" s="1"/>
  <c r="G3769" i="52"/>
  <c r="K3768" i="52"/>
  <c r="L3768" i="52" s="1"/>
  <c r="M3768" i="52" s="1"/>
  <c r="F3768" i="52"/>
  <c r="I3768" i="52" s="1"/>
  <c r="K3767" i="52"/>
  <c r="L3767" i="52" s="1"/>
  <c r="M3767" i="52" s="1"/>
  <c r="K3766" i="52"/>
  <c r="L3766" i="52" s="1"/>
  <c r="M3766" i="52" s="1"/>
  <c r="L3765" i="52"/>
  <c r="M3765" i="52" s="1"/>
  <c r="K3765" i="52"/>
  <c r="K3763" i="52"/>
  <c r="G3763" i="52"/>
  <c r="F3763" i="52"/>
  <c r="I3763" i="52" s="1"/>
  <c r="K3762" i="52"/>
  <c r="L3762" i="52" s="1"/>
  <c r="M3762" i="52" s="1"/>
  <c r="I3762" i="52"/>
  <c r="F3762" i="52"/>
  <c r="F3769" i="52" s="1"/>
  <c r="K3761" i="52"/>
  <c r="L3761" i="52" s="1"/>
  <c r="M3761" i="52" s="1"/>
  <c r="I3761" i="52"/>
  <c r="K3760" i="52"/>
  <c r="L3760" i="52" s="1"/>
  <c r="M3760" i="52" s="1"/>
  <c r="I3760" i="52"/>
  <c r="M3759" i="52"/>
  <c r="K3759" i="52"/>
  <c r="L3759" i="52" s="1"/>
  <c r="L3758" i="52"/>
  <c r="M3758" i="52" s="1"/>
  <c r="K3758" i="52"/>
  <c r="K3757" i="52"/>
  <c r="K3756" i="52"/>
  <c r="K3755" i="52"/>
  <c r="L3755" i="52" s="1"/>
  <c r="M3755" i="52" s="1"/>
  <c r="I3755" i="52"/>
  <c r="M3754" i="52"/>
  <c r="K3754" i="52"/>
  <c r="L3754" i="52" s="1"/>
  <c r="D3754" i="52"/>
  <c r="I3754" i="52" s="1"/>
  <c r="K3753" i="52"/>
  <c r="L3753" i="52" s="1"/>
  <c r="M3753" i="52" s="1"/>
  <c r="K3752" i="52"/>
  <c r="L3752" i="52" s="1"/>
  <c r="M3752" i="52" s="1"/>
  <c r="I3750" i="52"/>
  <c r="I3749" i="52"/>
  <c r="K3748" i="52"/>
  <c r="I3748" i="52"/>
  <c r="K3747" i="52"/>
  <c r="L3747" i="52" s="1"/>
  <c r="M3747" i="52" s="1"/>
  <c r="I3745" i="52"/>
  <c r="I3744" i="52"/>
  <c r="I3743" i="52"/>
  <c r="K3742" i="52"/>
  <c r="I3742" i="52"/>
  <c r="Q3741" i="52"/>
  <c r="K3741" i="52"/>
  <c r="L3741" i="52" s="1"/>
  <c r="M3741" i="52" s="1"/>
  <c r="K3740" i="52"/>
  <c r="L3740" i="52" s="1"/>
  <c r="M3740" i="52" s="1"/>
  <c r="M3739" i="52"/>
  <c r="K3739" i="52"/>
  <c r="L3739" i="52" s="1"/>
  <c r="K3738" i="52"/>
  <c r="L3738" i="52" s="1"/>
  <c r="M3738" i="52" s="1"/>
  <c r="K3737" i="52"/>
  <c r="L3737" i="52" s="1"/>
  <c r="M3737" i="52" s="1"/>
  <c r="K3736" i="52"/>
  <c r="L3736" i="52" s="1"/>
  <c r="M3736" i="52" s="1"/>
  <c r="I3736" i="52"/>
  <c r="L3733" i="52"/>
  <c r="M3733" i="52" s="1"/>
  <c r="K3733" i="52"/>
  <c r="M3732" i="52"/>
  <c r="K3732" i="52"/>
  <c r="L3732" i="52" s="1"/>
  <c r="L3731" i="52"/>
  <c r="M3731" i="52" s="1"/>
  <c r="K3731" i="52"/>
  <c r="K3730" i="52"/>
  <c r="L3730" i="52" s="1"/>
  <c r="M3730" i="52" s="1"/>
  <c r="I3728" i="52"/>
  <c r="I3727" i="52"/>
  <c r="K3726" i="52"/>
  <c r="I3726" i="52"/>
  <c r="L3725" i="52"/>
  <c r="M3725" i="52" s="1"/>
  <c r="K3725" i="52"/>
  <c r="I3725" i="52"/>
  <c r="L3724" i="52"/>
  <c r="M3724" i="52" s="1"/>
  <c r="K3724" i="52"/>
  <c r="I3724" i="52"/>
  <c r="L3723" i="52"/>
  <c r="M3723" i="52" s="1"/>
  <c r="K3723" i="52"/>
  <c r="I3723" i="52"/>
  <c r="K3722" i="52"/>
  <c r="L3722" i="52" s="1"/>
  <c r="M3722" i="52" s="1"/>
  <c r="I3722" i="52"/>
  <c r="L3721" i="52"/>
  <c r="M3721" i="52" s="1"/>
  <c r="K3721" i="52"/>
  <c r="I3721" i="52"/>
  <c r="K3720" i="52"/>
  <c r="L3720" i="52" s="1"/>
  <c r="M3720" i="52" s="1"/>
  <c r="I3720" i="52"/>
  <c r="K3719" i="52"/>
  <c r="L3719" i="52" s="1"/>
  <c r="M3719" i="52" s="1"/>
  <c r="I3719" i="52"/>
  <c r="K3718" i="52"/>
  <c r="L3718" i="52" s="1"/>
  <c r="M3718" i="52" s="1"/>
  <c r="I3718" i="52"/>
  <c r="L3717" i="52"/>
  <c r="M3717" i="52" s="1"/>
  <c r="K3717" i="52"/>
  <c r="I3717" i="52"/>
  <c r="L3716" i="52"/>
  <c r="M3716" i="52" s="1"/>
  <c r="K3716" i="52"/>
  <c r="I3716" i="52"/>
  <c r="L3715" i="52"/>
  <c r="M3715" i="52" s="1"/>
  <c r="K3715" i="52"/>
  <c r="I3715" i="52"/>
  <c r="K3714" i="52"/>
  <c r="L3714" i="52" s="1"/>
  <c r="M3714" i="52" s="1"/>
  <c r="I3714" i="52"/>
  <c r="L3713" i="52"/>
  <c r="M3713" i="52" s="1"/>
  <c r="K3713" i="52"/>
  <c r="I3713" i="52"/>
  <c r="K3712" i="52"/>
  <c r="L3712" i="52" s="1"/>
  <c r="M3712" i="52" s="1"/>
  <c r="K3711" i="52"/>
  <c r="L3711" i="52" s="1"/>
  <c r="M3711" i="52" s="1"/>
  <c r="K3710" i="52"/>
  <c r="L3710" i="52" s="1"/>
  <c r="M3710" i="52" s="1"/>
  <c r="K3709" i="52"/>
  <c r="L3709" i="52" s="1"/>
  <c r="M3709" i="52" s="1"/>
  <c r="K3708" i="52"/>
  <c r="L3708" i="52" s="1"/>
  <c r="M3708" i="52" s="1"/>
  <c r="K3707" i="52"/>
  <c r="L3707" i="52" s="1"/>
  <c r="M3707" i="52" s="1"/>
  <c r="I3706" i="52"/>
  <c r="K3705" i="52"/>
  <c r="L3705" i="52" s="1"/>
  <c r="M3705" i="52" s="1"/>
  <c r="I3705" i="52"/>
  <c r="L3704" i="52"/>
  <c r="M3704" i="52" s="1"/>
  <c r="K3704" i="52"/>
  <c r="F3704" i="52"/>
  <c r="K3703" i="52"/>
  <c r="L3703" i="52" s="1"/>
  <c r="M3703" i="52" s="1"/>
  <c r="G3703" i="52"/>
  <c r="G3704" i="52" s="1"/>
  <c r="I3704" i="52" s="1"/>
  <c r="F3703" i="52"/>
  <c r="I3703" i="52" s="1"/>
  <c r="L3702" i="52"/>
  <c r="M3702" i="52" s="1"/>
  <c r="K3702" i="52"/>
  <c r="F3702" i="52"/>
  <c r="I3702" i="52" s="1"/>
  <c r="K3701" i="52"/>
  <c r="L3701" i="52" s="1"/>
  <c r="M3701" i="52" s="1"/>
  <c r="I3701" i="52"/>
  <c r="K3700" i="52"/>
  <c r="L3700" i="52" s="1"/>
  <c r="M3700" i="52" s="1"/>
  <c r="G3700" i="52"/>
  <c r="I3700" i="52" s="1"/>
  <c r="F3700" i="52"/>
  <c r="K3699" i="52"/>
  <c r="L3699" i="52" s="1"/>
  <c r="M3699" i="52" s="1"/>
  <c r="F3699" i="52"/>
  <c r="I3699" i="52" s="1"/>
  <c r="L3698" i="52"/>
  <c r="M3698" i="52" s="1"/>
  <c r="K3698" i="52"/>
  <c r="I3698" i="52"/>
  <c r="L3697" i="52"/>
  <c r="M3697" i="52" s="1"/>
  <c r="K3697" i="52"/>
  <c r="I3697" i="52"/>
  <c r="L3696" i="52"/>
  <c r="M3696" i="52" s="1"/>
  <c r="K3696" i="52"/>
  <c r="M3695" i="52"/>
  <c r="K3695" i="52"/>
  <c r="L3695" i="52" s="1"/>
  <c r="K3694" i="52"/>
  <c r="L3694" i="52" s="1"/>
  <c r="M3694" i="52" s="1"/>
  <c r="M3693" i="52"/>
  <c r="K3693" i="52"/>
  <c r="L3693" i="52" s="1"/>
  <c r="L3692" i="52"/>
  <c r="M3692" i="52" s="1"/>
  <c r="K3692" i="52"/>
  <c r="M3691" i="52"/>
  <c r="K3691" i="52"/>
  <c r="L3691" i="52" s="1"/>
  <c r="K3690" i="52"/>
  <c r="L3690" i="52" s="1"/>
  <c r="M3690" i="52" s="1"/>
  <c r="M3689" i="52"/>
  <c r="K3689" i="52"/>
  <c r="L3689" i="52" s="1"/>
  <c r="L3688" i="52"/>
  <c r="M3688" i="52" s="1"/>
  <c r="K3688" i="52"/>
  <c r="M3687" i="52"/>
  <c r="K3687" i="52"/>
  <c r="L3687" i="52" s="1"/>
  <c r="K3686" i="52"/>
  <c r="L3686" i="52" s="1"/>
  <c r="M3686" i="52" s="1"/>
  <c r="M3685" i="52"/>
  <c r="K3685" i="52"/>
  <c r="L3685" i="52" s="1"/>
  <c r="I3683" i="52"/>
  <c r="I3682" i="52"/>
  <c r="K3681" i="52"/>
  <c r="I3681" i="52"/>
  <c r="J3680" i="52"/>
  <c r="L3680" i="52" s="1"/>
  <c r="M3680" i="52" s="1"/>
  <c r="I3680" i="52"/>
  <c r="K3679" i="52"/>
  <c r="L3679" i="52" s="1"/>
  <c r="M3679" i="52" s="1"/>
  <c r="H3677" i="52"/>
  <c r="F3677" i="52"/>
  <c r="M3676" i="52"/>
  <c r="K3676" i="52"/>
  <c r="L3676" i="52" s="1"/>
  <c r="G3676" i="52"/>
  <c r="I3675" i="52"/>
  <c r="I3674" i="52"/>
  <c r="K3673" i="52"/>
  <c r="L3673" i="52" s="1"/>
  <c r="M3673" i="52" s="1"/>
  <c r="F3673" i="52"/>
  <c r="I3673" i="52" s="1"/>
  <c r="L3672" i="52"/>
  <c r="M3672" i="52" s="1"/>
  <c r="K3672" i="52"/>
  <c r="G3670" i="52"/>
  <c r="I3670" i="52" s="1"/>
  <c r="F3670" i="52"/>
  <c r="M3669" i="52"/>
  <c r="K3669" i="52"/>
  <c r="L3669" i="52" s="1"/>
  <c r="F3669" i="52"/>
  <c r="K3668" i="52"/>
  <c r="L3668" i="52" s="1"/>
  <c r="M3668" i="52" s="1"/>
  <c r="I3668" i="52"/>
  <c r="I3667" i="52"/>
  <c r="I3666" i="52"/>
  <c r="P3665" i="52"/>
  <c r="K3665" i="52"/>
  <c r="L3665" i="52" s="1"/>
  <c r="M3665" i="52" s="1"/>
  <c r="I3665" i="52"/>
  <c r="M3664" i="52"/>
  <c r="K3664" i="52"/>
  <c r="L3664" i="52" s="1"/>
  <c r="K3663" i="52"/>
  <c r="L3663" i="52" s="1"/>
  <c r="M3663" i="52" s="1"/>
  <c r="M3662" i="52"/>
  <c r="K3662" i="52"/>
  <c r="L3662" i="52" s="1"/>
  <c r="L3661" i="52"/>
  <c r="M3661" i="52" s="1"/>
  <c r="K3661" i="52"/>
  <c r="M3660" i="52"/>
  <c r="K3660" i="52"/>
  <c r="L3660" i="52" s="1"/>
  <c r="K3659" i="52"/>
  <c r="L3659" i="52" s="1"/>
  <c r="M3659" i="52" s="1"/>
  <c r="M3658" i="52"/>
  <c r="K3658" i="52"/>
  <c r="L3658" i="52" s="1"/>
  <c r="L3657" i="52"/>
  <c r="M3657" i="52" s="1"/>
  <c r="K3657" i="52"/>
  <c r="M3656" i="52"/>
  <c r="K3656" i="52"/>
  <c r="L3656" i="52" s="1"/>
  <c r="K3655" i="52"/>
  <c r="L3655" i="52" s="1"/>
  <c r="M3655" i="52" s="1"/>
  <c r="M3654" i="52"/>
  <c r="K3654" i="52"/>
  <c r="L3654" i="52" s="1"/>
  <c r="L3653" i="52"/>
  <c r="M3653" i="52" s="1"/>
  <c r="K3653" i="52"/>
  <c r="M3652" i="52"/>
  <c r="K3652" i="52"/>
  <c r="L3652" i="52" s="1"/>
  <c r="K3651" i="52"/>
  <c r="L3651" i="52" s="1"/>
  <c r="M3651" i="52" s="1"/>
  <c r="M3650" i="52"/>
  <c r="K3650" i="52"/>
  <c r="L3650" i="52" s="1"/>
  <c r="L3649" i="52"/>
  <c r="M3649" i="52" s="1"/>
  <c r="K3649" i="52"/>
  <c r="M3648" i="52"/>
  <c r="K3648" i="52"/>
  <c r="L3648" i="52" s="1"/>
  <c r="K3647" i="52"/>
  <c r="L3647" i="52" s="1"/>
  <c r="M3647" i="52" s="1"/>
  <c r="I3646" i="52"/>
  <c r="K3645" i="52"/>
  <c r="L3645" i="52" s="1"/>
  <c r="M3645" i="52" s="1"/>
  <c r="I3645" i="52"/>
  <c r="J3646" i="52" s="1"/>
  <c r="L3646" i="52" s="1"/>
  <c r="M3646" i="52" s="1"/>
  <c r="K3644" i="52"/>
  <c r="L3644" i="52" s="1"/>
  <c r="M3644" i="52" s="1"/>
  <c r="L3643" i="52"/>
  <c r="M3643" i="52" s="1"/>
  <c r="K3643" i="52"/>
  <c r="K3642" i="52"/>
  <c r="L3642" i="52" s="1"/>
  <c r="M3642" i="52" s="1"/>
  <c r="K3641" i="52"/>
  <c r="L3641" i="52" s="1"/>
  <c r="M3641" i="52" s="1"/>
  <c r="F3641" i="52"/>
  <c r="I3641" i="52" s="1"/>
  <c r="K3640" i="52"/>
  <c r="L3640" i="52" s="1"/>
  <c r="M3640" i="52" s="1"/>
  <c r="I3640" i="52"/>
  <c r="F3640" i="52"/>
  <c r="K3639" i="52"/>
  <c r="L3639" i="52" s="1"/>
  <c r="M3639" i="52" s="1"/>
  <c r="I3639" i="52"/>
  <c r="M3638" i="52"/>
  <c r="K3638" i="52"/>
  <c r="L3638" i="52" s="1"/>
  <c r="F3638" i="52"/>
  <c r="I3638" i="52" s="1"/>
  <c r="L3637" i="52"/>
  <c r="M3637" i="52" s="1"/>
  <c r="K3637" i="52"/>
  <c r="F3637" i="52"/>
  <c r="I3637" i="52" s="1"/>
  <c r="K3636" i="52"/>
  <c r="L3636" i="52" s="1"/>
  <c r="M3636" i="52" s="1"/>
  <c r="I3636" i="52"/>
  <c r="K3635" i="52"/>
  <c r="L3635" i="52" s="1"/>
  <c r="M3635" i="52" s="1"/>
  <c r="F3635" i="52"/>
  <c r="I3635" i="52" s="1"/>
  <c r="K3634" i="52"/>
  <c r="L3634" i="52" s="1"/>
  <c r="M3634" i="52" s="1"/>
  <c r="F3634" i="52"/>
  <c r="I3634" i="52" s="1"/>
  <c r="K3633" i="52"/>
  <c r="L3633" i="52" s="1"/>
  <c r="M3633" i="52" s="1"/>
  <c r="L3632" i="52"/>
  <c r="M3632" i="52" s="1"/>
  <c r="K3632" i="52"/>
  <c r="K3631" i="52"/>
  <c r="L3631" i="52" s="1"/>
  <c r="M3631" i="52" s="1"/>
  <c r="K3630" i="52"/>
  <c r="L3630" i="52" s="1"/>
  <c r="M3630" i="52" s="1"/>
  <c r="K3629" i="52"/>
  <c r="L3629" i="52" s="1"/>
  <c r="M3629" i="52" s="1"/>
  <c r="L3628" i="52"/>
  <c r="M3628" i="52" s="1"/>
  <c r="K3628" i="52"/>
  <c r="K3627" i="52"/>
  <c r="L3627" i="52" s="1"/>
  <c r="M3627" i="52" s="1"/>
  <c r="K3624" i="52"/>
  <c r="H3624" i="52"/>
  <c r="I3624" i="52" s="1"/>
  <c r="H3623" i="52"/>
  <c r="I3623" i="52" s="1"/>
  <c r="H3622" i="52"/>
  <c r="I3622" i="52" s="1"/>
  <c r="H3621" i="52"/>
  <c r="I3621" i="52" s="1"/>
  <c r="H3620" i="52"/>
  <c r="H3616" i="52"/>
  <c r="I3616" i="52" s="1"/>
  <c r="I3615" i="52"/>
  <c r="H3615" i="52"/>
  <c r="H3614" i="52"/>
  <c r="I3614" i="52" s="1"/>
  <c r="H3613" i="52"/>
  <c r="I3613" i="52" s="1"/>
  <c r="H3612" i="52"/>
  <c r="I3612" i="52" s="1"/>
  <c r="M3610" i="52"/>
  <c r="K3610" i="52"/>
  <c r="L3610" i="52" s="1"/>
  <c r="I3608" i="52"/>
  <c r="M3607" i="52"/>
  <c r="K3607" i="52"/>
  <c r="L3607" i="52" s="1"/>
  <c r="I3607" i="52"/>
  <c r="K3606" i="52"/>
  <c r="L3606" i="52" s="1"/>
  <c r="M3606" i="52" s="1"/>
  <c r="I3606" i="52"/>
  <c r="M3605" i="52"/>
  <c r="K3605" i="52"/>
  <c r="L3605" i="52" s="1"/>
  <c r="I3605" i="52"/>
  <c r="M3604" i="52"/>
  <c r="K3604" i="52"/>
  <c r="L3604" i="52" s="1"/>
  <c r="I3602" i="52"/>
  <c r="I3601" i="52"/>
  <c r="I3600" i="52"/>
  <c r="I3599" i="52"/>
  <c r="I3598" i="52"/>
  <c r="K3597" i="52"/>
  <c r="L3597" i="52" s="1"/>
  <c r="M3597" i="52" s="1"/>
  <c r="K3594" i="52"/>
  <c r="H3594" i="52"/>
  <c r="I3594" i="52" s="1"/>
  <c r="H3591" i="52"/>
  <c r="I3591" i="52" s="1"/>
  <c r="H3590" i="52"/>
  <c r="I3590" i="52" s="1"/>
  <c r="H3586" i="52"/>
  <c r="I3586" i="52" s="1"/>
  <c r="H3583" i="52"/>
  <c r="I3583" i="52" s="1"/>
  <c r="L3578" i="52"/>
  <c r="M3578" i="52" s="1"/>
  <c r="K3578" i="52"/>
  <c r="K3577" i="52"/>
  <c r="H3576" i="52"/>
  <c r="I3576" i="52" s="1"/>
  <c r="K3575" i="52"/>
  <c r="L3575" i="52" s="1"/>
  <c r="M3575" i="52" s="1"/>
  <c r="H3575" i="52"/>
  <c r="M3574" i="52"/>
  <c r="K3574" i="52"/>
  <c r="L3574" i="52" s="1"/>
  <c r="H3574" i="52"/>
  <c r="I3574" i="52" s="1"/>
  <c r="L3573" i="52"/>
  <c r="M3573" i="52" s="1"/>
  <c r="K3573" i="52"/>
  <c r="I3573" i="52"/>
  <c r="H3573" i="52"/>
  <c r="M3572" i="52"/>
  <c r="K3572" i="52"/>
  <c r="L3572" i="52" s="1"/>
  <c r="H3572" i="52"/>
  <c r="I3572" i="52" s="1"/>
  <c r="K3571" i="52"/>
  <c r="L3571" i="52" s="1"/>
  <c r="M3571" i="52" s="1"/>
  <c r="H3571" i="52"/>
  <c r="K3570" i="52"/>
  <c r="L3570" i="52" s="1"/>
  <c r="M3570" i="52" s="1"/>
  <c r="H3570" i="52"/>
  <c r="I3570" i="52" s="1"/>
  <c r="L3569" i="52"/>
  <c r="M3569" i="52" s="1"/>
  <c r="K3569" i="52"/>
  <c r="I3569" i="52"/>
  <c r="H3569" i="52"/>
  <c r="H3587" i="52" s="1"/>
  <c r="I3587" i="52" s="1"/>
  <c r="K3568" i="52"/>
  <c r="L3568" i="52" s="1"/>
  <c r="M3568" i="52" s="1"/>
  <c r="H3568" i="52"/>
  <c r="I3568" i="52" s="1"/>
  <c r="L3567" i="52"/>
  <c r="M3567" i="52" s="1"/>
  <c r="K3567" i="52"/>
  <c r="I3567" i="52"/>
  <c r="H3567" i="52"/>
  <c r="H3585" i="52" s="1"/>
  <c r="I3585" i="52" s="1"/>
  <c r="M3566" i="52"/>
  <c r="K3566" i="52"/>
  <c r="L3566" i="52" s="1"/>
  <c r="H3566" i="52"/>
  <c r="I3566" i="52" s="1"/>
  <c r="K3565" i="52"/>
  <c r="I3565" i="52"/>
  <c r="H3565" i="52"/>
  <c r="M3564" i="52"/>
  <c r="K3564" i="52"/>
  <c r="L3564" i="52" s="1"/>
  <c r="H3564" i="52"/>
  <c r="I3564" i="52" s="1"/>
  <c r="K3563" i="52"/>
  <c r="L3563" i="52" s="1"/>
  <c r="M3563" i="52" s="1"/>
  <c r="H3563" i="52"/>
  <c r="K3562" i="52"/>
  <c r="L3562" i="52" s="1"/>
  <c r="M3562" i="52" s="1"/>
  <c r="H3562" i="52"/>
  <c r="I3562" i="52" s="1"/>
  <c r="K3561" i="52"/>
  <c r="L3561" i="52" s="1"/>
  <c r="M3561" i="52" s="1"/>
  <c r="K3560" i="52"/>
  <c r="L3560" i="52" s="1"/>
  <c r="M3560" i="52" s="1"/>
  <c r="K3559" i="52"/>
  <c r="L3559" i="52" s="1"/>
  <c r="M3559" i="52" s="1"/>
  <c r="I3558" i="52"/>
  <c r="K3557" i="52"/>
  <c r="H3557" i="52"/>
  <c r="G3557" i="52"/>
  <c r="F3557" i="52"/>
  <c r="K3556" i="52"/>
  <c r="L3556" i="52" s="1"/>
  <c r="M3556" i="52" s="1"/>
  <c r="I3554" i="52"/>
  <c r="J3553" i="52" s="1"/>
  <c r="P3553" i="52"/>
  <c r="Q3553" i="52" s="1"/>
  <c r="K3553" i="52"/>
  <c r="I3553" i="52"/>
  <c r="L3552" i="52"/>
  <c r="M3552" i="52" s="1"/>
  <c r="K3552" i="52"/>
  <c r="L3551" i="52"/>
  <c r="M3551" i="52" s="1"/>
  <c r="K3551" i="52"/>
  <c r="K3550" i="52"/>
  <c r="L3550" i="52" s="1"/>
  <c r="M3550" i="52" s="1"/>
  <c r="L3549" i="52"/>
  <c r="M3549" i="52" s="1"/>
  <c r="K3549" i="52"/>
  <c r="K3548" i="52"/>
  <c r="L3548" i="52" s="1"/>
  <c r="M3548" i="52" s="1"/>
  <c r="L3547" i="52"/>
  <c r="M3547" i="52" s="1"/>
  <c r="K3547" i="52"/>
  <c r="K3546" i="52"/>
  <c r="I3546" i="52"/>
  <c r="K3545" i="52"/>
  <c r="I3545" i="52"/>
  <c r="J3545" i="52" s="1"/>
  <c r="K3544" i="52"/>
  <c r="L3544" i="52" s="1"/>
  <c r="M3544" i="52" s="1"/>
  <c r="K3543" i="52"/>
  <c r="L3543" i="52" s="1"/>
  <c r="M3543" i="52" s="1"/>
  <c r="K3542" i="52"/>
  <c r="L3542" i="52" s="1"/>
  <c r="M3542" i="52" s="1"/>
  <c r="K3541" i="52"/>
  <c r="K3540" i="52"/>
  <c r="I3540" i="52"/>
  <c r="K3539" i="52"/>
  <c r="L3539" i="52" s="1"/>
  <c r="M3539" i="52" s="1"/>
  <c r="I3539" i="52"/>
  <c r="K3538" i="52"/>
  <c r="L3538" i="52" s="1"/>
  <c r="M3538" i="52" s="1"/>
  <c r="I3538" i="52"/>
  <c r="K3537" i="52"/>
  <c r="L3537" i="52" s="1"/>
  <c r="M3537" i="52" s="1"/>
  <c r="I3537" i="52"/>
  <c r="K3536" i="52"/>
  <c r="L3536" i="52" s="1"/>
  <c r="M3536" i="52" s="1"/>
  <c r="I3536" i="52"/>
  <c r="K3535" i="52"/>
  <c r="L3535" i="52" s="1"/>
  <c r="M3535" i="52" s="1"/>
  <c r="I3535" i="52"/>
  <c r="K3534" i="52"/>
  <c r="L3534" i="52" s="1"/>
  <c r="M3534" i="52" s="1"/>
  <c r="I3534" i="52"/>
  <c r="K3533" i="52"/>
  <c r="L3533" i="52" s="1"/>
  <c r="M3533" i="52" s="1"/>
  <c r="I3533" i="52"/>
  <c r="K3532" i="52"/>
  <c r="L3532" i="52" s="1"/>
  <c r="M3532" i="52" s="1"/>
  <c r="I3532" i="52"/>
  <c r="K3531" i="52"/>
  <c r="L3531" i="52" s="1"/>
  <c r="M3531" i="52" s="1"/>
  <c r="I3531" i="52"/>
  <c r="K3530" i="52"/>
  <c r="L3530" i="52" s="1"/>
  <c r="M3530" i="52" s="1"/>
  <c r="I3530" i="52"/>
  <c r="K3529" i="52"/>
  <c r="L3529" i="52" s="1"/>
  <c r="M3529" i="52" s="1"/>
  <c r="I3529" i="52"/>
  <c r="J3540" i="52" s="1"/>
  <c r="K3528" i="52"/>
  <c r="L3528" i="52" s="1"/>
  <c r="M3528" i="52" s="1"/>
  <c r="I3528" i="52"/>
  <c r="K3527" i="52"/>
  <c r="L3527" i="52" s="1"/>
  <c r="M3527" i="52" s="1"/>
  <c r="K3525" i="52"/>
  <c r="P3524" i="52"/>
  <c r="L3524" i="52"/>
  <c r="M3524" i="52" s="1"/>
  <c r="K3524" i="52"/>
  <c r="I3524" i="52"/>
  <c r="P3523" i="52"/>
  <c r="K3523" i="52"/>
  <c r="L3523" i="52" s="1"/>
  <c r="M3523" i="52" s="1"/>
  <c r="I3523" i="52"/>
  <c r="P3522" i="52"/>
  <c r="K3522" i="52"/>
  <c r="I3522" i="52"/>
  <c r="P3521" i="52"/>
  <c r="K3521" i="52"/>
  <c r="I3521" i="52"/>
  <c r="P3520" i="52"/>
  <c r="K3520" i="52"/>
  <c r="I3520" i="52"/>
  <c r="P3519" i="52"/>
  <c r="K3519" i="52"/>
  <c r="I3519" i="52"/>
  <c r="P3518" i="52"/>
  <c r="K3518" i="52"/>
  <c r="I3518" i="52"/>
  <c r="P3517" i="52"/>
  <c r="L3517" i="52"/>
  <c r="M3517" i="52" s="1"/>
  <c r="K3517" i="52"/>
  <c r="I3517" i="52"/>
  <c r="P3516" i="52"/>
  <c r="Q3516" i="52" s="1"/>
  <c r="K3516" i="52"/>
  <c r="L3516" i="52" s="1"/>
  <c r="M3516" i="52" s="1"/>
  <c r="I3516" i="52"/>
  <c r="K3515" i="52"/>
  <c r="L3515" i="52" s="1"/>
  <c r="M3515" i="52" s="1"/>
  <c r="M3514" i="52"/>
  <c r="L3514" i="52"/>
  <c r="K3514" i="52"/>
  <c r="K3512" i="52"/>
  <c r="L3511" i="52"/>
  <c r="M3511" i="52" s="1"/>
  <c r="K3511" i="52"/>
  <c r="K3510" i="52"/>
  <c r="L3510" i="52" s="1"/>
  <c r="M3510" i="52" s="1"/>
  <c r="I3510" i="52"/>
  <c r="K3509" i="52"/>
  <c r="L3509" i="52" s="1"/>
  <c r="M3509" i="52" s="1"/>
  <c r="I3509" i="52"/>
  <c r="L3508" i="52"/>
  <c r="M3508" i="52" s="1"/>
  <c r="K3508" i="52"/>
  <c r="I3508" i="52"/>
  <c r="L3507" i="52"/>
  <c r="M3507" i="52" s="1"/>
  <c r="K3507" i="52"/>
  <c r="I3507" i="52"/>
  <c r="L3506" i="52"/>
  <c r="M3506" i="52" s="1"/>
  <c r="K3506" i="52"/>
  <c r="K3499" i="52"/>
  <c r="L3499" i="52" s="1"/>
  <c r="M3499" i="52" s="1"/>
  <c r="K3498" i="52"/>
  <c r="L3498" i="52" s="1"/>
  <c r="M3498" i="52" s="1"/>
  <c r="K3496" i="52"/>
  <c r="J3496" i="52"/>
  <c r="I3496" i="52"/>
  <c r="K3495" i="52"/>
  <c r="L3495" i="52" s="1"/>
  <c r="M3495" i="52" s="1"/>
  <c r="I3495" i="52"/>
  <c r="K3494" i="52"/>
  <c r="L3494" i="52" s="1"/>
  <c r="M3494" i="52" s="1"/>
  <c r="K3493" i="52"/>
  <c r="L3493" i="52" s="1"/>
  <c r="M3493" i="52" s="1"/>
  <c r="K3492" i="52"/>
  <c r="L3492" i="52" s="1"/>
  <c r="M3492" i="52" s="1"/>
  <c r="L3491" i="52"/>
  <c r="M3491" i="52" s="1"/>
  <c r="K3491" i="52"/>
  <c r="L3490" i="52"/>
  <c r="M3490" i="52" s="1"/>
  <c r="K3490" i="52"/>
  <c r="K3489" i="52"/>
  <c r="K3488" i="52"/>
  <c r="I3488" i="52"/>
  <c r="J3488" i="52" s="1"/>
  <c r="M3487" i="52"/>
  <c r="L3487" i="52"/>
  <c r="K3487" i="52"/>
  <c r="K3486" i="52"/>
  <c r="K3485" i="52"/>
  <c r="I3485" i="52"/>
  <c r="J3485" i="52" s="1"/>
  <c r="L3484" i="52"/>
  <c r="M3484" i="52" s="1"/>
  <c r="K3484" i="52"/>
  <c r="K3483" i="52"/>
  <c r="K3482" i="52"/>
  <c r="F3482" i="52"/>
  <c r="I3482" i="52" s="1"/>
  <c r="J3482" i="52" s="1"/>
  <c r="K3481" i="52"/>
  <c r="L3481" i="52" s="1"/>
  <c r="M3481" i="52" s="1"/>
  <c r="K3479" i="52"/>
  <c r="I3479" i="52"/>
  <c r="J3479" i="52" s="1"/>
  <c r="M3478" i="52"/>
  <c r="L3478" i="52"/>
  <c r="K3478" i="52"/>
  <c r="K3477" i="52"/>
  <c r="L3477" i="52" s="1"/>
  <c r="M3477" i="52" s="1"/>
  <c r="K3476" i="52"/>
  <c r="L3476" i="52" s="1"/>
  <c r="M3476" i="52" s="1"/>
  <c r="K3475" i="52"/>
  <c r="L3475" i="52" s="1"/>
  <c r="M3475" i="52" s="1"/>
  <c r="L3474" i="52"/>
  <c r="M3474" i="52" s="1"/>
  <c r="K3474" i="52"/>
  <c r="L3473" i="52"/>
  <c r="M3473" i="52" s="1"/>
  <c r="K3473" i="52"/>
  <c r="K3472" i="52"/>
  <c r="L3472" i="52" s="1"/>
  <c r="M3472" i="52" s="1"/>
  <c r="K3471" i="52"/>
  <c r="L3471" i="52" s="1"/>
  <c r="M3471" i="52" s="1"/>
  <c r="K3470" i="52"/>
  <c r="L3470" i="52" s="1"/>
  <c r="M3470" i="52" s="1"/>
  <c r="K3468" i="52"/>
  <c r="L3468" i="52" s="1"/>
  <c r="M3468" i="52" s="1"/>
  <c r="I3468" i="52"/>
  <c r="K3467" i="52"/>
  <c r="L3467" i="52" s="1"/>
  <c r="M3467" i="52" s="1"/>
  <c r="I3467" i="52"/>
  <c r="K3466" i="52"/>
  <c r="L3466" i="52" s="1"/>
  <c r="M3466" i="52" s="1"/>
  <c r="I3466" i="52"/>
  <c r="K3465" i="52"/>
  <c r="L3465" i="52" s="1"/>
  <c r="M3465" i="52" s="1"/>
  <c r="I3465" i="52"/>
  <c r="K3464" i="52"/>
  <c r="L3464" i="52" s="1"/>
  <c r="M3464" i="52" s="1"/>
  <c r="I3464" i="52"/>
  <c r="K3463" i="52"/>
  <c r="L3463" i="52" s="1"/>
  <c r="M3463" i="52" s="1"/>
  <c r="I3463" i="52"/>
  <c r="K3462" i="52"/>
  <c r="L3462" i="52" s="1"/>
  <c r="M3462" i="52" s="1"/>
  <c r="I3462" i="52"/>
  <c r="K3461" i="52"/>
  <c r="L3461" i="52" s="1"/>
  <c r="M3461" i="52" s="1"/>
  <c r="I3461" i="52"/>
  <c r="K3460" i="52"/>
  <c r="L3460" i="52" s="1"/>
  <c r="M3460" i="52" s="1"/>
  <c r="I3460" i="52"/>
  <c r="K3459" i="52"/>
  <c r="L3459" i="52" s="1"/>
  <c r="M3459" i="52" s="1"/>
  <c r="I3459" i="52"/>
  <c r="K3458" i="52"/>
  <c r="L3458" i="52" s="1"/>
  <c r="M3458" i="52" s="1"/>
  <c r="I3458" i="52"/>
  <c r="K3457" i="52"/>
  <c r="L3457" i="52" s="1"/>
  <c r="M3457" i="52" s="1"/>
  <c r="I3457" i="52"/>
  <c r="K3456" i="52"/>
  <c r="L3456" i="52" s="1"/>
  <c r="M3456" i="52" s="1"/>
  <c r="I3456" i="52"/>
  <c r="K3455" i="52"/>
  <c r="L3455" i="52" s="1"/>
  <c r="M3455" i="52" s="1"/>
  <c r="I3455" i="52"/>
  <c r="K3454" i="52"/>
  <c r="L3454" i="52" s="1"/>
  <c r="M3454" i="52" s="1"/>
  <c r="M3453" i="52"/>
  <c r="K3453" i="52"/>
  <c r="L3453" i="52" s="1"/>
  <c r="M3452" i="52"/>
  <c r="L3452" i="52"/>
  <c r="K3452" i="52"/>
  <c r="L3451" i="52"/>
  <c r="M3451" i="52" s="1"/>
  <c r="K3451" i="52"/>
  <c r="K3449" i="52"/>
  <c r="I3449" i="52"/>
  <c r="J3449" i="52" s="1"/>
  <c r="L3449" i="52" s="1"/>
  <c r="M3449" i="52" s="1"/>
  <c r="G3449" i="52"/>
  <c r="G4138" i="52" s="1"/>
  <c r="I4138" i="52" s="1"/>
  <c r="F3449" i="52"/>
  <c r="F4138" i="52" s="1"/>
  <c r="L3448" i="52"/>
  <c r="M3448" i="52" s="1"/>
  <c r="K3448" i="52"/>
  <c r="I3448" i="52"/>
  <c r="M3447" i="52"/>
  <c r="L3447" i="52"/>
  <c r="L3446" i="52"/>
  <c r="M3446" i="52" s="1"/>
  <c r="K3445" i="52"/>
  <c r="K3444" i="52"/>
  <c r="I3444" i="52"/>
  <c r="K3443" i="52"/>
  <c r="L3443" i="52" s="1"/>
  <c r="M3443" i="52" s="1"/>
  <c r="I3443" i="52"/>
  <c r="K3442" i="52"/>
  <c r="L3442" i="52" s="1"/>
  <c r="M3442" i="52" s="1"/>
  <c r="L3441" i="52"/>
  <c r="M3441" i="52" s="1"/>
  <c r="L3440" i="52"/>
  <c r="M3440" i="52" s="1"/>
  <c r="L3439" i="52"/>
  <c r="M3439" i="52" s="1"/>
  <c r="K3437" i="52"/>
  <c r="K3436" i="52"/>
  <c r="L3436" i="52" s="1"/>
  <c r="M3436" i="52" s="1"/>
  <c r="L3435" i="52"/>
  <c r="M3435" i="52" s="1"/>
  <c r="K3435" i="52"/>
  <c r="I3435" i="52"/>
  <c r="L3434" i="52"/>
  <c r="M3434" i="52" s="1"/>
  <c r="K3434" i="52"/>
  <c r="K3433" i="52"/>
  <c r="L3433" i="52" s="1"/>
  <c r="M3433" i="52" s="1"/>
  <c r="F3433" i="52"/>
  <c r="I3433" i="52" s="1"/>
  <c r="L3432" i="52"/>
  <c r="M3432" i="52" s="1"/>
  <c r="K3432" i="52"/>
  <c r="F3432" i="52"/>
  <c r="I3432" i="52" s="1"/>
  <c r="K3431" i="52"/>
  <c r="L3431" i="52" s="1"/>
  <c r="M3431" i="52" s="1"/>
  <c r="F3431" i="52"/>
  <c r="I3431" i="52" s="1"/>
  <c r="K3430" i="52"/>
  <c r="L3430" i="52" s="1"/>
  <c r="M3430" i="52" s="1"/>
  <c r="F3430" i="52"/>
  <c r="I3430" i="52" s="1"/>
  <c r="K3429" i="52"/>
  <c r="L3429" i="52" s="1"/>
  <c r="M3429" i="52" s="1"/>
  <c r="K3428" i="52"/>
  <c r="L3428" i="52" s="1"/>
  <c r="M3428" i="52" s="1"/>
  <c r="K3425" i="52"/>
  <c r="L3425" i="52" s="1"/>
  <c r="M3425" i="52" s="1"/>
  <c r="K3423" i="52"/>
  <c r="I3423" i="52"/>
  <c r="L3422" i="52"/>
  <c r="M3422" i="52" s="1"/>
  <c r="K3422" i="52"/>
  <c r="I3422" i="52"/>
  <c r="K3421" i="52"/>
  <c r="L3421" i="52" s="1"/>
  <c r="M3421" i="52" s="1"/>
  <c r="I3421" i="52"/>
  <c r="L3420" i="52"/>
  <c r="M3420" i="52" s="1"/>
  <c r="K3420" i="52"/>
  <c r="I3420" i="52"/>
  <c r="K3419" i="52"/>
  <c r="L3419" i="52" s="1"/>
  <c r="M3419" i="52" s="1"/>
  <c r="I3419" i="52"/>
  <c r="L3418" i="52"/>
  <c r="M3418" i="52" s="1"/>
  <c r="K3418" i="52"/>
  <c r="I3418" i="52"/>
  <c r="K3417" i="52"/>
  <c r="L3417" i="52" s="1"/>
  <c r="M3417" i="52" s="1"/>
  <c r="I3417" i="52"/>
  <c r="L3416" i="52"/>
  <c r="M3416" i="52" s="1"/>
  <c r="K3416" i="52"/>
  <c r="I3416" i="52"/>
  <c r="K3415" i="52"/>
  <c r="L3415" i="52" s="1"/>
  <c r="M3415" i="52" s="1"/>
  <c r="I3415" i="52"/>
  <c r="L3414" i="52"/>
  <c r="M3414" i="52" s="1"/>
  <c r="K3414" i="52"/>
  <c r="I3414" i="52"/>
  <c r="K3413" i="52"/>
  <c r="L3413" i="52" s="1"/>
  <c r="M3413" i="52" s="1"/>
  <c r="I3413" i="52"/>
  <c r="L3412" i="52"/>
  <c r="M3412" i="52" s="1"/>
  <c r="K3412" i="52"/>
  <c r="I3412" i="52"/>
  <c r="K3411" i="52"/>
  <c r="L3411" i="52" s="1"/>
  <c r="M3411" i="52" s="1"/>
  <c r="I3411" i="52"/>
  <c r="L3410" i="52"/>
  <c r="M3410" i="52" s="1"/>
  <c r="K3410" i="52"/>
  <c r="L3409" i="52"/>
  <c r="M3409" i="52" s="1"/>
  <c r="K3409" i="52"/>
  <c r="K3408" i="52"/>
  <c r="L3408" i="52" s="1"/>
  <c r="M3408" i="52" s="1"/>
  <c r="K3407" i="52"/>
  <c r="K3406" i="52"/>
  <c r="I3406" i="52"/>
  <c r="J3406" i="52" s="1"/>
  <c r="J3407" i="52" s="1"/>
  <c r="K3405" i="52"/>
  <c r="L3405" i="52" s="1"/>
  <c r="M3405" i="52" s="1"/>
  <c r="K3404" i="52"/>
  <c r="L3404" i="52" s="1"/>
  <c r="M3404" i="52" s="1"/>
  <c r="K3402" i="52"/>
  <c r="I3402" i="52"/>
  <c r="K3401" i="52"/>
  <c r="I3401" i="52"/>
  <c r="K3400" i="52"/>
  <c r="L3400" i="52" s="1"/>
  <c r="M3400" i="52" s="1"/>
  <c r="I3400" i="52"/>
  <c r="K3399" i="52"/>
  <c r="I3399" i="52"/>
  <c r="K3398" i="52"/>
  <c r="L3398" i="52" s="1"/>
  <c r="M3398" i="52" s="1"/>
  <c r="I3398" i="52"/>
  <c r="K3397" i="52"/>
  <c r="L3397" i="52" s="1"/>
  <c r="M3397" i="52" s="1"/>
  <c r="I3397" i="52"/>
  <c r="K3396" i="52"/>
  <c r="L3396" i="52" s="1"/>
  <c r="M3396" i="52" s="1"/>
  <c r="I3396" i="52"/>
  <c r="K3395" i="52"/>
  <c r="L3395" i="52" s="1"/>
  <c r="M3395" i="52" s="1"/>
  <c r="I3395" i="52"/>
  <c r="K3394" i="52"/>
  <c r="L3394" i="52" s="1"/>
  <c r="M3394" i="52" s="1"/>
  <c r="I3394" i="52"/>
  <c r="K3393" i="52"/>
  <c r="L3393" i="52" s="1"/>
  <c r="M3393" i="52" s="1"/>
  <c r="I3393" i="52"/>
  <c r="K3392" i="52"/>
  <c r="L3392" i="52" s="1"/>
  <c r="M3392" i="52" s="1"/>
  <c r="I3392" i="52"/>
  <c r="K3391" i="52"/>
  <c r="L3391" i="52" s="1"/>
  <c r="M3391" i="52" s="1"/>
  <c r="I3391" i="52"/>
  <c r="K3390" i="52"/>
  <c r="L3390" i="52" s="1"/>
  <c r="M3390" i="52" s="1"/>
  <c r="I3390" i="52"/>
  <c r="K3389" i="52"/>
  <c r="L3389" i="52" s="1"/>
  <c r="M3389" i="52" s="1"/>
  <c r="I3389" i="52"/>
  <c r="K3388" i="52"/>
  <c r="L3388" i="52" s="1"/>
  <c r="M3388" i="52" s="1"/>
  <c r="I3388" i="52"/>
  <c r="K3387" i="52"/>
  <c r="L3387" i="52" s="1"/>
  <c r="M3387" i="52" s="1"/>
  <c r="I3387" i="52"/>
  <c r="K3386" i="52"/>
  <c r="L3386" i="52" s="1"/>
  <c r="M3386" i="52" s="1"/>
  <c r="I3386" i="52"/>
  <c r="K3385" i="52"/>
  <c r="L3385" i="52" s="1"/>
  <c r="M3385" i="52" s="1"/>
  <c r="I3385" i="52"/>
  <c r="K3384" i="52"/>
  <c r="L3384" i="52" s="1"/>
  <c r="M3384" i="52" s="1"/>
  <c r="I3384" i="52"/>
  <c r="K3383" i="52"/>
  <c r="L3383" i="52" s="1"/>
  <c r="M3383" i="52" s="1"/>
  <c r="I3383" i="52"/>
  <c r="P3382" i="52"/>
  <c r="K3382" i="52"/>
  <c r="L3382" i="52" s="1"/>
  <c r="M3382" i="52" s="1"/>
  <c r="I3382" i="52"/>
  <c r="K3381" i="52"/>
  <c r="L3381" i="52" s="1"/>
  <c r="M3381" i="52" s="1"/>
  <c r="K3380" i="52"/>
  <c r="L3380" i="52" s="1"/>
  <c r="M3380" i="52" s="1"/>
  <c r="L3379" i="52"/>
  <c r="M3379" i="52" s="1"/>
  <c r="K3379" i="52"/>
  <c r="K3378" i="52"/>
  <c r="L3378" i="52" s="1"/>
  <c r="M3378" i="52" s="1"/>
  <c r="Q3377" i="52"/>
  <c r="R3377" i="52" s="1"/>
  <c r="K3377" i="52"/>
  <c r="K3376" i="52"/>
  <c r="I3376" i="52"/>
  <c r="L3375" i="52"/>
  <c r="M3375" i="52" s="1"/>
  <c r="K3375" i="52"/>
  <c r="I3375" i="52"/>
  <c r="L3374" i="52"/>
  <c r="M3374" i="52" s="1"/>
  <c r="K3374" i="52"/>
  <c r="I3374" i="52"/>
  <c r="I3372" i="52"/>
  <c r="I3371" i="52"/>
  <c r="M3370" i="52"/>
  <c r="K3370" i="52"/>
  <c r="L3370" i="52" s="1"/>
  <c r="I3370" i="52"/>
  <c r="K3369" i="52"/>
  <c r="L3369" i="52" s="1"/>
  <c r="M3369" i="52" s="1"/>
  <c r="F3369" i="52"/>
  <c r="I3369" i="52" s="1"/>
  <c r="K3368" i="52"/>
  <c r="L3368" i="52" s="1"/>
  <c r="M3368" i="52" s="1"/>
  <c r="I3368" i="52"/>
  <c r="K3367" i="52"/>
  <c r="L3367" i="52" s="1"/>
  <c r="M3367" i="52" s="1"/>
  <c r="I3367" i="52"/>
  <c r="K3366" i="52"/>
  <c r="L3366" i="52" s="1"/>
  <c r="M3366" i="52" s="1"/>
  <c r="I3366" i="52"/>
  <c r="K3365" i="52"/>
  <c r="L3365" i="52" s="1"/>
  <c r="M3365" i="52" s="1"/>
  <c r="K3364" i="52"/>
  <c r="L3364" i="52" s="1"/>
  <c r="M3364" i="52" s="1"/>
  <c r="K3362" i="52"/>
  <c r="L3361" i="52"/>
  <c r="M3361" i="52" s="1"/>
  <c r="K3361" i="52"/>
  <c r="I3361" i="52"/>
  <c r="K3360" i="52"/>
  <c r="L3360" i="52" s="1"/>
  <c r="M3360" i="52" s="1"/>
  <c r="K3359" i="52"/>
  <c r="L3359" i="52" s="1"/>
  <c r="M3359" i="52" s="1"/>
  <c r="I3359" i="52"/>
  <c r="K3358" i="52"/>
  <c r="L3358" i="52" s="1"/>
  <c r="M3358" i="52" s="1"/>
  <c r="I3358" i="52"/>
  <c r="K3357" i="52"/>
  <c r="L3357" i="52" s="1"/>
  <c r="M3357" i="52" s="1"/>
  <c r="I3357" i="52"/>
  <c r="P3356" i="52"/>
  <c r="L3356" i="52"/>
  <c r="M3356" i="52" s="1"/>
  <c r="K3356" i="52"/>
  <c r="I3356" i="52"/>
  <c r="L3355" i="52"/>
  <c r="M3355" i="52" s="1"/>
  <c r="K3355" i="52"/>
  <c r="K3354" i="52"/>
  <c r="L3354" i="52" s="1"/>
  <c r="M3354" i="52" s="1"/>
  <c r="M3353" i="52"/>
  <c r="K3353" i="52"/>
  <c r="L3353" i="52" s="1"/>
  <c r="I3353" i="52"/>
  <c r="L3352" i="52"/>
  <c r="M3352" i="52" s="1"/>
  <c r="K3352" i="52"/>
  <c r="I3352" i="52"/>
  <c r="K3351" i="52"/>
  <c r="L3351" i="52" s="1"/>
  <c r="M3351" i="52" s="1"/>
  <c r="I3351" i="52"/>
  <c r="L3350" i="52"/>
  <c r="M3350" i="52" s="1"/>
  <c r="K3350" i="52"/>
  <c r="I3350" i="52"/>
  <c r="K3349" i="52"/>
  <c r="L3349" i="52" s="1"/>
  <c r="M3349" i="52" s="1"/>
  <c r="I3349" i="52"/>
  <c r="L3348" i="52"/>
  <c r="M3348" i="52" s="1"/>
  <c r="K3348" i="52"/>
  <c r="I3348" i="52"/>
  <c r="M3347" i="52"/>
  <c r="K3347" i="52"/>
  <c r="L3347" i="52" s="1"/>
  <c r="I3347" i="52"/>
  <c r="L3346" i="52"/>
  <c r="M3346" i="52" s="1"/>
  <c r="K3346" i="52"/>
  <c r="I3346" i="52"/>
  <c r="M3345" i="52"/>
  <c r="K3345" i="52"/>
  <c r="L3345" i="52" s="1"/>
  <c r="I3345" i="52"/>
  <c r="L3344" i="52"/>
  <c r="M3344" i="52" s="1"/>
  <c r="K3344" i="52"/>
  <c r="I3344" i="52"/>
  <c r="K3343" i="52"/>
  <c r="L3343" i="52" s="1"/>
  <c r="M3343" i="52" s="1"/>
  <c r="I3343" i="52"/>
  <c r="L3342" i="52"/>
  <c r="M3342" i="52" s="1"/>
  <c r="K3342" i="52"/>
  <c r="I3342" i="52"/>
  <c r="P3341" i="52"/>
  <c r="K3341" i="52"/>
  <c r="L3341" i="52" s="1"/>
  <c r="M3341" i="52" s="1"/>
  <c r="I3341" i="52"/>
  <c r="P3340" i="52"/>
  <c r="K3340" i="52"/>
  <c r="L3340" i="52" s="1"/>
  <c r="M3340" i="52" s="1"/>
  <c r="P3339" i="52"/>
  <c r="K3339" i="52"/>
  <c r="L3339" i="52" s="1"/>
  <c r="M3339" i="52" s="1"/>
  <c r="P3338" i="52"/>
  <c r="L3338" i="52"/>
  <c r="M3338" i="52" s="1"/>
  <c r="J3338" i="52"/>
  <c r="K3337" i="52"/>
  <c r="L3337" i="52" s="1"/>
  <c r="M3337" i="52" s="1"/>
  <c r="N3337" i="52" s="1"/>
  <c r="K3336" i="52"/>
  <c r="L3336" i="52" s="1"/>
  <c r="M3336" i="52" s="1"/>
  <c r="N3336" i="52" s="1"/>
  <c r="L3335" i="52"/>
  <c r="M3335" i="52" s="1"/>
  <c r="N3335" i="52" s="1"/>
  <c r="K3335" i="52"/>
  <c r="L3334" i="52"/>
  <c r="M3334" i="52" s="1"/>
  <c r="N3334" i="52" s="1"/>
  <c r="K3334" i="52"/>
  <c r="K3333" i="52"/>
  <c r="L3333" i="52" s="1"/>
  <c r="M3333" i="52" s="1"/>
  <c r="N3333" i="52" s="1"/>
  <c r="K3332" i="52"/>
  <c r="L3332" i="52" s="1"/>
  <c r="M3332" i="52" s="1"/>
  <c r="N3332" i="52" s="1"/>
  <c r="L3331" i="52"/>
  <c r="M3331" i="52" s="1"/>
  <c r="N3331" i="52" s="1"/>
  <c r="K3331" i="52"/>
  <c r="L3330" i="52"/>
  <c r="M3330" i="52" s="1"/>
  <c r="N3330" i="52" s="1"/>
  <c r="K3330" i="52"/>
  <c r="K3329" i="52"/>
  <c r="L3329" i="52" s="1"/>
  <c r="M3329" i="52" s="1"/>
  <c r="N3329" i="52" s="1"/>
  <c r="K3328" i="52"/>
  <c r="L3328" i="52" s="1"/>
  <c r="M3328" i="52" s="1"/>
  <c r="N3328" i="52" s="1"/>
  <c r="L3327" i="52"/>
  <c r="M3327" i="52" s="1"/>
  <c r="N3327" i="52" s="1"/>
  <c r="K3327" i="52"/>
  <c r="L3326" i="52"/>
  <c r="M3326" i="52" s="1"/>
  <c r="N3326" i="52" s="1"/>
  <c r="K3326" i="52"/>
  <c r="K3325" i="52"/>
  <c r="L3325" i="52" s="1"/>
  <c r="M3325" i="52" s="1"/>
  <c r="N3325" i="52" s="1"/>
  <c r="K3324" i="52"/>
  <c r="L3324" i="52" s="1"/>
  <c r="M3324" i="52" s="1"/>
  <c r="N3324" i="52" s="1"/>
  <c r="L3323" i="52"/>
  <c r="M3323" i="52" s="1"/>
  <c r="N3323" i="52" s="1"/>
  <c r="K3323" i="52"/>
  <c r="L3322" i="52"/>
  <c r="M3322" i="52" s="1"/>
  <c r="N3322" i="52" s="1"/>
  <c r="K3322" i="52"/>
  <c r="K3321" i="52"/>
  <c r="L3321" i="52" s="1"/>
  <c r="M3321" i="52" s="1"/>
  <c r="N3321" i="52" s="1"/>
  <c r="K3320" i="52"/>
  <c r="L3320" i="52" s="1"/>
  <c r="M3320" i="52" s="1"/>
  <c r="N3320" i="52" s="1"/>
  <c r="L3319" i="52"/>
  <c r="M3319" i="52" s="1"/>
  <c r="N3319" i="52" s="1"/>
  <c r="K3319" i="52"/>
  <c r="L3318" i="52"/>
  <c r="M3318" i="52" s="1"/>
  <c r="N3318" i="52" s="1"/>
  <c r="K3318" i="52"/>
  <c r="K3317" i="52"/>
  <c r="L3317" i="52" s="1"/>
  <c r="M3317" i="52" s="1"/>
  <c r="N3317" i="52" s="1"/>
  <c r="K3316" i="52"/>
  <c r="L3316" i="52" s="1"/>
  <c r="M3316" i="52" s="1"/>
  <c r="N3316" i="52" s="1"/>
  <c r="L3315" i="52"/>
  <c r="M3315" i="52" s="1"/>
  <c r="N3315" i="52" s="1"/>
  <c r="K3315" i="52"/>
  <c r="L3314" i="52"/>
  <c r="M3314" i="52" s="1"/>
  <c r="N3314" i="52" s="1"/>
  <c r="K3314" i="52"/>
  <c r="K3313" i="52"/>
  <c r="L3313" i="52" s="1"/>
  <c r="M3313" i="52" s="1"/>
  <c r="N3313" i="52" s="1"/>
  <c r="L3312" i="52"/>
  <c r="M3312" i="52" s="1"/>
  <c r="N3312" i="52" s="1"/>
  <c r="K3312" i="52"/>
  <c r="L3311" i="52"/>
  <c r="M3311" i="52" s="1"/>
  <c r="N3311" i="52" s="1"/>
  <c r="K3311" i="52"/>
  <c r="L3310" i="52"/>
  <c r="M3310" i="52" s="1"/>
  <c r="N3310" i="52" s="1"/>
  <c r="K3310" i="52"/>
  <c r="K3309" i="52"/>
  <c r="L3309" i="52" s="1"/>
  <c r="M3309" i="52" s="1"/>
  <c r="N3309" i="52" s="1"/>
  <c r="L3308" i="52"/>
  <c r="M3308" i="52" s="1"/>
  <c r="N3308" i="52" s="1"/>
  <c r="K3308" i="52"/>
  <c r="L3307" i="52"/>
  <c r="M3307" i="52" s="1"/>
  <c r="N3307" i="52" s="1"/>
  <c r="K3307" i="52"/>
  <c r="L3306" i="52"/>
  <c r="M3306" i="52" s="1"/>
  <c r="N3306" i="52" s="1"/>
  <c r="K3306" i="52"/>
  <c r="K3305" i="52"/>
  <c r="L3305" i="52" s="1"/>
  <c r="M3305" i="52" s="1"/>
  <c r="N3305" i="52" s="1"/>
  <c r="L3304" i="52"/>
  <c r="M3304" i="52" s="1"/>
  <c r="N3304" i="52" s="1"/>
  <c r="K3304" i="52"/>
  <c r="L3303" i="52"/>
  <c r="M3303" i="52" s="1"/>
  <c r="N3303" i="52" s="1"/>
  <c r="K3303" i="52"/>
  <c r="L3302" i="52"/>
  <c r="M3302" i="52" s="1"/>
  <c r="N3302" i="52" s="1"/>
  <c r="K3302" i="52"/>
  <c r="K3301" i="52"/>
  <c r="L3301" i="52" s="1"/>
  <c r="M3301" i="52" s="1"/>
  <c r="N3301" i="52" s="1"/>
  <c r="L3300" i="52"/>
  <c r="M3300" i="52" s="1"/>
  <c r="N3300" i="52" s="1"/>
  <c r="K3300" i="52"/>
  <c r="L3299" i="52"/>
  <c r="M3299" i="52" s="1"/>
  <c r="N3299" i="52" s="1"/>
  <c r="K3299" i="52"/>
  <c r="L3298" i="52"/>
  <c r="M3298" i="52" s="1"/>
  <c r="N3298" i="52" s="1"/>
  <c r="K3298" i="52"/>
  <c r="K3297" i="52"/>
  <c r="L3297" i="52" s="1"/>
  <c r="M3297" i="52" s="1"/>
  <c r="N3297" i="52" s="1"/>
  <c r="L3296" i="52"/>
  <c r="M3296" i="52" s="1"/>
  <c r="N3296" i="52" s="1"/>
  <c r="K3296" i="52"/>
  <c r="L3135" i="52"/>
  <c r="M3135" i="52" s="1"/>
  <c r="N3135" i="52" s="1"/>
  <c r="K3135" i="52"/>
  <c r="L3134" i="52"/>
  <c r="M3134" i="52" s="1"/>
  <c r="N3134" i="52" s="1"/>
  <c r="K3134" i="52"/>
  <c r="K3133" i="52"/>
  <c r="L3133" i="52" s="1"/>
  <c r="M3133" i="52" s="1"/>
  <c r="N3133" i="52" s="1"/>
  <c r="L3132" i="52"/>
  <c r="M3132" i="52" s="1"/>
  <c r="N3132" i="52" s="1"/>
  <c r="K3132" i="52"/>
  <c r="L3131" i="52"/>
  <c r="M3131" i="52" s="1"/>
  <c r="N3131" i="52" s="1"/>
  <c r="K3131" i="52"/>
  <c r="L3130" i="52"/>
  <c r="M3130" i="52" s="1"/>
  <c r="N3130" i="52" s="1"/>
  <c r="K3130" i="52"/>
  <c r="K3129" i="52"/>
  <c r="L3129" i="52" s="1"/>
  <c r="M3129" i="52" s="1"/>
  <c r="N3129" i="52" s="1"/>
  <c r="L3128" i="52"/>
  <c r="M3128" i="52" s="1"/>
  <c r="N3128" i="52" s="1"/>
  <c r="K3128" i="52"/>
  <c r="L3127" i="52"/>
  <c r="M3127" i="52" s="1"/>
  <c r="N3127" i="52" s="1"/>
  <c r="K3127" i="52"/>
  <c r="L3126" i="52"/>
  <c r="M3126" i="52" s="1"/>
  <c r="N3126" i="52" s="1"/>
  <c r="K3126" i="52"/>
  <c r="K3125" i="52"/>
  <c r="L3125" i="52" s="1"/>
  <c r="M3125" i="52" s="1"/>
  <c r="N3125" i="52" s="1"/>
  <c r="L3124" i="52"/>
  <c r="M3124" i="52" s="1"/>
  <c r="N3124" i="52" s="1"/>
  <c r="K3124" i="52"/>
  <c r="L3123" i="52"/>
  <c r="M3123" i="52" s="1"/>
  <c r="N3123" i="52" s="1"/>
  <c r="K3123" i="52"/>
  <c r="L3122" i="52"/>
  <c r="M3122" i="52" s="1"/>
  <c r="N3122" i="52" s="1"/>
  <c r="K3122" i="52"/>
  <c r="K3121" i="52"/>
  <c r="L3121" i="52" s="1"/>
  <c r="M3121" i="52" s="1"/>
  <c r="N3121" i="52" s="1"/>
  <c r="L3120" i="52"/>
  <c r="M3120" i="52" s="1"/>
  <c r="N3120" i="52" s="1"/>
  <c r="K3120" i="52"/>
  <c r="L3119" i="52"/>
  <c r="M3119" i="52" s="1"/>
  <c r="N3119" i="52" s="1"/>
  <c r="K3119" i="52"/>
  <c r="L3118" i="52"/>
  <c r="M3118" i="52" s="1"/>
  <c r="N3118" i="52" s="1"/>
  <c r="K3118" i="52"/>
  <c r="K3117" i="52"/>
  <c r="L3117" i="52" s="1"/>
  <c r="M3117" i="52" s="1"/>
  <c r="N3117" i="52" s="1"/>
  <c r="L3116" i="52"/>
  <c r="M3116" i="52" s="1"/>
  <c r="N3116" i="52" s="1"/>
  <c r="K3116" i="52"/>
  <c r="L3115" i="52"/>
  <c r="M3115" i="52" s="1"/>
  <c r="N3115" i="52" s="1"/>
  <c r="K3115" i="52"/>
  <c r="L3114" i="52"/>
  <c r="M3114" i="52" s="1"/>
  <c r="N3114" i="52" s="1"/>
  <c r="K3114" i="52"/>
  <c r="K3113" i="52"/>
  <c r="L3113" i="52" s="1"/>
  <c r="M3113" i="52" s="1"/>
  <c r="N3113" i="52" s="1"/>
  <c r="L3112" i="52"/>
  <c r="M3112" i="52" s="1"/>
  <c r="N3112" i="52" s="1"/>
  <c r="K3112" i="52"/>
  <c r="L3111" i="52"/>
  <c r="M3111" i="52" s="1"/>
  <c r="N3111" i="52" s="1"/>
  <c r="K3111" i="52"/>
  <c r="L3110" i="52"/>
  <c r="M3110" i="52" s="1"/>
  <c r="N3110" i="52" s="1"/>
  <c r="K3110" i="52"/>
  <c r="K3109" i="52"/>
  <c r="L3109" i="52" s="1"/>
  <c r="M3109" i="52" s="1"/>
  <c r="N3109" i="52" s="1"/>
  <c r="L3108" i="52"/>
  <c r="M3108" i="52" s="1"/>
  <c r="N3108" i="52" s="1"/>
  <c r="K3108" i="52"/>
  <c r="L3107" i="52"/>
  <c r="M3107" i="52" s="1"/>
  <c r="N3107" i="52" s="1"/>
  <c r="K3107" i="52"/>
  <c r="L3106" i="52"/>
  <c r="M3106" i="52" s="1"/>
  <c r="N3106" i="52" s="1"/>
  <c r="K3106" i="52"/>
  <c r="K3105" i="52"/>
  <c r="L3105" i="52" s="1"/>
  <c r="M3105" i="52" s="1"/>
  <c r="N3105" i="52" s="1"/>
  <c r="L3104" i="52"/>
  <c r="M3104" i="52" s="1"/>
  <c r="N3104" i="52" s="1"/>
  <c r="K3104" i="52"/>
  <c r="L3103" i="52"/>
  <c r="M3103" i="52" s="1"/>
  <c r="N3103" i="52" s="1"/>
  <c r="K3103" i="52"/>
  <c r="L3102" i="52"/>
  <c r="M3102" i="52" s="1"/>
  <c r="N3102" i="52" s="1"/>
  <c r="K3102" i="52"/>
  <c r="K3101" i="52"/>
  <c r="L3101" i="52" s="1"/>
  <c r="M3101" i="52" s="1"/>
  <c r="N3101" i="52" s="1"/>
  <c r="L3100" i="52"/>
  <c r="M3100" i="52" s="1"/>
  <c r="N3100" i="52" s="1"/>
  <c r="K3100" i="52"/>
  <c r="L3099" i="52"/>
  <c r="M3099" i="52" s="1"/>
  <c r="N3099" i="52" s="1"/>
  <c r="K3099" i="52"/>
  <c r="L3098" i="52"/>
  <c r="M3098" i="52" s="1"/>
  <c r="N3098" i="52" s="1"/>
  <c r="K3098" i="52"/>
  <c r="K3097" i="52"/>
  <c r="L3097" i="52" s="1"/>
  <c r="M3097" i="52" s="1"/>
  <c r="N3097" i="52" s="1"/>
  <c r="L3096" i="52"/>
  <c r="M3096" i="52" s="1"/>
  <c r="N3096" i="52" s="1"/>
  <c r="K3096" i="52"/>
  <c r="L3095" i="52"/>
  <c r="M3095" i="52" s="1"/>
  <c r="N3095" i="52" s="1"/>
  <c r="K3095" i="52"/>
  <c r="L3094" i="52"/>
  <c r="M3094" i="52" s="1"/>
  <c r="N3094" i="52" s="1"/>
  <c r="K3094" i="52"/>
  <c r="K3093" i="52"/>
  <c r="L3093" i="52" s="1"/>
  <c r="M3093" i="52" s="1"/>
  <c r="N3093" i="52" s="1"/>
  <c r="L3092" i="52"/>
  <c r="M3092" i="52" s="1"/>
  <c r="N3092" i="52" s="1"/>
  <c r="K3092" i="52"/>
  <c r="L3091" i="52"/>
  <c r="M3091" i="52" s="1"/>
  <c r="N3091" i="52" s="1"/>
  <c r="K3091" i="52"/>
  <c r="L3090" i="52"/>
  <c r="M3090" i="52" s="1"/>
  <c r="N3090" i="52" s="1"/>
  <c r="K3090" i="52"/>
  <c r="K3089" i="52"/>
  <c r="L3089" i="52" s="1"/>
  <c r="M3089" i="52" s="1"/>
  <c r="N3089" i="52" s="1"/>
  <c r="L3088" i="52"/>
  <c r="M3088" i="52" s="1"/>
  <c r="N3088" i="52" s="1"/>
  <c r="K3088" i="52"/>
  <c r="L3087" i="52"/>
  <c r="M3087" i="52" s="1"/>
  <c r="N3087" i="52" s="1"/>
  <c r="K3087" i="52"/>
  <c r="L3086" i="52"/>
  <c r="M3086" i="52" s="1"/>
  <c r="N3086" i="52" s="1"/>
  <c r="K3086" i="52"/>
  <c r="K3085" i="52"/>
  <c r="L3085" i="52" s="1"/>
  <c r="M3085" i="52" s="1"/>
  <c r="N3085" i="52" s="1"/>
  <c r="L3084" i="52"/>
  <c r="M3084" i="52" s="1"/>
  <c r="N3084" i="52" s="1"/>
  <c r="K3084" i="52"/>
  <c r="L3083" i="52"/>
  <c r="M3083" i="52" s="1"/>
  <c r="N3083" i="52" s="1"/>
  <c r="K3083" i="52"/>
  <c r="L3082" i="52"/>
  <c r="M3082" i="52" s="1"/>
  <c r="N3082" i="52" s="1"/>
  <c r="K3082" i="52"/>
  <c r="K3081" i="52"/>
  <c r="L3081" i="52" s="1"/>
  <c r="M3081" i="52" s="1"/>
  <c r="N3081" i="52" s="1"/>
  <c r="L3080" i="52"/>
  <c r="M3080" i="52" s="1"/>
  <c r="N3080" i="52" s="1"/>
  <c r="K3080" i="52"/>
  <c r="L3079" i="52"/>
  <c r="M3079" i="52" s="1"/>
  <c r="N3079" i="52" s="1"/>
  <c r="K3079" i="52"/>
  <c r="L3078" i="52"/>
  <c r="M3078" i="52" s="1"/>
  <c r="N3078" i="52" s="1"/>
  <c r="K3078" i="52"/>
  <c r="K3077" i="52"/>
  <c r="L3077" i="52" s="1"/>
  <c r="M3077" i="52" s="1"/>
  <c r="N3077" i="52" s="1"/>
  <c r="L3076" i="52"/>
  <c r="M3076" i="52" s="1"/>
  <c r="N3076" i="52" s="1"/>
  <c r="K3076" i="52"/>
  <c r="L3075" i="52"/>
  <c r="M3075" i="52" s="1"/>
  <c r="N3075" i="52" s="1"/>
  <c r="K3075" i="52"/>
  <c r="L3074" i="52"/>
  <c r="M3074" i="52" s="1"/>
  <c r="N3074" i="52" s="1"/>
  <c r="K3074" i="52"/>
  <c r="K3073" i="52"/>
  <c r="L3073" i="52" s="1"/>
  <c r="M3073" i="52" s="1"/>
  <c r="N3073" i="52" s="1"/>
  <c r="L3072" i="52"/>
  <c r="M3072" i="52" s="1"/>
  <c r="N3072" i="52" s="1"/>
  <c r="K3072" i="52"/>
  <c r="L3071" i="52"/>
  <c r="M3071" i="52" s="1"/>
  <c r="N3071" i="52" s="1"/>
  <c r="K3071" i="52"/>
  <c r="L3070" i="52"/>
  <c r="M3070" i="52" s="1"/>
  <c r="N3070" i="52" s="1"/>
  <c r="K3070" i="52"/>
  <c r="K3069" i="52"/>
  <c r="L3069" i="52" s="1"/>
  <c r="M3069" i="52" s="1"/>
  <c r="N3069" i="52" s="1"/>
  <c r="L3068" i="52"/>
  <c r="M3068" i="52" s="1"/>
  <c r="N3068" i="52" s="1"/>
  <c r="K3068" i="52"/>
  <c r="L3067" i="52"/>
  <c r="M3067" i="52" s="1"/>
  <c r="N3067" i="52" s="1"/>
  <c r="K3067" i="52"/>
  <c r="L3066" i="52"/>
  <c r="M3066" i="52" s="1"/>
  <c r="N3066" i="52" s="1"/>
  <c r="K3066" i="52"/>
  <c r="K3065" i="52"/>
  <c r="L3065" i="52" s="1"/>
  <c r="M3065" i="52" s="1"/>
  <c r="N3065" i="52" s="1"/>
  <c r="L3064" i="52"/>
  <c r="M3064" i="52" s="1"/>
  <c r="N3064" i="52" s="1"/>
  <c r="K3064" i="52"/>
  <c r="L3063" i="52"/>
  <c r="M3063" i="52" s="1"/>
  <c r="N3063" i="52" s="1"/>
  <c r="K3063" i="52"/>
  <c r="L3062" i="52"/>
  <c r="M3062" i="52" s="1"/>
  <c r="N3062" i="52" s="1"/>
  <c r="K3062" i="52"/>
  <c r="K3061" i="52"/>
  <c r="L3061" i="52" s="1"/>
  <c r="M3061" i="52" s="1"/>
  <c r="N3061" i="52" s="1"/>
  <c r="L3060" i="52"/>
  <c r="M3060" i="52" s="1"/>
  <c r="N3060" i="52" s="1"/>
  <c r="K3060" i="52"/>
  <c r="L3059" i="52"/>
  <c r="M3059" i="52" s="1"/>
  <c r="N3059" i="52" s="1"/>
  <c r="K3059" i="52"/>
  <c r="L3058" i="52"/>
  <c r="M3058" i="52" s="1"/>
  <c r="N3058" i="52" s="1"/>
  <c r="K3058" i="52"/>
  <c r="K3057" i="52"/>
  <c r="L3057" i="52" s="1"/>
  <c r="M3057" i="52" s="1"/>
  <c r="N3057" i="52" s="1"/>
  <c r="L3056" i="52"/>
  <c r="M3056" i="52" s="1"/>
  <c r="N3056" i="52" s="1"/>
  <c r="K3056" i="52"/>
  <c r="L3055" i="52"/>
  <c r="M3055" i="52" s="1"/>
  <c r="N3055" i="52" s="1"/>
  <c r="K3055" i="52"/>
  <c r="L3054" i="52"/>
  <c r="M3054" i="52" s="1"/>
  <c r="N3054" i="52" s="1"/>
  <c r="K3054" i="52"/>
  <c r="K3053" i="52"/>
  <c r="L3053" i="52" s="1"/>
  <c r="M3053" i="52" s="1"/>
  <c r="N3053" i="52" s="1"/>
  <c r="L3052" i="52"/>
  <c r="M3052" i="52" s="1"/>
  <c r="N3052" i="52" s="1"/>
  <c r="K3052" i="52"/>
  <c r="L3051" i="52"/>
  <c r="M3051" i="52" s="1"/>
  <c r="N3051" i="52" s="1"/>
  <c r="K3051" i="52"/>
  <c r="L3050" i="52"/>
  <c r="M3050" i="52" s="1"/>
  <c r="N3050" i="52" s="1"/>
  <c r="K3050" i="52"/>
  <c r="K3049" i="52"/>
  <c r="L3049" i="52" s="1"/>
  <c r="M3049" i="52" s="1"/>
  <c r="N3049" i="52" s="1"/>
  <c r="L3048" i="52"/>
  <c r="M3048" i="52" s="1"/>
  <c r="N3048" i="52" s="1"/>
  <c r="K3048" i="52"/>
  <c r="L3047" i="52"/>
  <c r="M3047" i="52" s="1"/>
  <c r="N3047" i="52" s="1"/>
  <c r="K3047" i="52"/>
  <c r="L3046" i="52"/>
  <c r="M3046" i="52" s="1"/>
  <c r="N3046" i="52" s="1"/>
  <c r="K3046" i="52"/>
  <c r="K3045" i="52"/>
  <c r="L3045" i="52" s="1"/>
  <c r="M3045" i="52" s="1"/>
  <c r="N3045" i="52" s="1"/>
  <c r="L3044" i="52"/>
  <c r="M3044" i="52" s="1"/>
  <c r="N3044" i="52" s="1"/>
  <c r="K3044" i="52"/>
  <c r="L3043" i="52"/>
  <c r="M3043" i="52" s="1"/>
  <c r="N3043" i="52" s="1"/>
  <c r="K3043" i="52"/>
  <c r="L3042" i="52"/>
  <c r="M3042" i="52" s="1"/>
  <c r="N3042" i="52" s="1"/>
  <c r="K3042" i="52"/>
  <c r="K3041" i="52"/>
  <c r="L3041" i="52" s="1"/>
  <c r="M3041" i="52" s="1"/>
  <c r="N3041" i="52" s="1"/>
  <c r="L3040" i="52"/>
  <c r="M3040" i="52" s="1"/>
  <c r="N3040" i="52" s="1"/>
  <c r="K3040" i="52"/>
  <c r="L3039" i="52"/>
  <c r="M3039" i="52" s="1"/>
  <c r="N3039" i="52" s="1"/>
  <c r="K3039" i="52"/>
  <c r="L3038" i="52"/>
  <c r="M3038" i="52" s="1"/>
  <c r="N3038" i="52" s="1"/>
  <c r="K3038" i="52"/>
  <c r="K3037" i="52"/>
  <c r="L3037" i="52" s="1"/>
  <c r="M3037" i="52" s="1"/>
  <c r="N3037" i="52" s="1"/>
  <c r="L3036" i="52"/>
  <c r="M3036" i="52" s="1"/>
  <c r="N3036" i="52" s="1"/>
  <c r="K3036" i="52"/>
  <c r="L3035" i="52"/>
  <c r="M3035" i="52" s="1"/>
  <c r="N3035" i="52" s="1"/>
  <c r="K3035" i="52"/>
  <c r="L3034" i="52"/>
  <c r="M3034" i="52" s="1"/>
  <c r="N3034" i="52" s="1"/>
  <c r="K3034" i="52"/>
  <c r="K3033" i="52"/>
  <c r="L3033" i="52" s="1"/>
  <c r="M3033" i="52" s="1"/>
  <c r="N3033" i="52" s="1"/>
  <c r="L3032" i="52"/>
  <c r="M3032" i="52" s="1"/>
  <c r="N3032" i="52" s="1"/>
  <c r="K3032" i="52"/>
  <c r="L3031" i="52"/>
  <c r="M3031" i="52" s="1"/>
  <c r="N3031" i="52" s="1"/>
  <c r="K3031" i="52"/>
  <c r="L3030" i="52"/>
  <c r="M3030" i="52" s="1"/>
  <c r="N3030" i="52" s="1"/>
  <c r="K3030" i="52"/>
  <c r="K3029" i="52"/>
  <c r="L3029" i="52" s="1"/>
  <c r="M3029" i="52" s="1"/>
  <c r="N3029" i="52" s="1"/>
  <c r="L3028" i="52"/>
  <c r="M3028" i="52" s="1"/>
  <c r="N3028" i="52" s="1"/>
  <c r="K3028" i="52"/>
  <c r="L3027" i="52"/>
  <c r="M3027" i="52" s="1"/>
  <c r="N3027" i="52" s="1"/>
  <c r="K3027" i="52"/>
  <c r="L3026" i="52"/>
  <c r="M3026" i="52" s="1"/>
  <c r="N3026" i="52" s="1"/>
  <c r="K3026" i="52"/>
  <c r="K3025" i="52"/>
  <c r="L3025" i="52" s="1"/>
  <c r="M3025" i="52" s="1"/>
  <c r="N3025" i="52" s="1"/>
  <c r="L3024" i="52"/>
  <c r="M3024" i="52" s="1"/>
  <c r="N3024" i="52" s="1"/>
  <c r="K3024" i="52"/>
  <c r="L3023" i="52"/>
  <c r="M3023" i="52" s="1"/>
  <c r="N3023" i="52" s="1"/>
  <c r="K3023" i="52"/>
  <c r="L3022" i="52"/>
  <c r="M3022" i="52" s="1"/>
  <c r="N3022" i="52" s="1"/>
  <c r="K3022" i="52"/>
  <c r="K3021" i="52"/>
  <c r="L3021" i="52" s="1"/>
  <c r="M3021" i="52" s="1"/>
  <c r="N3021" i="52" s="1"/>
  <c r="L3020" i="52"/>
  <c r="M3020" i="52" s="1"/>
  <c r="N3020" i="52" s="1"/>
  <c r="K3020" i="52"/>
  <c r="L3019" i="52"/>
  <c r="M3019" i="52" s="1"/>
  <c r="N3019" i="52" s="1"/>
  <c r="K3019" i="52"/>
  <c r="L3018" i="52"/>
  <c r="M3018" i="52" s="1"/>
  <c r="N3018" i="52" s="1"/>
  <c r="K3018" i="52"/>
  <c r="K3017" i="52"/>
  <c r="L3017" i="52" s="1"/>
  <c r="M3017" i="52" s="1"/>
  <c r="N3017" i="52" s="1"/>
  <c r="L3016" i="52"/>
  <c r="M3016" i="52" s="1"/>
  <c r="N3016" i="52" s="1"/>
  <c r="K3016" i="52"/>
  <c r="L3015" i="52"/>
  <c r="M3015" i="52" s="1"/>
  <c r="N3015" i="52" s="1"/>
  <c r="K3015" i="52"/>
  <c r="L3014" i="52"/>
  <c r="M3014" i="52" s="1"/>
  <c r="N3014" i="52" s="1"/>
  <c r="K3014" i="52"/>
  <c r="K3013" i="52"/>
  <c r="L3013" i="52" s="1"/>
  <c r="M3013" i="52" s="1"/>
  <c r="N3013" i="52" s="1"/>
  <c r="L3012" i="52"/>
  <c r="M3012" i="52" s="1"/>
  <c r="N3012" i="52" s="1"/>
  <c r="K3012" i="52"/>
  <c r="L3011" i="52"/>
  <c r="M3011" i="52" s="1"/>
  <c r="N3011" i="52" s="1"/>
  <c r="K3011" i="52"/>
  <c r="L3010" i="52"/>
  <c r="M3010" i="52" s="1"/>
  <c r="N3010" i="52" s="1"/>
  <c r="K3010" i="52"/>
  <c r="K3009" i="52"/>
  <c r="L3009" i="52" s="1"/>
  <c r="M3009" i="52" s="1"/>
  <c r="N3009" i="52" s="1"/>
  <c r="L3008" i="52"/>
  <c r="M3008" i="52" s="1"/>
  <c r="N3008" i="52" s="1"/>
  <c r="K3008" i="52"/>
  <c r="L3007" i="52"/>
  <c r="M3007" i="52" s="1"/>
  <c r="N3007" i="52" s="1"/>
  <c r="K3007" i="52"/>
  <c r="L3006" i="52"/>
  <c r="M3006" i="52" s="1"/>
  <c r="N3006" i="52" s="1"/>
  <c r="K3006" i="52"/>
  <c r="K3005" i="52"/>
  <c r="L3005" i="52" s="1"/>
  <c r="M3005" i="52" s="1"/>
  <c r="N3005" i="52" s="1"/>
  <c r="L3004" i="52"/>
  <c r="M3004" i="52" s="1"/>
  <c r="N3004" i="52" s="1"/>
  <c r="K3004" i="52"/>
  <c r="L3003" i="52"/>
  <c r="M3003" i="52" s="1"/>
  <c r="N3003" i="52" s="1"/>
  <c r="K3003" i="52"/>
  <c r="L3002" i="52"/>
  <c r="M3002" i="52" s="1"/>
  <c r="N3002" i="52" s="1"/>
  <c r="K3002" i="52"/>
  <c r="K3001" i="52"/>
  <c r="L3001" i="52" s="1"/>
  <c r="M3001" i="52" s="1"/>
  <c r="N3001" i="52" s="1"/>
  <c r="L3000" i="52"/>
  <c r="M3000" i="52" s="1"/>
  <c r="N3000" i="52" s="1"/>
  <c r="K3000" i="52"/>
  <c r="L2999" i="52"/>
  <c r="M2999" i="52" s="1"/>
  <c r="N2999" i="52" s="1"/>
  <c r="K2999" i="52"/>
  <c r="L2998" i="52"/>
  <c r="M2998" i="52" s="1"/>
  <c r="N2998" i="52" s="1"/>
  <c r="K2998" i="52"/>
  <c r="K2997" i="52"/>
  <c r="L2997" i="52" s="1"/>
  <c r="M2997" i="52" s="1"/>
  <c r="N2997" i="52" s="1"/>
  <c r="L2996" i="52"/>
  <c r="M2996" i="52" s="1"/>
  <c r="N2996" i="52" s="1"/>
  <c r="K2996" i="52"/>
  <c r="L2995" i="52"/>
  <c r="M2995" i="52" s="1"/>
  <c r="N2995" i="52" s="1"/>
  <c r="K2995" i="52"/>
  <c r="L2994" i="52"/>
  <c r="M2994" i="52" s="1"/>
  <c r="N2994" i="52" s="1"/>
  <c r="K2994" i="52"/>
  <c r="K2993" i="52"/>
  <c r="L2993" i="52" s="1"/>
  <c r="M2993" i="52" s="1"/>
  <c r="N2993" i="52" s="1"/>
  <c r="L2992" i="52"/>
  <c r="M2992" i="52" s="1"/>
  <c r="N2992" i="52" s="1"/>
  <c r="K2992" i="52"/>
  <c r="L2991" i="52"/>
  <c r="M2991" i="52" s="1"/>
  <c r="N2991" i="52" s="1"/>
  <c r="K2991" i="52"/>
  <c r="L2990" i="52"/>
  <c r="M2990" i="52" s="1"/>
  <c r="N2990" i="52" s="1"/>
  <c r="K2990" i="52"/>
  <c r="K2989" i="52"/>
  <c r="L2989" i="52" s="1"/>
  <c r="M2989" i="52" s="1"/>
  <c r="N2989" i="52" s="1"/>
  <c r="L2988" i="52"/>
  <c r="M2988" i="52" s="1"/>
  <c r="N2988" i="52" s="1"/>
  <c r="K2988" i="52"/>
  <c r="L2987" i="52"/>
  <c r="M2987" i="52" s="1"/>
  <c r="N2987" i="52" s="1"/>
  <c r="K2987" i="52"/>
  <c r="L2986" i="52"/>
  <c r="M2986" i="52" s="1"/>
  <c r="N2986" i="52" s="1"/>
  <c r="K2986" i="52"/>
  <c r="K2985" i="52"/>
  <c r="L2985" i="52" s="1"/>
  <c r="M2985" i="52" s="1"/>
  <c r="N2985" i="52" s="1"/>
  <c r="L2984" i="52"/>
  <c r="M2984" i="52" s="1"/>
  <c r="N2984" i="52" s="1"/>
  <c r="K2984" i="52"/>
  <c r="L2983" i="52"/>
  <c r="M2983" i="52" s="1"/>
  <c r="N2983" i="52" s="1"/>
  <c r="K2983" i="52"/>
  <c r="L2982" i="52"/>
  <c r="M2982" i="52" s="1"/>
  <c r="N2982" i="52" s="1"/>
  <c r="K2982" i="52"/>
  <c r="K2981" i="52"/>
  <c r="L2981" i="52" s="1"/>
  <c r="M2981" i="52" s="1"/>
  <c r="N2981" i="52" s="1"/>
  <c r="L2980" i="52"/>
  <c r="M2980" i="52" s="1"/>
  <c r="N2980" i="52" s="1"/>
  <c r="K2980" i="52"/>
  <c r="L2979" i="52"/>
  <c r="M2979" i="52" s="1"/>
  <c r="N2979" i="52" s="1"/>
  <c r="K2979" i="52"/>
  <c r="L2978" i="52"/>
  <c r="M2978" i="52" s="1"/>
  <c r="N2978" i="52" s="1"/>
  <c r="K2978" i="52"/>
  <c r="K2977" i="52"/>
  <c r="L2977" i="52" s="1"/>
  <c r="M2977" i="52" s="1"/>
  <c r="N2977" i="52" s="1"/>
  <c r="L2976" i="52"/>
  <c r="M2976" i="52" s="1"/>
  <c r="N2976" i="52" s="1"/>
  <c r="K2976" i="52"/>
  <c r="L2975" i="52"/>
  <c r="M2975" i="52" s="1"/>
  <c r="N2975" i="52" s="1"/>
  <c r="K2975" i="52"/>
  <c r="L2974" i="52"/>
  <c r="M2974" i="52" s="1"/>
  <c r="N2974" i="52" s="1"/>
  <c r="K2974" i="52"/>
  <c r="K2973" i="52"/>
  <c r="L2973" i="52" s="1"/>
  <c r="M2973" i="52" s="1"/>
  <c r="N2973" i="52" s="1"/>
  <c r="L2972" i="52"/>
  <c r="M2972" i="52" s="1"/>
  <c r="N2972" i="52" s="1"/>
  <c r="K2972" i="52"/>
  <c r="L2971" i="52"/>
  <c r="M2971" i="52" s="1"/>
  <c r="N2971" i="52" s="1"/>
  <c r="K2971" i="52"/>
  <c r="L2970" i="52"/>
  <c r="M2970" i="52" s="1"/>
  <c r="N2970" i="52" s="1"/>
  <c r="K2970" i="52"/>
  <c r="K2969" i="52"/>
  <c r="L2969" i="52" s="1"/>
  <c r="M2969" i="52" s="1"/>
  <c r="N2969" i="52" s="1"/>
  <c r="L2968" i="52"/>
  <c r="M2968" i="52" s="1"/>
  <c r="N2968" i="52" s="1"/>
  <c r="K2968" i="52"/>
  <c r="L2967" i="52"/>
  <c r="M2967" i="52" s="1"/>
  <c r="N2967" i="52" s="1"/>
  <c r="K2967" i="52"/>
  <c r="L2966" i="52"/>
  <c r="M2966" i="52" s="1"/>
  <c r="N2966" i="52" s="1"/>
  <c r="K2966" i="52"/>
  <c r="K2965" i="52"/>
  <c r="L2965" i="52" s="1"/>
  <c r="M2965" i="52" s="1"/>
  <c r="N2965" i="52" s="1"/>
  <c r="L2964" i="52"/>
  <c r="M2964" i="52" s="1"/>
  <c r="N2964" i="52" s="1"/>
  <c r="K2964" i="52"/>
  <c r="L2963" i="52"/>
  <c r="M2963" i="52" s="1"/>
  <c r="N2963" i="52" s="1"/>
  <c r="K2963" i="52"/>
  <c r="L2962" i="52"/>
  <c r="M2962" i="52" s="1"/>
  <c r="N2962" i="52" s="1"/>
  <c r="K2962" i="52"/>
  <c r="K2961" i="52"/>
  <c r="L2961" i="52" s="1"/>
  <c r="M2961" i="52" s="1"/>
  <c r="N2961" i="52" s="1"/>
  <c r="L2960" i="52"/>
  <c r="M2960" i="52" s="1"/>
  <c r="N2960" i="52" s="1"/>
  <c r="K2960" i="52"/>
  <c r="L2959" i="52"/>
  <c r="M2959" i="52" s="1"/>
  <c r="N2959" i="52" s="1"/>
  <c r="K2959" i="52"/>
  <c r="L2958" i="52"/>
  <c r="M2958" i="52" s="1"/>
  <c r="N2958" i="52" s="1"/>
  <c r="K2958" i="52"/>
  <c r="K2957" i="52"/>
  <c r="L2957" i="52" s="1"/>
  <c r="M2957" i="52" s="1"/>
  <c r="N2957" i="52" s="1"/>
  <c r="L2956" i="52"/>
  <c r="M2956" i="52" s="1"/>
  <c r="N2956" i="52" s="1"/>
  <c r="K2956" i="52"/>
  <c r="L2955" i="52"/>
  <c r="M2955" i="52" s="1"/>
  <c r="N2955" i="52" s="1"/>
  <c r="K2955" i="52"/>
  <c r="L2954" i="52"/>
  <c r="M2954" i="52" s="1"/>
  <c r="N2954" i="52" s="1"/>
  <c r="K2954" i="52"/>
  <c r="K2953" i="52"/>
  <c r="L2953" i="52" s="1"/>
  <c r="M2953" i="52" s="1"/>
  <c r="N2953" i="52" s="1"/>
  <c r="L2952" i="52"/>
  <c r="M2952" i="52" s="1"/>
  <c r="N2952" i="52" s="1"/>
  <c r="K2952" i="52"/>
  <c r="L2951" i="52"/>
  <c r="M2951" i="52" s="1"/>
  <c r="N2951" i="52" s="1"/>
  <c r="K2951" i="52"/>
  <c r="L2950" i="52"/>
  <c r="M2950" i="52" s="1"/>
  <c r="N2950" i="52" s="1"/>
  <c r="K2950" i="52"/>
  <c r="K2949" i="52"/>
  <c r="L2949" i="52" s="1"/>
  <c r="M2949" i="52" s="1"/>
  <c r="N2949" i="52" s="1"/>
  <c r="L2948" i="52"/>
  <c r="M2948" i="52" s="1"/>
  <c r="N2948" i="52" s="1"/>
  <c r="K2948" i="52"/>
  <c r="L2947" i="52"/>
  <c r="M2947" i="52" s="1"/>
  <c r="N2947" i="52" s="1"/>
  <c r="K2947" i="52"/>
  <c r="L2946" i="52"/>
  <c r="M2946" i="52" s="1"/>
  <c r="N2946" i="52" s="1"/>
  <c r="K2946" i="52"/>
  <c r="K2945" i="52"/>
  <c r="L2945" i="52" s="1"/>
  <c r="M2945" i="52" s="1"/>
  <c r="N2945" i="52" s="1"/>
  <c r="L2944" i="52"/>
  <c r="M2944" i="52" s="1"/>
  <c r="N2944" i="52" s="1"/>
  <c r="K2944" i="52"/>
  <c r="L2943" i="52"/>
  <c r="M2943" i="52" s="1"/>
  <c r="N2943" i="52" s="1"/>
  <c r="K2943" i="52"/>
  <c r="L2942" i="52"/>
  <c r="M2942" i="52" s="1"/>
  <c r="N2942" i="52" s="1"/>
  <c r="K2942" i="52"/>
  <c r="K2941" i="52"/>
  <c r="L2941" i="52" s="1"/>
  <c r="M2941" i="52" s="1"/>
  <c r="N2941" i="52" s="1"/>
  <c r="L2940" i="52"/>
  <c r="M2940" i="52" s="1"/>
  <c r="N2940" i="52" s="1"/>
  <c r="K2940" i="52"/>
  <c r="L2939" i="52"/>
  <c r="M2939" i="52" s="1"/>
  <c r="N2939" i="52" s="1"/>
  <c r="K2939" i="52"/>
  <c r="L2938" i="52"/>
  <c r="M2938" i="52" s="1"/>
  <c r="N2938" i="52" s="1"/>
  <c r="K2938" i="52"/>
  <c r="K2937" i="52"/>
  <c r="L2937" i="52" s="1"/>
  <c r="M2937" i="52" s="1"/>
  <c r="N2937" i="52" s="1"/>
  <c r="L2936" i="52"/>
  <c r="M2936" i="52" s="1"/>
  <c r="N2936" i="52" s="1"/>
  <c r="K2936" i="52"/>
  <c r="L2935" i="52"/>
  <c r="M2935" i="52" s="1"/>
  <c r="N2935" i="52" s="1"/>
  <c r="K2935" i="52"/>
  <c r="L2934" i="52"/>
  <c r="M2934" i="52" s="1"/>
  <c r="N2934" i="52" s="1"/>
  <c r="K2934" i="52"/>
  <c r="K2933" i="52"/>
  <c r="L2933" i="52" s="1"/>
  <c r="M2933" i="52" s="1"/>
  <c r="N2933" i="52" s="1"/>
  <c r="L2932" i="52"/>
  <c r="M2932" i="52" s="1"/>
  <c r="N2932" i="52" s="1"/>
  <c r="K2932" i="52"/>
  <c r="L2931" i="52"/>
  <c r="M2931" i="52" s="1"/>
  <c r="N2931" i="52" s="1"/>
  <c r="K2931" i="52"/>
  <c r="L2930" i="52"/>
  <c r="M2930" i="52" s="1"/>
  <c r="N2930" i="52" s="1"/>
  <c r="K2930" i="52"/>
  <c r="K2929" i="52"/>
  <c r="L2929" i="52" s="1"/>
  <c r="M2929" i="52" s="1"/>
  <c r="N2929" i="52" s="1"/>
  <c r="L2928" i="52"/>
  <c r="M2928" i="52" s="1"/>
  <c r="N2928" i="52" s="1"/>
  <c r="K2928" i="52"/>
  <c r="L2927" i="52"/>
  <c r="M2927" i="52" s="1"/>
  <c r="N2927" i="52" s="1"/>
  <c r="K2927" i="52"/>
  <c r="L2926" i="52"/>
  <c r="M2926" i="52" s="1"/>
  <c r="N2926" i="52" s="1"/>
  <c r="K2926" i="52"/>
  <c r="K2925" i="52"/>
  <c r="L2925" i="52" s="1"/>
  <c r="M2925" i="52" s="1"/>
  <c r="N2925" i="52" s="1"/>
  <c r="L2924" i="52"/>
  <c r="M2924" i="52" s="1"/>
  <c r="N2924" i="52" s="1"/>
  <c r="K2924" i="52"/>
  <c r="L2923" i="52"/>
  <c r="M2923" i="52" s="1"/>
  <c r="N2923" i="52" s="1"/>
  <c r="K2923" i="52"/>
  <c r="L2922" i="52"/>
  <c r="M2922" i="52" s="1"/>
  <c r="N2922" i="52" s="1"/>
  <c r="K2922" i="52"/>
  <c r="L2921" i="52"/>
  <c r="M2921" i="52" s="1"/>
  <c r="N2921" i="52" s="1"/>
  <c r="K2921" i="52"/>
  <c r="L2920" i="52"/>
  <c r="M2920" i="52" s="1"/>
  <c r="N2920" i="52" s="1"/>
  <c r="K2920" i="52"/>
  <c r="L2919" i="52"/>
  <c r="M2919" i="52" s="1"/>
  <c r="N2919" i="52" s="1"/>
  <c r="K2919" i="52"/>
  <c r="L2918" i="52"/>
  <c r="M2918" i="52" s="1"/>
  <c r="N2918" i="52" s="1"/>
  <c r="K2918" i="52"/>
  <c r="L2917" i="52"/>
  <c r="M2917" i="52" s="1"/>
  <c r="N2917" i="52" s="1"/>
  <c r="K2917" i="52"/>
  <c r="L2916" i="52"/>
  <c r="M2916" i="52" s="1"/>
  <c r="N2916" i="52" s="1"/>
  <c r="K2916" i="52"/>
  <c r="L2915" i="52"/>
  <c r="M2915" i="52" s="1"/>
  <c r="N2915" i="52" s="1"/>
  <c r="K2915" i="52"/>
  <c r="L2914" i="52"/>
  <c r="M2914" i="52" s="1"/>
  <c r="N2914" i="52" s="1"/>
  <c r="K2914" i="52"/>
  <c r="L2913" i="52"/>
  <c r="M2913" i="52" s="1"/>
  <c r="N2913" i="52" s="1"/>
  <c r="K2913" i="52"/>
  <c r="L2912" i="52"/>
  <c r="M2912" i="52" s="1"/>
  <c r="N2912" i="52" s="1"/>
  <c r="K2912" i="52"/>
  <c r="L2911" i="52"/>
  <c r="M2911" i="52" s="1"/>
  <c r="N2911" i="52" s="1"/>
  <c r="K2911" i="52"/>
  <c r="L2910" i="52"/>
  <c r="M2910" i="52" s="1"/>
  <c r="N2910" i="52" s="1"/>
  <c r="K2910" i="52"/>
  <c r="L2909" i="52"/>
  <c r="M2909" i="52" s="1"/>
  <c r="N2909" i="52" s="1"/>
  <c r="K2909" i="52"/>
  <c r="L2908" i="52"/>
  <c r="M2908" i="52" s="1"/>
  <c r="N2908" i="52" s="1"/>
  <c r="K2908" i="52"/>
  <c r="L2907" i="52"/>
  <c r="M2907" i="52" s="1"/>
  <c r="N2907" i="52" s="1"/>
  <c r="K2907" i="52"/>
  <c r="L2906" i="52"/>
  <c r="M2906" i="52" s="1"/>
  <c r="N2906" i="52" s="1"/>
  <c r="K2906" i="52"/>
  <c r="L2905" i="52"/>
  <c r="M2905" i="52" s="1"/>
  <c r="N2905" i="52" s="1"/>
  <c r="K2905" i="52"/>
  <c r="L2904" i="52"/>
  <c r="M2904" i="52" s="1"/>
  <c r="N2904" i="52" s="1"/>
  <c r="K2904" i="52"/>
  <c r="L2903" i="52"/>
  <c r="M2903" i="52" s="1"/>
  <c r="N2903" i="52" s="1"/>
  <c r="K2903" i="52"/>
  <c r="L2902" i="52"/>
  <c r="M2902" i="52" s="1"/>
  <c r="N2902" i="52" s="1"/>
  <c r="K2902" i="52"/>
  <c r="L2901" i="52"/>
  <c r="M2901" i="52" s="1"/>
  <c r="N2901" i="52" s="1"/>
  <c r="K2901" i="52"/>
  <c r="L2900" i="52"/>
  <c r="M2900" i="52" s="1"/>
  <c r="N2900" i="52" s="1"/>
  <c r="K2900" i="52"/>
  <c r="L2899" i="52"/>
  <c r="M2899" i="52" s="1"/>
  <c r="N2899" i="52" s="1"/>
  <c r="K2899" i="52"/>
  <c r="L2898" i="52"/>
  <c r="M2898" i="52" s="1"/>
  <c r="N2898" i="52" s="1"/>
  <c r="K2898" i="52"/>
  <c r="L2897" i="52"/>
  <c r="M2897" i="52" s="1"/>
  <c r="N2897" i="52" s="1"/>
  <c r="K2897" i="52"/>
  <c r="L2896" i="52"/>
  <c r="M2896" i="52" s="1"/>
  <c r="N2896" i="52" s="1"/>
  <c r="K2896" i="52"/>
  <c r="L2895" i="52"/>
  <c r="M2895" i="52" s="1"/>
  <c r="N2895" i="52" s="1"/>
  <c r="K2895" i="52"/>
  <c r="L2894" i="52"/>
  <c r="M2894" i="52" s="1"/>
  <c r="N2894" i="52" s="1"/>
  <c r="K2894" i="52"/>
  <c r="L2893" i="52"/>
  <c r="M2893" i="52" s="1"/>
  <c r="N2893" i="52" s="1"/>
  <c r="K2893" i="52"/>
  <c r="L2892" i="52"/>
  <c r="M2892" i="52" s="1"/>
  <c r="N2892" i="52" s="1"/>
  <c r="K2892" i="52"/>
  <c r="L2891" i="52"/>
  <c r="M2891" i="52" s="1"/>
  <c r="N2891" i="52" s="1"/>
  <c r="K2891" i="52"/>
  <c r="L2890" i="52"/>
  <c r="M2890" i="52" s="1"/>
  <c r="N2890" i="52" s="1"/>
  <c r="K2890" i="52"/>
  <c r="L2889" i="52"/>
  <c r="M2889" i="52" s="1"/>
  <c r="N2889" i="52" s="1"/>
  <c r="K2889" i="52"/>
  <c r="L2888" i="52"/>
  <c r="M2888" i="52" s="1"/>
  <c r="N2888" i="52" s="1"/>
  <c r="K2888" i="52"/>
  <c r="L2887" i="52"/>
  <c r="M2887" i="52" s="1"/>
  <c r="N2887" i="52" s="1"/>
  <c r="K2887" i="52"/>
  <c r="L2886" i="52"/>
  <c r="M2886" i="52" s="1"/>
  <c r="N2886" i="52" s="1"/>
  <c r="K2886" i="52"/>
  <c r="L2885" i="52"/>
  <c r="M2885" i="52" s="1"/>
  <c r="N2885" i="52" s="1"/>
  <c r="K2885" i="52"/>
  <c r="L2884" i="52"/>
  <c r="M2884" i="52" s="1"/>
  <c r="N2884" i="52" s="1"/>
  <c r="K2884" i="52"/>
  <c r="L2883" i="52"/>
  <c r="M2883" i="52" s="1"/>
  <c r="N2883" i="52" s="1"/>
  <c r="K2883" i="52"/>
  <c r="L2882" i="52"/>
  <c r="M2882" i="52" s="1"/>
  <c r="N2882" i="52" s="1"/>
  <c r="K2882" i="52"/>
  <c r="L2881" i="52"/>
  <c r="M2881" i="52" s="1"/>
  <c r="N2881" i="52" s="1"/>
  <c r="K2881" i="52"/>
  <c r="L2880" i="52"/>
  <c r="M2880" i="52" s="1"/>
  <c r="N2880" i="52" s="1"/>
  <c r="K2880" i="52"/>
  <c r="L2879" i="52"/>
  <c r="M2879" i="52" s="1"/>
  <c r="N2879" i="52" s="1"/>
  <c r="K2879" i="52"/>
  <c r="L2878" i="52"/>
  <c r="M2878" i="52" s="1"/>
  <c r="N2878" i="52" s="1"/>
  <c r="K2878" i="52"/>
  <c r="L2877" i="52"/>
  <c r="M2877" i="52" s="1"/>
  <c r="N2877" i="52" s="1"/>
  <c r="K2877" i="52"/>
  <c r="L2876" i="52"/>
  <c r="M2876" i="52" s="1"/>
  <c r="N2876" i="52" s="1"/>
  <c r="K2876" i="52"/>
  <c r="L2875" i="52"/>
  <c r="M2875" i="52" s="1"/>
  <c r="N2875" i="52" s="1"/>
  <c r="K2875" i="52"/>
  <c r="L2874" i="52"/>
  <c r="M2874" i="52" s="1"/>
  <c r="N2874" i="52" s="1"/>
  <c r="K2874" i="52"/>
  <c r="L2873" i="52"/>
  <c r="M2873" i="52" s="1"/>
  <c r="N2873" i="52" s="1"/>
  <c r="K2873" i="52"/>
  <c r="L2872" i="52"/>
  <c r="M2872" i="52" s="1"/>
  <c r="N2872" i="52" s="1"/>
  <c r="K2872" i="52"/>
  <c r="L2871" i="52"/>
  <c r="M2871" i="52" s="1"/>
  <c r="N2871" i="52" s="1"/>
  <c r="K2871" i="52"/>
  <c r="L2870" i="52"/>
  <c r="M2870" i="52" s="1"/>
  <c r="N2870" i="52" s="1"/>
  <c r="K2870" i="52"/>
  <c r="L2869" i="52"/>
  <c r="M2869" i="52" s="1"/>
  <c r="N2869" i="52" s="1"/>
  <c r="K2869" i="52"/>
  <c r="L2868" i="52"/>
  <c r="M2868" i="52" s="1"/>
  <c r="N2868" i="52" s="1"/>
  <c r="K2868" i="52"/>
  <c r="L2867" i="52"/>
  <c r="M2867" i="52" s="1"/>
  <c r="N2867" i="52" s="1"/>
  <c r="K2867" i="52"/>
  <c r="L2866" i="52"/>
  <c r="M2866" i="52" s="1"/>
  <c r="N2866" i="52" s="1"/>
  <c r="K2866" i="52"/>
  <c r="L2865" i="52"/>
  <c r="M2865" i="52" s="1"/>
  <c r="N2865" i="52" s="1"/>
  <c r="K2865" i="52"/>
  <c r="L2864" i="52"/>
  <c r="M2864" i="52" s="1"/>
  <c r="N2864" i="52" s="1"/>
  <c r="K2864" i="52"/>
  <c r="L2863" i="52"/>
  <c r="M2863" i="52" s="1"/>
  <c r="N2863" i="52" s="1"/>
  <c r="K2863" i="52"/>
  <c r="L2862" i="52"/>
  <c r="M2862" i="52" s="1"/>
  <c r="N2862" i="52" s="1"/>
  <c r="K2862" i="52"/>
  <c r="L2861" i="52"/>
  <c r="M2861" i="52" s="1"/>
  <c r="N2861" i="52" s="1"/>
  <c r="K2861" i="52"/>
  <c r="L2860" i="52"/>
  <c r="M2860" i="52" s="1"/>
  <c r="N2860" i="52" s="1"/>
  <c r="K2860" i="52"/>
  <c r="L2859" i="52"/>
  <c r="M2859" i="52" s="1"/>
  <c r="N2859" i="52" s="1"/>
  <c r="K2859" i="52"/>
  <c r="L2858" i="52"/>
  <c r="M2858" i="52" s="1"/>
  <c r="N2858" i="52" s="1"/>
  <c r="K2858" i="52"/>
  <c r="L2857" i="52"/>
  <c r="M2857" i="52" s="1"/>
  <c r="N2857" i="52" s="1"/>
  <c r="K2857" i="52"/>
  <c r="L2856" i="52"/>
  <c r="M2856" i="52" s="1"/>
  <c r="N2856" i="52" s="1"/>
  <c r="K2856" i="52"/>
  <c r="L2855" i="52"/>
  <c r="M2855" i="52" s="1"/>
  <c r="N2855" i="52" s="1"/>
  <c r="K2855" i="52"/>
  <c r="L2854" i="52"/>
  <c r="M2854" i="52" s="1"/>
  <c r="N2854" i="52" s="1"/>
  <c r="K2854" i="52"/>
  <c r="L2853" i="52"/>
  <c r="M2853" i="52" s="1"/>
  <c r="N2853" i="52" s="1"/>
  <c r="K2853" i="52"/>
  <c r="L2852" i="52"/>
  <c r="M2852" i="52" s="1"/>
  <c r="N2852" i="52" s="1"/>
  <c r="K2852" i="52"/>
  <c r="L2851" i="52"/>
  <c r="M2851" i="52" s="1"/>
  <c r="N2851" i="52" s="1"/>
  <c r="K2851" i="52"/>
  <c r="L2850" i="52"/>
  <c r="M2850" i="52" s="1"/>
  <c r="N2850" i="52" s="1"/>
  <c r="K2850" i="52"/>
  <c r="L2849" i="52"/>
  <c r="M2849" i="52" s="1"/>
  <c r="N2849" i="52" s="1"/>
  <c r="K2849" i="52"/>
  <c r="L2848" i="52"/>
  <c r="M2848" i="52" s="1"/>
  <c r="N2848" i="52" s="1"/>
  <c r="K2848" i="52"/>
  <c r="L2847" i="52"/>
  <c r="M2847" i="52" s="1"/>
  <c r="N2847" i="52" s="1"/>
  <c r="K2847" i="52"/>
  <c r="L2846" i="52"/>
  <c r="M2846" i="52" s="1"/>
  <c r="N2846" i="52" s="1"/>
  <c r="K2846" i="52"/>
  <c r="L2845" i="52"/>
  <c r="M2845" i="52" s="1"/>
  <c r="N2845" i="52" s="1"/>
  <c r="K2845" i="52"/>
  <c r="L2844" i="52"/>
  <c r="M2844" i="52" s="1"/>
  <c r="N2844" i="52" s="1"/>
  <c r="K2844" i="52"/>
  <c r="L2843" i="52"/>
  <c r="M2843" i="52" s="1"/>
  <c r="N2843" i="52" s="1"/>
  <c r="K2843" i="52"/>
  <c r="L2842" i="52"/>
  <c r="M2842" i="52" s="1"/>
  <c r="N2842" i="52" s="1"/>
  <c r="K2842" i="52"/>
  <c r="L2841" i="52"/>
  <c r="M2841" i="52" s="1"/>
  <c r="N2841" i="52" s="1"/>
  <c r="K2841" i="52"/>
  <c r="L2840" i="52"/>
  <c r="M2840" i="52" s="1"/>
  <c r="N2840" i="52" s="1"/>
  <c r="K2840" i="52"/>
  <c r="L2839" i="52"/>
  <c r="M2839" i="52" s="1"/>
  <c r="N2839" i="52" s="1"/>
  <c r="K2839" i="52"/>
  <c r="L2838" i="52"/>
  <c r="M2838" i="52" s="1"/>
  <c r="N2838" i="52" s="1"/>
  <c r="K2838" i="52"/>
  <c r="L2837" i="52"/>
  <c r="M2837" i="52" s="1"/>
  <c r="N2837" i="52" s="1"/>
  <c r="K2837" i="52"/>
  <c r="L2836" i="52"/>
  <c r="M2836" i="52" s="1"/>
  <c r="N2836" i="52" s="1"/>
  <c r="K2836" i="52"/>
  <c r="L2835" i="52"/>
  <c r="M2835" i="52" s="1"/>
  <c r="N2835" i="52" s="1"/>
  <c r="K2835" i="52"/>
  <c r="L2834" i="52"/>
  <c r="M2834" i="52" s="1"/>
  <c r="N2834" i="52" s="1"/>
  <c r="K2834" i="52"/>
  <c r="L2833" i="52"/>
  <c r="M2833" i="52" s="1"/>
  <c r="N2833" i="52" s="1"/>
  <c r="K2833" i="52"/>
  <c r="L2832" i="52"/>
  <c r="M2832" i="52" s="1"/>
  <c r="N2832" i="52" s="1"/>
  <c r="K2832" i="52"/>
  <c r="L2831" i="52"/>
  <c r="M2831" i="52" s="1"/>
  <c r="N2831" i="52" s="1"/>
  <c r="K2831" i="52"/>
  <c r="L2830" i="52"/>
  <c r="M2830" i="52" s="1"/>
  <c r="N2830" i="52" s="1"/>
  <c r="K2830" i="52"/>
  <c r="L2829" i="52"/>
  <c r="M2829" i="52" s="1"/>
  <c r="N2829" i="52" s="1"/>
  <c r="K2829" i="52"/>
  <c r="L2828" i="52"/>
  <c r="M2828" i="52" s="1"/>
  <c r="N2828" i="52" s="1"/>
  <c r="K2828" i="52"/>
  <c r="L2827" i="52"/>
  <c r="M2827" i="52" s="1"/>
  <c r="N2827" i="52" s="1"/>
  <c r="K2827" i="52"/>
  <c r="L2826" i="52"/>
  <c r="M2826" i="52" s="1"/>
  <c r="N2826" i="52" s="1"/>
  <c r="K2826" i="52"/>
  <c r="L2825" i="52"/>
  <c r="M2825" i="52" s="1"/>
  <c r="N2825" i="52" s="1"/>
  <c r="K2825" i="52"/>
  <c r="L2824" i="52"/>
  <c r="M2824" i="52" s="1"/>
  <c r="N2824" i="52" s="1"/>
  <c r="K2824" i="52"/>
  <c r="L2823" i="52"/>
  <c r="M2823" i="52" s="1"/>
  <c r="N2823" i="52" s="1"/>
  <c r="K2823" i="52"/>
  <c r="L2822" i="52"/>
  <c r="M2822" i="52" s="1"/>
  <c r="N2822" i="52" s="1"/>
  <c r="K2822" i="52"/>
  <c r="L2821" i="52"/>
  <c r="M2821" i="52" s="1"/>
  <c r="N2821" i="52" s="1"/>
  <c r="K2821" i="52"/>
  <c r="L2820" i="52"/>
  <c r="M2820" i="52" s="1"/>
  <c r="N2820" i="52" s="1"/>
  <c r="K2820" i="52"/>
  <c r="L2819" i="52"/>
  <c r="M2819" i="52" s="1"/>
  <c r="N2819" i="52" s="1"/>
  <c r="K2819" i="52"/>
  <c r="L2818" i="52"/>
  <c r="M2818" i="52" s="1"/>
  <c r="N2818" i="52" s="1"/>
  <c r="K2818" i="52"/>
  <c r="L2817" i="52"/>
  <c r="M2817" i="52" s="1"/>
  <c r="N2817" i="52" s="1"/>
  <c r="K2817" i="52"/>
  <c r="L2816" i="52"/>
  <c r="M2816" i="52" s="1"/>
  <c r="N2816" i="52" s="1"/>
  <c r="K2816" i="52"/>
  <c r="L2815" i="52"/>
  <c r="M2815" i="52" s="1"/>
  <c r="N2815" i="52" s="1"/>
  <c r="K2815" i="52"/>
  <c r="L2814" i="52"/>
  <c r="M2814" i="52" s="1"/>
  <c r="N2814" i="52" s="1"/>
  <c r="K2814" i="52"/>
  <c r="L2813" i="52"/>
  <c r="M2813" i="52" s="1"/>
  <c r="N2813" i="52" s="1"/>
  <c r="K2813" i="52"/>
  <c r="L2812" i="52"/>
  <c r="M2812" i="52" s="1"/>
  <c r="N2812" i="52" s="1"/>
  <c r="K2812" i="52"/>
  <c r="L2811" i="52"/>
  <c r="M2811" i="52" s="1"/>
  <c r="N2811" i="52" s="1"/>
  <c r="K2811" i="52"/>
  <c r="L2810" i="52"/>
  <c r="M2810" i="52" s="1"/>
  <c r="N2810" i="52" s="1"/>
  <c r="K2810" i="52"/>
  <c r="L2809" i="52"/>
  <c r="M2809" i="52" s="1"/>
  <c r="N2809" i="52" s="1"/>
  <c r="K2809" i="52"/>
  <c r="L2808" i="52"/>
  <c r="M2808" i="52" s="1"/>
  <c r="N2808" i="52" s="1"/>
  <c r="K2808" i="52"/>
  <c r="L2807" i="52"/>
  <c r="M2807" i="52" s="1"/>
  <c r="N2807" i="52" s="1"/>
  <c r="K2807" i="52"/>
  <c r="L2806" i="52"/>
  <c r="M2806" i="52" s="1"/>
  <c r="N2806" i="52" s="1"/>
  <c r="K2806" i="52"/>
  <c r="L2805" i="52"/>
  <c r="M2805" i="52" s="1"/>
  <c r="N2805" i="52" s="1"/>
  <c r="K2805" i="52"/>
  <c r="L2804" i="52"/>
  <c r="M2804" i="52" s="1"/>
  <c r="N2804" i="52" s="1"/>
  <c r="K2804" i="52"/>
  <c r="L2803" i="52"/>
  <c r="M2803" i="52" s="1"/>
  <c r="N2803" i="52" s="1"/>
  <c r="K2803" i="52"/>
  <c r="L2802" i="52"/>
  <c r="M2802" i="52" s="1"/>
  <c r="N2802" i="52" s="1"/>
  <c r="K2802" i="52"/>
  <c r="L2801" i="52"/>
  <c r="M2801" i="52" s="1"/>
  <c r="N2801" i="52" s="1"/>
  <c r="K2801" i="52"/>
  <c r="L2800" i="52"/>
  <c r="M2800" i="52" s="1"/>
  <c r="N2800" i="52" s="1"/>
  <c r="K2800" i="52"/>
  <c r="L2799" i="52"/>
  <c r="M2799" i="52" s="1"/>
  <c r="N2799" i="52" s="1"/>
  <c r="K2799" i="52"/>
  <c r="L2798" i="52"/>
  <c r="M2798" i="52" s="1"/>
  <c r="N2798" i="52" s="1"/>
  <c r="K2798" i="52"/>
  <c r="L2797" i="52"/>
  <c r="M2797" i="52" s="1"/>
  <c r="N2797" i="52" s="1"/>
  <c r="K2797" i="52"/>
  <c r="L2796" i="52"/>
  <c r="M2796" i="52" s="1"/>
  <c r="N2796" i="52" s="1"/>
  <c r="K2796" i="52"/>
  <c r="L2795" i="52"/>
  <c r="M2795" i="52" s="1"/>
  <c r="N2795" i="52" s="1"/>
  <c r="K2795" i="52"/>
  <c r="L2794" i="52"/>
  <c r="M2794" i="52" s="1"/>
  <c r="N2794" i="52" s="1"/>
  <c r="K2794" i="52"/>
  <c r="L2793" i="52"/>
  <c r="M2793" i="52" s="1"/>
  <c r="N2793" i="52" s="1"/>
  <c r="K2793" i="52"/>
  <c r="L2792" i="52"/>
  <c r="M2792" i="52" s="1"/>
  <c r="N2792" i="52" s="1"/>
  <c r="K2792" i="52"/>
  <c r="L2791" i="52"/>
  <c r="M2791" i="52" s="1"/>
  <c r="N2791" i="52" s="1"/>
  <c r="K2791" i="52"/>
  <c r="L2790" i="52"/>
  <c r="M2790" i="52" s="1"/>
  <c r="N2790" i="52" s="1"/>
  <c r="K2790" i="52"/>
  <c r="L2789" i="52"/>
  <c r="M2789" i="52" s="1"/>
  <c r="N2789" i="52" s="1"/>
  <c r="K2789" i="52"/>
  <c r="L2788" i="52"/>
  <c r="M2788" i="52" s="1"/>
  <c r="N2788" i="52" s="1"/>
  <c r="K2788" i="52"/>
  <c r="L2787" i="52"/>
  <c r="M2787" i="52" s="1"/>
  <c r="N2787" i="52" s="1"/>
  <c r="K2787" i="52"/>
  <c r="L2786" i="52"/>
  <c r="M2786" i="52" s="1"/>
  <c r="N2786" i="52" s="1"/>
  <c r="K2786" i="52"/>
  <c r="L2785" i="52"/>
  <c r="M2785" i="52" s="1"/>
  <c r="N2785" i="52" s="1"/>
  <c r="K2785" i="52"/>
  <c r="L2784" i="52"/>
  <c r="M2784" i="52" s="1"/>
  <c r="N2784" i="52" s="1"/>
  <c r="K2784" i="52"/>
  <c r="L2783" i="52"/>
  <c r="M2783" i="52" s="1"/>
  <c r="N2783" i="52" s="1"/>
  <c r="K2783" i="52"/>
  <c r="L2782" i="52"/>
  <c r="M2782" i="52" s="1"/>
  <c r="N2782" i="52" s="1"/>
  <c r="K2782" i="52"/>
  <c r="L2781" i="52"/>
  <c r="M2781" i="52" s="1"/>
  <c r="N2781" i="52" s="1"/>
  <c r="K2781" i="52"/>
  <c r="L2780" i="52"/>
  <c r="M2780" i="52" s="1"/>
  <c r="N2780" i="52" s="1"/>
  <c r="K2780" i="52"/>
  <c r="L2779" i="52"/>
  <c r="M2779" i="52" s="1"/>
  <c r="N2779" i="52" s="1"/>
  <c r="K2779" i="52"/>
  <c r="L2778" i="52"/>
  <c r="M2778" i="52" s="1"/>
  <c r="N2778" i="52" s="1"/>
  <c r="K2778" i="52"/>
  <c r="L2777" i="52"/>
  <c r="M2777" i="52" s="1"/>
  <c r="N2777" i="52" s="1"/>
  <c r="K2777" i="52"/>
  <c r="L2776" i="52"/>
  <c r="M2776" i="52" s="1"/>
  <c r="N2776" i="52" s="1"/>
  <c r="K2776" i="52"/>
  <c r="L2775" i="52"/>
  <c r="M2775" i="52" s="1"/>
  <c r="N2775" i="52" s="1"/>
  <c r="K2775" i="52"/>
  <c r="L2774" i="52"/>
  <c r="M2774" i="52" s="1"/>
  <c r="N2774" i="52" s="1"/>
  <c r="K2774" i="52"/>
  <c r="L2773" i="52"/>
  <c r="M2773" i="52" s="1"/>
  <c r="N2773" i="52" s="1"/>
  <c r="K2773" i="52"/>
  <c r="L2772" i="52"/>
  <c r="M2772" i="52" s="1"/>
  <c r="N2772" i="52" s="1"/>
  <c r="K2772" i="52"/>
  <c r="L2771" i="52"/>
  <c r="M2771" i="52" s="1"/>
  <c r="N2771" i="52" s="1"/>
  <c r="K2771" i="52"/>
  <c r="L2770" i="52"/>
  <c r="M2770" i="52" s="1"/>
  <c r="N2770" i="52" s="1"/>
  <c r="K2770" i="52"/>
  <c r="L2769" i="52"/>
  <c r="M2769" i="52" s="1"/>
  <c r="N2769" i="52" s="1"/>
  <c r="K2769" i="52"/>
  <c r="L2768" i="52"/>
  <c r="M2768" i="52" s="1"/>
  <c r="N2768" i="52" s="1"/>
  <c r="K2768" i="52"/>
  <c r="L2767" i="52"/>
  <c r="M2767" i="52" s="1"/>
  <c r="N2767" i="52" s="1"/>
  <c r="K2767" i="52"/>
  <c r="L2766" i="52"/>
  <c r="M2766" i="52" s="1"/>
  <c r="N2766" i="52" s="1"/>
  <c r="K2766" i="52"/>
  <c r="L2765" i="52"/>
  <c r="M2765" i="52" s="1"/>
  <c r="N2765" i="52" s="1"/>
  <c r="K2765" i="52"/>
  <c r="L2764" i="52"/>
  <c r="M2764" i="52" s="1"/>
  <c r="N2764" i="52" s="1"/>
  <c r="K2764" i="52"/>
  <c r="L2763" i="52"/>
  <c r="M2763" i="52" s="1"/>
  <c r="N2763" i="52" s="1"/>
  <c r="K2763" i="52"/>
  <c r="L2762" i="52"/>
  <c r="M2762" i="52" s="1"/>
  <c r="N2762" i="52" s="1"/>
  <c r="K2762" i="52"/>
  <c r="L2761" i="52"/>
  <c r="M2761" i="52" s="1"/>
  <c r="N2761" i="52" s="1"/>
  <c r="K2761" i="52"/>
  <c r="L2760" i="52"/>
  <c r="M2760" i="52" s="1"/>
  <c r="N2760" i="52" s="1"/>
  <c r="K2760" i="52"/>
  <c r="L2759" i="52"/>
  <c r="M2759" i="52" s="1"/>
  <c r="N2759" i="52" s="1"/>
  <c r="K2759" i="52"/>
  <c r="L2758" i="52"/>
  <c r="M2758" i="52" s="1"/>
  <c r="N2758" i="52" s="1"/>
  <c r="K2758" i="52"/>
  <c r="L2757" i="52"/>
  <c r="M2757" i="52" s="1"/>
  <c r="N2757" i="52" s="1"/>
  <c r="K2757" i="52"/>
  <c r="L2756" i="52"/>
  <c r="M2756" i="52" s="1"/>
  <c r="N2756" i="52" s="1"/>
  <c r="K2756" i="52"/>
  <c r="L2755" i="52"/>
  <c r="M2755" i="52" s="1"/>
  <c r="N2755" i="52" s="1"/>
  <c r="K2755" i="52"/>
  <c r="L2754" i="52"/>
  <c r="M2754" i="52" s="1"/>
  <c r="N2754" i="52" s="1"/>
  <c r="K2754" i="52"/>
  <c r="L2753" i="52"/>
  <c r="M2753" i="52" s="1"/>
  <c r="N2753" i="52" s="1"/>
  <c r="K2753" i="52"/>
  <c r="L2752" i="52"/>
  <c r="M2752" i="52" s="1"/>
  <c r="N2752" i="52" s="1"/>
  <c r="K2752" i="52"/>
  <c r="L2751" i="52"/>
  <c r="M2751" i="52" s="1"/>
  <c r="N2751" i="52" s="1"/>
  <c r="K2751" i="52"/>
  <c r="L2750" i="52"/>
  <c r="M2750" i="52" s="1"/>
  <c r="N2750" i="52" s="1"/>
  <c r="K2750" i="52"/>
  <c r="L2749" i="52"/>
  <c r="M2749" i="52" s="1"/>
  <c r="N2749" i="52" s="1"/>
  <c r="K2749" i="52"/>
  <c r="L2748" i="52"/>
  <c r="M2748" i="52" s="1"/>
  <c r="N2748" i="52" s="1"/>
  <c r="K2748" i="52"/>
  <c r="L2747" i="52"/>
  <c r="M2747" i="52" s="1"/>
  <c r="N2747" i="52" s="1"/>
  <c r="K2747" i="52"/>
  <c r="L2746" i="52"/>
  <c r="M2746" i="52" s="1"/>
  <c r="N2746" i="52" s="1"/>
  <c r="K2746" i="52"/>
  <c r="L2745" i="52"/>
  <c r="M2745" i="52" s="1"/>
  <c r="N2745" i="52" s="1"/>
  <c r="K2745" i="52"/>
  <c r="L2744" i="52"/>
  <c r="M2744" i="52" s="1"/>
  <c r="N2744" i="52" s="1"/>
  <c r="K2744" i="52"/>
  <c r="L2743" i="52"/>
  <c r="M2743" i="52" s="1"/>
  <c r="N2743" i="52" s="1"/>
  <c r="K2743" i="52"/>
  <c r="L2742" i="52"/>
  <c r="M2742" i="52" s="1"/>
  <c r="N2742" i="52" s="1"/>
  <c r="K2742" i="52"/>
  <c r="L2741" i="52"/>
  <c r="M2741" i="52" s="1"/>
  <c r="N2741" i="52" s="1"/>
  <c r="K2741" i="52"/>
  <c r="L2740" i="52"/>
  <c r="M2740" i="52" s="1"/>
  <c r="N2740" i="52" s="1"/>
  <c r="K2740" i="52"/>
  <c r="L2739" i="52"/>
  <c r="M2739" i="52" s="1"/>
  <c r="N2739" i="52" s="1"/>
  <c r="K2739" i="52"/>
  <c r="L2738" i="52"/>
  <c r="M2738" i="52" s="1"/>
  <c r="N2738" i="52" s="1"/>
  <c r="K2738" i="52"/>
  <c r="L2737" i="52"/>
  <c r="M2737" i="52" s="1"/>
  <c r="N2737" i="52" s="1"/>
  <c r="K2737" i="52"/>
  <c r="L2736" i="52"/>
  <c r="M2736" i="52" s="1"/>
  <c r="N2736" i="52" s="1"/>
  <c r="K2736" i="52"/>
  <c r="L2735" i="52"/>
  <c r="M2735" i="52" s="1"/>
  <c r="N2735" i="52" s="1"/>
  <c r="K2735" i="52"/>
  <c r="L2734" i="52"/>
  <c r="M2734" i="52" s="1"/>
  <c r="N2734" i="52" s="1"/>
  <c r="K2734" i="52"/>
  <c r="K2733" i="52"/>
  <c r="L2733" i="52" s="1"/>
  <c r="M2733" i="52" s="1"/>
  <c r="N2733" i="52" s="1"/>
  <c r="K2732" i="52"/>
  <c r="L2732" i="52" s="1"/>
  <c r="M2732" i="52" s="1"/>
  <c r="N2732" i="52" s="1"/>
  <c r="E2730" i="52"/>
  <c r="I2730" i="52" s="1"/>
  <c r="L2728" i="52"/>
  <c r="M2728" i="52" s="1"/>
  <c r="N2728" i="52" s="1"/>
  <c r="K2728" i="52"/>
  <c r="I2728" i="52"/>
  <c r="K2727" i="52"/>
  <c r="L2727" i="52" s="1"/>
  <c r="M2727" i="52" s="1"/>
  <c r="N2727" i="52" s="1"/>
  <c r="I2727" i="52"/>
  <c r="P2726" i="52"/>
  <c r="K2726" i="52"/>
  <c r="L2726" i="52" s="1"/>
  <c r="M2726" i="52" s="1"/>
  <c r="N2726" i="52" s="1"/>
  <c r="I2726" i="52"/>
  <c r="Q2725" i="52"/>
  <c r="P2725" i="52"/>
  <c r="L2725" i="52"/>
  <c r="M2725" i="52" s="1"/>
  <c r="N2725" i="52" s="1"/>
  <c r="K2725" i="52"/>
  <c r="F2725" i="52"/>
  <c r="I2725" i="52" s="1"/>
  <c r="P2724" i="52"/>
  <c r="L2724" i="52"/>
  <c r="M2724" i="52" s="1"/>
  <c r="N2724" i="52" s="1"/>
  <c r="K2724" i="52"/>
  <c r="I2724" i="52"/>
  <c r="R2723" i="52"/>
  <c r="P2723" i="52"/>
  <c r="K2723" i="52"/>
  <c r="L2723" i="52" s="1"/>
  <c r="M2723" i="52" s="1"/>
  <c r="N2723" i="52" s="1"/>
  <c r="R2722" i="52"/>
  <c r="P2722" i="52"/>
  <c r="L2722" i="52"/>
  <c r="M2722" i="52" s="1"/>
  <c r="N2722" i="52" s="1"/>
  <c r="K2722" i="52"/>
  <c r="P2721" i="52"/>
  <c r="L2721" i="52"/>
  <c r="M2721" i="52" s="1"/>
  <c r="N2721" i="52" s="1"/>
  <c r="K2721" i="52"/>
  <c r="L2720" i="52"/>
  <c r="M2720" i="52" s="1"/>
  <c r="N2720" i="52" s="1"/>
  <c r="K2720" i="52"/>
  <c r="K2718" i="52"/>
  <c r="K2717" i="52"/>
  <c r="L2717" i="52" s="1"/>
  <c r="M2717" i="52" s="1"/>
  <c r="N2717" i="52" s="1"/>
  <c r="H2717" i="52"/>
  <c r="H2718" i="52" s="1"/>
  <c r="I2718" i="52" s="1"/>
  <c r="K2716" i="52"/>
  <c r="L2716" i="52" s="1"/>
  <c r="M2716" i="52" s="1"/>
  <c r="N2716" i="52" s="1"/>
  <c r="K2714" i="52"/>
  <c r="K2713" i="52"/>
  <c r="L2713" i="52" s="1"/>
  <c r="M2713" i="52" s="1"/>
  <c r="N2713" i="52" s="1"/>
  <c r="H2713" i="52"/>
  <c r="H2714" i="52" s="1"/>
  <c r="K2712" i="52"/>
  <c r="L2712" i="52" s="1"/>
  <c r="M2712" i="52" s="1"/>
  <c r="N2712" i="52" s="1"/>
  <c r="K2711" i="52"/>
  <c r="L2711" i="52" s="1"/>
  <c r="M2711" i="52" s="1"/>
  <c r="N2711" i="52" s="1"/>
  <c r="K2710" i="52"/>
  <c r="L2710" i="52" s="1"/>
  <c r="M2710" i="52" s="1"/>
  <c r="N2710" i="52" s="1"/>
  <c r="K2709" i="52"/>
  <c r="G2709" i="52"/>
  <c r="F2718" i="52" s="1"/>
  <c r="M2708" i="52"/>
  <c r="N2708" i="52" s="1"/>
  <c r="K2708" i="52"/>
  <c r="L2708" i="52" s="1"/>
  <c r="K2707" i="52"/>
  <c r="G2707" i="52"/>
  <c r="F2714" i="52" s="1"/>
  <c r="K2706" i="52"/>
  <c r="L2706" i="52" s="1"/>
  <c r="M2706" i="52" s="1"/>
  <c r="N2706" i="52" s="1"/>
  <c r="K2705" i="52"/>
  <c r="K2704" i="52"/>
  <c r="L2703" i="52"/>
  <c r="M2703" i="52" s="1"/>
  <c r="N2703" i="52" s="1"/>
  <c r="K2702" i="52"/>
  <c r="L2701" i="52"/>
  <c r="M2701" i="52" s="1"/>
  <c r="N2701" i="52" s="1"/>
  <c r="K2701" i="52"/>
  <c r="K2700" i="52"/>
  <c r="K2699" i="52"/>
  <c r="K2698" i="52"/>
  <c r="K2697" i="52"/>
  <c r="L2697" i="52" s="1"/>
  <c r="M2697" i="52" s="1"/>
  <c r="N2697" i="52" s="1"/>
  <c r="L2696" i="52"/>
  <c r="M2696" i="52" s="1"/>
  <c r="N2696" i="52" s="1"/>
  <c r="K2696" i="52"/>
  <c r="K2695" i="52"/>
  <c r="L2695" i="52" s="1"/>
  <c r="M2695" i="52" s="1"/>
  <c r="N2695" i="52" s="1"/>
  <c r="K2693" i="52"/>
  <c r="L2693" i="52" s="1"/>
  <c r="M2693" i="52" s="1"/>
  <c r="N2693" i="52" s="1"/>
  <c r="L2692" i="52"/>
  <c r="M2692" i="52" s="1"/>
  <c r="N2692" i="52" s="1"/>
  <c r="K2692" i="52"/>
  <c r="H2689" i="52"/>
  <c r="I2689" i="52" s="1"/>
  <c r="F2689" i="52"/>
  <c r="P2687" i="52"/>
  <c r="J2686" i="52"/>
  <c r="L2686" i="52" s="1"/>
  <c r="M2686" i="52" s="1"/>
  <c r="N2686" i="52" s="1"/>
  <c r="P2685" i="52"/>
  <c r="Q2686" i="52" s="1"/>
  <c r="L2685" i="52"/>
  <c r="M2685" i="52" s="1"/>
  <c r="N2685" i="52" s="1"/>
  <c r="F2685" i="52"/>
  <c r="I2685" i="52" s="1"/>
  <c r="J2685" i="52" s="1"/>
  <c r="Q2681" i="52"/>
  <c r="P2681" i="52"/>
  <c r="F2681" i="52"/>
  <c r="K2680" i="52"/>
  <c r="L2680" i="52" s="1"/>
  <c r="M2680" i="52" s="1"/>
  <c r="N2680" i="52" s="1"/>
  <c r="K2679" i="52"/>
  <c r="L2679" i="52" s="1"/>
  <c r="M2679" i="52" s="1"/>
  <c r="N2679" i="52" s="1"/>
  <c r="P2678" i="52"/>
  <c r="N2678" i="52"/>
  <c r="K2678" i="52"/>
  <c r="L2678" i="52" s="1"/>
  <c r="M2678" i="52" s="1"/>
  <c r="Q2677" i="52"/>
  <c r="P2677" i="52"/>
  <c r="K2674" i="52"/>
  <c r="K2673" i="52"/>
  <c r="J2673" i="52"/>
  <c r="J2674" i="52" s="1"/>
  <c r="L2674" i="52" s="1"/>
  <c r="M2674" i="52" s="1"/>
  <c r="N2674" i="52" s="1"/>
  <c r="K2670" i="52"/>
  <c r="K2669" i="52"/>
  <c r="J2667" i="52"/>
  <c r="J2666" i="52"/>
  <c r="K2663" i="52"/>
  <c r="K2662" i="52"/>
  <c r="L2662" i="52" s="1"/>
  <c r="M2662" i="52" s="1"/>
  <c r="N2662" i="52" s="1"/>
  <c r="J2662" i="52"/>
  <c r="J2663" i="52" s="1"/>
  <c r="K2660" i="52"/>
  <c r="K2659" i="52"/>
  <c r="J2659" i="52"/>
  <c r="J2660" i="52" s="1"/>
  <c r="K2657" i="52"/>
  <c r="K2656" i="52"/>
  <c r="I2655" i="52"/>
  <c r="I2654" i="52"/>
  <c r="K2651" i="52"/>
  <c r="K2650" i="52"/>
  <c r="L2650" i="52" s="1"/>
  <c r="M2650" i="52" s="1"/>
  <c r="N2650" i="52" s="1"/>
  <c r="J2650" i="52"/>
  <c r="J2651" i="52" s="1"/>
  <c r="K2648" i="52"/>
  <c r="K2647" i="52"/>
  <c r="J2647" i="52"/>
  <c r="J2648" i="52" s="1"/>
  <c r="L2648" i="52" s="1"/>
  <c r="M2648" i="52" s="1"/>
  <c r="N2648" i="52" s="1"/>
  <c r="K2645" i="52"/>
  <c r="J2645" i="52"/>
  <c r="K2644" i="52"/>
  <c r="L2644" i="52" s="1"/>
  <c r="M2644" i="52" s="1"/>
  <c r="N2644" i="52" s="1"/>
  <c r="J2644" i="52"/>
  <c r="K2635" i="52"/>
  <c r="K2634" i="52"/>
  <c r="I2634" i="52"/>
  <c r="J2634" i="52" s="1"/>
  <c r="I2633" i="52"/>
  <c r="K2631" i="52"/>
  <c r="K2630" i="52"/>
  <c r="J2630" i="52"/>
  <c r="J2631" i="52" s="1"/>
  <c r="L2631" i="52" s="1"/>
  <c r="M2631" i="52" s="1"/>
  <c r="N2631" i="52" s="1"/>
  <c r="K2627" i="52"/>
  <c r="L2627" i="52" s="1"/>
  <c r="M2627" i="52" s="1"/>
  <c r="N2627" i="52" s="1"/>
  <c r="L2626" i="52"/>
  <c r="M2626" i="52" s="1"/>
  <c r="N2626" i="52" s="1"/>
  <c r="K2626" i="52"/>
  <c r="K2625" i="52"/>
  <c r="L2625" i="52" s="1"/>
  <c r="M2625" i="52" s="1"/>
  <c r="N2625" i="52" s="1"/>
  <c r="I2625" i="52"/>
  <c r="J2626" i="52" s="1"/>
  <c r="J2627" i="52" s="1"/>
  <c r="J2628" i="52" s="1"/>
  <c r="L2628" i="52" s="1"/>
  <c r="M2628" i="52" s="1"/>
  <c r="N2628" i="52" s="1"/>
  <c r="K2623" i="52"/>
  <c r="K2622" i="52"/>
  <c r="J2622" i="52"/>
  <c r="J2623" i="52" s="1"/>
  <c r="K2621" i="52"/>
  <c r="L2621" i="52" s="1"/>
  <c r="M2621" i="52" s="1"/>
  <c r="N2621" i="52" s="1"/>
  <c r="F2621" i="52"/>
  <c r="I2621" i="52" s="1"/>
  <c r="K2618" i="52"/>
  <c r="L2618" i="52" s="1"/>
  <c r="M2618" i="52" s="1"/>
  <c r="N2618" i="52" s="1"/>
  <c r="I2617" i="52"/>
  <c r="J2618" i="52" s="1"/>
  <c r="J2619" i="52" s="1"/>
  <c r="L2619" i="52" s="1"/>
  <c r="M2619" i="52" s="1"/>
  <c r="N2619" i="52" s="1"/>
  <c r="K2616" i="52"/>
  <c r="L2616" i="52" s="1"/>
  <c r="M2616" i="52" s="1"/>
  <c r="N2616" i="52" s="1"/>
  <c r="K2614" i="52"/>
  <c r="L2614" i="52" s="1"/>
  <c r="M2614" i="52" s="1"/>
  <c r="N2614" i="52" s="1"/>
  <c r="K2613" i="52"/>
  <c r="L2613" i="52" s="1"/>
  <c r="M2613" i="52" s="1"/>
  <c r="N2613" i="52" s="1"/>
  <c r="K2612" i="52"/>
  <c r="L2612" i="52" s="1"/>
  <c r="M2612" i="52" s="1"/>
  <c r="N2612" i="52" s="1"/>
  <c r="I2612" i="52"/>
  <c r="J2613" i="52" s="1"/>
  <c r="J2614" i="52" s="1"/>
  <c r="J2615" i="52" s="1"/>
  <c r="L2615" i="52" s="1"/>
  <c r="M2615" i="52" s="1"/>
  <c r="N2615" i="52" s="1"/>
  <c r="K2611" i="52"/>
  <c r="L2611" i="52" s="1"/>
  <c r="M2611" i="52" s="1"/>
  <c r="N2611" i="52" s="1"/>
  <c r="K2610" i="52"/>
  <c r="K2609" i="52"/>
  <c r="K2608" i="52"/>
  <c r="L2608" i="52" s="1"/>
  <c r="M2608" i="52" s="1"/>
  <c r="N2608" i="52" s="1"/>
  <c r="F2608" i="52"/>
  <c r="I2608" i="52" s="1"/>
  <c r="J2609" i="52" s="1"/>
  <c r="J2610" i="52" s="1"/>
  <c r="L2605" i="52"/>
  <c r="M2605" i="52" s="1"/>
  <c r="N2605" i="52" s="1"/>
  <c r="K2605" i="52"/>
  <c r="J2605" i="52"/>
  <c r="J2606" i="52" s="1"/>
  <c r="L2606" i="52" s="1"/>
  <c r="M2606" i="52" s="1"/>
  <c r="N2606" i="52" s="1"/>
  <c r="I2604" i="52"/>
  <c r="K2603" i="52"/>
  <c r="L2603" i="52" s="1"/>
  <c r="M2603" i="52" s="1"/>
  <c r="N2603" i="52" s="1"/>
  <c r="K2599" i="52"/>
  <c r="J2599" i="52"/>
  <c r="K2598" i="52"/>
  <c r="J2598" i="52"/>
  <c r="P2596" i="52"/>
  <c r="K2593" i="52"/>
  <c r="K2592" i="52"/>
  <c r="I2592" i="52"/>
  <c r="I2591" i="52"/>
  <c r="I2590" i="52"/>
  <c r="I2589" i="52"/>
  <c r="I2588" i="52"/>
  <c r="I2587" i="52"/>
  <c r="K2584" i="52"/>
  <c r="K2583" i="52"/>
  <c r="I2583" i="52"/>
  <c r="I2582" i="52"/>
  <c r="I2581" i="52"/>
  <c r="I2580" i="52"/>
  <c r="I2579" i="52"/>
  <c r="I2578" i="52"/>
  <c r="I2577" i="52"/>
  <c r="I2576" i="52"/>
  <c r="I2575" i="52"/>
  <c r="I2574" i="52"/>
  <c r="I2573" i="52"/>
  <c r="I2572" i="52"/>
  <c r="I2571" i="52"/>
  <c r="I2570" i="52"/>
  <c r="I2569" i="52"/>
  <c r="I2568" i="52"/>
  <c r="I2567" i="52"/>
  <c r="I2566" i="52"/>
  <c r="K2561" i="52"/>
  <c r="K2560" i="52"/>
  <c r="I2559" i="52"/>
  <c r="I2558" i="52"/>
  <c r="I2557" i="52"/>
  <c r="I2556" i="52"/>
  <c r="I2555" i="52"/>
  <c r="I2554" i="52"/>
  <c r="I2553" i="52"/>
  <c r="I2552" i="52"/>
  <c r="I2551" i="52"/>
  <c r="I2550" i="52"/>
  <c r="I2549" i="52"/>
  <c r="I2548" i="52"/>
  <c r="I2547" i="52"/>
  <c r="I2546" i="52"/>
  <c r="K2544" i="52"/>
  <c r="L2544" i="52" s="1"/>
  <c r="M2544" i="52" s="1"/>
  <c r="N2544" i="52" s="1"/>
  <c r="K2542" i="52"/>
  <c r="K2541" i="52"/>
  <c r="J2541" i="52"/>
  <c r="K2540" i="52"/>
  <c r="L2540" i="52" s="1"/>
  <c r="M2540" i="52" s="1"/>
  <c r="N2540" i="52" s="1"/>
  <c r="K2539" i="52"/>
  <c r="L2539" i="52" s="1"/>
  <c r="M2539" i="52" s="1"/>
  <c r="N2539" i="52" s="1"/>
  <c r="K2538" i="52"/>
  <c r="L2538" i="52" s="1"/>
  <c r="M2538" i="52" s="1"/>
  <c r="N2538" i="52" s="1"/>
  <c r="K2537" i="52"/>
  <c r="L2537" i="52" s="1"/>
  <c r="M2537" i="52" s="1"/>
  <c r="N2537" i="52" s="1"/>
  <c r="K2535" i="52"/>
  <c r="L2534" i="52"/>
  <c r="M2534" i="52" s="1"/>
  <c r="N2534" i="52" s="1"/>
  <c r="K2534" i="52"/>
  <c r="J2534" i="52"/>
  <c r="J2535" i="52" s="1"/>
  <c r="J2536" i="52" s="1"/>
  <c r="L2536" i="52" s="1"/>
  <c r="M2536" i="52" s="1"/>
  <c r="N2536" i="52" s="1"/>
  <c r="K2530" i="52"/>
  <c r="L2530" i="52" s="1"/>
  <c r="M2530" i="52" s="1"/>
  <c r="N2530" i="52" s="1"/>
  <c r="K2529" i="52"/>
  <c r="L2529" i="52" s="1"/>
  <c r="M2529" i="52" s="1"/>
  <c r="N2529" i="52" s="1"/>
  <c r="K2528" i="52"/>
  <c r="L2528" i="52" s="1"/>
  <c r="M2528" i="52" s="1"/>
  <c r="N2528" i="52" s="1"/>
  <c r="K2526" i="52"/>
  <c r="K2525" i="52"/>
  <c r="K2523" i="52"/>
  <c r="L2523" i="52" s="1"/>
  <c r="M2523" i="52" s="1"/>
  <c r="N2523" i="52" s="1"/>
  <c r="K2522" i="52"/>
  <c r="L2522" i="52" s="1"/>
  <c r="M2522" i="52" s="1"/>
  <c r="N2522" i="52" s="1"/>
  <c r="K2521" i="52"/>
  <c r="L2521" i="52" s="1"/>
  <c r="M2521" i="52" s="1"/>
  <c r="N2521" i="52" s="1"/>
  <c r="I2521" i="52"/>
  <c r="K2520" i="52"/>
  <c r="L2520" i="52" s="1"/>
  <c r="M2520" i="52" s="1"/>
  <c r="N2520" i="52" s="1"/>
  <c r="I2520" i="52"/>
  <c r="M2519" i="52"/>
  <c r="N2519" i="52" s="1"/>
  <c r="K2519" i="52"/>
  <c r="L2519" i="52" s="1"/>
  <c r="I2519" i="52"/>
  <c r="K2518" i="52"/>
  <c r="L2518" i="52" s="1"/>
  <c r="M2518" i="52" s="1"/>
  <c r="N2518" i="52" s="1"/>
  <c r="I2518" i="52"/>
  <c r="K2517" i="52"/>
  <c r="L2517" i="52" s="1"/>
  <c r="M2517" i="52" s="1"/>
  <c r="N2517" i="52" s="1"/>
  <c r="K2516" i="52"/>
  <c r="L2516" i="52" s="1"/>
  <c r="M2516" i="52" s="1"/>
  <c r="N2516" i="52" s="1"/>
  <c r="K2514" i="52"/>
  <c r="K2513" i="52"/>
  <c r="L2513" i="52" s="1"/>
  <c r="M2513" i="52" s="1"/>
  <c r="N2513" i="52" s="1"/>
  <c r="J2513" i="52"/>
  <c r="J2514" i="52" s="1"/>
  <c r="J2515" i="52" s="1"/>
  <c r="L2515" i="52" s="1"/>
  <c r="M2515" i="52" s="1"/>
  <c r="N2515" i="52" s="1"/>
  <c r="K2512" i="52"/>
  <c r="L2512" i="52" s="1"/>
  <c r="M2512" i="52" s="1"/>
  <c r="N2512" i="52" s="1"/>
  <c r="K2511" i="52"/>
  <c r="L2511" i="52" s="1"/>
  <c r="M2511" i="52" s="1"/>
  <c r="N2511" i="52" s="1"/>
  <c r="K2510" i="52"/>
  <c r="L2510" i="52" s="1"/>
  <c r="M2510" i="52" s="1"/>
  <c r="N2510" i="52" s="1"/>
  <c r="K2509" i="52"/>
  <c r="L2509" i="52" s="1"/>
  <c r="M2509" i="52" s="1"/>
  <c r="N2509" i="52" s="1"/>
  <c r="K2508" i="52"/>
  <c r="L2508" i="52" s="1"/>
  <c r="M2508" i="52" s="1"/>
  <c r="N2508" i="52" s="1"/>
  <c r="K2507" i="52"/>
  <c r="L2507" i="52" s="1"/>
  <c r="M2507" i="52" s="1"/>
  <c r="N2507" i="52" s="1"/>
  <c r="K2506" i="52"/>
  <c r="L2506" i="52" s="1"/>
  <c r="M2506" i="52" s="1"/>
  <c r="N2506" i="52" s="1"/>
  <c r="K2504" i="52"/>
  <c r="L2504" i="52" s="1"/>
  <c r="M2504" i="52" s="1"/>
  <c r="N2504" i="52" s="1"/>
  <c r="L2503" i="52"/>
  <c r="M2503" i="52" s="1"/>
  <c r="N2503" i="52" s="1"/>
  <c r="K2503" i="52"/>
  <c r="I2503" i="52"/>
  <c r="K2502" i="52"/>
  <c r="L2502" i="52" s="1"/>
  <c r="M2502" i="52" s="1"/>
  <c r="N2502" i="52" s="1"/>
  <c r="I2502" i="52"/>
  <c r="J2504" i="52" s="1"/>
  <c r="J2505" i="52" s="1"/>
  <c r="L2505" i="52" s="1"/>
  <c r="M2505" i="52" s="1"/>
  <c r="N2505" i="52" s="1"/>
  <c r="K2501" i="52"/>
  <c r="L2501" i="52" s="1"/>
  <c r="M2501" i="52" s="1"/>
  <c r="N2501" i="52" s="1"/>
  <c r="K2499" i="52"/>
  <c r="K2498" i="52"/>
  <c r="L2498" i="52" s="1"/>
  <c r="M2498" i="52" s="1"/>
  <c r="N2498" i="52" s="1"/>
  <c r="I2498" i="52"/>
  <c r="K2497" i="52"/>
  <c r="L2497" i="52" s="1"/>
  <c r="M2497" i="52" s="1"/>
  <c r="N2497" i="52" s="1"/>
  <c r="I2497" i="52"/>
  <c r="M2496" i="52"/>
  <c r="N2496" i="52" s="1"/>
  <c r="K2496" i="52"/>
  <c r="L2496" i="52" s="1"/>
  <c r="I2496" i="52"/>
  <c r="K2495" i="52"/>
  <c r="L2495" i="52" s="1"/>
  <c r="M2495" i="52" s="1"/>
  <c r="N2495" i="52" s="1"/>
  <c r="I2495" i="52"/>
  <c r="L2494" i="52"/>
  <c r="M2494" i="52" s="1"/>
  <c r="N2494" i="52" s="1"/>
  <c r="K2494" i="52"/>
  <c r="I2494" i="52"/>
  <c r="L2493" i="52"/>
  <c r="M2493" i="52" s="1"/>
  <c r="N2493" i="52" s="1"/>
  <c r="K2493" i="52"/>
  <c r="K2491" i="52"/>
  <c r="K2490" i="52"/>
  <c r="L2490" i="52" s="1"/>
  <c r="M2490" i="52" s="1"/>
  <c r="N2490" i="52" s="1"/>
  <c r="I2490" i="52"/>
  <c r="L2489" i="52"/>
  <c r="M2489" i="52" s="1"/>
  <c r="N2489" i="52" s="1"/>
  <c r="K2489" i="52"/>
  <c r="I2489" i="52"/>
  <c r="K2488" i="52"/>
  <c r="L2488" i="52" s="1"/>
  <c r="M2488" i="52" s="1"/>
  <c r="N2488" i="52" s="1"/>
  <c r="I2488" i="52"/>
  <c r="K2487" i="52"/>
  <c r="L2487" i="52" s="1"/>
  <c r="M2487" i="52" s="1"/>
  <c r="N2487" i="52" s="1"/>
  <c r="I2487" i="52"/>
  <c r="N2486" i="52"/>
  <c r="K2486" i="52"/>
  <c r="L2486" i="52" s="1"/>
  <c r="M2486" i="52" s="1"/>
  <c r="I2486" i="52"/>
  <c r="K2485" i="52"/>
  <c r="L2485" i="52" s="1"/>
  <c r="M2485" i="52" s="1"/>
  <c r="N2485" i="52" s="1"/>
  <c r="I2485" i="52"/>
  <c r="K2484" i="52"/>
  <c r="L2484" i="52" s="1"/>
  <c r="M2484" i="52" s="1"/>
  <c r="N2484" i="52" s="1"/>
  <c r="I2484" i="52"/>
  <c r="L2483" i="52"/>
  <c r="M2483" i="52" s="1"/>
  <c r="N2483" i="52" s="1"/>
  <c r="K2483" i="52"/>
  <c r="I2483" i="52"/>
  <c r="K2482" i="52"/>
  <c r="L2482" i="52" s="1"/>
  <c r="M2482" i="52" s="1"/>
  <c r="N2482" i="52" s="1"/>
  <c r="I2482" i="52"/>
  <c r="L2481" i="52"/>
  <c r="M2481" i="52" s="1"/>
  <c r="N2481" i="52" s="1"/>
  <c r="K2481" i="52"/>
  <c r="I2481" i="52"/>
  <c r="J2491" i="52" s="1"/>
  <c r="K2480" i="52"/>
  <c r="L2480" i="52" s="1"/>
  <c r="M2480" i="52" s="1"/>
  <c r="N2480" i="52" s="1"/>
  <c r="I2480" i="52"/>
  <c r="M2479" i="52"/>
  <c r="N2479" i="52" s="1"/>
  <c r="K2479" i="52"/>
  <c r="L2479" i="52" s="1"/>
  <c r="I2479" i="52"/>
  <c r="K2478" i="52"/>
  <c r="L2478" i="52" s="1"/>
  <c r="M2478" i="52" s="1"/>
  <c r="N2478" i="52" s="1"/>
  <c r="I2478" i="52"/>
  <c r="K2477" i="52"/>
  <c r="L2477" i="52" s="1"/>
  <c r="M2477" i="52" s="1"/>
  <c r="N2477" i="52" s="1"/>
  <c r="I2477" i="52"/>
  <c r="N2476" i="52"/>
  <c r="K2476" i="52"/>
  <c r="L2476" i="52" s="1"/>
  <c r="M2476" i="52" s="1"/>
  <c r="I2476" i="52"/>
  <c r="M2475" i="52"/>
  <c r="N2475" i="52" s="1"/>
  <c r="K2475" i="52"/>
  <c r="L2475" i="52" s="1"/>
  <c r="K2474" i="52"/>
  <c r="K2473" i="52"/>
  <c r="M2472" i="52"/>
  <c r="N2472" i="52" s="1"/>
  <c r="K2472" i="52"/>
  <c r="L2472" i="52" s="1"/>
  <c r="I2472" i="52"/>
  <c r="K2471" i="52"/>
  <c r="L2471" i="52" s="1"/>
  <c r="M2471" i="52" s="1"/>
  <c r="N2471" i="52" s="1"/>
  <c r="I2471" i="52"/>
  <c r="K2470" i="52"/>
  <c r="L2470" i="52" s="1"/>
  <c r="M2470" i="52" s="1"/>
  <c r="N2470" i="52" s="1"/>
  <c r="I2470" i="52"/>
  <c r="N2469" i="52"/>
  <c r="K2469" i="52"/>
  <c r="L2469" i="52" s="1"/>
  <c r="M2469" i="52" s="1"/>
  <c r="I2469" i="52"/>
  <c r="M2468" i="52"/>
  <c r="N2468" i="52" s="1"/>
  <c r="K2468" i="52"/>
  <c r="L2468" i="52" s="1"/>
  <c r="I2468" i="52"/>
  <c r="K2467" i="52"/>
  <c r="L2467" i="52" s="1"/>
  <c r="M2467" i="52" s="1"/>
  <c r="N2467" i="52" s="1"/>
  <c r="I2467" i="52"/>
  <c r="K2466" i="52"/>
  <c r="L2466" i="52" s="1"/>
  <c r="M2466" i="52" s="1"/>
  <c r="N2466" i="52" s="1"/>
  <c r="I2466" i="52"/>
  <c r="K2465" i="52"/>
  <c r="L2465" i="52" s="1"/>
  <c r="M2465" i="52" s="1"/>
  <c r="N2465" i="52" s="1"/>
  <c r="I2465" i="52"/>
  <c r="M2464" i="52"/>
  <c r="N2464" i="52" s="1"/>
  <c r="K2464" i="52"/>
  <c r="L2464" i="52" s="1"/>
  <c r="I2464" i="52"/>
  <c r="K2463" i="52"/>
  <c r="L2463" i="52" s="1"/>
  <c r="M2463" i="52" s="1"/>
  <c r="N2463" i="52" s="1"/>
  <c r="I2463" i="52"/>
  <c r="K2462" i="52"/>
  <c r="L2462" i="52" s="1"/>
  <c r="M2462" i="52" s="1"/>
  <c r="N2462" i="52" s="1"/>
  <c r="I2462" i="52"/>
  <c r="L2461" i="52"/>
  <c r="M2461" i="52" s="1"/>
  <c r="N2461" i="52" s="1"/>
  <c r="K2461" i="52"/>
  <c r="I2461" i="52"/>
  <c r="M2460" i="52"/>
  <c r="N2460" i="52" s="1"/>
  <c r="K2460" i="52"/>
  <c r="L2460" i="52" s="1"/>
  <c r="I2460" i="52"/>
  <c r="L2459" i="52"/>
  <c r="M2459" i="52" s="1"/>
  <c r="N2459" i="52" s="1"/>
  <c r="K2459" i="52"/>
  <c r="I2459" i="52"/>
  <c r="K2458" i="52"/>
  <c r="L2458" i="52" s="1"/>
  <c r="M2458" i="52" s="1"/>
  <c r="N2458" i="52" s="1"/>
  <c r="I2458" i="52"/>
  <c r="N2457" i="52"/>
  <c r="L2457" i="52"/>
  <c r="M2457" i="52" s="1"/>
  <c r="K2457" i="52"/>
  <c r="I2457" i="52"/>
  <c r="K2456" i="52"/>
  <c r="L2456" i="52" s="1"/>
  <c r="M2456" i="52" s="1"/>
  <c r="N2456" i="52" s="1"/>
  <c r="I2456" i="52"/>
  <c r="K2455" i="52"/>
  <c r="L2455" i="52" s="1"/>
  <c r="M2455" i="52" s="1"/>
  <c r="N2455" i="52" s="1"/>
  <c r="K2442" i="52"/>
  <c r="L2442" i="52" s="1"/>
  <c r="M2442" i="52" s="1"/>
  <c r="N2442" i="52" s="1"/>
  <c r="I2441" i="52"/>
  <c r="J2442" i="52" s="1"/>
  <c r="J2443" i="52" s="1"/>
  <c r="L2443" i="52" s="1"/>
  <c r="M2443" i="52" s="1"/>
  <c r="N2443" i="52" s="1"/>
  <c r="K2436" i="52"/>
  <c r="I2435" i="52"/>
  <c r="J2435" i="52" s="1"/>
  <c r="J2436" i="52" s="1"/>
  <c r="K2431" i="52"/>
  <c r="I2430" i="52"/>
  <c r="J2431" i="52" s="1"/>
  <c r="J2432" i="52" s="1"/>
  <c r="L2432" i="52" s="1"/>
  <c r="M2432" i="52" s="1"/>
  <c r="N2432" i="52" s="1"/>
  <c r="K2426" i="52"/>
  <c r="J2425" i="52"/>
  <c r="J2426" i="52" s="1"/>
  <c r="J2427" i="52" s="1"/>
  <c r="L2427" i="52" s="1"/>
  <c r="M2427" i="52" s="1"/>
  <c r="N2427" i="52" s="1"/>
  <c r="I2425" i="52"/>
  <c r="K2419" i="52"/>
  <c r="L2419" i="52" s="1"/>
  <c r="M2419" i="52" s="1"/>
  <c r="N2419" i="52" s="1"/>
  <c r="J2419" i="52"/>
  <c r="J2420" i="52" s="1"/>
  <c r="L2420" i="52" s="1"/>
  <c r="M2420" i="52" s="1"/>
  <c r="N2420" i="52" s="1"/>
  <c r="J2418" i="52"/>
  <c r="K2415" i="52"/>
  <c r="I2414" i="52"/>
  <c r="I2413" i="52"/>
  <c r="J2415" i="52" s="1"/>
  <c r="I2412" i="52"/>
  <c r="K2409" i="52"/>
  <c r="L2409" i="52" s="1"/>
  <c r="M2409" i="52" s="1"/>
  <c r="N2409" i="52" s="1"/>
  <c r="J2409" i="52"/>
  <c r="J2410" i="52" s="1"/>
  <c r="L2410" i="52" s="1"/>
  <c r="M2410" i="52" s="1"/>
  <c r="N2410" i="52" s="1"/>
  <c r="J2408" i="52"/>
  <c r="K2398" i="52"/>
  <c r="J2398" i="52"/>
  <c r="J2399" i="52" s="1"/>
  <c r="L2399" i="52" s="1"/>
  <c r="M2399" i="52" s="1"/>
  <c r="N2399" i="52" s="1"/>
  <c r="K2395" i="52"/>
  <c r="L2395" i="52" s="1"/>
  <c r="M2395" i="52" s="1"/>
  <c r="N2395" i="52" s="1"/>
  <c r="J2395" i="52"/>
  <c r="J2396" i="52" s="1"/>
  <c r="L2396" i="52" s="1"/>
  <c r="M2396" i="52" s="1"/>
  <c r="N2396" i="52" s="1"/>
  <c r="K2389" i="52"/>
  <c r="J2389" i="52"/>
  <c r="K2385" i="52"/>
  <c r="L2385" i="52" s="1"/>
  <c r="M2385" i="52" s="1"/>
  <c r="N2385" i="52" s="1"/>
  <c r="J2385" i="52"/>
  <c r="J2386" i="52" s="1"/>
  <c r="L2386" i="52" s="1"/>
  <c r="M2386" i="52" s="1"/>
  <c r="N2386" i="52" s="1"/>
  <c r="K2381" i="52"/>
  <c r="J2377" i="52"/>
  <c r="J2380" i="52" s="1"/>
  <c r="J2381" i="52" s="1"/>
  <c r="J2362" i="52"/>
  <c r="L2362" i="52" s="1"/>
  <c r="M2362" i="52" s="1"/>
  <c r="N2362" i="52" s="1"/>
  <c r="J2361" i="52"/>
  <c r="K2352" i="52"/>
  <c r="K2351" i="52"/>
  <c r="J2351" i="52"/>
  <c r="J2352" i="52" s="1"/>
  <c r="J2353" i="52" s="1"/>
  <c r="L2353" i="52" s="1"/>
  <c r="M2353" i="52" s="1"/>
  <c r="N2353" i="52" s="1"/>
  <c r="L2348" i="52"/>
  <c r="M2348" i="52" s="1"/>
  <c r="N2348" i="52" s="1"/>
  <c r="K2348" i="52"/>
  <c r="K2347" i="52"/>
  <c r="L2347" i="52" s="1"/>
  <c r="M2347" i="52" s="1"/>
  <c r="N2347" i="52" s="1"/>
  <c r="L2346" i="52"/>
  <c r="M2346" i="52" s="1"/>
  <c r="N2346" i="52" s="1"/>
  <c r="K2346" i="52"/>
  <c r="L2345" i="52"/>
  <c r="M2345" i="52" s="1"/>
  <c r="N2345" i="52" s="1"/>
  <c r="K2345" i="52"/>
  <c r="L2344" i="52"/>
  <c r="M2344" i="52" s="1"/>
  <c r="N2344" i="52" s="1"/>
  <c r="K2344" i="52"/>
  <c r="L2343" i="52"/>
  <c r="M2343" i="52" s="1"/>
  <c r="N2343" i="52" s="1"/>
  <c r="K2343" i="52"/>
  <c r="K2338" i="52"/>
  <c r="K2337" i="52"/>
  <c r="I2336" i="52"/>
  <c r="I2335" i="52"/>
  <c r="J2292" i="52"/>
  <c r="J2293" i="52" s="1"/>
  <c r="L2293" i="52" s="1"/>
  <c r="M2293" i="52" s="1"/>
  <c r="N2293" i="52" s="1"/>
  <c r="K2284" i="52"/>
  <c r="J2284" i="52"/>
  <c r="K2283" i="52"/>
  <c r="L2283" i="52" s="1"/>
  <c r="M2283" i="52" s="1"/>
  <c r="N2283" i="52" s="1"/>
  <c r="J2283" i="52"/>
  <c r="N2277" i="52"/>
  <c r="L2277" i="52"/>
  <c r="M2277" i="52" s="1"/>
  <c r="K2277" i="52"/>
  <c r="K2275" i="52"/>
  <c r="K2274" i="52"/>
  <c r="J2274" i="52"/>
  <c r="J2275" i="52" s="1"/>
  <c r="N2273" i="52"/>
  <c r="L2273" i="52"/>
  <c r="M2273" i="52" s="1"/>
  <c r="K2273" i="52"/>
  <c r="K2272" i="52"/>
  <c r="L2272" i="52" s="1"/>
  <c r="M2272" i="52" s="1"/>
  <c r="N2272" i="52" s="1"/>
  <c r="K2271" i="52"/>
  <c r="L2271" i="52" s="1"/>
  <c r="M2271" i="52" s="1"/>
  <c r="N2271" i="52" s="1"/>
  <c r="L2270" i="52"/>
  <c r="M2270" i="52" s="1"/>
  <c r="N2270" i="52" s="1"/>
  <c r="K2270" i="52"/>
  <c r="K2269" i="52"/>
  <c r="L2269" i="52" s="1"/>
  <c r="M2269" i="52" s="1"/>
  <c r="N2269" i="52" s="1"/>
  <c r="K2268" i="52"/>
  <c r="L2268" i="52" s="1"/>
  <c r="M2268" i="52" s="1"/>
  <c r="N2268" i="52" s="1"/>
  <c r="K2266" i="52"/>
  <c r="K2265" i="52"/>
  <c r="L2265" i="52" s="1"/>
  <c r="M2265" i="52" s="1"/>
  <c r="N2265" i="52" s="1"/>
  <c r="J2265" i="52"/>
  <c r="J2266" i="52" s="1"/>
  <c r="K2264" i="52"/>
  <c r="L2264" i="52" s="1"/>
  <c r="M2264" i="52" s="1"/>
  <c r="N2264" i="52" s="1"/>
  <c r="N2263" i="52"/>
  <c r="L2263" i="52"/>
  <c r="M2263" i="52" s="1"/>
  <c r="K2263" i="52"/>
  <c r="K2262" i="52"/>
  <c r="L2262" i="52" s="1"/>
  <c r="M2262" i="52" s="1"/>
  <c r="N2262" i="52" s="1"/>
  <c r="K2260" i="52"/>
  <c r="K2259" i="52"/>
  <c r="N2258" i="52"/>
  <c r="L2258" i="52"/>
  <c r="M2258" i="52" s="1"/>
  <c r="K2258" i="52"/>
  <c r="I2258" i="52"/>
  <c r="F2258" i="52"/>
  <c r="L2257" i="52"/>
  <c r="M2257" i="52" s="1"/>
  <c r="N2257" i="52" s="1"/>
  <c r="K2257" i="52"/>
  <c r="I2257" i="52"/>
  <c r="K2256" i="52"/>
  <c r="L2256" i="52" s="1"/>
  <c r="M2256" i="52" s="1"/>
  <c r="N2256" i="52" s="1"/>
  <c r="I2256" i="52"/>
  <c r="N2255" i="52"/>
  <c r="L2255" i="52"/>
  <c r="M2255" i="52" s="1"/>
  <c r="K2255" i="52"/>
  <c r="L2254" i="52"/>
  <c r="M2254" i="52" s="1"/>
  <c r="N2254" i="52" s="1"/>
  <c r="K2254" i="52"/>
  <c r="K2252" i="52"/>
  <c r="K2251" i="52"/>
  <c r="J2251" i="52"/>
  <c r="J2252" i="52" s="1"/>
  <c r="J2253" i="52" s="1"/>
  <c r="L2253" i="52" s="1"/>
  <c r="M2253" i="52" s="1"/>
  <c r="N2253" i="52" s="1"/>
  <c r="K2250" i="52"/>
  <c r="L2250" i="52" s="1"/>
  <c r="M2250" i="52" s="1"/>
  <c r="N2250" i="52" s="1"/>
  <c r="N2249" i="52"/>
  <c r="L2249" i="52"/>
  <c r="M2249" i="52" s="1"/>
  <c r="K2249" i="52"/>
  <c r="L2248" i="52"/>
  <c r="M2248" i="52" s="1"/>
  <c r="N2248" i="52" s="1"/>
  <c r="K2248" i="52"/>
  <c r="K2247" i="52"/>
  <c r="L2247" i="52" s="1"/>
  <c r="M2247" i="52" s="1"/>
  <c r="N2247" i="52" s="1"/>
  <c r="L2246" i="52"/>
  <c r="M2246" i="52" s="1"/>
  <c r="N2246" i="52" s="1"/>
  <c r="K2246" i="52"/>
  <c r="K2244" i="52"/>
  <c r="K2243" i="52"/>
  <c r="J2243" i="52"/>
  <c r="J2244" i="52" s="1"/>
  <c r="L2242" i="52"/>
  <c r="M2242" i="52" s="1"/>
  <c r="N2242" i="52" s="1"/>
  <c r="K2242" i="52"/>
  <c r="K2241" i="52"/>
  <c r="L2241" i="52" s="1"/>
  <c r="M2241" i="52" s="1"/>
  <c r="N2241" i="52" s="1"/>
  <c r="K2240" i="52"/>
  <c r="L2240" i="52" s="1"/>
  <c r="M2240" i="52" s="1"/>
  <c r="N2240" i="52" s="1"/>
  <c r="N2239" i="52"/>
  <c r="L2239" i="52"/>
  <c r="M2239" i="52" s="1"/>
  <c r="K2239" i="52"/>
  <c r="L2238" i="52"/>
  <c r="M2238" i="52" s="1"/>
  <c r="N2238" i="52" s="1"/>
  <c r="K2238" i="52"/>
  <c r="K2237" i="52"/>
  <c r="L2237" i="52" s="1"/>
  <c r="M2237" i="52" s="1"/>
  <c r="N2237" i="52" s="1"/>
  <c r="K2235" i="52"/>
  <c r="K2234" i="52"/>
  <c r="J2234" i="52"/>
  <c r="J2235" i="52" s="1"/>
  <c r="J2236" i="52" s="1"/>
  <c r="L2236" i="52" s="1"/>
  <c r="M2236" i="52" s="1"/>
  <c r="N2236" i="52" s="1"/>
  <c r="P2236" i="52" s="1"/>
  <c r="M2231" i="52"/>
  <c r="N2231" i="52" s="1"/>
  <c r="K2231" i="52"/>
  <c r="L2231" i="52" s="1"/>
  <c r="M2230" i="52"/>
  <c r="N2230" i="52" s="1"/>
  <c r="K2230" i="52"/>
  <c r="L2230" i="52" s="1"/>
  <c r="K2229" i="52"/>
  <c r="L2229" i="52" s="1"/>
  <c r="M2229" i="52" s="1"/>
  <c r="N2229" i="52" s="1"/>
  <c r="M2228" i="52"/>
  <c r="N2228" i="52" s="1"/>
  <c r="K2228" i="52"/>
  <c r="L2228" i="52" s="1"/>
  <c r="M2227" i="52"/>
  <c r="N2227" i="52" s="1"/>
  <c r="K2227" i="52"/>
  <c r="L2227" i="52" s="1"/>
  <c r="M2226" i="52"/>
  <c r="N2226" i="52" s="1"/>
  <c r="K2226" i="52"/>
  <c r="L2226" i="52" s="1"/>
  <c r="K2225" i="52"/>
  <c r="L2225" i="52" s="1"/>
  <c r="M2225" i="52" s="1"/>
  <c r="N2225" i="52" s="1"/>
  <c r="M2224" i="52"/>
  <c r="N2224" i="52" s="1"/>
  <c r="K2224" i="52"/>
  <c r="L2224" i="52" s="1"/>
  <c r="M2223" i="52"/>
  <c r="N2223" i="52" s="1"/>
  <c r="K2223" i="52"/>
  <c r="L2223" i="52" s="1"/>
  <c r="M2222" i="52"/>
  <c r="N2222" i="52" s="1"/>
  <c r="K2222" i="52"/>
  <c r="L2222" i="52" s="1"/>
  <c r="K2220" i="52"/>
  <c r="K2219" i="52"/>
  <c r="M2218" i="52"/>
  <c r="N2218" i="52" s="1"/>
  <c r="K2218" i="52"/>
  <c r="L2218" i="52" s="1"/>
  <c r="I2218" i="52"/>
  <c r="K2217" i="52"/>
  <c r="L2217" i="52" s="1"/>
  <c r="M2217" i="52" s="1"/>
  <c r="N2217" i="52" s="1"/>
  <c r="I2217" i="52"/>
  <c r="K2216" i="52"/>
  <c r="L2216" i="52" s="1"/>
  <c r="M2216" i="52" s="1"/>
  <c r="N2216" i="52" s="1"/>
  <c r="I2216" i="52"/>
  <c r="N2215" i="52"/>
  <c r="L2215" i="52"/>
  <c r="M2215" i="52" s="1"/>
  <c r="K2215" i="52"/>
  <c r="I2215" i="52"/>
  <c r="M2214" i="52"/>
  <c r="N2214" i="52" s="1"/>
  <c r="K2214" i="52"/>
  <c r="L2214" i="52" s="1"/>
  <c r="I2214" i="52"/>
  <c r="L2213" i="52"/>
  <c r="M2213" i="52" s="1"/>
  <c r="N2213" i="52" s="1"/>
  <c r="K2213" i="52"/>
  <c r="I2213" i="52"/>
  <c r="K2212" i="52"/>
  <c r="L2212" i="52" s="1"/>
  <c r="M2212" i="52" s="1"/>
  <c r="N2212" i="52" s="1"/>
  <c r="K2211" i="52"/>
  <c r="L2211" i="52" s="1"/>
  <c r="M2211" i="52" s="1"/>
  <c r="N2211" i="52" s="1"/>
  <c r="K2209" i="52"/>
  <c r="K2208" i="52"/>
  <c r="K2207" i="52"/>
  <c r="L2207" i="52" s="1"/>
  <c r="M2207" i="52" s="1"/>
  <c r="N2207" i="52" s="1"/>
  <c r="I2207" i="52"/>
  <c r="N2206" i="52"/>
  <c r="L2206" i="52"/>
  <c r="M2206" i="52" s="1"/>
  <c r="K2206" i="52"/>
  <c r="I2206" i="52"/>
  <c r="K2205" i="52"/>
  <c r="L2205" i="52" s="1"/>
  <c r="M2205" i="52" s="1"/>
  <c r="N2205" i="52" s="1"/>
  <c r="I2205" i="52"/>
  <c r="L2204" i="52"/>
  <c r="M2204" i="52" s="1"/>
  <c r="N2204" i="52" s="1"/>
  <c r="K2204" i="52"/>
  <c r="I2204" i="52"/>
  <c r="K2203" i="52"/>
  <c r="L2203" i="52" s="1"/>
  <c r="M2203" i="52" s="1"/>
  <c r="N2203" i="52" s="1"/>
  <c r="I2203" i="52"/>
  <c r="K2202" i="52"/>
  <c r="L2202" i="52" s="1"/>
  <c r="M2202" i="52" s="1"/>
  <c r="N2202" i="52" s="1"/>
  <c r="I2202" i="52"/>
  <c r="M2201" i="52"/>
  <c r="N2201" i="52" s="1"/>
  <c r="K2201" i="52"/>
  <c r="L2201" i="52" s="1"/>
  <c r="I2201" i="52"/>
  <c r="L2200" i="52"/>
  <c r="M2200" i="52" s="1"/>
  <c r="N2200" i="52" s="1"/>
  <c r="K2200" i="52"/>
  <c r="I2200" i="52"/>
  <c r="K2198" i="52"/>
  <c r="L2198" i="52" s="1"/>
  <c r="M2198" i="52" s="1"/>
  <c r="N2198" i="52" s="1"/>
  <c r="K2196" i="52"/>
  <c r="K2195" i="52"/>
  <c r="K2194" i="52"/>
  <c r="L2194" i="52" s="1"/>
  <c r="M2194" i="52" s="1"/>
  <c r="N2194" i="52" s="1"/>
  <c r="I2194" i="52"/>
  <c r="K2193" i="52"/>
  <c r="L2193" i="52" s="1"/>
  <c r="M2193" i="52" s="1"/>
  <c r="N2193" i="52" s="1"/>
  <c r="I2193" i="52"/>
  <c r="M2192" i="52"/>
  <c r="N2192" i="52" s="1"/>
  <c r="K2192" i="52"/>
  <c r="L2192" i="52" s="1"/>
  <c r="I2192" i="52"/>
  <c r="K2191" i="52"/>
  <c r="L2191" i="52" s="1"/>
  <c r="M2191" i="52" s="1"/>
  <c r="N2191" i="52" s="1"/>
  <c r="I2191" i="52"/>
  <c r="K2190" i="52"/>
  <c r="L2190" i="52" s="1"/>
  <c r="M2190" i="52" s="1"/>
  <c r="N2190" i="52" s="1"/>
  <c r="I2190" i="52"/>
  <c r="L2189" i="52"/>
  <c r="M2189" i="52" s="1"/>
  <c r="N2189" i="52" s="1"/>
  <c r="K2189" i="52"/>
  <c r="I2189" i="52"/>
  <c r="K2188" i="52"/>
  <c r="L2188" i="52" s="1"/>
  <c r="M2188" i="52" s="1"/>
  <c r="N2188" i="52" s="1"/>
  <c r="I2188" i="52"/>
  <c r="K2187" i="52"/>
  <c r="L2187" i="52" s="1"/>
  <c r="M2187" i="52" s="1"/>
  <c r="N2187" i="52" s="1"/>
  <c r="I2187" i="52"/>
  <c r="L2186" i="52"/>
  <c r="M2186" i="52" s="1"/>
  <c r="N2186" i="52" s="1"/>
  <c r="K2186" i="52"/>
  <c r="I2186" i="52"/>
  <c r="K2185" i="52"/>
  <c r="L2185" i="52" s="1"/>
  <c r="M2185" i="52" s="1"/>
  <c r="N2185" i="52" s="1"/>
  <c r="I2185" i="52"/>
  <c r="K2184" i="52"/>
  <c r="L2184" i="52" s="1"/>
  <c r="M2184" i="52" s="1"/>
  <c r="N2184" i="52" s="1"/>
  <c r="I2184" i="52"/>
  <c r="K2183" i="52"/>
  <c r="L2183" i="52" s="1"/>
  <c r="M2183" i="52" s="1"/>
  <c r="N2183" i="52" s="1"/>
  <c r="I2183" i="52"/>
  <c r="M2182" i="52"/>
  <c r="N2182" i="52" s="1"/>
  <c r="K2182" i="52"/>
  <c r="L2182" i="52" s="1"/>
  <c r="I2182" i="52"/>
  <c r="L2181" i="52"/>
  <c r="M2181" i="52" s="1"/>
  <c r="N2181" i="52" s="1"/>
  <c r="K2181" i="52"/>
  <c r="I2181" i="52"/>
  <c r="M2180" i="52"/>
  <c r="N2180" i="52" s="1"/>
  <c r="K2180" i="52"/>
  <c r="L2180" i="52" s="1"/>
  <c r="I2180" i="52"/>
  <c r="K2179" i="52"/>
  <c r="L2179" i="52" s="1"/>
  <c r="M2179" i="52" s="1"/>
  <c r="N2179" i="52" s="1"/>
  <c r="I2179" i="52"/>
  <c r="J2195" i="52" s="1"/>
  <c r="L2178" i="52"/>
  <c r="M2178" i="52" s="1"/>
  <c r="N2178" i="52" s="1"/>
  <c r="K2178" i="52"/>
  <c r="I2178" i="52"/>
  <c r="L2177" i="52"/>
  <c r="M2177" i="52" s="1"/>
  <c r="N2177" i="52" s="1"/>
  <c r="K2177" i="52"/>
  <c r="I2177" i="52"/>
  <c r="K2176" i="52"/>
  <c r="L2176" i="52" s="1"/>
  <c r="M2176" i="52" s="1"/>
  <c r="N2176" i="52" s="1"/>
  <c r="I2176" i="52"/>
  <c r="K2175" i="52"/>
  <c r="L2175" i="52" s="1"/>
  <c r="M2175" i="52" s="1"/>
  <c r="N2175" i="52" s="1"/>
  <c r="I2175" i="52"/>
  <c r="K2174" i="52"/>
  <c r="L2174" i="52" s="1"/>
  <c r="M2174" i="52" s="1"/>
  <c r="N2174" i="52" s="1"/>
  <c r="I2174" i="52"/>
  <c r="K2173" i="52"/>
  <c r="L2173" i="52" s="1"/>
  <c r="M2173" i="52" s="1"/>
  <c r="N2173" i="52" s="1"/>
  <c r="I2173" i="52"/>
  <c r="M2172" i="52"/>
  <c r="N2172" i="52" s="1"/>
  <c r="K2172" i="52"/>
  <c r="L2172" i="52" s="1"/>
  <c r="I2172" i="52"/>
  <c r="K2170" i="52"/>
  <c r="L2170" i="52" s="1"/>
  <c r="M2170" i="52" s="1"/>
  <c r="N2170" i="52" s="1"/>
  <c r="K2169" i="52"/>
  <c r="L2169" i="52" s="1"/>
  <c r="M2169" i="52" s="1"/>
  <c r="N2169" i="52" s="1"/>
  <c r="L2168" i="52"/>
  <c r="M2168" i="52" s="1"/>
  <c r="N2168" i="52" s="1"/>
  <c r="K2168" i="52"/>
  <c r="K2165" i="52"/>
  <c r="L2165" i="52" s="1"/>
  <c r="M2165" i="52" s="1"/>
  <c r="N2165" i="52" s="1"/>
  <c r="I2165" i="52"/>
  <c r="J2166" i="52" s="1"/>
  <c r="J2167" i="52" s="1"/>
  <c r="L2167" i="52" s="1"/>
  <c r="M2167" i="52" s="1"/>
  <c r="N2167" i="52" s="1"/>
  <c r="K2164" i="52"/>
  <c r="L2164" i="52" s="1"/>
  <c r="M2164" i="52" s="1"/>
  <c r="N2164" i="52" s="1"/>
  <c r="I2164" i="52"/>
  <c r="L2159" i="52"/>
  <c r="M2159" i="52" s="1"/>
  <c r="N2159" i="52" s="1"/>
  <c r="K2159" i="52"/>
  <c r="L2158" i="52"/>
  <c r="M2158" i="52" s="1"/>
  <c r="N2158" i="52" s="1"/>
  <c r="K2157" i="52"/>
  <c r="J2157" i="52"/>
  <c r="J2158" i="52" s="1"/>
  <c r="K2156" i="52"/>
  <c r="L2156" i="52" s="1"/>
  <c r="M2156" i="52" s="1"/>
  <c r="N2156" i="52" s="1"/>
  <c r="M2155" i="52"/>
  <c r="N2155" i="52" s="1"/>
  <c r="K2155" i="52"/>
  <c r="L2155" i="52" s="1"/>
  <c r="K2153" i="52"/>
  <c r="J2153" i="52"/>
  <c r="J2154" i="52" s="1"/>
  <c r="L2154" i="52" s="1"/>
  <c r="M2154" i="52" s="1"/>
  <c r="N2154" i="52" s="1"/>
  <c r="L2152" i="52"/>
  <c r="M2152" i="52" s="1"/>
  <c r="N2152" i="52" s="1"/>
  <c r="K2152" i="52"/>
  <c r="K2151" i="52"/>
  <c r="L2151" i="52" s="1"/>
  <c r="M2151" i="52" s="1"/>
  <c r="N2151" i="52" s="1"/>
  <c r="L2150" i="52"/>
  <c r="M2150" i="52" s="1"/>
  <c r="N2150" i="52" s="1"/>
  <c r="K2149" i="52"/>
  <c r="L2149" i="52" s="1"/>
  <c r="M2149" i="52" s="1"/>
  <c r="N2149" i="52" s="1"/>
  <c r="J2149" i="52"/>
  <c r="J2150" i="52" s="1"/>
  <c r="K2148" i="52"/>
  <c r="L2148" i="52" s="1"/>
  <c r="M2148" i="52" s="1"/>
  <c r="N2148" i="52" s="1"/>
  <c r="L2147" i="52"/>
  <c r="M2147" i="52" s="1"/>
  <c r="N2147" i="52" s="1"/>
  <c r="K2147" i="52"/>
  <c r="K2146" i="52"/>
  <c r="K2145" i="52"/>
  <c r="K2144" i="52"/>
  <c r="L2144" i="52" s="1"/>
  <c r="M2144" i="52" s="1"/>
  <c r="N2144" i="52" s="1"/>
  <c r="F2144" i="52"/>
  <c r="I2144" i="52" s="1"/>
  <c r="K2143" i="52"/>
  <c r="L2143" i="52" s="1"/>
  <c r="M2143" i="52" s="1"/>
  <c r="N2143" i="52" s="1"/>
  <c r="F2143" i="52"/>
  <c r="I2143" i="52" s="1"/>
  <c r="M2142" i="52"/>
  <c r="N2142" i="52" s="1"/>
  <c r="K2142" i="52"/>
  <c r="L2142" i="52" s="1"/>
  <c r="I2142" i="52"/>
  <c r="F2142" i="52"/>
  <c r="M2141" i="52"/>
  <c r="N2141" i="52" s="1"/>
  <c r="K2141" i="52"/>
  <c r="L2141" i="52" s="1"/>
  <c r="K2140" i="52"/>
  <c r="L2140" i="52" s="1"/>
  <c r="M2140" i="52" s="1"/>
  <c r="N2140" i="52" s="1"/>
  <c r="K2139" i="52"/>
  <c r="K2138" i="52"/>
  <c r="K2137" i="52"/>
  <c r="L2137" i="52" s="1"/>
  <c r="M2137" i="52" s="1"/>
  <c r="N2137" i="52" s="1"/>
  <c r="F2137" i="52"/>
  <c r="I2137" i="52" s="1"/>
  <c r="K2136" i="52"/>
  <c r="L2136" i="52" s="1"/>
  <c r="M2136" i="52" s="1"/>
  <c r="N2136" i="52" s="1"/>
  <c r="F2136" i="52"/>
  <c r="I2136" i="52" s="1"/>
  <c r="M2135" i="52"/>
  <c r="N2135" i="52" s="1"/>
  <c r="K2135" i="52"/>
  <c r="L2135" i="52" s="1"/>
  <c r="F2135" i="52"/>
  <c r="I2135" i="52" s="1"/>
  <c r="K2134" i="52"/>
  <c r="L2134" i="52" s="1"/>
  <c r="M2134" i="52" s="1"/>
  <c r="N2134" i="52" s="1"/>
  <c r="F2134" i="52"/>
  <c r="I2134" i="52" s="1"/>
  <c r="K2133" i="52"/>
  <c r="L2133" i="52" s="1"/>
  <c r="M2133" i="52" s="1"/>
  <c r="N2133" i="52" s="1"/>
  <c r="F2133" i="52"/>
  <c r="I2133" i="52" s="1"/>
  <c r="L2132" i="52"/>
  <c r="M2132" i="52" s="1"/>
  <c r="N2132" i="52" s="1"/>
  <c r="K2132" i="52"/>
  <c r="K2131" i="52"/>
  <c r="L2131" i="52" s="1"/>
  <c r="M2131" i="52" s="1"/>
  <c r="N2131" i="52" s="1"/>
  <c r="K2130" i="52"/>
  <c r="K2129" i="52"/>
  <c r="K2128" i="52"/>
  <c r="L2128" i="52" s="1"/>
  <c r="M2128" i="52" s="1"/>
  <c r="N2128" i="52" s="1"/>
  <c r="I2128" i="52"/>
  <c r="F2128" i="52"/>
  <c r="K2127" i="52"/>
  <c r="L2127" i="52" s="1"/>
  <c r="M2127" i="52" s="1"/>
  <c r="N2127" i="52" s="1"/>
  <c r="F2127" i="52"/>
  <c r="I2127" i="52" s="1"/>
  <c r="K2126" i="52"/>
  <c r="L2126" i="52" s="1"/>
  <c r="M2126" i="52" s="1"/>
  <c r="N2126" i="52" s="1"/>
  <c r="I2126" i="52"/>
  <c r="K2125" i="52"/>
  <c r="L2125" i="52" s="1"/>
  <c r="M2125" i="52" s="1"/>
  <c r="N2125" i="52" s="1"/>
  <c r="I2125" i="52"/>
  <c r="F2125" i="52"/>
  <c r="M2124" i="52"/>
  <c r="N2124" i="52" s="1"/>
  <c r="L2124" i="52"/>
  <c r="K2124" i="52"/>
  <c r="F2124" i="52"/>
  <c r="I2124" i="52" s="1"/>
  <c r="K2123" i="52"/>
  <c r="L2123" i="52" s="1"/>
  <c r="M2123" i="52" s="1"/>
  <c r="N2123" i="52" s="1"/>
  <c r="I2123" i="52"/>
  <c r="F2123" i="52"/>
  <c r="N2122" i="52"/>
  <c r="L2122" i="52"/>
  <c r="M2122" i="52" s="1"/>
  <c r="K2122" i="52"/>
  <c r="I2122" i="52"/>
  <c r="K2121" i="52"/>
  <c r="L2121" i="52" s="1"/>
  <c r="M2121" i="52" s="1"/>
  <c r="N2121" i="52" s="1"/>
  <c r="I2121" i="52"/>
  <c r="F2121" i="52"/>
  <c r="M2120" i="52"/>
  <c r="N2120" i="52" s="1"/>
  <c r="K2120" i="52"/>
  <c r="L2120" i="52" s="1"/>
  <c r="I2120" i="52"/>
  <c r="K2119" i="52"/>
  <c r="L2119" i="52" s="1"/>
  <c r="M2119" i="52" s="1"/>
  <c r="N2119" i="52" s="1"/>
  <c r="I2119" i="52"/>
  <c r="F2119" i="52"/>
  <c r="N2118" i="52"/>
  <c r="K2118" i="52"/>
  <c r="L2118" i="52" s="1"/>
  <c r="M2118" i="52" s="1"/>
  <c r="I2118" i="52"/>
  <c r="M2117" i="52"/>
  <c r="N2117" i="52" s="1"/>
  <c r="K2117" i="52"/>
  <c r="L2117" i="52" s="1"/>
  <c r="F2117" i="52"/>
  <c r="I2117" i="52" s="1"/>
  <c r="K2116" i="52"/>
  <c r="L2116" i="52" s="1"/>
  <c r="M2116" i="52" s="1"/>
  <c r="N2116" i="52" s="1"/>
  <c r="I2116" i="52"/>
  <c r="K2115" i="52"/>
  <c r="L2115" i="52" s="1"/>
  <c r="M2115" i="52" s="1"/>
  <c r="N2115" i="52" s="1"/>
  <c r="I2115" i="52"/>
  <c r="F2115" i="52"/>
  <c r="K2114" i="52"/>
  <c r="L2114" i="52" s="1"/>
  <c r="M2114" i="52" s="1"/>
  <c r="N2114" i="52" s="1"/>
  <c r="F2114" i="52"/>
  <c r="I2114" i="52" s="1"/>
  <c r="L2113" i="52"/>
  <c r="M2113" i="52" s="1"/>
  <c r="N2113" i="52" s="1"/>
  <c r="K2113" i="52"/>
  <c r="I2113" i="52"/>
  <c r="K2112" i="52"/>
  <c r="L2112" i="52" s="1"/>
  <c r="M2112" i="52" s="1"/>
  <c r="N2112" i="52" s="1"/>
  <c r="F2112" i="52"/>
  <c r="I2112" i="52" s="1"/>
  <c r="K2111" i="52"/>
  <c r="L2111" i="52" s="1"/>
  <c r="M2111" i="52" s="1"/>
  <c r="N2111" i="52" s="1"/>
  <c r="I2111" i="52"/>
  <c r="F2111" i="52"/>
  <c r="M2110" i="52"/>
  <c r="N2110" i="52" s="1"/>
  <c r="K2110" i="52"/>
  <c r="L2110" i="52" s="1"/>
  <c r="I2110" i="52"/>
  <c r="K2109" i="52"/>
  <c r="L2109" i="52" s="1"/>
  <c r="M2109" i="52" s="1"/>
  <c r="N2109" i="52" s="1"/>
  <c r="I2109" i="52"/>
  <c r="F2109" i="52"/>
  <c r="N2108" i="52"/>
  <c r="K2108" i="52"/>
  <c r="L2108" i="52" s="1"/>
  <c r="M2108" i="52" s="1"/>
  <c r="F2108" i="52"/>
  <c r="I2108" i="52" s="1"/>
  <c r="K2107" i="52"/>
  <c r="L2107" i="52" s="1"/>
  <c r="M2107" i="52" s="1"/>
  <c r="N2107" i="52" s="1"/>
  <c r="I2107" i="52"/>
  <c r="N2106" i="52"/>
  <c r="K2106" i="52"/>
  <c r="L2106" i="52" s="1"/>
  <c r="M2106" i="52" s="1"/>
  <c r="F2106" i="52"/>
  <c r="I2106" i="52" s="1"/>
  <c r="L2105" i="52"/>
  <c r="M2105" i="52" s="1"/>
  <c r="N2105" i="52" s="1"/>
  <c r="K2105" i="52"/>
  <c r="F2105" i="52"/>
  <c r="I2105" i="52" s="1"/>
  <c r="M2104" i="52"/>
  <c r="N2104" i="52" s="1"/>
  <c r="K2104" i="52"/>
  <c r="L2104" i="52" s="1"/>
  <c r="I2104" i="52"/>
  <c r="L2103" i="52"/>
  <c r="M2103" i="52" s="1"/>
  <c r="N2103" i="52" s="1"/>
  <c r="K2103" i="52"/>
  <c r="I2103" i="52"/>
  <c r="F2103" i="52"/>
  <c r="L2102" i="52"/>
  <c r="M2102" i="52" s="1"/>
  <c r="N2102" i="52" s="1"/>
  <c r="K2102" i="52"/>
  <c r="I2102" i="52"/>
  <c r="F2102" i="52"/>
  <c r="K2101" i="52"/>
  <c r="L2101" i="52" s="1"/>
  <c r="M2101" i="52" s="1"/>
  <c r="N2101" i="52" s="1"/>
  <c r="L2100" i="52"/>
  <c r="M2100" i="52" s="1"/>
  <c r="N2100" i="52" s="1"/>
  <c r="K2100" i="52"/>
  <c r="K2099" i="52"/>
  <c r="L2099" i="52" s="1"/>
  <c r="M2099" i="52" s="1"/>
  <c r="N2099" i="52" s="1"/>
  <c r="K2097" i="52"/>
  <c r="K2096" i="52"/>
  <c r="M2095" i="52"/>
  <c r="N2095" i="52" s="1"/>
  <c r="L2095" i="52"/>
  <c r="K2095" i="52"/>
  <c r="I2095" i="52"/>
  <c r="K2094" i="52"/>
  <c r="L2094" i="52" s="1"/>
  <c r="M2094" i="52" s="1"/>
  <c r="N2094" i="52" s="1"/>
  <c r="I2094" i="52"/>
  <c r="N2093" i="52"/>
  <c r="K2093" i="52"/>
  <c r="L2093" i="52" s="1"/>
  <c r="M2093" i="52" s="1"/>
  <c r="I2093" i="52"/>
  <c r="K2092" i="52"/>
  <c r="L2092" i="52" s="1"/>
  <c r="M2092" i="52" s="1"/>
  <c r="N2092" i="52" s="1"/>
  <c r="L2091" i="52"/>
  <c r="M2091" i="52" s="1"/>
  <c r="N2091" i="52" s="1"/>
  <c r="K2091" i="52"/>
  <c r="I2091" i="52"/>
  <c r="M2090" i="52"/>
  <c r="N2090" i="52" s="1"/>
  <c r="L2090" i="52"/>
  <c r="K2090" i="52"/>
  <c r="I2090" i="52"/>
  <c r="K2089" i="52"/>
  <c r="L2089" i="52" s="1"/>
  <c r="M2089" i="52" s="1"/>
  <c r="N2089" i="52" s="1"/>
  <c r="H2089" i="52"/>
  <c r="I2089" i="52" s="1"/>
  <c r="L2088" i="52"/>
  <c r="M2088" i="52" s="1"/>
  <c r="N2088" i="52" s="1"/>
  <c r="K2088" i="52"/>
  <c r="I2088" i="52"/>
  <c r="M2087" i="52"/>
  <c r="N2087" i="52" s="1"/>
  <c r="L2087" i="52"/>
  <c r="K2087" i="52"/>
  <c r="I2087" i="52"/>
  <c r="K2086" i="52"/>
  <c r="L2086" i="52" s="1"/>
  <c r="M2086" i="52" s="1"/>
  <c r="N2086" i="52" s="1"/>
  <c r="I2086" i="52"/>
  <c r="N2085" i="52"/>
  <c r="K2085" i="52"/>
  <c r="L2085" i="52" s="1"/>
  <c r="M2085" i="52" s="1"/>
  <c r="I2085" i="52"/>
  <c r="M2084" i="52"/>
  <c r="N2084" i="52" s="1"/>
  <c r="K2084" i="52"/>
  <c r="L2084" i="52" s="1"/>
  <c r="I2084" i="52"/>
  <c r="K2083" i="52"/>
  <c r="L2083" i="52" s="1"/>
  <c r="M2083" i="52" s="1"/>
  <c r="N2083" i="52" s="1"/>
  <c r="I2083" i="52"/>
  <c r="M2082" i="52"/>
  <c r="N2082" i="52" s="1"/>
  <c r="K2082" i="52"/>
  <c r="L2082" i="52" s="1"/>
  <c r="I2082" i="52"/>
  <c r="K2081" i="52"/>
  <c r="L2081" i="52" s="1"/>
  <c r="M2081" i="52" s="1"/>
  <c r="N2081" i="52" s="1"/>
  <c r="I2081" i="52"/>
  <c r="K2080" i="52"/>
  <c r="L2080" i="52" s="1"/>
  <c r="M2080" i="52" s="1"/>
  <c r="N2080" i="52" s="1"/>
  <c r="I2080" i="52"/>
  <c r="M2079" i="52"/>
  <c r="N2079" i="52" s="1"/>
  <c r="L2079" i="52"/>
  <c r="K2079" i="52"/>
  <c r="I2079" i="52"/>
  <c r="K2078" i="52"/>
  <c r="L2078" i="52" s="1"/>
  <c r="M2078" i="52" s="1"/>
  <c r="N2078" i="52" s="1"/>
  <c r="H2078" i="52"/>
  <c r="I2078" i="52" s="1"/>
  <c r="L2077" i="52"/>
  <c r="M2077" i="52" s="1"/>
  <c r="N2077" i="52" s="1"/>
  <c r="K2077" i="52"/>
  <c r="M2076" i="52"/>
  <c r="N2076" i="52" s="1"/>
  <c r="K2076" i="52"/>
  <c r="L2076" i="52" s="1"/>
  <c r="K2074" i="52"/>
  <c r="K2073" i="52"/>
  <c r="K2072" i="52"/>
  <c r="L2072" i="52" s="1"/>
  <c r="M2072" i="52" s="1"/>
  <c r="N2072" i="52" s="1"/>
  <c r="I2072" i="52"/>
  <c r="M2071" i="52"/>
  <c r="N2071" i="52" s="1"/>
  <c r="L2071" i="52"/>
  <c r="K2071" i="52"/>
  <c r="I2071" i="52"/>
  <c r="K2070" i="52"/>
  <c r="L2070" i="52" s="1"/>
  <c r="M2070" i="52" s="1"/>
  <c r="N2070" i="52" s="1"/>
  <c r="I2070" i="52"/>
  <c r="N2069" i="52"/>
  <c r="K2069" i="52"/>
  <c r="L2069" i="52" s="1"/>
  <c r="M2069" i="52" s="1"/>
  <c r="I2069" i="52"/>
  <c r="M2068" i="52"/>
  <c r="N2068" i="52" s="1"/>
  <c r="K2068" i="52"/>
  <c r="L2068" i="52" s="1"/>
  <c r="I2068" i="52"/>
  <c r="K2067" i="52"/>
  <c r="L2067" i="52" s="1"/>
  <c r="M2067" i="52" s="1"/>
  <c r="N2067" i="52" s="1"/>
  <c r="I2067" i="52"/>
  <c r="I2066" i="52"/>
  <c r="I2065" i="52"/>
  <c r="L2064" i="52"/>
  <c r="M2064" i="52" s="1"/>
  <c r="N2064" i="52" s="1"/>
  <c r="K2064" i="52"/>
  <c r="I2064" i="52"/>
  <c r="L2063" i="52"/>
  <c r="M2063" i="52" s="1"/>
  <c r="N2063" i="52" s="1"/>
  <c r="K2063" i="52"/>
  <c r="I2063" i="52"/>
  <c r="K2062" i="52"/>
  <c r="L2062" i="52" s="1"/>
  <c r="M2062" i="52" s="1"/>
  <c r="N2062" i="52" s="1"/>
  <c r="I2062" i="52"/>
  <c r="K2061" i="52"/>
  <c r="L2061" i="52" s="1"/>
  <c r="M2061" i="52" s="1"/>
  <c r="N2061" i="52" s="1"/>
  <c r="I2061" i="52"/>
  <c r="K2060" i="52"/>
  <c r="L2060" i="52" s="1"/>
  <c r="M2060" i="52" s="1"/>
  <c r="N2060" i="52" s="1"/>
  <c r="I2060" i="52"/>
  <c r="K2059" i="52"/>
  <c r="L2059" i="52" s="1"/>
  <c r="M2059" i="52" s="1"/>
  <c r="N2059" i="52" s="1"/>
  <c r="I2059" i="52"/>
  <c r="M2058" i="52"/>
  <c r="N2058" i="52" s="1"/>
  <c r="K2058" i="52"/>
  <c r="L2058" i="52" s="1"/>
  <c r="I2058" i="52"/>
  <c r="L2057" i="52"/>
  <c r="M2057" i="52" s="1"/>
  <c r="N2057" i="52" s="1"/>
  <c r="K2057" i="52"/>
  <c r="I2057" i="52"/>
  <c r="L2056" i="52"/>
  <c r="M2056" i="52" s="1"/>
  <c r="N2056" i="52" s="1"/>
  <c r="K2056" i="52"/>
  <c r="I2056" i="52"/>
  <c r="K2055" i="52"/>
  <c r="L2055" i="52" s="1"/>
  <c r="M2055" i="52" s="1"/>
  <c r="N2055" i="52" s="1"/>
  <c r="I2055" i="52"/>
  <c r="K2054" i="52"/>
  <c r="L2054" i="52" s="1"/>
  <c r="M2054" i="52" s="1"/>
  <c r="N2054" i="52" s="1"/>
  <c r="I2054" i="52"/>
  <c r="K2053" i="52"/>
  <c r="L2053" i="52" s="1"/>
  <c r="M2053" i="52" s="1"/>
  <c r="N2053" i="52" s="1"/>
  <c r="I2053" i="52"/>
  <c r="K2052" i="52"/>
  <c r="L2052" i="52" s="1"/>
  <c r="M2052" i="52" s="1"/>
  <c r="N2052" i="52" s="1"/>
  <c r="I2052" i="52"/>
  <c r="L2051" i="52"/>
  <c r="M2051" i="52" s="1"/>
  <c r="N2051" i="52" s="1"/>
  <c r="K2051" i="52"/>
  <c r="I2051" i="52"/>
  <c r="M2050" i="52"/>
  <c r="N2050" i="52" s="1"/>
  <c r="K2050" i="52"/>
  <c r="L2050" i="52" s="1"/>
  <c r="I2050" i="52"/>
  <c r="L2049" i="52"/>
  <c r="M2049" i="52" s="1"/>
  <c r="N2049" i="52" s="1"/>
  <c r="K2049" i="52"/>
  <c r="I2049" i="52"/>
  <c r="L2048" i="52"/>
  <c r="M2048" i="52" s="1"/>
  <c r="N2048" i="52" s="1"/>
  <c r="K2048" i="52"/>
  <c r="I2048" i="52"/>
  <c r="K2047" i="52"/>
  <c r="L2047" i="52" s="1"/>
  <c r="M2047" i="52" s="1"/>
  <c r="N2047" i="52" s="1"/>
  <c r="I2047" i="52"/>
  <c r="K2046" i="52"/>
  <c r="L2046" i="52" s="1"/>
  <c r="M2046" i="52" s="1"/>
  <c r="N2046" i="52" s="1"/>
  <c r="I2046" i="52"/>
  <c r="K2045" i="52"/>
  <c r="L2045" i="52" s="1"/>
  <c r="M2045" i="52" s="1"/>
  <c r="N2045" i="52" s="1"/>
  <c r="I2045" i="52"/>
  <c r="K2044" i="52"/>
  <c r="L2044" i="52" s="1"/>
  <c r="M2044" i="52" s="1"/>
  <c r="N2044" i="52" s="1"/>
  <c r="I2044" i="52"/>
  <c r="K2043" i="52"/>
  <c r="L2043" i="52" s="1"/>
  <c r="M2043" i="52" s="1"/>
  <c r="N2043" i="52" s="1"/>
  <c r="I2043" i="52"/>
  <c r="M2042" i="52"/>
  <c r="N2042" i="52" s="1"/>
  <c r="K2042" i="52"/>
  <c r="L2042" i="52" s="1"/>
  <c r="I2042" i="52"/>
  <c r="L2041" i="52"/>
  <c r="M2041" i="52" s="1"/>
  <c r="N2041" i="52" s="1"/>
  <c r="K2041" i="52"/>
  <c r="K2039" i="52"/>
  <c r="K2038" i="52"/>
  <c r="K2037" i="52"/>
  <c r="L2037" i="52" s="1"/>
  <c r="M2037" i="52" s="1"/>
  <c r="N2037" i="52" s="1"/>
  <c r="I2037" i="52"/>
  <c r="K2036" i="52"/>
  <c r="L2036" i="52" s="1"/>
  <c r="M2036" i="52" s="1"/>
  <c r="N2036" i="52" s="1"/>
  <c r="I2036" i="52"/>
  <c r="I2035" i="52"/>
  <c r="I2034" i="52"/>
  <c r="I2033" i="52"/>
  <c r="K2031" i="52"/>
  <c r="L2031" i="52" s="1"/>
  <c r="M2031" i="52" s="1"/>
  <c r="N2031" i="52" s="1"/>
  <c r="I2031" i="52"/>
  <c r="L2030" i="52"/>
  <c r="M2030" i="52" s="1"/>
  <c r="N2030" i="52" s="1"/>
  <c r="K2030" i="52"/>
  <c r="I2030" i="52"/>
  <c r="L2029" i="52"/>
  <c r="M2029" i="52" s="1"/>
  <c r="N2029" i="52" s="1"/>
  <c r="K2029" i="52"/>
  <c r="I2029" i="52"/>
  <c r="K2028" i="52"/>
  <c r="L2028" i="52" s="1"/>
  <c r="M2028" i="52" s="1"/>
  <c r="N2028" i="52" s="1"/>
  <c r="I2028" i="52"/>
  <c r="K2027" i="52"/>
  <c r="L2027" i="52" s="1"/>
  <c r="M2027" i="52" s="1"/>
  <c r="N2027" i="52" s="1"/>
  <c r="I2027" i="52"/>
  <c r="K2026" i="52"/>
  <c r="L2026" i="52" s="1"/>
  <c r="M2026" i="52" s="1"/>
  <c r="N2026" i="52" s="1"/>
  <c r="I2026" i="52"/>
  <c r="K2025" i="52"/>
  <c r="L2025" i="52" s="1"/>
  <c r="M2025" i="52" s="1"/>
  <c r="N2025" i="52" s="1"/>
  <c r="I2025" i="52"/>
  <c r="I2024" i="52"/>
  <c r="I2023" i="52"/>
  <c r="I2022" i="52"/>
  <c r="K2020" i="52"/>
  <c r="L2020" i="52" s="1"/>
  <c r="M2020" i="52" s="1"/>
  <c r="N2020" i="52" s="1"/>
  <c r="I2020" i="52"/>
  <c r="M2019" i="52"/>
  <c r="N2019" i="52" s="1"/>
  <c r="K2019" i="52"/>
  <c r="L2019" i="52" s="1"/>
  <c r="I2019" i="52"/>
  <c r="K2018" i="52"/>
  <c r="L2018" i="52" s="1"/>
  <c r="M2018" i="52" s="1"/>
  <c r="N2018" i="52" s="1"/>
  <c r="I2018" i="52"/>
  <c r="L2017" i="52"/>
  <c r="M2017" i="52" s="1"/>
  <c r="N2017" i="52" s="1"/>
  <c r="K2017" i="52"/>
  <c r="I2017" i="52"/>
  <c r="M2016" i="52"/>
  <c r="N2016" i="52" s="1"/>
  <c r="L2016" i="52"/>
  <c r="K2016" i="52"/>
  <c r="I2016" i="52"/>
  <c r="K2015" i="52"/>
  <c r="L2015" i="52" s="1"/>
  <c r="M2015" i="52" s="1"/>
  <c r="N2015" i="52" s="1"/>
  <c r="I2015" i="52"/>
  <c r="K2014" i="52"/>
  <c r="L2014" i="52" s="1"/>
  <c r="M2014" i="52" s="1"/>
  <c r="N2014" i="52" s="1"/>
  <c r="I2014" i="52"/>
  <c r="K2013" i="52"/>
  <c r="L2013" i="52" s="1"/>
  <c r="M2013" i="52" s="1"/>
  <c r="N2013" i="52" s="1"/>
  <c r="I2013" i="52"/>
  <c r="K2012" i="52"/>
  <c r="L2012" i="52" s="1"/>
  <c r="M2012" i="52" s="1"/>
  <c r="N2012" i="52" s="1"/>
  <c r="I2012" i="52"/>
  <c r="K2011" i="52"/>
  <c r="L2011" i="52" s="1"/>
  <c r="M2011" i="52" s="1"/>
  <c r="N2011" i="52" s="1"/>
  <c r="I2011" i="52"/>
  <c r="K2010" i="52"/>
  <c r="L2010" i="52" s="1"/>
  <c r="M2010" i="52" s="1"/>
  <c r="N2010" i="52" s="1"/>
  <c r="I2010" i="52"/>
  <c r="I2009" i="52"/>
  <c r="I2008" i="52"/>
  <c r="K2006" i="52"/>
  <c r="L2006" i="52" s="1"/>
  <c r="M2006" i="52" s="1"/>
  <c r="N2006" i="52" s="1"/>
  <c r="I2006" i="52"/>
  <c r="K2005" i="52"/>
  <c r="L2005" i="52" s="1"/>
  <c r="M2005" i="52" s="1"/>
  <c r="N2005" i="52" s="1"/>
  <c r="I2005" i="52"/>
  <c r="I2003" i="52"/>
  <c r="L2001" i="52"/>
  <c r="M2001" i="52" s="1"/>
  <c r="N2001" i="52" s="1"/>
  <c r="K2001" i="52"/>
  <c r="I2001" i="52"/>
  <c r="K2000" i="52"/>
  <c r="L2000" i="52" s="1"/>
  <c r="M2000" i="52" s="1"/>
  <c r="N2000" i="52" s="1"/>
  <c r="I2000" i="52"/>
  <c r="L1997" i="52"/>
  <c r="M1997" i="52" s="1"/>
  <c r="N1997" i="52" s="1"/>
  <c r="K1997" i="52"/>
  <c r="I1997" i="52"/>
  <c r="L1996" i="52"/>
  <c r="M1996" i="52" s="1"/>
  <c r="N1996" i="52" s="1"/>
  <c r="K1996" i="52"/>
  <c r="I1996" i="52"/>
  <c r="K1995" i="52"/>
  <c r="L1995" i="52" s="1"/>
  <c r="M1995" i="52" s="1"/>
  <c r="N1995" i="52" s="1"/>
  <c r="I1995" i="52"/>
  <c r="K1994" i="52"/>
  <c r="L1994" i="52" s="1"/>
  <c r="M1994" i="52" s="1"/>
  <c r="N1994" i="52" s="1"/>
  <c r="I1994" i="52"/>
  <c r="K1993" i="52"/>
  <c r="L1993" i="52" s="1"/>
  <c r="M1993" i="52" s="1"/>
  <c r="N1993" i="52" s="1"/>
  <c r="I1993" i="52"/>
  <c r="K1992" i="52"/>
  <c r="L1992" i="52" s="1"/>
  <c r="M1992" i="52" s="1"/>
  <c r="N1992" i="52" s="1"/>
  <c r="I1992" i="52"/>
  <c r="L1991" i="52"/>
  <c r="M1991" i="52" s="1"/>
  <c r="N1991" i="52" s="1"/>
  <c r="K1991" i="52"/>
  <c r="I1991" i="52"/>
  <c r="I1989" i="52"/>
  <c r="I1988" i="52"/>
  <c r="K1986" i="52"/>
  <c r="L1986" i="52" s="1"/>
  <c r="M1986" i="52" s="1"/>
  <c r="N1986" i="52" s="1"/>
  <c r="I1986" i="52"/>
  <c r="L1985" i="52"/>
  <c r="M1985" i="52" s="1"/>
  <c r="N1985" i="52" s="1"/>
  <c r="K1985" i="52"/>
  <c r="I1985" i="52"/>
  <c r="I1983" i="52"/>
  <c r="I1982" i="52"/>
  <c r="M1980" i="52"/>
  <c r="N1980" i="52" s="1"/>
  <c r="K1980" i="52"/>
  <c r="L1980" i="52" s="1"/>
  <c r="I1980" i="52"/>
  <c r="N1979" i="52"/>
  <c r="L1979" i="52"/>
  <c r="M1979" i="52" s="1"/>
  <c r="K1979" i="52"/>
  <c r="I1979" i="52"/>
  <c r="I1977" i="52"/>
  <c r="I1976" i="52"/>
  <c r="K1974" i="52"/>
  <c r="L1974" i="52" s="1"/>
  <c r="M1974" i="52" s="1"/>
  <c r="N1974" i="52" s="1"/>
  <c r="I1974" i="52"/>
  <c r="K1973" i="52"/>
  <c r="L1973" i="52" s="1"/>
  <c r="M1973" i="52" s="1"/>
  <c r="N1973" i="52" s="1"/>
  <c r="I1973" i="52"/>
  <c r="I1972" i="52"/>
  <c r="I1971" i="52"/>
  <c r="K1969" i="52"/>
  <c r="L1969" i="52" s="1"/>
  <c r="M1969" i="52" s="1"/>
  <c r="N1969" i="52" s="1"/>
  <c r="I1969" i="52"/>
  <c r="L1968" i="52"/>
  <c r="M1968" i="52" s="1"/>
  <c r="N1968" i="52" s="1"/>
  <c r="K1968" i="52"/>
  <c r="I1968" i="52"/>
  <c r="K1967" i="52"/>
  <c r="L1967" i="52" s="1"/>
  <c r="M1967" i="52" s="1"/>
  <c r="N1967" i="52" s="1"/>
  <c r="I1967" i="52"/>
  <c r="L1966" i="52"/>
  <c r="M1966" i="52" s="1"/>
  <c r="N1966" i="52" s="1"/>
  <c r="K1966" i="52"/>
  <c r="I1966" i="52"/>
  <c r="K1965" i="52"/>
  <c r="L1965" i="52" s="1"/>
  <c r="M1965" i="52" s="1"/>
  <c r="N1965" i="52" s="1"/>
  <c r="I1965" i="52"/>
  <c r="K1964" i="52"/>
  <c r="L1964" i="52" s="1"/>
  <c r="M1964" i="52" s="1"/>
  <c r="N1964" i="52" s="1"/>
  <c r="I1964" i="52"/>
  <c r="K1963" i="52"/>
  <c r="L1963" i="52" s="1"/>
  <c r="M1963" i="52" s="1"/>
  <c r="N1963" i="52" s="1"/>
  <c r="I1963" i="52"/>
  <c r="K1962" i="52"/>
  <c r="L1962" i="52" s="1"/>
  <c r="M1962" i="52" s="1"/>
  <c r="N1962" i="52" s="1"/>
  <c r="I1962" i="52"/>
  <c r="M1961" i="52"/>
  <c r="N1961" i="52" s="1"/>
  <c r="K1961" i="52"/>
  <c r="L1961" i="52" s="1"/>
  <c r="I1961" i="52"/>
  <c r="N1960" i="52"/>
  <c r="L1960" i="52"/>
  <c r="M1960" i="52" s="1"/>
  <c r="K1960" i="52"/>
  <c r="I1960" i="52"/>
  <c r="I1958" i="52"/>
  <c r="I1957" i="52"/>
  <c r="I1955" i="52"/>
  <c r="L1954" i="52"/>
  <c r="M1954" i="52" s="1"/>
  <c r="N1954" i="52" s="1"/>
  <c r="K1954" i="52"/>
  <c r="I1954" i="52"/>
  <c r="K1953" i="52"/>
  <c r="L1953" i="52" s="1"/>
  <c r="M1953" i="52" s="1"/>
  <c r="N1953" i="52" s="1"/>
  <c r="I1953" i="52"/>
  <c r="L1952" i="52"/>
  <c r="M1952" i="52" s="1"/>
  <c r="N1952" i="52" s="1"/>
  <c r="K1952" i="52"/>
  <c r="I1952" i="52"/>
  <c r="L1951" i="52"/>
  <c r="M1951" i="52" s="1"/>
  <c r="N1951" i="52" s="1"/>
  <c r="K1951" i="52"/>
  <c r="I1951" i="52"/>
  <c r="K1950" i="52"/>
  <c r="L1950" i="52" s="1"/>
  <c r="M1950" i="52" s="1"/>
  <c r="N1950" i="52" s="1"/>
  <c r="I1950" i="52"/>
  <c r="K1949" i="52"/>
  <c r="L1949" i="52" s="1"/>
  <c r="M1949" i="52" s="1"/>
  <c r="N1949" i="52" s="1"/>
  <c r="I1949" i="52"/>
  <c r="K1948" i="52"/>
  <c r="L1948" i="52" s="1"/>
  <c r="M1948" i="52" s="1"/>
  <c r="N1948" i="52" s="1"/>
  <c r="I1948" i="52"/>
  <c r="K1947" i="52"/>
  <c r="L1947" i="52" s="1"/>
  <c r="M1947" i="52" s="1"/>
  <c r="N1947" i="52" s="1"/>
  <c r="I1947" i="52"/>
  <c r="L1946" i="52"/>
  <c r="M1946" i="52" s="1"/>
  <c r="N1946" i="52" s="1"/>
  <c r="K1946" i="52"/>
  <c r="I1946" i="52"/>
  <c r="K1943" i="52"/>
  <c r="L1943" i="52" s="1"/>
  <c r="M1943" i="52" s="1"/>
  <c r="N1943" i="52" s="1"/>
  <c r="K1942" i="52"/>
  <c r="L1942" i="52" s="1"/>
  <c r="M1942" i="52" s="1"/>
  <c r="N1942" i="52" s="1"/>
  <c r="K1941" i="52"/>
  <c r="K1940" i="52"/>
  <c r="K1939" i="52"/>
  <c r="L1939" i="52" s="1"/>
  <c r="M1939" i="52" s="1"/>
  <c r="N1939" i="52" s="1"/>
  <c r="L1938" i="52"/>
  <c r="M1938" i="52" s="1"/>
  <c r="N1938" i="52" s="1"/>
  <c r="K1938" i="52"/>
  <c r="F1938" i="52"/>
  <c r="I1938" i="52" s="1"/>
  <c r="K1937" i="52"/>
  <c r="L1937" i="52" s="1"/>
  <c r="M1937" i="52" s="1"/>
  <c r="N1937" i="52" s="1"/>
  <c r="K1936" i="52"/>
  <c r="K1935" i="52"/>
  <c r="K1934" i="52"/>
  <c r="L1934" i="52" s="1"/>
  <c r="M1934" i="52" s="1"/>
  <c r="N1934" i="52" s="1"/>
  <c r="K1933" i="52"/>
  <c r="L1933" i="52" s="1"/>
  <c r="M1933" i="52" s="1"/>
  <c r="N1933" i="52" s="1"/>
  <c r="F1933" i="52"/>
  <c r="I1933" i="52" s="1"/>
  <c r="K1932" i="52"/>
  <c r="L1932" i="52" s="1"/>
  <c r="M1932" i="52" s="1"/>
  <c r="N1932" i="52" s="1"/>
  <c r="L1931" i="52"/>
  <c r="M1931" i="52" s="1"/>
  <c r="N1931" i="52" s="1"/>
  <c r="K1931" i="52"/>
  <c r="K1930" i="52"/>
  <c r="K1929" i="52"/>
  <c r="I1929" i="52"/>
  <c r="F1929" i="52"/>
  <c r="F1932" i="52" s="1"/>
  <c r="I1932" i="52" s="1"/>
  <c r="K1928" i="52"/>
  <c r="L1928" i="52" s="1"/>
  <c r="M1928" i="52" s="1"/>
  <c r="N1928" i="52" s="1"/>
  <c r="F1928" i="52"/>
  <c r="I1928" i="52" s="1"/>
  <c r="K1927" i="52"/>
  <c r="L1927" i="52" s="1"/>
  <c r="M1927" i="52" s="1"/>
  <c r="N1927" i="52" s="1"/>
  <c r="F1927" i="52"/>
  <c r="I1927" i="52" s="1"/>
  <c r="K1926" i="52"/>
  <c r="L1926" i="52" s="1"/>
  <c r="M1926" i="52" s="1"/>
  <c r="N1926" i="52" s="1"/>
  <c r="F1926" i="52"/>
  <c r="K1925" i="52"/>
  <c r="L1925" i="52" s="1"/>
  <c r="M1925" i="52" s="1"/>
  <c r="N1925" i="52" s="1"/>
  <c r="K1924" i="52"/>
  <c r="L1924" i="52" s="1"/>
  <c r="M1924" i="52" s="1"/>
  <c r="N1924" i="52" s="1"/>
  <c r="K1922" i="52"/>
  <c r="K1921" i="52"/>
  <c r="K1920" i="52"/>
  <c r="L1920" i="52" s="1"/>
  <c r="M1920" i="52" s="1"/>
  <c r="N1920" i="52" s="1"/>
  <c r="I1920" i="52"/>
  <c r="L1919" i="52"/>
  <c r="M1919" i="52" s="1"/>
  <c r="N1919" i="52" s="1"/>
  <c r="K1919" i="52"/>
  <c r="I1919" i="52"/>
  <c r="K1918" i="52"/>
  <c r="L1918" i="52" s="1"/>
  <c r="M1918" i="52" s="1"/>
  <c r="N1918" i="52" s="1"/>
  <c r="I1918" i="52"/>
  <c r="K1917" i="52"/>
  <c r="L1917" i="52" s="1"/>
  <c r="M1917" i="52" s="1"/>
  <c r="N1917" i="52" s="1"/>
  <c r="I1917" i="52"/>
  <c r="M1916" i="52"/>
  <c r="N1916" i="52" s="1"/>
  <c r="K1916" i="52"/>
  <c r="L1916" i="52" s="1"/>
  <c r="I1916" i="52"/>
  <c r="L1915" i="52"/>
  <c r="M1915" i="52" s="1"/>
  <c r="N1915" i="52" s="1"/>
  <c r="K1915" i="52"/>
  <c r="I1915" i="52"/>
  <c r="K1914" i="52"/>
  <c r="L1914" i="52" s="1"/>
  <c r="M1914" i="52" s="1"/>
  <c r="N1914" i="52" s="1"/>
  <c r="I1914" i="52"/>
  <c r="L1913" i="52"/>
  <c r="M1913" i="52" s="1"/>
  <c r="N1913" i="52" s="1"/>
  <c r="K1913" i="52"/>
  <c r="I1913" i="52"/>
  <c r="K1912" i="52"/>
  <c r="L1912" i="52" s="1"/>
  <c r="M1912" i="52" s="1"/>
  <c r="N1912" i="52" s="1"/>
  <c r="I1912" i="52"/>
  <c r="L1911" i="52"/>
  <c r="M1911" i="52" s="1"/>
  <c r="N1911" i="52" s="1"/>
  <c r="K1911" i="52"/>
  <c r="I1911" i="52"/>
  <c r="K1910" i="52"/>
  <c r="L1910" i="52" s="1"/>
  <c r="M1910" i="52" s="1"/>
  <c r="N1910" i="52" s="1"/>
  <c r="I1910" i="52"/>
  <c r="K1909" i="52"/>
  <c r="L1909" i="52" s="1"/>
  <c r="M1909" i="52" s="1"/>
  <c r="N1909" i="52" s="1"/>
  <c r="I1909" i="52"/>
  <c r="M1908" i="52"/>
  <c r="N1908" i="52" s="1"/>
  <c r="K1908" i="52"/>
  <c r="L1908" i="52" s="1"/>
  <c r="I1908" i="52"/>
  <c r="L1907" i="52"/>
  <c r="M1907" i="52" s="1"/>
  <c r="N1907" i="52" s="1"/>
  <c r="K1907" i="52"/>
  <c r="I1907" i="52"/>
  <c r="K1906" i="52"/>
  <c r="L1906" i="52" s="1"/>
  <c r="M1906" i="52" s="1"/>
  <c r="N1906" i="52" s="1"/>
  <c r="I1906" i="52"/>
  <c r="L1905" i="52"/>
  <c r="M1905" i="52" s="1"/>
  <c r="N1905" i="52" s="1"/>
  <c r="K1905" i="52"/>
  <c r="I1905" i="52"/>
  <c r="K1904" i="52"/>
  <c r="L1904" i="52" s="1"/>
  <c r="M1904" i="52" s="1"/>
  <c r="N1904" i="52" s="1"/>
  <c r="I1904" i="52"/>
  <c r="L1903" i="52"/>
  <c r="M1903" i="52" s="1"/>
  <c r="N1903" i="52" s="1"/>
  <c r="K1903" i="52"/>
  <c r="I1903" i="52"/>
  <c r="K1902" i="52"/>
  <c r="L1902" i="52" s="1"/>
  <c r="M1902" i="52" s="1"/>
  <c r="N1902" i="52" s="1"/>
  <c r="K1900" i="52"/>
  <c r="K1899" i="52"/>
  <c r="K1898" i="52"/>
  <c r="L1898" i="52" s="1"/>
  <c r="M1898" i="52" s="1"/>
  <c r="N1898" i="52" s="1"/>
  <c r="I1898" i="52"/>
  <c r="K1897" i="52"/>
  <c r="L1897" i="52" s="1"/>
  <c r="M1897" i="52" s="1"/>
  <c r="N1897" i="52" s="1"/>
  <c r="I1897" i="52"/>
  <c r="K1896" i="52"/>
  <c r="L1896" i="52" s="1"/>
  <c r="M1896" i="52" s="1"/>
  <c r="N1896" i="52" s="1"/>
  <c r="I1896" i="52"/>
  <c r="K1895" i="52"/>
  <c r="L1895" i="52" s="1"/>
  <c r="M1895" i="52" s="1"/>
  <c r="N1895" i="52" s="1"/>
  <c r="I1895" i="52"/>
  <c r="M1894" i="52"/>
  <c r="N1894" i="52" s="1"/>
  <c r="K1894" i="52"/>
  <c r="L1894" i="52" s="1"/>
  <c r="K1893" i="52"/>
  <c r="L1893" i="52" s="1"/>
  <c r="M1893" i="52" s="1"/>
  <c r="N1893" i="52" s="1"/>
  <c r="I1893" i="52"/>
  <c r="L1892" i="52"/>
  <c r="M1892" i="52" s="1"/>
  <c r="N1892" i="52" s="1"/>
  <c r="K1892" i="52"/>
  <c r="I1892" i="52"/>
  <c r="K1891" i="52"/>
  <c r="L1891" i="52" s="1"/>
  <c r="M1891" i="52" s="1"/>
  <c r="N1891" i="52" s="1"/>
  <c r="I1891" i="52"/>
  <c r="L1890" i="52"/>
  <c r="M1890" i="52" s="1"/>
  <c r="N1890" i="52" s="1"/>
  <c r="K1890" i="52"/>
  <c r="I1890" i="52"/>
  <c r="K1889" i="52"/>
  <c r="L1889" i="52" s="1"/>
  <c r="M1889" i="52" s="1"/>
  <c r="N1889" i="52" s="1"/>
  <c r="I1889" i="52"/>
  <c r="K1888" i="52"/>
  <c r="L1888" i="52" s="1"/>
  <c r="M1888" i="52" s="1"/>
  <c r="N1888" i="52" s="1"/>
  <c r="I1888" i="52"/>
  <c r="M1887" i="52"/>
  <c r="N1887" i="52" s="1"/>
  <c r="K1887" i="52"/>
  <c r="L1887" i="52" s="1"/>
  <c r="I1887" i="52"/>
  <c r="K1886" i="52"/>
  <c r="L1886" i="52" s="1"/>
  <c r="M1886" i="52" s="1"/>
  <c r="N1886" i="52" s="1"/>
  <c r="I1886" i="52"/>
  <c r="K1885" i="52"/>
  <c r="L1885" i="52" s="1"/>
  <c r="M1885" i="52" s="1"/>
  <c r="N1885" i="52" s="1"/>
  <c r="K1883" i="52"/>
  <c r="K1882" i="52"/>
  <c r="K1881" i="52"/>
  <c r="L1881" i="52" s="1"/>
  <c r="M1881" i="52" s="1"/>
  <c r="N1881" i="52" s="1"/>
  <c r="I1881" i="52"/>
  <c r="L1880" i="52"/>
  <c r="M1880" i="52" s="1"/>
  <c r="N1880" i="52" s="1"/>
  <c r="K1880" i="52"/>
  <c r="I1880" i="52"/>
  <c r="K1879" i="52"/>
  <c r="L1879" i="52" s="1"/>
  <c r="M1879" i="52" s="1"/>
  <c r="N1879" i="52" s="1"/>
  <c r="I1879" i="52"/>
  <c r="L1878" i="52"/>
  <c r="M1878" i="52" s="1"/>
  <c r="N1878" i="52" s="1"/>
  <c r="K1878" i="52"/>
  <c r="I1878" i="52"/>
  <c r="K1877" i="52"/>
  <c r="L1877" i="52" s="1"/>
  <c r="M1877" i="52" s="1"/>
  <c r="N1877" i="52" s="1"/>
  <c r="M1876" i="52"/>
  <c r="N1876" i="52" s="1"/>
  <c r="K1876" i="52"/>
  <c r="L1876" i="52" s="1"/>
  <c r="I1876" i="52"/>
  <c r="L1875" i="52"/>
  <c r="M1875" i="52" s="1"/>
  <c r="N1875" i="52" s="1"/>
  <c r="K1875" i="52"/>
  <c r="I1875" i="52"/>
  <c r="M1874" i="52"/>
  <c r="N1874" i="52" s="1"/>
  <c r="K1874" i="52"/>
  <c r="L1874" i="52" s="1"/>
  <c r="I1874" i="52"/>
  <c r="L1873" i="52"/>
  <c r="M1873" i="52" s="1"/>
  <c r="N1873" i="52" s="1"/>
  <c r="K1873" i="52"/>
  <c r="I1873" i="52"/>
  <c r="K1872" i="52"/>
  <c r="L1872" i="52" s="1"/>
  <c r="M1872" i="52" s="1"/>
  <c r="N1872" i="52" s="1"/>
  <c r="I1872" i="52"/>
  <c r="L1871" i="52"/>
  <c r="M1871" i="52" s="1"/>
  <c r="N1871" i="52" s="1"/>
  <c r="K1871" i="52"/>
  <c r="I1871" i="52"/>
  <c r="K1870" i="52"/>
  <c r="L1870" i="52" s="1"/>
  <c r="M1870" i="52" s="1"/>
  <c r="N1870" i="52" s="1"/>
  <c r="K1868" i="52"/>
  <c r="K1867" i="52"/>
  <c r="M1866" i="52"/>
  <c r="N1866" i="52" s="1"/>
  <c r="K1866" i="52"/>
  <c r="L1866" i="52" s="1"/>
  <c r="I1866" i="52"/>
  <c r="J1867" i="52" s="1"/>
  <c r="J1868" i="52" s="1"/>
  <c r="J1869" i="52" s="1"/>
  <c r="L1869" i="52" s="1"/>
  <c r="M1869" i="52" s="1"/>
  <c r="N1869" i="52" s="1"/>
  <c r="K1865" i="52"/>
  <c r="L1865" i="52" s="1"/>
  <c r="M1865" i="52" s="1"/>
  <c r="N1865" i="52" s="1"/>
  <c r="L1864" i="52"/>
  <c r="M1864" i="52" s="1"/>
  <c r="N1864" i="52" s="1"/>
  <c r="K1864" i="52"/>
  <c r="K1857" i="52"/>
  <c r="L1857" i="52" s="1"/>
  <c r="M1857" i="52" s="1"/>
  <c r="N1857" i="52" s="1"/>
  <c r="F1857" i="52"/>
  <c r="I1857" i="52" s="1"/>
  <c r="F1856" i="52"/>
  <c r="I1856" i="52" s="1"/>
  <c r="J1857" i="52" s="1"/>
  <c r="J1858" i="52" s="1"/>
  <c r="L1858" i="52" s="1"/>
  <c r="M1858" i="52" s="1"/>
  <c r="N1858" i="52" s="1"/>
  <c r="I1855" i="52"/>
  <c r="K1852" i="52"/>
  <c r="L1852" i="52" s="1"/>
  <c r="M1852" i="52" s="1"/>
  <c r="N1852" i="52" s="1"/>
  <c r="L1850" i="52"/>
  <c r="M1850" i="52" s="1"/>
  <c r="N1850" i="52" s="1"/>
  <c r="K1850" i="52"/>
  <c r="J1850" i="52"/>
  <c r="J1851" i="52" s="1"/>
  <c r="L1851" i="52" s="1"/>
  <c r="M1851" i="52" s="1"/>
  <c r="N1851" i="52" s="1"/>
  <c r="K1849" i="52"/>
  <c r="L1849" i="52" s="1"/>
  <c r="M1849" i="52" s="1"/>
  <c r="N1849" i="52" s="1"/>
  <c r="M1848" i="52"/>
  <c r="N1848" i="52" s="1"/>
  <c r="K1848" i="52"/>
  <c r="L1848" i="52" s="1"/>
  <c r="K1847" i="52"/>
  <c r="L1847" i="52" s="1"/>
  <c r="M1847" i="52" s="1"/>
  <c r="N1847" i="52" s="1"/>
  <c r="M1846" i="52"/>
  <c r="N1846" i="52" s="1"/>
  <c r="J1846" i="52"/>
  <c r="L1846" i="52" s="1"/>
  <c r="K1845" i="52"/>
  <c r="J1845" i="52"/>
  <c r="K1844" i="52"/>
  <c r="L1844" i="52" s="1"/>
  <c r="M1844" i="52" s="1"/>
  <c r="N1844" i="52" s="1"/>
  <c r="L1843" i="52"/>
  <c r="M1843" i="52" s="1"/>
  <c r="N1843" i="52" s="1"/>
  <c r="K1843" i="52"/>
  <c r="K1842" i="52"/>
  <c r="L1842" i="52" s="1"/>
  <c r="M1842" i="52" s="1"/>
  <c r="N1842" i="52" s="1"/>
  <c r="K1840" i="52"/>
  <c r="K1839" i="52"/>
  <c r="L1839" i="52" s="1"/>
  <c r="M1839" i="52" s="1"/>
  <c r="N1839" i="52" s="1"/>
  <c r="F1839" i="52"/>
  <c r="I1839" i="52" s="1"/>
  <c r="M1838" i="52"/>
  <c r="N1838" i="52" s="1"/>
  <c r="K1838" i="52"/>
  <c r="L1838" i="52" s="1"/>
  <c r="F1838" i="52"/>
  <c r="I1838" i="52" s="1"/>
  <c r="K1837" i="52"/>
  <c r="L1837" i="52" s="1"/>
  <c r="M1837" i="52" s="1"/>
  <c r="N1837" i="52" s="1"/>
  <c r="I1837" i="52"/>
  <c r="J1840" i="52" s="1"/>
  <c r="K1836" i="52"/>
  <c r="L1836" i="52" s="1"/>
  <c r="M1836" i="52" s="1"/>
  <c r="N1836" i="52" s="1"/>
  <c r="K1834" i="52"/>
  <c r="K1833" i="52"/>
  <c r="L1833" i="52" s="1"/>
  <c r="M1833" i="52" s="1"/>
  <c r="N1833" i="52" s="1"/>
  <c r="F1833" i="52"/>
  <c r="I1833" i="52" s="1"/>
  <c r="K1832" i="52"/>
  <c r="L1832" i="52" s="1"/>
  <c r="M1832" i="52" s="1"/>
  <c r="N1832" i="52" s="1"/>
  <c r="F1832" i="52"/>
  <c r="I1832" i="52" s="1"/>
  <c r="M1831" i="52"/>
  <c r="N1831" i="52" s="1"/>
  <c r="K1831" i="52"/>
  <c r="L1831" i="52" s="1"/>
  <c r="I1831" i="52"/>
  <c r="N1830" i="52"/>
  <c r="L1830" i="52"/>
  <c r="M1830" i="52" s="1"/>
  <c r="K1830" i="52"/>
  <c r="L1829" i="52"/>
  <c r="M1829" i="52" s="1"/>
  <c r="N1829" i="52" s="1"/>
  <c r="K1829" i="52"/>
  <c r="K1827" i="52"/>
  <c r="K1826" i="52"/>
  <c r="L1826" i="52" s="1"/>
  <c r="M1826" i="52" s="1"/>
  <c r="N1826" i="52" s="1"/>
  <c r="F1826" i="52"/>
  <c r="I1826" i="52" s="1"/>
  <c r="K1825" i="52"/>
  <c r="L1825" i="52" s="1"/>
  <c r="M1825" i="52" s="1"/>
  <c r="N1825" i="52" s="1"/>
  <c r="F1825" i="52"/>
  <c r="I1825" i="52" s="1"/>
  <c r="K1824" i="52"/>
  <c r="L1824" i="52" s="1"/>
  <c r="M1824" i="52" s="1"/>
  <c r="N1824" i="52" s="1"/>
  <c r="I1824" i="52"/>
  <c r="K1823" i="52"/>
  <c r="L1823" i="52" s="1"/>
  <c r="M1823" i="52" s="1"/>
  <c r="N1823" i="52" s="1"/>
  <c r="I1823" i="52"/>
  <c r="F1823" i="52"/>
  <c r="K1822" i="52"/>
  <c r="L1822" i="52" s="1"/>
  <c r="M1822" i="52" s="1"/>
  <c r="N1822" i="52" s="1"/>
  <c r="F1822" i="52"/>
  <c r="I1822" i="52" s="1"/>
  <c r="K1821" i="52"/>
  <c r="L1821" i="52" s="1"/>
  <c r="M1821" i="52" s="1"/>
  <c r="N1821" i="52" s="1"/>
  <c r="I1821" i="52"/>
  <c r="K1820" i="52"/>
  <c r="L1820" i="52" s="1"/>
  <c r="M1820" i="52" s="1"/>
  <c r="N1820" i="52" s="1"/>
  <c r="F1820" i="52"/>
  <c r="I1820" i="52" s="1"/>
  <c r="K1819" i="52"/>
  <c r="L1819" i="52" s="1"/>
  <c r="M1819" i="52" s="1"/>
  <c r="N1819" i="52" s="1"/>
  <c r="F1819" i="52"/>
  <c r="I1819" i="52" s="1"/>
  <c r="M1818" i="52"/>
  <c r="N1818" i="52" s="1"/>
  <c r="K1818" i="52"/>
  <c r="L1818" i="52" s="1"/>
  <c r="I1818" i="52"/>
  <c r="N1817" i="52"/>
  <c r="L1817" i="52"/>
  <c r="M1817" i="52" s="1"/>
  <c r="K1817" i="52"/>
  <c r="I1817" i="52"/>
  <c r="F1817" i="52"/>
  <c r="K1816" i="52"/>
  <c r="L1816" i="52" s="1"/>
  <c r="M1816" i="52" s="1"/>
  <c r="N1816" i="52" s="1"/>
  <c r="I1816" i="52"/>
  <c r="F1816" i="52"/>
  <c r="K1815" i="52"/>
  <c r="L1815" i="52" s="1"/>
  <c r="M1815" i="52" s="1"/>
  <c r="N1815" i="52" s="1"/>
  <c r="I1815" i="52"/>
  <c r="K1814" i="52"/>
  <c r="L1814" i="52" s="1"/>
  <c r="M1814" i="52" s="1"/>
  <c r="N1814" i="52" s="1"/>
  <c r="F1814" i="52"/>
  <c r="I1814" i="52" s="1"/>
  <c r="K1813" i="52"/>
  <c r="L1813" i="52" s="1"/>
  <c r="M1813" i="52" s="1"/>
  <c r="N1813" i="52" s="1"/>
  <c r="F1813" i="52"/>
  <c r="I1813" i="52" s="1"/>
  <c r="K1812" i="52"/>
  <c r="L1812" i="52" s="1"/>
  <c r="M1812" i="52" s="1"/>
  <c r="N1812" i="52" s="1"/>
  <c r="I1812" i="52"/>
  <c r="L1811" i="52"/>
  <c r="M1811" i="52" s="1"/>
  <c r="N1811" i="52" s="1"/>
  <c r="K1811" i="52"/>
  <c r="F1811" i="52"/>
  <c r="I1811" i="52" s="1"/>
  <c r="K1810" i="52"/>
  <c r="L1810" i="52" s="1"/>
  <c r="M1810" i="52" s="1"/>
  <c r="N1810" i="52" s="1"/>
  <c r="F1810" i="52"/>
  <c r="I1810" i="52" s="1"/>
  <c r="K1809" i="52"/>
  <c r="L1809" i="52" s="1"/>
  <c r="M1809" i="52" s="1"/>
  <c r="N1809" i="52" s="1"/>
  <c r="I1809" i="52"/>
  <c r="K1808" i="52"/>
  <c r="L1808" i="52" s="1"/>
  <c r="M1808" i="52" s="1"/>
  <c r="N1808" i="52" s="1"/>
  <c r="K1807" i="52"/>
  <c r="L1807" i="52" s="1"/>
  <c r="M1807" i="52" s="1"/>
  <c r="N1807" i="52" s="1"/>
  <c r="M1806" i="52"/>
  <c r="N1806" i="52" s="1"/>
  <c r="K1806" i="52"/>
  <c r="L1806" i="52" s="1"/>
  <c r="K1805" i="52"/>
  <c r="L1805" i="52" s="1"/>
  <c r="M1805" i="52" s="1"/>
  <c r="N1805" i="52" s="1"/>
  <c r="M1804" i="52"/>
  <c r="N1804" i="52" s="1"/>
  <c r="K1804" i="52"/>
  <c r="L1804" i="52" s="1"/>
  <c r="K1767" i="52"/>
  <c r="L1767" i="52" s="1"/>
  <c r="M1767" i="52" s="1"/>
  <c r="N1767" i="52" s="1"/>
  <c r="M1766" i="52"/>
  <c r="N1766" i="52" s="1"/>
  <c r="J1766" i="52"/>
  <c r="L1766" i="52" s="1"/>
  <c r="K1765" i="52"/>
  <c r="L1765" i="52" s="1"/>
  <c r="M1765" i="52" s="1"/>
  <c r="N1765" i="52" s="1"/>
  <c r="J1765" i="52"/>
  <c r="L1764" i="52"/>
  <c r="M1764" i="52" s="1"/>
  <c r="N1764" i="52" s="1"/>
  <c r="K1764" i="52"/>
  <c r="K1763" i="52"/>
  <c r="L1763" i="52" s="1"/>
  <c r="M1763" i="52" s="1"/>
  <c r="N1763" i="52" s="1"/>
  <c r="L1762" i="52"/>
  <c r="M1762" i="52" s="1"/>
  <c r="N1762" i="52" s="1"/>
  <c r="K1762" i="52"/>
  <c r="K1761" i="52"/>
  <c r="L1761" i="52" s="1"/>
  <c r="M1761" i="52" s="1"/>
  <c r="N1761" i="52" s="1"/>
  <c r="L1760" i="52"/>
  <c r="M1760" i="52" s="1"/>
  <c r="N1760" i="52" s="1"/>
  <c r="K1760" i="52"/>
  <c r="K1758" i="52"/>
  <c r="K1757" i="52"/>
  <c r="I1753" i="52"/>
  <c r="I1752" i="52"/>
  <c r="I1751" i="52"/>
  <c r="M1750" i="52"/>
  <c r="N1750" i="52" s="1"/>
  <c r="K1750" i="52"/>
  <c r="L1750" i="52" s="1"/>
  <c r="I1750" i="52"/>
  <c r="K1749" i="52"/>
  <c r="L1749" i="52" s="1"/>
  <c r="M1749" i="52" s="1"/>
  <c r="N1749" i="52" s="1"/>
  <c r="I1749" i="52"/>
  <c r="K1748" i="52"/>
  <c r="L1748" i="52" s="1"/>
  <c r="M1748" i="52" s="1"/>
  <c r="N1748" i="52" s="1"/>
  <c r="I1748" i="52"/>
  <c r="J1757" i="52" s="1"/>
  <c r="J1758" i="52" s="1"/>
  <c r="L1747" i="52"/>
  <c r="M1747" i="52" s="1"/>
  <c r="N1747" i="52" s="1"/>
  <c r="K1747" i="52"/>
  <c r="K1745" i="52"/>
  <c r="K1744" i="52"/>
  <c r="K1743" i="52"/>
  <c r="L1743" i="52" s="1"/>
  <c r="M1743" i="52" s="1"/>
  <c r="N1743" i="52" s="1"/>
  <c r="I1743" i="52"/>
  <c r="K1742" i="52"/>
  <c r="L1742" i="52" s="1"/>
  <c r="M1742" i="52" s="1"/>
  <c r="N1742" i="52" s="1"/>
  <c r="I1742" i="52"/>
  <c r="K1741" i="52"/>
  <c r="L1741" i="52" s="1"/>
  <c r="M1741" i="52" s="1"/>
  <c r="N1741" i="52" s="1"/>
  <c r="M1740" i="52"/>
  <c r="N1740" i="52" s="1"/>
  <c r="K1740" i="52"/>
  <c r="L1740" i="52" s="1"/>
  <c r="K1739" i="52"/>
  <c r="L1739" i="52" s="1"/>
  <c r="M1739" i="52" s="1"/>
  <c r="N1739" i="52" s="1"/>
  <c r="K1738" i="52"/>
  <c r="L1738" i="52" s="1"/>
  <c r="M1738" i="52" s="1"/>
  <c r="N1738" i="52" s="1"/>
  <c r="K1736" i="52"/>
  <c r="K1735" i="52"/>
  <c r="K1734" i="52"/>
  <c r="L1734" i="52" s="1"/>
  <c r="M1734" i="52" s="1"/>
  <c r="N1734" i="52" s="1"/>
  <c r="I1734" i="52"/>
  <c r="L1733" i="52"/>
  <c r="M1733" i="52" s="1"/>
  <c r="N1733" i="52" s="1"/>
  <c r="K1733" i="52"/>
  <c r="I1733" i="52"/>
  <c r="K1732" i="52"/>
  <c r="L1732" i="52" s="1"/>
  <c r="M1732" i="52" s="1"/>
  <c r="N1732" i="52" s="1"/>
  <c r="K1731" i="52"/>
  <c r="L1731" i="52" s="1"/>
  <c r="M1731" i="52" s="1"/>
  <c r="N1731" i="52" s="1"/>
  <c r="M1730" i="52"/>
  <c r="N1730" i="52" s="1"/>
  <c r="K1730" i="52"/>
  <c r="L1730" i="52" s="1"/>
  <c r="I1730" i="52"/>
  <c r="L1729" i="52"/>
  <c r="M1729" i="52" s="1"/>
  <c r="N1729" i="52" s="1"/>
  <c r="K1729" i="52"/>
  <c r="K1727" i="52"/>
  <c r="K1726" i="52"/>
  <c r="L1725" i="52"/>
  <c r="M1725" i="52" s="1"/>
  <c r="N1725" i="52" s="1"/>
  <c r="K1725" i="52"/>
  <c r="I1725" i="52"/>
  <c r="K1724" i="52"/>
  <c r="L1724" i="52" s="1"/>
  <c r="M1724" i="52" s="1"/>
  <c r="N1724" i="52" s="1"/>
  <c r="I1724" i="52"/>
  <c r="L1723" i="52"/>
  <c r="M1723" i="52" s="1"/>
  <c r="N1723" i="52" s="1"/>
  <c r="K1723" i="52"/>
  <c r="I1723" i="52"/>
  <c r="K1722" i="52"/>
  <c r="L1722" i="52" s="1"/>
  <c r="M1722" i="52" s="1"/>
  <c r="N1722" i="52" s="1"/>
  <c r="I1722" i="52"/>
  <c r="K1721" i="52"/>
  <c r="L1721" i="52" s="1"/>
  <c r="M1721" i="52" s="1"/>
  <c r="N1721" i="52" s="1"/>
  <c r="I1721" i="52"/>
  <c r="M1720" i="52"/>
  <c r="N1720" i="52" s="1"/>
  <c r="K1720" i="52"/>
  <c r="L1720" i="52" s="1"/>
  <c r="I1720" i="52"/>
  <c r="L1719" i="52"/>
  <c r="M1719" i="52" s="1"/>
  <c r="N1719" i="52" s="1"/>
  <c r="K1719" i="52"/>
  <c r="K1717" i="52"/>
  <c r="K1716" i="52"/>
  <c r="L1715" i="52"/>
  <c r="M1715" i="52" s="1"/>
  <c r="N1715" i="52" s="1"/>
  <c r="K1715" i="52"/>
  <c r="I1715" i="52"/>
  <c r="K1714" i="52"/>
  <c r="L1714" i="52" s="1"/>
  <c r="M1714" i="52" s="1"/>
  <c r="N1714" i="52" s="1"/>
  <c r="I1714" i="52"/>
  <c r="K1713" i="52"/>
  <c r="L1713" i="52" s="1"/>
  <c r="M1713" i="52" s="1"/>
  <c r="N1713" i="52" s="1"/>
  <c r="I1713" i="52"/>
  <c r="K1712" i="52"/>
  <c r="L1712" i="52" s="1"/>
  <c r="M1712" i="52" s="1"/>
  <c r="N1712" i="52" s="1"/>
  <c r="I1712" i="52"/>
  <c r="K1711" i="52"/>
  <c r="L1711" i="52" s="1"/>
  <c r="M1711" i="52" s="1"/>
  <c r="N1711" i="52" s="1"/>
  <c r="I1711" i="52"/>
  <c r="K1710" i="52"/>
  <c r="L1710" i="52" s="1"/>
  <c r="M1710" i="52" s="1"/>
  <c r="N1710" i="52" s="1"/>
  <c r="H1710" i="52"/>
  <c r="I1710" i="52" s="1"/>
  <c r="K1709" i="52"/>
  <c r="L1709" i="52" s="1"/>
  <c r="M1709" i="52" s="1"/>
  <c r="N1709" i="52" s="1"/>
  <c r="H1709" i="52"/>
  <c r="I1709" i="52" s="1"/>
  <c r="K1708" i="52"/>
  <c r="L1708" i="52" s="1"/>
  <c r="M1708" i="52" s="1"/>
  <c r="N1708" i="52" s="1"/>
  <c r="H1708" i="52"/>
  <c r="I1708" i="52" s="1"/>
  <c r="K1707" i="52"/>
  <c r="L1707" i="52" s="1"/>
  <c r="M1707" i="52" s="1"/>
  <c r="N1707" i="52" s="1"/>
  <c r="H1707" i="52"/>
  <c r="I1707" i="52" s="1"/>
  <c r="M1706" i="52"/>
  <c r="N1706" i="52" s="1"/>
  <c r="K1706" i="52"/>
  <c r="L1706" i="52" s="1"/>
  <c r="H1706" i="52"/>
  <c r="I1706" i="52" s="1"/>
  <c r="K1705" i="52"/>
  <c r="L1705" i="52" s="1"/>
  <c r="M1705" i="52" s="1"/>
  <c r="N1705" i="52" s="1"/>
  <c r="H1705" i="52"/>
  <c r="I1705" i="52" s="1"/>
  <c r="M1704" i="52"/>
  <c r="N1704" i="52" s="1"/>
  <c r="L1704" i="52"/>
  <c r="K1704" i="52"/>
  <c r="H1704" i="52"/>
  <c r="I1704" i="52" s="1"/>
  <c r="K1703" i="52"/>
  <c r="L1703" i="52" s="1"/>
  <c r="M1703" i="52" s="1"/>
  <c r="N1703" i="52" s="1"/>
  <c r="H1703" i="52"/>
  <c r="I1703" i="52" s="1"/>
  <c r="K1702" i="52"/>
  <c r="L1702" i="52" s="1"/>
  <c r="M1702" i="52" s="1"/>
  <c r="N1702" i="52" s="1"/>
  <c r="H1702" i="52"/>
  <c r="K1701" i="52"/>
  <c r="L1701" i="52" s="1"/>
  <c r="M1701" i="52" s="1"/>
  <c r="N1701" i="52" s="1"/>
  <c r="I1701" i="52"/>
  <c r="H1701" i="52"/>
  <c r="H1739" i="52" s="1"/>
  <c r="I1739" i="52" s="1"/>
  <c r="K1700" i="52"/>
  <c r="L1700" i="52" s="1"/>
  <c r="M1700" i="52" s="1"/>
  <c r="N1700" i="52" s="1"/>
  <c r="K1698" i="52"/>
  <c r="K1697" i="52"/>
  <c r="K1696" i="52"/>
  <c r="L1696" i="52" s="1"/>
  <c r="M1696" i="52" s="1"/>
  <c r="N1696" i="52" s="1"/>
  <c r="I1696" i="52"/>
  <c r="K1695" i="52"/>
  <c r="L1695" i="52" s="1"/>
  <c r="M1695" i="52" s="1"/>
  <c r="N1695" i="52" s="1"/>
  <c r="I1695" i="52"/>
  <c r="L1694" i="52"/>
  <c r="M1694" i="52" s="1"/>
  <c r="N1694" i="52" s="1"/>
  <c r="K1694" i="52"/>
  <c r="I1694" i="52"/>
  <c r="K1693" i="52"/>
  <c r="L1693" i="52" s="1"/>
  <c r="M1693" i="52" s="1"/>
  <c r="N1693" i="52" s="1"/>
  <c r="I1693" i="52"/>
  <c r="K1692" i="52"/>
  <c r="L1692" i="52" s="1"/>
  <c r="M1692" i="52" s="1"/>
  <c r="N1692" i="52" s="1"/>
  <c r="H1692" i="52"/>
  <c r="I1692" i="52" s="1"/>
  <c r="M1691" i="52"/>
  <c r="N1691" i="52" s="1"/>
  <c r="L1691" i="52"/>
  <c r="K1691" i="52"/>
  <c r="H1691" i="52"/>
  <c r="I1691" i="52" s="1"/>
  <c r="K1690" i="52"/>
  <c r="L1690" i="52" s="1"/>
  <c r="M1690" i="52" s="1"/>
  <c r="N1690" i="52" s="1"/>
  <c r="H1690" i="52"/>
  <c r="I1690" i="52" s="1"/>
  <c r="M1689" i="52"/>
  <c r="N1689" i="52" s="1"/>
  <c r="L1689" i="52"/>
  <c r="K1689" i="52"/>
  <c r="H1689" i="52"/>
  <c r="I1689" i="52" s="1"/>
  <c r="K1688" i="52"/>
  <c r="L1688" i="52" s="1"/>
  <c r="M1688" i="52" s="1"/>
  <c r="N1688" i="52" s="1"/>
  <c r="I1688" i="52"/>
  <c r="H1688" i="52"/>
  <c r="M1687" i="52"/>
  <c r="N1687" i="52" s="1"/>
  <c r="L1687" i="52"/>
  <c r="K1687" i="52"/>
  <c r="H1687" i="52"/>
  <c r="I1687" i="52" s="1"/>
  <c r="K1686" i="52"/>
  <c r="L1686" i="52" s="1"/>
  <c r="M1686" i="52" s="1"/>
  <c r="N1686" i="52" s="1"/>
  <c r="H1686" i="52"/>
  <c r="I1686" i="52" s="1"/>
  <c r="K1685" i="52"/>
  <c r="L1685" i="52" s="1"/>
  <c r="M1685" i="52" s="1"/>
  <c r="N1685" i="52" s="1"/>
  <c r="H1685" i="52"/>
  <c r="I1685" i="52" s="1"/>
  <c r="K1684" i="52"/>
  <c r="L1684" i="52" s="1"/>
  <c r="M1684" i="52" s="1"/>
  <c r="N1684" i="52" s="1"/>
  <c r="H1684" i="52"/>
  <c r="I1684" i="52" s="1"/>
  <c r="K1683" i="52"/>
  <c r="L1683" i="52" s="1"/>
  <c r="M1683" i="52" s="1"/>
  <c r="N1683" i="52" s="1"/>
  <c r="H1683" i="52"/>
  <c r="K1682" i="52"/>
  <c r="L1682" i="52" s="1"/>
  <c r="M1682" i="52" s="1"/>
  <c r="N1682" i="52" s="1"/>
  <c r="I1682" i="52"/>
  <c r="H1682" i="52"/>
  <c r="H1731" i="52" s="1"/>
  <c r="I1731" i="52" s="1"/>
  <c r="L1681" i="52"/>
  <c r="M1681" i="52" s="1"/>
  <c r="N1681" i="52" s="1"/>
  <c r="K1681" i="52"/>
  <c r="H1681" i="52"/>
  <c r="I1681" i="52" s="1"/>
  <c r="K1680" i="52"/>
  <c r="L1680" i="52" s="1"/>
  <c r="M1680" i="52" s="1"/>
  <c r="N1680" i="52" s="1"/>
  <c r="K1678" i="52"/>
  <c r="K1677" i="52"/>
  <c r="K1676" i="52"/>
  <c r="L1676" i="52" s="1"/>
  <c r="M1676" i="52" s="1"/>
  <c r="N1676" i="52" s="1"/>
  <c r="I1676" i="52"/>
  <c r="N1675" i="52"/>
  <c r="K1675" i="52"/>
  <c r="L1675" i="52" s="1"/>
  <c r="M1675" i="52" s="1"/>
  <c r="I1674" i="52"/>
  <c r="I1673" i="52"/>
  <c r="I1672" i="52"/>
  <c r="I1671" i="52"/>
  <c r="I1670" i="52"/>
  <c r="I1669" i="52"/>
  <c r="I1668" i="52"/>
  <c r="I1667" i="52"/>
  <c r="I1666" i="52"/>
  <c r="I1665" i="52"/>
  <c r="I1664" i="52"/>
  <c r="L1662" i="52"/>
  <c r="M1662" i="52" s="1"/>
  <c r="N1662" i="52" s="1"/>
  <c r="K1662" i="52"/>
  <c r="M1661" i="52"/>
  <c r="N1661" i="52" s="1"/>
  <c r="L1661" i="52"/>
  <c r="K1661" i="52"/>
  <c r="K1659" i="52"/>
  <c r="K1658" i="52"/>
  <c r="L1657" i="52"/>
  <c r="M1657" i="52" s="1"/>
  <c r="N1657" i="52" s="1"/>
  <c r="K1657" i="52"/>
  <c r="I1657" i="52"/>
  <c r="N1656" i="52"/>
  <c r="K1656" i="52"/>
  <c r="L1656" i="52" s="1"/>
  <c r="M1656" i="52" s="1"/>
  <c r="I1655" i="52"/>
  <c r="I1654" i="52"/>
  <c r="I1653" i="52"/>
  <c r="K1652" i="52"/>
  <c r="L1652" i="52" s="1"/>
  <c r="M1652" i="52" s="1"/>
  <c r="N1652" i="52" s="1"/>
  <c r="I1652" i="52"/>
  <c r="K1651" i="52"/>
  <c r="L1651" i="52" s="1"/>
  <c r="M1651" i="52" s="1"/>
  <c r="N1651" i="52" s="1"/>
  <c r="I1651" i="52"/>
  <c r="I1650" i="52"/>
  <c r="K1649" i="52"/>
  <c r="L1649" i="52" s="1"/>
  <c r="M1649" i="52" s="1"/>
  <c r="N1649" i="52" s="1"/>
  <c r="I1649" i="52"/>
  <c r="L1648" i="52"/>
  <c r="M1648" i="52" s="1"/>
  <c r="N1648" i="52" s="1"/>
  <c r="K1648" i="52"/>
  <c r="I1648" i="52"/>
  <c r="I1647" i="52"/>
  <c r="I1646" i="52"/>
  <c r="L1645" i="52"/>
  <c r="M1645" i="52" s="1"/>
  <c r="N1645" i="52" s="1"/>
  <c r="K1645" i="52"/>
  <c r="I1645" i="52"/>
  <c r="M1644" i="52"/>
  <c r="N1644" i="52" s="1"/>
  <c r="L1644" i="52"/>
  <c r="K1644" i="52"/>
  <c r="I1644" i="52"/>
  <c r="K1643" i="52"/>
  <c r="L1643" i="52" s="1"/>
  <c r="M1643" i="52" s="1"/>
  <c r="N1643" i="52" s="1"/>
  <c r="K1641" i="52"/>
  <c r="K1640" i="52"/>
  <c r="K1639" i="52"/>
  <c r="L1639" i="52" s="1"/>
  <c r="M1639" i="52" s="1"/>
  <c r="N1639" i="52" s="1"/>
  <c r="I1639" i="52"/>
  <c r="K1638" i="52"/>
  <c r="L1638" i="52" s="1"/>
  <c r="M1638" i="52" s="1"/>
  <c r="N1638" i="52" s="1"/>
  <c r="I1638" i="52"/>
  <c r="K1637" i="52"/>
  <c r="L1637" i="52" s="1"/>
  <c r="M1637" i="52" s="1"/>
  <c r="N1637" i="52" s="1"/>
  <c r="I1637" i="52"/>
  <c r="K1636" i="52"/>
  <c r="L1636" i="52" s="1"/>
  <c r="M1636" i="52" s="1"/>
  <c r="N1636" i="52" s="1"/>
  <c r="I1636" i="52"/>
  <c r="K1635" i="52"/>
  <c r="L1635" i="52" s="1"/>
  <c r="M1635" i="52" s="1"/>
  <c r="N1635" i="52" s="1"/>
  <c r="I1635" i="52"/>
  <c r="K1634" i="52"/>
  <c r="L1634" i="52" s="1"/>
  <c r="M1634" i="52" s="1"/>
  <c r="N1634" i="52" s="1"/>
  <c r="K1633" i="52"/>
  <c r="L1633" i="52" s="1"/>
  <c r="M1633" i="52" s="1"/>
  <c r="N1633" i="52" s="1"/>
  <c r="I1633" i="52"/>
  <c r="K1632" i="52"/>
  <c r="L1632" i="52" s="1"/>
  <c r="M1632" i="52" s="1"/>
  <c r="N1632" i="52" s="1"/>
  <c r="I1632" i="52"/>
  <c r="K1631" i="52"/>
  <c r="L1631" i="52" s="1"/>
  <c r="M1631" i="52" s="1"/>
  <c r="N1631" i="52" s="1"/>
  <c r="I1631" i="52"/>
  <c r="K1630" i="52"/>
  <c r="L1630" i="52" s="1"/>
  <c r="M1630" i="52" s="1"/>
  <c r="N1630" i="52" s="1"/>
  <c r="I1630" i="52"/>
  <c r="K1629" i="52"/>
  <c r="L1629" i="52" s="1"/>
  <c r="M1629" i="52" s="1"/>
  <c r="N1629" i="52" s="1"/>
  <c r="I1629" i="52"/>
  <c r="K1628" i="52"/>
  <c r="L1628" i="52" s="1"/>
  <c r="M1628" i="52" s="1"/>
  <c r="N1628" i="52" s="1"/>
  <c r="I1628" i="52"/>
  <c r="L1627" i="52"/>
  <c r="M1627" i="52" s="1"/>
  <c r="N1627" i="52" s="1"/>
  <c r="K1627" i="52"/>
  <c r="I1627" i="52"/>
  <c r="N1626" i="52"/>
  <c r="K1626" i="52"/>
  <c r="L1626" i="52" s="1"/>
  <c r="M1626" i="52" s="1"/>
  <c r="I1626" i="52"/>
  <c r="K1625" i="52"/>
  <c r="L1625" i="52" s="1"/>
  <c r="M1625" i="52" s="1"/>
  <c r="N1625" i="52" s="1"/>
  <c r="I1625" i="52"/>
  <c r="L1624" i="52"/>
  <c r="M1624" i="52" s="1"/>
  <c r="N1624" i="52" s="1"/>
  <c r="K1624" i="52"/>
  <c r="I1624" i="52"/>
  <c r="K1623" i="52"/>
  <c r="L1623" i="52" s="1"/>
  <c r="M1623" i="52" s="1"/>
  <c r="N1623" i="52" s="1"/>
  <c r="I1623" i="52"/>
  <c r="K1622" i="52"/>
  <c r="L1622" i="52" s="1"/>
  <c r="M1622" i="52" s="1"/>
  <c r="N1622" i="52" s="1"/>
  <c r="I1622" i="52"/>
  <c r="K1621" i="52"/>
  <c r="L1621" i="52" s="1"/>
  <c r="M1621" i="52" s="1"/>
  <c r="N1621" i="52" s="1"/>
  <c r="I1621" i="52"/>
  <c r="K1620" i="52"/>
  <c r="L1620" i="52" s="1"/>
  <c r="M1620" i="52" s="1"/>
  <c r="N1620" i="52" s="1"/>
  <c r="I1620" i="52"/>
  <c r="L1619" i="52"/>
  <c r="M1619" i="52" s="1"/>
  <c r="N1619" i="52" s="1"/>
  <c r="K1619" i="52"/>
  <c r="I1619" i="52"/>
  <c r="N1618" i="52"/>
  <c r="K1618" i="52"/>
  <c r="L1618" i="52" s="1"/>
  <c r="M1618" i="52" s="1"/>
  <c r="I1618" i="52"/>
  <c r="K1617" i="52"/>
  <c r="L1617" i="52" s="1"/>
  <c r="M1617" i="52" s="1"/>
  <c r="N1617" i="52" s="1"/>
  <c r="I1617" i="52"/>
  <c r="L1616" i="52"/>
  <c r="M1616" i="52" s="1"/>
  <c r="N1616" i="52" s="1"/>
  <c r="K1616" i="52"/>
  <c r="I1616" i="52"/>
  <c r="K1615" i="52"/>
  <c r="L1615" i="52" s="1"/>
  <c r="M1615" i="52" s="1"/>
  <c r="N1615" i="52" s="1"/>
  <c r="I1615" i="52"/>
  <c r="K1614" i="52"/>
  <c r="L1614" i="52" s="1"/>
  <c r="M1614" i="52" s="1"/>
  <c r="N1614" i="52" s="1"/>
  <c r="I1614" i="52"/>
  <c r="K1613" i="52"/>
  <c r="L1613" i="52" s="1"/>
  <c r="M1613" i="52" s="1"/>
  <c r="N1613" i="52" s="1"/>
  <c r="I1613" i="52"/>
  <c r="K1612" i="52"/>
  <c r="L1612" i="52" s="1"/>
  <c r="M1612" i="52" s="1"/>
  <c r="N1612" i="52" s="1"/>
  <c r="I1612" i="52"/>
  <c r="K1611" i="52"/>
  <c r="L1611" i="52" s="1"/>
  <c r="M1611" i="52" s="1"/>
  <c r="N1611" i="52" s="1"/>
  <c r="I1611" i="52"/>
  <c r="N1610" i="52"/>
  <c r="K1610" i="52"/>
  <c r="L1610" i="52" s="1"/>
  <c r="M1610" i="52" s="1"/>
  <c r="I1610" i="52"/>
  <c r="K1609" i="52"/>
  <c r="L1609" i="52" s="1"/>
  <c r="M1609" i="52" s="1"/>
  <c r="N1609" i="52" s="1"/>
  <c r="I1609" i="52"/>
  <c r="K1608" i="52"/>
  <c r="L1608" i="52" s="1"/>
  <c r="M1608" i="52" s="1"/>
  <c r="N1608" i="52" s="1"/>
  <c r="L1607" i="52"/>
  <c r="M1607" i="52" s="1"/>
  <c r="N1607" i="52" s="1"/>
  <c r="K1607" i="52"/>
  <c r="K1606" i="52"/>
  <c r="L1606" i="52" s="1"/>
  <c r="M1606" i="52" s="1"/>
  <c r="N1606" i="52" s="1"/>
  <c r="L1605" i="52"/>
  <c r="M1605" i="52" s="1"/>
  <c r="N1605" i="52" s="1"/>
  <c r="K1605" i="52"/>
  <c r="K1604" i="52"/>
  <c r="L1604" i="52" s="1"/>
  <c r="M1604" i="52" s="1"/>
  <c r="N1604" i="52" s="1"/>
  <c r="L1603" i="52"/>
  <c r="M1603" i="52" s="1"/>
  <c r="N1603" i="52" s="1"/>
  <c r="K1603" i="52"/>
  <c r="K1602" i="52"/>
  <c r="L1602" i="52" s="1"/>
  <c r="M1602" i="52" s="1"/>
  <c r="N1602" i="52" s="1"/>
  <c r="L1601" i="52"/>
  <c r="M1601" i="52" s="1"/>
  <c r="N1601" i="52" s="1"/>
  <c r="K1601" i="52"/>
  <c r="L1600" i="52"/>
  <c r="M1600" i="52" s="1"/>
  <c r="N1600" i="52" s="1"/>
  <c r="K1600" i="52"/>
  <c r="L1599" i="52"/>
  <c r="M1599" i="52" s="1"/>
  <c r="N1599" i="52" s="1"/>
  <c r="K1599" i="52"/>
  <c r="K1598" i="52"/>
  <c r="L1598" i="52" s="1"/>
  <c r="M1598" i="52" s="1"/>
  <c r="N1598" i="52" s="1"/>
  <c r="L1597" i="52"/>
  <c r="M1597" i="52" s="1"/>
  <c r="N1597" i="52" s="1"/>
  <c r="K1597" i="52"/>
  <c r="L1596" i="52"/>
  <c r="M1596" i="52" s="1"/>
  <c r="N1596" i="52" s="1"/>
  <c r="K1596" i="52"/>
  <c r="L1595" i="52"/>
  <c r="M1595" i="52" s="1"/>
  <c r="N1595" i="52" s="1"/>
  <c r="K1595" i="52"/>
  <c r="K1594" i="52"/>
  <c r="L1594" i="52" s="1"/>
  <c r="M1594" i="52" s="1"/>
  <c r="N1594" i="52" s="1"/>
  <c r="L1593" i="52"/>
  <c r="M1593" i="52" s="1"/>
  <c r="N1593" i="52" s="1"/>
  <c r="K1593" i="52"/>
  <c r="K1592" i="52"/>
  <c r="L1592" i="52" s="1"/>
  <c r="M1592" i="52" s="1"/>
  <c r="N1592" i="52" s="1"/>
  <c r="L1591" i="52"/>
  <c r="M1591" i="52" s="1"/>
  <c r="N1591" i="52" s="1"/>
  <c r="K1591" i="52"/>
  <c r="K1590" i="52"/>
  <c r="L1590" i="52" s="1"/>
  <c r="M1590" i="52" s="1"/>
  <c r="N1590" i="52" s="1"/>
  <c r="L1589" i="52"/>
  <c r="M1589" i="52" s="1"/>
  <c r="N1589" i="52" s="1"/>
  <c r="K1589" i="52"/>
  <c r="K1588" i="52"/>
  <c r="L1588" i="52" s="1"/>
  <c r="M1588" i="52" s="1"/>
  <c r="N1588" i="52" s="1"/>
  <c r="L1587" i="52"/>
  <c r="M1587" i="52" s="1"/>
  <c r="N1587" i="52" s="1"/>
  <c r="K1587" i="52"/>
  <c r="K1586" i="52"/>
  <c r="L1586" i="52" s="1"/>
  <c r="M1586" i="52" s="1"/>
  <c r="N1586" i="52" s="1"/>
  <c r="L1585" i="52"/>
  <c r="M1585" i="52" s="1"/>
  <c r="N1585" i="52" s="1"/>
  <c r="K1585" i="52"/>
  <c r="L1584" i="52"/>
  <c r="M1584" i="52" s="1"/>
  <c r="N1584" i="52" s="1"/>
  <c r="K1584" i="52"/>
  <c r="L1583" i="52"/>
  <c r="M1583" i="52" s="1"/>
  <c r="N1583" i="52" s="1"/>
  <c r="K1583" i="52"/>
  <c r="K1582" i="52"/>
  <c r="L1582" i="52" s="1"/>
  <c r="M1582" i="52" s="1"/>
  <c r="N1582" i="52" s="1"/>
  <c r="L1581" i="52"/>
  <c r="M1581" i="52" s="1"/>
  <c r="N1581" i="52" s="1"/>
  <c r="K1581" i="52"/>
  <c r="K1580" i="52"/>
  <c r="L1580" i="52" s="1"/>
  <c r="M1580" i="52" s="1"/>
  <c r="N1580" i="52" s="1"/>
  <c r="L1579" i="52"/>
  <c r="M1579" i="52" s="1"/>
  <c r="N1579" i="52" s="1"/>
  <c r="K1579" i="52"/>
  <c r="K1578" i="52"/>
  <c r="L1578" i="52" s="1"/>
  <c r="M1578" i="52" s="1"/>
  <c r="N1578" i="52" s="1"/>
  <c r="L1577" i="52"/>
  <c r="M1577" i="52" s="1"/>
  <c r="N1577" i="52" s="1"/>
  <c r="K1577" i="52"/>
  <c r="K1576" i="52"/>
  <c r="L1576" i="52" s="1"/>
  <c r="M1576" i="52" s="1"/>
  <c r="N1576" i="52" s="1"/>
  <c r="L1575" i="52"/>
  <c r="M1575" i="52" s="1"/>
  <c r="N1575" i="52" s="1"/>
  <c r="K1575" i="52"/>
  <c r="K1574" i="52"/>
  <c r="L1574" i="52" s="1"/>
  <c r="M1574" i="52" s="1"/>
  <c r="N1574" i="52" s="1"/>
  <c r="L1573" i="52"/>
  <c r="M1573" i="52" s="1"/>
  <c r="N1573" i="52" s="1"/>
  <c r="K1573" i="52"/>
  <c r="K1572" i="52"/>
  <c r="L1572" i="52" s="1"/>
  <c r="M1572" i="52" s="1"/>
  <c r="N1572" i="52" s="1"/>
  <c r="L1571" i="52"/>
  <c r="M1571" i="52" s="1"/>
  <c r="N1571" i="52" s="1"/>
  <c r="K1571" i="52"/>
  <c r="K1570" i="52"/>
  <c r="L1570" i="52" s="1"/>
  <c r="M1570" i="52" s="1"/>
  <c r="N1570" i="52" s="1"/>
  <c r="L1569" i="52"/>
  <c r="M1569" i="52" s="1"/>
  <c r="N1569" i="52" s="1"/>
  <c r="K1569" i="52"/>
  <c r="L1568" i="52"/>
  <c r="M1568" i="52" s="1"/>
  <c r="N1568" i="52" s="1"/>
  <c r="K1568" i="52"/>
  <c r="L1567" i="52"/>
  <c r="M1567" i="52" s="1"/>
  <c r="N1567" i="52" s="1"/>
  <c r="K1567" i="52"/>
  <c r="K1566" i="52"/>
  <c r="L1566" i="52" s="1"/>
  <c r="M1566" i="52" s="1"/>
  <c r="N1566" i="52" s="1"/>
  <c r="L1565" i="52"/>
  <c r="M1565" i="52" s="1"/>
  <c r="N1565" i="52" s="1"/>
  <c r="K1565" i="52"/>
  <c r="L1564" i="52"/>
  <c r="M1564" i="52" s="1"/>
  <c r="N1564" i="52" s="1"/>
  <c r="K1564" i="52"/>
  <c r="L1563" i="52"/>
  <c r="M1563" i="52" s="1"/>
  <c r="N1563" i="52" s="1"/>
  <c r="K1563" i="52"/>
  <c r="K1562" i="52"/>
  <c r="L1562" i="52" s="1"/>
  <c r="M1562" i="52" s="1"/>
  <c r="N1562" i="52" s="1"/>
  <c r="L1561" i="52"/>
  <c r="M1561" i="52" s="1"/>
  <c r="N1561" i="52" s="1"/>
  <c r="K1561" i="52"/>
  <c r="K1560" i="52"/>
  <c r="L1560" i="52" s="1"/>
  <c r="M1560" i="52" s="1"/>
  <c r="N1560" i="52" s="1"/>
  <c r="L1559" i="52"/>
  <c r="M1559" i="52" s="1"/>
  <c r="N1559" i="52" s="1"/>
  <c r="K1559" i="52"/>
  <c r="K1558" i="52"/>
  <c r="L1558" i="52" s="1"/>
  <c r="M1558" i="52" s="1"/>
  <c r="N1558" i="52" s="1"/>
  <c r="L1557" i="52"/>
  <c r="M1557" i="52" s="1"/>
  <c r="N1557" i="52" s="1"/>
  <c r="K1557" i="52"/>
  <c r="K1556" i="52"/>
  <c r="L1556" i="52" s="1"/>
  <c r="M1556" i="52" s="1"/>
  <c r="N1556" i="52" s="1"/>
  <c r="L1555" i="52"/>
  <c r="M1555" i="52" s="1"/>
  <c r="N1555" i="52" s="1"/>
  <c r="K1555" i="52"/>
  <c r="K1554" i="52"/>
  <c r="L1554" i="52" s="1"/>
  <c r="M1554" i="52" s="1"/>
  <c r="N1554" i="52" s="1"/>
  <c r="L1553" i="52"/>
  <c r="M1553" i="52" s="1"/>
  <c r="N1553" i="52" s="1"/>
  <c r="K1553" i="52"/>
  <c r="L1552" i="52"/>
  <c r="M1552" i="52" s="1"/>
  <c r="N1552" i="52" s="1"/>
  <c r="K1552" i="52"/>
  <c r="L1551" i="52"/>
  <c r="M1551" i="52" s="1"/>
  <c r="N1551" i="52" s="1"/>
  <c r="K1551" i="52"/>
  <c r="K1550" i="52"/>
  <c r="L1550" i="52" s="1"/>
  <c r="M1550" i="52" s="1"/>
  <c r="N1550" i="52" s="1"/>
  <c r="L1549" i="52"/>
  <c r="M1549" i="52" s="1"/>
  <c r="N1549" i="52" s="1"/>
  <c r="K1549" i="52"/>
  <c r="K1548" i="52"/>
  <c r="L1548" i="52" s="1"/>
  <c r="M1548" i="52" s="1"/>
  <c r="N1548" i="52" s="1"/>
  <c r="L1547" i="52"/>
  <c r="M1547" i="52" s="1"/>
  <c r="N1547" i="52" s="1"/>
  <c r="K1547" i="52"/>
  <c r="K1546" i="52"/>
  <c r="L1546" i="52" s="1"/>
  <c r="M1546" i="52" s="1"/>
  <c r="N1546" i="52" s="1"/>
  <c r="L1545" i="52"/>
  <c r="M1545" i="52" s="1"/>
  <c r="N1545" i="52" s="1"/>
  <c r="K1545" i="52"/>
  <c r="K1544" i="52"/>
  <c r="L1544" i="52" s="1"/>
  <c r="M1544" i="52" s="1"/>
  <c r="N1544" i="52" s="1"/>
  <c r="L1543" i="52"/>
  <c r="M1543" i="52" s="1"/>
  <c r="N1543" i="52" s="1"/>
  <c r="K1543" i="52"/>
  <c r="K1542" i="52"/>
  <c r="L1542" i="52" s="1"/>
  <c r="M1542" i="52" s="1"/>
  <c r="N1542" i="52" s="1"/>
  <c r="L1541" i="52"/>
  <c r="M1541" i="52" s="1"/>
  <c r="N1541" i="52" s="1"/>
  <c r="K1541" i="52"/>
  <c r="K1540" i="52"/>
  <c r="L1540" i="52" s="1"/>
  <c r="M1540" i="52" s="1"/>
  <c r="N1540" i="52" s="1"/>
  <c r="L1539" i="52"/>
  <c r="M1539" i="52" s="1"/>
  <c r="N1539" i="52" s="1"/>
  <c r="K1539" i="52"/>
  <c r="K1538" i="52"/>
  <c r="L1538" i="52" s="1"/>
  <c r="M1538" i="52" s="1"/>
  <c r="N1538" i="52" s="1"/>
  <c r="L1537" i="52"/>
  <c r="M1537" i="52" s="1"/>
  <c r="N1537" i="52" s="1"/>
  <c r="K1537" i="52"/>
  <c r="L1536" i="52"/>
  <c r="M1536" i="52" s="1"/>
  <c r="N1536" i="52" s="1"/>
  <c r="K1536" i="52"/>
  <c r="L1535" i="52"/>
  <c r="M1535" i="52" s="1"/>
  <c r="N1535" i="52" s="1"/>
  <c r="K1535" i="52"/>
  <c r="K1534" i="52"/>
  <c r="L1534" i="52" s="1"/>
  <c r="M1534" i="52" s="1"/>
  <c r="N1534" i="52" s="1"/>
  <c r="L1533" i="52"/>
  <c r="M1533" i="52" s="1"/>
  <c r="N1533" i="52" s="1"/>
  <c r="K1533" i="52"/>
  <c r="L1532" i="52"/>
  <c r="M1532" i="52" s="1"/>
  <c r="N1532" i="52" s="1"/>
  <c r="K1532" i="52"/>
  <c r="L1531" i="52"/>
  <c r="M1531" i="52" s="1"/>
  <c r="N1531" i="52" s="1"/>
  <c r="K1531" i="52"/>
  <c r="K1530" i="52"/>
  <c r="L1530" i="52" s="1"/>
  <c r="M1530" i="52" s="1"/>
  <c r="N1530" i="52" s="1"/>
  <c r="L1529" i="52"/>
  <c r="M1529" i="52" s="1"/>
  <c r="N1529" i="52" s="1"/>
  <c r="K1529" i="52"/>
  <c r="K1528" i="52"/>
  <c r="L1528" i="52" s="1"/>
  <c r="M1528" i="52" s="1"/>
  <c r="N1528" i="52" s="1"/>
  <c r="L1527" i="52"/>
  <c r="M1527" i="52" s="1"/>
  <c r="N1527" i="52" s="1"/>
  <c r="K1527" i="52"/>
  <c r="K1526" i="52"/>
  <c r="L1526" i="52" s="1"/>
  <c r="M1526" i="52" s="1"/>
  <c r="N1526" i="52" s="1"/>
  <c r="L1525" i="52"/>
  <c r="M1525" i="52" s="1"/>
  <c r="N1525" i="52" s="1"/>
  <c r="K1525" i="52"/>
  <c r="K1524" i="52"/>
  <c r="L1524" i="52" s="1"/>
  <c r="M1524" i="52" s="1"/>
  <c r="N1524" i="52" s="1"/>
  <c r="L1523" i="52"/>
  <c r="M1523" i="52" s="1"/>
  <c r="N1523" i="52" s="1"/>
  <c r="K1523" i="52"/>
  <c r="K1522" i="52"/>
  <c r="L1522" i="52" s="1"/>
  <c r="M1522" i="52" s="1"/>
  <c r="N1522" i="52" s="1"/>
  <c r="L1521" i="52"/>
  <c r="M1521" i="52" s="1"/>
  <c r="N1521" i="52" s="1"/>
  <c r="K1521" i="52"/>
  <c r="L1520" i="52"/>
  <c r="M1520" i="52" s="1"/>
  <c r="N1520" i="52" s="1"/>
  <c r="K1520" i="52"/>
  <c r="L1519" i="52"/>
  <c r="M1519" i="52" s="1"/>
  <c r="N1519" i="52" s="1"/>
  <c r="K1519" i="52"/>
  <c r="K1518" i="52"/>
  <c r="L1518" i="52" s="1"/>
  <c r="M1518" i="52" s="1"/>
  <c r="N1518" i="52" s="1"/>
  <c r="L1517" i="52"/>
  <c r="M1517" i="52" s="1"/>
  <c r="N1517" i="52" s="1"/>
  <c r="K1517" i="52"/>
  <c r="K1516" i="52"/>
  <c r="L1516" i="52" s="1"/>
  <c r="M1516" i="52" s="1"/>
  <c r="N1516" i="52" s="1"/>
  <c r="L1515" i="52"/>
  <c r="M1515" i="52" s="1"/>
  <c r="N1515" i="52" s="1"/>
  <c r="K1515" i="52"/>
  <c r="K1514" i="52"/>
  <c r="L1514" i="52" s="1"/>
  <c r="M1514" i="52" s="1"/>
  <c r="N1514" i="52" s="1"/>
  <c r="L1513" i="52"/>
  <c r="M1513" i="52" s="1"/>
  <c r="N1513" i="52" s="1"/>
  <c r="K1513" i="52"/>
  <c r="K1512" i="52"/>
  <c r="L1512" i="52" s="1"/>
  <c r="M1512" i="52" s="1"/>
  <c r="N1512" i="52" s="1"/>
  <c r="L1511" i="52"/>
  <c r="M1511" i="52" s="1"/>
  <c r="N1511" i="52" s="1"/>
  <c r="K1511" i="52"/>
  <c r="K1510" i="52"/>
  <c r="L1510" i="52" s="1"/>
  <c r="M1510" i="52" s="1"/>
  <c r="N1510" i="52" s="1"/>
  <c r="L1509" i="52"/>
  <c r="M1509" i="52" s="1"/>
  <c r="N1509" i="52" s="1"/>
  <c r="K1509" i="52"/>
  <c r="K1508" i="52"/>
  <c r="L1508" i="52" s="1"/>
  <c r="M1508" i="52" s="1"/>
  <c r="N1508" i="52" s="1"/>
  <c r="L1507" i="52"/>
  <c r="M1507" i="52" s="1"/>
  <c r="N1507" i="52" s="1"/>
  <c r="K1507" i="52"/>
  <c r="K1506" i="52"/>
  <c r="L1506" i="52" s="1"/>
  <c r="M1506" i="52" s="1"/>
  <c r="N1506" i="52" s="1"/>
  <c r="L1505" i="52"/>
  <c r="M1505" i="52" s="1"/>
  <c r="N1505" i="52" s="1"/>
  <c r="K1505" i="52"/>
  <c r="L1504" i="52"/>
  <c r="M1504" i="52" s="1"/>
  <c r="N1504" i="52" s="1"/>
  <c r="K1504" i="52"/>
  <c r="L1503" i="52"/>
  <c r="M1503" i="52" s="1"/>
  <c r="N1503" i="52" s="1"/>
  <c r="K1503" i="52"/>
  <c r="K1502" i="52"/>
  <c r="L1502" i="52" s="1"/>
  <c r="M1502" i="52" s="1"/>
  <c r="N1502" i="52" s="1"/>
  <c r="L1501" i="52"/>
  <c r="M1501" i="52" s="1"/>
  <c r="N1501" i="52" s="1"/>
  <c r="K1501" i="52"/>
  <c r="L1500" i="52"/>
  <c r="M1500" i="52" s="1"/>
  <c r="N1500" i="52" s="1"/>
  <c r="K1500" i="52"/>
  <c r="L1499" i="52"/>
  <c r="M1499" i="52" s="1"/>
  <c r="N1499" i="52" s="1"/>
  <c r="K1499" i="52"/>
  <c r="K1498" i="52"/>
  <c r="L1498" i="52" s="1"/>
  <c r="M1498" i="52" s="1"/>
  <c r="N1498" i="52" s="1"/>
  <c r="L1497" i="52"/>
  <c r="M1497" i="52" s="1"/>
  <c r="N1497" i="52" s="1"/>
  <c r="K1497" i="52"/>
  <c r="K1496" i="52"/>
  <c r="L1496" i="52" s="1"/>
  <c r="M1496" i="52" s="1"/>
  <c r="N1496" i="52" s="1"/>
  <c r="L1495" i="52"/>
  <c r="M1495" i="52" s="1"/>
  <c r="N1495" i="52" s="1"/>
  <c r="K1495" i="52"/>
  <c r="K1494" i="52"/>
  <c r="L1494" i="52" s="1"/>
  <c r="M1494" i="52" s="1"/>
  <c r="N1494" i="52" s="1"/>
  <c r="L1493" i="52"/>
  <c r="M1493" i="52" s="1"/>
  <c r="N1493" i="52" s="1"/>
  <c r="K1493" i="52"/>
  <c r="K1492" i="52"/>
  <c r="L1492" i="52" s="1"/>
  <c r="M1492" i="52" s="1"/>
  <c r="N1492" i="52" s="1"/>
  <c r="L1491" i="52"/>
  <c r="M1491" i="52" s="1"/>
  <c r="N1491" i="52" s="1"/>
  <c r="K1491" i="52"/>
  <c r="K1490" i="52"/>
  <c r="L1490" i="52" s="1"/>
  <c r="M1490" i="52" s="1"/>
  <c r="N1490" i="52" s="1"/>
  <c r="L1489" i="52"/>
  <c r="M1489" i="52" s="1"/>
  <c r="N1489" i="52" s="1"/>
  <c r="K1489" i="52"/>
  <c r="L1488" i="52"/>
  <c r="M1488" i="52" s="1"/>
  <c r="N1488" i="52" s="1"/>
  <c r="K1488" i="52"/>
  <c r="L1487" i="52"/>
  <c r="M1487" i="52" s="1"/>
  <c r="N1487" i="52" s="1"/>
  <c r="K1487" i="52"/>
  <c r="K1486" i="52"/>
  <c r="L1486" i="52" s="1"/>
  <c r="M1486" i="52" s="1"/>
  <c r="N1486" i="52" s="1"/>
  <c r="L1485" i="52"/>
  <c r="M1485" i="52" s="1"/>
  <c r="N1485" i="52" s="1"/>
  <c r="K1485" i="52"/>
  <c r="K1484" i="52"/>
  <c r="L1484" i="52" s="1"/>
  <c r="M1484" i="52" s="1"/>
  <c r="N1484" i="52" s="1"/>
  <c r="L1483" i="52"/>
  <c r="M1483" i="52" s="1"/>
  <c r="N1483" i="52" s="1"/>
  <c r="K1483" i="52"/>
  <c r="K1482" i="52"/>
  <c r="L1482" i="52" s="1"/>
  <c r="M1482" i="52" s="1"/>
  <c r="N1482" i="52" s="1"/>
  <c r="L1481" i="52"/>
  <c r="M1481" i="52" s="1"/>
  <c r="N1481" i="52" s="1"/>
  <c r="K1481" i="52"/>
  <c r="K1480" i="52"/>
  <c r="L1480" i="52" s="1"/>
  <c r="M1480" i="52" s="1"/>
  <c r="N1480" i="52" s="1"/>
  <c r="L1479" i="52"/>
  <c r="M1479" i="52" s="1"/>
  <c r="N1479" i="52" s="1"/>
  <c r="K1479" i="52"/>
  <c r="K1478" i="52"/>
  <c r="L1478" i="52" s="1"/>
  <c r="M1478" i="52" s="1"/>
  <c r="N1478" i="52" s="1"/>
  <c r="L1477" i="52"/>
  <c r="M1477" i="52" s="1"/>
  <c r="N1477" i="52" s="1"/>
  <c r="K1477" i="52"/>
  <c r="K1476" i="52"/>
  <c r="L1476" i="52" s="1"/>
  <c r="M1476" i="52" s="1"/>
  <c r="N1476" i="52" s="1"/>
  <c r="L1475" i="52"/>
  <c r="M1475" i="52" s="1"/>
  <c r="N1475" i="52" s="1"/>
  <c r="K1475" i="52"/>
  <c r="K1474" i="52"/>
  <c r="L1474" i="52" s="1"/>
  <c r="M1474" i="52" s="1"/>
  <c r="N1474" i="52" s="1"/>
  <c r="L1473" i="52"/>
  <c r="M1473" i="52" s="1"/>
  <c r="N1473" i="52" s="1"/>
  <c r="K1473" i="52"/>
  <c r="L1472" i="52"/>
  <c r="M1472" i="52" s="1"/>
  <c r="N1472" i="52" s="1"/>
  <c r="K1472" i="52"/>
  <c r="L1471" i="52"/>
  <c r="M1471" i="52" s="1"/>
  <c r="N1471" i="52" s="1"/>
  <c r="K1471" i="52"/>
  <c r="K1470" i="52"/>
  <c r="L1470" i="52" s="1"/>
  <c r="M1470" i="52" s="1"/>
  <c r="N1470" i="52" s="1"/>
  <c r="L1469" i="52"/>
  <c r="M1469" i="52" s="1"/>
  <c r="N1469" i="52" s="1"/>
  <c r="K1469" i="52"/>
  <c r="L1468" i="52"/>
  <c r="M1468" i="52" s="1"/>
  <c r="N1468" i="52" s="1"/>
  <c r="K1468" i="52"/>
  <c r="L1467" i="52"/>
  <c r="M1467" i="52" s="1"/>
  <c r="N1467" i="52" s="1"/>
  <c r="K1467" i="52"/>
  <c r="K1466" i="52"/>
  <c r="L1466" i="52" s="1"/>
  <c r="M1466" i="52" s="1"/>
  <c r="N1466" i="52" s="1"/>
  <c r="L1465" i="52"/>
  <c r="M1465" i="52" s="1"/>
  <c r="N1465" i="52" s="1"/>
  <c r="K1465" i="52"/>
  <c r="K1464" i="52"/>
  <c r="L1464" i="52" s="1"/>
  <c r="M1464" i="52" s="1"/>
  <c r="N1464" i="52" s="1"/>
  <c r="L1463" i="52"/>
  <c r="M1463" i="52" s="1"/>
  <c r="N1463" i="52" s="1"/>
  <c r="K1463" i="52"/>
  <c r="K1462" i="52"/>
  <c r="L1462" i="52" s="1"/>
  <c r="M1462" i="52" s="1"/>
  <c r="N1462" i="52" s="1"/>
  <c r="L1461" i="52"/>
  <c r="M1461" i="52" s="1"/>
  <c r="N1461" i="52" s="1"/>
  <c r="K1461" i="52"/>
  <c r="K1460" i="52"/>
  <c r="L1460" i="52" s="1"/>
  <c r="M1460" i="52" s="1"/>
  <c r="N1460" i="52" s="1"/>
  <c r="L1459" i="52"/>
  <c r="M1459" i="52" s="1"/>
  <c r="N1459" i="52" s="1"/>
  <c r="K1459" i="52"/>
  <c r="K1458" i="52"/>
  <c r="L1458" i="52" s="1"/>
  <c r="M1458" i="52" s="1"/>
  <c r="N1458" i="52" s="1"/>
  <c r="L1457" i="52"/>
  <c r="M1457" i="52" s="1"/>
  <c r="N1457" i="52" s="1"/>
  <c r="K1457" i="52"/>
  <c r="L1456" i="52"/>
  <c r="M1456" i="52" s="1"/>
  <c r="N1456" i="52" s="1"/>
  <c r="K1456" i="52"/>
  <c r="L1455" i="52"/>
  <c r="M1455" i="52" s="1"/>
  <c r="N1455" i="52" s="1"/>
  <c r="K1455" i="52"/>
  <c r="K1454" i="52"/>
  <c r="L1454" i="52" s="1"/>
  <c r="M1454" i="52" s="1"/>
  <c r="N1454" i="52" s="1"/>
  <c r="L1453" i="52"/>
  <c r="M1453" i="52" s="1"/>
  <c r="N1453" i="52" s="1"/>
  <c r="K1453" i="52"/>
  <c r="K1452" i="52"/>
  <c r="L1452" i="52" s="1"/>
  <c r="M1452" i="52" s="1"/>
  <c r="N1452" i="52" s="1"/>
  <c r="L1451" i="52"/>
  <c r="M1451" i="52" s="1"/>
  <c r="N1451" i="52" s="1"/>
  <c r="K1451" i="52"/>
  <c r="K1450" i="52"/>
  <c r="L1450" i="52" s="1"/>
  <c r="M1450" i="52" s="1"/>
  <c r="N1450" i="52" s="1"/>
  <c r="L1449" i="52"/>
  <c r="M1449" i="52" s="1"/>
  <c r="N1449" i="52" s="1"/>
  <c r="K1449" i="52"/>
  <c r="K1448" i="52"/>
  <c r="L1448" i="52" s="1"/>
  <c r="M1448" i="52" s="1"/>
  <c r="N1448" i="52" s="1"/>
  <c r="L1447" i="52"/>
  <c r="M1447" i="52" s="1"/>
  <c r="N1447" i="52" s="1"/>
  <c r="K1447" i="52"/>
  <c r="K1446" i="52"/>
  <c r="L1446" i="52" s="1"/>
  <c r="M1446" i="52" s="1"/>
  <c r="N1446" i="52" s="1"/>
  <c r="L1445" i="52"/>
  <c r="M1445" i="52" s="1"/>
  <c r="N1445" i="52" s="1"/>
  <c r="K1445" i="52"/>
  <c r="K1444" i="52"/>
  <c r="L1444" i="52" s="1"/>
  <c r="M1444" i="52" s="1"/>
  <c r="N1444" i="52" s="1"/>
  <c r="L1443" i="52"/>
  <c r="M1443" i="52" s="1"/>
  <c r="N1443" i="52" s="1"/>
  <c r="K1443" i="52"/>
  <c r="K1442" i="52"/>
  <c r="L1442" i="52" s="1"/>
  <c r="M1442" i="52" s="1"/>
  <c r="N1442" i="52" s="1"/>
  <c r="L1441" i="52"/>
  <c r="M1441" i="52" s="1"/>
  <c r="N1441" i="52" s="1"/>
  <c r="K1441" i="52"/>
  <c r="L1440" i="52"/>
  <c r="M1440" i="52" s="1"/>
  <c r="N1440" i="52" s="1"/>
  <c r="K1440" i="52"/>
  <c r="L1439" i="52"/>
  <c r="M1439" i="52" s="1"/>
  <c r="N1439" i="52" s="1"/>
  <c r="K1439" i="52"/>
  <c r="K1438" i="52"/>
  <c r="L1438" i="52" s="1"/>
  <c r="M1438" i="52" s="1"/>
  <c r="N1438" i="52" s="1"/>
  <c r="L1437" i="52"/>
  <c r="M1437" i="52" s="1"/>
  <c r="N1437" i="52" s="1"/>
  <c r="K1437" i="52"/>
  <c r="L1436" i="52"/>
  <c r="M1436" i="52" s="1"/>
  <c r="N1436" i="52" s="1"/>
  <c r="K1436" i="52"/>
  <c r="L1435" i="52"/>
  <c r="M1435" i="52" s="1"/>
  <c r="N1435" i="52" s="1"/>
  <c r="K1435" i="52"/>
  <c r="K1434" i="52"/>
  <c r="L1434" i="52" s="1"/>
  <c r="M1434" i="52" s="1"/>
  <c r="N1434" i="52" s="1"/>
  <c r="L1433" i="52"/>
  <c r="M1433" i="52" s="1"/>
  <c r="N1433" i="52" s="1"/>
  <c r="K1433" i="52"/>
  <c r="K1432" i="52"/>
  <c r="L1432" i="52" s="1"/>
  <c r="M1432" i="52" s="1"/>
  <c r="N1432" i="52" s="1"/>
  <c r="L1431" i="52"/>
  <c r="M1431" i="52" s="1"/>
  <c r="N1431" i="52" s="1"/>
  <c r="K1431" i="52"/>
  <c r="K1430" i="52"/>
  <c r="L1430" i="52" s="1"/>
  <c r="M1430" i="52" s="1"/>
  <c r="N1430" i="52" s="1"/>
  <c r="L1429" i="52"/>
  <c r="M1429" i="52" s="1"/>
  <c r="N1429" i="52" s="1"/>
  <c r="K1429" i="52"/>
  <c r="K1428" i="52"/>
  <c r="L1428" i="52" s="1"/>
  <c r="M1428" i="52" s="1"/>
  <c r="K1426" i="52"/>
  <c r="I1426" i="52"/>
  <c r="K1425" i="52"/>
  <c r="L1425" i="52" s="1"/>
  <c r="M1425" i="52" s="1"/>
  <c r="N1425" i="52" s="1"/>
  <c r="I1425" i="52"/>
  <c r="J1426" i="52" s="1"/>
  <c r="J1427" i="52" s="1"/>
  <c r="L1427" i="52" s="1"/>
  <c r="M1427" i="52" s="1"/>
  <c r="N1427" i="52" s="1"/>
  <c r="N1428" i="52" s="1"/>
  <c r="K1422" i="52"/>
  <c r="I1422" i="52"/>
  <c r="K1421" i="52"/>
  <c r="L1421" i="52" s="1"/>
  <c r="M1421" i="52" s="1"/>
  <c r="N1421" i="52" s="1"/>
  <c r="I1421" i="52"/>
  <c r="K1418" i="52"/>
  <c r="I1418" i="52"/>
  <c r="J1418" i="52" s="1"/>
  <c r="J1419" i="52" s="1"/>
  <c r="L1419" i="52" s="1"/>
  <c r="M1419" i="52" s="1"/>
  <c r="N1419" i="52" s="1"/>
  <c r="K1417" i="52"/>
  <c r="L1417" i="52" s="1"/>
  <c r="M1417" i="52" s="1"/>
  <c r="N1417" i="52" s="1"/>
  <c r="K1416" i="52"/>
  <c r="L1416" i="52" s="1"/>
  <c r="M1416" i="52" s="1"/>
  <c r="N1416" i="52" s="1"/>
  <c r="K1415" i="52"/>
  <c r="L1415" i="52" s="1"/>
  <c r="M1415" i="52" s="1"/>
  <c r="N1415" i="52" s="1"/>
  <c r="L1414" i="52"/>
  <c r="M1414" i="52" s="1"/>
  <c r="N1414" i="52" s="1"/>
  <c r="K1414" i="52"/>
  <c r="I1414" i="52"/>
  <c r="J1414" i="52" s="1"/>
  <c r="J1415" i="52" s="1"/>
  <c r="K1413" i="52"/>
  <c r="L1413" i="52" s="1"/>
  <c r="M1413" i="52" s="1"/>
  <c r="N1413" i="52" s="1"/>
  <c r="K1412" i="52"/>
  <c r="K1411" i="52"/>
  <c r="I1411" i="52"/>
  <c r="J1411" i="52" s="1"/>
  <c r="J1412" i="52" s="1"/>
  <c r="K1410" i="52"/>
  <c r="L1410" i="52" s="1"/>
  <c r="M1410" i="52" s="1"/>
  <c r="N1410" i="52" s="1"/>
  <c r="K1409" i="52"/>
  <c r="K1408" i="52"/>
  <c r="K1407" i="52"/>
  <c r="L1407" i="52" s="1"/>
  <c r="M1407" i="52" s="1"/>
  <c r="N1407" i="52" s="1"/>
  <c r="I1407" i="52"/>
  <c r="L1406" i="52"/>
  <c r="M1406" i="52" s="1"/>
  <c r="N1406" i="52" s="1"/>
  <c r="K1406" i="52"/>
  <c r="I1406" i="52"/>
  <c r="J1408" i="52" s="1"/>
  <c r="J1409" i="52" s="1"/>
  <c r="K1405" i="52"/>
  <c r="L1405" i="52" s="1"/>
  <c r="M1405" i="52" s="1"/>
  <c r="N1405" i="52" s="1"/>
  <c r="I1405" i="52"/>
  <c r="K1404" i="52"/>
  <c r="L1404" i="52" s="1"/>
  <c r="M1404" i="52" s="1"/>
  <c r="N1404" i="52" s="1"/>
  <c r="K1403" i="52"/>
  <c r="K1402" i="52"/>
  <c r="L1401" i="52"/>
  <c r="M1401" i="52" s="1"/>
  <c r="N1401" i="52" s="1"/>
  <c r="K1401" i="52"/>
  <c r="I1401" i="52"/>
  <c r="K1400" i="52"/>
  <c r="L1400" i="52" s="1"/>
  <c r="M1400" i="52" s="1"/>
  <c r="N1400" i="52" s="1"/>
  <c r="I1400" i="52"/>
  <c r="N1399" i="52"/>
  <c r="K1399" i="52"/>
  <c r="L1399" i="52" s="1"/>
  <c r="M1399" i="52" s="1"/>
  <c r="I1399" i="52"/>
  <c r="J1402" i="52" s="1"/>
  <c r="J1403" i="52" s="1"/>
  <c r="K1398" i="52"/>
  <c r="L1398" i="52" s="1"/>
  <c r="M1398" i="52" s="1"/>
  <c r="N1398" i="52" s="1"/>
  <c r="K1396" i="52"/>
  <c r="K1395" i="52"/>
  <c r="L1395" i="52" s="1"/>
  <c r="M1395" i="52" s="1"/>
  <c r="N1395" i="52" s="1"/>
  <c r="M1394" i="52"/>
  <c r="N1394" i="52" s="1"/>
  <c r="K1394" i="52"/>
  <c r="L1394" i="52" s="1"/>
  <c r="I1394" i="52"/>
  <c r="K1393" i="52"/>
  <c r="L1393" i="52" s="1"/>
  <c r="M1393" i="52" s="1"/>
  <c r="N1393" i="52" s="1"/>
  <c r="I1393" i="52"/>
  <c r="J1395" i="52" s="1"/>
  <c r="J1396" i="52" s="1"/>
  <c r="J1397" i="52" s="1"/>
  <c r="L1397" i="52" s="1"/>
  <c r="M1397" i="52" s="1"/>
  <c r="N1397" i="52" s="1"/>
  <c r="K1392" i="52"/>
  <c r="L1392" i="52" s="1"/>
  <c r="M1392" i="52" s="1"/>
  <c r="N1392" i="52" s="1"/>
  <c r="P1390" i="52"/>
  <c r="K1390" i="52"/>
  <c r="L1390" i="52" s="1"/>
  <c r="M1390" i="52" s="1"/>
  <c r="N1390" i="52" s="1"/>
  <c r="I1390" i="52"/>
  <c r="P1389" i="52"/>
  <c r="K1389" i="52"/>
  <c r="L1389" i="52" s="1"/>
  <c r="M1389" i="52" s="1"/>
  <c r="N1389" i="52" s="1"/>
  <c r="I1389" i="52"/>
  <c r="J1391" i="52" s="1"/>
  <c r="L1391" i="52" s="1"/>
  <c r="M1391" i="52" s="1"/>
  <c r="N1391" i="52" s="1"/>
  <c r="K1388" i="52"/>
  <c r="L1388" i="52" s="1"/>
  <c r="M1388" i="52" s="1"/>
  <c r="N1388" i="52" s="1"/>
  <c r="K1387" i="52"/>
  <c r="L1387" i="52" s="1"/>
  <c r="M1387" i="52" s="1"/>
  <c r="N1387" i="52" s="1"/>
  <c r="K1386" i="52"/>
  <c r="K1385" i="52"/>
  <c r="K1384" i="52"/>
  <c r="K1383" i="52"/>
  <c r="L1383" i="52" s="1"/>
  <c r="M1383" i="52" s="1"/>
  <c r="N1383" i="52" s="1"/>
  <c r="G1383" i="52"/>
  <c r="I1383" i="52" s="1"/>
  <c r="F1383" i="52"/>
  <c r="K1382" i="52"/>
  <c r="L1382" i="52" s="1"/>
  <c r="M1382" i="52" s="1"/>
  <c r="N1382" i="52" s="1"/>
  <c r="G1382" i="52"/>
  <c r="I1382" i="52" s="1"/>
  <c r="F1382" i="52"/>
  <c r="L1381" i="52"/>
  <c r="M1381" i="52" s="1"/>
  <c r="N1381" i="52" s="1"/>
  <c r="K1381" i="52"/>
  <c r="G1381" i="52"/>
  <c r="I1381" i="52" s="1"/>
  <c r="F1381" i="52"/>
  <c r="K1380" i="52"/>
  <c r="L1380" i="52" s="1"/>
  <c r="M1380" i="52" s="1"/>
  <c r="N1380" i="52" s="1"/>
  <c r="G1380" i="52"/>
  <c r="F1380" i="52"/>
  <c r="K1379" i="52"/>
  <c r="L1379" i="52" s="1"/>
  <c r="M1379" i="52" s="1"/>
  <c r="N1379" i="52" s="1"/>
  <c r="I1379" i="52"/>
  <c r="G1379" i="52"/>
  <c r="F1379" i="52"/>
  <c r="M1378" i="52"/>
  <c r="N1378" i="52" s="1"/>
  <c r="K1378" i="52"/>
  <c r="L1378" i="52" s="1"/>
  <c r="G1378" i="52"/>
  <c r="F1378" i="52"/>
  <c r="K1377" i="52"/>
  <c r="L1377" i="52" s="1"/>
  <c r="M1377" i="52" s="1"/>
  <c r="N1377" i="52" s="1"/>
  <c r="G1377" i="52"/>
  <c r="I1377" i="52" s="1"/>
  <c r="F1377" i="52"/>
  <c r="K1376" i="52"/>
  <c r="L1376" i="52" s="1"/>
  <c r="M1376" i="52" s="1"/>
  <c r="N1376" i="52" s="1"/>
  <c r="G1376" i="52"/>
  <c r="I1376" i="52" s="1"/>
  <c r="F1376" i="52"/>
  <c r="K1375" i="52"/>
  <c r="L1375" i="52" s="1"/>
  <c r="M1375" i="52" s="1"/>
  <c r="N1375" i="52" s="1"/>
  <c r="K1374" i="52"/>
  <c r="P1373" i="52"/>
  <c r="K1373" i="52"/>
  <c r="G1373" i="52"/>
  <c r="I1373" i="52" s="1"/>
  <c r="F1373" i="52"/>
  <c r="L1372" i="52"/>
  <c r="M1372" i="52" s="1"/>
  <c r="N1372" i="52" s="1"/>
  <c r="K1372" i="52"/>
  <c r="G1372" i="52"/>
  <c r="F1372" i="52"/>
  <c r="K1371" i="52"/>
  <c r="L1371" i="52" s="1"/>
  <c r="M1371" i="52" s="1"/>
  <c r="N1371" i="52" s="1"/>
  <c r="G1371" i="52"/>
  <c r="I1371" i="52" s="1"/>
  <c r="F1371" i="52"/>
  <c r="K1370" i="52"/>
  <c r="L1370" i="52" s="1"/>
  <c r="M1370" i="52" s="1"/>
  <c r="N1370" i="52" s="1"/>
  <c r="G1370" i="52"/>
  <c r="I1370" i="52" s="1"/>
  <c r="F1370" i="52"/>
  <c r="K1369" i="52"/>
  <c r="L1369" i="52" s="1"/>
  <c r="M1369" i="52" s="1"/>
  <c r="N1369" i="52" s="1"/>
  <c r="G1369" i="52"/>
  <c r="F1369" i="52"/>
  <c r="L1368" i="52"/>
  <c r="M1368" i="52" s="1"/>
  <c r="N1368" i="52" s="1"/>
  <c r="K1368" i="52"/>
  <c r="G1368" i="52"/>
  <c r="F1368" i="52"/>
  <c r="K1367" i="52"/>
  <c r="L1367" i="52" s="1"/>
  <c r="M1367" i="52" s="1"/>
  <c r="N1367" i="52" s="1"/>
  <c r="G1367" i="52"/>
  <c r="F1367" i="52"/>
  <c r="N1366" i="52"/>
  <c r="K1366" i="52"/>
  <c r="L1366" i="52" s="1"/>
  <c r="M1366" i="52" s="1"/>
  <c r="G1366" i="52"/>
  <c r="F1366" i="52"/>
  <c r="I1366" i="52" s="1"/>
  <c r="K1365" i="52"/>
  <c r="L1365" i="52" s="1"/>
  <c r="M1365" i="52" s="1"/>
  <c r="N1365" i="52" s="1"/>
  <c r="K1364" i="52"/>
  <c r="L1364" i="52" s="1"/>
  <c r="M1364" i="52" s="1"/>
  <c r="N1364" i="52" s="1"/>
  <c r="F1361" i="52"/>
  <c r="J1361" i="52" s="1"/>
  <c r="K1360" i="52"/>
  <c r="L1360" i="52" s="1"/>
  <c r="M1360" i="52" s="1"/>
  <c r="N1360" i="52" s="1"/>
  <c r="I1359" i="52"/>
  <c r="J1359" i="52" s="1"/>
  <c r="L1359" i="52" s="1"/>
  <c r="M1359" i="52" s="1"/>
  <c r="N1359" i="52" s="1"/>
  <c r="L1354" i="52"/>
  <c r="M1354" i="52" s="1"/>
  <c r="N1354" i="52" s="1"/>
  <c r="K1354" i="52"/>
  <c r="F1353" i="52"/>
  <c r="F1355" i="52" s="1"/>
  <c r="J1355" i="52" s="1"/>
  <c r="K1352" i="52"/>
  <c r="L1352" i="52" s="1"/>
  <c r="M1352" i="52" s="1"/>
  <c r="N1352" i="52" s="1"/>
  <c r="P1339" i="52"/>
  <c r="I1339" i="52"/>
  <c r="P1338" i="52"/>
  <c r="I1338" i="52"/>
  <c r="P1337" i="52"/>
  <c r="I1337" i="52"/>
  <c r="P1336" i="52"/>
  <c r="I1336" i="52"/>
  <c r="P1335" i="52"/>
  <c r="I1335" i="52"/>
  <c r="P1334" i="52"/>
  <c r="I1334" i="52"/>
  <c r="P1333" i="52"/>
  <c r="I1333" i="52"/>
  <c r="P1332" i="52"/>
  <c r="I1332" i="52"/>
  <c r="I1331" i="52"/>
  <c r="P1330" i="52"/>
  <c r="I1330" i="52"/>
  <c r="I1329" i="52"/>
  <c r="I1328" i="52"/>
  <c r="P1327" i="52"/>
  <c r="I1327" i="52"/>
  <c r="P1326" i="52"/>
  <c r="I1326" i="52"/>
  <c r="I1325" i="52"/>
  <c r="M1323" i="52"/>
  <c r="N1323" i="52" s="1"/>
  <c r="K1323" i="52"/>
  <c r="L1323" i="52" s="1"/>
  <c r="K1319" i="52"/>
  <c r="L1319" i="52" s="1"/>
  <c r="M1319" i="52" s="1"/>
  <c r="N1319" i="52" s="1"/>
  <c r="F1318" i="52"/>
  <c r="F1320" i="52" s="1"/>
  <c r="J1320" i="52" s="1"/>
  <c r="L1317" i="52"/>
  <c r="M1317" i="52" s="1"/>
  <c r="N1317" i="52" s="1"/>
  <c r="K1317" i="52"/>
  <c r="K1315" i="52"/>
  <c r="K1314" i="52"/>
  <c r="G1314" i="52"/>
  <c r="I1314" i="52" s="1"/>
  <c r="K1313" i="52"/>
  <c r="L1313" i="52" s="1"/>
  <c r="M1313" i="52" s="1"/>
  <c r="N1313" i="52" s="1"/>
  <c r="G1313" i="52"/>
  <c r="I1313" i="52" s="1"/>
  <c r="K1312" i="52"/>
  <c r="L1312" i="52" s="1"/>
  <c r="M1312" i="52" s="1"/>
  <c r="N1312" i="52" s="1"/>
  <c r="G1312" i="52"/>
  <c r="I1312" i="52" s="1"/>
  <c r="K1311" i="52"/>
  <c r="L1311" i="52" s="1"/>
  <c r="M1311" i="52" s="1"/>
  <c r="N1311" i="52" s="1"/>
  <c r="G1311" i="52"/>
  <c r="I1311" i="52" s="1"/>
  <c r="K1310" i="52"/>
  <c r="L1310" i="52" s="1"/>
  <c r="M1310" i="52" s="1"/>
  <c r="N1310" i="52" s="1"/>
  <c r="G1310" i="52"/>
  <c r="I1310" i="52" s="1"/>
  <c r="M1309" i="52"/>
  <c r="N1309" i="52" s="1"/>
  <c r="K1309" i="52"/>
  <c r="L1309" i="52" s="1"/>
  <c r="G1309" i="52"/>
  <c r="I1309" i="52" s="1"/>
  <c r="K1308" i="52"/>
  <c r="L1308" i="52" s="1"/>
  <c r="M1308" i="52" s="1"/>
  <c r="N1308" i="52" s="1"/>
  <c r="G1308" i="52"/>
  <c r="I1308" i="52" s="1"/>
  <c r="K1307" i="52"/>
  <c r="L1307" i="52" s="1"/>
  <c r="M1307" i="52" s="1"/>
  <c r="N1307" i="52" s="1"/>
  <c r="G1307" i="52"/>
  <c r="I1307" i="52" s="1"/>
  <c r="K1306" i="52"/>
  <c r="L1306" i="52" s="1"/>
  <c r="M1306" i="52" s="1"/>
  <c r="N1306" i="52" s="1"/>
  <c r="K1305" i="52"/>
  <c r="L1305" i="52" s="1"/>
  <c r="M1305" i="52" s="1"/>
  <c r="N1305" i="52" s="1"/>
  <c r="K1304" i="52"/>
  <c r="I1304" i="52"/>
  <c r="M1303" i="52"/>
  <c r="N1303" i="52" s="1"/>
  <c r="K1303" i="52"/>
  <c r="L1303" i="52" s="1"/>
  <c r="I1303" i="52"/>
  <c r="K1302" i="52"/>
  <c r="L1302" i="52" s="1"/>
  <c r="M1302" i="52" s="1"/>
  <c r="N1302" i="52" s="1"/>
  <c r="I1302" i="52"/>
  <c r="K1301" i="52"/>
  <c r="L1301" i="52" s="1"/>
  <c r="M1301" i="52" s="1"/>
  <c r="N1301" i="52" s="1"/>
  <c r="I1301" i="52"/>
  <c r="L1300" i="52"/>
  <c r="M1300" i="52" s="1"/>
  <c r="N1300" i="52" s="1"/>
  <c r="K1300" i="52"/>
  <c r="I1300" i="52"/>
  <c r="K1299" i="52"/>
  <c r="L1299" i="52" s="1"/>
  <c r="M1299" i="52" s="1"/>
  <c r="N1299" i="52" s="1"/>
  <c r="I1299" i="52"/>
  <c r="K1298" i="52"/>
  <c r="L1298" i="52" s="1"/>
  <c r="M1298" i="52" s="1"/>
  <c r="N1298" i="52" s="1"/>
  <c r="I1298" i="52"/>
  <c r="K1297" i="52"/>
  <c r="L1297" i="52" s="1"/>
  <c r="M1297" i="52" s="1"/>
  <c r="N1297" i="52" s="1"/>
  <c r="I1297" i="52"/>
  <c r="K1296" i="52"/>
  <c r="L1296" i="52" s="1"/>
  <c r="M1296" i="52" s="1"/>
  <c r="N1296" i="52" s="1"/>
  <c r="L1295" i="52"/>
  <c r="M1295" i="52" s="1"/>
  <c r="N1295" i="52" s="1"/>
  <c r="K1295" i="52"/>
  <c r="K1294" i="52"/>
  <c r="L1294" i="52" s="1"/>
  <c r="M1294" i="52" s="1"/>
  <c r="N1294" i="52" s="1"/>
  <c r="K1292" i="52"/>
  <c r="K1291" i="52"/>
  <c r="H1291" i="52"/>
  <c r="I1291" i="52" s="1"/>
  <c r="K1290" i="52"/>
  <c r="L1290" i="52" s="1"/>
  <c r="M1290" i="52" s="1"/>
  <c r="N1290" i="52" s="1"/>
  <c r="I1290" i="52"/>
  <c r="H1290" i="52"/>
  <c r="K1289" i="52"/>
  <c r="L1289" i="52" s="1"/>
  <c r="M1289" i="52" s="1"/>
  <c r="N1289" i="52" s="1"/>
  <c r="H1289" i="52"/>
  <c r="I1289" i="52" s="1"/>
  <c r="N1288" i="52"/>
  <c r="K1288" i="52"/>
  <c r="L1288" i="52" s="1"/>
  <c r="M1288" i="52" s="1"/>
  <c r="H1288" i="52"/>
  <c r="I1288" i="52" s="1"/>
  <c r="K1287" i="52"/>
  <c r="L1287" i="52" s="1"/>
  <c r="M1287" i="52" s="1"/>
  <c r="N1287" i="52" s="1"/>
  <c r="H1287" i="52"/>
  <c r="I1287" i="52" s="1"/>
  <c r="K1286" i="52"/>
  <c r="L1286" i="52" s="1"/>
  <c r="M1286" i="52" s="1"/>
  <c r="N1286" i="52" s="1"/>
  <c r="I1286" i="52"/>
  <c r="H1286" i="52"/>
  <c r="K1285" i="52"/>
  <c r="L1285" i="52" s="1"/>
  <c r="M1285" i="52" s="1"/>
  <c r="N1285" i="52" s="1"/>
  <c r="H1285" i="52"/>
  <c r="I1285" i="52" s="1"/>
  <c r="N1284" i="52"/>
  <c r="K1284" i="52"/>
  <c r="L1284" i="52" s="1"/>
  <c r="M1284" i="52" s="1"/>
  <c r="H1284" i="52"/>
  <c r="I1284" i="52" s="1"/>
  <c r="K1283" i="52"/>
  <c r="L1283" i="52" s="1"/>
  <c r="M1283" i="52" s="1"/>
  <c r="N1283" i="52" s="1"/>
  <c r="H1283" i="52"/>
  <c r="I1283" i="52" s="1"/>
  <c r="K1282" i="52"/>
  <c r="L1282" i="52" s="1"/>
  <c r="M1282" i="52" s="1"/>
  <c r="N1282" i="52" s="1"/>
  <c r="H1282" i="52"/>
  <c r="I1282" i="52" s="1"/>
  <c r="L1281" i="52"/>
  <c r="M1281" i="52" s="1"/>
  <c r="N1281" i="52" s="1"/>
  <c r="K1281" i="52"/>
  <c r="H1281" i="52"/>
  <c r="I1281" i="52" s="1"/>
  <c r="K1280" i="52"/>
  <c r="L1280" i="52" s="1"/>
  <c r="M1280" i="52" s="1"/>
  <c r="N1280" i="52" s="1"/>
  <c r="H1280" i="52"/>
  <c r="I1280" i="52" s="1"/>
  <c r="K1279" i="52"/>
  <c r="L1279" i="52" s="1"/>
  <c r="M1279" i="52" s="1"/>
  <c r="N1279" i="52" s="1"/>
  <c r="H1279" i="52"/>
  <c r="I1279" i="52" s="1"/>
  <c r="K1278" i="52"/>
  <c r="L1278" i="52" s="1"/>
  <c r="M1278" i="52" s="1"/>
  <c r="N1278" i="52" s="1"/>
  <c r="H1278" i="52"/>
  <c r="I1278" i="52" s="1"/>
  <c r="K1277" i="52"/>
  <c r="L1277" i="52" s="1"/>
  <c r="M1277" i="52" s="1"/>
  <c r="N1277" i="52" s="1"/>
  <c r="H1277" i="52"/>
  <c r="I1277" i="52" s="1"/>
  <c r="K1276" i="52"/>
  <c r="L1276" i="52" s="1"/>
  <c r="M1276" i="52" s="1"/>
  <c r="N1276" i="52" s="1"/>
  <c r="I1276" i="52"/>
  <c r="H1276" i="52"/>
  <c r="K1275" i="52"/>
  <c r="L1275" i="52" s="1"/>
  <c r="M1275" i="52" s="1"/>
  <c r="N1275" i="52" s="1"/>
  <c r="H1275" i="52"/>
  <c r="I1275" i="52" s="1"/>
  <c r="K1274" i="52"/>
  <c r="L1274" i="52" s="1"/>
  <c r="M1274" i="52" s="1"/>
  <c r="N1274" i="52" s="1"/>
  <c r="H1274" i="52"/>
  <c r="I1274" i="52" s="1"/>
  <c r="L1273" i="52"/>
  <c r="M1273" i="52" s="1"/>
  <c r="N1273" i="52" s="1"/>
  <c r="K1273" i="52"/>
  <c r="H1273" i="52"/>
  <c r="I1273" i="52" s="1"/>
  <c r="K1272" i="52"/>
  <c r="L1272" i="52" s="1"/>
  <c r="M1272" i="52" s="1"/>
  <c r="N1272" i="52" s="1"/>
  <c r="H1272" i="52"/>
  <c r="I1272" i="52" s="1"/>
  <c r="L1271" i="52"/>
  <c r="M1271" i="52" s="1"/>
  <c r="N1271" i="52" s="1"/>
  <c r="K1271" i="52"/>
  <c r="H1271" i="52"/>
  <c r="I1271" i="52" s="1"/>
  <c r="K1270" i="52"/>
  <c r="L1270" i="52" s="1"/>
  <c r="M1270" i="52" s="1"/>
  <c r="N1270" i="52" s="1"/>
  <c r="H1270" i="52"/>
  <c r="I1270" i="52" s="1"/>
  <c r="K1269" i="52"/>
  <c r="L1269" i="52" s="1"/>
  <c r="M1269" i="52" s="1"/>
  <c r="N1269" i="52" s="1"/>
  <c r="H1269" i="52"/>
  <c r="I1269" i="52" s="1"/>
  <c r="N1268" i="52"/>
  <c r="K1268" i="52"/>
  <c r="L1268" i="52" s="1"/>
  <c r="M1268" i="52" s="1"/>
  <c r="H1268" i="52"/>
  <c r="I1268" i="52" s="1"/>
  <c r="L1267" i="52"/>
  <c r="M1267" i="52" s="1"/>
  <c r="N1267" i="52" s="1"/>
  <c r="K1267" i="52"/>
  <c r="H1267" i="52"/>
  <c r="I1267" i="52" s="1"/>
  <c r="K1266" i="52"/>
  <c r="L1266" i="52" s="1"/>
  <c r="M1266" i="52" s="1"/>
  <c r="N1266" i="52" s="1"/>
  <c r="I1266" i="52"/>
  <c r="H1266" i="52"/>
  <c r="K1265" i="52"/>
  <c r="L1265" i="52" s="1"/>
  <c r="M1265" i="52" s="1"/>
  <c r="N1265" i="52" s="1"/>
  <c r="H1265" i="52"/>
  <c r="I1265" i="52" s="1"/>
  <c r="K1264" i="52"/>
  <c r="L1264" i="52" s="1"/>
  <c r="M1264" i="52" s="1"/>
  <c r="N1264" i="52" s="1"/>
  <c r="I1264" i="52"/>
  <c r="H1264" i="52"/>
  <c r="K1263" i="52"/>
  <c r="L1263" i="52" s="1"/>
  <c r="M1263" i="52" s="1"/>
  <c r="N1263" i="52" s="1"/>
  <c r="H1263" i="52"/>
  <c r="I1263" i="52" s="1"/>
  <c r="K1262" i="52"/>
  <c r="L1262" i="52" s="1"/>
  <c r="M1262" i="52" s="1"/>
  <c r="N1262" i="52" s="1"/>
  <c r="H1262" i="52"/>
  <c r="I1262" i="52" s="1"/>
  <c r="L1261" i="52"/>
  <c r="M1261" i="52" s="1"/>
  <c r="N1261" i="52" s="1"/>
  <c r="K1261" i="52"/>
  <c r="H1261" i="52"/>
  <c r="I1261" i="52" s="1"/>
  <c r="K1260" i="52"/>
  <c r="L1260" i="52" s="1"/>
  <c r="M1260" i="52" s="1"/>
  <c r="N1260" i="52" s="1"/>
  <c r="I1260" i="52"/>
  <c r="H1260" i="52"/>
  <c r="K1259" i="52"/>
  <c r="L1259" i="52" s="1"/>
  <c r="M1259" i="52" s="1"/>
  <c r="N1259" i="52" s="1"/>
  <c r="H1259" i="52"/>
  <c r="I1259" i="52" s="1"/>
  <c r="K1258" i="52"/>
  <c r="L1258" i="52" s="1"/>
  <c r="M1258" i="52" s="1"/>
  <c r="N1258" i="52" s="1"/>
  <c r="H1258" i="52"/>
  <c r="I1258" i="52" s="1"/>
  <c r="L1257" i="52"/>
  <c r="M1257" i="52" s="1"/>
  <c r="N1257" i="52" s="1"/>
  <c r="K1257" i="52"/>
  <c r="K1256" i="52"/>
  <c r="L1256" i="52" s="1"/>
  <c r="M1256" i="52" s="1"/>
  <c r="N1256" i="52" s="1"/>
  <c r="I1255" i="52"/>
  <c r="K1254" i="52"/>
  <c r="L1254" i="52" s="1"/>
  <c r="M1254" i="52" s="1"/>
  <c r="N1254" i="52" s="1"/>
  <c r="I1254" i="52"/>
  <c r="K1253" i="52"/>
  <c r="L1253" i="52" s="1"/>
  <c r="M1253" i="52" s="1"/>
  <c r="N1253" i="52" s="1"/>
  <c r="I1253" i="52"/>
  <c r="K1252" i="52"/>
  <c r="L1252" i="52" s="1"/>
  <c r="M1252" i="52" s="1"/>
  <c r="N1252" i="52" s="1"/>
  <c r="I1252" i="52"/>
  <c r="K1251" i="52"/>
  <c r="L1251" i="52" s="1"/>
  <c r="M1251" i="52" s="1"/>
  <c r="N1251" i="52" s="1"/>
  <c r="I1251" i="52"/>
  <c r="K1250" i="52"/>
  <c r="L1250" i="52" s="1"/>
  <c r="M1250" i="52" s="1"/>
  <c r="N1250" i="52" s="1"/>
  <c r="I1250" i="52"/>
  <c r="K1249" i="52"/>
  <c r="L1249" i="52" s="1"/>
  <c r="M1249" i="52" s="1"/>
  <c r="N1249" i="52" s="1"/>
  <c r="I1249" i="52"/>
  <c r="L1248" i="52"/>
  <c r="M1248" i="52" s="1"/>
  <c r="N1248" i="52" s="1"/>
  <c r="K1248" i="52"/>
  <c r="I1248" i="52"/>
  <c r="L1247" i="52"/>
  <c r="M1247" i="52" s="1"/>
  <c r="N1247" i="52" s="1"/>
  <c r="K1247" i="52"/>
  <c r="I1247" i="52"/>
  <c r="K1246" i="52"/>
  <c r="L1246" i="52" s="1"/>
  <c r="M1246" i="52" s="1"/>
  <c r="N1246" i="52" s="1"/>
  <c r="I1246" i="52"/>
  <c r="K1245" i="52"/>
  <c r="L1245" i="52" s="1"/>
  <c r="M1245" i="52" s="1"/>
  <c r="N1245" i="52" s="1"/>
  <c r="I1245" i="52"/>
  <c r="K1244" i="52"/>
  <c r="L1244" i="52" s="1"/>
  <c r="M1244" i="52" s="1"/>
  <c r="N1244" i="52" s="1"/>
  <c r="I1244" i="52"/>
  <c r="L1243" i="52"/>
  <c r="M1243" i="52" s="1"/>
  <c r="N1243" i="52" s="1"/>
  <c r="K1243" i="52"/>
  <c r="I1243" i="52"/>
  <c r="K1242" i="52"/>
  <c r="L1242" i="52" s="1"/>
  <c r="M1242" i="52" s="1"/>
  <c r="N1242" i="52" s="1"/>
  <c r="I1242" i="52"/>
  <c r="K1241" i="52"/>
  <c r="L1241" i="52" s="1"/>
  <c r="M1241" i="52" s="1"/>
  <c r="N1241" i="52" s="1"/>
  <c r="I1241" i="52"/>
  <c r="K1240" i="52"/>
  <c r="L1240" i="52" s="1"/>
  <c r="M1240" i="52" s="1"/>
  <c r="N1240" i="52" s="1"/>
  <c r="I1240" i="52"/>
  <c r="K1239" i="52"/>
  <c r="L1239" i="52" s="1"/>
  <c r="M1239" i="52" s="1"/>
  <c r="N1239" i="52" s="1"/>
  <c r="I1239" i="52"/>
  <c r="K1238" i="52"/>
  <c r="L1238" i="52" s="1"/>
  <c r="M1238" i="52" s="1"/>
  <c r="N1238" i="52" s="1"/>
  <c r="I1238" i="52"/>
  <c r="K1237" i="52"/>
  <c r="L1237" i="52" s="1"/>
  <c r="M1237" i="52" s="1"/>
  <c r="N1237" i="52" s="1"/>
  <c r="I1237" i="52"/>
  <c r="K1236" i="52"/>
  <c r="L1236" i="52" s="1"/>
  <c r="M1236" i="52" s="1"/>
  <c r="N1236" i="52" s="1"/>
  <c r="I1236" i="52"/>
  <c r="K1235" i="52"/>
  <c r="L1235" i="52" s="1"/>
  <c r="M1235" i="52" s="1"/>
  <c r="N1235" i="52" s="1"/>
  <c r="I1235" i="52"/>
  <c r="K1234" i="52"/>
  <c r="L1234" i="52" s="1"/>
  <c r="M1234" i="52" s="1"/>
  <c r="N1234" i="52" s="1"/>
  <c r="I1234" i="52"/>
  <c r="K1233" i="52"/>
  <c r="L1233" i="52" s="1"/>
  <c r="M1233" i="52" s="1"/>
  <c r="N1233" i="52" s="1"/>
  <c r="I1233" i="52"/>
  <c r="L1232" i="52"/>
  <c r="M1232" i="52" s="1"/>
  <c r="N1232" i="52" s="1"/>
  <c r="K1232" i="52"/>
  <c r="I1232" i="52"/>
  <c r="M1231" i="52"/>
  <c r="N1231" i="52" s="1"/>
  <c r="L1231" i="52"/>
  <c r="K1231" i="52"/>
  <c r="I1231" i="52"/>
  <c r="K1230" i="52"/>
  <c r="L1230" i="52" s="1"/>
  <c r="M1230" i="52" s="1"/>
  <c r="N1230" i="52" s="1"/>
  <c r="I1230" i="52"/>
  <c r="K1229" i="52"/>
  <c r="L1229" i="52" s="1"/>
  <c r="M1229" i="52" s="1"/>
  <c r="N1229" i="52" s="1"/>
  <c r="I1229" i="52"/>
  <c r="L1228" i="52"/>
  <c r="M1228" i="52" s="1"/>
  <c r="N1228" i="52" s="1"/>
  <c r="K1228" i="52"/>
  <c r="I1228" i="52"/>
  <c r="K1227" i="52"/>
  <c r="L1227" i="52" s="1"/>
  <c r="M1227" i="52" s="1"/>
  <c r="N1227" i="52" s="1"/>
  <c r="I1227" i="52"/>
  <c r="K1226" i="52"/>
  <c r="L1226" i="52" s="1"/>
  <c r="M1226" i="52" s="1"/>
  <c r="N1226" i="52" s="1"/>
  <c r="I1226" i="52"/>
  <c r="K1225" i="52"/>
  <c r="L1225" i="52" s="1"/>
  <c r="M1225" i="52" s="1"/>
  <c r="N1225" i="52" s="1"/>
  <c r="I1225" i="52"/>
  <c r="K1224" i="52"/>
  <c r="L1224" i="52" s="1"/>
  <c r="M1224" i="52" s="1"/>
  <c r="N1224" i="52" s="1"/>
  <c r="I1224" i="52"/>
  <c r="K1223" i="52"/>
  <c r="L1223" i="52" s="1"/>
  <c r="M1223" i="52" s="1"/>
  <c r="N1223" i="52" s="1"/>
  <c r="I1223" i="52"/>
  <c r="K1222" i="52"/>
  <c r="L1222" i="52" s="1"/>
  <c r="M1222" i="52" s="1"/>
  <c r="N1222" i="52" s="1"/>
  <c r="I1222" i="52"/>
  <c r="K1221" i="52"/>
  <c r="L1221" i="52" s="1"/>
  <c r="M1221" i="52" s="1"/>
  <c r="N1221" i="52" s="1"/>
  <c r="K1220" i="52"/>
  <c r="L1220" i="52" s="1"/>
  <c r="M1220" i="52" s="1"/>
  <c r="N1220" i="52" s="1"/>
  <c r="K1219" i="52"/>
  <c r="L1219" i="52" s="1"/>
  <c r="M1219" i="52" s="1"/>
  <c r="N1219" i="52" s="1"/>
  <c r="K1218" i="52"/>
  <c r="K1217" i="52"/>
  <c r="K1216" i="52"/>
  <c r="K1215" i="52"/>
  <c r="F1215" i="52"/>
  <c r="I1215" i="52" s="1"/>
  <c r="K1214" i="52"/>
  <c r="L1214" i="52" s="1"/>
  <c r="M1214" i="52" s="1"/>
  <c r="N1214" i="52" s="1"/>
  <c r="I1214" i="52"/>
  <c r="K1213" i="52"/>
  <c r="L1213" i="52" s="1"/>
  <c r="M1213" i="52" s="1"/>
  <c r="N1213" i="52" s="1"/>
  <c r="I1213" i="52"/>
  <c r="K1212" i="52"/>
  <c r="L1212" i="52" s="1"/>
  <c r="M1212" i="52" s="1"/>
  <c r="N1212" i="52" s="1"/>
  <c r="I1212" i="52"/>
  <c r="K1211" i="52"/>
  <c r="L1211" i="52" s="1"/>
  <c r="M1211" i="52" s="1"/>
  <c r="N1211" i="52" s="1"/>
  <c r="I1211" i="52"/>
  <c r="K1210" i="52"/>
  <c r="L1210" i="52" s="1"/>
  <c r="M1210" i="52" s="1"/>
  <c r="N1210" i="52" s="1"/>
  <c r="I1210" i="52"/>
  <c r="K1209" i="52"/>
  <c r="L1209" i="52" s="1"/>
  <c r="M1209" i="52" s="1"/>
  <c r="N1209" i="52" s="1"/>
  <c r="I1209" i="52"/>
  <c r="K1208" i="52"/>
  <c r="L1208" i="52" s="1"/>
  <c r="M1208" i="52" s="1"/>
  <c r="N1208" i="52" s="1"/>
  <c r="I1208" i="52"/>
  <c r="K1207" i="52"/>
  <c r="L1207" i="52" s="1"/>
  <c r="M1207" i="52" s="1"/>
  <c r="N1207" i="52" s="1"/>
  <c r="I1207" i="52"/>
  <c r="L1206" i="52"/>
  <c r="M1206" i="52" s="1"/>
  <c r="N1206" i="52" s="1"/>
  <c r="K1206" i="52"/>
  <c r="I1206" i="52"/>
  <c r="L1205" i="52"/>
  <c r="M1205" i="52" s="1"/>
  <c r="N1205" i="52" s="1"/>
  <c r="K1205" i="52"/>
  <c r="I1205" i="52"/>
  <c r="N1204" i="52"/>
  <c r="K1204" i="52"/>
  <c r="L1204" i="52" s="1"/>
  <c r="M1204" i="52" s="1"/>
  <c r="I1204" i="52"/>
  <c r="K1203" i="52"/>
  <c r="L1203" i="52" s="1"/>
  <c r="M1203" i="52" s="1"/>
  <c r="N1203" i="52" s="1"/>
  <c r="F1203" i="52"/>
  <c r="I1203" i="52" s="1"/>
  <c r="P1202" i="52"/>
  <c r="K1202" i="52"/>
  <c r="L1202" i="52" s="1"/>
  <c r="M1202" i="52" s="1"/>
  <c r="N1202" i="52" s="1"/>
  <c r="I1202" i="52"/>
  <c r="L1201" i="52"/>
  <c r="M1201" i="52" s="1"/>
  <c r="N1201" i="52" s="1"/>
  <c r="K1201" i="52"/>
  <c r="K1200" i="52"/>
  <c r="F1200" i="52"/>
  <c r="I1200" i="52" s="1"/>
  <c r="P1206" i="52" s="1"/>
  <c r="K1199" i="52"/>
  <c r="L1199" i="52" s="1"/>
  <c r="M1199" i="52" s="1"/>
  <c r="N1199" i="52" s="1"/>
  <c r="I1199" i="52"/>
  <c r="K1198" i="52"/>
  <c r="L1198" i="52" s="1"/>
  <c r="M1198" i="52" s="1"/>
  <c r="N1198" i="52" s="1"/>
  <c r="I1198" i="52"/>
  <c r="L1197" i="52"/>
  <c r="M1197" i="52" s="1"/>
  <c r="N1197" i="52" s="1"/>
  <c r="K1197" i="52"/>
  <c r="I1197" i="52"/>
  <c r="K1196" i="52"/>
  <c r="L1196" i="52" s="1"/>
  <c r="M1196" i="52" s="1"/>
  <c r="N1196" i="52" s="1"/>
  <c r="I1196" i="52"/>
  <c r="F1196" i="52"/>
  <c r="L1195" i="52"/>
  <c r="M1195" i="52" s="1"/>
  <c r="N1195" i="52" s="1"/>
  <c r="K1195" i="52"/>
  <c r="I1195" i="52"/>
  <c r="K1194" i="52"/>
  <c r="L1194" i="52" s="1"/>
  <c r="M1194" i="52" s="1"/>
  <c r="N1194" i="52" s="1"/>
  <c r="I1194" i="52"/>
  <c r="K1193" i="52"/>
  <c r="L1193" i="52" s="1"/>
  <c r="M1193" i="52" s="1"/>
  <c r="N1193" i="52" s="1"/>
  <c r="I1193" i="52"/>
  <c r="P1192" i="52"/>
  <c r="K1192" i="52"/>
  <c r="L1192" i="52" s="1"/>
  <c r="M1192" i="52" s="1"/>
  <c r="N1192" i="52" s="1"/>
  <c r="I1192" i="52"/>
  <c r="N1191" i="52"/>
  <c r="K1191" i="52"/>
  <c r="L1191" i="52" s="1"/>
  <c r="M1191" i="52" s="1"/>
  <c r="F1191" i="52"/>
  <c r="I1191" i="52" s="1"/>
  <c r="Q1190" i="52"/>
  <c r="P1190" i="52"/>
  <c r="K1190" i="52"/>
  <c r="L1190" i="52" s="1"/>
  <c r="M1190" i="52" s="1"/>
  <c r="N1190" i="52" s="1"/>
  <c r="I1190" i="52"/>
  <c r="L1189" i="52"/>
  <c r="M1189" i="52" s="1"/>
  <c r="N1189" i="52" s="1"/>
  <c r="K1189" i="52"/>
  <c r="K1188" i="52"/>
  <c r="F1188" i="52"/>
  <c r="I1188" i="52" s="1"/>
  <c r="L1187" i="52"/>
  <c r="M1187" i="52" s="1"/>
  <c r="N1187" i="52" s="1"/>
  <c r="K1187" i="52"/>
  <c r="Q1186" i="52"/>
  <c r="L1186" i="52"/>
  <c r="M1186" i="52" s="1"/>
  <c r="N1186" i="52" s="1"/>
  <c r="K1186" i="52"/>
  <c r="F1186" i="52"/>
  <c r="P1185" i="52"/>
  <c r="L1185" i="52"/>
  <c r="M1185" i="52" s="1"/>
  <c r="N1185" i="52" s="1"/>
  <c r="K1185" i="52"/>
  <c r="F1185" i="52"/>
  <c r="I1185" i="52" s="1"/>
  <c r="K1184" i="52"/>
  <c r="L1184" i="52" s="1"/>
  <c r="M1184" i="52" s="1"/>
  <c r="N1184" i="52" s="1"/>
  <c r="I1184" i="52"/>
  <c r="N1183" i="52"/>
  <c r="K1183" i="52"/>
  <c r="L1183" i="52" s="1"/>
  <c r="M1183" i="52" s="1"/>
  <c r="I1183" i="52"/>
  <c r="K1182" i="52"/>
  <c r="L1182" i="52" s="1"/>
  <c r="M1182" i="52" s="1"/>
  <c r="N1182" i="52" s="1"/>
  <c r="I1182" i="52"/>
  <c r="K1181" i="52"/>
  <c r="L1181" i="52" s="1"/>
  <c r="M1181" i="52" s="1"/>
  <c r="N1181" i="52" s="1"/>
  <c r="I1181" i="52"/>
  <c r="K1180" i="52"/>
  <c r="L1180" i="52" s="1"/>
  <c r="M1180" i="52" s="1"/>
  <c r="N1180" i="52" s="1"/>
  <c r="I1180" i="52"/>
  <c r="K1179" i="52"/>
  <c r="L1179" i="52" s="1"/>
  <c r="M1179" i="52" s="1"/>
  <c r="N1179" i="52" s="1"/>
  <c r="I1179" i="52"/>
  <c r="K1178" i="52"/>
  <c r="L1178" i="52" s="1"/>
  <c r="M1178" i="52" s="1"/>
  <c r="N1178" i="52" s="1"/>
  <c r="F1178" i="52"/>
  <c r="I1178" i="52" s="1"/>
  <c r="Q1177" i="52"/>
  <c r="P1177" i="52"/>
  <c r="K1177" i="52"/>
  <c r="L1177" i="52" s="1"/>
  <c r="M1177" i="52" s="1"/>
  <c r="N1177" i="52" s="1"/>
  <c r="I1177" i="52"/>
  <c r="K1176" i="52"/>
  <c r="L1176" i="52" s="1"/>
  <c r="M1176" i="52" s="1"/>
  <c r="N1176" i="52" s="1"/>
  <c r="Q1175" i="52"/>
  <c r="P1175" i="52"/>
  <c r="K1175" i="52"/>
  <c r="F1175" i="52"/>
  <c r="I1175" i="52" s="1"/>
  <c r="Q1174" i="52"/>
  <c r="P1174" i="52"/>
  <c r="K1174" i="52"/>
  <c r="L1174" i="52" s="1"/>
  <c r="M1174" i="52" s="1"/>
  <c r="N1174" i="52" s="1"/>
  <c r="P1173" i="52"/>
  <c r="L1173" i="52"/>
  <c r="M1173" i="52" s="1"/>
  <c r="N1173" i="52" s="1"/>
  <c r="K1173" i="52"/>
  <c r="Q1172" i="52"/>
  <c r="P1172" i="52"/>
  <c r="L1172" i="52"/>
  <c r="M1172" i="52" s="1"/>
  <c r="N1172" i="52" s="1"/>
  <c r="K1172" i="52"/>
  <c r="F1172" i="52"/>
  <c r="I1172" i="52" s="1"/>
  <c r="K1171" i="52"/>
  <c r="L1171" i="52" s="1"/>
  <c r="M1171" i="52" s="1"/>
  <c r="N1171" i="52" s="1"/>
  <c r="I1171" i="52"/>
  <c r="K1170" i="52"/>
  <c r="L1170" i="52" s="1"/>
  <c r="M1170" i="52" s="1"/>
  <c r="N1170" i="52" s="1"/>
  <c r="K1169" i="52"/>
  <c r="L1169" i="52" s="1"/>
  <c r="M1169" i="52" s="1"/>
  <c r="N1169" i="52" s="1"/>
  <c r="K1167" i="52"/>
  <c r="K1166" i="52"/>
  <c r="K1165" i="52"/>
  <c r="L1165" i="52" s="1"/>
  <c r="M1165" i="52" s="1"/>
  <c r="N1165" i="52" s="1"/>
  <c r="I1165" i="52"/>
  <c r="H1165" i="52"/>
  <c r="K1164" i="52"/>
  <c r="L1164" i="52" s="1"/>
  <c r="M1164" i="52" s="1"/>
  <c r="N1164" i="52" s="1"/>
  <c r="H1164" i="52"/>
  <c r="I1164" i="52" s="1"/>
  <c r="K1163" i="52"/>
  <c r="L1163" i="52" s="1"/>
  <c r="M1163" i="52" s="1"/>
  <c r="N1163" i="52" s="1"/>
  <c r="H1163" i="52"/>
  <c r="I1163" i="52" s="1"/>
  <c r="L1162" i="52"/>
  <c r="M1162" i="52" s="1"/>
  <c r="N1162" i="52" s="1"/>
  <c r="K1162" i="52"/>
  <c r="H1162" i="52"/>
  <c r="I1162" i="52" s="1"/>
  <c r="K1161" i="52"/>
  <c r="L1161" i="52" s="1"/>
  <c r="M1161" i="52" s="1"/>
  <c r="N1161" i="52" s="1"/>
  <c r="H1161" i="52"/>
  <c r="I1161" i="52" s="1"/>
  <c r="K1160" i="52"/>
  <c r="L1160" i="52" s="1"/>
  <c r="M1160" i="52" s="1"/>
  <c r="N1160" i="52" s="1"/>
  <c r="H1160" i="52"/>
  <c r="I1160" i="52" s="1"/>
  <c r="K1159" i="52"/>
  <c r="L1159" i="52" s="1"/>
  <c r="M1159" i="52" s="1"/>
  <c r="N1159" i="52" s="1"/>
  <c r="H1159" i="52"/>
  <c r="I1159" i="52" s="1"/>
  <c r="K1158" i="52"/>
  <c r="L1158" i="52" s="1"/>
  <c r="M1158" i="52" s="1"/>
  <c r="N1158" i="52" s="1"/>
  <c r="H1158" i="52"/>
  <c r="I1158" i="52" s="1"/>
  <c r="K1157" i="52"/>
  <c r="L1157" i="52" s="1"/>
  <c r="M1157" i="52" s="1"/>
  <c r="N1157" i="52" s="1"/>
  <c r="I1157" i="52"/>
  <c r="H1157" i="52"/>
  <c r="K1156" i="52"/>
  <c r="L1156" i="52" s="1"/>
  <c r="M1156" i="52" s="1"/>
  <c r="N1156" i="52" s="1"/>
  <c r="H1156" i="52"/>
  <c r="I1156" i="52" s="1"/>
  <c r="K1155" i="52"/>
  <c r="L1155" i="52" s="1"/>
  <c r="M1155" i="52" s="1"/>
  <c r="N1155" i="52" s="1"/>
  <c r="H1155" i="52"/>
  <c r="I1155" i="52" s="1"/>
  <c r="L1154" i="52"/>
  <c r="M1154" i="52" s="1"/>
  <c r="N1154" i="52" s="1"/>
  <c r="K1154" i="52"/>
  <c r="H1154" i="52"/>
  <c r="I1154" i="52" s="1"/>
  <c r="K1153" i="52"/>
  <c r="L1153" i="52" s="1"/>
  <c r="M1153" i="52" s="1"/>
  <c r="N1153" i="52" s="1"/>
  <c r="H1153" i="52"/>
  <c r="I1153" i="52" s="1"/>
  <c r="K1152" i="52"/>
  <c r="L1152" i="52" s="1"/>
  <c r="M1152" i="52" s="1"/>
  <c r="N1152" i="52" s="1"/>
  <c r="H1152" i="52"/>
  <c r="I1152" i="52" s="1"/>
  <c r="K1151" i="52"/>
  <c r="L1151" i="52" s="1"/>
  <c r="M1151" i="52" s="1"/>
  <c r="N1151" i="52" s="1"/>
  <c r="H1151" i="52"/>
  <c r="I1151" i="52" s="1"/>
  <c r="K1150" i="52"/>
  <c r="L1150" i="52" s="1"/>
  <c r="M1150" i="52" s="1"/>
  <c r="N1150" i="52" s="1"/>
  <c r="H1150" i="52"/>
  <c r="I1150" i="52" s="1"/>
  <c r="K1149" i="52"/>
  <c r="L1149" i="52" s="1"/>
  <c r="M1149" i="52" s="1"/>
  <c r="N1149" i="52" s="1"/>
  <c r="I1149" i="52"/>
  <c r="H1149" i="52"/>
  <c r="K1148" i="52"/>
  <c r="L1148" i="52" s="1"/>
  <c r="M1148" i="52" s="1"/>
  <c r="N1148" i="52" s="1"/>
  <c r="H1148" i="52"/>
  <c r="I1148" i="52" s="1"/>
  <c r="K1147" i="52"/>
  <c r="L1147" i="52" s="1"/>
  <c r="M1147" i="52" s="1"/>
  <c r="N1147" i="52" s="1"/>
  <c r="H1147" i="52"/>
  <c r="I1147" i="52" s="1"/>
  <c r="L1146" i="52"/>
  <c r="M1146" i="52" s="1"/>
  <c r="N1146" i="52" s="1"/>
  <c r="K1146" i="52"/>
  <c r="H1146" i="52"/>
  <c r="I1146" i="52" s="1"/>
  <c r="K1145" i="52"/>
  <c r="L1145" i="52" s="1"/>
  <c r="M1145" i="52" s="1"/>
  <c r="N1145" i="52" s="1"/>
  <c r="H1145" i="52"/>
  <c r="I1145" i="52" s="1"/>
  <c r="K1144" i="52"/>
  <c r="L1144" i="52" s="1"/>
  <c r="M1144" i="52" s="1"/>
  <c r="N1144" i="52" s="1"/>
  <c r="H1144" i="52"/>
  <c r="I1144" i="52" s="1"/>
  <c r="K1143" i="52"/>
  <c r="L1143" i="52" s="1"/>
  <c r="M1143" i="52" s="1"/>
  <c r="N1143" i="52" s="1"/>
  <c r="H1143" i="52"/>
  <c r="I1143" i="52" s="1"/>
  <c r="K1142" i="52"/>
  <c r="L1142" i="52" s="1"/>
  <c r="M1142" i="52" s="1"/>
  <c r="N1142" i="52" s="1"/>
  <c r="H1142" i="52"/>
  <c r="I1142" i="52" s="1"/>
  <c r="K1141" i="52"/>
  <c r="L1141" i="52" s="1"/>
  <c r="M1141" i="52" s="1"/>
  <c r="N1141" i="52" s="1"/>
  <c r="I1141" i="52"/>
  <c r="H1141" i="52"/>
  <c r="K1140" i="52"/>
  <c r="L1140" i="52" s="1"/>
  <c r="M1140" i="52" s="1"/>
  <c r="N1140" i="52" s="1"/>
  <c r="H1140" i="52"/>
  <c r="I1140" i="52" s="1"/>
  <c r="K1139" i="52"/>
  <c r="L1139" i="52" s="1"/>
  <c r="M1139" i="52" s="1"/>
  <c r="N1139" i="52" s="1"/>
  <c r="H1139" i="52"/>
  <c r="I1139" i="52" s="1"/>
  <c r="L1138" i="52"/>
  <c r="M1138" i="52" s="1"/>
  <c r="N1138" i="52" s="1"/>
  <c r="K1138" i="52"/>
  <c r="H1138" i="52"/>
  <c r="I1138" i="52" s="1"/>
  <c r="K1137" i="52"/>
  <c r="L1137" i="52" s="1"/>
  <c r="M1137" i="52" s="1"/>
  <c r="N1137" i="52" s="1"/>
  <c r="H1137" i="52"/>
  <c r="I1137" i="52" s="1"/>
  <c r="K1136" i="52"/>
  <c r="L1136" i="52" s="1"/>
  <c r="M1136" i="52" s="1"/>
  <c r="N1136" i="52" s="1"/>
  <c r="H1136" i="52"/>
  <c r="I1136" i="52" s="1"/>
  <c r="K1135" i="52"/>
  <c r="L1135" i="52" s="1"/>
  <c r="M1135" i="52" s="1"/>
  <c r="N1135" i="52" s="1"/>
  <c r="H1135" i="52"/>
  <c r="I1135" i="52" s="1"/>
  <c r="K1134" i="52"/>
  <c r="L1134" i="52" s="1"/>
  <c r="M1134" i="52" s="1"/>
  <c r="N1134" i="52" s="1"/>
  <c r="H1134" i="52"/>
  <c r="I1134" i="52" s="1"/>
  <c r="K1133" i="52"/>
  <c r="L1133" i="52" s="1"/>
  <c r="M1133" i="52" s="1"/>
  <c r="N1133" i="52" s="1"/>
  <c r="I1133" i="52"/>
  <c r="H1133" i="52"/>
  <c r="K1132" i="52"/>
  <c r="L1132" i="52" s="1"/>
  <c r="M1132" i="52" s="1"/>
  <c r="N1132" i="52" s="1"/>
  <c r="H1132" i="52"/>
  <c r="I1132" i="52" s="1"/>
  <c r="K1131" i="52"/>
  <c r="L1131" i="52" s="1"/>
  <c r="M1131" i="52" s="1"/>
  <c r="N1131" i="52" s="1"/>
  <c r="H1131" i="52"/>
  <c r="I1131" i="52" s="1"/>
  <c r="L1130" i="52"/>
  <c r="M1130" i="52" s="1"/>
  <c r="N1130" i="52" s="1"/>
  <c r="K1130" i="52"/>
  <c r="H1130" i="52"/>
  <c r="I1130" i="52" s="1"/>
  <c r="K1129" i="52"/>
  <c r="L1129" i="52" s="1"/>
  <c r="M1129" i="52" s="1"/>
  <c r="N1129" i="52" s="1"/>
  <c r="H1129" i="52"/>
  <c r="I1129" i="52" s="1"/>
  <c r="K1128" i="52"/>
  <c r="L1128" i="52" s="1"/>
  <c r="M1128" i="52" s="1"/>
  <c r="N1128" i="52" s="1"/>
  <c r="H1128" i="52"/>
  <c r="I1128" i="52" s="1"/>
  <c r="K1127" i="52"/>
  <c r="L1127" i="52" s="1"/>
  <c r="M1127" i="52" s="1"/>
  <c r="N1127" i="52" s="1"/>
  <c r="H1127" i="52"/>
  <c r="I1127" i="52" s="1"/>
  <c r="K1126" i="52"/>
  <c r="L1126" i="52" s="1"/>
  <c r="M1126" i="52" s="1"/>
  <c r="N1126" i="52" s="1"/>
  <c r="K1125" i="52"/>
  <c r="L1125" i="52" s="1"/>
  <c r="M1125" i="52" s="1"/>
  <c r="N1125" i="52" s="1"/>
  <c r="P1124" i="52"/>
  <c r="I1124" i="52"/>
  <c r="P1123" i="52"/>
  <c r="K1123" i="52"/>
  <c r="L1123" i="52" s="1"/>
  <c r="M1123" i="52" s="1"/>
  <c r="N1123" i="52" s="1"/>
  <c r="I1123" i="52"/>
  <c r="P1122" i="52"/>
  <c r="K1122" i="52"/>
  <c r="L1122" i="52" s="1"/>
  <c r="M1122" i="52" s="1"/>
  <c r="N1122" i="52" s="1"/>
  <c r="I1122" i="52"/>
  <c r="P1121" i="52"/>
  <c r="K1121" i="52"/>
  <c r="L1121" i="52" s="1"/>
  <c r="M1121" i="52" s="1"/>
  <c r="N1121" i="52" s="1"/>
  <c r="I1121" i="52"/>
  <c r="P1120" i="52"/>
  <c r="K1120" i="52"/>
  <c r="L1120" i="52" s="1"/>
  <c r="M1120" i="52" s="1"/>
  <c r="N1120" i="52" s="1"/>
  <c r="I1120" i="52"/>
  <c r="P1119" i="52"/>
  <c r="K1119" i="52"/>
  <c r="L1119" i="52" s="1"/>
  <c r="M1119" i="52" s="1"/>
  <c r="N1119" i="52" s="1"/>
  <c r="I1119" i="52"/>
  <c r="P1118" i="52"/>
  <c r="I1118" i="52"/>
  <c r="P1117" i="52"/>
  <c r="L1117" i="52"/>
  <c r="M1117" i="52" s="1"/>
  <c r="N1117" i="52" s="1"/>
  <c r="K1117" i="52"/>
  <c r="I1117" i="52"/>
  <c r="P1116" i="52"/>
  <c r="N1116" i="52"/>
  <c r="K1116" i="52"/>
  <c r="L1116" i="52" s="1"/>
  <c r="M1116" i="52" s="1"/>
  <c r="I1116" i="52"/>
  <c r="P1115" i="52"/>
  <c r="K1115" i="52"/>
  <c r="L1115" i="52" s="1"/>
  <c r="M1115" i="52" s="1"/>
  <c r="N1115" i="52" s="1"/>
  <c r="I1115" i="52"/>
  <c r="P1114" i="52"/>
  <c r="K1114" i="52"/>
  <c r="L1114" i="52" s="1"/>
  <c r="M1114" i="52" s="1"/>
  <c r="N1114" i="52" s="1"/>
  <c r="I1114" i="52"/>
  <c r="P1113" i="52"/>
  <c r="K1113" i="52"/>
  <c r="L1113" i="52" s="1"/>
  <c r="M1113" i="52" s="1"/>
  <c r="N1113" i="52" s="1"/>
  <c r="I1113" i="52"/>
  <c r="P1112" i="52"/>
  <c r="K1112" i="52"/>
  <c r="L1112" i="52" s="1"/>
  <c r="M1112" i="52" s="1"/>
  <c r="N1112" i="52" s="1"/>
  <c r="I1112" i="52"/>
  <c r="P1111" i="52"/>
  <c r="K1111" i="52"/>
  <c r="L1111" i="52" s="1"/>
  <c r="M1111" i="52" s="1"/>
  <c r="N1111" i="52" s="1"/>
  <c r="I1111" i="52"/>
  <c r="P1110" i="52"/>
  <c r="K1110" i="52"/>
  <c r="L1110" i="52" s="1"/>
  <c r="M1110" i="52" s="1"/>
  <c r="N1110" i="52" s="1"/>
  <c r="I1110" i="52"/>
  <c r="P1109" i="52"/>
  <c r="L1109" i="52"/>
  <c r="M1109" i="52" s="1"/>
  <c r="N1109" i="52" s="1"/>
  <c r="K1109" i="52"/>
  <c r="I1109" i="52"/>
  <c r="P1108" i="52"/>
  <c r="N1108" i="52"/>
  <c r="K1108" i="52"/>
  <c r="L1108" i="52" s="1"/>
  <c r="M1108" i="52" s="1"/>
  <c r="I1108" i="52"/>
  <c r="P1107" i="52"/>
  <c r="K1107" i="52"/>
  <c r="L1107" i="52" s="1"/>
  <c r="M1107" i="52" s="1"/>
  <c r="N1107" i="52" s="1"/>
  <c r="I1107" i="52"/>
  <c r="P1106" i="52"/>
  <c r="K1106" i="52"/>
  <c r="L1106" i="52" s="1"/>
  <c r="M1106" i="52" s="1"/>
  <c r="N1106" i="52" s="1"/>
  <c r="I1106" i="52"/>
  <c r="P1105" i="52"/>
  <c r="K1105" i="52"/>
  <c r="L1105" i="52" s="1"/>
  <c r="M1105" i="52" s="1"/>
  <c r="N1105" i="52" s="1"/>
  <c r="I1105" i="52"/>
  <c r="P1104" i="52"/>
  <c r="K1104" i="52"/>
  <c r="L1104" i="52" s="1"/>
  <c r="M1104" i="52" s="1"/>
  <c r="N1104" i="52" s="1"/>
  <c r="I1104" i="52"/>
  <c r="P1103" i="52"/>
  <c r="K1103" i="52"/>
  <c r="L1103" i="52" s="1"/>
  <c r="M1103" i="52" s="1"/>
  <c r="N1103" i="52" s="1"/>
  <c r="I1103" i="52"/>
  <c r="P1102" i="52"/>
  <c r="K1102" i="52"/>
  <c r="L1102" i="52" s="1"/>
  <c r="M1102" i="52" s="1"/>
  <c r="N1102" i="52" s="1"/>
  <c r="I1102" i="52"/>
  <c r="P1101" i="52"/>
  <c r="L1101" i="52"/>
  <c r="M1101" i="52" s="1"/>
  <c r="N1101" i="52" s="1"/>
  <c r="K1101" i="52"/>
  <c r="I1101" i="52"/>
  <c r="P1100" i="52"/>
  <c r="N1100" i="52"/>
  <c r="K1100" i="52"/>
  <c r="L1100" i="52" s="1"/>
  <c r="M1100" i="52" s="1"/>
  <c r="I1100" i="52"/>
  <c r="P1099" i="52"/>
  <c r="K1099" i="52"/>
  <c r="L1099" i="52" s="1"/>
  <c r="M1099" i="52" s="1"/>
  <c r="N1099" i="52" s="1"/>
  <c r="I1099" i="52"/>
  <c r="P1098" i="52"/>
  <c r="K1098" i="52"/>
  <c r="L1098" i="52" s="1"/>
  <c r="M1098" i="52" s="1"/>
  <c r="N1098" i="52" s="1"/>
  <c r="I1098" i="52"/>
  <c r="P1097" i="52"/>
  <c r="K1097" i="52"/>
  <c r="L1097" i="52" s="1"/>
  <c r="M1097" i="52" s="1"/>
  <c r="N1097" i="52" s="1"/>
  <c r="I1097" i="52"/>
  <c r="P1096" i="52"/>
  <c r="K1096" i="52"/>
  <c r="L1096" i="52" s="1"/>
  <c r="M1096" i="52" s="1"/>
  <c r="N1096" i="52" s="1"/>
  <c r="I1096" i="52"/>
  <c r="P1095" i="52"/>
  <c r="K1095" i="52"/>
  <c r="L1095" i="52" s="1"/>
  <c r="M1095" i="52" s="1"/>
  <c r="N1095" i="52" s="1"/>
  <c r="I1095" i="52"/>
  <c r="P1094" i="52"/>
  <c r="K1094" i="52"/>
  <c r="L1094" i="52" s="1"/>
  <c r="M1094" i="52" s="1"/>
  <c r="N1094" i="52" s="1"/>
  <c r="I1094" i="52"/>
  <c r="P1093" i="52"/>
  <c r="L1093" i="52"/>
  <c r="M1093" i="52" s="1"/>
  <c r="N1093" i="52" s="1"/>
  <c r="K1093" i="52"/>
  <c r="I1093" i="52"/>
  <c r="P1092" i="52"/>
  <c r="N1092" i="52"/>
  <c r="K1092" i="52"/>
  <c r="L1092" i="52" s="1"/>
  <c r="M1092" i="52" s="1"/>
  <c r="I1092" i="52"/>
  <c r="P1091" i="52"/>
  <c r="K1091" i="52"/>
  <c r="L1091" i="52" s="1"/>
  <c r="M1091" i="52" s="1"/>
  <c r="N1091" i="52" s="1"/>
  <c r="I1091" i="52"/>
  <c r="P1090" i="52"/>
  <c r="K1090" i="52"/>
  <c r="L1090" i="52" s="1"/>
  <c r="M1090" i="52" s="1"/>
  <c r="N1090" i="52" s="1"/>
  <c r="I1090" i="52"/>
  <c r="P1089" i="52"/>
  <c r="K1089" i="52"/>
  <c r="L1089" i="52" s="1"/>
  <c r="M1089" i="52" s="1"/>
  <c r="N1089" i="52" s="1"/>
  <c r="I1089" i="52"/>
  <c r="P1088" i="52"/>
  <c r="K1088" i="52"/>
  <c r="L1088" i="52" s="1"/>
  <c r="M1088" i="52" s="1"/>
  <c r="N1088" i="52" s="1"/>
  <c r="I1088" i="52"/>
  <c r="P1087" i="52"/>
  <c r="K1087" i="52"/>
  <c r="L1087" i="52" s="1"/>
  <c r="M1087" i="52" s="1"/>
  <c r="N1087" i="52" s="1"/>
  <c r="I1087" i="52"/>
  <c r="P1086" i="52"/>
  <c r="I1086" i="52"/>
  <c r="K1085" i="52"/>
  <c r="L1085" i="52" s="1"/>
  <c r="M1085" i="52" s="1"/>
  <c r="N1085" i="52" s="1"/>
  <c r="I1081" i="52"/>
  <c r="Q1080" i="52"/>
  <c r="I1080" i="52"/>
  <c r="Q1079" i="52"/>
  <c r="P1079" i="52"/>
  <c r="I1079" i="52"/>
  <c r="F1077" i="52"/>
  <c r="F1076" i="52"/>
  <c r="K1074" i="52"/>
  <c r="L1074" i="52" s="1"/>
  <c r="M1074" i="52" s="1"/>
  <c r="N1074" i="52" s="1"/>
  <c r="K1073" i="52"/>
  <c r="K1072" i="52"/>
  <c r="K1071" i="52"/>
  <c r="I1071" i="52"/>
  <c r="I1070" i="52"/>
  <c r="J1071" i="52" s="1"/>
  <c r="J1072" i="52" s="1"/>
  <c r="K1068" i="52"/>
  <c r="K1067" i="52"/>
  <c r="K1066" i="52"/>
  <c r="L1065" i="52"/>
  <c r="M1065" i="52" s="1"/>
  <c r="N1065" i="52" s="1"/>
  <c r="K1065" i="52"/>
  <c r="F1065" i="52"/>
  <c r="I1065" i="52" s="1"/>
  <c r="K1064" i="52"/>
  <c r="L1064" i="52" s="1"/>
  <c r="M1064" i="52" s="1"/>
  <c r="N1064" i="52" s="1"/>
  <c r="I1064" i="52"/>
  <c r="F1064" i="52"/>
  <c r="K1063" i="52"/>
  <c r="L1063" i="52" s="1"/>
  <c r="M1063" i="52" s="1"/>
  <c r="N1063" i="52" s="1"/>
  <c r="I1063" i="52"/>
  <c r="K1062" i="52"/>
  <c r="L1062" i="52" s="1"/>
  <c r="M1062" i="52" s="1"/>
  <c r="N1062" i="52" s="1"/>
  <c r="I1062" i="52"/>
  <c r="J1066" i="52" s="1"/>
  <c r="L1066" i="52" s="1"/>
  <c r="M1066" i="52" s="1"/>
  <c r="N1066" i="52" s="1"/>
  <c r="K1061" i="52"/>
  <c r="L1061" i="52" s="1"/>
  <c r="M1061" i="52" s="1"/>
  <c r="N1061" i="52" s="1"/>
  <c r="K1059" i="52"/>
  <c r="F1059" i="52"/>
  <c r="K1058" i="52"/>
  <c r="L1058" i="52" s="1"/>
  <c r="M1058" i="52" s="1"/>
  <c r="N1058" i="52" s="1"/>
  <c r="H1058" i="52"/>
  <c r="H1059" i="52" s="1"/>
  <c r="I1059" i="52" s="1"/>
  <c r="F1058" i="52"/>
  <c r="I1058" i="52" s="1"/>
  <c r="N1053" i="52"/>
  <c r="K1053" i="52"/>
  <c r="L1053" i="52" s="1"/>
  <c r="M1053" i="52" s="1"/>
  <c r="K1052" i="52"/>
  <c r="K1051" i="52"/>
  <c r="F1051" i="52"/>
  <c r="I1051" i="52" s="1"/>
  <c r="I1050" i="52"/>
  <c r="J1051" i="52" s="1"/>
  <c r="J1052" i="52" s="1"/>
  <c r="F1050" i="52"/>
  <c r="I1049" i="52"/>
  <c r="P1073" i="52" s="1"/>
  <c r="M1048" i="52"/>
  <c r="N1048" i="52" s="1"/>
  <c r="L1048" i="52"/>
  <c r="K1048" i="52"/>
  <c r="K1047" i="52"/>
  <c r="K1046" i="52"/>
  <c r="K1045" i="52"/>
  <c r="J1045" i="52"/>
  <c r="J1046" i="52" s="1"/>
  <c r="J1047" i="52" s="1"/>
  <c r="L1047" i="52" s="1"/>
  <c r="M1047" i="52" s="1"/>
  <c r="N1047" i="52" s="1"/>
  <c r="I1045" i="52"/>
  <c r="K1044" i="52"/>
  <c r="L1044" i="52" s="1"/>
  <c r="M1044" i="52" s="1"/>
  <c r="N1044" i="52" s="1"/>
  <c r="K1043" i="52"/>
  <c r="L1043" i="52" s="1"/>
  <c r="M1043" i="52" s="1"/>
  <c r="N1043" i="52" s="1"/>
  <c r="K1041" i="52"/>
  <c r="J1041" i="52"/>
  <c r="I1041" i="52"/>
  <c r="K1040" i="52"/>
  <c r="L1040" i="52" s="1"/>
  <c r="M1040" i="52" s="1"/>
  <c r="N1040" i="52" s="1"/>
  <c r="L1039" i="52"/>
  <c r="M1039" i="52" s="1"/>
  <c r="N1039" i="52" s="1"/>
  <c r="K1039" i="52"/>
  <c r="K1038" i="52"/>
  <c r="P1037" i="52"/>
  <c r="K1037" i="52"/>
  <c r="I1037" i="52"/>
  <c r="K1036" i="52"/>
  <c r="L1036" i="52" s="1"/>
  <c r="M1036" i="52" s="1"/>
  <c r="N1036" i="52" s="1"/>
  <c r="G1036" i="52"/>
  <c r="F1036" i="52"/>
  <c r="K1035" i="52"/>
  <c r="L1035" i="52" s="1"/>
  <c r="M1035" i="52" s="1"/>
  <c r="N1035" i="52" s="1"/>
  <c r="I1035" i="52"/>
  <c r="L1034" i="52"/>
  <c r="M1034" i="52" s="1"/>
  <c r="N1034" i="52" s="1"/>
  <c r="K1034" i="52"/>
  <c r="I1034" i="52"/>
  <c r="L1033" i="52"/>
  <c r="M1033" i="52" s="1"/>
  <c r="N1033" i="52" s="1"/>
  <c r="K1033" i="52"/>
  <c r="I1033" i="52"/>
  <c r="N1032" i="52"/>
  <c r="K1032" i="52"/>
  <c r="L1032" i="52" s="1"/>
  <c r="M1032" i="52" s="1"/>
  <c r="G1032" i="52"/>
  <c r="I1032" i="52" s="1"/>
  <c r="F1032" i="52"/>
  <c r="K1031" i="52"/>
  <c r="L1031" i="52" s="1"/>
  <c r="M1031" i="52" s="1"/>
  <c r="N1031" i="52" s="1"/>
  <c r="I1031" i="52"/>
  <c r="K1030" i="52"/>
  <c r="L1030" i="52" s="1"/>
  <c r="M1030" i="52" s="1"/>
  <c r="N1030" i="52" s="1"/>
  <c r="G1030" i="52"/>
  <c r="F1030" i="52"/>
  <c r="I1030" i="52" s="1"/>
  <c r="K1029" i="52"/>
  <c r="L1029" i="52" s="1"/>
  <c r="M1029" i="52" s="1"/>
  <c r="N1029" i="52" s="1"/>
  <c r="I1029" i="52"/>
  <c r="K1028" i="52"/>
  <c r="L1028" i="52" s="1"/>
  <c r="M1028" i="52" s="1"/>
  <c r="N1028" i="52" s="1"/>
  <c r="G1028" i="52"/>
  <c r="F1028" i="52"/>
  <c r="I1028" i="52" s="1"/>
  <c r="K1027" i="52"/>
  <c r="L1027" i="52" s="1"/>
  <c r="M1027" i="52" s="1"/>
  <c r="N1027" i="52" s="1"/>
  <c r="G1027" i="52"/>
  <c r="I1027" i="52" s="1"/>
  <c r="F1027" i="52"/>
  <c r="L1026" i="52"/>
  <c r="M1026" i="52" s="1"/>
  <c r="N1026" i="52" s="1"/>
  <c r="K1026" i="52"/>
  <c r="G1026" i="52"/>
  <c r="F1026" i="52"/>
  <c r="K1025" i="52"/>
  <c r="L1025" i="52" s="1"/>
  <c r="M1025" i="52" s="1"/>
  <c r="N1025" i="52" s="1"/>
  <c r="G1025" i="52"/>
  <c r="F1025" i="52"/>
  <c r="I1025" i="52" s="1"/>
  <c r="N1024" i="52"/>
  <c r="K1024" i="52"/>
  <c r="L1024" i="52" s="1"/>
  <c r="M1024" i="52" s="1"/>
  <c r="G1024" i="52"/>
  <c r="I1024" i="52" s="1"/>
  <c r="F1024" i="52"/>
  <c r="K1023" i="52"/>
  <c r="L1023" i="52" s="1"/>
  <c r="M1023" i="52" s="1"/>
  <c r="N1023" i="52" s="1"/>
  <c r="I1023" i="52"/>
  <c r="N1022" i="52"/>
  <c r="K1022" i="52"/>
  <c r="L1022" i="52" s="1"/>
  <c r="M1022" i="52" s="1"/>
  <c r="G1022" i="52"/>
  <c r="I1022" i="52" s="1"/>
  <c r="F1022" i="52"/>
  <c r="L1021" i="52"/>
  <c r="M1021" i="52" s="1"/>
  <c r="N1021" i="52" s="1"/>
  <c r="K1021" i="52"/>
  <c r="G1021" i="52"/>
  <c r="I1021" i="52" s="1"/>
  <c r="F1021" i="52"/>
  <c r="K1020" i="52"/>
  <c r="L1020" i="52" s="1"/>
  <c r="M1020" i="52" s="1"/>
  <c r="N1020" i="52" s="1"/>
  <c r="I1020" i="52"/>
  <c r="L1019" i="52"/>
  <c r="M1019" i="52" s="1"/>
  <c r="N1019" i="52" s="1"/>
  <c r="K1019" i="52"/>
  <c r="G1019" i="52"/>
  <c r="I1019" i="52" s="1"/>
  <c r="F1019" i="52"/>
  <c r="K1018" i="52"/>
  <c r="L1018" i="52" s="1"/>
  <c r="M1018" i="52" s="1"/>
  <c r="N1018" i="52" s="1"/>
  <c r="G1018" i="52"/>
  <c r="F1018" i="52"/>
  <c r="K1017" i="52"/>
  <c r="L1017" i="52" s="1"/>
  <c r="M1017" i="52" s="1"/>
  <c r="N1017" i="52" s="1"/>
  <c r="I1017" i="52"/>
  <c r="L1016" i="52"/>
  <c r="M1016" i="52" s="1"/>
  <c r="N1016" i="52" s="1"/>
  <c r="K1016" i="52"/>
  <c r="I1016" i="52"/>
  <c r="K1015" i="52"/>
  <c r="L1015" i="52" s="1"/>
  <c r="M1015" i="52" s="1"/>
  <c r="N1015" i="52" s="1"/>
  <c r="G1015" i="52"/>
  <c r="I1015" i="52" s="1"/>
  <c r="F1015" i="52"/>
  <c r="L1014" i="52"/>
  <c r="M1014" i="52" s="1"/>
  <c r="N1014" i="52" s="1"/>
  <c r="K1014" i="52"/>
  <c r="G1014" i="52"/>
  <c r="F1014" i="52"/>
  <c r="K1013" i="52"/>
  <c r="L1013" i="52" s="1"/>
  <c r="M1013" i="52" s="1"/>
  <c r="N1013" i="52" s="1"/>
  <c r="G1013" i="52"/>
  <c r="F1013" i="52"/>
  <c r="I1013" i="52" s="1"/>
  <c r="N1012" i="52"/>
  <c r="K1012" i="52"/>
  <c r="L1012" i="52" s="1"/>
  <c r="M1012" i="52" s="1"/>
  <c r="I1012" i="52"/>
  <c r="K1011" i="52"/>
  <c r="L1011" i="52" s="1"/>
  <c r="M1011" i="52" s="1"/>
  <c r="N1011" i="52" s="1"/>
  <c r="I1011" i="52"/>
  <c r="K1010" i="52"/>
  <c r="L1010" i="52" s="1"/>
  <c r="M1010" i="52" s="1"/>
  <c r="N1010" i="52" s="1"/>
  <c r="I1010" i="52"/>
  <c r="M1009" i="52"/>
  <c r="N1009" i="52" s="1"/>
  <c r="L1009" i="52"/>
  <c r="K1009" i="52"/>
  <c r="I1009" i="52"/>
  <c r="N1008" i="52"/>
  <c r="K1008" i="52"/>
  <c r="L1008" i="52" s="1"/>
  <c r="M1008" i="52" s="1"/>
  <c r="I1008" i="52"/>
  <c r="K1007" i="52"/>
  <c r="L1007" i="52" s="1"/>
  <c r="M1007" i="52" s="1"/>
  <c r="N1007" i="52" s="1"/>
  <c r="L1006" i="52"/>
  <c r="M1006" i="52" s="1"/>
  <c r="N1006" i="52" s="1"/>
  <c r="K1004" i="52"/>
  <c r="K1003" i="52"/>
  <c r="F1003" i="52"/>
  <c r="I1003" i="52" s="1"/>
  <c r="K1001" i="52"/>
  <c r="L1001" i="52" s="1"/>
  <c r="M1001" i="52" s="1"/>
  <c r="N1001" i="52" s="1"/>
  <c r="G1001" i="52"/>
  <c r="F1001" i="52"/>
  <c r="K999" i="52"/>
  <c r="L999" i="52" s="1"/>
  <c r="M999" i="52" s="1"/>
  <c r="N999" i="52" s="1"/>
  <c r="I999" i="52"/>
  <c r="G999" i="52"/>
  <c r="F999" i="52"/>
  <c r="F1000" i="52" s="1"/>
  <c r="I1000" i="52" s="1"/>
  <c r="F998" i="52"/>
  <c r="I998" i="52" s="1"/>
  <c r="K997" i="52"/>
  <c r="L997" i="52" s="1"/>
  <c r="M997" i="52" s="1"/>
  <c r="N997" i="52" s="1"/>
  <c r="G997" i="52"/>
  <c r="F997" i="52"/>
  <c r="K995" i="52"/>
  <c r="L995" i="52" s="1"/>
  <c r="M995" i="52" s="1"/>
  <c r="N995" i="52" s="1"/>
  <c r="G995" i="52"/>
  <c r="F995" i="52"/>
  <c r="F996" i="52" s="1"/>
  <c r="I996" i="52" s="1"/>
  <c r="M993" i="52"/>
  <c r="N993" i="52" s="1"/>
  <c r="L993" i="52"/>
  <c r="K993" i="52"/>
  <c r="G993" i="52"/>
  <c r="F993" i="52"/>
  <c r="L992" i="52"/>
  <c r="M992" i="52" s="1"/>
  <c r="N992" i="52" s="1"/>
  <c r="K992" i="52"/>
  <c r="F992" i="52"/>
  <c r="I992" i="52" s="1"/>
  <c r="N991" i="52"/>
  <c r="K991" i="52"/>
  <c r="L991" i="52" s="1"/>
  <c r="M991" i="52" s="1"/>
  <c r="H991" i="52"/>
  <c r="F991" i="52"/>
  <c r="I991" i="52" s="1"/>
  <c r="K990" i="52"/>
  <c r="L990" i="52" s="1"/>
  <c r="M990" i="52" s="1"/>
  <c r="N990" i="52" s="1"/>
  <c r="M989" i="52"/>
  <c r="N989" i="52" s="1"/>
  <c r="L989" i="52"/>
  <c r="K989" i="52"/>
  <c r="K988" i="52"/>
  <c r="K987" i="52"/>
  <c r="K986" i="52"/>
  <c r="L986" i="52" s="1"/>
  <c r="M986" i="52" s="1"/>
  <c r="N986" i="52" s="1"/>
  <c r="I986" i="52"/>
  <c r="K985" i="52"/>
  <c r="L985" i="52" s="1"/>
  <c r="M985" i="52" s="1"/>
  <c r="N985" i="52" s="1"/>
  <c r="I985" i="52"/>
  <c r="K984" i="52"/>
  <c r="L984" i="52" s="1"/>
  <c r="M984" i="52" s="1"/>
  <c r="N984" i="52" s="1"/>
  <c r="I984" i="52"/>
  <c r="K983" i="52"/>
  <c r="L983" i="52" s="1"/>
  <c r="M983" i="52" s="1"/>
  <c r="N983" i="52" s="1"/>
  <c r="I983" i="52"/>
  <c r="J987" i="52" s="1"/>
  <c r="J988" i="52" s="1"/>
  <c r="L988" i="52" s="1"/>
  <c r="M988" i="52" s="1"/>
  <c r="N988" i="52" s="1"/>
  <c r="K982" i="52"/>
  <c r="L982" i="52" s="1"/>
  <c r="M982" i="52" s="1"/>
  <c r="N982" i="52" s="1"/>
  <c r="I982" i="52"/>
  <c r="K981" i="52"/>
  <c r="L981" i="52" s="1"/>
  <c r="M981" i="52" s="1"/>
  <c r="N981" i="52" s="1"/>
  <c r="I981" i="52"/>
  <c r="K980" i="52"/>
  <c r="L980" i="52" s="1"/>
  <c r="M980" i="52" s="1"/>
  <c r="N980" i="52" s="1"/>
  <c r="I980" i="52"/>
  <c r="N979" i="52"/>
  <c r="K979" i="52"/>
  <c r="L979" i="52" s="1"/>
  <c r="M979" i="52" s="1"/>
  <c r="K978" i="52"/>
  <c r="L978" i="52" s="1"/>
  <c r="M978" i="52" s="1"/>
  <c r="N978" i="52" s="1"/>
  <c r="N977" i="52"/>
  <c r="K977" i="52"/>
  <c r="L977" i="52" s="1"/>
  <c r="M977" i="52" s="1"/>
  <c r="K976" i="52"/>
  <c r="L976" i="52" s="1"/>
  <c r="M976" i="52" s="1"/>
  <c r="N976" i="52" s="1"/>
  <c r="N975" i="52"/>
  <c r="K975" i="52"/>
  <c r="L975" i="52" s="1"/>
  <c r="M975" i="52" s="1"/>
  <c r="K974" i="52"/>
  <c r="L974" i="52" s="1"/>
  <c r="M974" i="52" s="1"/>
  <c r="N974" i="52" s="1"/>
  <c r="K973" i="52"/>
  <c r="K972" i="52"/>
  <c r="K970" i="52"/>
  <c r="K969" i="52"/>
  <c r="L969" i="52" s="1"/>
  <c r="M969" i="52" s="1"/>
  <c r="N969" i="52" s="1"/>
  <c r="K968" i="52"/>
  <c r="L968" i="52" s="1"/>
  <c r="M968" i="52" s="1"/>
  <c r="N968" i="52" s="1"/>
  <c r="I968" i="52"/>
  <c r="G967" i="52"/>
  <c r="F967" i="52"/>
  <c r="I967" i="52" s="1"/>
  <c r="I966" i="52"/>
  <c r="I965" i="52"/>
  <c r="G964" i="52"/>
  <c r="F964" i="52"/>
  <c r="I964" i="52" s="1"/>
  <c r="G963" i="52"/>
  <c r="F963" i="52"/>
  <c r="I963" i="52" s="1"/>
  <c r="I962" i="52"/>
  <c r="G961" i="52"/>
  <c r="F961" i="52"/>
  <c r="I961" i="52" s="1"/>
  <c r="G960" i="52"/>
  <c r="F960" i="52"/>
  <c r="I960" i="52" s="1"/>
  <c r="G959" i="52"/>
  <c r="F959" i="52"/>
  <c r="I959" i="52" s="1"/>
  <c r="G958" i="52"/>
  <c r="F958" i="52"/>
  <c r="I958" i="52" s="1"/>
  <c r="G957" i="52"/>
  <c r="F957" i="52"/>
  <c r="I957" i="52" s="1"/>
  <c r="I956" i="52"/>
  <c r="G955" i="52"/>
  <c r="F955" i="52"/>
  <c r="I955" i="52" s="1"/>
  <c r="G954" i="52"/>
  <c r="F954" i="52"/>
  <c r="I954" i="52" s="1"/>
  <c r="I953" i="52"/>
  <c r="I952" i="52"/>
  <c r="G952" i="52"/>
  <c r="I951" i="52"/>
  <c r="I950" i="52"/>
  <c r="G950" i="52"/>
  <c r="I949" i="52"/>
  <c r="I948" i="52"/>
  <c r="I947" i="52"/>
  <c r="I946" i="52"/>
  <c r="I945" i="52"/>
  <c r="I944" i="52"/>
  <c r="G944" i="52"/>
  <c r="I943" i="52"/>
  <c r="I942" i="52"/>
  <c r="G942" i="52"/>
  <c r="I941" i="52"/>
  <c r="I940" i="52"/>
  <c r="I939" i="52"/>
  <c r="I938" i="52"/>
  <c r="D937" i="52"/>
  <c r="I937" i="52" s="1"/>
  <c r="I936" i="52"/>
  <c r="I935" i="52"/>
  <c r="D935" i="52"/>
  <c r="I934" i="52"/>
  <c r="P933" i="52"/>
  <c r="I933" i="52"/>
  <c r="I932" i="52"/>
  <c r="K928" i="52"/>
  <c r="K927" i="52"/>
  <c r="F927" i="52"/>
  <c r="I927" i="52" s="1"/>
  <c r="G926" i="52"/>
  <c r="F926" i="52"/>
  <c r="I926" i="52" s="1"/>
  <c r="F925" i="52"/>
  <c r="I925" i="52" s="1"/>
  <c r="F924" i="52"/>
  <c r="I924" i="52" s="1"/>
  <c r="G923" i="52"/>
  <c r="F923" i="52"/>
  <c r="G922" i="52"/>
  <c r="F922" i="52"/>
  <c r="I922" i="52" s="1"/>
  <c r="I921" i="52"/>
  <c r="F921" i="52"/>
  <c r="G920" i="52"/>
  <c r="F920" i="52"/>
  <c r="G919" i="52"/>
  <c r="F919" i="52"/>
  <c r="G918" i="52"/>
  <c r="F918" i="52"/>
  <c r="I918" i="52" s="1"/>
  <c r="I917" i="52"/>
  <c r="G917" i="52"/>
  <c r="F917" i="52"/>
  <c r="G916" i="52"/>
  <c r="F916" i="52"/>
  <c r="F915" i="52"/>
  <c r="I915" i="52" s="1"/>
  <c r="G914" i="52"/>
  <c r="F914" i="52"/>
  <c r="I914" i="52" s="1"/>
  <c r="G913" i="52"/>
  <c r="F913" i="52"/>
  <c r="G912" i="52"/>
  <c r="F912" i="52"/>
  <c r="G911" i="52"/>
  <c r="F911" i="52"/>
  <c r="F910" i="52"/>
  <c r="I910" i="52" s="1"/>
  <c r="Q909" i="52"/>
  <c r="P909" i="52"/>
  <c r="P910" i="52" s="1"/>
  <c r="I909" i="52"/>
  <c r="F909" i="52"/>
  <c r="G908" i="52"/>
  <c r="I908" i="52" s="1"/>
  <c r="F908" i="52"/>
  <c r="G907" i="52"/>
  <c r="F907" i="52"/>
  <c r="Q906" i="52"/>
  <c r="P906" i="52"/>
  <c r="P907" i="52" s="1"/>
  <c r="I906" i="52"/>
  <c r="G906" i="52"/>
  <c r="F906" i="52"/>
  <c r="F905" i="52"/>
  <c r="I905" i="52" s="1"/>
  <c r="P904" i="52"/>
  <c r="F904" i="52"/>
  <c r="I904" i="52" s="1"/>
  <c r="F903" i="52"/>
  <c r="I903" i="52" s="1"/>
  <c r="F902" i="52"/>
  <c r="I902" i="52" s="1"/>
  <c r="N897" i="52"/>
  <c r="K897" i="52"/>
  <c r="L897" i="52" s="1"/>
  <c r="M897" i="52" s="1"/>
  <c r="K896" i="52"/>
  <c r="P895" i="52"/>
  <c r="K895" i="52"/>
  <c r="P894" i="52"/>
  <c r="K894" i="52"/>
  <c r="L894" i="52" s="1"/>
  <c r="M894" i="52" s="1"/>
  <c r="N894" i="52" s="1"/>
  <c r="I894" i="52"/>
  <c r="P968" i="52" s="1"/>
  <c r="K893" i="52"/>
  <c r="L893" i="52" s="1"/>
  <c r="M893" i="52" s="1"/>
  <c r="N893" i="52" s="1"/>
  <c r="G893" i="52"/>
  <c r="F893" i="52"/>
  <c r="I893" i="52" s="1"/>
  <c r="P967" i="52" s="1"/>
  <c r="N892" i="52"/>
  <c r="K892" i="52"/>
  <c r="L892" i="52" s="1"/>
  <c r="M892" i="52" s="1"/>
  <c r="I892" i="52"/>
  <c r="P966" i="52" s="1"/>
  <c r="K891" i="52"/>
  <c r="L891" i="52" s="1"/>
  <c r="M891" i="52" s="1"/>
  <c r="N891" i="52" s="1"/>
  <c r="I891" i="52"/>
  <c r="P965" i="52" s="1"/>
  <c r="L890" i="52"/>
  <c r="M890" i="52" s="1"/>
  <c r="N890" i="52" s="1"/>
  <c r="K890" i="52"/>
  <c r="G890" i="52"/>
  <c r="F890" i="52"/>
  <c r="K889" i="52"/>
  <c r="L889" i="52" s="1"/>
  <c r="M889" i="52" s="1"/>
  <c r="N889" i="52" s="1"/>
  <c r="G889" i="52"/>
  <c r="F889" i="52"/>
  <c r="I889" i="52" s="1"/>
  <c r="P963" i="52" s="1"/>
  <c r="K888" i="52"/>
  <c r="L888" i="52" s="1"/>
  <c r="M888" i="52" s="1"/>
  <c r="N888" i="52" s="1"/>
  <c r="I888" i="52"/>
  <c r="P962" i="52" s="1"/>
  <c r="K887" i="52"/>
  <c r="L887" i="52" s="1"/>
  <c r="M887" i="52" s="1"/>
  <c r="N887" i="52" s="1"/>
  <c r="G887" i="52"/>
  <c r="F887" i="52"/>
  <c r="I887" i="52" s="1"/>
  <c r="P961" i="52" s="1"/>
  <c r="K886" i="52"/>
  <c r="L886" i="52" s="1"/>
  <c r="M886" i="52" s="1"/>
  <c r="N886" i="52" s="1"/>
  <c r="I886" i="52"/>
  <c r="P960" i="52" s="1"/>
  <c r="G886" i="52"/>
  <c r="F886" i="52"/>
  <c r="K885" i="52"/>
  <c r="L885" i="52" s="1"/>
  <c r="M885" i="52" s="1"/>
  <c r="N885" i="52" s="1"/>
  <c r="G885" i="52"/>
  <c r="F885" i="52"/>
  <c r="L884" i="52"/>
  <c r="M884" i="52" s="1"/>
  <c r="N884" i="52" s="1"/>
  <c r="K884" i="52"/>
  <c r="G884" i="52"/>
  <c r="I884" i="52" s="1"/>
  <c r="P958" i="52" s="1"/>
  <c r="F884" i="52"/>
  <c r="K883" i="52"/>
  <c r="L883" i="52" s="1"/>
  <c r="M883" i="52" s="1"/>
  <c r="N883" i="52" s="1"/>
  <c r="G883" i="52"/>
  <c r="F883" i="52"/>
  <c r="K882" i="52"/>
  <c r="L882" i="52" s="1"/>
  <c r="M882" i="52" s="1"/>
  <c r="N882" i="52" s="1"/>
  <c r="I882" i="52"/>
  <c r="P956" i="52" s="1"/>
  <c r="K881" i="52"/>
  <c r="L881" i="52" s="1"/>
  <c r="M881" i="52" s="1"/>
  <c r="N881" i="52" s="1"/>
  <c r="G881" i="52"/>
  <c r="F881" i="52"/>
  <c r="K880" i="52"/>
  <c r="L880" i="52" s="1"/>
  <c r="M880" i="52" s="1"/>
  <c r="N880" i="52" s="1"/>
  <c r="G880" i="52"/>
  <c r="I880" i="52" s="1"/>
  <c r="P954" i="52" s="1"/>
  <c r="F880" i="52"/>
  <c r="M879" i="52"/>
  <c r="N879" i="52" s="1"/>
  <c r="L879" i="52"/>
  <c r="K879" i="52"/>
  <c r="G879" i="52"/>
  <c r="I879" i="52" s="1"/>
  <c r="P952" i="52" s="1"/>
  <c r="F879" i="52"/>
  <c r="K878" i="52"/>
  <c r="L878" i="52" s="1"/>
  <c r="M878" i="52" s="1"/>
  <c r="N878" i="52" s="1"/>
  <c r="G878" i="52"/>
  <c r="I878" i="52" s="1"/>
  <c r="P950" i="52" s="1"/>
  <c r="F878" i="52"/>
  <c r="K877" i="52"/>
  <c r="L877" i="52" s="1"/>
  <c r="M877" i="52" s="1"/>
  <c r="N877" i="52" s="1"/>
  <c r="I877" i="52"/>
  <c r="P948" i="52" s="1"/>
  <c r="L876" i="52"/>
  <c r="M876" i="52" s="1"/>
  <c r="N876" i="52" s="1"/>
  <c r="K876" i="52"/>
  <c r="I876" i="52"/>
  <c r="P946" i="52" s="1"/>
  <c r="L875" i="52"/>
  <c r="M875" i="52" s="1"/>
  <c r="N875" i="52" s="1"/>
  <c r="K875" i="52"/>
  <c r="G875" i="52"/>
  <c r="I875" i="52" s="1"/>
  <c r="P944" i="52" s="1"/>
  <c r="F875" i="52"/>
  <c r="P874" i="52"/>
  <c r="K874" i="52"/>
  <c r="L874" i="52" s="1"/>
  <c r="M874" i="52" s="1"/>
  <c r="N874" i="52" s="1"/>
  <c r="G874" i="52"/>
  <c r="I874" i="52" s="1"/>
  <c r="P942" i="52" s="1"/>
  <c r="F874" i="52"/>
  <c r="P873" i="52"/>
  <c r="K873" i="52"/>
  <c r="L873" i="52" s="1"/>
  <c r="M873" i="52" s="1"/>
  <c r="N873" i="52" s="1"/>
  <c r="I873" i="52"/>
  <c r="P940" i="52" s="1"/>
  <c r="Q940" i="52" s="1"/>
  <c r="G873" i="52"/>
  <c r="F873" i="52"/>
  <c r="Q873" i="52" s="1"/>
  <c r="P872" i="52"/>
  <c r="N872" i="52"/>
  <c r="K872" i="52"/>
  <c r="L872" i="52" s="1"/>
  <c r="M872" i="52" s="1"/>
  <c r="I872" i="52"/>
  <c r="P938" i="52" s="1"/>
  <c r="K871" i="52"/>
  <c r="L871" i="52" s="1"/>
  <c r="M871" i="52" s="1"/>
  <c r="N871" i="52" s="1"/>
  <c r="I871" i="52"/>
  <c r="P936" i="52" s="1"/>
  <c r="L870" i="52"/>
  <c r="M870" i="52" s="1"/>
  <c r="N870" i="52" s="1"/>
  <c r="K870" i="52"/>
  <c r="I870" i="52"/>
  <c r="P934" i="52" s="1"/>
  <c r="M869" i="52"/>
  <c r="N869" i="52" s="1"/>
  <c r="L869" i="52"/>
  <c r="K869" i="52"/>
  <c r="I869" i="52"/>
  <c r="N868" i="52"/>
  <c r="K868" i="52"/>
  <c r="L868" i="52" s="1"/>
  <c r="M868" i="52" s="1"/>
  <c r="K867" i="52"/>
  <c r="L867" i="52" s="1"/>
  <c r="M867" i="52" s="1"/>
  <c r="N867" i="52" s="1"/>
  <c r="K866" i="52"/>
  <c r="L866" i="52" s="1"/>
  <c r="M866" i="52" s="1"/>
  <c r="N866" i="52" s="1"/>
  <c r="K864" i="52"/>
  <c r="L864" i="52" s="1"/>
  <c r="M864" i="52" s="1"/>
  <c r="N864" i="52" s="1"/>
  <c r="M863" i="52"/>
  <c r="N863" i="52" s="1"/>
  <c r="L863" i="52"/>
  <c r="K863" i="52"/>
  <c r="E863" i="52"/>
  <c r="K862" i="52"/>
  <c r="L862" i="52" s="1"/>
  <c r="M862" i="52" s="1"/>
  <c r="N862" i="52" s="1"/>
  <c r="F862" i="52"/>
  <c r="E862" i="52"/>
  <c r="N861" i="52"/>
  <c r="L861" i="52"/>
  <c r="M861" i="52" s="1"/>
  <c r="K861" i="52"/>
  <c r="L860" i="52"/>
  <c r="M860" i="52" s="1"/>
  <c r="N860" i="52" s="1"/>
  <c r="K860" i="52"/>
  <c r="K859" i="52"/>
  <c r="L859" i="52" s="1"/>
  <c r="M859" i="52" s="1"/>
  <c r="N859" i="52" s="1"/>
  <c r="E859" i="52"/>
  <c r="I859" i="52" s="1"/>
  <c r="K858" i="52"/>
  <c r="L858" i="52" s="1"/>
  <c r="M858" i="52" s="1"/>
  <c r="N858" i="52" s="1"/>
  <c r="E858" i="52"/>
  <c r="I858" i="52" s="1"/>
  <c r="K857" i="52"/>
  <c r="L857" i="52" s="1"/>
  <c r="M857" i="52" s="1"/>
  <c r="N857" i="52" s="1"/>
  <c r="F857" i="52"/>
  <c r="I857" i="52" s="1"/>
  <c r="E857" i="52"/>
  <c r="K856" i="52"/>
  <c r="L856" i="52" s="1"/>
  <c r="M856" i="52" s="1"/>
  <c r="N856" i="52" s="1"/>
  <c r="L855" i="52"/>
  <c r="M855" i="52" s="1"/>
  <c r="N855" i="52" s="1"/>
  <c r="K855" i="52"/>
  <c r="K854" i="52"/>
  <c r="L854" i="52" s="1"/>
  <c r="M854" i="52" s="1"/>
  <c r="N854" i="52" s="1"/>
  <c r="M853" i="52"/>
  <c r="N853" i="52" s="1"/>
  <c r="K853" i="52"/>
  <c r="L853" i="52" s="1"/>
  <c r="K852" i="52"/>
  <c r="L852" i="52" s="1"/>
  <c r="M852" i="52" s="1"/>
  <c r="N852" i="52" s="1"/>
  <c r="F852" i="52"/>
  <c r="I852" i="52" s="1"/>
  <c r="E852" i="52"/>
  <c r="E853" i="52" s="1"/>
  <c r="L851" i="52"/>
  <c r="M851" i="52" s="1"/>
  <c r="N851" i="52" s="1"/>
  <c r="K851" i="52"/>
  <c r="N850" i="52"/>
  <c r="L850" i="52"/>
  <c r="M850" i="52" s="1"/>
  <c r="K850" i="52"/>
  <c r="K849" i="52"/>
  <c r="L849" i="52" s="1"/>
  <c r="M849" i="52" s="1"/>
  <c r="N849" i="52" s="1"/>
  <c r="K848" i="52"/>
  <c r="L848" i="52" s="1"/>
  <c r="M848" i="52" s="1"/>
  <c r="N848" i="52" s="1"/>
  <c r="K847" i="52"/>
  <c r="L847" i="52" s="1"/>
  <c r="M847" i="52" s="1"/>
  <c r="N847" i="52" s="1"/>
  <c r="F847" i="52"/>
  <c r="I847" i="52" s="1"/>
  <c r="E847" i="52"/>
  <c r="E848" i="52" s="1"/>
  <c r="K846" i="52"/>
  <c r="L846" i="52" s="1"/>
  <c r="M846" i="52" s="1"/>
  <c r="N846" i="52" s="1"/>
  <c r="L845" i="52"/>
  <c r="M845" i="52" s="1"/>
  <c r="N845" i="52" s="1"/>
  <c r="K845" i="52"/>
  <c r="K844" i="52"/>
  <c r="L844" i="52" s="1"/>
  <c r="M844" i="52" s="1"/>
  <c r="N844" i="52" s="1"/>
  <c r="M843" i="52"/>
  <c r="N843" i="52" s="1"/>
  <c r="K843" i="52"/>
  <c r="L843" i="52" s="1"/>
  <c r="K842" i="52"/>
  <c r="L842" i="52" s="1"/>
  <c r="M842" i="52" s="1"/>
  <c r="N842" i="52" s="1"/>
  <c r="F842" i="52"/>
  <c r="N841" i="52"/>
  <c r="L841" i="52"/>
  <c r="M841" i="52" s="1"/>
  <c r="K841" i="52"/>
  <c r="K840" i="52"/>
  <c r="L840" i="52" s="1"/>
  <c r="M840" i="52" s="1"/>
  <c r="N840" i="52" s="1"/>
  <c r="K839" i="52"/>
  <c r="L839" i="52" s="1"/>
  <c r="M839" i="52" s="1"/>
  <c r="N839" i="52" s="1"/>
  <c r="K837" i="52"/>
  <c r="K836" i="52"/>
  <c r="N835" i="52"/>
  <c r="L835" i="52"/>
  <c r="M835" i="52" s="1"/>
  <c r="K835" i="52"/>
  <c r="I835" i="52"/>
  <c r="R834" i="52"/>
  <c r="L834" i="52"/>
  <c r="M834" i="52" s="1"/>
  <c r="N834" i="52" s="1"/>
  <c r="K834" i="52"/>
  <c r="I834" i="52"/>
  <c r="M833" i="52"/>
  <c r="N833" i="52" s="1"/>
  <c r="K833" i="52"/>
  <c r="L833" i="52" s="1"/>
  <c r="I833" i="52"/>
  <c r="L832" i="52"/>
  <c r="M832" i="52" s="1"/>
  <c r="N832" i="52" s="1"/>
  <c r="K832" i="52"/>
  <c r="I832" i="52"/>
  <c r="K831" i="52"/>
  <c r="L831" i="52" s="1"/>
  <c r="M831" i="52" s="1"/>
  <c r="N831" i="52" s="1"/>
  <c r="E831" i="52"/>
  <c r="M830" i="52"/>
  <c r="N830" i="52" s="1"/>
  <c r="K830" i="52"/>
  <c r="L830" i="52" s="1"/>
  <c r="K829" i="52"/>
  <c r="L829" i="52" s="1"/>
  <c r="M829" i="52" s="1"/>
  <c r="N829" i="52" s="1"/>
  <c r="K828" i="52"/>
  <c r="K827" i="52"/>
  <c r="L827" i="52" s="1"/>
  <c r="M827" i="52" s="1"/>
  <c r="N827" i="52" s="1"/>
  <c r="I827" i="52"/>
  <c r="Q864" i="52" s="1"/>
  <c r="L826" i="52"/>
  <c r="M826" i="52" s="1"/>
  <c r="N826" i="52" s="1"/>
  <c r="K826" i="52"/>
  <c r="I826" i="52"/>
  <c r="Q859" i="52" s="1"/>
  <c r="K825" i="52"/>
  <c r="L825" i="52" s="1"/>
  <c r="M825" i="52" s="1"/>
  <c r="N825" i="52" s="1"/>
  <c r="I825" i="52"/>
  <c r="Q854" i="52" s="1"/>
  <c r="K824" i="52"/>
  <c r="L824" i="52" s="1"/>
  <c r="M824" i="52" s="1"/>
  <c r="N824" i="52" s="1"/>
  <c r="I824" i="52"/>
  <c r="L823" i="52"/>
  <c r="M823" i="52" s="1"/>
  <c r="N823" i="52" s="1"/>
  <c r="K823" i="52"/>
  <c r="E823" i="52"/>
  <c r="E842" i="52" s="1"/>
  <c r="E843" i="52" s="1"/>
  <c r="L822" i="52"/>
  <c r="M822" i="52" s="1"/>
  <c r="N822" i="52" s="1"/>
  <c r="K822" i="52"/>
  <c r="K821" i="52"/>
  <c r="L821" i="52" s="1"/>
  <c r="M821" i="52" s="1"/>
  <c r="N821" i="52" s="1"/>
  <c r="K819" i="52"/>
  <c r="K818" i="52"/>
  <c r="K817" i="52"/>
  <c r="L817" i="52" s="1"/>
  <c r="M817" i="52" s="1"/>
  <c r="N817" i="52" s="1"/>
  <c r="I817" i="52"/>
  <c r="K816" i="52"/>
  <c r="L816" i="52" s="1"/>
  <c r="M816" i="52" s="1"/>
  <c r="N816" i="52" s="1"/>
  <c r="I816" i="52"/>
  <c r="K815" i="52"/>
  <c r="L815" i="52" s="1"/>
  <c r="M815" i="52" s="1"/>
  <c r="N815" i="52" s="1"/>
  <c r="I815" i="52"/>
  <c r="K814" i="52"/>
  <c r="L814" i="52" s="1"/>
  <c r="M814" i="52" s="1"/>
  <c r="N814" i="52" s="1"/>
  <c r="I814" i="52"/>
  <c r="K813" i="52"/>
  <c r="L813" i="52" s="1"/>
  <c r="M813" i="52" s="1"/>
  <c r="N813" i="52" s="1"/>
  <c r="I813" i="52"/>
  <c r="N812" i="52"/>
  <c r="L812" i="52"/>
  <c r="M812" i="52" s="1"/>
  <c r="K812" i="52"/>
  <c r="K811" i="52"/>
  <c r="L811" i="52" s="1"/>
  <c r="M811" i="52" s="1"/>
  <c r="N811" i="52" s="1"/>
  <c r="K809" i="52"/>
  <c r="K808" i="52"/>
  <c r="N807" i="52"/>
  <c r="L807" i="52"/>
  <c r="M807" i="52" s="1"/>
  <c r="K807" i="52"/>
  <c r="I807" i="52"/>
  <c r="K806" i="52"/>
  <c r="L806" i="52" s="1"/>
  <c r="M806" i="52" s="1"/>
  <c r="N806" i="52" s="1"/>
  <c r="I806" i="52"/>
  <c r="K805" i="52"/>
  <c r="L805" i="52" s="1"/>
  <c r="M805" i="52" s="1"/>
  <c r="N805" i="52" s="1"/>
  <c r="I805" i="52"/>
  <c r="K804" i="52"/>
  <c r="L804" i="52" s="1"/>
  <c r="M804" i="52" s="1"/>
  <c r="N804" i="52" s="1"/>
  <c r="I804" i="52"/>
  <c r="L803" i="52"/>
  <c r="M803" i="52" s="1"/>
  <c r="N803" i="52" s="1"/>
  <c r="K803" i="52"/>
  <c r="I803" i="52"/>
  <c r="K802" i="52"/>
  <c r="L802" i="52" s="1"/>
  <c r="M802" i="52" s="1"/>
  <c r="N802" i="52" s="1"/>
  <c r="I802" i="52"/>
  <c r="L801" i="52"/>
  <c r="M801" i="52" s="1"/>
  <c r="N801" i="52" s="1"/>
  <c r="K801" i="52"/>
  <c r="I801" i="52"/>
  <c r="K800" i="52"/>
  <c r="L800" i="52" s="1"/>
  <c r="M800" i="52" s="1"/>
  <c r="N800" i="52" s="1"/>
  <c r="I800" i="52"/>
  <c r="K799" i="52"/>
  <c r="L799" i="52" s="1"/>
  <c r="M799" i="52" s="1"/>
  <c r="N799" i="52" s="1"/>
  <c r="I799" i="52"/>
  <c r="K798" i="52"/>
  <c r="L798" i="52" s="1"/>
  <c r="M798" i="52" s="1"/>
  <c r="N798" i="52" s="1"/>
  <c r="I798" i="52"/>
  <c r="L797" i="52"/>
  <c r="M797" i="52" s="1"/>
  <c r="N797" i="52" s="1"/>
  <c r="K797" i="52"/>
  <c r="I797" i="52"/>
  <c r="K796" i="52"/>
  <c r="L796" i="52" s="1"/>
  <c r="M796" i="52" s="1"/>
  <c r="N796" i="52" s="1"/>
  <c r="I796" i="52"/>
  <c r="N795" i="52"/>
  <c r="L795" i="52"/>
  <c r="M795" i="52" s="1"/>
  <c r="K795" i="52"/>
  <c r="I795" i="52"/>
  <c r="K794" i="52"/>
  <c r="L794" i="52" s="1"/>
  <c r="M794" i="52" s="1"/>
  <c r="N794" i="52" s="1"/>
  <c r="I794" i="52"/>
  <c r="K793" i="52"/>
  <c r="L793" i="52" s="1"/>
  <c r="M793" i="52" s="1"/>
  <c r="N793" i="52" s="1"/>
  <c r="I793" i="52"/>
  <c r="K792" i="52"/>
  <c r="L792" i="52" s="1"/>
  <c r="M792" i="52" s="1"/>
  <c r="N792" i="52" s="1"/>
  <c r="I792" i="52"/>
  <c r="N791" i="52"/>
  <c r="L791" i="52"/>
  <c r="M791" i="52" s="1"/>
  <c r="K791" i="52"/>
  <c r="I791" i="52"/>
  <c r="K790" i="52"/>
  <c r="L790" i="52" s="1"/>
  <c r="M790" i="52" s="1"/>
  <c r="N790" i="52" s="1"/>
  <c r="I790" i="52"/>
  <c r="L789" i="52"/>
  <c r="M789" i="52" s="1"/>
  <c r="N789" i="52" s="1"/>
  <c r="K789" i="52"/>
  <c r="I789" i="52"/>
  <c r="K788" i="52"/>
  <c r="L788" i="52" s="1"/>
  <c r="M788" i="52" s="1"/>
  <c r="N788" i="52" s="1"/>
  <c r="I788" i="52"/>
  <c r="L787" i="52"/>
  <c r="M787" i="52" s="1"/>
  <c r="N787" i="52" s="1"/>
  <c r="K787" i="52"/>
  <c r="I787" i="52"/>
  <c r="K786" i="52"/>
  <c r="L786" i="52" s="1"/>
  <c r="M786" i="52" s="1"/>
  <c r="N786" i="52" s="1"/>
  <c r="I786" i="52"/>
  <c r="L785" i="52"/>
  <c r="M785" i="52" s="1"/>
  <c r="N785" i="52" s="1"/>
  <c r="K785" i="52"/>
  <c r="I785" i="52"/>
  <c r="K784" i="52"/>
  <c r="L784" i="52" s="1"/>
  <c r="M784" i="52" s="1"/>
  <c r="N784" i="52" s="1"/>
  <c r="I784" i="52"/>
  <c r="K783" i="52"/>
  <c r="L783" i="52" s="1"/>
  <c r="M783" i="52" s="1"/>
  <c r="N783" i="52" s="1"/>
  <c r="I783" i="52"/>
  <c r="K782" i="52"/>
  <c r="L782" i="52" s="1"/>
  <c r="M782" i="52" s="1"/>
  <c r="N782" i="52" s="1"/>
  <c r="I782" i="52"/>
  <c r="L781" i="52"/>
  <c r="M781" i="52" s="1"/>
  <c r="N781" i="52" s="1"/>
  <c r="K781" i="52"/>
  <c r="I781" i="52"/>
  <c r="K780" i="52"/>
  <c r="L780" i="52" s="1"/>
  <c r="M780" i="52" s="1"/>
  <c r="N780" i="52" s="1"/>
  <c r="I780" i="52"/>
  <c r="K779" i="52"/>
  <c r="L779" i="52" s="1"/>
  <c r="M779" i="52" s="1"/>
  <c r="N779" i="52" s="1"/>
  <c r="I779" i="52"/>
  <c r="K778" i="52"/>
  <c r="L778" i="52" s="1"/>
  <c r="M778" i="52" s="1"/>
  <c r="N778" i="52" s="1"/>
  <c r="I778" i="52"/>
  <c r="K777" i="52"/>
  <c r="L777" i="52" s="1"/>
  <c r="M777" i="52" s="1"/>
  <c r="N777" i="52" s="1"/>
  <c r="I777" i="52"/>
  <c r="K776" i="52"/>
  <c r="L776" i="52" s="1"/>
  <c r="M776" i="52" s="1"/>
  <c r="N776" i="52" s="1"/>
  <c r="I776" i="52"/>
  <c r="N775" i="52"/>
  <c r="L775" i="52"/>
  <c r="M775" i="52" s="1"/>
  <c r="K775" i="52"/>
  <c r="I775" i="52"/>
  <c r="K774" i="52"/>
  <c r="L774" i="52" s="1"/>
  <c r="M774" i="52" s="1"/>
  <c r="N774" i="52" s="1"/>
  <c r="I774" i="52"/>
  <c r="K773" i="52"/>
  <c r="L773" i="52" s="1"/>
  <c r="M773" i="52" s="1"/>
  <c r="N773" i="52" s="1"/>
  <c r="I773" i="52"/>
  <c r="K772" i="52"/>
  <c r="L772" i="52" s="1"/>
  <c r="M772" i="52" s="1"/>
  <c r="N772" i="52" s="1"/>
  <c r="I772" i="52"/>
  <c r="L771" i="52"/>
  <c r="M771" i="52" s="1"/>
  <c r="N771" i="52" s="1"/>
  <c r="K771" i="52"/>
  <c r="I771" i="52"/>
  <c r="K770" i="52"/>
  <c r="L770" i="52" s="1"/>
  <c r="M770" i="52" s="1"/>
  <c r="N770" i="52" s="1"/>
  <c r="I770" i="52"/>
  <c r="L769" i="52"/>
  <c r="M769" i="52" s="1"/>
  <c r="N769" i="52" s="1"/>
  <c r="K769" i="52"/>
  <c r="I769" i="52"/>
  <c r="K768" i="52"/>
  <c r="L768" i="52" s="1"/>
  <c r="M768" i="52" s="1"/>
  <c r="N768" i="52" s="1"/>
  <c r="I768" i="52"/>
  <c r="K767" i="52"/>
  <c r="L767" i="52" s="1"/>
  <c r="M767" i="52" s="1"/>
  <c r="N767" i="52" s="1"/>
  <c r="I767" i="52"/>
  <c r="K766" i="52"/>
  <c r="L766" i="52" s="1"/>
  <c r="M766" i="52" s="1"/>
  <c r="N766" i="52" s="1"/>
  <c r="I766" i="52"/>
  <c r="L765" i="52"/>
  <c r="M765" i="52" s="1"/>
  <c r="N765" i="52" s="1"/>
  <c r="K765" i="52"/>
  <c r="I765" i="52"/>
  <c r="K764" i="52"/>
  <c r="L764" i="52" s="1"/>
  <c r="M764" i="52" s="1"/>
  <c r="N764" i="52" s="1"/>
  <c r="I764" i="52"/>
  <c r="N763" i="52"/>
  <c r="L763" i="52"/>
  <c r="M763" i="52" s="1"/>
  <c r="K763" i="52"/>
  <c r="I763" i="52"/>
  <c r="K762" i="52"/>
  <c r="L762" i="52" s="1"/>
  <c r="M762" i="52" s="1"/>
  <c r="N762" i="52" s="1"/>
  <c r="I762" i="52"/>
  <c r="K761" i="52"/>
  <c r="L761" i="52" s="1"/>
  <c r="M761" i="52" s="1"/>
  <c r="N761" i="52" s="1"/>
  <c r="I761" i="52"/>
  <c r="K760" i="52"/>
  <c r="L760" i="52" s="1"/>
  <c r="M760" i="52" s="1"/>
  <c r="N760" i="52" s="1"/>
  <c r="I760" i="52"/>
  <c r="N759" i="52"/>
  <c r="L759" i="52"/>
  <c r="M759" i="52" s="1"/>
  <c r="K759" i="52"/>
  <c r="I759" i="52"/>
  <c r="K758" i="52"/>
  <c r="L758" i="52" s="1"/>
  <c r="M758" i="52" s="1"/>
  <c r="N758" i="52" s="1"/>
  <c r="I758" i="52"/>
  <c r="L757" i="52"/>
  <c r="M757" i="52" s="1"/>
  <c r="N757" i="52" s="1"/>
  <c r="K757" i="52"/>
  <c r="K753" i="52"/>
  <c r="K752" i="52"/>
  <c r="P748" i="52"/>
  <c r="F748" i="52"/>
  <c r="I748" i="52" s="1"/>
  <c r="Q746" i="52"/>
  <c r="P746" i="52"/>
  <c r="F746" i="52"/>
  <c r="I746" i="52" s="1"/>
  <c r="Q745" i="52"/>
  <c r="P745" i="52"/>
  <c r="I745" i="52"/>
  <c r="Q744" i="52"/>
  <c r="P744" i="52"/>
  <c r="I744" i="52"/>
  <c r="Q743" i="52"/>
  <c r="P743" i="52"/>
  <c r="I743" i="52"/>
  <c r="Q742" i="52"/>
  <c r="P742" i="52"/>
  <c r="I742" i="52"/>
  <c r="Q741" i="52"/>
  <c r="P741" i="52"/>
  <c r="F741" i="52"/>
  <c r="I741" i="52" s="1"/>
  <c r="F735" i="52"/>
  <c r="I735" i="52" s="1"/>
  <c r="P734" i="52"/>
  <c r="F734" i="52"/>
  <c r="I734" i="52" s="1"/>
  <c r="Q732" i="52"/>
  <c r="P732" i="52"/>
  <c r="F732" i="52"/>
  <c r="I732" i="52" s="1"/>
  <c r="Q731" i="52"/>
  <c r="P731" i="52"/>
  <c r="I731" i="52"/>
  <c r="Q730" i="52"/>
  <c r="P730" i="52"/>
  <c r="I730" i="52"/>
  <c r="Q729" i="52"/>
  <c r="P729" i="52"/>
  <c r="F729" i="52"/>
  <c r="I729" i="52" s="1"/>
  <c r="Q723" i="52"/>
  <c r="P723" i="52"/>
  <c r="F723" i="52"/>
  <c r="I723" i="52" s="1"/>
  <c r="I722" i="52"/>
  <c r="F722" i="52"/>
  <c r="Q720" i="52"/>
  <c r="P720" i="52"/>
  <c r="I720" i="52"/>
  <c r="F720" i="52"/>
  <c r="Q719" i="52"/>
  <c r="P719" i="52"/>
  <c r="I719" i="52"/>
  <c r="Q718" i="52"/>
  <c r="P718" i="52"/>
  <c r="F718" i="52"/>
  <c r="I718" i="52" s="1"/>
  <c r="Q717" i="52"/>
  <c r="P717" i="52"/>
  <c r="I717" i="52"/>
  <c r="Q716" i="52"/>
  <c r="P716" i="52"/>
  <c r="I716" i="52"/>
  <c r="Q715" i="52"/>
  <c r="P715" i="52"/>
  <c r="I715" i="52"/>
  <c r="Q714" i="52"/>
  <c r="P714" i="52"/>
  <c r="I714" i="52"/>
  <c r="Q713" i="52"/>
  <c r="P713" i="52"/>
  <c r="I713" i="52"/>
  <c r="Q712" i="52"/>
  <c r="P712" i="52"/>
  <c r="I712" i="52"/>
  <c r="F712" i="52"/>
  <c r="F707" i="52"/>
  <c r="I707" i="52" s="1"/>
  <c r="F706" i="52"/>
  <c r="I706" i="52" s="1"/>
  <c r="P705" i="52"/>
  <c r="I705" i="52"/>
  <c r="F705" i="52"/>
  <c r="P704" i="52"/>
  <c r="F704" i="52"/>
  <c r="I704" i="52" s="1"/>
  <c r="F703" i="52"/>
  <c r="I703" i="52" s="1"/>
  <c r="P702" i="52"/>
  <c r="I702" i="52"/>
  <c r="F702" i="52"/>
  <c r="I701" i="52"/>
  <c r="F701" i="52"/>
  <c r="I700" i="52"/>
  <c r="F700" i="52"/>
  <c r="P699" i="52"/>
  <c r="F699" i="52"/>
  <c r="I699" i="52" s="1"/>
  <c r="P698" i="52"/>
  <c r="I698" i="52"/>
  <c r="F698" i="52"/>
  <c r="F697" i="52"/>
  <c r="I697" i="52" s="1"/>
  <c r="I696" i="52"/>
  <c r="F696" i="52"/>
  <c r="Q695" i="52"/>
  <c r="P695" i="52"/>
  <c r="I694" i="52"/>
  <c r="F694" i="52"/>
  <c r="P693" i="52"/>
  <c r="I693" i="52"/>
  <c r="I692" i="52"/>
  <c r="F691" i="52"/>
  <c r="I691" i="52" s="1"/>
  <c r="I690" i="52"/>
  <c r="I689" i="52"/>
  <c r="F689" i="52"/>
  <c r="I688" i="52"/>
  <c r="I687" i="52"/>
  <c r="P686" i="52"/>
  <c r="I686" i="52"/>
  <c r="I685" i="52"/>
  <c r="R684" i="52"/>
  <c r="Q684" i="52"/>
  <c r="P684" i="52"/>
  <c r="I684" i="52"/>
  <c r="F684" i="52"/>
  <c r="L681" i="52"/>
  <c r="M681" i="52" s="1"/>
  <c r="N681" i="52" s="1"/>
  <c r="K681" i="52"/>
  <c r="K674" i="52"/>
  <c r="F674" i="52"/>
  <c r="I674" i="52" s="1"/>
  <c r="J674" i="52" s="1"/>
  <c r="J675" i="52" s="1"/>
  <c r="L675" i="52" s="1"/>
  <c r="M675" i="52" s="1"/>
  <c r="N675" i="52" s="1"/>
  <c r="K672" i="52"/>
  <c r="K671" i="52"/>
  <c r="K670" i="52"/>
  <c r="L670" i="52" s="1"/>
  <c r="M670" i="52" s="1"/>
  <c r="N670" i="52" s="1"/>
  <c r="I670" i="52"/>
  <c r="L669" i="52"/>
  <c r="M669" i="52" s="1"/>
  <c r="N669" i="52" s="1"/>
  <c r="K669" i="52"/>
  <c r="I669" i="52"/>
  <c r="K668" i="52"/>
  <c r="L668" i="52" s="1"/>
  <c r="M668" i="52" s="1"/>
  <c r="N668" i="52" s="1"/>
  <c r="I668" i="52"/>
  <c r="N667" i="52"/>
  <c r="L667" i="52"/>
  <c r="M667" i="52" s="1"/>
  <c r="K667" i="52"/>
  <c r="I667" i="52"/>
  <c r="K666" i="52"/>
  <c r="L666" i="52" s="1"/>
  <c r="M666" i="52" s="1"/>
  <c r="N666" i="52" s="1"/>
  <c r="I666" i="52"/>
  <c r="K665" i="52"/>
  <c r="L665" i="52" s="1"/>
  <c r="M665" i="52" s="1"/>
  <c r="N665" i="52" s="1"/>
  <c r="I665" i="52"/>
  <c r="K664" i="52"/>
  <c r="L664" i="52" s="1"/>
  <c r="M664" i="52" s="1"/>
  <c r="N664" i="52" s="1"/>
  <c r="I664" i="52"/>
  <c r="L663" i="52"/>
  <c r="M663" i="52" s="1"/>
  <c r="N663" i="52" s="1"/>
  <c r="K663" i="52"/>
  <c r="I663" i="52"/>
  <c r="K662" i="52"/>
  <c r="L662" i="52" s="1"/>
  <c r="M662" i="52" s="1"/>
  <c r="N662" i="52" s="1"/>
  <c r="I662" i="52"/>
  <c r="L661" i="52"/>
  <c r="M661" i="52" s="1"/>
  <c r="N661" i="52" s="1"/>
  <c r="K661" i="52"/>
  <c r="I661" i="52"/>
  <c r="K660" i="52"/>
  <c r="L660" i="52" s="1"/>
  <c r="M660" i="52" s="1"/>
  <c r="N660" i="52" s="1"/>
  <c r="I660" i="52"/>
  <c r="L659" i="52"/>
  <c r="M659" i="52" s="1"/>
  <c r="N659" i="52" s="1"/>
  <c r="K659" i="52"/>
  <c r="I659" i="52"/>
  <c r="K658" i="52"/>
  <c r="L658" i="52" s="1"/>
  <c r="M658" i="52" s="1"/>
  <c r="N658" i="52" s="1"/>
  <c r="I658" i="52"/>
  <c r="L657" i="52"/>
  <c r="M657" i="52" s="1"/>
  <c r="N657" i="52" s="1"/>
  <c r="K657" i="52"/>
  <c r="I657" i="52"/>
  <c r="K656" i="52"/>
  <c r="L656" i="52" s="1"/>
  <c r="M656" i="52" s="1"/>
  <c r="N656" i="52" s="1"/>
  <c r="I656" i="52"/>
  <c r="K655" i="52"/>
  <c r="L655" i="52" s="1"/>
  <c r="M655" i="52" s="1"/>
  <c r="N655" i="52" s="1"/>
  <c r="I655" i="52"/>
  <c r="K654" i="52"/>
  <c r="L654" i="52" s="1"/>
  <c r="M654" i="52" s="1"/>
  <c r="N654" i="52" s="1"/>
  <c r="I654" i="52"/>
  <c r="J737" i="52" s="1"/>
  <c r="L653" i="52"/>
  <c r="M653" i="52" s="1"/>
  <c r="N653" i="52" s="1"/>
  <c r="K653" i="52"/>
  <c r="I653" i="52"/>
  <c r="K652" i="52"/>
  <c r="L652" i="52" s="1"/>
  <c r="M652" i="52" s="1"/>
  <c r="N652" i="52" s="1"/>
  <c r="I652" i="52"/>
  <c r="K651" i="52"/>
  <c r="L651" i="52" s="1"/>
  <c r="M651" i="52" s="1"/>
  <c r="N651" i="52" s="1"/>
  <c r="I651" i="52"/>
  <c r="K650" i="52"/>
  <c r="L650" i="52" s="1"/>
  <c r="M650" i="52" s="1"/>
  <c r="N650" i="52" s="1"/>
  <c r="I650" i="52"/>
  <c r="K649" i="52"/>
  <c r="L649" i="52" s="1"/>
  <c r="M649" i="52" s="1"/>
  <c r="N649" i="52" s="1"/>
  <c r="I649" i="52"/>
  <c r="K648" i="52"/>
  <c r="L648" i="52" s="1"/>
  <c r="M648" i="52" s="1"/>
  <c r="N648" i="52" s="1"/>
  <c r="I648" i="52"/>
  <c r="N647" i="52"/>
  <c r="L647" i="52"/>
  <c r="M647" i="52" s="1"/>
  <c r="K647" i="52"/>
  <c r="I647" i="52"/>
  <c r="K646" i="52"/>
  <c r="L646" i="52" s="1"/>
  <c r="M646" i="52" s="1"/>
  <c r="N646" i="52" s="1"/>
  <c r="I646" i="52"/>
  <c r="K645" i="52"/>
  <c r="L645" i="52" s="1"/>
  <c r="M645" i="52" s="1"/>
  <c r="N645" i="52" s="1"/>
  <c r="I645" i="52"/>
  <c r="K644" i="52"/>
  <c r="L644" i="52" s="1"/>
  <c r="M644" i="52" s="1"/>
  <c r="N644" i="52" s="1"/>
  <c r="I644" i="52"/>
  <c r="K643" i="52"/>
  <c r="L643" i="52" s="1"/>
  <c r="M643" i="52" s="1"/>
  <c r="N643" i="52" s="1"/>
  <c r="I643" i="52"/>
  <c r="K642" i="52"/>
  <c r="L642" i="52" s="1"/>
  <c r="M642" i="52" s="1"/>
  <c r="N642" i="52" s="1"/>
  <c r="I642" i="52"/>
  <c r="L641" i="52"/>
  <c r="M641" i="52" s="1"/>
  <c r="N641" i="52" s="1"/>
  <c r="K641" i="52"/>
  <c r="I641" i="52"/>
  <c r="K640" i="52"/>
  <c r="L640" i="52" s="1"/>
  <c r="M640" i="52" s="1"/>
  <c r="N640" i="52" s="1"/>
  <c r="I640" i="52"/>
  <c r="K639" i="52"/>
  <c r="L639" i="52" s="1"/>
  <c r="M639" i="52" s="1"/>
  <c r="N639" i="52" s="1"/>
  <c r="I639" i="52"/>
  <c r="K638" i="52"/>
  <c r="L638" i="52" s="1"/>
  <c r="M638" i="52" s="1"/>
  <c r="N638" i="52" s="1"/>
  <c r="I638" i="52"/>
  <c r="L637" i="52"/>
  <c r="M637" i="52" s="1"/>
  <c r="N637" i="52" s="1"/>
  <c r="K637" i="52"/>
  <c r="I637" i="52"/>
  <c r="K636" i="52"/>
  <c r="L636" i="52" s="1"/>
  <c r="M636" i="52" s="1"/>
  <c r="N636" i="52" s="1"/>
  <c r="I636" i="52"/>
  <c r="N635" i="52"/>
  <c r="L635" i="52"/>
  <c r="M635" i="52" s="1"/>
  <c r="K635" i="52"/>
  <c r="I635" i="52"/>
  <c r="K634" i="52"/>
  <c r="L634" i="52" s="1"/>
  <c r="M634" i="52" s="1"/>
  <c r="N634" i="52" s="1"/>
  <c r="I634" i="52"/>
  <c r="K633" i="52"/>
  <c r="L633" i="52" s="1"/>
  <c r="M633" i="52" s="1"/>
  <c r="N633" i="52" s="1"/>
  <c r="I633" i="52"/>
  <c r="K632" i="52"/>
  <c r="L632" i="52" s="1"/>
  <c r="M632" i="52" s="1"/>
  <c r="N632" i="52" s="1"/>
  <c r="I632" i="52"/>
  <c r="L631" i="52"/>
  <c r="M631" i="52" s="1"/>
  <c r="N631" i="52" s="1"/>
  <c r="K631" i="52"/>
  <c r="I631" i="52"/>
  <c r="K630" i="52"/>
  <c r="L630" i="52" s="1"/>
  <c r="M630" i="52" s="1"/>
  <c r="N630" i="52" s="1"/>
  <c r="I630" i="52"/>
  <c r="L629" i="52"/>
  <c r="M629" i="52" s="1"/>
  <c r="N629" i="52" s="1"/>
  <c r="K629" i="52"/>
  <c r="I629" i="52"/>
  <c r="K628" i="52"/>
  <c r="L628" i="52" s="1"/>
  <c r="M628" i="52" s="1"/>
  <c r="N628" i="52" s="1"/>
  <c r="I628" i="52"/>
  <c r="L627" i="52"/>
  <c r="M627" i="52" s="1"/>
  <c r="N627" i="52" s="1"/>
  <c r="K627" i="52"/>
  <c r="I627" i="52"/>
  <c r="K626" i="52"/>
  <c r="L626" i="52" s="1"/>
  <c r="M626" i="52" s="1"/>
  <c r="N626" i="52" s="1"/>
  <c r="I626" i="52"/>
  <c r="J749" i="52" s="1"/>
  <c r="L625" i="52"/>
  <c r="M625" i="52" s="1"/>
  <c r="N625" i="52" s="1"/>
  <c r="K625" i="52"/>
  <c r="I625" i="52"/>
  <c r="K624" i="52"/>
  <c r="L624" i="52" s="1"/>
  <c r="M624" i="52" s="1"/>
  <c r="N624" i="52" s="1"/>
  <c r="I624" i="52"/>
  <c r="J725" i="52" s="1"/>
  <c r="I623" i="52"/>
  <c r="K622" i="52"/>
  <c r="L622" i="52" s="1"/>
  <c r="M622" i="52" s="1"/>
  <c r="N622" i="52" s="1"/>
  <c r="I622" i="52"/>
  <c r="L621" i="52"/>
  <c r="M621" i="52" s="1"/>
  <c r="N621" i="52" s="1"/>
  <c r="K621" i="52"/>
  <c r="I621" i="52"/>
  <c r="J708" i="52" s="1"/>
  <c r="M620" i="52"/>
  <c r="N620" i="52" s="1"/>
  <c r="K620" i="52"/>
  <c r="L620" i="52" s="1"/>
  <c r="M619" i="52"/>
  <c r="N619" i="52" s="1"/>
  <c r="K619" i="52"/>
  <c r="L619" i="52" s="1"/>
  <c r="K618" i="52"/>
  <c r="K617" i="52"/>
  <c r="K616" i="52"/>
  <c r="K615" i="52"/>
  <c r="L615" i="52" s="1"/>
  <c r="M615" i="52" s="1"/>
  <c r="N615" i="52" s="1"/>
  <c r="I615" i="52"/>
  <c r="M614" i="52"/>
  <c r="N614" i="52" s="1"/>
  <c r="K614" i="52"/>
  <c r="L614" i="52" s="1"/>
  <c r="I614" i="52"/>
  <c r="N613" i="52"/>
  <c r="K613" i="52"/>
  <c r="L613" i="52" s="1"/>
  <c r="M613" i="52" s="1"/>
  <c r="I613" i="52"/>
  <c r="K612" i="52"/>
  <c r="L612" i="52" s="1"/>
  <c r="M612" i="52" s="1"/>
  <c r="N612" i="52" s="1"/>
  <c r="I612" i="52"/>
  <c r="K611" i="52"/>
  <c r="L611" i="52" s="1"/>
  <c r="M611" i="52" s="1"/>
  <c r="N611" i="52" s="1"/>
  <c r="I611" i="52"/>
  <c r="K610" i="52"/>
  <c r="L610" i="52" s="1"/>
  <c r="M610" i="52" s="1"/>
  <c r="N610" i="52" s="1"/>
  <c r="I610" i="52"/>
  <c r="N609" i="52"/>
  <c r="L609" i="52"/>
  <c r="M609" i="52" s="1"/>
  <c r="K609" i="52"/>
  <c r="I609" i="52"/>
  <c r="K608" i="52"/>
  <c r="L608" i="52" s="1"/>
  <c r="M608" i="52" s="1"/>
  <c r="N608" i="52" s="1"/>
  <c r="I608" i="52"/>
  <c r="K607" i="52"/>
  <c r="L607" i="52" s="1"/>
  <c r="M607" i="52" s="1"/>
  <c r="N607" i="52" s="1"/>
  <c r="I607" i="52"/>
  <c r="M606" i="52"/>
  <c r="N606" i="52" s="1"/>
  <c r="K606" i="52"/>
  <c r="L606" i="52" s="1"/>
  <c r="I606" i="52"/>
  <c r="K605" i="52"/>
  <c r="L605" i="52" s="1"/>
  <c r="M605" i="52" s="1"/>
  <c r="N605" i="52" s="1"/>
  <c r="I605" i="52"/>
  <c r="K604" i="52"/>
  <c r="L604" i="52" s="1"/>
  <c r="M604" i="52" s="1"/>
  <c r="N604" i="52" s="1"/>
  <c r="I604" i="52"/>
  <c r="K603" i="52"/>
  <c r="L603" i="52" s="1"/>
  <c r="M603" i="52" s="1"/>
  <c r="N603" i="52" s="1"/>
  <c r="I603" i="52"/>
  <c r="K602" i="52"/>
  <c r="L602" i="52" s="1"/>
  <c r="M602" i="52" s="1"/>
  <c r="N602" i="52" s="1"/>
  <c r="I602" i="52"/>
  <c r="N601" i="52"/>
  <c r="L601" i="52"/>
  <c r="M601" i="52" s="1"/>
  <c r="K601" i="52"/>
  <c r="I601" i="52"/>
  <c r="K600" i="52"/>
  <c r="L600" i="52" s="1"/>
  <c r="M600" i="52" s="1"/>
  <c r="N600" i="52" s="1"/>
  <c r="I600" i="52"/>
  <c r="K599" i="52"/>
  <c r="L599" i="52" s="1"/>
  <c r="M599" i="52" s="1"/>
  <c r="N599" i="52" s="1"/>
  <c r="I599" i="52"/>
  <c r="M598" i="52"/>
  <c r="N598" i="52" s="1"/>
  <c r="K598" i="52"/>
  <c r="L598" i="52" s="1"/>
  <c r="I598" i="52"/>
  <c r="N597" i="52"/>
  <c r="K597" i="52"/>
  <c r="L597" i="52" s="1"/>
  <c r="M597" i="52" s="1"/>
  <c r="I597" i="52"/>
  <c r="K596" i="52"/>
  <c r="L596" i="52" s="1"/>
  <c r="M596" i="52" s="1"/>
  <c r="N596" i="52" s="1"/>
  <c r="I596" i="52"/>
  <c r="K595" i="52"/>
  <c r="L595" i="52" s="1"/>
  <c r="M595" i="52" s="1"/>
  <c r="N595" i="52" s="1"/>
  <c r="I595" i="52"/>
  <c r="K594" i="52"/>
  <c r="L594" i="52" s="1"/>
  <c r="M594" i="52" s="1"/>
  <c r="N594" i="52" s="1"/>
  <c r="I594" i="52"/>
  <c r="N593" i="52"/>
  <c r="L593" i="52"/>
  <c r="M593" i="52" s="1"/>
  <c r="K593" i="52"/>
  <c r="I593" i="52"/>
  <c r="K592" i="52"/>
  <c r="L592" i="52" s="1"/>
  <c r="M592" i="52" s="1"/>
  <c r="N592" i="52" s="1"/>
  <c r="I592" i="52"/>
  <c r="K591" i="52"/>
  <c r="L591" i="52" s="1"/>
  <c r="M591" i="52" s="1"/>
  <c r="N591" i="52" s="1"/>
  <c r="I591" i="52"/>
  <c r="M590" i="52"/>
  <c r="N590" i="52" s="1"/>
  <c r="K590" i="52"/>
  <c r="L590" i="52" s="1"/>
  <c r="I590" i="52"/>
  <c r="K589" i="52"/>
  <c r="L589" i="52" s="1"/>
  <c r="M589" i="52" s="1"/>
  <c r="N589" i="52" s="1"/>
  <c r="I589" i="52"/>
  <c r="K588" i="52"/>
  <c r="L588" i="52" s="1"/>
  <c r="M588" i="52" s="1"/>
  <c r="N588" i="52" s="1"/>
  <c r="I588" i="52"/>
  <c r="K587" i="52"/>
  <c r="L587" i="52" s="1"/>
  <c r="M587" i="52" s="1"/>
  <c r="N587" i="52" s="1"/>
  <c r="I587" i="52"/>
  <c r="I586" i="52"/>
  <c r="L585" i="52"/>
  <c r="M585" i="52" s="1"/>
  <c r="N585" i="52" s="1"/>
  <c r="K585" i="52"/>
  <c r="I585" i="52"/>
  <c r="K584" i="52"/>
  <c r="L584" i="52" s="1"/>
  <c r="M584" i="52" s="1"/>
  <c r="N584" i="52" s="1"/>
  <c r="I584" i="52"/>
  <c r="N583" i="52"/>
  <c r="K583" i="52"/>
  <c r="L583" i="52" s="1"/>
  <c r="M583" i="52" s="1"/>
  <c r="I583" i="52"/>
  <c r="M582" i="52"/>
  <c r="N582" i="52" s="1"/>
  <c r="K582" i="52"/>
  <c r="L582" i="52" s="1"/>
  <c r="I582" i="52"/>
  <c r="N581" i="52"/>
  <c r="L581" i="52"/>
  <c r="M581" i="52" s="1"/>
  <c r="K581" i="52"/>
  <c r="I581" i="52"/>
  <c r="K580" i="52"/>
  <c r="L580" i="52" s="1"/>
  <c r="M580" i="52" s="1"/>
  <c r="N580" i="52" s="1"/>
  <c r="I580" i="52"/>
  <c r="K579" i="52"/>
  <c r="L579" i="52" s="1"/>
  <c r="M579" i="52" s="1"/>
  <c r="N579" i="52" s="1"/>
  <c r="I579" i="52"/>
  <c r="K578" i="52"/>
  <c r="L578" i="52" s="1"/>
  <c r="M578" i="52" s="1"/>
  <c r="N578" i="52" s="1"/>
  <c r="I578" i="52"/>
  <c r="L577" i="52"/>
  <c r="M577" i="52" s="1"/>
  <c r="N577" i="52" s="1"/>
  <c r="K577" i="52"/>
  <c r="I577" i="52"/>
  <c r="K576" i="52"/>
  <c r="L576" i="52" s="1"/>
  <c r="M576" i="52" s="1"/>
  <c r="N576" i="52" s="1"/>
  <c r="I576" i="52"/>
  <c r="K575" i="52"/>
  <c r="L575" i="52" s="1"/>
  <c r="M575" i="52" s="1"/>
  <c r="N575" i="52" s="1"/>
  <c r="I575" i="52"/>
  <c r="K574" i="52"/>
  <c r="L574" i="52" s="1"/>
  <c r="M574" i="52" s="1"/>
  <c r="N574" i="52" s="1"/>
  <c r="I574" i="52"/>
  <c r="K573" i="52"/>
  <c r="L573" i="52" s="1"/>
  <c r="M573" i="52" s="1"/>
  <c r="N573" i="52" s="1"/>
  <c r="I573" i="52"/>
  <c r="M572" i="52"/>
  <c r="N572" i="52" s="1"/>
  <c r="K572" i="52"/>
  <c r="L572" i="52" s="1"/>
  <c r="I572" i="52"/>
  <c r="K571" i="52"/>
  <c r="L571" i="52" s="1"/>
  <c r="M571" i="52" s="1"/>
  <c r="N571" i="52" s="1"/>
  <c r="I571" i="52"/>
  <c r="M570" i="52"/>
  <c r="N570" i="52" s="1"/>
  <c r="K570" i="52"/>
  <c r="L570" i="52" s="1"/>
  <c r="I570" i="52"/>
  <c r="K569" i="52"/>
  <c r="L569" i="52" s="1"/>
  <c r="M569" i="52" s="1"/>
  <c r="N569" i="52" s="1"/>
  <c r="I569" i="52"/>
  <c r="I568" i="52"/>
  <c r="N567" i="52"/>
  <c r="L567" i="52"/>
  <c r="M567" i="52" s="1"/>
  <c r="K567" i="52"/>
  <c r="I567" i="52"/>
  <c r="K566" i="52"/>
  <c r="L566" i="52" s="1"/>
  <c r="M566" i="52" s="1"/>
  <c r="N566" i="52" s="1"/>
  <c r="I566" i="52"/>
  <c r="K565" i="52"/>
  <c r="L565" i="52" s="1"/>
  <c r="M565" i="52" s="1"/>
  <c r="N565" i="52" s="1"/>
  <c r="N564" i="52"/>
  <c r="L564" i="52"/>
  <c r="M564" i="52" s="1"/>
  <c r="K564" i="52"/>
  <c r="N563" i="52"/>
  <c r="L563" i="52"/>
  <c r="M563" i="52" s="1"/>
  <c r="K563" i="52"/>
  <c r="K562" i="52"/>
  <c r="L562" i="52" s="1"/>
  <c r="M562" i="52" s="1"/>
  <c r="N562" i="52" s="1"/>
  <c r="K560" i="52"/>
  <c r="K559" i="52"/>
  <c r="F559" i="52"/>
  <c r="I559" i="52" s="1"/>
  <c r="J559" i="52" s="1"/>
  <c r="J560" i="52" s="1"/>
  <c r="L560" i="52" s="1"/>
  <c r="M560" i="52" s="1"/>
  <c r="N560" i="52" s="1"/>
  <c r="K556" i="52"/>
  <c r="K555" i="52"/>
  <c r="I554" i="52"/>
  <c r="I553" i="52"/>
  <c r="L551" i="52"/>
  <c r="M551" i="52" s="1"/>
  <c r="N551" i="52" s="1"/>
  <c r="K551" i="52"/>
  <c r="L550" i="52"/>
  <c r="M550" i="52" s="1"/>
  <c r="N550" i="52" s="1"/>
  <c r="K550" i="52"/>
  <c r="K548" i="52"/>
  <c r="F548" i="52"/>
  <c r="M547" i="52"/>
  <c r="N547" i="52" s="1"/>
  <c r="K547" i="52"/>
  <c r="L547" i="52" s="1"/>
  <c r="K546" i="52"/>
  <c r="L546" i="52" s="1"/>
  <c r="M546" i="52" s="1"/>
  <c r="N546" i="52" s="1"/>
  <c r="M545" i="52"/>
  <c r="N545" i="52" s="1"/>
  <c r="K545" i="52"/>
  <c r="L545" i="52" s="1"/>
  <c r="K544" i="52"/>
  <c r="L544" i="52" s="1"/>
  <c r="M544" i="52" s="1"/>
  <c r="N544" i="52" s="1"/>
  <c r="K542" i="52"/>
  <c r="G542" i="52"/>
  <c r="F542" i="52"/>
  <c r="N541" i="52"/>
  <c r="L541" i="52"/>
  <c r="M541" i="52" s="1"/>
  <c r="K541" i="52"/>
  <c r="K539" i="52"/>
  <c r="K538" i="52"/>
  <c r="L538" i="52" s="1"/>
  <c r="M538" i="52" s="1"/>
  <c r="N538" i="52" s="1"/>
  <c r="J538" i="52"/>
  <c r="J539" i="52" s="1"/>
  <c r="J540" i="52" s="1"/>
  <c r="L540" i="52" s="1"/>
  <c r="M540" i="52" s="1"/>
  <c r="N540" i="52" s="1"/>
  <c r="P540" i="52" s="1"/>
  <c r="I538" i="52"/>
  <c r="L537" i="52"/>
  <c r="M537" i="52" s="1"/>
  <c r="N537" i="52" s="1"/>
  <c r="K537" i="52"/>
  <c r="K535" i="52"/>
  <c r="K534" i="52"/>
  <c r="G534" i="52"/>
  <c r="I534" i="52" s="1"/>
  <c r="J534" i="52" s="1"/>
  <c r="J535" i="52" s="1"/>
  <c r="J536" i="52" s="1"/>
  <c r="L536" i="52" s="1"/>
  <c r="M536" i="52" s="1"/>
  <c r="N536" i="52" s="1"/>
  <c r="F534" i="52"/>
  <c r="K532" i="52"/>
  <c r="L532" i="52" s="1"/>
  <c r="M532" i="52" s="1"/>
  <c r="N532" i="52" s="1"/>
  <c r="N531" i="52"/>
  <c r="L531" i="52"/>
  <c r="M531" i="52" s="1"/>
  <c r="K531" i="52"/>
  <c r="N530" i="52"/>
  <c r="L530" i="52"/>
  <c r="M530" i="52" s="1"/>
  <c r="K530" i="52"/>
  <c r="K529" i="52"/>
  <c r="L529" i="52" s="1"/>
  <c r="M529" i="52" s="1"/>
  <c r="N529" i="52" s="1"/>
  <c r="L528" i="52"/>
  <c r="M528" i="52" s="1"/>
  <c r="N528" i="52" s="1"/>
  <c r="K528" i="52"/>
  <c r="L527" i="52"/>
  <c r="M527" i="52" s="1"/>
  <c r="N527" i="52" s="1"/>
  <c r="K527" i="52"/>
  <c r="L526" i="52"/>
  <c r="M526" i="52" s="1"/>
  <c r="N526" i="52" s="1"/>
  <c r="K526" i="52"/>
  <c r="K525" i="52"/>
  <c r="L525" i="52" s="1"/>
  <c r="M525" i="52" s="1"/>
  <c r="N525" i="52" s="1"/>
  <c r="L524" i="52"/>
  <c r="M524" i="52" s="1"/>
  <c r="N524" i="52" s="1"/>
  <c r="K524" i="52"/>
  <c r="K523" i="52"/>
  <c r="L523" i="52" s="1"/>
  <c r="M523" i="52" s="1"/>
  <c r="N523" i="52" s="1"/>
  <c r="K522" i="52"/>
  <c r="L522" i="52" s="1"/>
  <c r="M522" i="52" s="1"/>
  <c r="N522" i="52" s="1"/>
  <c r="N521" i="52"/>
  <c r="K521" i="52"/>
  <c r="L521" i="52" s="1"/>
  <c r="M521" i="52" s="1"/>
  <c r="K520" i="52"/>
  <c r="L520" i="52" s="1"/>
  <c r="M520" i="52" s="1"/>
  <c r="N520" i="52" s="1"/>
  <c r="K519" i="52"/>
  <c r="L519" i="52" s="1"/>
  <c r="M519" i="52" s="1"/>
  <c r="N519" i="52" s="1"/>
  <c r="K518" i="52"/>
  <c r="L518" i="52" s="1"/>
  <c r="M518" i="52" s="1"/>
  <c r="N518" i="52" s="1"/>
  <c r="L517" i="52"/>
  <c r="M517" i="52" s="1"/>
  <c r="N517" i="52" s="1"/>
  <c r="K517" i="52"/>
  <c r="K516" i="52"/>
  <c r="L516" i="52" s="1"/>
  <c r="M516" i="52" s="1"/>
  <c r="N516" i="52" s="1"/>
  <c r="N515" i="52"/>
  <c r="K515" i="52"/>
  <c r="L515" i="52" s="1"/>
  <c r="M515" i="52" s="1"/>
  <c r="L514" i="52"/>
  <c r="M514" i="52" s="1"/>
  <c r="N514" i="52" s="1"/>
  <c r="K514" i="52"/>
  <c r="L513" i="52"/>
  <c r="M513" i="52" s="1"/>
  <c r="N513" i="52" s="1"/>
  <c r="K513" i="52"/>
  <c r="K512" i="52"/>
  <c r="L512" i="52" s="1"/>
  <c r="M512" i="52" s="1"/>
  <c r="N512" i="52" s="1"/>
  <c r="N511" i="52"/>
  <c r="L511" i="52"/>
  <c r="M511" i="52" s="1"/>
  <c r="K511" i="52"/>
  <c r="L510" i="52"/>
  <c r="M510" i="52" s="1"/>
  <c r="N510" i="52" s="1"/>
  <c r="K510" i="52"/>
  <c r="K509" i="52"/>
  <c r="L509" i="52" s="1"/>
  <c r="M509" i="52" s="1"/>
  <c r="N509" i="52" s="1"/>
  <c r="L508" i="52"/>
  <c r="M508" i="52" s="1"/>
  <c r="N508" i="52" s="1"/>
  <c r="K508" i="52"/>
  <c r="L507" i="52"/>
  <c r="M507" i="52" s="1"/>
  <c r="N507" i="52" s="1"/>
  <c r="K507" i="52"/>
  <c r="K506" i="52"/>
  <c r="L506" i="52" s="1"/>
  <c r="M506" i="52" s="1"/>
  <c r="N506" i="52" s="1"/>
  <c r="N505" i="52"/>
  <c r="L505" i="52"/>
  <c r="M505" i="52" s="1"/>
  <c r="K505" i="52"/>
  <c r="K504" i="52"/>
  <c r="L504" i="52" s="1"/>
  <c r="M504" i="52" s="1"/>
  <c r="N504" i="52" s="1"/>
  <c r="K503" i="52"/>
  <c r="L503" i="52" s="1"/>
  <c r="M503" i="52" s="1"/>
  <c r="N503" i="52" s="1"/>
  <c r="N502" i="52"/>
  <c r="L502" i="52"/>
  <c r="M502" i="52" s="1"/>
  <c r="K502" i="52"/>
  <c r="L501" i="52"/>
  <c r="M501" i="52" s="1"/>
  <c r="N501" i="52" s="1"/>
  <c r="K501" i="52"/>
  <c r="K500" i="52"/>
  <c r="L500" i="52" s="1"/>
  <c r="M500" i="52" s="1"/>
  <c r="N500" i="52" s="1"/>
  <c r="N499" i="52"/>
  <c r="L499" i="52"/>
  <c r="M499" i="52" s="1"/>
  <c r="K499" i="52"/>
  <c r="N498" i="52"/>
  <c r="L498" i="52"/>
  <c r="M498" i="52" s="1"/>
  <c r="K498" i="52"/>
  <c r="K497" i="52"/>
  <c r="L497" i="52" s="1"/>
  <c r="M497" i="52" s="1"/>
  <c r="N497" i="52" s="1"/>
  <c r="L496" i="52"/>
  <c r="M496" i="52" s="1"/>
  <c r="N496" i="52" s="1"/>
  <c r="K496" i="52"/>
  <c r="L495" i="52"/>
  <c r="M495" i="52" s="1"/>
  <c r="N495" i="52" s="1"/>
  <c r="K495" i="52"/>
  <c r="L494" i="52"/>
  <c r="M494" i="52" s="1"/>
  <c r="N494" i="52" s="1"/>
  <c r="K494" i="52"/>
  <c r="K493" i="52"/>
  <c r="L493" i="52" s="1"/>
  <c r="M493" i="52" s="1"/>
  <c r="N493" i="52" s="1"/>
  <c r="L492" i="52"/>
  <c r="M492" i="52" s="1"/>
  <c r="N492" i="52" s="1"/>
  <c r="K492" i="52"/>
  <c r="K491" i="52"/>
  <c r="L491" i="52" s="1"/>
  <c r="M491" i="52" s="1"/>
  <c r="N491" i="52" s="1"/>
  <c r="K490" i="52"/>
  <c r="L490" i="52" s="1"/>
  <c r="M490" i="52" s="1"/>
  <c r="N490" i="52" s="1"/>
  <c r="N489" i="52"/>
  <c r="K489" i="52"/>
  <c r="L489" i="52" s="1"/>
  <c r="M489" i="52" s="1"/>
  <c r="K488" i="52"/>
  <c r="L488" i="52" s="1"/>
  <c r="M488" i="52" s="1"/>
  <c r="N488" i="52" s="1"/>
  <c r="N487" i="52"/>
  <c r="K487" i="52"/>
  <c r="L487" i="52" s="1"/>
  <c r="M487" i="52" s="1"/>
  <c r="N486" i="52"/>
  <c r="K486" i="52"/>
  <c r="L486" i="52" s="1"/>
  <c r="M486" i="52" s="1"/>
  <c r="K485" i="52"/>
  <c r="L485" i="52" s="1"/>
  <c r="M485" i="52" s="1"/>
  <c r="N485" i="52" s="1"/>
  <c r="K484" i="52"/>
  <c r="L484" i="52" s="1"/>
  <c r="M484" i="52" s="1"/>
  <c r="N484" i="52" s="1"/>
  <c r="N483" i="52"/>
  <c r="K483" i="52"/>
  <c r="L483" i="52" s="1"/>
  <c r="M483" i="52" s="1"/>
  <c r="K482" i="52"/>
  <c r="L482" i="52" s="1"/>
  <c r="M482" i="52" s="1"/>
  <c r="N482" i="52" s="1"/>
  <c r="K481" i="52"/>
  <c r="L481" i="52" s="1"/>
  <c r="M481" i="52" s="1"/>
  <c r="N481" i="52" s="1"/>
  <c r="K480" i="52"/>
  <c r="L480" i="52" s="1"/>
  <c r="M480" i="52" s="1"/>
  <c r="N480" i="52" s="1"/>
  <c r="K479" i="52"/>
  <c r="L479" i="52" s="1"/>
  <c r="M479" i="52" s="1"/>
  <c r="N479" i="52" s="1"/>
  <c r="K478" i="52"/>
  <c r="L478" i="52" s="1"/>
  <c r="M478" i="52" s="1"/>
  <c r="N478" i="52" s="1"/>
  <c r="K477" i="52"/>
  <c r="L477" i="52" s="1"/>
  <c r="M477" i="52" s="1"/>
  <c r="N477" i="52" s="1"/>
  <c r="K476" i="52"/>
  <c r="L476" i="52" s="1"/>
  <c r="M476" i="52" s="1"/>
  <c r="N476" i="52" s="1"/>
  <c r="L475" i="52"/>
  <c r="M475" i="52" s="1"/>
  <c r="N475" i="52" s="1"/>
  <c r="K475" i="52"/>
  <c r="L474" i="52"/>
  <c r="M474" i="52" s="1"/>
  <c r="N474" i="52" s="1"/>
  <c r="K474" i="52"/>
  <c r="N473" i="52"/>
  <c r="L473" i="52"/>
  <c r="M473" i="52" s="1"/>
  <c r="K473" i="52"/>
  <c r="L472" i="52"/>
  <c r="M472" i="52" s="1"/>
  <c r="N472" i="52" s="1"/>
  <c r="K472" i="52"/>
  <c r="K471" i="52"/>
  <c r="L471" i="52" s="1"/>
  <c r="M471" i="52" s="1"/>
  <c r="N471" i="52" s="1"/>
  <c r="L470" i="52"/>
  <c r="M470" i="52" s="1"/>
  <c r="N470" i="52" s="1"/>
  <c r="K470" i="52"/>
  <c r="L469" i="52"/>
  <c r="M469" i="52" s="1"/>
  <c r="N469" i="52" s="1"/>
  <c r="K469" i="52"/>
  <c r="K468" i="52"/>
  <c r="L468" i="52" s="1"/>
  <c r="M468" i="52" s="1"/>
  <c r="N468" i="52" s="1"/>
  <c r="L467" i="52"/>
  <c r="M467" i="52" s="1"/>
  <c r="N467" i="52" s="1"/>
  <c r="K467" i="52"/>
  <c r="L466" i="52"/>
  <c r="M466" i="52" s="1"/>
  <c r="N466" i="52" s="1"/>
  <c r="K466" i="52"/>
  <c r="L465" i="52"/>
  <c r="M465" i="52" s="1"/>
  <c r="N465" i="52" s="1"/>
  <c r="K465" i="52"/>
  <c r="L464" i="52"/>
  <c r="M464" i="52" s="1"/>
  <c r="N464" i="52" s="1"/>
  <c r="K464" i="52"/>
  <c r="L463" i="52"/>
  <c r="M463" i="52" s="1"/>
  <c r="N463" i="52" s="1"/>
  <c r="K463" i="52"/>
  <c r="L462" i="52"/>
  <c r="M462" i="52" s="1"/>
  <c r="N462" i="52" s="1"/>
  <c r="K462" i="52"/>
  <c r="N461" i="52"/>
  <c r="K461" i="52"/>
  <c r="L461" i="52" s="1"/>
  <c r="M461" i="52" s="1"/>
  <c r="L460" i="52"/>
  <c r="M460" i="52" s="1"/>
  <c r="N460" i="52" s="1"/>
  <c r="K460" i="52"/>
  <c r="K459" i="52"/>
  <c r="L459" i="52" s="1"/>
  <c r="M459" i="52" s="1"/>
  <c r="N459" i="52" s="1"/>
  <c r="K458" i="52"/>
  <c r="L458" i="52" s="1"/>
  <c r="M458" i="52" s="1"/>
  <c r="N458" i="52" s="1"/>
  <c r="K457" i="52"/>
  <c r="L457" i="52" s="1"/>
  <c r="M457" i="52" s="1"/>
  <c r="N457" i="52" s="1"/>
  <c r="L456" i="52"/>
  <c r="M456" i="52" s="1"/>
  <c r="N456" i="52" s="1"/>
  <c r="K456" i="52"/>
  <c r="K455" i="52"/>
  <c r="L455" i="52" s="1"/>
  <c r="M455" i="52" s="1"/>
  <c r="N455" i="52" s="1"/>
  <c r="K454" i="52"/>
  <c r="L454" i="52" s="1"/>
  <c r="M454" i="52" s="1"/>
  <c r="N454" i="52" s="1"/>
  <c r="K453" i="52"/>
  <c r="L453" i="52" s="1"/>
  <c r="M453" i="52" s="1"/>
  <c r="N453" i="52" s="1"/>
  <c r="K452" i="52"/>
  <c r="L452" i="52" s="1"/>
  <c r="M452" i="52" s="1"/>
  <c r="N452" i="52" s="1"/>
  <c r="K451" i="52"/>
  <c r="L451" i="52" s="1"/>
  <c r="M451" i="52" s="1"/>
  <c r="N451" i="52" s="1"/>
  <c r="L450" i="52"/>
  <c r="M450" i="52" s="1"/>
  <c r="N450" i="52" s="1"/>
  <c r="K450" i="52"/>
  <c r="K449" i="52"/>
  <c r="L449" i="52" s="1"/>
  <c r="M449" i="52" s="1"/>
  <c r="N449" i="52" s="1"/>
  <c r="K448" i="52"/>
  <c r="L448" i="52" s="1"/>
  <c r="M448" i="52" s="1"/>
  <c r="N448" i="52" s="1"/>
  <c r="L447" i="52"/>
  <c r="M447" i="52" s="1"/>
  <c r="N447" i="52" s="1"/>
  <c r="K447" i="52"/>
  <c r="L446" i="52"/>
  <c r="M446" i="52" s="1"/>
  <c r="N446" i="52" s="1"/>
  <c r="K446" i="52"/>
  <c r="K445" i="52"/>
  <c r="L445" i="52" s="1"/>
  <c r="M445" i="52" s="1"/>
  <c r="N445" i="52" s="1"/>
  <c r="L444" i="52"/>
  <c r="M444" i="52" s="1"/>
  <c r="N444" i="52" s="1"/>
  <c r="K444" i="52"/>
  <c r="L443" i="52"/>
  <c r="M443" i="52" s="1"/>
  <c r="N443" i="52" s="1"/>
  <c r="K443" i="52"/>
  <c r="L442" i="52"/>
  <c r="M442" i="52" s="1"/>
  <c r="N442" i="52" s="1"/>
  <c r="K442" i="52"/>
  <c r="L441" i="52"/>
  <c r="M441" i="52" s="1"/>
  <c r="N441" i="52" s="1"/>
  <c r="K441" i="52"/>
  <c r="K440" i="52"/>
  <c r="L440" i="52" s="1"/>
  <c r="M440" i="52" s="1"/>
  <c r="N440" i="52" s="1"/>
  <c r="K439" i="52"/>
  <c r="L439" i="52" s="1"/>
  <c r="M439" i="52" s="1"/>
  <c r="N439" i="52" s="1"/>
  <c r="L438" i="52"/>
  <c r="M438" i="52" s="1"/>
  <c r="N438" i="52" s="1"/>
  <c r="K438" i="52"/>
  <c r="N437" i="52"/>
  <c r="L437" i="52"/>
  <c r="M437" i="52" s="1"/>
  <c r="K437" i="52"/>
  <c r="K436" i="52"/>
  <c r="L436" i="52" s="1"/>
  <c r="M436" i="52" s="1"/>
  <c r="N436" i="52" s="1"/>
  <c r="L435" i="52"/>
  <c r="M435" i="52" s="1"/>
  <c r="N435" i="52" s="1"/>
  <c r="K435" i="52"/>
  <c r="N434" i="52"/>
  <c r="L434" i="52"/>
  <c r="M434" i="52" s="1"/>
  <c r="K434" i="52"/>
  <c r="L433" i="52"/>
  <c r="M433" i="52" s="1"/>
  <c r="N433" i="52" s="1"/>
  <c r="K433" i="52"/>
  <c r="L432" i="52"/>
  <c r="M432" i="52" s="1"/>
  <c r="N432" i="52" s="1"/>
  <c r="K432" i="52"/>
  <c r="N431" i="52"/>
  <c r="L431" i="52"/>
  <c r="M431" i="52" s="1"/>
  <c r="K431" i="52"/>
  <c r="L430" i="52"/>
  <c r="M430" i="52" s="1"/>
  <c r="N430" i="52" s="1"/>
  <c r="K430" i="52"/>
  <c r="K429" i="52"/>
  <c r="L429" i="52" s="1"/>
  <c r="M429" i="52" s="1"/>
  <c r="N429" i="52" s="1"/>
  <c r="L428" i="52"/>
  <c r="M428" i="52" s="1"/>
  <c r="N428" i="52" s="1"/>
  <c r="K428" i="52"/>
  <c r="K427" i="52"/>
  <c r="L427" i="52" s="1"/>
  <c r="M427" i="52" s="1"/>
  <c r="N427" i="52" s="1"/>
  <c r="K426" i="52"/>
  <c r="L426" i="52" s="1"/>
  <c r="M426" i="52" s="1"/>
  <c r="N426" i="52" s="1"/>
  <c r="N425" i="52"/>
  <c r="K425" i="52"/>
  <c r="L425" i="52" s="1"/>
  <c r="M425" i="52" s="1"/>
  <c r="K424" i="52"/>
  <c r="L424" i="52" s="1"/>
  <c r="M424" i="52" s="1"/>
  <c r="N424" i="52" s="1"/>
  <c r="K423" i="52"/>
  <c r="L423" i="52" s="1"/>
  <c r="M423" i="52" s="1"/>
  <c r="N423" i="52" s="1"/>
  <c r="K422" i="52"/>
  <c r="L422" i="52" s="1"/>
  <c r="M422" i="52" s="1"/>
  <c r="N422" i="52" s="1"/>
  <c r="N421" i="52"/>
  <c r="L421" i="52"/>
  <c r="M421" i="52" s="1"/>
  <c r="K421" i="52"/>
  <c r="K420" i="52"/>
  <c r="L420" i="52" s="1"/>
  <c r="M420" i="52" s="1"/>
  <c r="N420" i="52" s="1"/>
  <c r="K419" i="52"/>
  <c r="L419" i="52" s="1"/>
  <c r="M419" i="52" s="1"/>
  <c r="N419" i="52" s="1"/>
  <c r="K418" i="52"/>
  <c r="L418" i="52" s="1"/>
  <c r="M418" i="52" s="1"/>
  <c r="N418" i="52" s="1"/>
  <c r="L417" i="52"/>
  <c r="M417" i="52" s="1"/>
  <c r="N417" i="52" s="1"/>
  <c r="K417" i="52"/>
  <c r="K416" i="52"/>
  <c r="L416" i="52" s="1"/>
  <c r="M416" i="52" s="1"/>
  <c r="N416" i="52" s="1"/>
  <c r="L415" i="52"/>
  <c r="M415" i="52" s="1"/>
  <c r="N415" i="52" s="1"/>
  <c r="K415" i="52"/>
  <c r="K414" i="52"/>
  <c r="L414" i="52" s="1"/>
  <c r="M414" i="52" s="1"/>
  <c r="N414" i="52" s="1"/>
  <c r="L413" i="52"/>
  <c r="M413" i="52" s="1"/>
  <c r="N413" i="52" s="1"/>
  <c r="K413" i="52"/>
  <c r="L412" i="52"/>
  <c r="M412" i="52" s="1"/>
  <c r="N412" i="52" s="1"/>
  <c r="K412" i="52"/>
  <c r="L411" i="52"/>
  <c r="M411" i="52" s="1"/>
  <c r="N411" i="52" s="1"/>
  <c r="K411" i="52"/>
  <c r="K410" i="52"/>
  <c r="L410" i="52" s="1"/>
  <c r="M410" i="52" s="1"/>
  <c r="N410" i="52" s="1"/>
  <c r="N409" i="52"/>
  <c r="L409" i="52"/>
  <c r="M409" i="52" s="1"/>
  <c r="K409" i="52"/>
  <c r="K408" i="52"/>
  <c r="L408" i="52" s="1"/>
  <c r="M408" i="52" s="1"/>
  <c r="N408" i="52" s="1"/>
  <c r="K407" i="52"/>
  <c r="L407" i="52" s="1"/>
  <c r="M407" i="52" s="1"/>
  <c r="N407" i="52" s="1"/>
  <c r="N406" i="52"/>
  <c r="L406" i="52"/>
  <c r="M406" i="52" s="1"/>
  <c r="K406" i="52"/>
  <c r="N405" i="52"/>
  <c r="L405" i="52"/>
  <c r="M405" i="52" s="1"/>
  <c r="K405" i="52"/>
  <c r="K404" i="52"/>
  <c r="L404" i="52" s="1"/>
  <c r="M404" i="52" s="1"/>
  <c r="N404" i="52" s="1"/>
  <c r="N403" i="52"/>
  <c r="L403" i="52"/>
  <c r="M403" i="52" s="1"/>
  <c r="K403" i="52"/>
  <c r="N402" i="52"/>
  <c r="L402" i="52"/>
  <c r="M402" i="52" s="1"/>
  <c r="K402" i="52"/>
  <c r="L401" i="52"/>
  <c r="M401" i="52" s="1"/>
  <c r="N401" i="52" s="1"/>
  <c r="K401" i="52"/>
  <c r="L400" i="52"/>
  <c r="M400" i="52" s="1"/>
  <c r="N400" i="52" s="1"/>
  <c r="K400" i="52"/>
  <c r="N399" i="52"/>
  <c r="L399" i="52"/>
  <c r="M399" i="52" s="1"/>
  <c r="K399" i="52"/>
  <c r="K398" i="52"/>
  <c r="L398" i="52" s="1"/>
  <c r="M398" i="52" s="1"/>
  <c r="N398" i="52" s="1"/>
  <c r="N397" i="52"/>
  <c r="K397" i="52"/>
  <c r="L397" i="52" s="1"/>
  <c r="M397" i="52" s="1"/>
  <c r="L396" i="52"/>
  <c r="M396" i="52" s="1"/>
  <c r="N396" i="52" s="1"/>
  <c r="K396" i="52"/>
  <c r="K395" i="52"/>
  <c r="L395" i="52" s="1"/>
  <c r="M395" i="52" s="1"/>
  <c r="N395" i="52" s="1"/>
  <c r="N394" i="52"/>
  <c r="K394" i="52"/>
  <c r="L394" i="52" s="1"/>
  <c r="M394" i="52" s="1"/>
  <c r="K393" i="52"/>
  <c r="L393" i="52" s="1"/>
  <c r="M393" i="52" s="1"/>
  <c r="N393" i="52" s="1"/>
  <c r="K392" i="52"/>
  <c r="L392" i="52" s="1"/>
  <c r="M392" i="52" s="1"/>
  <c r="N392" i="52" s="1"/>
  <c r="K391" i="52"/>
  <c r="L391" i="52" s="1"/>
  <c r="M391" i="52" s="1"/>
  <c r="N391" i="52" s="1"/>
  <c r="N390" i="52"/>
  <c r="K390" i="52"/>
  <c r="L390" i="52" s="1"/>
  <c r="M390" i="52" s="1"/>
  <c r="L389" i="52"/>
  <c r="M389" i="52" s="1"/>
  <c r="N389" i="52" s="1"/>
  <c r="K389" i="52"/>
  <c r="K388" i="52"/>
  <c r="L388" i="52" s="1"/>
  <c r="M388" i="52" s="1"/>
  <c r="N388" i="52" s="1"/>
  <c r="K387" i="52"/>
  <c r="L387" i="52" s="1"/>
  <c r="M387" i="52" s="1"/>
  <c r="N387" i="52" s="1"/>
  <c r="N386" i="52"/>
  <c r="L386" i="52"/>
  <c r="M386" i="52" s="1"/>
  <c r="K386" i="52"/>
  <c r="L385" i="52"/>
  <c r="M385" i="52" s="1"/>
  <c r="N385" i="52" s="1"/>
  <c r="K385" i="52"/>
  <c r="K384" i="52"/>
  <c r="L384" i="52" s="1"/>
  <c r="M384" i="52" s="1"/>
  <c r="N384" i="52" s="1"/>
  <c r="L383" i="52"/>
  <c r="M383" i="52" s="1"/>
  <c r="N383" i="52" s="1"/>
  <c r="K383" i="52"/>
  <c r="L382" i="52"/>
  <c r="M382" i="52" s="1"/>
  <c r="N382" i="52" s="1"/>
  <c r="K382" i="52"/>
  <c r="L381" i="52"/>
  <c r="M381" i="52" s="1"/>
  <c r="N381" i="52" s="1"/>
  <c r="K381" i="52"/>
  <c r="L380" i="52"/>
  <c r="M380" i="52" s="1"/>
  <c r="N380" i="52" s="1"/>
  <c r="K380" i="52"/>
  <c r="N379" i="52"/>
  <c r="L379" i="52"/>
  <c r="M379" i="52" s="1"/>
  <c r="K379" i="52"/>
  <c r="L378" i="52"/>
  <c r="M378" i="52" s="1"/>
  <c r="N378" i="52" s="1"/>
  <c r="K378" i="52"/>
  <c r="K377" i="52"/>
  <c r="L377" i="52" s="1"/>
  <c r="M377" i="52" s="1"/>
  <c r="N377" i="52" s="1"/>
  <c r="L376" i="52"/>
  <c r="M376" i="52" s="1"/>
  <c r="N376" i="52" s="1"/>
  <c r="K376" i="52"/>
  <c r="L375" i="52"/>
  <c r="M375" i="52" s="1"/>
  <c r="N375" i="52" s="1"/>
  <c r="K375" i="52"/>
  <c r="K374" i="52"/>
  <c r="L374" i="52" s="1"/>
  <c r="M374" i="52" s="1"/>
  <c r="N374" i="52" s="1"/>
  <c r="N373" i="52"/>
  <c r="L373" i="52"/>
  <c r="M373" i="52" s="1"/>
  <c r="K373" i="52"/>
  <c r="L372" i="52"/>
  <c r="M372" i="52" s="1"/>
  <c r="N372" i="52" s="1"/>
  <c r="K372" i="52"/>
  <c r="K371" i="52"/>
  <c r="L371" i="52" s="1"/>
  <c r="M371" i="52" s="1"/>
  <c r="N371" i="52" s="1"/>
  <c r="N370" i="52"/>
  <c r="L370" i="52"/>
  <c r="M370" i="52" s="1"/>
  <c r="K370" i="52"/>
  <c r="K369" i="52"/>
  <c r="L369" i="52" s="1"/>
  <c r="M369" i="52" s="1"/>
  <c r="N369" i="52" s="1"/>
  <c r="K368" i="52"/>
  <c r="L368" i="52" s="1"/>
  <c r="M368" i="52" s="1"/>
  <c r="N368" i="52" s="1"/>
  <c r="N367" i="52"/>
  <c r="L367" i="52"/>
  <c r="M367" i="52" s="1"/>
  <c r="K367" i="52"/>
  <c r="K366" i="52"/>
  <c r="L366" i="52" s="1"/>
  <c r="M366" i="52" s="1"/>
  <c r="N366" i="52" s="1"/>
  <c r="L365" i="52"/>
  <c r="M365" i="52" s="1"/>
  <c r="N365" i="52" s="1"/>
  <c r="K365" i="52"/>
  <c r="K364" i="52"/>
  <c r="L364" i="52" s="1"/>
  <c r="M364" i="52" s="1"/>
  <c r="N364" i="52" s="1"/>
  <c r="M363" i="52"/>
  <c r="N363" i="52" s="1"/>
  <c r="L363" i="52"/>
  <c r="K363" i="52"/>
  <c r="K362" i="52"/>
  <c r="L362" i="52" s="1"/>
  <c r="M362" i="52" s="1"/>
  <c r="N362" i="52" s="1"/>
  <c r="L361" i="52"/>
  <c r="M361" i="52" s="1"/>
  <c r="N361" i="52" s="1"/>
  <c r="K361" i="52"/>
  <c r="K360" i="52"/>
  <c r="L360" i="52" s="1"/>
  <c r="M360" i="52" s="1"/>
  <c r="N360" i="52" s="1"/>
  <c r="M359" i="52"/>
  <c r="N359" i="52" s="1"/>
  <c r="L359" i="52"/>
  <c r="K359" i="52"/>
  <c r="K358" i="52"/>
  <c r="L358" i="52" s="1"/>
  <c r="M358" i="52" s="1"/>
  <c r="N358" i="52" s="1"/>
  <c r="L357" i="52"/>
  <c r="M357" i="52" s="1"/>
  <c r="N357" i="52" s="1"/>
  <c r="K357" i="52"/>
  <c r="K356" i="52"/>
  <c r="L356" i="52" s="1"/>
  <c r="M356" i="52" s="1"/>
  <c r="N356" i="52" s="1"/>
  <c r="M355" i="52"/>
  <c r="N355" i="52" s="1"/>
  <c r="L355" i="52"/>
  <c r="K355" i="52"/>
  <c r="K354" i="52"/>
  <c r="L354" i="52" s="1"/>
  <c r="M354" i="52" s="1"/>
  <c r="N354" i="52" s="1"/>
  <c r="L353" i="52"/>
  <c r="M353" i="52" s="1"/>
  <c r="N353" i="52" s="1"/>
  <c r="K353" i="52"/>
  <c r="K352" i="52"/>
  <c r="L352" i="52" s="1"/>
  <c r="M352" i="52" s="1"/>
  <c r="N352" i="52" s="1"/>
  <c r="M351" i="52"/>
  <c r="N351" i="52" s="1"/>
  <c r="L351" i="52"/>
  <c r="K351" i="52"/>
  <c r="K350" i="52"/>
  <c r="L350" i="52" s="1"/>
  <c r="M350" i="52" s="1"/>
  <c r="N350" i="52" s="1"/>
  <c r="L349" i="52"/>
  <c r="M349" i="52" s="1"/>
  <c r="N349" i="52" s="1"/>
  <c r="K349" i="52"/>
  <c r="K348" i="52"/>
  <c r="L348" i="52" s="1"/>
  <c r="M348" i="52" s="1"/>
  <c r="N348" i="52" s="1"/>
  <c r="M347" i="52"/>
  <c r="N347" i="52" s="1"/>
  <c r="L347" i="52"/>
  <c r="K347" i="52"/>
  <c r="K346" i="52"/>
  <c r="L346" i="52" s="1"/>
  <c r="M346" i="52" s="1"/>
  <c r="N346" i="52" s="1"/>
  <c r="L345" i="52"/>
  <c r="M345" i="52" s="1"/>
  <c r="N345" i="52" s="1"/>
  <c r="K345" i="52"/>
  <c r="K344" i="52"/>
  <c r="L344" i="52" s="1"/>
  <c r="M344" i="52" s="1"/>
  <c r="N344" i="52" s="1"/>
  <c r="M343" i="52"/>
  <c r="N343" i="52" s="1"/>
  <c r="L343" i="52"/>
  <c r="K343" i="52"/>
  <c r="K342" i="52"/>
  <c r="L342" i="52" s="1"/>
  <c r="M342" i="52" s="1"/>
  <c r="N342" i="52" s="1"/>
  <c r="L341" i="52"/>
  <c r="M341" i="52" s="1"/>
  <c r="N341" i="52" s="1"/>
  <c r="K341" i="52"/>
  <c r="K340" i="52"/>
  <c r="L340" i="52" s="1"/>
  <c r="M340" i="52" s="1"/>
  <c r="N340" i="52" s="1"/>
  <c r="M339" i="52"/>
  <c r="N339" i="52" s="1"/>
  <c r="L339" i="52"/>
  <c r="K339" i="52"/>
  <c r="K338" i="52"/>
  <c r="L338" i="52" s="1"/>
  <c r="M338" i="52" s="1"/>
  <c r="N338" i="52" s="1"/>
  <c r="L337" i="52"/>
  <c r="M337" i="52" s="1"/>
  <c r="N337" i="52" s="1"/>
  <c r="K337" i="52"/>
  <c r="K336" i="52"/>
  <c r="L336" i="52" s="1"/>
  <c r="M336" i="52" s="1"/>
  <c r="N336" i="52" s="1"/>
  <c r="M335" i="52"/>
  <c r="N335" i="52" s="1"/>
  <c r="L335" i="52"/>
  <c r="K335" i="52"/>
  <c r="K334" i="52"/>
  <c r="L334" i="52" s="1"/>
  <c r="M334" i="52" s="1"/>
  <c r="N334" i="52" s="1"/>
  <c r="L333" i="52"/>
  <c r="M333" i="52" s="1"/>
  <c r="N333" i="52" s="1"/>
  <c r="K333" i="52"/>
  <c r="K332" i="52"/>
  <c r="L332" i="52" s="1"/>
  <c r="M332" i="52" s="1"/>
  <c r="N332" i="52" s="1"/>
  <c r="M331" i="52"/>
  <c r="N331" i="52" s="1"/>
  <c r="L331" i="52"/>
  <c r="K331" i="52"/>
  <c r="K330" i="52"/>
  <c r="L330" i="52" s="1"/>
  <c r="M330" i="52" s="1"/>
  <c r="N330" i="52" s="1"/>
  <c r="L329" i="52"/>
  <c r="M329" i="52" s="1"/>
  <c r="N329" i="52" s="1"/>
  <c r="K329" i="52"/>
  <c r="K328" i="52"/>
  <c r="L328" i="52" s="1"/>
  <c r="M328" i="52" s="1"/>
  <c r="N328" i="52" s="1"/>
  <c r="L327" i="52"/>
  <c r="M327" i="52" s="1"/>
  <c r="N327" i="52" s="1"/>
  <c r="K327" i="52"/>
  <c r="K326" i="52"/>
  <c r="L326" i="52" s="1"/>
  <c r="M326" i="52" s="1"/>
  <c r="N326" i="52" s="1"/>
  <c r="N325" i="52"/>
  <c r="L325" i="52"/>
  <c r="M325" i="52" s="1"/>
  <c r="K325" i="52"/>
  <c r="K324" i="52"/>
  <c r="L324" i="52" s="1"/>
  <c r="M324" i="52" s="1"/>
  <c r="N324" i="52" s="1"/>
  <c r="L323" i="52"/>
  <c r="M323" i="52" s="1"/>
  <c r="N323" i="52" s="1"/>
  <c r="K323" i="52"/>
  <c r="K322" i="52"/>
  <c r="L322" i="52" s="1"/>
  <c r="M322" i="52" s="1"/>
  <c r="N322" i="52" s="1"/>
  <c r="N321" i="52"/>
  <c r="M321" i="52"/>
  <c r="L321" i="52"/>
  <c r="K321" i="52"/>
  <c r="K320" i="52"/>
  <c r="L320" i="52" s="1"/>
  <c r="M320" i="52" s="1"/>
  <c r="N320" i="52" s="1"/>
  <c r="M319" i="52"/>
  <c r="N319" i="52" s="1"/>
  <c r="L319" i="52"/>
  <c r="K319" i="52"/>
  <c r="K318" i="52"/>
  <c r="L318" i="52" s="1"/>
  <c r="M318" i="52" s="1"/>
  <c r="N318" i="52" s="1"/>
  <c r="L317" i="52"/>
  <c r="M317" i="52" s="1"/>
  <c r="N317" i="52" s="1"/>
  <c r="K317" i="52"/>
  <c r="K316" i="52"/>
  <c r="L316" i="52" s="1"/>
  <c r="M316" i="52" s="1"/>
  <c r="N316" i="52" s="1"/>
  <c r="M315" i="52"/>
  <c r="N315" i="52" s="1"/>
  <c r="L315" i="52"/>
  <c r="K315" i="52"/>
  <c r="K314" i="52"/>
  <c r="L314" i="52" s="1"/>
  <c r="M314" i="52" s="1"/>
  <c r="N314" i="52" s="1"/>
  <c r="L313" i="52"/>
  <c r="M313" i="52" s="1"/>
  <c r="N313" i="52" s="1"/>
  <c r="K313" i="52"/>
  <c r="K312" i="52"/>
  <c r="L312" i="52" s="1"/>
  <c r="M312" i="52" s="1"/>
  <c r="N312" i="52" s="1"/>
  <c r="L311" i="52"/>
  <c r="M311" i="52" s="1"/>
  <c r="N311" i="52" s="1"/>
  <c r="K311" i="52"/>
  <c r="K310" i="52"/>
  <c r="L310" i="52" s="1"/>
  <c r="M310" i="52" s="1"/>
  <c r="N310" i="52" s="1"/>
  <c r="L309" i="52"/>
  <c r="M309" i="52" s="1"/>
  <c r="N309" i="52" s="1"/>
  <c r="K309" i="52"/>
  <c r="K308" i="52"/>
  <c r="L308" i="52" s="1"/>
  <c r="M308" i="52" s="1"/>
  <c r="N308" i="52" s="1"/>
  <c r="L307" i="52"/>
  <c r="M307" i="52" s="1"/>
  <c r="N307" i="52" s="1"/>
  <c r="K307" i="52"/>
  <c r="K306" i="52"/>
  <c r="L306" i="52" s="1"/>
  <c r="M306" i="52" s="1"/>
  <c r="N306" i="52" s="1"/>
  <c r="N305" i="52"/>
  <c r="M305" i="52"/>
  <c r="L305" i="52"/>
  <c r="K305" i="52"/>
  <c r="K304" i="52"/>
  <c r="L304" i="52" s="1"/>
  <c r="M304" i="52" s="1"/>
  <c r="N304" i="52" s="1"/>
  <c r="M303" i="52"/>
  <c r="N303" i="52" s="1"/>
  <c r="L303" i="52"/>
  <c r="K303" i="52"/>
  <c r="K302" i="52"/>
  <c r="L302" i="52" s="1"/>
  <c r="M302" i="52" s="1"/>
  <c r="N302" i="52" s="1"/>
  <c r="L301" i="52"/>
  <c r="M301" i="52" s="1"/>
  <c r="N301" i="52" s="1"/>
  <c r="K301" i="52"/>
  <c r="K300" i="52"/>
  <c r="L300" i="52" s="1"/>
  <c r="M300" i="52" s="1"/>
  <c r="N300" i="52" s="1"/>
  <c r="M299" i="52"/>
  <c r="N299" i="52" s="1"/>
  <c r="L299" i="52"/>
  <c r="K299" i="52"/>
  <c r="K298" i="52"/>
  <c r="L298" i="52" s="1"/>
  <c r="M298" i="52" s="1"/>
  <c r="N298" i="52" s="1"/>
  <c r="L297" i="52"/>
  <c r="M297" i="52" s="1"/>
  <c r="N297" i="52" s="1"/>
  <c r="K297" i="52"/>
  <c r="K296" i="52"/>
  <c r="L296" i="52" s="1"/>
  <c r="M296" i="52" s="1"/>
  <c r="N296" i="52" s="1"/>
  <c r="L295" i="52"/>
  <c r="M295" i="52" s="1"/>
  <c r="N295" i="52" s="1"/>
  <c r="K295" i="52"/>
  <c r="K294" i="52"/>
  <c r="L294" i="52" s="1"/>
  <c r="M294" i="52" s="1"/>
  <c r="N294" i="52" s="1"/>
  <c r="N293" i="52"/>
  <c r="L293" i="52"/>
  <c r="M293" i="52" s="1"/>
  <c r="K293" i="52"/>
  <c r="K292" i="52"/>
  <c r="L292" i="52" s="1"/>
  <c r="M292" i="52" s="1"/>
  <c r="N292" i="52" s="1"/>
  <c r="L291" i="52"/>
  <c r="M291" i="52" s="1"/>
  <c r="N291" i="52" s="1"/>
  <c r="K291" i="52"/>
  <c r="K290" i="52"/>
  <c r="L290" i="52" s="1"/>
  <c r="M290" i="52" s="1"/>
  <c r="N290" i="52" s="1"/>
  <c r="N289" i="52"/>
  <c r="M289" i="52"/>
  <c r="L289" i="52"/>
  <c r="K289" i="52"/>
  <c r="K288" i="52"/>
  <c r="L288" i="52" s="1"/>
  <c r="M288" i="52" s="1"/>
  <c r="N288" i="52" s="1"/>
  <c r="M287" i="52"/>
  <c r="N287" i="52" s="1"/>
  <c r="L287" i="52"/>
  <c r="K287" i="52"/>
  <c r="K286" i="52"/>
  <c r="L286" i="52" s="1"/>
  <c r="M286" i="52" s="1"/>
  <c r="N286" i="52" s="1"/>
  <c r="L285" i="52"/>
  <c r="M285" i="52" s="1"/>
  <c r="N285" i="52" s="1"/>
  <c r="K285" i="52"/>
  <c r="K284" i="52"/>
  <c r="L284" i="52" s="1"/>
  <c r="M284" i="52" s="1"/>
  <c r="N284" i="52" s="1"/>
  <c r="M283" i="52"/>
  <c r="N283" i="52" s="1"/>
  <c r="L283" i="52"/>
  <c r="K283" i="52"/>
  <c r="K282" i="52"/>
  <c r="L282" i="52" s="1"/>
  <c r="M282" i="52" s="1"/>
  <c r="N282" i="52" s="1"/>
  <c r="L281" i="52"/>
  <c r="M281" i="52" s="1"/>
  <c r="N281" i="52" s="1"/>
  <c r="K281" i="52"/>
  <c r="K280" i="52"/>
  <c r="L280" i="52" s="1"/>
  <c r="M280" i="52" s="1"/>
  <c r="N280" i="52" s="1"/>
  <c r="L279" i="52"/>
  <c r="M279" i="52" s="1"/>
  <c r="N279" i="52" s="1"/>
  <c r="K279" i="52"/>
  <c r="K278" i="52"/>
  <c r="L278" i="52" s="1"/>
  <c r="M278" i="52" s="1"/>
  <c r="N278" i="52" s="1"/>
  <c r="L277" i="52"/>
  <c r="M277" i="52" s="1"/>
  <c r="N277" i="52" s="1"/>
  <c r="K277" i="52"/>
  <c r="K276" i="52"/>
  <c r="L276" i="52" s="1"/>
  <c r="M276" i="52" s="1"/>
  <c r="N276" i="52" s="1"/>
  <c r="L275" i="52"/>
  <c r="M275" i="52" s="1"/>
  <c r="N275" i="52" s="1"/>
  <c r="K275" i="52"/>
  <c r="K274" i="52"/>
  <c r="L274" i="52" s="1"/>
  <c r="M274" i="52" s="1"/>
  <c r="N274" i="52" s="1"/>
  <c r="N273" i="52"/>
  <c r="M273" i="52"/>
  <c r="L273" i="52"/>
  <c r="K273" i="52"/>
  <c r="K272" i="52"/>
  <c r="L272" i="52" s="1"/>
  <c r="M272" i="52" s="1"/>
  <c r="N272" i="52" s="1"/>
  <c r="M271" i="52"/>
  <c r="N271" i="52" s="1"/>
  <c r="L271" i="52"/>
  <c r="K271" i="52"/>
  <c r="K270" i="52"/>
  <c r="L270" i="52" s="1"/>
  <c r="M270" i="52" s="1"/>
  <c r="N270" i="52" s="1"/>
  <c r="L269" i="52"/>
  <c r="M269" i="52" s="1"/>
  <c r="N269" i="52" s="1"/>
  <c r="K269" i="52"/>
  <c r="K268" i="52"/>
  <c r="L268" i="52" s="1"/>
  <c r="M268" i="52" s="1"/>
  <c r="N268" i="52" s="1"/>
  <c r="M267" i="52"/>
  <c r="N267" i="52" s="1"/>
  <c r="L267" i="52"/>
  <c r="K267" i="52"/>
  <c r="K266" i="52"/>
  <c r="L266" i="52" s="1"/>
  <c r="M266" i="52" s="1"/>
  <c r="N266" i="52" s="1"/>
  <c r="L265" i="52"/>
  <c r="M265" i="52" s="1"/>
  <c r="N265" i="52" s="1"/>
  <c r="K265" i="52"/>
  <c r="K264" i="52"/>
  <c r="L264" i="52" s="1"/>
  <c r="M264" i="52" s="1"/>
  <c r="N264" i="52" s="1"/>
  <c r="L263" i="52"/>
  <c r="M263" i="52" s="1"/>
  <c r="N263" i="52" s="1"/>
  <c r="K263" i="52"/>
  <c r="K262" i="52"/>
  <c r="L262" i="52" s="1"/>
  <c r="M262" i="52" s="1"/>
  <c r="N262" i="52" s="1"/>
  <c r="N261" i="52"/>
  <c r="L261" i="52"/>
  <c r="M261" i="52" s="1"/>
  <c r="K261" i="52"/>
  <c r="K260" i="52"/>
  <c r="L260" i="52" s="1"/>
  <c r="M260" i="52" s="1"/>
  <c r="N260" i="52" s="1"/>
  <c r="L259" i="52"/>
  <c r="M259" i="52" s="1"/>
  <c r="N259" i="52" s="1"/>
  <c r="K259" i="52"/>
  <c r="K258" i="52"/>
  <c r="L258" i="52" s="1"/>
  <c r="M258" i="52" s="1"/>
  <c r="N258" i="52" s="1"/>
  <c r="N257" i="52"/>
  <c r="M257" i="52"/>
  <c r="L257" i="52"/>
  <c r="K257" i="52"/>
  <c r="K256" i="52"/>
  <c r="L256" i="52" s="1"/>
  <c r="M256" i="52" s="1"/>
  <c r="N256" i="52" s="1"/>
  <c r="N255" i="52"/>
  <c r="M255" i="52"/>
  <c r="L255" i="52"/>
  <c r="K255" i="52"/>
  <c r="K254" i="52"/>
  <c r="L254" i="52" s="1"/>
  <c r="M254" i="52" s="1"/>
  <c r="N254" i="52" s="1"/>
  <c r="L253" i="52"/>
  <c r="M253" i="52" s="1"/>
  <c r="N253" i="52" s="1"/>
  <c r="K253" i="52"/>
  <c r="K252" i="52"/>
  <c r="L252" i="52" s="1"/>
  <c r="M252" i="52" s="1"/>
  <c r="N252" i="52" s="1"/>
  <c r="M251" i="52"/>
  <c r="N251" i="52" s="1"/>
  <c r="L251" i="52"/>
  <c r="K251" i="52"/>
  <c r="K250" i="52"/>
  <c r="L250" i="52" s="1"/>
  <c r="M250" i="52" s="1"/>
  <c r="N250" i="52" s="1"/>
  <c r="M249" i="52"/>
  <c r="N249" i="52" s="1"/>
  <c r="L249" i="52"/>
  <c r="K249" i="52"/>
  <c r="K248" i="52"/>
  <c r="L248" i="52" s="1"/>
  <c r="M248" i="52" s="1"/>
  <c r="N248" i="52" s="1"/>
  <c r="L247" i="52"/>
  <c r="M247" i="52" s="1"/>
  <c r="N247" i="52" s="1"/>
  <c r="K247" i="52"/>
  <c r="K246" i="52"/>
  <c r="L246" i="52" s="1"/>
  <c r="M246" i="52" s="1"/>
  <c r="N246" i="52" s="1"/>
  <c r="N245" i="52"/>
  <c r="L245" i="52"/>
  <c r="M245" i="52" s="1"/>
  <c r="K245" i="52"/>
  <c r="K244" i="52"/>
  <c r="L244" i="52" s="1"/>
  <c r="M244" i="52" s="1"/>
  <c r="N244" i="52" s="1"/>
  <c r="L243" i="52"/>
  <c r="M243" i="52" s="1"/>
  <c r="N243" i="52" s="1"/>
  <c r="K243" i="52"/>
  <c r="K242" i="52"/>
  <c r="L242" i="52" s="1"/>
  <c r="M242" i="52" s="1"/>
  <c r="N242" i="52" s="1"/>
  <c r="N241" i="52"/>
  <c r="M241" i="52"/>
  <c r="L241" i="52"/>
  <c r="K241" i="52"/>
  <c r="K240" i="52"/>
  <c r="L240" i="52" s="1"/>
  <c r="M240" i="52" s="1"/>
  <c r="N240" i="52" s="1"/>
  <c r="M239" i="52"/>
  <c r="N239" i="52" s="1"/>
  <c r="L239" i="52"/>
  <c r="K239" i="52"/>
  <c r="K238" i="52"/>
  <c r="L238" i="52" s="1"/>
  <c r="M238" i="52" s="1"/>
  <c r="N238" i="52" s="1"/>
  <c r="L237" i="52"/>
  <c r="M237" i="52" s="1"/>
  <c r="N237" i="52" s="1"/>
  <c r="K237" i="52"/>
  <c r="K236" i="52"/>
  <c r="L236" i="52" s="1"/>
  <c r="M236" i="52" s="1"/>
  <c r="N236" i="52" s="1"/>
  <c r="M235" i="52"/>
  <c r="N235" i="52" s="1"/>
  <c r="L235" i="52"/>
  <c r="K235" i="52"/>
  <c r="K234" i="52"/>
  <c r="L234" i="52" s="1"/>
  <c r="M234" i="52" s="1"/>
  <c r="N234" i="52" s="1"/>
  <c r="M233" i="52"/>
  <c r="N233" i="52" s="1"/>
  <c r="L233" i="52"/>
  <c r="K233" i="52"/>
  <c r="K232" i="52"/>
  <c r="L232" i="52" s="1"/>
  <c r="M232" i="52" s="1"/>
  <c r="N232" i="52" s="1"/>
  <c r="L231" i="52"/>
  <c r="M231" i="52" s="1"/>
  <c r="N231" i="52" s="1"/>
  <c r="K231" i="52"/>
  <c r="K230" i="52"/>
  <c r="L230" i="52" s="1"/>
  <c r="M230" i="52" s="1"/>
  <c r="N230" i="52" s="1"/>
  <c r="N229" i="52"/>
  <c r="L229" i="52"/>
  <c r="M229" i="52" s="1"/>
  <c r="K229" i="52"/>
  <c r="K228" i="52"/>
  <c r="L228" i="52" s="1"/>
  <c r="M228" i="52" s="1"/>
  <c r="N228" i="52" s="1"/>
  <c r="L227" i="52"/>
  <c r="M227" i="52" s="1"/>
  <c r="N227" i="52" s="1"/>
  <c r="K227" i="52"/>
  <c r="K226" i="52"/>
  <c r="L226" i="52" s="1"/>
  <c r="M226" i="52" s="1"/>
  <c r="N226" i="52" s="1"/>
  <c r="N225" i="52"/>
  <c r="M225" i="52"/>
  <c r="L225" i="52"/>
  <c r="K225" i="52"/>
  <c r="K224" i="52"/>
  <c r="L224" i="52" s="1"/>
  <c r="M224" i="52" s="1"/>
  <c r="N224" i="52" s="1"/>
  <c r="M223" i="52"/>
  <c r="N223" i="52" s="1"/>
  <c r="L223" i="52"/>
  <c r="K223" i="52"/>
  <c r="K222" i="52"/>
  <c r="L222" i="52" s="1"/>
  <c r="M222" i="52" s="1"/>
  <c r="N222" i="52" s="1"/>
  <c r="L221" i="52"/>
  <c r="M221" i="52" s="1"/>
  <c r="N221" i="52" s="1"/>
  <c r="K221" i="52"/>
  <c r="K220" i="52"/>
  <c r="L220" i="52" s="1"/>
  <c r="M220" i="52" s="1"/>
  <c r="N220" i="52" s="1"/>
  <c r="M219" i="52"/>
  <c r="N219" i="52" s="1"/>
  <c r="L219" i="52"/>
  <c r="K219" i="52"/>
  <c r="K218" i="52"/>
  <c r="L218" i="52" s="1"/>
  <c r="M218" i="52" s="1"/>
  <c r="N218" i="52" s="1"/>
  <c r="M217" i="52"/>
  <c r="N217" i="52" s="1"/>
  <c r="L217" i="52"/>
  <c r="K217" i="52"/>
  <c r="K216" i="52"/>
  <c r="L216" i="52" s="1"/>
  <c r="M216" i="52" s="1"/>
  <c r="N216" i="52" s="1"/>
  <c r="L215" i="52"/>
  <c r="M215" i="52" s="1"/>
  <c r="N215" i="52" s="1"/>
  <c r="K215" i="52"/>
  <c r="K214" i="52"/>
  <c r="L214" i="52" s="1"/>
  <c r="M214" i="52" s="1"/>
  <c r="N214" i="52" s="1"/>
  <c r="L213" i="52"/>
  <c r="M213" i="52" s="1"/>
  <c r="N213" i="52" s="1"/>
  <c r="K213" i="52"/>
  <c r="K212" i="52"/>
  <c r="L212" i="52" s="1"/>
  <c r="M212" i="52" s="1"/>
  <c r="N212" i="52" s="1"/>
  <c r="L211" i="52"/>
  <c r="M211" i="52" s="1"/>
  <c r="N211" i="52" s="1"/>
  <c r="K211" i="52"/>
  <c r="K210" i="52"/>
  <c r="L210" i="52" s="1"/>
  <c r="M210" i="52" s="1"/>
  <c r="N210" i="52" s="1"/>
  <c r="N209" i="52"/>
  <c r="M209" i="52"/>
  <c r="L209" i="52"/>
  <c r="K209" i="52"/>
  <c r="K208" i="52"/>
  <c r="L208" i="52" s="1"/>
  <c r="M208" i="52" s="1"/>
  <c r="N208" i="52" s="1"/>
  <c r="M207" i="52"/>
  <c r="N207" i="52" s="1"/>
  <c r="L207" i="52"/>
  <c r="K207" i="52"/>
  <c r="K206" i="52"/>
  <c r="L206" i="52" s="1"/>
  <c r="M206" i="52" s="1"/>
  <c r="N206" i="52" s="1"/>
  <c r="L205" i="52"/>
  <c r="M205" i="52" s="1"/>
  <c r="N205" i="52" s="1"/>
  <c r="K205" i="52"/>
  <c r="K204" i="52"/>
  <c r="L204" i="52" s="1"/>
  <c r="M204" i="52" s="1"/>
  <c r="N204" i="52" s="1"/>
  <c r="M203" i="52"/>
  <c r="N203" i="52" s="1"/>
  <c r="L203" i="52"/>
  <c r="K203" i="52"/>
  <c r="K202" i="52"/>
  <c r="L202" i="52" s="1"/>
  <c r="M202" i="52" s="1"/>
  <c r="N202" i="52" s="1"/>
  <c r="L201" i="52"/>
  <c r="M201" i="52" s="1"/>
  <c r="N201" i="52" s="1"/>
  <c r="K201" i="52"/>
  <c r="K200" i="52"/>
  <c r="L200" i="52" s="1"/>
  <c r="M200" i="52" s="1"/>
  <c r="N200" i="52" s="1"/>
  <c r="L199" i="52"/>
  <c r="M199" i="52" s="1"/>
  <c r="N199" i="52" s="1"/>
  <c r="K199" i="52"/>
  <c r="K198" i="52"/>
  <c r="L198" i="52" s="1"/>
  <c r="M198" i="52" s="1"/>
  <c r="N198" i="52" s="1"/>
  <c r="N197" i="52"/>
  <c r="L197" i="52"/>
  <c r="M197" i="52" s="1"/>
  <c r="K197" i="52"/>
  <c r="K196" i="52"/>
  <c r="L196" i="52" s="1"/>
  <c r="M196" i="52" s="1"/>
  <c r="N196" i="52" s="1"/>
  <c r="M195" i="52"/>
  <c r="N195" i="52" s="1"/>
  <c r="L195" i="52"/>
  <c r="K195" i="52"/>
  <c r="M194" i="52"/>
  <c r="N194" i="52" s="1"/>
  <c r="K194" i="52"/>
  <c r="L194" i="52" s="1"/>
  <c r="L193" i="52"/>
  <c r="M193" i="52" s="1"/>
  <c r="N193" i="52" s="1"/>
  <c r="K193" i="52"/>
  <c r="M192" i="52"/>
  <c r="N192" i="52" s="1"/>
  <c r="K192" i="52"/>
  <c r="L192" i="52" s="1"/>
  <c r="N191" i="52"/>
  <c r="M191" i="52"/>
  <c r="L191" i="52"/>
  <c r="K191" i="52"/>
  <c r="K190" i="52"/>
  <c r="L190" i="52" s="1"/>
  <c r="M190" i="52" s="1"/>
  <c r="N190" i="52" s="1"/>
  <c r="N189" i="52"/>
  <c r="L189" i="52"/>
  <c r="M189" i="52" s="1"/>
  <c r="K189" i="52"/>
  <c r="K188" i="52"/>
  <c r="L188" i="52" s="1"/>
  <c r="M188" i="52" s="1"/>
  <c r="N188" i="52" s="1"/>
  <c r="L187" i="52"/>
  <c r="M187" i="52" s="1"/>
  <c r="N187" i="52" s="1"/>
  <c r="K187" i="52"/>
  <c r="M186" i="52"/>
  <c r="N186" i="52" s="1"/>
  <c r="K186" i="52"/>
  <c r="L186" i="52" s="1"/>
  <c r="L185" i="52"/>
  <c r="M185" i="52" s="1"/>
  <c r="N185" i="52" s="1"/>
  <c r="K185" i="52"/>
  <c r="M184" i="52"/>
  <c r="N184" i="52" s="1"/>
  <c r="K184" i="52"/>
  <c r="L184" i="52" s="1"/>
  <c r="N183" i="52"/>
  <c r="M183" i="52"/>
  <c r="L183" i="52"/>
  <c r="K183" i="52"/>
  <c r="K182" i="52"/>
  <c r="L182" i="52" s="1"/>
  <c r="M182" i="52" s="1"/>
  <c r="N182" i="52" s="1"/>
  <c r="N181" i="52"/>
  <c r="L181" i="52"/>
  <c r="M181" i="52" s="1"/>
  <c r="K181" i="52"/>
  <c r="K180" i="52"/>
  <c r="L180" i="52" s="1"/>
  <c r="M180" i="52" s="1"/>
  <c r="N180" i="52" s="1"/>
  <c r="L179" i="52"/>
  <c r="M179" i="52" s="1"/>
  <c r="N179" i="52" s="1"/>
  <c r="K179" i="52"/>
  <c r="M178" i="52"/>
  <c r="N178" i="52" s="1"/>
  <c r="K178" i="52"/>
  <c r="L178" i="52" s="1"/>
  <c r="L177" i="52"/>
  <c r="M177" i="52" s="1"/>
  <c r="N177" i="52" s="1"/>
  <c r="K177" i="52"/>
  <c r="M176" i="52"/>
  <c r="N176" i="52" s="1"/>
  <c r="K176" i="52"/>
  <c r="L176" i="52" s="1"/>
  <c r="N175" i="52"/>
  <c r="M175" i="52"/>
  <c r="L175" i="52"/>
  <c r="K175" i="52"/>
  <c r="K174" i="52"/>
  <c r="L174" i="52" s="1"/>
  <c r="M174" i="52" s="1"/>
  <c r="N174" i="52" s="1"/>
  <c r="L173" i="52"/>
  <c r="M173" i="52" s="1"/>
  <c r="N173" i="52" s="1"/>
  <c r="K173" i="52"/>
  <c r="K172" i="52"/>
  <c r="L172" i="52" s="1"/>
  <c r="M172" i="52" s="1"/>
  <c r="N172" i="52" s="1"/>
  <c r="M171" i="52"/>
  <c r="N171" i="52" s="1"/>
  <c r="L171" i="52"/>
  <c r="K171" i="52"/>
  <c r="M170" i="52"/>
  <c r="N170" i="52" s="1"/>
  <c r="K170" i="52"/>
  <c r="L170" i="52" s="1"/>
  <c r="K169" i="52"/>
  <c r="L169" i="52" s="1"/>
  <c r="M169" i="52" s="1"/>
  <c r="N169" i="52" s="1"/>
  <c r="M168" i="52"/>
  <c r="N168" i="52" s="1"/>
  <c r="K168" i="52"/>
  <c r="L168" i="52" s="1"/>
  <c r="K167" i="52"/>
  <c r="L167" i="52" s="1"/>
  <c r="M167" i="52" s="1"/>
  <c r="N167" i="52" s="1"/>
  <c r="K166" i="52"/>
  <c r="L166" i="52" s="1"/>
  <c r="M166" i="52" s="1"/>
  <c r="N166" i="52" s="1"/>
  <c r="N165" i="52"/>
  <c r="L165" i="52"/>
  <c r="M165" i="52" s="1"/>
  <c r="K165" i="52"/>
  <c r="K164" i="52"/>
  <c r="L164" i="52" s="1"/>
  <c r="M164" i="52" s="1"/>
  <c r="N164" i="52" s="1"/>
  <c r="L163" i="52"/>
  <c r="M163" i="52" s="1"/>
  <c r="N163" i="52" s="1"/>
  <c r="K163" i="52"/>
  <c r="M162" i="52"/>
  <c r="N162" i="52" s="1"/>
  <c r="K162" i="52"/>
  <c r="L162" i="52" s="1"/>
  <c r="K161" i="52"/>
  <c r="L161" i="52" s="1"/>
  <c r="M161" i="52" s="1"/>
  <c r="N161" i="52" s="1"/>
  <c r="M160" i="52"/>
  <c r="N160" i="52" s="1"/>
  <c r="K160" i="52"/>
  <c r="L160" i="52" s="1"/>
  <c r="K159" i="52"/>
  <c r="L159" i="52" s="1"/>
  <c r="M159" i="52" s="1"/>
  <c r="N159" i="52" s="1"/>
  <c r="K158" i="52"/>
  <c r="L158" i="52" s="1"/>
  <c r="M158" i="52" s="1"/>
  <c r="N158" i="52" s="1"/>
  <c r="N157" i="52"/>
  <c r="L157" i="52"/>
  <c r="M157" i="52" s="1"/>
  <c r="K157" i="52"/>
  <c r="K156" i="52"/>
  <c r="L156" i="52" s="1"/>
  <c r="M156" i="52" s="1"/>
  <c r="N156" i="52" s="1"/>
  <c r="L155" i="52"/>
  <c r="M155" i="52" s="1"/>
  <c r="N155" i="52" s="1"/>
  <c r="K155" i="52"/>
  <c r="M154" i="52"/>
  <c r="N154" i="52" s="1"/>
  <c r="K154" i="52"/>
  <c r="L154" i="52" s="1"/>
  <c r="K153" i="52"/>
  <c r="L153" i="52" s="1"/>
  <c r="M153" i="52" s="1"/>
  <c r="N153" i="52" s="1"/>
  <c r="M152" i="52"/>
  <c r="N152" i="52" s="1"/>
  <c r="K152" i="52"/>
  <c r="L152" i="52" s="1"/>
  <c r="K151" i="52"/>
  <c r="L151" i="52" s="1"/>
  <c r="M151" i="52" s="1"/>
  <c r="N151" i="52" s="1"/>
  <c r="K150" i="52"/>
  <c r="L150" i="52" s="1"/>
  <c r="M150" i="52" s="1"/>
  <c r="N150" i="52" s="1"/>
  <c r="L149" i="52"/>
  <c r="M149" i="52" s="1"/>
  <c r="N149" i="52" s="1"/>
  <c r="K149" i="52"/>
  <c r="K148" i="52"/>
  <c r="L148" i="52" s="1"/>
  <c r="M148" i="52" s="1"/>
  <c r="N148" i="52" s="1"/>
  <c r="M147" i="52"/>
  <c r="N147" i="52" s="1"/>
  <c r="L147" i="52"/>
  <c r="K147" i="52"/>
  <c r="M146" i="52"/>
  <c r="N146" i="52" s="1"/>
  <c r="K146" i="52"/>
  <c r="L146" i="52" s="1"/>
  <c r="K145" i="52"/>
  <c r="L145" i="52" s="1"/>
  <c r="M145" i="52" s="1"/>
  <c r="N145" i="52" s="1"/>
  <c r="M144" i="52"/>
  <c r="N144" i="52" s="1"/>
  <c r="K144" i="52"/>
  <c r="L144" i="52" s="1"/>
  <c r="K143" i="52"/>
  <c r="L143" i="52" s="1"/>
  <c r="M143" i="52" s="1"/>
  <c r="N143" i="52" s="1"/>
  <c r="K142" i="52"/>
  <c r="L142" i="52" s="1"/>
  <c r="M142" i="52" s="1"/>
  <c r="N142" i="52" s="1"/>
  <c r="L141" i="52"/>
  <c r="M141" i="52" s="1"/>
  <c r="N141" i="52" s="1"/>
  <c r="K141" i="52"/>
  <c r="K140" i="52"/>
  <c r="L140" i="52" s="1"/>
  <c r="M140" i="52" s="1"/>
  <c r="N140" i="52" s="1"/>
  <c r="M139" i="52"/>
  <c r="N139" i="52" s="1"/>
  <c r="L139" i="52"/>
  <c r="K139" i="52"/>
  <c r="M138" i="52"/>
  <c r="N138" i="52" s="1"/>
  <c r="K138" i="52"/>
  <c r="L138" i="52" s="1"/>
  <c r="K137" i="52"/>
  <c r="L137" i="52" s="1"/>
  <c r="M137" i="52" s="1"/>
  <c r="N137" i="52" s="1"/>
  <c r="M136" i="52"/>
  <c r="N136" i="52" s="1"/>
  <c r="K136" i="52"/>
  <c r="L136" i="52" s="1"/>
  <c r="K135" i="52"/>
  <c r="L135" i="52" s="1"/>
  <c r="M135" i="52" s="1"/>
  <c r="N135" i="52" s="1"/>
  <c r="K134" i="52"/>
  <c r="L134" i="52" s="1"/>
  <c r="M134" i="52" s="1"/>
  <c r="N134" i="52" s="1"/>
  <c r="N133" i="52"/>
  <c r="L133" i="52"/>
  <c r="M133" i="52" s="1"/>
  <c r="K133" i="52"/>
  <c r="K132" i="52"/>
  <c r="L132" i="52" s="1"/>
  <c r="M132" i="52" s="1"/>
  <c r="N132" i="52" s="1"/>
  <c r="L131" i="52"/>
  <c r="M131" i="52" s="1"/>
  <c r="N131" i="52" s="1"/>
  <c r="K131" i="52"/>
  <c r="M130" i="52"/>
  <c r="N130" i="52" s="1"/>
  <c r="K130" i="52"/>
  <c r="L130" i="52" s="1"/>
  <c r="K129" i="52"/>
  <c r="L129" i="52" s="1"/>
  <c r="M129" i="52" s="1"/>
  <c r="N129" i="52" s="1"/>
  <c r="M128" i="52"/>
  <c r="N128" i="52" s="1"/>
  <c r="K128" i="52"/>
  <c r="L128" i="52" s="1"/>
  <c r="K127" i="52"/>
  <c r="L127" i="52" s="1"/>
  <c r="M127" i="52" s="1"/>
  <c r="N127" i="52" s="1"/>
  <c r="K126" i="52"/>
  <c r="L126" i="52" s="1"/>
  <c r="M126" i="52" s="1"/>
  <c r="N126" i="52" s="1"/>
  <c r="N125" i="52"/>
  <c r="L125" i="52"/>
  <c r="M125" i="52" s="1"/>
  <c r="K125" i="52"/>
  <c r="K124" i="52"/>
  <c r="L124" i="52" s="1"/>
  <c r="M124" i="52" s="1"/>
  <c r="N124" i="52" s="1"/>
  <c r="L123" i="52"/>
  <c r="M123" i="52" s="1"/>
  <c r="N123" i="52" s="1"/>
  <c r="K123" i="52"/>
  <c r="M122" i="52"/>
  <c r="N122" i="52" s="1"/>
  <c r="K122" i="52"/>
  <c r="L122" i="52" s="1"/>
  <c r="K121" i="52"/>
  <c r="L121" i="52" s="1"/>
  <c r="M121" i="52" s="1"/>
  <c r="N121" i="52" s="1"/>
  <c r="M120" i="52"/>
  <c r="N120" i="52" s="1"/>
  <c r="K120" i="52"/>
  <c r="L120" i="52" s="1"/>
  <c r="L119" i="52"/>
  <c r="M119" i="52" s="1"/>
  <c r="N119" i="52" s="1"/>
  <c r="K119" i="52"/>
  <c r="K118" i="52"/>
  <c r="L118" i="52" s="1"/>
  <c r="M118" i="52" s="1"/>
  <c r="N118" i="52" s="1"/>
  <c r="L117" i="52"/>
  <c r="M117" i="52" s="1"/>
  <c r="N117" i="52" s="1"/>
  <c r="K117" i="52"/>
  <c r="K116" i="52"/>
  <c r="L116" i="52" s="1"/>
  <c r="M116" i="52" s="1"/>
  <c r="N116" i="52" s="1"/>
  <c r="K115" i="52"/>
  <c r="L115" i="52" s="1"/>
  <c r="M115" i="52" s="1"/>
  <c r="N115" i="52" s="1"/>
  <c r="K114" i="52"/>
  <c r="L114" i="52" s="1"/>
  <c r="M114" i="52" s="1"/>
  <c r="N114" i="52" s="1"/>
  <c r="K113" i="52"/>
  <c r="L113" i="52" s="1"/>
  <c r="M113" i="52" s="1"/>
  <c r="N113" i="52" s="1"/>
  <c r="K112" i="52"/>
  <c r="L112" i="52" s="1"/>
  <c r="M112" i="52" s="1"/>
  <c r="N112" i="52" s="1"/>
  <c r="L111" i="52"/>
  <c r="M111" i="52" s="1"/>
  <c r="N111" i="52" s="1"/>
  <c r="K111" i="52"/>
  <c r="K110" i="52"/>
  <c r="L110" i="52" s="1"/>
  <c r="M110" i="52" s="1"/>
  <c r="N110" i="52" s="1"/>
  <c r="L109" i="52"/>
  <c r="M109" i="52" s="1"/>
  <c r="N109" i="52" s="1"/>
  <c r="K109" i="52"/>
  <c r="K108" i="52"/>
  <c r="L108" i="52" s="1"/>
  <c r="M108" i="52" s="1"/>
  <c r="N108" i="52" s="1"/>
  <c r="K107" i="52"/>
  <c r="L107" i="52" s="1"/>
  <c r="M107" i="52" s="1"/>
  <c r="N107" i="52" s="1"/>
  <c r="N106" i="52"/>
  <c r="K106" i="52"/>
  <c r="L106" i="52" s="1"/>
  <c r="M106" i="52" s="1"/>
  <c r="K105" i="52"/>
  <c r="L105" i="52" s="1"/>
  <c r="M105" i="52" s="1"/>
  <c r="N105" i="52" s="1"/>
  <c r="K104" i="52"/>
  <c r="L104" i="52" s="1"/>
  <c r="M104" i="52" s="1"/>
  <c r="N104" i="52" s="1"/>
  <c r="L103" i="52"/>
  <c r="M103" i="52" s="1"/>
  <c r="N103" i="52" s="1"/>
  <c r="K103" i="52"/>
  <c r="K102" i="52"/>
  <c r="L102" i="52" s="1"/>
  <c r="M102" i="52" s="1"/>
  <c r="N102" i="52" s="1"/>
  <c r="M101" i="52"/>
  <c r="N101" i="52" s="1"/>
  <c r="L101" i="52"/>
  <c r="K101" i="52"/>
  <c r="K100" i="52"/>
  <c r="L100" i="52" s="1"/>
  <c r="M100" i="52" s="1"/>
  <c r="N100" i="52" s="1"/>
  <c r="K99" i="52"/>
  <c r="L99" i="52" s="1"/>
  <c r="M99" i="52" s="1"/>
  <c r="N99" i="52" s="1"/>
  <c r="K98" i="52"/>
  <c r="L98" i="52" s="1"/>
  <c r="M98" i="52" s="1"/>
  <c r="N98" i="52" s="1"/>
  <c r="K97" i="52"/>
  <c r="L97" i="52" s="1"/>
  <c r="M97" i="52" s="1"/>
  <c r="N97" i="52" s="1"/>
  <c r="M96" i="52"/>
  <c r="N96" i="52" s="1"/>
  <c r="K96" i="52"/>
  <c r="L96" i="52" s="1"/>
  <c r="L95" i="52"/>
  <c r="M95" i="52" s="1"/>
  <c r="N95" i="52" s="1"/>
  <c r="K95" i="52"/>
  <c r="K94" i="52"/>
  <c r="L94" i="52" s="1"/>
  <c r="M94" i="52" s="1"/>
  <c r="N94" i="52" s="1"/>
  <c r="L93" i="52"/>
  <c r="M93" i="52" s="1"/>
  <c r="N93" i="52" s="1"/>
  <c r="K93" i="52"/>
  <c r="K92" i="52"/>
  <c r="L92" i="52" s="1"/>
  <c r="M92" i="52" s="1"/>
  <c r="N92" i="52" s="1"/>
  <c r="K91" i="52"/>
  <c r="L91" i="52" s="1"/>
  <c r="M91" i="52" s="1"/>
  <c r="N91" i="52" s="1"/>
  <c r="N90" i="52"/>
  <c r="K90" i="52"/>
  <c r="L90" i="52" s="1"/>
  <c r="M90" i="52" s="1"/>
  <c r="K89" i="52"/>
  <c r="L89" i="52" s="1"/>
  <c r="M89" i="52" s="1"/>
  <c r="N89" i="52" s="1"/>
  <c r="K88" i="52"/>
  <c r="L88" i="52" s="1"/>
  <c r="M88" i="52" s="1"/>
  <c r="N88" i="52" s="1"/>
  <c r="L87" i="52"/>
  <c r="M87" i="52" s="1"/>
  <c r="N87" i="52" s="1"/>
  <c r="K87" i="52"/>
  <c r="K86" i="52"/>
  <c r="L86" i="52" s="1"/>
  <c r="M86" i="52" s="1"/>
  <c r="N86" i="52" s="1"/>
  <c r="M85" i="52"/>
  <c r="N85" i="52" s="1"/>
  <c r="L85" i="52"/>
  <c r="K85" i="52"/>
  <c r="K84" i="52"/>
  <c r="L84" i="52" s="1"/>
  <c r="M84" i="52" s="1"/>
  <c r="N84" i="52" s="1"/>
  <c r="K83" i="52"/>
  <c r="L83" i="52" s="1"/>
  <c r="M83" i="52" s="1"/>
  <c r="N83" i="52" s="1"/>
  <c r="N82" i="52"/>
  <c r="K82" i="52"/>
  <c r="L82" i="52" s="1"/>
  <c r="M82" i="52" s="1"/>
  <c r="K81" i="52"/>
  <c r="L81" i="52" s="1"/>
  <c r="M81" i="52" s="1"/>
  <c r="N81" i="52" s="1"/>
  <c r="K80" i="52"/>
  <c r="L80" i="52" s="1"/>
  <c r="M80" i="52" s="1"/>
  <c r="N80" i="52" s="1"/>
  <c r="K79" i="52"/>
  <c r="L79" i="52" s="1"/>
  <c r="M79" i="52" s="1"/>
  <c r="N79" i="52" s="1"/>
  <c r="M78" i="52"/>
  <c r="N78" i="52" s="1"/>
  <c r="K78" i="52"/>
  <c r="L78" i="52" s="1"/>
  <c r="K77" i="52"/>
  <c r="L77" i="52" s="1"/>
  <c r="M77" i="52" s="1"/>
  <c r="N77" i="52" s="1"/>
  <c r="K76" i="52"/>
  <c r="L76" i="52" s="1"/>
  <c r="M76" i="52" s="1"/>
  <c r="N76" i="52" s="1"/>
  <c r="K75" i="52"/>
  <c r="L75" i="52" s="1"/>
  <c r="M75" i="52" s="1"/>
  <c r="N75" i="52" s="1"/>
  <c r="M74" i="52"/>
  <c r="N74" i="52" s="1"/>
  <c r="K74" i="52"/>
  <c r="L74" i="52" s="1"/>
  <c r="K73" i="52"/>
  <c r="L73" i="52" s="1"/>
  <c r="M73" i="52" s="1"/>
  <c r="N73" i="52" s="1"/>
  <c r="K72" i="52"/>
  <c r="L72" i="52" s="1"/>
  <c r="M72" i="52" s="1"/>
  <c r="N72" i="52" s="1"/>
  <c r="K71" i="52"/>
  <c r="L71" i="52" s="1"/>
  <c r="M71" i="52" s="1"/>
  <c r="N71" i="52" s="1"/>
  <c r="M70" i="52"/>
  <c r="N70" i="52" s="1"/>
  <c r="K70" i="52"/>
  <c r="L70" i="52" s="1"/>
  <c r="K69" i="52"/>
  <c r="L69" i="52" s="1"/>
  <c r="M69" i="52" s="1"/>
  <c r="N69" i="52" s="1"/>
  <c r="K68" i="52"/>
  <c r="L68" i="52" s="1"/>
  <c r="M68" i="52" s="1"/>
  <c r="N68" i="52" s="1"/>
  <c r="K67" i="52"/>
  <c r="L67" i="52" s="1"/>
  <c r="M67" i="52" s="1"/>
  <c r="N67" i="52" s="1"/>
  <c r="M66" i="52"/>
  <c r="N66" i="52" s="1"/>
  <c r="K66" i="52"/>
  <c r="L66" i="52" s="1"/>
  <c r="K65" i="52"/>
  <c r="L65" i="52" s="1"/>
  <c r="M65" i="52" s="1"/>
  <c r="N65" i="52" s="1"/>
  <c r="K64" i="52"/>
  <c r="L64" i="52" s="1"/>
  <c r="M64" i="52" s="1"/>
  <c r="N64" i="52" s="1"/>
  <c r="K63" i="52"/>
  <c r="L63" i="52" s="1"/>
  <c r="M63" i="52" s="1"/>
  <c r="N63" i="52" s="1"/>
  <c r="M62" i="52"/>
  <c r="N62" i="52" s="1"/>
  <c r="K62" i="52"/>
  <c r="L62" i="52" s="1"/>
  <c r="K61" i="52"/>
  <c r="L61" i="52" s="1"/>
  <c r="M61" i="52" s="1"/>
  <c r="N61" i="52" s="1"/>
  <c r="K60" i="52"/>
  <c r="L60" i="52" s="1"/>
  <c r="M60" i="52" s="1"/>
  <c r="N60" i="52" s="1"/>
  <c r="K59" i="52"/>
  <c r="L59" i="52" s="1"/>
  <c r="M59" i="52" s="1"/>
  <c r="N59" i="52" s="1"/>
  <c r="M58" i="52"/>
  <c r="N58" i="52" s="1"/>
  <c r="K58" i="52"/>
  <c r="L58" i="52" s="1"/>
  <c r="K57" i="52"/>
  <c r="L57" i="52" s="1"/>
  <c r="M57" i="52" s="1"/>
  <c r="N57" i="52" s="1"/>
  <c r="K56" i="52"/>
  <c r="L56" i="52" s="1"/>
  <c r="M56" i="52" s="1"/>
  <c r="N56" i="52" s="1"/>
  <c r="K55" i="52"/>
  <c r="L55" i="52" s="1"/>
  <c r="M55" i="52" s="1"/>
  <c r="N55" i="52" s="1"/>
  <c r="M54" i="52"/>
  <c r="N54" i="52" s="1"/>
  <c r="K54" i="52"/>
  <c r="L54" i="52" s="1"/>
  <c r="K53" i="52"/>
  <c r="L53" i="52" s="1"/>
  <c r="M53" i="52" s="1"/>
  <c r="N53" i="52" s="1"/>
  <c r="K52" i="52"/>
  <c r="L52" i="52" s="1"/>
  <c r="M52" i="52" s="1"/>
  <c r="N52" i="52" s="1"/>
  <c r="K51" i="52"/>
  <c r="L51" i="52" s="1"/>
  <c r="M51" i="52" s="1"/>
  <c r="N51" i="52" s="1"/>
  <c r="M50" i="52"/>
  <c r="N50" i="52" s="1"/>
  <c r="K50" i="52"/>
  <c r="L50" i="52" s="1"/>
  <c r="K49" i="52"/>
  <c r="L49" i="52" s="1"/>
  <c r="M49" i="52" s="1"/>
  <c r="N49" i="52" s="1"/>
  <c r="K48" i="52"/>
  <c r="L48" i="52" s="1"/>
  <c r="M48" i="52" s="1"/>
  <c r="N48" i="52" s="1"/>
  <c r="K47" i="52"/>
  <c r="L47" i="52" s="1"/>
  <c r="M47" i="52" s="1"/>
  <c r="N47" i="52" s="1"/>
  <c r="M46" i="52"/>
  <c r="N46" i="52" s="1"/>
  <c r="K46" i="52"/>
  <c r="L46" i="52" s="1"/>
  <c r="K45" i="52"/>
  <c r="L45" i="52" s="1"/>
  <c r="M45" i="52" s="1"/>
  <c r="N45" i="52" s="1"/>
  <c r="K44" i="52"/>
  <c r="L44" i="52" s="1"/>
  <c r="M44" i="52" s="1"/>
  <c r="N44" i="52" s="1"/>
  <c r="K43" i="52"/>
  <c r="L43" i="52" s="1"/>
  <c r="M43" i="52" s="1"/>
  <c r="N43" i="52" s="1"/>
  <c r="M42" i="52"/>
  <c r="N42" i="52" s="1"/>
  <c r="K42" i="52"/>
  <c r="L42" i="52" s="1"/>
  <c r="K41" i="52"/>
  <c r="L41" i="52" s="1"/>
  <c r="M41" i="52" s="1"/>
  <c r="N41" i="52" s="1"/>
  <c r="K40" i="52"/>
  <c r="L40" i="52" s="1"/>
  <c r="M40" i="52" s="1"/>
  <c r="N40" i="52" s="1"/>
  <c r="K39" i="52"/>
  <c r="L39" i="52" s="1"/>
  <c r="M39" i="52" s="1"/>
  <c r="N39" i="52" s="1"/>
  <c r="M38" i="52"/>
  <c r="N38" i="52" s="1"/>
  <c r="K38" i="52"/>
  <c r="L38" i="52" s="1"/>
  <c r="K37" i="52"/>
  <c r="L37" i="52" s="1"/>
  <c r="M37" i="52" s="1"/>
  <c r="N37" i="52" s="1"/>
  <c r="K36" i="52"/>
  <c r="L36" i="52" s="1"/>
  <c r="M36" i="52" s="1"/>
  <c r="N36" i="52" s="1"/>
  <c r="K35" i="52"/>
  <c r="L35" i="52" s="1"/>
  <c r="M35" i="52" s="1"/>
  <c r="N35" i="52" s="1"/>
  <c r="M34" i="52"/>
  <c r="N34" i="52" s="1"/>
  <c r="K34" i="52"/>
  <c r="L34" i="52" s="1"/>
  <c r="K33" i="52"/>
  <c r="L33" i="52" s="1"/>
  <c r="M33" i="52" s="1"/>
  <c r="N33" i="52" s="1"/>
  <c r="K32" i="52"/>
  <c r="L32" i="52" s="1"/>
  <c r="M32" i="52" s="1"/>
  <c r="N32" i="52" s="1"/>
  <c r="K31" i="52"/>
  <c r="L31" i="52" s="1"/>
  <c r="M31" i="52" s="1"/>
  <c r="N31" i="52" s="1"/>
  <c r="M30" i="52"/>
  <c r="N30" i="52" s="1"/>
  <c r="K30" i="52"/>
  <c r="L30" i="52" s="1"/>
  <c r="K29" i="52"/>
  <c r="L29" i="52" s="1"/>
  <c r="M29" i="52" s="1"/>
  <c r="N29" i="52" s="1"/>
  <c r="K28" i="52"/>
  <c r="L28" i="52" s="1"/>
  <c r="M28" i="52" s="1"/>
  <c r="N28" i="52" s="1"/>
  <c r="K27" i="52"/>
  <c r="L27" i="52" s="1"/>
  <c r="M27" i="52" s="1"/>
  <c r="N27" i="52" s="1"/>
  <c r="M26" i="52"/>
  <c r="N26" i="52" s="1"/>
  <c r="K26" i="52"/>
  <c r="L26" i="52" s="1"/>
  <c r="K25" i="52"/>
  <c r="L25" i="52" s="1"/>
  <c r="M25" i="52" s="1"/>
  <c r="N25" i="52" s="1"/>
  <c r="K24" i="52"/>
  <c r="L24" i="52" s="1"/>
  <c r="M24" i="52" s="1"/>
  <c r="N24" i="52" s="1"/>
  <c r="K23" i="52"/>
  <c r="L23" i="52" s="1"/>
  <c r="M23" i="52" s="1"/>
  <c r="N23" i="52" s="1"/>
  <c r="M22" i="52"/>
  <c r="N22" i="52" s="1"/>
  <c r="K22" i="52"/>
  <c r="L22" i="52" s="1"/>
  <c r="K21" i="52"/>
  <c r="L21" i="52" s="1"/>
  <c r="M21" i="52" s="1"/>
  <c r="N21" i="52" s="1"/>
  <c r="K20" i="52"/>
  <c r="L20" i="52" s="1"/>
  <c r="M20" i="52" s="1"/>
  <c r="N20" i="52" s="1"/>
  <c r="K19" i="52"/>
  <c r="L19" i="52" s="1"/>
  <c r="M19" i="52" s="1"/>
  <c r="N19" i="52" s="1"/>
  <c r="M18" i="52"/>
  <c r="N18" i="52" s="1"/>
  <c r="K18" i="52"/>
  <c r="L18" i="52" s="1"/>
  <c r="K17" i="52"/>
  <c r="L17" i="52" s="1"/>
  <c r="M17" i="52" s="1"/>
  <c r="N17" i="52" s="1"/>
  <c r="K16" i="52"/>
  <c r="L16" i="52" s="1"/>
  <c r="M16" i="52" s="1"/>
  <c r="N16" i="52" s="1"/>
  <c r="K15" i="52"/>
  <c r="L15" i="52" s="1"/>
  <c r="M15" i="52" s="1"/>
  <c r="N15" i="52" s="1"/>
  <c r="M14" i="52"/>
  <c r="N14" i="52" s="1"/>
  <c r="K14" i="52"/>
  <c r="L14" i="52" s="1"/>
  <c r="K13" i="52"/>
  <c r="L13" i="52" s="1"/>
  <c r="M13" i="52" s="1"/>
  <c r="N13" i="52" s="1"/>
  <c r="K12" i="52"/>
  <c r="L12" i="52" s="1"/>
  <c r="M12" i="52" s="1"/>
  <c r="N12" i="52" s="1"/>
  <c r="K11" i="52"/>
  <c r="L11" i="52" s="1"/>
  <c r="M11" i="52" s="1"/>
  <c r="N11" i="52" s="1"/>
  <c r="M10" i="52"/>
  <c r="N10" i="52" s="1"/>
  <c r="K10" i="52"/>
  <c r="L10" i="52" s="1"/>
  <c r="K9" i="52"/>
  <c r="L9" i="52" s="1"/>
  <c r="M9" i="52" s="1"/>
  <c r="N9" i="52" s="1"/>
  <c r="K8" i="52"/>
  <c r="J8" i="52"/>
  <c r="K7" i="52"/>
  <c r="L7" i="52" s="1"/>
  <c r="M7" i="52" s="1"/>
  <c r="N7" i="52" s="1"/>
  <c r="K6" i="52"/>
  <c r="L6" i="52" s="1"/>
  <c r="M6" i="52" s="1"/>
  <c r="N6" i="52" s="1"/>
  <c r="K5" i="52"/>
  <c r="L5" i="52" s="1"/>
  <c r="M5" i="52" s="1"/>
  <c r="N5" i="52" s="1"/>
  <c r="L4" i="52"/>
  <c r="M4" i="52" s="1"/>
  <c r="N4" i="52" s="1"/>
  <c r="N3" i="52"/>
  <c r="M3" i="52"/>
  <c r="K3" i="52"/>
  <c r="L3" i="52" s="1"/>
  <c r="L3" i="12"/>
  <c r="M3" i="12" s="1"/>
  <c r="N3" i="12" s="1"/>
  <c r="L8" i="52" l="1"/>
  <c r="M8" i="52" s="1"/>
  <c r="N8" i="52" s="1"/>
  <c r="P1077" i="52"/>
  <c r="I1077" i="52"/>
  <c r="P4498" i="52"/>
  <c r="P4499" i="52" s="1"/>
  <c r="J4499" i="52"/>
  <c r="L4499" i="52" s="1"/>
  <c r="M4499" i="52" s="1"/>
  <c r="J555" i="52"/>
  <c r="J556" i="52" s="1"/>
  <c r="L556" i="52" s="1"/>
  <c r="M556" i="52" s="1"/>
  <c r="N556" i="52" s="1"/>
  <c r="J2245" i="52"/>
  <c r="L2245" i="52" s="1"/>
  <c r="M2245" i="52" s="1"/>
  <c r="N2245" i="52" s="1"/>
  <c r="L2244" i="52"/>
  <c r="M2244" i="52" s="1"/>
  <c r="N2244" i="52" s="1"/>
  <c r="J1166" i="52"/>
  <c r="J1167" i="52" s="1"/>
  <c r="I848" i="52"/>
  <c r="E849" i="52"/>
  <c r="I849" i="52" s="1"/>
  <c r="I831" i="52"/>
  <c r="E841" i="52"/>
  <c r="P866" i="52" s="1"/>
  <c r="L555" i="52"/>
  <c r="M555" i="52" s="1"/>
  <c r="N555" i="52" s="1"/>
  <c r="I842" i="52"/>
  <c r="L1045" i="52"/>
  <c r="M1045" i="52" s="1"/>
  <c r="N1045" i="52" s="1"/>
  <c r="J1059" i="52"/>
  <c r="J1060" i="52" s="1"/>
  <c r="L1060" i="52" s="1"/>
  <c r="M1060" i="52" s="1"/>
  <c r="N1060" i="52" s="1"/>
  <c r="J1882" i="52"/>
  <c r="J2073" i="52"/>
  <c r="J2074" i="52" s="1"/>
  <c r="J2075" i="52" s="1"/>
  <c r="L2075" i="52" s="1"/>
  <c r="M2075" i="52" s="1"/>
  <c r="N2075" i="52" s="1"/>
  <c r="P2075" i="52" s="1"/>
  <c r="Q2075" i="52" s="1"/>
  <c r="P824" i="52"/>
  <c r="I862" i="52"/>
  <c r="I883" i="52"/>
  <c r="P957" i="52" s="1"/>
  <c r="I885" i="52"/>
  <c r="P959" i="52" s="1"/>
  <c r="Q959" i="52" s="1"/>
  <c r="I913" i="52"/>
  <c r="J927" i="52" s="1"/>
  <c r="R939" i="52"/>
  <c r="R940" i="52" s="1"/>
  <c r="I995" i="52"/>
  <c r="I1018" i="52"/>
  <c r="J1124" i="52"/>
  <c r="L1124" i="52" s="1"/>
  <c r="M1124" i="52" s="1"/>
  <c r="N1124" i="52" s="1"/>
  <c r="I1318" i="52"/>
  <c r="J1318" i="52" s="1"/>
  <c r="L1318" i="52" s="1"/>
  <c r="M1318" i="52" s="1"/>
  <c r="N1318" i="52" s="1"/>
  <c r="P1318" i="52" s="1"/>
  <c r="Q1318" i="52" s="1"/>
  <c r="P849" i="52"/>
  <c r="L1046" i="52"/>
  <c r="M1046" i="52" s="1"/>
  <c r="N1046" i="52" s="1"/>
  <c r="J1759" i="52"/>
  <c r="L1759" i="52" s="1"/>
  <c r="M1759" i="52" s="1"/>
  <c r="N1759" i="52" s="1"/>
  <c r="L1758" i="52"/>
  <c r="M1758" i="52" s="1"/>
  <c r="N1758" i="52" s="1"/>
  <c r="I907" i="52"/>
  <c r="I1014" i="52"/>
  <c r="J2138" i="52"/>
  <c r="J2139" i="52" s="1"/>
  <c r="L2139" i="52" s="1"/>
  <c r="M2139" i="52" s="1"/>
  <c r="N2139" i="52" s="1"/>
  <c r="L559" i="52"/>
  <c r="M559" i="52" s="1"/>
  <c r="N559" i="52" s="1"/>
  <c r="I823" i="52"/>
  <c r="I881" i="52"/>
  <c r="P955" i="52" s="1"/>
  <c r="Q955" i="52" s="1"/>
  <c r="I911" i="52"/>
  <c r="Q946" i="52"/>
  <c r="I997" i="52"/>
  <c r="J1081" i="52"/>
  <c r="J1082" i="52" s="1"/>
  <c r="J1255" i="52"/>
  <c r="L1255" i="52" s="1"/>
  <c r="M1255" i="52" s="1"/>
  <c r="N1255" i="52" s="1"/>
  <c r="P1255" i="52" s="1"/>
  <c r="I1369" i="52"/>
  <c r="L1867" i="52"/>
  <c r="M1867" i="52" s="1"/>
  <c r="N1867" i="52" s="1"/>
  <c r="J671" i="52"/>
  <c r="J672" i="52" s="1"/>
  <c r="L672" i="52" s="1"/>
  <c r="M672" i="52" s="1"/>
  <c r="N672" i="52" s="1"/>
  <c r="J736" i="52"/>
  <c r="J738" i="52" s="1"/>
  <c r="J748" i="52"/>
  <c r="J750" i="52" s="1"/>
  <c r="Q944" i="52"/>
  <c r="I919" i="52"/>
  <c r="F1173" i="52"/>
  <c r="I1173" i="52" s="1"/>
  <c r="P1207" i="52"/>
  <c r="Q1207" i="52" s="1"/>
  <c r="I1367" i="52"/>
  <c r="J1373" i="52" s="1"/>
  <c r="J2267" i="52"/>
  <c r="L2267" i="52" s="1"/>
  <c r="M2267" i="52" s="1"/>
  <c r="N2267" i="52" s="1"/>
  <c r="L2266" i="52"/>
  <c r="M2266" i="52" s="1"/>
  <c r="N2266" i="52" s="1"/>
  <c r="I912" i="52"/>
  <c r="I916" i="52"/>
  <c r="J1339" i="52"/>
  <c r="L2252" i="52"/>
  <c r="M2252" i="52" s="1"/>
  <c r="N2252" i="52" s="1"/>
  <c r="J2208" i="52"/>
  <c r="J2209" i="52" s="1"/>
  <c r="J2210" i="52" s="1"/>
  <c r="L2210" i="52" s="1"/>
  <c r="M2210" i="52" s="1"/>
  <c r="N2210" i="52" s="1"/>
  <c r="L2243" i="52"/>
  <c r="M2243" i="52" s="1"/>
  <c r="N2243" i="52" s="1"/>
  <c r="L2274" i="52"/>
  <c r="M2274" i="52" s="1"/>
  <c r="N2274" i="52" s="1"/>
  <c r="J1640" i="52"/>
  <c r="J1899" i="52"/>
  <c r="J1900" i="52" s="1"/>
  <c r="J1901" i="52" s="1"/>
  <c r="L1901" i="52" s="1"/>
  <c r="M1901" i="52" s="1"/>
  <c r="N1901" i="52" s="1"/>
  <c r="L2351" i="52"/>
  <c r="M2351" i="52" s="1"/>
  <c r="N2351" i="52" s="1"/>
  <c r="J2583" i="52"/>
  <c r="J2584" i="52" s="1"/>
  <c r="J3546" i="52"/>
  <c r="L3546" i="52" s="1"/>
  <c r="M3546" i="52" s="1"/>
  <c r="L3545" i="52"/>
  <c r="M3545" i="52" s="1"/>
  <c r="J4155" i="52"/>
  <c r="J4156" i="52" s="1"/>
  <c r="L4156" i="52" s="1"/>
  <c r="M4156" i="52" s="1"/>
  <c r="L1757" i="52"/>
  <c r="M1757" i="52" s="1"/>
  <c r="N1757" i="52" s="1"/>
  <c r="J1921" i="52"/>
  <c r="J3376" i="52"/>
  <c r="I1378" i="52"/>
  <c r="I1380" i="52"/>
  <c r="L1418" i="52"/>
  <c r="M1418" i="52" s="1"/>
  <c r="N1418" i="52" s="1"/>
  <c r="J1834" i="52"/>
  <c r="J1835" i="52" s="1"/>
  <c r="L1835" i="52" s="1"/>
  <c r="M1835" i="52" s="1"/>
  <c r="N1835" i="52" s="1"/>
  <c r="L2251" i="52"/>
  <c r="M2251" i="52" s="1"/>
  <c r="N2251" i="52" s="1"/>
  <c r="L2292" i="52"/>
  <c r="M2292" i="52" s="1"/>
  <c r="N2292" i="52" s="1"/>
  <c r="L2426" i="52"/>
  <c r="M2426" i="52" s="1"/>
  <c r="N2426" i="52" s="1"/>
  <c r="J2560" i="52"/>
  <c r="L2583" i="52"/>
  <c r="M2583" i="52" s="1"/>
  <c r="N2583" i="52" s="1"/>
  <c r="F2693" i="52"/>
  <c r="I2693" i="52" s="1"/>
  <c r="F2704" i="52"/>
  <c r="P3825" i="52"/>
  <c r="J1314" i="52"/>
  <c r="J1315" i="52" s="1"/>
  <c r="J1316" i="52" s="1"/>
  <c r="L1316" i="52" s="1"/>
  <c r="M1316" i="52" s="1"/>
  <c r="N1316" i="52" s="1"/>
  <c r="P1316" i="52" s="1"/>
  <c r="L1408" i="52"/>
  <c r="M1408" i="52" s="1"/>
  <c r="N1408" i="52" s="1"/>
  <c r="J1658" i="52"/>
  <c r="J1659" i="52" s="1"/>
  <c r="J1660" i="52" s="1"/>
  <c r="L1660" i="52" s="1"/>
  <c r="M1660" i="52" s="1"/>
  <c r="N1660" i="52" s="1"/>
  <c r="P1660" i="52" s="1"/>
  <c r="J1677" i="52"/>
  <c r="J1678" i="52" s="1"/>
  <c r="J1679" i="52" s="1"/>
  <c r="L1679" i="52" s="1"/>
  <c r="M1679" i="52" s="1"/>
  <c r="N1679" i="52" s="1"/>
  <c r="J2473" i="52"/>
  <c r="J1304" i="52"/>
  <c r="L1409" i="52"/>
  <c r="M1409" i="52" s="1"/>
  <c r="N1409" i="52" s="1"/>
  <c r="J1422" i="52"/>
  <c r="J1423" i="52" s="1"/>
  <c r="L1423" i="52" s="1"/>
  <c r="M1423" i="52" s="1"/>
  <c r="N1423" i="52" s="1"/>
  <c r="N1424" i="52" s="1"/>
  <c r="L1845" i="52"/>
  <c r="M1845" i="52" s="1"/>
  <c r="N1845" i="52" s="1"/>
  <c r="J2129" i="52"/>
  <c r="J2130" i="52" s="1"/>
  <c r="L2130" i="52" s="1"/>
  <c r="M2130" i="52" s="1"/>
  <c r="N2130" i="52" s="1"/>
  <c r="J2219" i="52"/>
  <c r="J2337" i="52"/>
  <c r="J2338" i="52" s="1"/>
  <c r="L2660" i="52"/>
  <c r="M2660" i="52" s="1"/>
  <c r="N2660" i="52" s="1"/>
  <c r="J1827" i="52"/>
  <c r="L2623" i="52"/>
  <c r="M2623" i="52" s="1"/>
  <c r="N2623" i="52" s="1"/>
  <c r="J3362" i="52"/>
  <c r="I3557" i="52"/>
  <c r="J3557" i="52" s="1"/>
  <c r="J3558" i="52" s="1"/>
  <c r="L3558" i="52" s="1"/>
  <c r="M3558" i="52" s="1"/>
  <c r="I3563" i="52"/>
  <c r="J3576" i="52" s="1"/>
  <c r="H3581" i="52"/>
  <c r="I3581" i="52" s="1"/>
  <c r="L2535" i="52"/>
  <c r="M2535" i="52" s="1"/>
  <c r="N2535" i="52" s="1"/>
  <c r="L2598" i="52"/>
  <c r="M2598" i="52" s="1"/>
  <c r="N2598" i="52" s="1"/>
  <c r="J2669" i="52"/>
  <c r="I3571" i="52"/>
  <c r="H3589" i="52"/>
  <c r="I3589" i="52" s="1"/>
  <c r="L3906" i="52"/>
  <c r="M3906" i="52" s="1"/>
  <c r="J2525" i="52"/>
  <c r="J3444" i="52"/>
  <c r="J3497" i="52"/>
  <c r="L3497" i="52" s="1"/>
  <c r="M3497" i="52" s="1"/>
  <c r="L3496" i="52"/>
  <c r="M3496" i="52" s="1"/>
  <c r="L3756" i="52"/>
  <c r="M3756" i="52" s="1"/>
  <c r="J3402" i="52"/>
  <c r="L3406" i="52"/>
  <c r="M3406" i="52" s="1"/>
  <c r="J3423" i="52"/>
  <c r="J3424" i="52" s="1"/>
  <c r="L3424" i="52" s="1"/>
  <c r="M3424" i="52" s="1"/>
  <c r="J3469" i="52"/>
  <c r="L3469" i="52" s="1"/>
  <c r="M3469" i="52" s="1"/>
  <c r="J3608" i="52"/>
  <c r="J4017" i="52"/>
  <c r="J4018" i="52" s="1"/>
  <c r="L4018" i="52" s="1"/>
  <c r="M4018" i="52" s="1"/>
  <c r="L2645" i="52"/>
  <c r="M2645" i="52" s="1"/>
  <c r="N2645" i="52" s="1"/>
  <c r="J2656" i="52"/>
  <c r="H3593" i="52"/>
  <c r="I3593" i="52" s="1"/>
  <c r="I3575" i="52"/>
  <c r="J3624" i="52"/>
  <c r="L3624" i="52" s="1"/>
  <c r="M3624" i="52" s="1"/>
  <c r="I4100" i="52"/>
  <c r="J4100" i="52" s="1"/>
  <c r="L4100" i="52" s="1"/>
  <c r="M4100" i="52" s="1"/>
  <c r="J4099" i="52"/>
  <c r="L4099" i="52" s="1"/>
  <c r="M4099" i="52" s="1"/>
  <c r="L3540" i="52"/>
  <c r="M3540" i="52" s="1"/>
  <c r="J2592" i="52"/>
  <c r="J2593" i="52" s="1"/>
  <c r="J4269" i="52"/>
  <c r="J4270" i="52" s="1"/>
  <c r="L4270" i="52" s="1"/>
  <c r="M4270" i="52" s="1"/>
  <c r="J4801" i="52"/>
  <c r="L4801" i="52" s="1"/>
  <c r="M4801" i="52" s="1"/>
  <c r="L4800" i="52"/>
  <c r="M4800" i="52" s="1"/>
  <c r="L4809" i="52"/>
  <c r="M4809" i="52" s="1"/>
  <c r="J4810" i="52"/>
  <c r="L4810" i="52" s="1"/>
  <c r="M4810" i="52" s="1"/>
  <c r="J4403" i="52"/>
  <c r="J4813" i="52"/>
  <c r="L4813" i="52" s="1"/>
  <c r="M4813" i="52" s="1"/>
  <c r="L4812" i="52"/>
  <c r="M4812" i="52" s="1"/>
  <c r="L4845" i="52"/>
  <c r="M4845" i="52" s="1"/>
  <c r="J4846" i="52"/>
  <c r="L4846" i="52" s="1"/>
  <c r="M4846" i="52" s="1"/>
  <c r="Q3519" i="52"/>
  <c r="H3582" i="52"/>
  <c r="I3582" i="52" s="1"/>
  <c r="J3763" i="52"/>
  <c r="P3763" i="52" s="1"/>
  <c r="P3764" i="52" s="1"/>
  <c r="L3775" i="52"/>
  <c r="M3775" i="52" s="1"/>
  <c r="J4052" i="52"/>
  <c r="J4332" i="52"/>
  <c r="J4333" i="52" s="1"/>
  <c r="L4333" i="52" s="1"/>
  <c r="M4333" i="52" s="1"/>
  <c r="L4574" i="52"/>
  <c r="M4574" i="52" s="1"/>
  <c r="J4575" i="52"/>
  <c r="L4575" i="52" s="1"/>
  <c r="M4575" i="52" s="1"/>
  <c r="J4783" i="52"/>
  <c r="L4791" i="52"/>
  <c r="M4791" i="52" s="1"/>
  <c r="J4804" i="52"/>
  <c r="L4804" i="52" s="1"/>
  <c r="M4804" i="52" s="1"/>
  <c r="L4803" i="52"/>
  <c r="M4803" i="52" s="1"/>
  <c r="L4821" i="52"/>
  <c r="M4821" i="52" s="1"/>
  <c r="J4849" i="52"/>
  <c r="L4849" i="52" s="1"/>
  <c r="M4849" i="52" s="1"/>
  <c r="L4848" i="52"/>
  <c r="M4848" i="52" s="1"/>
  <c r="J3525" i="52"/>
  <c r="J3526" i="52" s="1"/>
  <c r="L3526" i="52" s="1"/>
  <c r="M3526" i="52" s="1"/>
  <c r="L4556" i="52"/>
  <c r="M4556" i="52" s="1"/>
  <c r="J4816" i="52"/>
  <c r="L4816" i="52" s="1"/>
  <c r="M4816" i="52" s="1"/>
  <c r="J3748" i="52"/>
  <c r="J3751" i="52" s="1"/>
  <c r="L3751" i="52" s="1"/>
  <c r="M3751" i="52" s="1"/>
  <c r="J3756" i="52"/>
  <c r="J3757" i="52" s="1"/>
  <c r="J3824" i="52"/>
  <c r="H4466" i="52"/>
  <c r="I4466" i="52" s="1"/>
  <c r="I4465" i="52"/>
  <c r="L4498" i="52"/>
  <c r="M4498" i="52" s="1"/>
  <c r="J3512" i="52"/>
  <c r="L3748" i="52"/>
  <c r="M3748" i="52" s="1"/>
  <c r="Q3824" i="52"/>
  <c r="J3829" i="52"/>
  <c r="J3885" i="52"/>
  <c r="L3885" i="52" s="1"/>
  <c r="M3885" i="52" s="1"/>
  <c r="J3971" i="52"/>
  <c r="J3972" i="52" s="1"/>
  <c r="L3972" i="52" s="1"/>
  <c r="M3972" i="52" s="1"/>
  <c r="P4637" i="52"/>
  <c r="P4638" i="52" s="1"/>
  <c r="L4637" i="52"/>
  <c r="M4637" i="52" s="1"/>
  <c r="L4541" i="52"/>
  <c r="M4541" i="52" s="1"/>
  <c r="J4873" i="52"/>
  <c r="G5006" i="52"/>
  <c r="G4998" i="52"/>
  <c r="I4998" i="52" s="1"/>
  <c r="G4995" i="52"/>
  <c r="F5002" i="52" s="1"/>
  <c r="I5002" i="52" s="1"/>
  <c r="J4830" i="52"/>
  <c r="L4830" i="52" s="1"/>
  <c r="M4830" i="52" s="1"/>
  <c r="J4842" i="52"/>
  <c r="I4993" i="52"/>
  <c r="J4993" i="52" s="1"/>
  <c r="L4993" i="52" s="1"/>
  <c r="P4773" i="52"/>
  <c r="J4469" i="52"/>
  <c r="J4470" i="52" s="1"/>
  <c r="L4470" i="52" s="1"/>
  <c r="M4470" i="52" s="1"/>
  <c r="J4548" i="52"/>
  <c r="J4504" i="52"/>
  <c r="L4504" i="52" s="1"/>
  <c r="M4504" i="52" s="1"/>
  <c r="L4617" i="52"/>
  <c r="M4617" i="52" s="1"/>
  <c r="D49" i="19"/>
  <c r="D61" i="19"/>
  <c r="E844" i="52"/>
  <c r="I844" i="52" s="1"/>
  <c r="I843" i="52"/>
  <c r="P671" i="52"/>
  <c r="P672" i="52" s="1"/>
  <c r="L535" i="52"/>
  <c r="M535" i="52" s="1"/>
  <c r="N535" i="52" s="1"/>
  <c r="P859" i="52"/>
  <c r="R859" i="52" s="1"/>
  <c r="Q938" i="52"/>
  <c r="Q954" i="52"/>
  <c r="Q960" i="52"/>
  <c r="I1026" i="52"/>
  <c r="J1037" i="52" s="1"/>
  <c r="J1042" i="52"/>
  <c r="L1042" i="52" s="1"/>
  <c r="M1042" i="52" s="1"/>
  <c r="N1042" i="52" s="1"/>
  <c r="P1042" i="52" s="1"/>
  <c r="F1344" i="52"/>
  <c r="L1059" i="52"/>
  <c r="M1059" i="52" s="1"/>
  <c r="N1059" i="52" s="1"/>
  <c r="L1072" i="52"/>
  <c r="M1072" i="52" s="1"/>
  <c r="N1072" i="52" s="1"/>
  <c r="J1073" i="52"/>
  <c r="L1073" i="52" s="1"/>
  <c r="M1073" i="52" s="1"/>
  <c r="N1073" i="52" s="1"/>
  <c r="L539" i="52"/>
  <c r="M539" i="52" s="1"/>
  <c r="N539" i="52" s="1"/>
  <c r="J724" i="52"/>
  <c r="J726" i="52" s="1"/>
  <c r="J808" i="52"/>
  <c r="J809" i="52" s="1"/>
  <c r="I890" i="52"/>
  <c r="P964" i="52" s="1"/>
  <c r="Q964" i="52" s="1"/>
  <c r="I920" i="52"/>
  <c r="J970" i="52"/>
  <c r="Q934" i="52"/>
  <c r="Q936" i="52"/>
  <c r="Q961" i="52"/>
  <c r="Q965" i="52"/>
  <c r="F994" i="52"/>
  <c r="I994" i="52" s="1"/>
  <c r="I993" i="52"/>
  <c r="F1002" i="52"/>
  <c r="I1002" i="52" s="1"/>
  <c r="I1001" i="52"/>
  <c r="I1036" i="52"/>
  <c r="L1041" i="52"/>
  <c r="M1041" i="52" s="1"/>
  <c r="N1041" i="52" s="1"/>
  <c r="L1051" i="52"/>
  <c r="M1051" i="52" s="1"/>
  <c r="N1051" i="52" s="1"/>
  <c r="J1067" i="52"/>
  <c r="J1068" i="52" s="1"/>
  <c r="L1068" i="52" s="1"/>
  <c r="M1068" i="52" s="1"/>
  <c r="N1068" i="52" s="1"/>
  <c r="L534" i="52"/>
  <c r="M534" i="52" s="1"/>
  <c r="N534" i="52" s="1"/>
  <c r="P535" i="52"/>
  <c r="G548" i="52"/>
  <c r="I548" i="52" s="1"/>
  <c r="J548" i="52" s="1"/>
  <c r="J549" i="52" s="1"/>
  <c r="L549" i="52" s="1"/>
  <c r="M549" i="52" s="1"/>
  <c r="N549" i="52" s="1"/>
  <c r="P549" i="52" s="1"/>
  <c r="I542" i="52"/>
  <c r="J542" i="52" s="1"/>
  <c r="J616" i="52"/>
  <c r="J617" i="52" s="1"/>
  <c r="L674" i="52"/>
  <c r="M674" i="52" s="1"/>
  <c r="N674" i="52" s="1"/>
  <c r="J818" i="52"/>
  <c r="E854" i="52"/>
  <c r="I854" i="52" s="1"/>
  <c r="I853" i="52"/>
  <c r="P854" i="52" s="1"/>
  <c r="R854" i="52" s="1"/>
  <c r="E864" i="52"/>
  <c r="I864" i="52" s="1"/>
  <c r="I863" i="52"/>
  <c r="Q942" i="52"/>
  <c r="Q952" i="52"/>
  <c r="Q956" i="52"/>
  <c r="Q957" i="52"/>
  <c r="Q962" i="52"/>
  <c r="Q963" i="52"/>
  <c r="Q966" i="52"/>
  <c r="Q967" i="52"/>
  <c r="L987" i="52"/>
  <c r="M987" i="52" s="1"/>
  <c r="N987" i="52" s="1"/>
  <c r="L1355" i="52"/>
  <c r="M1355" i="52" s="1"/>
  <c r="N1355" i="52" s="1"/>
  <c r="J1356" i="52"/>
  <c r="L616" i="52"/>
  <c r="M616" i="52" s="1"/>
  <c r="N616" i="52" s="1"/>
  <c r="J707" i="52"/>
  <c r="J709" i="52" s="1"/>
  <c r="L808" i="52"/>
  <c r="M808" i="52" s="1"/>
  <c r="N808" i="52" s="1"/>
  <c r="J836" i="52"/>
  <c r="L836" i="52" s="1"/>
  <c r="M836" i="52" s="1"/>
  <c r="N836" i="52" s="1"/>
  <c r="P836" i="52" s="1"/>
  <c r="Q836" i="52" s="1"/>
  <c r="I923" i="52"/>
  <c r="Q948" i="52"/>
  <c r="Q950" i="52"/>
  <c r="Q958" i="52"/>
  <c r="Q968" i="52"/>
  <c r="L1052" i="52"/>
  <c r="M1052" i="52" s="1"/>
  <c r="N1052" i="52" s="1"/>
  <c r="J1168" i="52"/>
  <c r="L1168" i="52" s="1"/>
  <c r="M1168" i="52" s="1"/>
  <c r="N1168" i="52" s="1"/>
  <c r="P1168" i="52" s="1"/>
  <c r="L1167" i="52"/>
  <c r="M1167" i="52" s="1"/>
  <c r="N1167" i="52" s="1"/>
  <c r="J1321" i="52"/>
  <c r="L1320" i="52"/>
  <c r="M1320" i="52" s="1"/>
  <c r="N1320" i="52" s="1"/>
  <c r="P1320" i="52" s="1"/>
  <c r="Q849" i="52"/>
  <c r="R849" i="52" s="1"/>
  <c r="P932" i="52"/>
  <c r="Q932" i="52" s="1"/>
  <c r="L1166" i="52"/>
  <c r="M1166" i="52" s="1"/>
  <c r="N1166" i="52" s="1"/>
  <c r="J1215" i="52"/>
  <c r="L1304" i="52"/>
  <c r="M1304" i="52" s="1"/>
  <c r="N1304" i="52" s="1"/>
  <c r="L1361" i="52"/>
  <c r="M1361" i="52" s="1"/>
  <c r="N1361" i="52" s="1"/>
  <c r="J1362" i="52"/>
  <c r="N1420" i="52"/>
  <c r="P1419" i="52"/>
  <c r="H1732" i="52"/>
  <c r="I1732" i="52" s="1"/>
  <c r="J1735" i="52" s="1"/>
  <c r="I1683" i="52"/>
  <c r="J1697" i="52" s="1"/>
  <c r="J1922" i="52"/>
  <c r="J1923" i="52" s="1"/>
  <c r="L1923" i="52" s="1"/>
  <c r="M1923" i="52" s="1"/>
  <c r="N1923" i="52" s="1"/>
  <c r="L1921" i="52"/>
  <c r="M1921" i="52" s="1"/>
  <c r="N1921" i="52" s="1"/>
  <c r="J1291" i="52"/>
  <c r="J1292" i="52" s="1"/>
  <c r="J1293" i="52" s="1"/>
  <c r="L1293" i="52" s="1"/>
  <c r="M1293" i="52" s="1"/>
  <c r="N1293" i="52" s="1"/>
  <c r="P1293" i="52" s="1"/>
  <c r="Q1293" i="52" s="1"/>
  <c r="L1315" i="52"/>
  <c r="M1315" i="52" s="1"/>
  <c r="N1315" i="52" s="1"/>
  <c r="I1368" i="52"/>
  <c r="I1372" i="52"/>
  <c r="L1403" i="52"/>
  <c r="M1403" i="52" s="1"/>
  <c r="N1403" i="52" s="1"/>
  <c r="L1411" i="52"/>
  <c r="M1411" i="52" s="1"/>
  <c r="N1411" i="52" s="1"/>
  <c r="L1426" i="52"/>
  <c r="M1426" i="52" s="1"/>
  <c r="N1426" i="52" s="1"/>
  <c r="L1640" i="52"/>
  <c r="M1640" i="52" s="1"/>
  <c r="N1640" i="52" s="1"/>
  <c r="J1641" i="52"/>
  <c r="L1658" i="52"/>
  <c r="M1658" i="52" s="1"/>
  <c r="N1658" i="52" s="1"/>
  <c r="L1677" i="52"/>
  <c r="M1677" i="52" s="1"/>
  <c r="N1677" i="52" s="1"/>
  <c r="J1841" i="52"/>
  <c r="L1841" i="52" s="1"/>
  <c r="M1841" i="52" s="1"/>
  <c r="N1841" i="52" s="1"/>
  <c r="L1840" i="52"/>
  <c r="M1840" i="52" s="1"/>
  <c r="N1840" i="52" s="1"/>
  <c r="J1883" i="52"/>
  <c r="J1884" i="52" s="1"/>
  <c r="L1884" i="52" s="1"/>
  <c r="M1884" i="52" s="1"/>
  <c r="N1884" i="52" s="1"/>
  <c r="L1882" i="52"/>
  <c r="M1882" i="52" s="1"/>
  <c r="N1882" i="52" s="1"/>
  <c r="J2339" i="52"/>
  <c r="L2339" i="52" s="1"/>
  <c r="M2339" i="52" s="1"/>
  <c r="N2339" i="52" s="1"/>
  <c r="L2338" i="52"/>
  <c r="M2338" i="52" s="1"/>
  <c r="N2338" i="52" s="1"/>
  <c r="J2561" i="52"/>
  <c r="J2562" i="52" s="1"/>
  <c r="L2562" i="52" s="1"/>
  <c r="M2562" i="52" s="1"/>
  <c r="N2562" i="52" s="1"/>
  <c r="L2560" i="52"/>
  <c r="M2560" i="52" s="1"/>
  <c r="N2560" i="52" s="1"/>
  <c r="P1186" i="52"/>
  <c r="I1186" i="52"/>
  <c r="P1187" i="52" s="1"/>
  <c r="Q1187" i="52" s="1"/>
  <c r="J1342" i="52"/>
  <c r="J1343" i="52" s="1"/>
  <c r="L1343" i="52" s="1"/>
  <c r="M1343" i="52" s="1"/>
  <c r="N1343" i="52" s="1"/>
  <c r="J1340" i="52"/>
  <c r="L1659" i="52"/>
  <c r="M1659" i="52" s="1"/>
  <c r="N1659" i="52" s="1"/>
  <c r="P1659" i="52" s="1"/>
  <c r="L1678" i="52"/>
  <c r="M1678" i="52" s="1"/>
  <c r="N1678" i="52" s="1"/>
  <c r="L1834" i="52"/>
  <c r="M1834" i="52" s="1"/>
  <c r="N1834" i="52" s="1"/>
  <c r="J2038" i="52"/>
  <c r="L1071" i="52"/>
  <c r="M1071" i="52" s="1"/>
  <c r="N1071" i="52" s="1"/>
  <c r="P1076" i="52"/>
  <c r="I1076" i="52"/>
  <c r="J1077" i="52" s="1"/>
  <c r="Q1073" i="52" s="1"/>
  <c r="Q1124" i="52"/>
  <c r="F1187" i="52"/>
  <c r="I1187" i="52" s="1"/>
  <c r="J1188" i="52" s="1"/>
  <c r="L1188" i="52" s="1"/>
  <c r="M1188" i="52" s="1"/>
  <c r="N1188" i="52" s="1"/>
  <c r="J1200" i="52"/>
  <c r="L1200" i="52" s="1"/>
  <c r="M1200" i="52" s="1"/>
  <c r="N1200" i="52" s="1"/>
  <c r="P1195" i="52"/>
  <c r="P1196" i="52" s="1"/>
  <c r="J1217" i="52"/>
  <c r="L1217" i="52" s="1"/>
  <c r="M1217" i="52" s="1"/>
  <c r="N1217" i="52" s="1"/>
  <c r="L1314" i="52"/>
  <c r="M1314" i="52" s="1"/>
  <c r="N1314" i="52" s="1"/>
  <c r="J1384" i="52"/>
  <c r="J1385" i="52" s="1"/>
  <c r="L1396" i="52"/>
  <c r="M1396" i="52" s="1"/>
  <c r="N1396" i="52" s="1"/>
  <c r="L1402" i="52"/>
  <c r="M1402" i="52" s="1"/>
  <c r="N1402" i="52" s="1"/>
  <c r="L1412" i="52"/>
  <c r="M1412" i="52" s="1"/>
  <c r="N1412" i="52" s="1"/>
  <c r="H1740" i="52"/>
  <c r="I1740" i="52" s="1"/>
  <c r="J1744" i="52" s="1"/>
  <c r="I1702" i="52"/>
  <c r="J1828" i="52"/>
  <c r="L1828" i="52" s="1"/>
  <c r="M1828" i="52" s="1"/>
  <c r="N1828" i="52" s="1"/>
  <c r="L1827" i="52"/>
  <c r="M1827" i="52" s="1"/>
  <c r="N1827" i="52" s="1"/>
  <c r="L1899" i="52"/>
  <c r="M1899" i="52" s="1"/>
  <c r="N1899" i="52" s="1"/>
  <c r="L2073" i="52"/>
  <c r="M2073" i="52" s="1"/>
  <c r="N2073" i="52" s="1"/>
  <c r="J2196" i="52"/>
  <c r="J2197" i="52" s="1"/>
  <c r="L2197" i="52" s="1"/>
  <c r="M2197" i="52" s="1"/>
  <c r="N2197" i="52" s="1"/>
  <c r="L2195" i="52"/>
  <c r="M2195" i="52" s="1"/>
  <c r="N2195" i="52" s="1"/>
  <c r="J2492" i="52"/>
  <c r="L2492" i="52" s="1"/>
  <c r="M2492" i="52" s="1"/>
  <c r="N2492" i="52" s="1"/>
  <c r="L2491" i="52"/>
  <c r="M2491" i="52" s="1"/>
  <c r="N2491" i="52" s="1"/>
  <c r="L2138" i="52"/>
  <c r="M2138" i="52" s="1"/>
  <c r="N2138" i="52" s="1"/>
  <c r="J2526" i="52"/>
  <c r="J2527" i="52" s="1"/>
  <c r="L2527" i="52" s="1"/>
  <c r="M2527" i="52" s="1"/>
  <c r="N2527" i="52" s="1"/>
  <c r="L2525" i="52"/>
  <c r="M2525" i="52" s="1"/>
  <c r="N2525" i="52" s="1"/>
  <c r="J1726" i="52"/>
  <c r="J1727" i="52" s="1"/>
  <c r="L1868" i="52"/>
  <c r="M1868" i="52" s="1"/>
  <c r="N1868" i="52" s="1"/>
  <c r="F1935" i="52"/>
  <c r="J2145" i="52"/>
  <c r="J2382" i="52"/>
  <c r="L2382" i="52" s="1"/>
  <c r="M2382" i="52" s="1"/>
  <c r="N2382" i="52" s="1"/>
  <c r="L2381" i="52"/>
  <c r="M2381" i="52" s="1"/>
  <c r="N2381" i="52" s="1"/>
  <c r="J2474" i="52"/>
  <c r="L2474" i="52" s="1"/>
  <c r="M2474" i="52" s="1"/>
  <c r="N2474" i="52" s="1"/>
  <c r="L2473" i="52"/>
  <c r="M2473" i="52" s="1"/>
  <c r="N2473" i="52" s="1"/>
  <c r="I1353" i="52"/>
  <c r="J1353" i="52" s="1"/>
  <c r="L1353" i="52" s="1"/>
  <c r="M1353" i="52" s="1"/>
  <c r="N1353" i="52" s="1"/>
  <c r="L1900" i="52"/>
  <c r="M1900" i="52" s="1"/>
  <c r="N1900" i="52" s="1"/>
  <c r="J2096" i="52"/>
  <c r="J2097" i="52" s="1"/>
  <c r="J2098" i="52" s="1"/>
  <c r="L2098" i="52" s="1"/>
  <c r="M2098" i="52" s="1"/>
  <c r="N2098" i="52" s="1"/>
  <c r="L2166" i="52"/>
  <c r="M2166" i="52" s="1"/>
  <c r="N2166" i="52" s="1"/>
  <c r="L2208" i="52"/>
  <c r="M2208" i="52" s="1"/>
  <c r="N2208" i="52" s="1"/>
  <c r="J2276" i="52"/>
  <c r="L2276" i="52" s="1"/>
  <c r="M2276" i="52" s="1"/>
  <c r="N2276" i="52" s="1"/>
  <c r="L2275" i="52"/>
  <c r="M2275" i="52" s="1"/>
  <c r="N2275" i="52" s="1"/>
  <c r="J2285" i="52"/>
  <c r="L2285" i="52" s="1"/>
  <c r="M2285" i="52" s="1"/>
  <c r="N2285" i="52" s="1"/>
  <c r="P2285" i="52" s="1"/>
  <c r="Q2285" i="52" s="1"/>
  <c r="L2284" i="52"/>
  <c r="M2284" i="52" s="1"/>
  <c r="N2284" i="52" s="1"/>
  <c r="J1716" i="52"/>
  <c r="J1717" i="52" s="1"/>
  <c r="F1934" i="52"/>
  <c r="I1926" i="52"/>
  <c r="J1929" i="52" s="1"/>
  <c r="J2220" i="52"/>
  <c r="J2221" i="52" s="1"/>
  <c r="L2221" i="52" s="1"/>
  <c r="M2221" i="52" s="1"/>
  <c r="N2221" i="52" s="1"/>
  <c r="L2219" i="52"/>
  <c r="M2219" i="52" s="1"/>
  <c r="N2219" i="52" s="1"/>
  <c r="J2390" i="52"/>
  <c r="L2390" i="52" s="1"/>
  <c r="M2390" i="52" s="1"/>
  <c r="N2390" i="52" s="1"/>
  <c r="L2389" i="52"/>
  <c r="M2389" i="52" s="1"/>
  <c r="N2389" i="52" s="1"/>
  <c r="J2416" i="52"/>
  <c r="L2416" i="52" s="1"/>
  <c r="M2416" i="52" s="1"/>
  <c r="N2416" i="52" s="1"/>
  <c r="L2415" i="52"/>
  <c r="M2415" i="52" s="1"/>
  <c r="N2415" i="52" s="1"/>
  <c r="J2437" i="52"/>
  <c r="L2437" i="52" s="1"/>
  <c r="M2437" i="52" s="1"/>
  <c r="N2437" i="52" s="1"/>
  <c r="L2436" i="52"/>
  <c r="M2436" i="52" s="1"/>
  <c r="N2436" i="52" s="1"/>
  <c r="J2542" i="52"/>
  <c r="J2543" i="52" s="1"/>
  <c r="L2543" i="52" s="1"/>
  <c r="M2543" i="52" s="1"/>
  <c r="N2543" i="52" s="1"/>
  <c r="L2541" i="52"/>
  <c r="M2541" i="52" s="1"/>
  <c r="N2541" i="52" s="1"/>
  <c r="L2157" i="52"/>
  <c r="M2157" i="52" s="1"/>
  <c r="N2157" i="52" s="1"/>
  <c r="L2234" i="52"/>
  <c r="M2234" i="52" s="1"/>
  <c r="N2234" i="52" s="1"/>
  <c r="J2259" i="52"/>
  <c r="J2260" i="52" s="1"/>
  <c r="L2259" i="52"/>
  <c r="M2259" i="52" s="1"/>
  <c r="N2259" i="52" s="1"/>
  <c r="L2352" i="52"/>
  <c r="M2352" i="52" s="1"/>
  <c r="N2352" i="52" s="1"/>
  <c r="L2398" i="52"/>
  <c r="M2398" i="52" s="1"/>
  <c r="N2398" i="52" s="1"/>
  <c r="L2514" i="52"/>
  <c r="M2514" i="52" s="1"/>
  <c r="N2514" i="52" s="1"/>
  <c r="L2592" i="52"/>
  <c r="M2592" i="52" s="1"/>
  <c r="N2592" i="52" s="1"/>
  <c r="L2209" i="52"/>
  <c r="M2209" i="52" s="1"/>
  <c r="N2209" i="52" s="1"/>
  <c r="L2337" i="52"/>
  <c r="M2337" i="52" s="1"/>
  <c r="N2337" i="52" s="1"/>
  <c r="J2600" i="52"/>
  <c r="L2600" i="52" s="1"/>
  <c r="M2600" i="52" s="1"/>
  <c r="N2600" i="52" s="1"/>
  <c r="L2599" i="52"/>
  <c r="M2599" i="52" s="1"/>
  <c r="N2599" i="52" s="1"/>
  <c r="L2074" i="52"/>
  <c r="M2074" i="52" s="1"/>
  <c r="N2074" i="52" s="1"/>
  <c r="L2153" i="52"/>
  <c r="M2153" i="52" s="1"/>
  <c r="N2153" i="52" s="1"/>
  <c r="L2220" i="52"/>
  <c r="M2220" i="52" s="1"/>
  <c r="N2220" i="52" s="1"/>
  <c r="L2235" i="52"/>
  <c r="M2235" i="52" s="1"/>
  <c r="N2235" i="52" s="1"/>
  <c r="L2431" i="52"/>
  <c r="M2431" i="52" s="1"/>
  <c r="N2431" i="52" s="1"/>
  <c r="J2499" i="52"/>
  <c r="J2500" i="52" s="1"/>
  <c r="L2500" i="52" s="1"/>
  <c r="M2500" i="52" s="1"/>
  <c r="N2500" i="52" s="1"/>
  <c r="L2609" i="52"/>
  <c r="M2609" i="52" s="1"/>
  <c r="N2609" i="52" s="1"/>
  <c r="L2634" i="52"/>
  <c r="M2634" i="52" s="1"/>
  <c r="N2634" i="52" s="1"/>
  <c r="J2635" i="52"/>
  <c r="L2635" i="52" s="1"/>
  <c r="M2635" i="52" s="1"/>
  <c r="N2635" i="52" s="1"/>
  <c r="L2584" i="52"/>
  <c r="M2584" i="52" s="1"/>
  <c r="N2584" i="52" s="1"/>
  <c r="L2593" i="52"/>
  <c r="M2593" i="52" s="1"/>
  <c r="N2593" i="52" s="1"/>
  <c r="I2694" i="52"/>
  <c r="J2694" i="52" s="1"/>
  <c r="P2699" i="52"/>
  <c r="I2714" i="52"/>
  <c r="L2610" i="52"/>
  <c r="M2610" i="52" s="1"/>
  <c r="N2610" i="52" s="1"/>
  <c r="L2622" i="52"/>
  <c r="M2622" i="52" s="1"/>
  <c r="N2622" i="52" s="1"/>
  <c r="L2647" i="52"/>
  <c r="M2647" i="52" s="1"/>
  <c r="N2647" i="52" s="1"/>
  <c r="L2659" i="52"/>
  <c r="M2659" i="52" s="1"/>
  <c r="N2659" i="52" s="1"/>
  <c r="L2673" i="52"/>
  <c r="M2673" i="52" s="1"/>
  <c r="N2673" i="52" s="1"/>
  <c r="J3480" i="52"/>
  <c r="L3480" i="52" s="1"/>
  <c r="M3480" i="52" s="1"/>
  <c r="L3479" i="52"/>
  <c r="M3479" i="52" s="1"/>
  <c r="L3512" i="52"/>
  <c r="M3512" i="52" s="1"/>
  <c r="J3513" i="52"/>
  <c r="L3513" i="52" s="1"/>
  <c r="M3513" i="52" s="1"/>
  <c r="P3512" i="52"/>
  <c r="P3513" i="52" s="1"/>
  <c r="J3363" i="52"/>
  <c r="L3363" i="52" s="1"/>
  <c r="M3363" i="52" s="1"/>
  <c r="L3362" i="52"/>
  <c r="M3362" i="52" s="1"/>
  <c r="L3402" i="52"/>
  <c r="M3402" i="52" s="1"/>
  <c r="J3403" i="52"/>
  <c r="L3403" i="52" s="1"/>
  <c r="M3403" i="52" s="1"/>
  <c r="P3403" i="52"/>
  <c r="L3444" i="52"/>
  <c r="M3444" i="52" s="1"/>
  <c r="J3445" i="52"/>
  <c r="L3445" i="52" s="1"/>
  <c r="M3445" i="52" s="1"/>
  <c r="J3486" i="52"/>
  <c r="L3486" i="52" s="1"/>
  <c r="M3486" i="52" s="1"/>
  <c r="L3485" i="52"/>
  <c r="M3485" i="52" s="1"/>
  <c r="L2630" i="52"/>
  <c r="M2630" i="52" s="1"/>
  <c r="N2630" i="52" s="1"/>
  <c r="L2651" i="52"/>
  <c r="M2651" i="52" s="1"/>
  <c r="N2651" i="52" s="1"/>
  <c r="L2663" i="52"/>
  <c r="M2663" i="52" s="1"/>
  <c r="N2663" i="52" s="1"/>
  <c r="L3407" i="52"/>
  <c r="M3407" i="52" s="1"/>
  <c r="L3525" i="52"/>
  <c r="M3525" i="52" s="1"/>
  <c r="J3555" i="52"/>
  <c r="L3555" i="52" s="1"/>
  <c r="M3555" i="52" s="1"/>
  <c r="L3553" i="52"/>
  <c r="M3553" i="52" s="1"/>
  <c r="J3609" i="52"/>
  <c r="L3609" i="52" s="1"/>
  <c r="M3609" i="52" s="1"/>
  <c r="L3608" i="52"/>
  <c r="M3608" i="52" s="1"/>
  <c r="P3376" i="52"/>
  <c r="J3377" i="52"/>
  <c r="P3377" i="52" s="1"/>
  <c r="L3376" i="52"/>
  <c r="M3376" i="52" s="1"/>
  <c r="J3437" i="52"/>
  <c r="J3438" i="52" s="1"/>
  <c r="L3438" i="52" s="1"/>
  <c r="M3438" i="52" s="1"/>
  <c r="J3483" i="52"/>
  <c r="L3483" i="52" s="1"/>
  <c r="M3483" i="52" s="1"/>
  <c r="L3482" i="52"/>
  <c r="M3482" i="52" s="1"/>
  <c r="J3489" i="52"/>
  <c r="L3489" i="52" s="1"/>
  <c r="M3489" i="52" s="1"/>
  <c r="L3488" i="52"/>
  <c r="M3488" i="52" s="1"/>
  <c r="L3824" i="52"/>
  <c r="M3824" i="52" s="1"/>
  <c r="T3817" i="52"/>
  <c r="T3818" i="52" s="1"/>
  <c r="J3825" i="52"/>
  <c r="L3825" i="52" s="1"/>
  <c r="M3825" i="52" s="1"/>
  <c r="J3450" i="52"/>
  <c r="L3450" i="52" s="1"/>
  <c r="M3450" i="52" s="1"/>
  <c r="J3541" i="52"/>
  <c r="L3541" i="52" s="1"/>
  <c r="M3541" i="52" s="1"/>
  <c r="R4052" i="52"/>
  <c r="R4053" i="52" s="1"/>
  <c r="J4053" i="52"/>
  <c r="L4053" i="52" s="1"/>
  <c r="M4053" i="52" s="1"/>
  <c r="L4052" i="52"/>
  <c r="M4052" i="52" s="1"/>
  <c r="I4570" i="52"/>
  <c r="J4570" i="52" s="1"/>
  <c r="J4571" i="52" s="1"/>
  <c r="L4571" i="52" s="1"/>
  <c r="M4571" i="52" s="1"/>
  <c r="J3726" i="52"/>
  <c r="L3726" i="52" s="1"/>
  <c r="M3726" i="52" s="1"/>
  <c r="J3742" i="52"/>
  <c r="J3746" i="52" s="1"/>
  <c r="L3746" i="52" s="1"/>
  <c r="L3757" i="52"/>
  <c r="M3757" i="52" s="1"/>
  <c r="Q3812" i="52"/>
  <c r="J3959" i="52"/>
  <c r="J3960" i="52" s="1"/>
  <c r="L3960" i="52" s="1"/>
  <c r="M3960" i="52" s="1"/>
  <c r="H4237" i="52"/>
  <c r="I4237" i="52" s="1"/>
  <c r="P4874" i="52"/>
  <c r="P4875" i="52" s="1"/>
  <c r="J4874" i="52"/>
  <c r="L4874" i="52" s="1"/>
  <c r="M4874" i="52" s="1"/>
  <c r="L4873" i="52"/>
  <c r="M4873" i="52" s="1"/>
  <c r="I2681" i="52"/>
  <c r="J2681" i="52" s="1"/>
  <c r="F2688" i="52"/>
  <c r="I2688" i="52" s="1"/>
  <c r="J2689" i="52" s="1"/>
  <c r="H3580" i="52"/>
  <c r="I3580" i="52" s="1"/>
  <c r="H3584" i="52"/>
  <c r="I3584" i="52" s="1"/>
  <c r="H3588" i="52"/>
  <c r="I3588" i="52" s="1"/>
  <c r="H3592" i="52"/>
  <c r="I3592" i="52" s="1"/>
  <c r="F3676" i="52"/>
  <c r="I3676" i="52" s="1"/>
  <c r="J3677" i="52" s="1"/>
  <c r="I3669" i="52"/>
  <c r="J3670" i="52" s="1"/>
  <c r="G3677" i="52"/>
  <c r="I3677" i="52" s="1"/>
  <c r="J3681" i="52"/>
  <c r="L3681" i="52" s="1"/>
  <c r="M3681" i="52" s="1"/>
  <c r="L3742" i="52"/>
  <c r="J3764" i="52"/>
  <c r="L3764" i="52" s="1"/>
  <c r="M3764" i="52" s="1"/>
  <c r="Q3764" i="52" s="1"/>
  <c r="I3769" i="52"/>
  <c r="J3770" i="52" s="1"/>
  <c r="G3770" i="52"/>
  <c r="I3770" i="52" s="1"/>
  <c r="L3829" i="52"/>
  <c r="M3829" i="52" s="1"/>
  <c r="J3830" i="52"/>
  <c r="L3830" i="52" s="1"/>
  <c r="M3830" i="52" s="1"/>
  <c r="J4252" i="52"/>
  <c r="J4253" i="52" s="1"/>
  <c r="L4253" i="52" s="1"/>
  <c r="M4253" i="52" s="1"/>
  <c r="I4578" i="52"/>
  <c r="J4578" i="52" s="1"/>
  <c r="L4403" i="52"/>
  <c r="M4403" i="52" s="1"/>
  <c r="J4404" i="52"/>
  <c r="L4404" i="52" s="1"/>
  <c r="M4404" i="52" s="1"/>
  <c r="P4613" i="52"/>
  <c r="P4614" i="52" s="1"/>
  <c r="L4613" i="52"/>
  <c r="M4613" i="52" s="1"/>
  <c r="J4614" i="52"/>
  <c r="L4614" i="52" s="1"/>
  <c r="M4614" i="52" s="1"/>
  <c r="P3641" i="52"/>
  <c r="J3706" i="52"/>
  <c r="L3706" i="52" s="1"/>
  <c r="M3706" i="52" s="1"/>
  <c r="J3853" i="52"/>
  <c r="J3854" i="52" s="1"/>
  <c r="L3854" i="52" s="1"/>
  <c r="M3854" i="52" s="1"/>
  <c r="L4450" i="52"/>
  <c r="M4450" i="52" s="1"/>
  <c r="I4586" i="52"/>
  <c r="J4586" i="52" s="1"/>
  <c r="J4451" i="52"/>
  <c r="L4451" i="52" s="1"/>
  <c r="M4451" i="52" s="1"/>
  <c r="L4563" i="52"/>
  <c r="M4563" i="52" s="1"/>
  <c r="J4564" i="52"/>
  <c r="L4564" i="52" s="1"/>
  <c r="M4564" i="52" s="1"/>
  <c r="F3982" i="52"/>
  <c r="I3982" i="52" s="1"/>
  <c r="J3982" i="52" s="1"/>
  <c r="F3993" i="52"/>
  <c r="J4058" i="52"/>
  <c r="J4138" i="52"/>
  <c r="L4155" i="52"/>
  <c r="M4155" i="52" s="1"/>
  <c r="L4168" i="52"/>
  <c r="M4168" i="52" s="1"/>
  <c r="J4200" i="52"/>
  <c r="J4201" i="52" s="1"/>
  <c r="L4201" i="52" s="1"/>
  <c r="H4256" i="52"/>
  <c r="J4459" i="52"/>
  <c r="H4474" i="52"/>
  <c r="I4473" i="52"/>
  <c r="J4511" i="52"/>
  <c r="L4511" i="52" s="1"/>
  <c r="M4511" i="52" s="1"/>
  <c r="L4510" i="52"/>
  <c r="M4510" i="52" s="1"/>
  <c r="L4599" i="52"/>
  <c r="M4599" i="52" s="1"/>
  <c r="J4600" i="52"/>
  <c r="L4600" i="52" s="1"/>
  <c r="M4600" i="52" s="1"/>
  <c r="L4806" i="52"/>
  <c r="M4806" i="52" s="1"/>
  <c r="J4807" i="52"/>
  <c r="L4807" i="52" s="1"/>
  <c r="M4807" i="52" s="1"/>
  <c r="F5001" i="52"/>
  <c r="I5001" i="52" s="1"/>
  <c r="I3923" i="52"/>
  <c r="J3933" i="52" s="1"/>
  <c r="H4067" i="52"/>
  <c r="I4067" i="52" s="1"/>
  <c r="I4066" i="52"/>
  <c r="F4213" i="52"/>
  <c r="F4209" i="52"/>
  <c r="I4209" i="52" s="1"/>
  <c r="I4192" i="52"/>
  <c r="I4227" i="52"/>
  <c r="J4232" i="52" s="1"/>
  <c r="L4269" i="52"/>
  <c r="M4269" i="52" s="1"/>
  <c r="J4549" i="52"/>
  <c r="L4549" i="52" s="1"/>
  <c r="M4549" i="52" s="1"/>
  <c r="L4548" i="52"/>
  <c r="M4548" i="52" s="1"/>
  <c r="L4603" i="52"/>
  <c r="M4603" i="52" s="1"/>
  <c r="F4652" i="52"/>
  <c r="I4652" i="52" s="1"/>
  <c r="J4652" i="52" s="1"/>
  <c r="L4818" i="52"/>
  <c r="M4818" i="52" s="1"/>
  <c r="J4819" i="52"/>
  <c r="L4819" i="52" s="1"/>
  <c r="M4819" i="52" s="1"/>
  <c r="L4842" i="52"/>
  <c r="M4842" i="52" s="1"/>
  <c r="J4843" i="52"/>
  <c r="L4843" i="52" s="1"/>
  <c r="M4843" i="52" s="1"/>
  <c r="J4902" i="52"/>
  <c r="L4902" i="52" s="1"/>
  <c r="M4902" i="52" s="1"/>
  <c r="L4901" i="52"/>
  <c r="M4901" i="52" s="1"/>
  <c r="M4993" i="52"/>
  <c r="F5016" i="52"/>
  <c r="J5016" i="52" s="1"/>
  <c r="L4017" i="52"/>
  <c r="M4017" i="52" s="1"/>
  <c r="H4074" i="52"/>
  <c r="I4074" i="52" s="1"/>
  <c r="J4175" i="52"/>
  <c r="L4332" i="52"/>
  <c r="M4332" i="52" s="1"/>
  <c r="J4353" i="52"/>
  <c r="J4412" i="52"/>
  <c r="J4413" i="52" s="1"/>
  <c r="L4413" i="52" s="1"/>
  <c r="M4413" i="52" s="1"/>
  <c r="J4537" i="52"/>
  <c r="L4537" i="52" s="1"/>
  <c r="M4537" i="52" s="1"/>
  <c r="J4649" i="52"/>
  <c r="L4649" i="52" s="1"/>
  <c r="M4649" i="52" s="1"/>
  <c r="L4648" i="52"/>
  <c r="M4648" i="52" s="1"/>
  <c r="J4890" i="52"/>
  <c r="L4890" i="52" s="1"/>
  <c r="M4890" i="52" s="1"/>
  <c r="J4026" i="52"/>
  <c r="L4026" i="52" s="1"/>
  <c r="M4026" i="52" s="1"/>
  <c r="J4085" i="52"/>
  <c r="I4093" i="52"/>
  <c r="J4096" i="52" s="1"/>
  <c r="G4180" i="52"/>
  <c r="L4553" i="52"/>
  <c r="M4553" i="52" s="1"/>
  <c r="J4554" i="52"/>
  <c r="L4554" i="52" s="1"/>
  <c r="M4554" i="52" s="1"/>
  <c r="J4644" i="52"/>
  <c r="L4644" i="52" s="1"/>
  <c r="M4644" i="52" s="1"/>
  <c r="L4643" i="52"/>
  <c r="M4643" i="52" s="1"/>
  <c r="J4838" i="52"/>
  <c r="J4883" i="52"/>
  <c r="E4238" i="52"/>
  <c r="J4483" i="52"/>
  <c r="L4515" i="52"/>
  <c r="M4515" i="52" s="1"/>
  <c r="S4516" i="52" s="1"/>
  <c r="J4787" i="52"/>
  <c r="L4897" i="52"/>
  <c r="M4897" i="52" s="1"/>
  <c r="J4898" i="52"/>
  <c r="L4898" i="52" s="1"/>
  <c r="M4898" i="52" s="1"/>
  <c r="Q4628" i="52"/>
  <c r="J4852" i="52"/>
  <c r="L4852" i="52" s="1"/>
  <c r="M4852" i="52" s="1"/>
  <c r="L4851" i="52"/>
  <c r="M4851" i="52" s="1"/>
  <c r="J4908" i="52"/>
  <c r="J4920" i="52"/>
  <c r="F5003" i="52"/>
  <c r="G5011" i="52" s="1"/>
  <c r="I4996" i="52"/>
  <c r="F5006" i="52"/>
  <c r="F28" i="32"/>
  <c r="L3576" i="52" l="1"/>
  <c r="M3576" i="52" s="1"/>
  <c r="J3577" i="52"/>
  <c r="L3577" i="52" s="1"/>
  <c r="M3577" i="52" s="1"/>
  <c r="P4783" i="52"/>
  <c r="P4784" i="52" s="1"/>
  <c r="J4784" i="52"/>
  <c r="L4784" i="52" s="1"/>
  <c r="M4784" i="52" s="1"/>
  <c r="L4783" i="52"/>
  <c r="M4783" i="52" s="1"/>
  <c r="L671" i="52"/>
  <c r="M671" i="52" s="1"/>
  <c r="N671" i="52" s="1"/>
  <c r="Q844" i="52"/>
  <c r="J828" i="52"/>
  <c r="L828" i="52" s="1"/>
  <c r="M828" i="52" s="1"/>
  <c r="N828" i="52" s="1"/>
  <c r="P828" i="52" s="1"/>
  <c r="L4570" i="52"/>
  <c r="M4570" i="52" s="1"/>
  <c r="J4831" i="52"/>
  <c r="L4831" i="52" s="1"/>
  <c r="M4831" i="52" s="1"/>
  <c r="I4995" i="52"/>
  <c r="L3971" i="52"/>
  <c r="M3971" i="52" s="1"/>
  <c r="J3594" i="52"/>
  <c r="Q3825" i="52"/>
  <c r="L2097" i="52"/>
  <c r="M2097" i="52" s="1"/>
  <c r="N2097" i="52" s="1"/>
  <c r="L1292" i="52"/>
  <c r="M1292" i="52" s="1"/>
  <c r="N1292" i="52" s="1"/>
  <c r="L2129" i="52"/>
  <c r="M2129" i="52" s="1"/>
  <c r="N2129" i="52" s="1"/>
  <c r="L1291" i="52"/>
  <c r="M1291" i="52" s="1"/>
  <c r="N1291" i="52" s="1"/>
  <c r="J752" i="52"/>
  <c r="L3423" i="52"/>
  <c r="M3423" i="52" s="1"/>
  <c r="L3557" i="52"/>
  <c r="M3557" i="52" s="1"/>
  <c r="J2657" i="52"/>
  <c r="L2657" i="52" s="1"/>
  <c r="M2657" i="52" s="1"/>
  <c r="N2657" i="52" s="1"/>
  <c r="L2656" i="52"/>
  <c r="M2656" i="52" s="1"/>
  <c r="N2656" i="52" s="1"/>
  <c r="J2670" i="52"/>
  <c r="L2670" i="52" s="1"/>
  <c r="M2670" i="52" s="1"/>
  <c r="N2670" i="52" s="1"/>
  <c r="L2669" i="52"/>
  <c r="M2669" i="52" s="1"/>
  <c r="N2669" i="52" s="1"/>
  <c r="F2707" i="52"/>
  <c r="F2722" i="52"/>
  <c r="I2704" i="52"/>
  <c r="J2704" i="52" s="1"/>
  <c r="J3886" i="52"/>
  <c r="L3886" i="52" s="1"/>
  <c r="M3886" i="52" s="1"/>
  <c r="P3624" i="52"/>
  <c r="P3625" i="52" s="1"/>
  <c r="L2542" i="52"/>
  <c r="M2542" i="52" s="1"/>
  <c r="N2542" i="52" s="1"/>
  <c r="F1174" i="52"/>
  <c r="I1174" i="52" s="1"/>
  <c r="R1175" i="52" s="1"/>
  <c r="R1176" i="52" s="1"/>
  <c r="J865" i="52"/>
  <c r="L865" i="52" s="1"/>
  <c r="M865" i="52" s="1"/>
  <c r="N865" i="52" s="1"/>
  <c r="P865" i="52" s="1"/>
  <c r="L3763" i="52"/>
  <c r="M3763" i="52" s="1"/>
  <c r="L1422" i="52"/>
  <c r="M1422" i="52" s="1"/>
  <c r="N1422" i="52" s="1"/>
  <c r="L4469" i="52"/>
  <c r="M4469" i="52" s="1"/>
  <c r="J3625" i="52"/>
  <c r="L3625" i="52" s="1"/>
  <c r="M3625" i="52" s="1"/>
  <c r="Q3625" i="52" s="1"/>
  <c r="L1726" i="52"/>
  <c r="M1726" i="52" s="1"/>
  <c r="N1726" i="52" s="1"/>
  <c r="L1067" i="52"/>
  <c r="M1067" i="52" s="1"/>
  <c r="N1067" i="52" s="1"/>
  <c r="I5006" i="52"/>
  <c r="J5006" i="52" s="1"/>
  <c r="L5006" i="52" s="1"/>
  <c r="M5006" i="52" s="1"/>
  <c r="J895" i="52"/>
  <c r="J1003" i="52"/>
  <c r="L3933" i="52"/>
  <c r="M3933" i="52" s="1"/>
  <c r="J3934" i="52"/>
  <c r="L3934" i="52" s="1"/>
  <c r="M3934" i="52" s="1"/>
  <c r="J3983" i="52"/>
  <c r="L3983" i="52" s="1"/>
  <c r="M3983" i="52" s="1"/>
  <c r="L3982" i="52"/>
  <c r="M3982" i="52" s="1"/>
  <c r="J3678" i="52"/>
  <c r="L3678" i="52" s="1"/>
  <c r="M3678" i="52" s="1"/>
  <c r="L3677" i="52"/>
  <c r="M3677" i="52" s="1"/>
  <c r="P3677" i="52" s="1"/>
  <c r="P753" i="52"/>
  <c r="L752" i="52"/>
  <c r="M752" i="52" s="1"/>
  <c r="N752" i="52" s="1"/>
  <c r="J753" i="52"/>
  <c r="L753" i="52" s="1"/>
  <c r="M753" i="52" s="1"/>
  <c r="N753" i="52" s="1"/>
  <c r="J1698" i="52"/>
  <c r="L1697" i="52"/>
  <c r="M1697" i="52" s="1"/>
  <c r="N1697" i="52" s="1"/>
  <c r="J1004" i="52"/>
  <c r="L1003" i="52"/>
  <c r="M1003" i="52" s="1"/>
  <c r="N1003" i="52" s="1"/>
  <c r="P1005" i="52"/>
  <c r="P1744" i="52"/>
  <c r="J1745" i="52"/>
  <c r="L1744" i="52"/>
  <c r="M1744" i="52" s="1"/>
  <c r="N1744" i="52" s="1"/>
  <c r="J1736" i="52"/>
  <c r="L1735" i="52"/>
  <c r="M1735" i="52" s="1"/>
  <c r="N1735" i="52" s="1"/>
  <c r="J4097" i="52"/>
  <c r="L4097" i="52" s="1"/>
  <c r="M4097" i="52" s="1"/>
  <c r="L4096" i="52"/>
  <c r="M4096" i="52" s="1"/>
  <c r="J4653" i="52"/>
  <c r="L4653" i="52" s="1"/>
  <c r="M4653" i="52" s="1"/>
  <c r="L4652" i="52"/>
  <c r="M4652" i="52" s="1"/>
  <c r="J3771" i="52"/>
  <c r="L3771" i="52" s="1"/>
  <c r="M3771" i="52" s="1"/>
  <c r="P3771" i="52" s="1"/>
  <c r="L3770" i="52"/>
  <c r="M3770" i="52" s="1"/>
  <c r="J4233" i="52"/>
  <c r="L4233" i="52" s="1"/>
  <c r="M4233" i="52" s="1"/>
  <c r="L4232" i="52"/>
  <c r="M4232" i="52" s="1"/>
  <c r="J1038" i="52"/>
  <c r="L1038" i="52" s="1"/>
  <c r="M1038" i="52" s="1"/>
  <c r="N1038" i="52" s="1"/>
  <c r="L1037" i="52"/>
  <c r="M1037" i="52" s="1"/>
  <c r="N1037" i="52" s="1"/>
  <c r="F4184" i="52"/>
  <c r="I4180" i="52"/>
  <c r="L5016" i="52"/>
  <c r="M5016" i="52" s="1"/>
  <c r="J3595" i="52"/>
  <c r="L3595" i="52" s="1"/>
  <c r="M3595" i="52" s="1"/>
  <c r="Q3595" i="52" s="1"/>
  <c r="L3594" i="52"/>
  <c r="M3594" i="52" s="1"/>
  <c r="P3594" i="52"/>
  <c r="P3595" i="52" s="1"/>
  <c r="J1718" i="52"/>
  <c r="L1718" i="52" s="1"/>
  <c r="M1718" i="52" s="1"/>
  <c r="N1718" i="52" s="1"/>
  <c r="L1717" i="52"/>
  <c r="M1717" i="52" s="1"/>
  <c r="N1717" i="52" s="1"/>
  <c r="I1935" i="52"/>
  <c r="F1940" i="52"/>
  <c r="I1940" i="52" s="1"/>
  <c r="L1373" i="52"/>
  <c r="M1373" i="52" s="1"/>
  <c r="N1373" i="52" s="1"/>
  <c r="J1374" i="52"/>
  <c r="L1374" i="52" s="1"/>
  <c r="M1374" i="52" s="1"/>
  <c r="N1374" i="52" s="1"/>
  <c r="J972" i="52"/>
  <c r="J896" i="52"/>
  <c r="L896" i="52" s="1"/>
  <c r="M896" i="52" s="1"/>
  <c r="N896" i="52" s="1"/>
  <c r="L895" i="52"/>
  <c r="M895" i="52" s="1"/>
  <c r="N895" i="52" s="1"/>
  <c r="J819" i="52"/>
  <c r="L818" i="52"/>
  <c r="M818" i="52" s="1"/>
  <c r="N818" i="52" s="1"/>
  <c r="J971" i="52"/>
  <c r="L971" i="52" s="1"/>
  <c r="M971" i="52" s="1"/>
  <c r="N971" i="52" s="1"/>
  <c r="L970" i="52"/>
  <c r="M970" i="52" s="1"/>
  <c r="N970" i="52" s="1"/>
  <c r="P929" i="52"/>
  <c r="J928" i="52"/>
  <c r="J4484" i="52"/>
  <c r="L4484" i="52" s="1"/>
  <c r="M4484" i="52" s="1"/>
  <c r="L4483" i="52"/>
  <c r="M4483" i="52" s="1"/>
  <c r="I3993" i="52"/>
  <c r="J4000" i="52" s="1"/>
  <c r="F4034" i="52"/>
  <c r="I4034" i="52" s="1"/>
  <c r="J4034" i="52" s="1"/>
  <c r="J4059" i="52"/>
  <c r="L4059" i="52" s="1"/>
  <c r="M4059" i="52" s="1"/>
  <c r="L4058" i="52"/>
  <c r="M4058" i="52" s="1"/>
  <c r="P3726" i="52"/>
  <c r="P3729" i="52" s="1"/>
  <c r="J3729" i="52"/>
  <c r="L3729" i="52" s="1"/>
  <c r="M3729" i="52" s="1"/>
  <c r="L3670" i="52"/>
  <c r="M3670" i="52" s="1"/>
  <c r="P3670" i="52" s="1"/>
  <c r="J3671" i="52"/>
  <c r="L3671" i="52" s="1"/>
  <c r="M3671" i="52" s="1"/>
  <c r="J1930" i="52"/>
  <c r="L1930" i="52" s="1"/>
  <c r="M1930" i="52" s="1"/>
  <c r="N1930" i="52" s="1"/>
  <c r="L1929" i="52"/>
  <c r="M1929" i="52" s="1"/>
  <c r="N1929" i="52" s="1"/>
  <c r="L1716" i="52"/>
  <c r="M1716" i="52" s="1"/>
  <c r="N1716" i="52" s="1"/>
  <c r="L1883" i="52"/>
  <c r="M1883" i="52" s="1"/>
  <c r="N1883" i="52" s="1"/>
  <c r="J1386" i="52"/>
  <c r="L1386" i="52" s="1"/>
  <c r="M1386" i="52" s="1"/>
  <c r="N1386" i="52" s="1"/>
  <c r="L1385" i="52"/>
  <c r="M1385" i="52" s="1"/>
  <c r="N1385" i="52" s="1"/>
  <c r="L1340" i="52"/>
  <c r="M1340" i="52" s="1"/>
  <c r="N1340" i="52" s="1"/>
  <c r="P1341" i="52"/>
  <c r="Q1341" i="52" s="1"/>
  <c r="L2096" i="52"/>
  <c r="M2096" i="52" s="1"/>
  <c r="N2096" i="52" s="1"/>
  <c r="J1642" i="52"/>
  <c r="L1642" i="52" s="1"/>
  <c r="M1642" i="52" s="1"/>
  <c r="N1642" i="52" s="1"/>
  <c r="P1642" i="52" s="1"/>
  <c r="Q1642" i="52" s="1"/>
  <c r="L1641" i="52"/>
  <c r="M1641" i="52" s="1"/>
  <c r="N1641" i="52" s="1"/>
  <c r="L1321" i="52"/>
  <c r="M1321" i="52" s="1"/>
  <c r="N1321" i="52" s="1"/>
  <c r="J1322" i="52"/>
  <c r="L1322" i="52" s="1"/>
  <c r="M1322" i="52" s="1"/>
  <c r="N1322" i="52" s="1"/>
  <c r="P1322" i="52" s="1"/>
  <c r="Q838" i="52"/>
  <c r="J837" i="52"/>
  <c r="J4909" i="52"/>
  <c r="L4909" i="52" s="1"/>
  <c r="M4909" i="52" s="1"/>
  <c r="L4908" i="52"/>
  <c r="M4908" i="52" s="1"/>
  <c r="L4838" i="52"/>
  <c r="M4838" i="52" s="1"/>
  <c r="J4839" i="52"/>
  <c r="L4839" i="52" s="1"/>
  <c r="M4839" i="52" s="1"/>
  <c r="J4139" i="52"/>
  <c r="L4139" i="52" s="1"/>
  <c r="M4139" i="52" s="1"/>
  <c r="L4138" i="52"/>
  <c r="M4138" i="52" s="1"/>
  <c r="J4579" i="52"/>
  <c r="L4579" i="52" s="1"/>
  <c r="M4579" i="52" s="1"/>
  <c r="L4578" i="52"/>
  <c r="M4578" i="52" s="1"/>
  <c r="J4354" i="52"/>
  <c r="L4354" i="52" s="1"/>
  <c r="M4354" i="52" s="1"/>
  <c r="L4353" i="52"/>
  <c r="M4353" i="52" s="1"/>
  <c r="J4921" i="52"/>
  <c r="L4921" i="52" s="1"/>
  <c r="M4921" i="52" s="1"/>
  <c r="P4920" i="52"/>
  <c r="L4920" i="52"/>
  <c r="M4920" i="52" s="1"/>
  <c r="L4787" i="52"/>
  <c r="M4787" i="52" s="1"/>
  <c r="J4788" i="52"/>
  <c r="L4788" i="52" s="1"/>
  <c r="M4788" i="52" s="1"/>
  <c r="J4998" i="52"/>
  <c r="H4475" i="52"/>
  <c r="I4475" i="52" s="1"/>
  <c r="I4474" i="52"/>
  <c r="J2690" i="52"/>
  <c r="L2690" i="52" s="1"/>
  <c r="M2690" i="52" s="1"/>
  <c r="N2690" i="52" s="1"/>
  <c r="P2689" i="52"/>
  <c r="Q2689" i="52" s="1"/>
  <c r="L4200" i="52"/>
  <c r="M4200" i="52" s="1"/>
  <c r="L3959" i="52"/>
  <c r="M3959" i="52" s="1"/>
  <c r="R3824" i="52"/>
  <c r="U3823" i="52"/>
  <c r="R3825" i="52"/>
  <c r="L3437" i="52"/>
  <c r="M3437" i="52" s="1"/>
  <c r="L3377" i="52"/>
  <c r="M3377" i="52" s="1"/>
  <c r="J2699" i="52"/>
  <c r="L2699" i="52" s="1"/>
  <c r="M2699" i="52" s="1"/>
  <c r="N2699" i="52" s="1"/>
  <c r="L2694" i="52"/>
  <c r="M2694" i="52" s="1"/>
  <c r="N2694" i="52" s="1"/>
  <c r="L2561" i="52"/>
  <c r="M2561" i="52" s="1"/>
  <c r="N2561" i="52" s="1"/>
  <c r="L2526" i="52"/>
  <c r="M2526" i="52" s="1"/>
  <c r="N2526" i="52" s="1"/>
  <c r="J2261" i="52"/>
  <c r="L2261" i="52" s="1"/>
  <c r="M2261" i="52" s="1"/>
  <c r="N2261" i="52" s="1"/>
  <c r="L2260" i="52"/>
  <c r="M2260" i="52" s="1"/>
  <c r="N2260" i="52" s="1"/>
  <c r="F1939" i="52"/>
  <c r="I1939" i="52" s="1"/>
  <c r="J1940" i="52" s="1"/>
  <c r="I1934" i="52"/>
  <c r="J1935" i="52" s="1"/>
  <c r="L2499" i="52"/>
  <c r="M2499" i="52" s="1"/>
  <c r="N2499" i="52" s="1"/>
  <c r="L1384" i="52"/>
  <c r="M1384" i="52" s="1"/>
  <c r="N1384" i="52" s="1"/>
  <c r="R942" i="52"/>
  <c r="R944" i="52" s="1"/>
  <c r="L548" i="52"/>
  <c r="M548" i="52" s="1"/>
  <c r="N548" i="52" s="1"/>
  <c r="L617" i="52"/>
  <c r="M617" i="52" s="1"/>
  <c r="N617" i="52" s="1"/>
  <c r="J618" i="52"/>
  <c r="L618" i="52" s="1"/>
  <c r="M618" i="52" s="1"/>
  <c r="N618" i="52" s="1"/>
  <c r="F4236" i="52"/>
  <c r="I4213" i="52"/>
  <c r="J4176" i="52"/>
  <c r="L4176" i="52" s="1"/>
  <c r="M4176" i="52" s="1"/>
  <c r="L4175" i="52"/>
  <c r="M4175" i="52" s="1"/>
  <c r="P4201" i="52"/>
  <c r="M4201" i="52"/>
  <c r="J4587" i="52"/>
  <c r="L4587" i="52" s="1"/>
  <c r="M4587" i="52" s="1"/>
  <c r="L4586" i="52"/>
  <c r="M4586" i="52" s="1"/>
  <c r="F5013" i="52"/>
  <c r="I5013" i="52" s="1"/>
  <c r="I5011" i="52"/>
  <c r="I5003" i="52"/>
  <c r="J5004" i="52" s="1"/>
  <c r="J4884" i="52"/>
  <c r="L4884" i="52" s="1"/>
  <c r="M4884" i="52" s="1"/>
  <c r="L4883" i="52"/>
  <c r="M4883" i="52" s="1"/>
  <c r="J4086" i="52"/>
  <c r="L4086" i="52" s="1"/>
  <c r="M4086" i="52" s="1"/>
  <c r="L4085" i="52"/>
  <c r="M4085" i="52" s="1"/>
  <c r="L4252" i="52"/>
  <c r="M4252" i="52" s="1"/>
  <c r="J4079" i="52"/>
  <c r="J4460" i="52"/>
  <c r="L4460" i="52" s="1"/>
  <c r="M4460" i="52" s="1"/>
  <c r="L4459" i="52"/>
  <c r="M4459" i="52" s="1"/>
  <c r="P3742" i="52"/>
  <c r="M3742" i="52"/>
  <c r="P2698" i="52"/>
  <c r="P2700" i="52" s="1"/>
  <c r="J2682" i="52"/>
  <c r="L2681" i="52"/>
  <c r="M2681" i="52" s="1"/>
  <c r="N2681" i="52" s="1"/>
  <c r="L3853" i="52"/>
  <c r="M3853" i="52" s="1"/>
  <c r="M3746" i="52"/>
  <c r="P3746" i="52"/>
  <c r="L4412" i="52"/>
  <c r="M4412" i="52" s="1"/>
  <c r="X3825" i="52"/>
  <c r="L2196" i="52"/>
  <c r="M2196" i="52" s="1"/>
  <c r="N2196" i="52" s="1"/>
  <c r="L1922" i="52"/>
  <c r="M1922" i="52" s="1"/>
  <c r="N1922" i="52" s="1"/>
  <c r="J2146" i="52"/>
  <c r="L2146" i="52" s="1"/>
  <c r="M2146" i="52" s="1"/>
  <c r="N2146" i="52" s="1"/>
  <c r="L2145" i="52"/>
  <c r="M2145" i="52" s="1"/>
  <c r="N2145" i="52" s="1"/>
  <c r="J1728" i="52"/>
  <c r="L1728" i="52" s="1"/>
  <c r="M1728" i="52" s="1"/>
  <c r="N1728" i="52" s="1"/>
  <c r="L1727" i="52"/>
  <c r="M1727" i="52" s="1"/>
  <c r="N1727" i="52" s="1"/>
  <c r="J2039" i="52"/>
  <c r="L2038" i="52"/>
  <c r="M2038" i="52" s="1"/>
  <c r="N2038" i="52" s="1"/>
  <c r="L1215" i="52"/>
  <c r="M1215" i="52" s="1"/>
  <c r="N1215" i="52" s="1"/>
  <c r="L1362" i="52"/>
  <c r="M1362" i="52" s="1"/>
  <c r="N1362" i="52" s="1"/>
  <c r="J1363" i="52"/>
  <c r="L1363" i="52" s="1"/>
  <c r="M1363" i="52" s="1"/>
  <c r="N1363" i="52" s="1"/>
  <c r="L1356" i="52"/>
  <c r="M1356" i="52" s="1"/>
  <c r="N1356" i="52" s="1"/>
  <c r="J1357" i="52"/>
  <c r="L1357" i="52" s="1"/>
  <c r="M1357" i="52" s="1"/>
  <c r="N1357" i="52" s="1"/>
  <c r="P864" i="52"/>
  <c r="R864" i="52" s="1"/>
  <c r="P844" i="52"/>
  <c r="J543" i="52"/>
  <c r="L543" i="52" s="1"/>
  <c r="M543" i="52" s="1"/>
  <c r="N543" i="52" s="1"/>
  <c r="P543" i="52" s="1"/>
  <c r="L542" i="52"/>
  <c r="M542" i="52" s="1"/>
  <c r="N542" i="52" s="1"/>
  <c r="J810" i="52"/>
  <c r="L810" i="52" s="1"/>
  <c r="M810" i="52" s="1"/>
  <c r="N810" i="52" s="1"/>
  <c r="P810" i="52" s="1"/>
  <c r="Q810" i="52" s="1"/>
  <c r="L809" i="52"/>
  <c r="M809" i="52" s="1"/>
  <c r="N809" i="52" s="1"/>
  <c r="J1345" i="52"/>
  <c r="L1345" i="52" s="1"/>
  <c r="M1345" i="52" s="1"/>
  <c r="N1345" i="52" s="1"/>
  <c r="L927" i="52"/>
  <c r="M927" i="52" s="1"/>
  <c r="N927" i="52" s="1"/>
  <c r="E31" i="32"/>
  <c r="R844" i="52" l="1"/>
  <c r="J4478" i="52"/>
  <c r="F5019" i="52"/>
  <c r="J5019" i="52" s="1"/>
  <c r="L5019" i="52" s="1"/>
  <c r="M5019" i="52" s="1"/>
  <c r="J2705" i="52"/>
  <c r="L2705" i="52" s="1"/>
  <c r="M2705" i="52" s="1"/>
  <c r="N2705" i="52" s="1"/>
  <c r="L2704" i="52"/>
  <c r="M2704" i="52" s="1"/>
  <c r="N2704" i="52" s="1"/>
  <c r="P2704" i="52"/>
  <c r="P2705" i="52" s="1"/>
  <c r="J1175" i="52"/>
  <c r="L1175" i="52" s="1"/>
  <c r="M1175" i="52" s="1"/>
  <c r="N1175" i="52" s="1"/>
  <c r="I2722" i="52"/>
  <c r="Q2722" i="52"/>
  <c r="F2723" i="52"/>
  <c r="F2709" i="52"/>
  <c r="I2707" i="52"/>
  <c r="J2707" i="52" s="1"/>
  <c r="F2713" i="52"/>
  <c r="J4479" i="52"/>
  <c r="L4479" i="52" s="1"/>
  <c r="M4479" i="52" s="1"/>
  <c r="L4478" i="52"/>
  <c r="M4478" i="52" s="1"/>
  <c r="L5004" i="52"/>
  <c r="M5004" i="52" s="1"/>
  <c r="F5018" i="52"/>
  <c r="J5018" i="52" s="1"/>
  <c r="L5018" i="52" s="1"/>
  <c r="M5018" i="52" s="1"/>
  <c r="J2040" i="52"/>
  <c r="L2040" i="52" s="1"/>
  <c r="M2040" i="52" s="1"/>
  <c r="N2040" i="52" s="1"/>
  <c r="P2040" i="52" s="1"/>
  <c r="L2039" i="52"/>
  <c r="M2039" i="52" s="1"/>
  <c r="N2039" i="52" s="1"/>
  <c r="J5013" i="52"/>
  <c r="J820" i="52"/>
  <c r="L820" i="52" s="1"/>
  <c r="M820" i="52" s="1"/>
  <c r="N820" i="52" s="1"/>
  <c r="P820" i="52" s="1"/>
  <c r="L819" i="52"/>
  <c r="M819" i="52" s="1"/>
  <c r="N819" i="52" s="1"/>
  <c r="J1216" i="52"/>
  <c r="F4188" i="52"/>
  <c r="I4184" i="52"/>
  <c r="J1746" i="52"/>
  <c r="L1746" i="52" s="1"/>
  <c r="M1746" i="52" s="1"/>
  <c r="N1746" i="52" s="1"/>
  <c r="L1745" i="52"/>
  <c r="M1745" i="52" s="1"/>
  <c r="N1745" i="52" s="1"/>
  <c r="J1005" i="52"/>
  <c r="L1005" i="52" s="1"/>
  <c r="M1005" i="52" s="1"/>
  <c r="N1005" i="52" s="1"/>
  <c r="L1004" i="52"/>
  <c r="M1004" i="52" s="1"/>
  <c r="N1004" i="52" s="1"/>
  <c r="J4080" i="52"/>
  <c r="L4080" i="52" s="1"/>
  <c r="M4080" i="52" s="1"/>
  <c r="L4079" i="52"/>
  <c r="M4079" i="52" s="1"/>
  <c r="F4256" i="52"/>
  <c r="I4256" i="52" s="1"/>
  <c r="I4236" i="52"/>
  <c r="J1936" i="52"/>
  <c r="L1936" i="52" s="1"/>
  <c r="M1936" i="52" s="1"/>
  <c r="N1936" i="52" s="1"/>
  <c r="L1935" i="52"/>
  <c r="M1935" i="52" s="1"/>
  <c r="N1935" i="52" s="1"/>
  <c r="J838" i="52"/>
  <c r="L838" i="52" s="1"/>
  <c r="M838" i="52" s="1"/>
  <c r="N838" i="52" s="1"/>
  <c r="P838" i="52" s="1"/>
  <c r="L837" i="52"/>
  <c r="M837" i="52" s="1"/>
  <c r="N837" i="52" s="1"/>
  <c r="P837" i="52" s="1"/>
  <c r="J1941" i="52"/>
  <c r="L1941" i="52" s="1"/>
  <c r="M1941" i="52" s="1"/>
  <c r="N1941" i="52" s="1"/>
  <c r="L1940" i="52"/>
  <c r="M1940" i="52" s="1"/>
  <c r="N1940" i="52" s="1"/>
  <c r="L4998" i="52"/>
  <c r="I5008" i="52"/>
  <c r="J5008" i="52" s="1"/>
  <c r="J4035" i="52"/>
  <c r="L4035" i="52" s="1"/>
  <c r="M4035" i="52" s="1"/>
  <c r="L4034" i="52"/>
  <c r="M4034" i="52" s="1"/>
  <c r="J1737" i="52"/>
  <c r="L1737" i="52" s="1"/>
  <c r="M1737" i="52" s="1"/>
  <c r="N1737" i="52" s="1"/>
  <c r="L1736" i="52"/>
  <c r="M1736" i="52" s="1"/>
  <c r="N1736" i="52" s="1"/>
  <c r="L1698" i="52"/>
  <c r="M1698" i="52" s="1"/>
  <c r="N1698" i="52" s="1"/>
  <c r="J1699" i="52"/>
  <c r="L1699" i="52" s="1"/>
  <c r="M1699" i="52" s="1"/>
  <c r="N1699" i="52" s="1"/>
  <c r="L2682" i="52"/>
  <c r="M2682" i="52" s="1"/>
  <c r="N2682" i="52" s="1"/>
  <c r="J2698" i="52"/>
  <c r="S3824" i="52"/>
  <c r="U3824" i="52" s="1"/>
  <c r="X3824" i="52"/>
  <c r="X3910" i="52" s="1"/>
  <c r="X3911" i="52" s="1"/>
  <c r="J4001" i="52"/>
  <c r="L4001" i="52" s="1"/>
  <c r="M4001" i="52" s="1"/>
  <c r="L4000" i="52"/>
  <c r="M4000" i="52" s="1"/>
  <c r="J929" i="52"/>
  <c r="L929" i="52" s="1"/>
  <c r="M929" i="52" s="1"/>
  <c r="N929" i="52" s="1"/>
  <c r="L928" i="52"/>
  <c r="M928" i="52" s="1"/>
  <c r="N928" i="52" s="1"/>
  <c r="J973" i="52"/>
  <c r="L973" i="52" s="1"/>
  <c r="M973" i="52" s="1"/>
  <c r="N973" i="52" s="1"/>
  <c r="L972" i="52"/>
  <c r="M972" i="52" s="1"/>
  <c r="N972" i="52" s="1"/>
  <c r="E56" i="49"/>
  <c r="E29" i="49"/>
  <c r="E321" i="27"/>
  <c r="E225" i="27"/>
  <c r="E227" i="27" s="1"/>
  <c r="E216" i="27"/>
  <c r="E218" i="27" s="1"/>
  <c r="E201" i="27"/>
  <c r="E203" i="27"/>
  <c r="E55" i="24"/>
  <c r="E49" i="24"/>
  <c r="E25" i="24"/>
  <c r="E23" i="24"/>
  <c r="O3" i="16"/>
  <c r="E43" i="49"/>
  <c r="E44" i="49" s="1"/>
  <c r="N83" i="30"/>
  <c r="R2725" i="52" l="1"/>
  <c r="Q2724" i="52"/>
  <c r="I2713" i="52"/>
  <c r="J2714" i="52" s="1"/>
  <c r="L2707" i="52"/>
  <c r="M2707" i="52" s="1"/>
  <c r="N2707" i="52" s="1"/>
  <c r="J2700" i="52"/>
  <c r="L2700" i="52" s="1"/>
  <c r="M2700" i="52" s="1"/>
  <c r="N2700" i="52" s="1"/>
  <c r="F2717" i="52"/>
  <c r="I2717" i="52" s="1"/>
  <c r="J2718" i="52" s="1"/>
  <c r="I2709" i="52"/>
  <c r="J2709" i="52" s="1"/>
  <c r="I2723" i="52"/>
  <c r="J2731" i="52" s="1"/>
  <c r="L2731" i="52" s="1"/>
  <c r="M2731" i="52" s="1"/>
  <c r="N2731" i="52" s="1"/>
  <c r="P2731" i="52" s="1"/>
  <c r="Q2723" i="52"/>
  <c r="L2698" i="52"/>
  <c r="M2698" i="52" s="1"/>
  <c r="N2698" i="52" s="1"/>
  <c r="J1218" i="52"/>
  <c r="L1218" i="52" s="1"/>
  <c r="M1218" i="52" s="1"/>
  <c r="N1218" i="52" s="1"/>
  <c r="L1216" i="52"/>
  <c r="M1216" i="52" s="1"/>
  <c r="N1216" i="52" s="1"/>
  <c r="F5020" i="52"/>
  <c r="J5020" i="52" s="1"/>
  <c r="L5020" i="52" s="1"/>
  <c r="M5020" i="52" s="1"/>
  <c r="L5008" i="52"/>
  <c r="M5008" i="52" s="1"/>
  <c r="M4998" i="52"/>
  <c r="F5017" i="52"/>
  <c r="J5017" i="52" s="1"/>
  <c r="I4188" i="52"/>
  <c r="J4188" i="52" s="1"/>
  <c r="F4193" i="52"/>
  <c r="F4212" i="52"/>
  <c r="L5013" i="52"/>
  <c r="M5013" i="52" s="1"/>
  <c r="F5021" i="52"/>
  <c r="J5021" i="52" s="1"/>
  <c r="L5021" i="52" s="1"/>
  <c r="M5021" i="52" s="1"/>
  <c r="E152" i="27"/>
  <c r="E148" i="27"/>
  <c r="E144" i="27"/>
  <c r="F139" i="27"/>
  <c r="J2719" i="52" l="1"/>
  <c r="L2719" i="52" s="1"/>
  <c r="M2719" i="52" s="1"/>
  <c r="N2719" i="52" s="1"/>
  <c r="L2718" i="52"/>
  <c r="M2718" i="52" s="1"/>
  <c r="N2718" i="52" s="1"/>
  <c r="L2714" i="52"/>
  <c r="M2714" i="52" s="1"/>
  <c r="N2714" i="52" s="1"/>
  <c r="J2715" i="52"/>
  <c r="L2715" i="52" s="1"/>
  <c r="M2715" i="52" s="1"/>
  <c r="N2715" i="52" s="1"/>
  <c r="L2709" i="52"/>
  <c r="M2709" i="52" s="1"/>
  <c r="N2709" i="52" s="1"/>
  <c r="I2733" i="52"/>
  <c r="I2734" i="52" s="1"/>
  <c r="J2702" i="52"/>
  <c r="L2702" i="52" s="1"/>
  <c r="M2702" i="52" s="1"/>
  <c r="N2702" i="52" s="1"/>
  <c r="L5017" i="52"/>
  <c r="M5017" i="52" s="1"/>
  <c r="J5023" i="52"/>
  <c r="L5023" i="52" s="1"/>
  <c r="M5023" i="52" s="1"/>
  <c r="J4189" i="52"/>
  <c r="L4189" i="52" s="1"/>
  <c r="M4189" i="52" s="1"/>
  <c r="L4188" i="52"/>
  <c r="M4188" i="52" s="1"/>
  <c r="F4235" i="52"/>
  <c r="I4212" i="52"/>
  <c r="J4222" i="52" s="1"/>
  <c r="I4193" i="52"/>
  <c r="J4193" i="52" s="1"/>
  <c r="F4208" i="52"/>
  <c r="I4208" i="52" s="1"/>
  <c r="J4209" i="52" s="1"/>
  <c r="L4209" i="52" s="1"/>
  <c r="M4209" i="52" s="1"/>
  <c r="D17" i="32"/>
  <c r="J4194" i="52" l="1"/>
  <c r="L4194" i="52" s="1"/>
  <c r="M4194" i="52" s="1"/>
  <c r="L4193" i="52"/>
  <c r="M4193" i="52" s="1"/>
  <c r="J4223" i="52"/>
  <c r="L4223" i="52" s="1"/>
  <c r="M4223" i="52" s="1"/>
  <c r="I4595" i="52"/>
  <c r="J4595" i="52" s="1"/>
  <c r="L4222" i="52"/>
  <c r="M4222" i="52" s="1"/>
  <c r="F4238" i="52"/>
  <c r="I4238" i="52" s="1"/>
  <c r="F4255" i="52"/>
  <c r="I4255" i="52" s="1"/>
  <c r="J4262" i="52" s="1"/>
  <c r="I4235" i="52"/>
  <c r="J4245" i="52" l="1"/>
  <c r="J4596" i="52"/>
  <c r="L4596" i="52" s="1"/>
  <c r="M4596" i="52" s="1"/>
  <c r="L4595" i="52"/>
  <c r="M4595" i="52" s="1"/>
  <c r="I4609" i="52"/>
  <c r="J4609" i="52" s="1"/>
  <c r="J4263" i="52"/>
  <c r="L4263" i="52" s="1"/>
  <c r="M4263" i="52" s="1"/>
  <c r="L4262" i="52"/>
  <c r="M4262" i="52" s="1"/>
  <c r="I4606" i="52" l="1"/>
  <c r="J4606" i="52" s="1"/>
  <c r="J4246" i="52"/>
  <c r="L4246" i="52" s="1"/>
  <c r="M4246" i="52" s="1"/>
  <c r="R4246" i="52" s="1"/>
  <c r="L4245" i="52"/>
  <c r="M4245" i="52" s="1"/>
  <c r="R4245" i="52" s="1"/>
  <c r="J4610" i="52"/>
  <c r="L4610" i="52" s="1"/>
  <c r="M4610" i="52" s="1"/>
  <c r="L4609" i="52"/>
  <c r="M4609" i="52" s="1"/>
  <c r="J4607" i="52" l="1"/>
  <c r="L4607" i="52" s="1"/>
  <c r="M4607" i="52" s="1"/>
  <c r="L4606" i="52"/>
  <c r="M4606" i="52" s="1"/>
  <c r="F337" i="27"/>
  <c r="M13" i="33" l="1"/>
  <c r="N13" i="33" s="1"/>
  <c r="O13" i="33" s="1"/>
  <c r="F132" i="27" l="1"/>
  <c r="O46" i="26" l="1"/>
  <c r="F57" i="24"/>
  <c r="F55" i="24"/>
  <c r="E53" i="24"/>
  <c r="F53" i="24" s="1"/>
  <c r="I45" i="24"/>
  <c r="P40" i="21"/>
  <c r="P41" i="21"/>
  <c r="Q40" i="21" l="1"/>
  <c r="A56" i="49" l="1"/>
  <c r="A50" i="49"/>
  <c r="A43" i="49"/>
  <c r="A44" i="49" s="1"/>
  <c r="F66" i="49"/>
  <c r="F67" i="49" s="1"/>
  <c r="E323" i="27" l="1"/>
  <c r="F323" i="27" s="1"/>
  <c r="G319" i="27"/>
  <c r="H311" i="27"/>
  <c r="J296" i="27"/>
  <c r="F88" i="27"/>
  <c r="F86" i="27"/>
  <c r="F80" i="27"/>
  <c r="F260" i="27" l="1"/>
  <c r="F258" i="27"/>
  <c r="F259" i="27"/>
  <c r="A38" i="26" l="1"/>
  <c r="L60" i="49" l="1"/>
  <c r="K60" i="49"/>
  <c r="M60" i="49" s="1"/>
  <c r="L59" i="49"/>
  <c r="K59" i="49"/>
  <c r="M59" i="49" s="1"/>
  <c r="E50" i="49"/>
  <c r="C11" i="49"/>
  <c r="F11" i="49" l="1"/>
  <c r="F63" i="50" l="1"/>
  <c r="F64" i="50" s="1"/>
  <c r="F66" i="50" s="1"/>
  <c r="C53" i="50" l="1"/>
  <c r="F237" i="30" l="1"/>
  <c r="F236" i="30"/>
  <c r="F235" i="30"/>
  <c r="F4958" i="52"/>
  <c r="M83" i="30"/>
  <c r="F4965" i="52" l="1"/>
  <c r="F230" i="30" l="1"/>
  <c r="F144" i="30"/>
  <c r="E51" i="49"/>
  <c r="F145" i="30" l="1"/>
  <c r="D4" i="32" l="1"/>
  <c r="D5" i="32"/>
  <c r="D7" i="32" l="1"/>
  <c r="O129" i="30"/>
  <c r="C55" i="50"/>
  <c r="F143" i="30"/>
  <c r="C49" i="50" l="1"/>
  <c r="F4950" i="52" l="1"/>
  <c r="A50" i="26"/>
  <c r="A53" i="26" s="1"/>
  <c r="A57" i="26" s="1"/>
  <c r="E55" i="50" l="1"/>
  <c r="F55" i="50" s="1"/>
  <c r="G19" i="24"/>
  <c r="H19" i="24" s="1"/>
  <c r="I19" i="24" s="1"/>
  <c r="E49" i="50" l="1"/>
  <c r="E53" i="50" s="1"/>
  <c r="F53" i="50" s="1"/>
  <c r="C23" i="24"/>
  <c r="F23" i="24" s="1"/>
  <c r="C25" i="24"/>
  <c r="F25" i="24" s="1"/>
  <c r="F49" i="50" l="1"/>
  <c r="G120" i="32"/>
  <c r="C119" i="32"/>
  <c r="F57" i="50" l="1"/>
  <c r="U8" i="16"/>
  <c r="H57" i="50" l="1"/>
  <c r="F60" i="50"/>
  <c r="A19" i="49" l="1"/>
  <c r="E10" i="32"/>
  <c r="E16" i="32" s="1"/>
  <c r="E17" i="32" s="1"/>
  <c r="E13" i="32"/>
  <c r="E14" i="32" s="1"/>
  <c r="F59" i="49"/>
  <c r="A59" i="49"/>
  <c r="E11" i="32" l="1"/>
  <c r="E19" i="32" s="1"/>
  <c r="A29" i="49"/>
  <c r="A51" i="49" s="1"/>
  <c r="A14" i="49"/>
  <c r="A7" i="49"/>
  <c r="A9" i="49" s="1"/>
  <c r="A11" i="49" s="1"/>
  <c r="G94" i="49"/>
  <c r="G93" i="49"/>
  <c r="D93" i="49"/>
  <c r="D94" i="49" s="1"/>
  <c r="I94" i="49" s="1"/>
  <c r="C14" i="49" l="1"/>
  <c r="F14" i="49" s="1"/>
  <c r="D99" i="49"/>
  <c r="D98" i="49"/>
  <c r="D97" i="49"/>
  <c r="B21" i="47"/>
  <c r="K62" i="24"/>
  <c r="L61" i="24" s="1"/>
  <c r="L62" i="24" s="1"/>
  <c r="L63" i="24" s="1"/>
  <c r="C17" i="49" l="1"/>
  <c r="F17" i="49" s="1"/>
  <c r="C7" i="49"/>
  <c r="K20" i="24"/>
  <c r="C9" i="49" l="1"/>
  <c r="F9" i="49" s="1"/>
  <c r="H7" i="49"/>
  <c r="I7" i="49" s="1"/>
  <c r="J7" i="49" s="1"/>
  <c r="F7" i="49"/>
  <c r="C51" i="49" l="1"/>
  <c r="F51" i="49" s="1"/>
  <c r="C62" i="24" l="1"/>
  <c r="C19" i="24"/>
  <c r="F17" i="33"/>
  <c r="F15" i="33"/>
  <c r="M1" i="32" l="1"/>
  <c r="N1" i="32" s="1"/>
  <c r="M7" i="32"/>
  <c r="C21" i="24"/>
  <c r="F21" i="24" s="1"/>
  <c r="C19" i="49"/>
  <c r="C22" i="49" s="1"/>
  <c r="C29" i="49"/>
  <c r="F29" i="49" s="1"/>
  <c r="C43" i="49"/>
  <c r="F43" i="49" s="1"/>
  <c r="C44" i="49"/>
  <c r="F44" i="49" s="1"/>
  <c r="C50" i="49"/>
  <c r="F50" i="49" s="1"/>
  <c r="K76" i="30" l="1"/>
  <c r="F76" i="30"/>
  <c r="O10" i="30" s="1"/>
  <c r="C56" i="49"/>
  <c r="F56" i="49" s="1"/>
  <c r="H87" i="32"/>
  <c r="H86" i="32"/>
  <c r="F19" i="49" l="1"/>
  <c r="F22" i="49"/>
  <c r="J234" i="38"/>
  <c r="J235" i="38"/>
  <c r="F61" i="49" l="1"/>
  <c r="G67" i="49" s="1"/>
  <c r="I15" i="33"/>
  <c r="G66" i="49" l="1"/>
  <c r="M61" i="49"/>
  <c r="H61" i="49"/>
  <c r="P15" i="16"/>
  <c r="P2" i="16"/>
  <c r="Q2" i="16" s="1"/>
  <c r="R2" i="16" s="1"/>
  <c r="S2" i="16" s="1"/>
  <c r="T2" i="16" s="1"/>
  <c r="U2" i="16" s="1"/>
  <c r="K15" i="33"/>
  <c r="F328" i="27" l="1"/>
  <c r="F302" i="27"/>
  <c r="L229" i="22"/>
  <c r="N42" i="16"/>
  <c r="O42" i="16" s="1"/>
  <c r="P42" i="16" s="1"/>
  <c r="E20" i="45" l="1"/>
  <c r="Q99" i="30"/>
  <c r="F234" i="38" l="1"/>
  <c r="I86" i="32"/>
  <c r="I87" i="32"/>
  <c r="M8" i="32"/>
  <c r="D76" i="47"/>
  <c r="E76" i="47" s="1"/>
  <c r="D75" i="47"/>
  <c r="E75" i="47" s="1"/>
  <c r="G67" i="47"/>
  <c r="C63" i="47"/>
  <c r="D62" i="47"/>
  <c r="E63" i="47" s="1"/>
  <c r="J20" i="47"/>
  <c r="H19" i="47"/>
  <c r="H21" i="47" s="1"/>
  <c r="G16" i="47"/>
  <c r="G8" i="47"/>
  <c r="F23" i="45"/>
  <c r="F20" i="45"/>
  <c r="F19" i="45"/>
  <c r="A18" i="45"/>
  <c r="A22" i="45" s="1"/>
  <c r="A25" i="45" s="1"/>
  <c r="M36" i="45"/>
  <c r="M40" i="45" s="1"/>
  <c r="F35" i="45"/>
  <c r="F34" i="45"/>
  <c r="L31" i="45"/>
  <c r="E35" i="45"/>
  <c r="E71" i="47" l="1"/>
  <c r="E67" i="47"/>
  <c r="E70" i="47"/>
  <c r="E72" i="47"/>
  <c r="E68" i="47"/>
  <c r="E69" i="47"/>
  <c r="G35" i="45"/>
  <c r="E34" i="45"/>
  <c r="E36" i="45" s="1"/>
  <c r="G36" i="45" s="1"/>
  <c r="E78" i="47" l="1"/>
  <c r="G70" i="47"/>
  <c r="I70" i="47" s="1"/>
  <c r="G34" i="45"/>
  <c r="G38" i="45" s="1"/>
  <c r="H38" i="45" s="1"/>
  <c r="A234" i="38" l="1"/>
  <c r="H72" i="38"/>
  <c r="I40" i="38"/>
  <c r="J40" i="38" s="1"/>
  <c r="K43" i="38"/>
  <c r="L43" i="38" s="1"/>
  <c r="L45" i="38" s="1"/>
  <c r="J32" i="38"/>
  <c r="H33" i="38"/>
  <c r="I33" i="38" s="1"/>
  <c r="L29" i="38"/>
  <c r="M29" i="38" s="1"/>
  <c r="H26" i="38"/>
  <c r="F21" i="38"/>
  <c r="E111" i="38"/>
  <c r="J103" i="38"/>
  <c r="K227" i="38"/>
  <c r="L227" i="38" s="1"/>
  <c r="M227" i="38" s="1"/>
  <c r="N227" i="38" s="1"/>
  <c r="E163" i="38"/>
  <c r="E142" i="38"/>
  <c r="E140" i="38"/>
  <c r="E138" i="38"/>
  <c r="I136" i="38"/>
  <c r="L104" i="38"/>
  <c r="L103" i="38"/>
  <c r="M103" i="38" s="1"/>
  <c r="I103" i="38"/>
  <c r="F25" i="38"/>
  <c r="F26" i="38"/>
  <c r="K15" i="32" l="1"/>
  <c r="K19" i="32" l="1"/>
  <c r="C94" i="38"/>
  <c r="F94" i="38" s="1"/>
  <c r="P7" i="19" l="1"/>
  <c r="Q7" i="19" s="1"/>
  <c r="F127" i="43"/>
  <c r="F128" i="43" s="1"/>
  <c r="G128" i="43" s="1"/>
  <c r="Y131" i="43"/>
  <c r="X131" i="43"/>
  <c r="W131" i="43"/>
  <c r="V131" i="43"/>
  <c r="U131" i="43"/>
  <c r="T131" i="43"/>
  <c r="S131" i="43"/>
  <c r="R131" i="43"/>
  <c r="Y128" i="43"/>
  <c r="X128" i="43"/>
  <c r="W128" i="43"/>
  <c r="V128" i="43"/>
  <c r="U128" i="43"/>
  <c r="T128" i="43"/>
  <c r="S128" i="43"/>
  <c r="K128" i="43"/>
  <c r="I128" i="43"/>
  <c r="Y127" i="43"/>
  <c r="Y130" i="43" s="1"/>
  <c r="X127" i="43"/>
  <c r="W127" i="43"/>
  <c r="W130" i="43" s="1"/>
  <c r="V127" i="43"/>
  <c r="U127" i="43"/>
  <c r="T127" i="43"/>
  <c r="S127" i="43"/>
  <c r="S130" i="43" s="1"/>
  <c r="K127" i="43"/>
  <c r="I127" i="43"/>
  <c r="G127" i="43"/>
  <c r="Y123" i="43"/>
  <c r="X123" i="43"/>
  <c r="W123" i="43"/>
  <c r="V123" i="43"/>
  <c r="U123" i="43"/>
  <c r="T123" i="43"/>
  <c r="S123" i="43"/>
  <c r="R123" i="43"/>
  <c r="Y119" i="43"/>
  <c r="Y122" i="43" s="1"/>
  <c r="X119" i="43"/>
  <c r="X122" i="43" s="1"/>
  <c r="W119" i="43"/>
  <c r="W122" i="43" s="1"/>
  <c r="W124" i="43" s="1"/>
  <c r="U119" i="43"/>
  <c r="U122" i="43" s="1"/>
  <c r="T119" i="43"/>
  <c r="T122" i="43" s="1"/>
  <c r="S119" i="43"/>
  <c r="S122" i="43" s="1"/>
  <c r="K119" i="43"/>
  <c r="I119" i="43"/>
  <c r="G119" i="43"/>
  <c r="Y115" i="43"/>
  <c r="X115" i="43"/>
  <c r="W115" i="43"/>
  <c r="V115" i="43"/>
  <c r="U115" i="43"/>
  <c r="T115" i="43"/>
  <c r="S115" i="43"/>
  <c r="R115" i="43"/>
  <c r="Y112" i="43"/>
  <c r="X112" i="43"/>
  <c r="W112" i="43"/>
  <c r="V112" i="43"/>
  <c r="U112" i="43"/>
  <c r="T112" i="43"/>
  <c r="S112" i="43"/>
  <c r="K112" i="43"/>
  <c r="I112" i="43"/>
  <c r="G112" i="43"/>
  <c r="Y111" i="43"/>
  <c r="X111" i="43"/>
  <c r="X114" i="43" s="1"/>
  <c r="W111" i="43"/>
  <c r="V111" i="43"/>
  <c r="U111" i="43"/>
  <c r="U114" i="43" s="1"/>
  <c r="T111" i="43"/>
  <c r="T114" i="43" s="1"/>
  <c r="S111" i="43"/>
  <c r="S114" i="43" s="1"/>
  <c r="K111" i="43"/>
  <c r="I111" i="43"/>
  <c r="G111" i="43"/>
  <c r="Y107" i="43"/>
  <c r="X107" i="43"/>
  <c r="W107" i="43"/>
  <c r="V107" i="43"/>
  <c r="U107" i="43"/>
  <c r="T107" i="43"/>
  <c r="S107" i="43"/>
  <c r="R107" i="43"/>
  <c r="Y104" i="43"/>
  <c r="X104" i="43"/>
  <c r="W104" i="43"/>
  <c r="U104" i="43"/>
  <c r="T104" i="43"/>
  <c r="S104" i="43"/>
  <c r="R104" i="43"/>
  <c r="K104" i="43"/>
  <c r="I104" i="43"/>
  <c r="G104" i="43"/>
  <c r="V104" i="43" s="1"/>
  <c r="Y103" i="43"/>
  <c r="Y106" i="43" s="1"/>
  <c r="X103" i="43"/>
  <c r="X106" i="43" s="1"/>
  <c r="W103" i="43"/>
  <c r="V103" i="43"/>
  <c r="U103" i="43"/>
  <c r="T103" i="43"/>
  <c r="S103" i="43"/>
  <c r="S106" i="43" s="1"/>
  <c r="K103" i="43"/>
  <c r="I103" i="43"/>
  <c r="G103" i="43"/>
  <c r="Y94" i="43"/>
  <c r="X94" i="43"/>
  <c r="W94" i="43"/>
  <c r="V94" i="43"/>
  <c r="U94" i="43"/>
  <c r="T94" i="43"/>
  <c r="S94" i="43"/>
  <c r="K94" i="43"/>
  <c r="I94" i="43"/>
  <c r="J94" i="43" s="1"/>
  <c r="R94" i="43" s="1"/>
  <c r="G94" i="43"/>
  <c r="Y98" i="43"/>
  <c r="X98" i="43"/>
  <c r="W98" i="43"/>
  <c r="V98" i="43"/>
  <c r="U98" i="43"/>
  <c r="T98" i="43"/>
  <c r="S98" i="43"/>
  <c r="R98" i="43"/>
  <c r="Y93" i="43"/>
  <c r="X93" i="43"/>
  <c r="W93" i="43"/>
  <c r="W97" i="43" s="1"/>
  <c r="U93" i="43"/>
  <c r="T93" i="43"/>
  <c r="S93" i="43"/>
  <c r="S97" i="43" s="1"/>
  <c r="K93" i="43"/>
  <c r="I93" i="43"/>
  <c r="G93" i="43"/>
  <c r="U130" i="43" l="1"/>
  <c r="J127" i="43"/>
  <c r="R127" i="43" s="1"/>
  <c r="T106" i="43"/>
  <c r="J111" i="43"/>
  <c r="R111" i="43" s="1"/>
  <c r="J128" i="43"/>
  <c r="R128" i="43" s="1"/>
  <c r="R130" i="43" s="1"/>
  <c r="R132" i="43" s="1"/>
  <c r="Y97" i="43"/>
  <c r="Y114" i="43"/>
  <c r="P8" i="19"/>
  <c r="T130" i="43"/>
  <c r="X130" i="43"/>
  <c r="X132" i="43" s="1"/>
  <c r="V130" i="43"/>
  <c r="V132" i="43" s="1"/>
  <c r="S132" i="43"/>
  <c r="W132" i="43"/>
  <c r="T132" i="43"/>
  <c r="U132" i="43"/>
  <c r="Y132" i="43"/>
  <c r="J119" i="43"/>
  <c r="V119" i="43" s="1"/>
  <c r="V122" i="43" s="1"/>
  <c r="V124" i="43" s="1"/>
  <c r="R119" i="43"/>
  <c r="R122" i="43" s="1"/>
  <c r="R124" i="43" s="1"/>
  <c r="W106" i="43"/>
  <c r="J103" i="43"/>
  <c r="R103" i="43" s="1"/>
  <c r="R106" i="43" s="1"/>
  <c r="R108" i="43" s="1"/>
  <c r="W114" i="43"/>
  <c r="S124" i="43"/>
  <c r="T124" i="43"/>
  <c r="X124" i="43"/>
  <c r="U124" i="43"/>
  <c r="Y124" i="43"/>
  <c r="S116" i="43"/>
  <c r="W116" i="43"/>
  <c r="V114" i="43"/>
  <c r="V116" i="43" s="1"/>
  <c r="J112" i="43"/>
  <c r="R112" i="43" s="1"/>
  <c r="R114" i="43" s="1"/>
  <c r="R116" i="43" s="1"/>
  <c r="X97" i="43"/>
  <c r="T116" i="43"/>
  <c r="X116" i="43"/>
  <c r="U116" i="43"/>
  <c r="Y116" i="43"/>
  <c r="U106" i="43"/>
  <c r="U108" i="43" s="1"/>
  <c r="S108" i="43"/>
  <c r="W108" i="43"/>
  <c r="T108" i="43"/>
  <c r="X108" i="43"/>
  <c r="V106" i="43"/>
  <c r="V108" i="43" s="1"/>
  <c r="Y108" i="43"/>
  <c r="U97" i="43"/>
  <c r="U99" i="43" s="1"/>
  <c r="T97" i="43"/>
  <c r="T99" i="43" s="1"/>
  <c r="J93" i="43"/>
  <c r="S99" i="43"/>
  <c r="W99" i="43"/>
  <c r="X99" i="43"/>
  <c r="Y99" i="43"/>
  <c r="J124" i="36"/>
  <c r="H128" i="36"/>
  <c r="H129" i="36" s="1"/>
  <c r="I129" i="36" s="1"/>
  <c r="C131" i="36"/>
  <c r="M83" i="43"/>
  <c r="I83" i="43" s="1"/>
  <c r="Y83" i="43"/>
  <c r="X83" i="43"/>
  <c r="W83" i="43"/>
  <c r="V83" i="43"/>
  <c r="T83" i="43"/>
  <c r="S83" i="43"/>
  <c r="R83" i="43"/>
  <c r="K83" i="43"/>
  <c r="G83" i="43"/>
  <c r="Y82" i="43"/>
  <c r="X82" i="43"/>
  <c r="W82" i="43"/>
  <c r="V82" i="43"/>
  <c r="T82" i="43"/>
  <c r="S82" i="43"/>
  <c r="R82" i="43"/>
  <c r="K82" i="43"/>
  <c r="I82" i="43"/>
  <c r="G82" i="43"/>
  <c r="Y86" i="43"/>
  <c r="X86" i="43"/>
  <c r="W86" i="43"/>
  <c r="V86" i="43"/>
  <c r="U86" i="43"/>
  <c r="T86" i="43"/>
  <c r="S86" i="43"/>
  <c r="R86" i="43"/>
  <c r="Y81" i="43"/>
  <c r="X81" i="43"/>
  <c r="W81" i="43"/>
  <c r="T81" i="43"/>
  <c r="S81" i="43"/>
  <c r="R81" i="43"/>
  <c r="K81" i="43"/>
  <c r="I81" i="43"/>
  <c r="G81" i="43"/>
  <c r="Y77" i="43"/>
  <c r="X77" i="43"/>
  <c r="W77" i="43"/>
  <c r="V77" i="43"/>
  <c r="U77" i="43"/>
  <c r="T77" i="43"/>
  <c r="S77" i="43"/>
  <c r="R77" i="43"/>
  <c r="Y74" i="43"/>
  <c r="X74" i="43"/>
  <c r="W74" i="43"/>
  <c r="U74" i="43"/>
  <c r="T74" i="43"/>
  <c r="S74" i="43"/>
  <c r="R74" i="43"/>
  <c r="K74" i="43"/>
  <c r="I74" i="43"/>
  <c r="G74" i="43"/>
  <c r="Y73" i="43"/>
  <c r="X73" i="43"/>
  <c r="W73" i="43"/>
  <c r="U73" i="43"/>
  <c r="T73" i="43"/>
  <c r="S73" i="43"/>
  <c r="R73" i="43"/>
  <c r="K73" i="43"/>
  <c r="I73" i="43"/>
  <c r="G73" i="43"/>
  <c r="Y64" i="43"/>
  <c r="X64" i="43"/>
  <c r="W64" i="43"/>
  <c r="V64" i="43"/>
  <c r="U64" i="43"/>
  <c r="S64" i="43"/>
  <c r="R64" i="43"/>
  <c r="K64" i="43"/>
  <c r="I64" i="43"/>
  <c r="G64" i="43"/>
  <c r="Y63" i="43"/>
  <c r="X63" i="43"/>
  <c r="W63" i="43"/>
  <c r="V63" i="43"/>
  <c r="U63" i="43"/>
  <c r="S63" i="43"/>
  <c r="R63" i="43"/>
  <c r="K63" i="43"/>
  <c r="I63" i="43"/>
  <c r="G63" i="43"/>
  <c r="Y62" i="43"/>
  <c r="X62" i="43"/>
  <c r="W62" i="43"/>
  <c r="V62" i="43"/>
  <c r="U62" i="43"/>
  <c r="S62" i="43"/>
  <c r="R62" i="43"/>
  <c r="K62" i="43"/>
  <c r="I62" i="43"/>
  <c r="G62" i="43"/>
  <c r="Y68" i="43"/>
  <c r="X68" i="43"/>
  <c r="W68" i="43"/>
  <c r="V68" i="43"/>
  <c r="U68" i="43"/>
  <c r="T68" i="43"/>
  <c r="S68" i="43"/>
  <c r="R68" i="43"/>
  <c r="Y61" i="43"/>
  <c r="X61" i="43"/>
  <c r="W61" i="43"/>
  <c r="U61" i="43"/>
  <c r="S61" i="43"/>
  <c r="R61" i="43"/>
  <c r="K61" i="43"/>
  <c r="I61" i="43"/>
  <c r="G61" i="43"/>
  <c r="M95" i="30"/>
  <c r="N231" i="30"/>
  <c r="O231" i="30" s="1"/>
  <c r="Z132" i="43" l="1"/>
  <c r="J4980" i="52" s="1"/>
  <c r="L4980" i="52" s="1"/>
  <c r="M4980" i="52" s="1"/>
  <c r="U76" i="43"/>
  <c r="X67" i="43"/>
  <c r="R76" i="43"/>
  <c r="W76" i="43"/>
  <c r="W78" i="43" s="1"/>
  <c r="X85" i="43"/>
  <c r="Z124" i="43"/>
  <c r="F4976" i="52" s="1"/>
  <c r="F4977" i="52" s="1"/>
  <c r="H4975" i="52" s="1"/>
  <c r="J4978" i="52" s="1"/>
  <c r="L4978" i="52" s="1"/>
  <c r="M4978" i="52" s="1"/>
  <c r="P4978" i="52" s="1"/>
  <c r="Z116" i="43"/>
  <c r="J4972" i="52" s="1"/>
  <c r="L4972" i="52" s="1"/>
  <c r="M4972" i="52" s="1"/>
  <c r="Z108" i="43"/>
  <c r="J4970" i="52" s="1"/>
  <c r="L4970" i="52" s="1"/>
  <c r="M4970" i="52" s="1"/>
  <c r="V93" i="43"/>
  <c r="V97" i="43" s="1"/>
  <c r="V99" i="43" s="1"/>
  <c r="R93" i="43"/>
  <c r="R97" i="43" s="1"/>
  <c r="R99" i="43" s="1"/>
  <c r="J83" i="43"/>
  <c r="U83" i="43" s="1"/>
  <c r="Y67" i="43"/>
  <c r="Y69" i="43" s="1"/>
  <c r="S76" i="43"/>
  <c r="S78" i="43" s="1"/>
  <c r="X76" i="43"/>
  <c r="X78" i="43" s="1"/>
  <c r="Y85" i="43"/>
  <c r="Y87" i="43" s="1"/>
  <c r="J64" i="43"/>
  <c r="T64" i="43" s="1"/>
  <c r="T85" i="43"/>
  <c r="T87" i="43" s="1"/>
  <c r="J82" i="43"/>
  <c r="U82" i="43" s="1"/>
  <c r="J73" i="43"/>
  <c r="V73" i="43" s="1"/>
  <c r="R78" i="43"/>
  <c r="S85" i="43"/>
  <c r="S87" i="43" s="1"/>
  <c r="W67" i="43"/>
  <c r="W69" i="43" s="1"/>
  <c r="J62" i="43"/>
  <c r="T62" i="43" s="1"/>
  <c r="T76" i="43"/>
  <c r="T78" i="43" s="1"/>
  <c r="Y76" i="43"/>
  <c r="Y78" i="43" s="1"/>
  <c r="J63" i="43"/>
  <c r="T63" i="43" s="1"/>
  <c r="J74" i="43"/>
  <c r="V74" i="43" s="1"/>
  <c r="W85" i="43"/>
  <c r="W87" i="43" s="1"/>
  <c r="R85" i="43"/>
  <c r="R87" i="43" s="1"/>
  <c r="J81" i="43"/>
  <c r="X87" i="43"/>
  <c r="U78" i="43"/>
  <c r="R67" i="43"/>
  <c r="R69" i="43" s="1"/>
  <c r="U67" i="43"/>
  <c r="U69" i="43" s="1"/>
  <c r="S67" i="43"/>
  <c r="S69" i="43" s="1"/>
  <c r="J61" i="43"/>
  <c r="X69" i="43"/>
  <c r="Y52" i="43"/>
  <c r="X52" i="43"/>
  <c r="W52" i="43"/>
  <c r="U52" i="43"/>
  <c r="T52" i="43"/>
  <c r="S52" i="43"/>
  <c r="R52" i="43"/>
  <c r="I52" i="43"/>
  <c r="G52" i="43"/>
  <c r="Y51" i="43"/>
  <c r="X51" i="43"/>
  <c r="W51" i="43"/>
  <c r="U51" i="43"/>
  <c r="T51" i="43"/>
  <c r="S51" i="43"/>
  <c r="R51" i="43"/>
  <c r="K51" i="43"/>
  <c r="I51" i="43"/>
  <c r="G51" i="43"/>
  <c r="G49" i="43"/>
  <c r="Y50" i="43"/>
  <c r="X50" i="43"/>
  <c r="W50" i="43"/>
  <c r="U50" i="43"/>
  <c r="T50" i="43"/>
  <c r="S50" i="43"/>
  <c r="R50" i="43"/>
  <c r="K50" i="43"/>
  <c r="I50" i="43"/>
  <c r="G50" i="43"/>
  <c r="Y49" i="43"/>
  <c r="X49" i="43"/>
  <c r="W49" i="43"/>
  <c r="U49" i="43"/>
  <c r="T49" i="43"/>
  <c r="S49" i="43"/>
  <c r="R49" i="43"/>
  <c r="K49" i="43"/>
  <c r="I49" i="43"/>
  <c r="Y56" i="43"/>
  <c r="X56" i="43"/>
  <c r="W56" i="43"/>
  <c r="V56" i="43"/>
  <c r="U56" i="43"/>
  <c r="T56" i="43"/>
  <c r="S56" i="43"/>
  <c r="R56" i="43"/>
  <c r="Y48" i="43"/>
  <c r="X48" i="43"/>
  <c r="W48" i="43"/>
  <c r="U48" i="43"/>
  <c r="T48" i="43"/>
  <c r="S48" i="43"/>
  <c r="R48" i="43"/>
  <c r="K48" i="43"/>
  <c r="K52" i="43" s="1"/>
  <c r="I48" i="43"/>
  <c r="G48" i="43"/>
  <c r="G39" i="43"/>
  <c r="I39" i="43"/>
  <c r="Y43" i="43"/>
  <c r="X43" i="43"/>
  <c r="W43" i="43"/>
  <c r="V43" i="43"/>
  <c r="U43" i="43"/>
  <c r="T43" i="43"/>
  <c r="S43" i="43"/>
  <c r="R43" i="43"/>
  <c r="Y40" i="43"/>
  <c r="X40" i="43"/>
  <c r="W40" i="43"/>
  <c r="U40" i="43"/>
  <c r="T40" i="43"/>
  <c r="S40" i="43"/>
  <c r="R40" i="43"/>
  <c r="K40" i="43"/>
  <c r="I40" i="43"/>
  <c r="G40" i="43"/>
  <c r="Y39" i="43"/>
  <c r="X39" i="43"/>
  <c r="W39" i="43"/>
  <c r="U39" i="43"/>
  <c r="T39" i="43"/>
  <c r="S39" i="43"/>
  <c r="R39" i="43"/>
  <c r="K39" i="43"/>
  <c r="Y32" i="43"/>
  <c r="X32" i="43"/>
  <c r="W32" i="43"/>
  <c r="U32" i="43"/>
  <c r="T32" i="43"/>
  <c r="S32" i="43"/>
  <c r="R32" i="43"/>
  <c r="K32" i="43"/>
  <c r="I32" i="43"/>
  <c r="G32" i="43"/>
  <c r="Y35" i="43"/>
  <c r="X35" i="43"/>
  <c r="W35" i="43"/>
  <c r="V35" i="43"/>
  <c r="U35" i="43"/>
  <c r="T35" i="43"/>
  <c r="S35" i="43"/>
  <c r="R35" i="43"/>
  <c r="Y31" i="43"/>
  <c r="X31" i="43"/>
  <c r="W31" i="43"/>
  <c r="U31" i="43"/>
  <c r="T31" i="43"/>
  <c r="S31" i="43"/>
  <c r="R31" i="43"/>
  <c r="K31" i="43"/>
  <c r="I31" i="43"/>
  <c r="G31" i="43"/>
  <c r="Y23" i="43"/>
  <c r="X23" i="43"/>
  <c r="W23" i="43"/>
  <c r="U23" i="43"/>
  <c r="T23" i="43"/>
  <c r="S23" i="43"/>
  <c r="R23" i="43"/>
  <c r="K23" i="43"/>
  <c r="I23" i="43"/>
  <c r="G23" i="43"/>
  <c r="Y26" i="43"/>
  <c r="X26" i="43"/>
  <c r="W26" i="43"/>
  <c r="V26" i="43"/>
  <c r="U26" i="43"/>
  <c r="T26" i="43"/>
  <c r="S26" i="43"/>
  <c r="R26" i="43"/>
  <c r="Y22" i="43"/>
  <c r="Y25" i="43" s="1"/>
  <c r="X22" i="43"/>
  <c r="W22" i="43"/>
  <c r="T22" i="43"/>
  <c r="S22" i="43"/>
  <c r="R22" i="43"/>
  <c r="K22" i="43"/>
  <c r="I22" i="43"/>
  <c r="G22" i="43"/>
  <c r="Y14" i="43"/>
  <c r="X14" i="43"/>
  <c r="W14" i="43"/>
  <c r="V14" i="43"/>
  <c r="T14" i="43"/>
  <c r="S14" i="43"/>
  <c r="R14" i="43"/>
  <c r="I14" i="43"/>
  <c r="G14" i="43"/>
  <c r="Y13" i="43"/>
  <c r="X13" i="43"/>
  <c r="W13" i="43"/>
  <c r="V13" i="43"/>
  <c r="T13" i="43"/>
  <c r="S13" i="43"/>
  <c r="R13" i="43"/>
  <c r="K13" i="43"/>
  <c r="I13" i="43"/>
  <c r="G13" i="43"/>
  <c r="Y12" i="43"/>
  <c r="X12" i="43"/>
  <c r="W12" i="43"/>
  <c r="V12" i="43"/>
  <c r="T12" i="43"/>
  <c r="S12" i="43"/>
  <c r="R12" i="43"/>
  <c r="K12" i="43"/>
  <c r="I12" i="43"/>
  <c r="G12" i="43"/>
  <c r="Y11" i="43"/>
  <c r="X11" i="43"/>
  <c r="W11" i="43"/>
  <c r="V11" i="43"/>
  <c r="T11" i="43"/>
  <c r="S11" i="43"/>
  <c r="R11" i="43"/>
  <c r="K11" i="43"/>
  <c r="I11" i="43"/>
  <c r="G11" i="43"/>
  <c r="I10" i="43"/>
  <c r="Y10" i="43"/>
  <c r="X10" i="43"/>
  <c r="W10" i="43"/>
  <c r="V10" i="43"/>
  <c r="T10" i="43"/>
  <c r="S10" i="43"/>
  <c r="R10" i="43"/>
  <c r="K10" i="43"/>
  <c r="K14" i="43" s="1"/>
  <c r="G10" i="43"/>
  <c r="Z99" i="43" l="1"/>
  <c r="J4968" i="52" s="1"/>
  <c r="L4968" i="52" s="1"/>
  <c r="M4968" i="52" s="1"/>
  <c r="T25" i="43"/>
  <c r="T55" i="43"/>
  <c r="T57" i="43" s="1"/>
  <c r="Y55" i="43"/>
  <c r="Y57" i="43" s="1"/>
  <c r="V61" i="43"/>
  <c r="V67" i="43" s="1"/>
  <c r="V69" i="43" s="1"/>
  <c r="T61" i="43"/>
  <c r="T67" i="43" s="1"/>
  <c r="T69" i="43" s="1"/>
  <c r="V76" i="43"/>
  <c r="V78" i="43" s="1"/>
  <c r="Z78" i="43" s="1"/>
  <c r="J4952" i="52" s="1"/>
  <c r="L4952" i="52" s="1"/>
  <c r="M4952" i="52" s="1"/>
  <c r="V81" i="43"/>
  <c r="V85" i="43" s="1"/>
  <c r="V87" i="43" s="1"/>
  <c r="U81" i="43"/>
  <c r="U85" i="43" s="1"/>
  <c r="U87" i="43" s="1"/>
  <c r="J49" i="43"/>
  <c r="V49" i="43" s="1"/>
  <c r="X55" i="43"/>
  <c r="X57" i="43" s="1"/>
  <c r="J52" i="43"/>
  <c r="V52" i="43" s="1"/>
  <c r="T34" i="43"/>
  <c r="T36" i="43" s="1"/>
  <c r="Y34" i="43"/>
  <c r="Y36" i="43" s="1"/>
  <c r="S42" i="43"/>
  <c r="S44" i="43" s="1"/>
  <c r="X42" i="43"/>
  <c r="X44" i="43" s="1"/>
  <c r="W55" i="43"/>
  <c r="W57" i="43" s="1"/>
  <c r="J51" i="43"/>
  <c r="V51" i="43" s="1"/>
  <c r="J50" i="43"/>
  <c r="V50" i="43" s="1"/>
  <c r="U55" i="43"/>
  <c r="U57" i="43" s="1"/>
  <c r="R55" i="43"/>
  <c r="R57" i="43" s="1"/>
  <c r="S55" i="43"/>
  <c r="S57" i="43" s="1"/>
  <c r="J48" i="43"/>
  <c r="V48" i="43" s="1"/>
  <c r="W34" i="43"/>
  <c r="W36" i="43" s="1"/>
  <c r="T42" i="43"/>
  <c r="T44" i="43" s="1"/>
  <c r="Y42" i="43"/>
  <c r="Y44" i="43" s="1"/>
  <c r="J39" i="43"/>
  <c r="V39" i="43" s="1"/>
  <c r="X25" i="43"/>
  <c r="X27" i="43" s="1"/>
  <c r="S25" i="43"/>
  <c r="S27" i="43" s="1"/>
  <c r="U42" i="43"/>
  <c r="U44" i="43" s="1"/>
  <c r="J40" i="43"/>
  <c r="V40" i="43" s="1"/>
  <c r="V42" i="43" s="1"/>
  <c r="V44" i="43" s="1"/>
  <c r="R42" i="43"/>
  <c r="R44" i="43" s="1"/>
  <c r="W42" i="43"/>
  <c r="W44" i="43" s="1"/>
  <c r="U34" i="43"/>
  <c r="U36" i="43" s="1"/>
  <c r="J32" i="43"/>
  <c r="V32" i="43" s="1"/>
  <c r="S34" i="43"/>
  <c r="S36" i="43" s="1"/>
  <c r="X34" i="43"/>
  <c r="X36" i="43" s="1"/>
  <c r="R34" i="43"/>
  <c r="R36" i="43" s="1"/>
  <c r="J31" i="43"/>
  <c r="V31" i="43" s="1"/>
  <c r="V34" i="43" s="1"/>
  <c r="V36" i="43" s="1"/>
  <c r="J13" i="43"/>
  <c r="U13" i="43" s="1"/>
  <c r="J23" i="43"/>
  <c r="V23" i="43" s="1"/>
  <c r="W25" i="43"/>
  <c r="W27" i="43" s="1"/>
  <c r="R25" i="43"/>
  <c r="R27" i="43" s="1"/>
  <c r="J22" i="43"/>
  <c r="T27" i="43"/>
  <c r="Y27" i="43"/>
  <c r="J10" i="43"/>
  <c r="U10" i="43" s="1"/>
  <c r="J14" i="43"/>
  <c r="U14" i="43" s="1"/>
  <c r="J12" i="43"/>
  <c r="U12" i="43" s="1"/>
  <c r="J11" i="43"/>
  <c r="U11" i="43" s="1"/>
  <c r="L197" i="43"/>
  <c r="L193" i="43"/>
  <c r="K164" i="43"/>
  <c r="I164" i="43"/>
  <c r="K163" i="43"/>
  <c r="I163" i="43"/>
  <c r="K158" i="43"/>
  <c r="I158" i="43"/>
  <c r="K157" i="43"/>
  <c r="I157" i="43"/>
  <c r="I154" i="43"/>
  <c r="H154" i="43"/>
  <c r="I153" i="43"/>
  <c r="H153" i="43"/>
  <c r="I152" i="43"/>
  <c r="H152" i="43"/>
  <c r="H151" i="43"/>
  <c r="Y17" i="43"/>
  <c r="X17" i="43"/>
  <c r="W17" i="43"/>
  <c r="V17" i="43"/>
  <c r="U17" i="43"/>
  <c r="T17" i="43"/>
  <c r="S17" i="43"/>
  <c r="R17" i="43"/>
  <c r="Y8" i="43"/>
  <c r="Y16" i="43" s="1"/>
  <c r="X8" i="43"/>
  <c r="X16" i="43" s="1"/>
  <c r="W8" i="43"/>
  <c r="W16" i="43" s="1"/>
  <c r="V8" i="43"/>
  <c r="U8" i="43"/>
  <c r="T8" i="43"/>
  <c r="T16" i="43" s="1"/>
  <c r="S8" i="43"/>
  <c r="S16" i="43" s="1"/>
  <c r="R8" i="43"/>
  <c r="R16" i="43" s="1"/>
  <c r="I8" i="43"/>
  <c r="Z87" i="43" l="1"/>
  <c r="J4928" i="52" s="1"/>
  <c r="L4928" i="52" s="1"/>
  <c r="M4928" i="52" s="1"/>
  <c r="Z69" i="43"/>
  <c r="F4947" i="52" s="1"/>
  <c r="F4948" i="52" s="1"/>
  <c r="J4948" i="52" s="1"/>
  <c r="L4948" i="52" s="1"/>
  <c r="M4948" i="52" s="1"/>
  <c r="V55" i="43"/>
  <c r="V57" i="43" s="1"/>
  <c r="Z57" i="43" s="1"/>
  <c r="F4941" i="52" s="1"/>
  <c r="F4942" i="52" s="1"/>
  <c r="H4940" i="52" s="1"/>
  <c r="Z44" i="43"/>
  <c r="J4937" i="52" s="1"/>
  <c r="L4937" i="52" s="1"/>
  <c r="M4937" i="52" s="1"/>
  <c r="L164" i="43"/>
  <c r="Z36" i="43"/>
  <c r="J4935" i="52" s="1"/>
  <c r="L4935" i="52" s="1"/>
  <c r="M4935" i="52" s="1"/>
  <c r="P4935" i="52" s="1"/>
  <c r="Q4935" i="52" s="1"/>
  <c r="L163" i="43"/>
  <c r="L166" i="43" s="1"/>
  <c r="L167" i="43" s="1"/>
  <c r="U159" i="43" s="1"/>
  <c r="U22" i="43"/>
  <c r="U25" i="43" s="1"/>
  <c r="U27" i="43" s="1"/>
  <c r="V22" i="43"/>
  <c r="V25" i="43" s="1"/>
  <c r="V27" i="43" s="1"/>
  <c r="J4933" i="52" s="1"/>
  <c r="L4933" i="52" s="1"/>
  <c r="M4933" i="52" s="1"/>
  <c r="L158" i="43"/>
  <c r="L157" i="43"/>
  <c r="R18" i="43"/>
  <c r="V16" i="43"/>
  <c r="V18" i="43" s="1"/>
  <c r="U16" i="43"/>
  <c r="U18" i="43" s="1"/>
  <c r="J4931" i="52" s="1"/>
  <c r="L4931" i="52" s="1"/>
  <c r="M4931" i="52" s="1"/>
  <c r="S18" i="43"/>
  <c r="W18" i="43"/>
  <c r="T18" i="43"/>
  <c r="X18" i="43"/>
  <c r="Y18" i="43"/>
  <c r="J4958" i="52" l="1"/>
  <c r="L4958" i="52" s="1"/>
  <c r="M4958" i="52" s="1"/>
  <c r="J4965" i="52"/>
  <c r="L4965" i="52" s="1"/>
  <c r="M4965" i="52" s="1"/>
  <c r="J4950" i="52"/>
  <c r="L4950" i="52" s="1"/>
  <c r="M4950" i="52" s="1"/>
  <c r="P4950" i="52"/>
  <c r="L159" i="43"/>
  <c r="L161" i="43" s="1"/>
  <c r="U158" i="43" s="1"/>
  <c r="Z27" i="43"/>
  <c r="Z18" i="43"/>
  <c r="U152" i="43"/>
  <c r="U154" i="43" s="1"/>
  <c r="U157" i="43" s="1"/>
  <c r="U161" i="43" l="1"/>
  <c r="P231" i="30"/>
  <c r="Q231" i="30" s="1"/>
  <c r="Q232" i="30" s="1"/>
  <c r="O232" i="30"/>
  <c r="E43" i="24" l="1"/>
  <c r="O13" i="16" l="1"/>
  <c r="Q12" i="16"/>
  <c r="Q13" i="16" s="1"/>
  <c r="O5" i="16"/>
  <c r="O4" i="16"/>
  <c r="O6" i="16"/>
  <c r="P6" i="16" s="1"/>
  <c r="N11" i="16"/>
  <c r="N12" i="16" s="1"/>
  <c r="O7" i="16"/>
  <c r="O16" i="42"/>
  <c r="Q21" i="42" s="1"/>
  <c r="N11" i="42"/>
  <c r="A15" i="33"/>
  <c r="A17" i="33" s="1"/>
  <c r="V11" i="16" l="1"/>
  <c r="O20" i="42"/>
  <c r="Q20" i="42" s="1"/>
  <c r="J19" i="32"/>
  <c r="F16" i="47"/>
  <c r="L202" i="22"/>
  <c r="P41" i="16" l="1"/>
  <c r="L217" i="22"/>
  <c r="M217" i="22" l="1"/>
  <c r="F332" i="27"/>
  <c r="H73" i="32"/>
  <c r="C74" i="32"/>
  <c r="I78" i="32" s="1"/>
  <c r="F242" i="30" l="1"/>
  <c r="F33" i="35" l="1"/>
  <c r="F32" i="35"/>
  <c r="F170" i="30" l="1"/>
  <c r="F166" i="30" l="1"/>
  <c r="H231" i="38" l="1"/>
  <c r="F231" i="38"/>
  <c r="H227" i="38"/>
  <c r="H229" i="38"/>
  <c r="F229" i="38"/>
  <c r="F227" i="38"/>
  <c r="I231" i="38" l="1"/>
  <c r="I229" i="38"/>
  <c r="A225" i="38"/>
  <c r="A227" i="38" s="1"/>
  <c r="A229" i="38" s="1"/>
  <c r="A231" i="38" s="1"/>
  <c r="F225" i="38"/>
  <c r="F160" i="38"/>
  <c r="F138" i="38"/>
  <c r="A209" i="38"/>
  <c r="A136" i="38"/>
  <c r="A138" i="38" s="1"/>
  <c r="A140" i="38" s="1"/>
  <c r="F136" i="38"/>
  <c r="H238" i="38"/>
  <c r="I80" i="32" l="1"/>
  <c r="I81" i="32"/>
  <c r="I83" i="32"/>
  <c r="I79" i="32"/>
  <c r="I82" i="32"/>
  <c r="F199" i="30"/>
  <c r="F326" i="27"/>
  <c r="F324" i="27"/>
  <c r="F321" i="27"/>
  <c r="K257" i="30" l="1"/>
  <c r="L257" i="30" s="1"/>
  <c r="F225" i="30"/>
  <c r="N224" i="30"/>
  <c r="F4943" i="52"/>
  <c r="J4943" i="52" s="1"/>
  <c r="L4943" i="52" s="1"/>
  <c r="M4943" i="52" s="1"/>
  <c r="P4943" i="52" s="1"/>
  <c r="K81" i="32"/>
  <c r="M81" i="32" s="1"/>
  <c r="I85" i="32"/>
  <c r="I89" i="32" s="1"/>
  <c r="P11" i="16"/>
  <c r="Q11" i="16" s="1"/>
  <c r="Y12" i="16"/>
  <c r="Y13" i="16" s="1"/>
  <c r="Y14" i="16"/>
  <c r="S42" i="16"/>
  <c r="A213" i="38"/>
  <c r="A216" i="38" s="1"/>
  <c r="A179" i="38"/>
  <c r="A181" i="38" s="1"/>
  <c r="A183" i="38" s="1"/>
  <c r="A185" i="38" s="1"/>
  <c r="A187" i="38" s="1"/>
  <c r="A189" i="38" s="1"/>
  <c r="A192" i="38" s="1"/>
  <c r="A194" i="38" s="1"/>
  <c r="A196" i="38" s="1"/>
  <c r="A200" i="38" s="1"/>
  <c r="A202" i="38" s="1"/>
  <c r="A142" i="38"/>
  <c r="A144" i="38" s="1"/>
  <c r="A146" i="38" s="1"/>
  <c r="A148" i="38" s="1"/>
  <c r="A150" i="38" s="1"/>
  <c r="A152" i="38" s="1"/>
  <c r="A154" i="38" s="1"/>
  <c r="A156" i="38" s="1"/>
  <c r="A158" i="38" s="1"/>
  <c r="A119" i="38"/>
  <c r="A122" i="38" s="1"/>
  <c r="A125" i="38" s="1"/>
  <c r="A129" i="38" s="1"/>
  <c r="A132" i="38" s="1"/>
  <c r="A103" i="38"/>
  <c r="A106" i="38" s="1"/>
  <c r="A110" i="38" s="1"/>
  <c r="A114" i="38" s="1"/>
  <c r="A82" i="38"/>
  <c r="A86" i="38" s="1"/>
  <c r="A89" i="38" s="1"/>
  <c r="A97" i="38" s="1"/>
  <c r="A77" i="38"/>
  <c r="A70" i="38"/>
  <c r="A72" i="38" s="1"/>
  <c r="A62" i="38"/>
  <c r="A65" i="38" s="1"/>
  <c r="A49" i="38"/>
  <c r="A54" i="38" s="1"/>
  <c r="A40" i="38"/>
  <c r="A43" i="38" s="1"/>
  <c r="A45" i="38" s="1"/>
  <c r="E156" i="38"/>
  <c r="K158" i="38"/>
  <c r="K156" i="38"/>
  <c r="K8" i="32"/>
  <c r="I119" i="38"/>
  <c r="F55" i="38"/>
  <c r="C52" i="38"/>
  <c r="F52" i="38" s="1"/>
  <c r="F41" i="38"/>
  <c r="E17" i="38"/>
  <c r="F17" i="38" s="1"/>
  <c r="F221" i="38"/>
  <c r="F218" i="38"/>
  <c r="F216" i="38"/>
  <c r="F213" i="38"/>
  <c r="F209" i="38"/>
  <c r="F202" i="38"/>
  <c r="F200" i="38"/>
  <c r="F196" i="38"/>
  <c r="F194" i="38"/>
  <c r="F192" i="38"/>
  <c r="F189" i="38"/>
  <c r="F187" i="38"/>
  <c r="F185" i="38"/>
  <c r="F183" i="38"/>
  <c r="F181" i="38"/>
  <c r="F179" i="38"/>
  <c r="F173" i="38"/>
  <c r="F171" i="38"/>
  <c r="F169" i="38"/>
  <c r="F167" i="38"/>
  <c r="F165" i="38"/>
  <c r="F163" i="38"/>
  <c r="F158" i="38"/>
  <c r="F154" i="38"/>
  <c r="F152" i="38"/>
  <c r="F150" i="38"/>
  <c r="F148" i="38"/>
  <c r="F146" i="38"/>
  <c r="F144" i="38"/>
  <c r="F142" i="38"/>
  <c r="F140" i="38"/>
  <c r="F133" i="38"/>
  <c r="F126" i="38"/>
  <c r="F115" i="38"/>
  <c r="F111" i="38"/>
  <c r="F70" i="38"/>
  <c r="F33" i="38"/>
  <c r="F30" i="38"/>
  <c r="F27" i="38"/>
  <c r="A23" i="38"/>
  <c r="A17" i="38"/>
  <c r="A14" i="38"/>
  <c r="A7" i="38"/>
  <c r="A9" i="38" s="1"/>
  <c r="A11" i="38" s="1"/>
  <c r="M243" i="38"/>
  <c r="O248" i="38" s="1"/>
  <c r="L238" i="38"/>
  <c r="N225" i="30" l="1"/>
  <c r="F227" i="30"/>
  <c r="F131" i="30"/>
  <c r="F4955" i="52"/>
  <c r="J4955" i="52" s="1"/>
  <c r="L4955" i="52" s="1"/>
  <c r="M4955" i="52" s="1"/>
  <c r="C50" i="38"/>
  <c r="F50" i="38" s="1"/>
  <c r="C51" i="38"/>
  <c r="F51" i="38" s="1"/>
  <c r="A218" i="38"/>
  <c r="A221" i="38" s="1"/>
  <c r="A160" i="38"/>
  <c r="A163" i="38" s="1"/>
  <c r="A165" i="38" s="1"/>
  <c r="A167" i="38" s="1"/>
  <c r="A169" i="38" s="1"/>
  <c r="A171" i="38" s="1"/>
  <c r="A173" i="38" s="1"/>
  <c r="F46" i="38"/>
  <c r="C86" i="38"/>
  <c r="F86" i="38" s="1"/>
  <c r="C90" i="38"/>
  <c r="F78" i="38"/>
  <c r="F156" i="38"/>
  <c r="M247" i="38"/>
  <c r="O247" i="38" s="1"/>
  <c r="F226" i="30" l="1"/>
  <c r="F132" i="30"/>
  <c r="C65" i="38"/>
  <c r="F65" i="38" s="1"/>
  <c r="C83" i="38"/>
  <c r="C130" i="38" s="1"/>
  <c r="F130" i="38" s="1"/>
  <c r="C43" i="38"/>
  <c r="F43" i="38" s="1"/>
  <c r="X5" i="16"/>
  <c r="N7" i="16"/>
  <c r="C97" i="38"/>
  <c r="F97" i="38" s="1"/>
  <c r="F150" i="30"/>
  <c r="F62" i="38"/>
  <c r="Y15" i="16"/>
  <c r="F159" i="30"/>
  <c r="F161" i="30"/>
  <c r="F157" i="30"/>
  <c r="F154" i="30"/>
  <c r="C107" i="38"/>
  <c r="F107" i="38" s="1"/>
  <c r="F104" i="38"/>
  <c r="F90" i="38"/>
  <c r="C120" i="38"/>
  <c r="O125" i="10"/>
  <c r="P125" i="10" s="1"/>
  <c r="F51" i="24"/>
  <c r="F133" i="30" l="1"/>
  <c r="F83" i="38"/>
  <c r="N8" i="16"/>
  <c r="N6" i="16"/>
  <c r="F152" i="30"/>
  <c r="F120" i="38"/>
  <c r="C123" i="38"/>
  <c r="F123" i="38" s="1"/>
  <c r="F49" i="24"/>
  <c r="F4962" i="52" l="1"/>
  <c r="J4962" i="52" s="1"/>
  <c r="L4962" i="52" s="1"/>
  <c r="M4962" i="52" s="1"/>
  <c r="A43" i="26"/>
  <c r="A45" i="26" s="1"/>
  <c r="A34" i="26"/>
  <c r="M26" i="33" l="1"/>
  <c r="M30" i="33" s="1"/>
  <c r="F314" i="27"/>
  <c r="F312" i="27"/>
  <c r="F309" i="27"/>
  <c r="F296" i="27"/>
  <c r="F298" i="27"/>
  <c r="F319" i="27" l="1"/>
  <c r="F307" i="27"/>
  <c r="F305" i="27"/>
  <c r="F294" i="27"/>
  <c r="F292" i="27"/>
  <c r="F177" i="27"/>
  <c r="F201" i="27"/>
  <c r="F203" i="27"/>
  <c r="F199" i="27"/>
  <c r="F197" i="27"/>
  <c r="F194" i="27"/>
  <c r="F190" i="27"/>
  <c r="F188" i="27"/>
  <c r="F183" i="27"/>
  <c r="F181" i="27"/>
  <c r="F179" i="27"/>
  <c r="F274" i="27"/>
  <c r="F272" i="27"/>
  <c r="F270" i="27"/>
  <c r="L25" i="32"/>
  <c r="L27" i="32" s="1"/>
  <c r="F227" i="27" l="1"/>
  <c r="F225" i="27"/>
  <c r="F223" i="27"/>
  <c r="F218" i="27"/>
  <c r="F216" i="27"/>
  <c r="F214" i="27"/>
  <c r="F235" i="27" l="1"/>
  <c r="E236" i="27"/>
  <c r="O31" i="33"/>
  <c r="O30" i="33"/>
  <c r="F62" i="24"/>
  <c r="F47" i="24"/>
  <c r="F45" i="24"/>
  <c r="F43" i="24"/>
  <c r="F19" i="24"/>
  <c r="F64" i="24" l="1"/>
  <c r="H64" i="24" s="1"/>
  <c r="G62" i="24"/>
  <c r="J62" i="24" s="1"/>
  <c r="E238" i="27"/>
  <c r="F238" i="27" s="1"/>
  <c r="F236" i="27"/>
  <c r="E230" i="27"/>
  <c r="F229" i="27"/>
  <c r="I64" i="24" l="1"/>
  <c r="E232" i="27"/>
  <c r="F232" i="27" s="1"/>
  <c r="F230" i="27"/>
  <c r="H388" i="36" l="1"/>
  <c r="H393" i="36"/>
  <c r="F594" i="36" l="1"/>
  <c r="F596" i="36" s="1"/>
  <c r="F616" i="36" s="1"/>
  <c r="F558" i="36"/>
  <c r="F557" i="36"/>
  <c r="F556" i="36"/>
  <c r="F563" i="36" s="1"/>
  <c r="F587" i="36" s="1"/>
  <c r="F549" i="36"/>
  <c r="F546" i="36"/>
  <c r="F544" i="36"/>
  <c r="F542" i="36"/>
  <c r="F540" i="36"/>
  <c r="F538" i="36"/>
  <c r="F536" i="36"/>
  <c r="F532" i="36"/>
  <c r="F530" i="36"/>
  <c r="F528" i="36"/>
  <c r="F526" i="36"/>
  <c r="F522" i="36"/>
  <c r="F519" i="36"/>
  <c r="E517" i="36"/>
  <c r="F517" i="36" s="1"/>
  <c r="F514" i="36"/>
  <c r="F513" i="36"/>
  <c r="F512" i="36"/>
  <c r="F511" i="36"/>
  <c r="F510" i="36"/>
  <c r="F509" i="36"/>
  <c r="F508" i="36"/>
  <c r="F507" i="36"/>
  <c r="F506" i="36"/>
  <c r="F501" i="36"/>
  <c r="F500" i="36"/>
  <c r="F499" i="36"/>
  <c r="F498" i="36"/>
  <c r="F497" i="36"/>
  <c r="F496" i="36"/>
  <c r="F495" i="36"/>
  <c r="F494" i="36"/>
  <c r="F493" i="36"/>
  <c r="F503" i="36" s="1"/>
  <c r="F488" i="36"/>
  <c r="F486" i="36"/>
  <c r="F485" i="36"/>
  <c r="F484" i="36"/>
  <c r="F483" i="36"/>
  <c r="F482" i="36"/>
  <c r="F481" i="36"/>
  <c r="F480" i="36"/>
  <c r="F490" i="36" s="1"/>
  <c r="H477" i="36"/>
  <c r="F475" i="36"/>
  <c r="F474" i="36"/>
  <c r="F473" i="36"/>
  <c r="F472" i="36"/>
  <c r="F471" i="36"/>
  <c r="F470" i="36"/>
  <c r="F469" i="36"/>
  <c r="F468" i="36"/>
  <c r="F467" i="36"/>
  <c r="F466" i="36"/>
  <c r="F465" i="36"/>
  <c r="F464" i="36"/>
  <c r="F463" i="36"/>
  <c r="F461" i="36"/>
  <c r="F448" i="36"/>
  <c r="F446" i="36"/>
  <c r="F444" i="36"/>
  <c r="F442" i="36"/>
  <c r="F440" i="36"/>
  <c r="F438" i="36"/>
  <c r="F430" i="36"/>
  <c r="F429" i="36"/>
  <c r="F427" i="36"/>
  <c r="H425" i="36"/>
  <c r="F425" i="36"/>
  <c r="H424" i="36"/>
  <c r="F424" i="36"/>
  <c r="I422" i="36"/>
  <c r="F422" i="36"/>
  <c r="I421" i="36"/>
  <c r="F421" i="36"/>
  <c r="I420" i="36"/>
  <c r="F420" i="36"/>
  <c r="F418" i="36"/>
  <c r="F417" i="36"/>
  <c r="F416" i="36"/>
  <c r="F415" i="36"/>
  <c r="F414" i="36"/>
  <c r="F409" i="36"/>
  <c r="F401" i="36"/>
  <c r="F399" i="36"/>
  <c r="F398" i="36"/>
  <c r="F397" i="36"/>
  <c r="F396" i="36"/>
  <c r="F395" i="36"/>
  <c r="F394" i="36"/>
  <c r="F393" i="36"/>
  <c r="F392" i="36"/>
  <c r="F391" i="36"/>
  <c r="F390" i="36"/>
  <c r="F389" i="36"/>
  <c r="F388" i="36"/>
  <c r="F383" i="36"/>
  <c r="H382" i="36"/>
  <c r="F382" i="36"/>
  <c r="H381" i="36"/>
  <c r="F381" i="36"/>
  <c r="H380" i="36"/>
  <c r="F380" i="36"/>
  <c r="H379" i="36"/>
  <c r="F379" i="36"/>
  <c r="H378" i="36"/>
  <c r="F378" i="36"/>
  <c r="F386" i="36" s="1"/>
  <c r="F582" i="36" s="1"/>
  <c r="H368" i="36"/>
  <c r="F368" i="36"/>
  <c r="J367" i="36"/>
  <c r="I367" i="36"/>
  <c r="F367" i="36"/>
  <c r="J366" i="36"/>
  <c r="I366" i="36"/>
  <c r="F366" i="36"/>
  <c r="J365" i="36"/>
  <c r="I365" i="36"/>
  <c r="F365" i="36"/>
  <c r="I364" i="36"/>
  <c r="H364" i="36"/>
  <c r="F364" i="36"/>
  <c r="F363" i="36"/>
  <c r="F355" i="36"/>
  <c r="E355" i="36"/>
  <c r="E354" i="36"/>
  <c r="F354" i="36" s="1"/>
  <c r="E353" i="36"/>
  <c r="F353" i="36" s="1"/>
  <c r="E352" i="36"/>
  <c r="F352" i="36" s="1"/>
  <c r="F351" i="36"/>
  <c r="E348" i="36"/>
  <c r="F348" i="36" s="1"/>
  <c r="E347" i="36"/>
  <c r="F347" i="36" s="1"/>
  <c r="E346" i="36"/>
  <c r="F346" i="36" s="1"/>
  <c r="F345" i="36"/>
  <c r="E342" i="36"/>
  <c r="F342" i="36" s="1"/>
  <c r="E341" i="36"/>
  <c r="F341" i="36" s="1"/>
  <c r="F340" i="36"/>
  <c r="E340" i="36"/>
  <c r="F339" i="36"/>
  <c r="E339" i="36"/>
  <c r="F338" i="36"/>
  <c r="M335" i="36"/>
  <c r="L335" i="36"/>
  <c r="K335" i="36"/>
  <c r="R335" i="36" s="1"/>
  <c r="E335" i="36"/>
  <c r="F335" i="36" s="1"/>
  <c r="M334" i="36"/>
  <c r="L334" i="36"/>
  <c r="K334" i="36"/>
  <c r="E334" i="36"/>
  <c r="F334" i="36" s="1"/>
  <c r="M333" i="36"/>
  <c r="L333" i="36"/>
  <c r="K333" i="36"/>
  <c r="R333" i="36" s="1"/>
  <c r="E333" i="36"/>
  <c r="F333" i="36" s="1"/>
  <c r="M332" i="36"/>
  <c r="L332" i="36"/>
  <c r="K332" i="36"/>
  <c r="E332" i="36"/>
  <c r="F332" i="36" s="1"/>
  <c r="M331" i="36"/>
  <c r="L331" i="36"/>
  <c r="K331" i="36"/>
  <c r="R331" i="36" s="1"/>
  <c r="F331" i="36"/>
  <c r="F324" i="36"/>
  <c r="F323" i="36"/>
  <c r="F322" i="36"/>
  <c r="H320" i="36"/>
  <c r="E320" i="36"/>
  <c r="F320" i="36" s="1"/>
  <c r="H319" i="36"/>
  <c r="F319" i="36"/>
  <c r="E319" i="36"/>
  <c r="H318" i="36"/>
  <c r="F318" i="36"/>
  <c r="F313" i="36"/>
  <c r="C313" i="36"/>
  <c r="H311" i="36"/>
  <c r="E311" i="36"/>
  <c r="F311" i="36" s="1"/>
  <c r="H310" i="36"/>
  <c r="F310" i="36"/>
  <c r="H298" i="36"/>
  <c r="E298" i="36"/>
  <c r="F298" i="36" s="1"/>
  <c r="H297" i="36"/>
  <c r="E297" i="36"/>
  <c r="F297" i="36" s="1"/>
  <c r="H296" i="36"/>
  <c r="E296" i="36"/>
  <c r="F296" i="36" s="1"/>
  <c r="H295" i="36"/>
  <c r="F295" i="36"/>
  <c r="F292" i="36"/>
  <c r="H290" i="36"/>
  <c r="E290" i="36"/>
  <c r="F290" i="36" s="1"/>
  <c r="H289" i="36"/>
  <c r="E289" i="36"/>
  <c r="F289" i="36" s="1"/>
  <c r="H288" i="36"/>
  <c r="E288" i="36"/>
  <c r="F288" i="36" s="1"/>
  <c r="H287" i="36"/>
  <c r="F287" i="36"/>
  <c r="E287" i="36"/>
  <c r="H286" i="36"/>
  <c r="F286" i="36"/>
  <c r="J285" i="36"/>
  <c r="F284" i="36"/>
  <c r="H282" i="36"/>
  <c r="E282" i="36"/>
  <c r="F282" i="36" s="1"/>
  <c r="H281" i="36"/>
  <c r="F281" i="36"/>
  <c r="E281" i="36"/>
  <c r="H280" i="36"/>
  <c r="E280" i="36"/>
  <c r="F280" i="36" s="1"/>
  <c r="H279" i="36"/>
  <c r="E279" i="36"/>
  <c r="F279" i="36" s="1"/>
  <c r="H278" i="36"/>
  <c r="F278" i="36"/>
  <c r="H276" i="36"/>
  <c r="F276" i="36"/>
  <c r="F269" i="36"/>
  <c r="F265" i="36"/>
  <c r="G264" i="36"/>
  <c r="F264" i="36"/>
  <c r="G262" i="36"/>
  <c r="F262" i="36"/>
  <c r="G261" i="36"/>
  <c r="F261" i="36"/>
  <c r="F274" i="36" s="1"/>
  <c r="F577" i="36" s="1"/>
  <c r="H256" i="36"/>
  <c r="F256" i="36"/>
  <c r="F259" i="36" s="1"/>
  <c r="F576" i="36" s="1"/>
  <c r="H249" i="36"/>
  <c r="F249" i="36"/>
  <c r="E249" i="36"/>
  <c r="H248" i="36"/>
  <c r="E248" i="36"/>
  <c r="F248" i="36" s="1"/>
  <c r="H247" i="36"/>
  <c r="F247" i="36"/>
  <c r="H244" i="36"/>
  <c r="F244" i="36"/>
  <c r="H243" i="36"/>
  <c r="F243" i="36"/>
  <c r="H242" i="36"/>
  <c r="F242" i="36"/>
  <c r="H241" i="36"/>
  <c r="F241" i="36"/>
  <c r="F234" i="36"/>
  <c r="F233" i="36"/>
  <c r="F232" i="36"/>
  <c r="F226" i="36"/>
  <c r="F225" i="36"/>
  <c r="F224" i="36"/>
  <c r="F221" i="36"/>
  <c r="F220" i="36"/>
  <c r="F219" i="36"/>
  <c r="F216" i="36"/>
  <c r="F215" i="36"/>
  <c r="F214" i="36"/>
  <c r="F213" i="36"/>
  <c r="F210" i="36"/>
  <c r="F209" i="36"/>
  <c r="F208" i="36"/>
  <c r="F207" i="36"/>
  <c r="F204" i="36"/>
  <c r="C203" i="36"/>
  <c r="F203" i="36" s="1"/>
  <c r="C202" i="36"/>
  <c r="F202" i="36" s="1"/>
  <c r="F201" i="36"/>
  <c r="F198" i="36"/>
  <c r="F197" i="36"/>
  <c r="F194" i="36"/>
  <c r="F193" i="36"/>
  <c r="F190" i="36"/>
  <c r="F189" i="36"/>
  <c r="F186" i="36"/>
  <c r="F185" i="36"/>
  <c r="F182" i="36"/>
  <c r="F181" i="36"/>
  <c r="H173" i="36"/>
  <c r="E173" i="36"/>
  <c r="F173" i="36" s="1"/>
  <c r="H172" i="36"/>
  <c r="E172" i="36"/>
  <c r="F172" i="36" s="1"/>
  <c r="F171" i="36"/>
  <c r="H166" i="36"/>
  <c r="E166" i="36"/>
  <c r="F166" i="36" s="1"/>
  <c r="H165" i="36"/>
  <c r="E165" i="36"/>
  <c r="F165" i="36" s="1"/>
  <c r="H164" i="36"/>
  <c r="E164" i="36"/>
  <c r="F164" i="36" s="1"/>
  <c r="H163" i="36"/>
  <c r="F163" i="36"/>
  <c r="H159" i="36"/>
  <c r="F159" i="36"/>
  <c r="E159" i="36"/>
  <c r="H158" i="36"/>
  <c r="E158" i="36"/>
  <c r="F158" i="36" s="1"/>
  <c r="H157" i="36"/>
  <c r="E157" i="36"/>
  <c r="F157" i="36" s="1"/>
  <c r="H156" i="36"/>
  <c r="F156" i="36"/>
  <c r="H153" i="36"/>
  <c r="E153" i="36"/>
  <c r="F153" i="36" s="1"/>
  <c r="H152" i="36"/>
  <c r="E152" i="36"/>
  <c r="F152" i="36" s="1"/>
  <c r="H151" i="36"/>
  <c r="E151" i="36"/>
  <c r="F151" i="36" s="1"/>
  <c r="H150" i="36"/>
  <c r="E150" i="36"/>
  <c r="F150" i="36" s="1"/>
  <c r="H149" i="36"/>
  <c r="F149" i="36"/>
  <c r="H146" i="36"/>
  <c r="F146" i="36"/>
  <c r="H144" i="36"/>
  <c r="F144" i="36"/>
  <c r="H143" i="36"/>
  <c r="F143" i="36"/>
  <c r="F142" i="36"/>
  <c r="H141" i="36"/>
  <c r="F132" i="36"/>
  <c r="F131" i="36"/>
  <c r="F130" i="36"/>
  <c r="F129" i="36"/>
  <c r="F128" i="36"/>
  <c r="F125" i="36"/>
  <c r="F124" i="36"/>
  <c r="F122" i="36"/>
  <c r="F121" i="36"/>
  <c r="F120" i="36"/>
  <c r="F119" i="36"/>
  <c r="H117" i="36"/>
  <c r="F117" i="36"/>
  <c r="H116" i="36"/>
  <c r="F116" i="36"/>
  <c r="J115" i="36"/>
  <c r="H115" i="36"/>
  <c r="I115" i="36" s="1"/>
  <c r="K115" i="36" s="1"/>
  <c r="L115" i="36" s="1"/>
  <c r="F115" i="36"/>
  <c r="J114" i="36"/>
  <c r="H114" i="36"/>
  <c r="H119" i="36" s="1"/>
  <c r="F114" i="36"/>
  <c r="F109" i="36"/>
  <c r="F108" i="36"/>
  <c r="F107" i="36"/>
  <c r="F106" i="36"/>
  <c r="I101" i="36"/>
  <c r="F101" i="36"/>
  <c r="F100" i="36"/>
  <c r="I99" i="36"/>
  <c r="F99" i="36"/>
  <c r="H98" i="36"/>
  <c r="H96" i="36"/>
  <c r="F96" i="36"/>
  <c r="H95" i="36"/>
  <c r="F95" i="36"/>
  <c r="H94" i="36"/>
  <c r="F94" i="36"/>
  <c r="H93" i="36"/>
  <c r="F93" i="36"/>
  <c r="H88" i="36"/>
  <c r="F88" i="36"/>
  <c r="F79" i="36"/>
  <c r="F73" i="36"/>
  <c r="H71" i="36"/>
  <c r="F71" i="36"/>
  <c r="F62" i="36"/>
  <c r="H59" i="36"/>
  <c r="F59" i="36"/>
  <c r="F48" i="36"/>
  <c r="F46" i="36"/>
  <c r="F44" i="36"/>
  <c r="F42" i="36"/>
  <c r="F40" i="36"/>
  <c r="F38" i="36"/>
  <c r="F36" i="36"/>
  <c r="F34" i="36"/>
  <c r="F32" i="36"/>
  <c r="F30" i="36"/>
  <c r="F28" i="36"/>
  <c r="F22" i="36"/>
  <c r="F20" i="36"/>
  <c r="F18" i="36"/>
  <c r="F16" i="36"/>
  <c r="F14" i="36"/>
  <c r="F12" i="36"/>
  <c r="F10" i="36"/>
  <c r="F334" i="27"/>
  <c r="F269" i="27"/>
  <c r="F267" i="27"/>
  <c r="F266" i="27"/>
  <c r="F264" i="27"/>
  <c r="F263" i="27"/>
  <c r="F262" i="27"/>
  <c r="H140" i="27"/>
  <c r="I140" i="27" s="1"/>
  <c r="F82" i="36" l="1"/>
  <c r="F570" i="36" s="1"/>
  <c r="F135" i="36"/>
  <c r="F571" i="36" s="1"/>
  <c r="F254" i="36"/>
  <c r="F575" i="36" s="1"/>
  <c r="F359" i="36"/>
  <c r="F580" i="36" s="1"/>
  <c r="F55" i="36"/>
  <c r="F606" i="36" s="1"/>
  <c r="F328" i="36"/>
  <c r="F579" i="36" s="1"/>
  <c r="F375" i="36"/>
  <c r="F581" i="36" s="1"/>
  <c r="F435" i="36"/>
  <c r="F584" i="36" s="1"/>
  <c r="F477" i="36"/>
  <c r="F515" i="36"/>
  <c r="F553" i="36" s="1"/>
  <c r="F586" i="36" s="1"/>
  <c r="F405" i="36"/>
  <c r="F583" i="36" s="1"/>
  <c r="F452" i="36"/>
  <c r="F585" i="36" s="1"/>
  <c r="F237" i="36"/>
  <c r="F574" i="36" s="1"/>
  <c r="R332" i="36"/>
  <c r="R334" i="36"/>
  <c r="F230" i="36"/>
  <c r="F573" i="36" s="1"/>
  <c r="F303" i="36"/>
  <c r="F578" i="36" s="1"/>
  <c r="F178" i="36"/>
  <c r="F572" i="36" s="1"/>
  <c r="I114" i="36"/>
  <c r="K114" i="36" s="1"/>
  <c r="L114" i="36" s="1"/>
  <c r="N331" i="36"/>
  <c r="P331" i="36" s="1"/>
  <c r="N332" i="36"/>
  <c r="P332" i="36" s="1"/>
  <c r="N333" i="36"/>
  <c r="P333" i="36" s="1"/>
  <c r="N334" i="36"/>
  <c r="P334" i="36" s="1"/>
  <c r="N335" i="36"/>
  <c r="P335" i="36" s="1"/>
  <c r="F55" i="27"/>
  <c r="F589" i="36" l="1"/>
  <c r="F608" i="36" s="1"/>
  <c r="F610" i="36" s="1"/>
  <c r="F618" i="36" s="1"/>
  <c r="F620" i="36" s="1"/>
  <c r="F622" i="36" s="1"/>
  <c r="M34" i="35"/>
  <c r="M38" i="35" s="1"/>
  <c r="L29" i="35"/>
  <c r="K97" i="30"/>
  <c r="I90" i="15" l="1"/>
  <c r="D89" i="15"/>
  <c r="D90" i="15" s="1"/>
  <c r="K90" i="15" s="1"/>
  <c r="I89" i="15"/>
  <c r="D95" i="15" l="1"/>
  <c r="D93" i="15"/>
  <c r="D94" i="15"/>
  <c r="N250" i="30"/>
  <c r="N251" i="30" s="1"/>
  <c r="L21" i="33" l="1"/>
  <c r="N26" i="32"/>
  <c r="A129" i="10" l="1"/>
  <c r="A131" i="10" s="1"/>
  <c r="A133" i="10" s="1"/>
  <c r="A114" i="10"/>
  <c r="A116" i="10" s="1"/>
  <c r="A118" i="10" s="1"/>
  <c r="A103" i="10"/>
  <c r="A105" i="10" s="1"/>
  <c r="A90" i="10"/>
  <c r="A85" i="10"/>
  <c r="A87" i="10" s="1"/>
  <c r="A72" i="10"/>
  <c r="A40" i="10"/>
  <c r="A42" i="10" s="1"/>
  <c r="A44" i="10" s="1"/>
  <c r="A64" i="10" s="1"/>
  <c r="A119" i="10" l="1"/>
  <c r="A121" i="10"/>
  <c r="K95" i="30" l="1"/>
  <c r="B16" i="29"/>
  <c r="B15" i="29"/>
  <c r="B14" i="29"/>
  <c r="B13" i="29"/>
  <c r="B12" i="29"/>
  <c r="B11" i="29"/>
  <c r="B10" i="29"/>
  <c r="B9" i="29"/>
  <c r="B8" i="29"/>
  <c r="B7" i="29"/>
  <c r="F258" i="30"/>
  <c r="F257" i="30"/>
  <c r="F252" i="30"/>
  <c r="F251" i="30"/>
  <c r="F243" i="30"/>
  <c r="K232" i="30"/>
  <c r="F232" i="30"/>
  <c r="K231" i="30"/>
  <c r="F231" i="30"/>
  <c r="K224" i="30"/>
  <c r="F224" i="30"/>
  <c r="K207" i="30"/>
  <c r="K196" i="30"/>
  <c r="F194" i="30"/>
  <c r="K192" i="30"/>
  <c r="M131" i="30"/>
  <c r="M130" i="30"/>
  <c r="F99" i="30"/>
  <c r="F97" i="30"/>
  <c r="F95" i="30"/>
  <c r="L83" i="30"/>
  <c r="K82" i="30"/>
  <c r="F80" i="30"/>
  <c r="K79" i="30"/>
  <c r="F79" i="30"/>
  <c r="K78" i="30"/>
  <c r="F78" i="30"/>
  <c r="K77" i="30"/>
  <c r="F77" i="30"/>
  <c r="F25" i="30"/>
  <c r="P31" i="21"/>
  <c r="F207" i="30" l="1"/>
  <c r="F130" i="30"/>
  <c r="V13" i="16" l="1"/>
  <c r="V15" i="16"/>
  <c r="E336" i="27" l="1"/>
  <c r="F336" i="27" s="1"/>
  <c r="F339" i="27" s="1"/>
  <c r="F595" i="25"/>
  <c r="F597" i="25" s="1"/>
  <c r="F617" i="25" s="1"/>
  <c r="F559" i="25"/>
  <c r="F558" i="25"/>
  <c r="F557" i="25"/>
  <c r="F550" i="25"/>
  <c r="F547" i="25"/>
  <c r="F545" i="25"/>
  <c r="F543" i="25"/>
  <c r="F541" i="25"/>
  <c r="F539" i="25"/>
  <c r="F537" i="25"/>
  <c r="F533" i="25"/>
  <c r="F531" i="25"/>
  <c r="F529" i="25"/>
  <c r="F527" i="25"/>
  <c r="F523" i="25"/>
  <c r="F520" i="25"/>
  <c r="E518" i="25"/>
  <c r="F518" i="25" s="1"/>
  <c r="F515" i="25"/>
  <c r="F514" i="25"/>
  <c r="F513" i="25"/>
  <c r="F512" i="25"/>
  <c r="F511" i="25"/>
  <c r="F510" i="25"/>
  <c r="F509" i="25"/>
  <c r="F508" i="25"/>
  <c r="F507" i="25"/>
  <c r="F502" i="25"/>
  <c r="F501" i="25"/>
  <c r="F500" i="25"/>
  <c r="F499" i="25"/>
  <c r="F498" i="25"/>
  <c r="F497" i="25"/>
  <c r="F496" i="25"/>
  <c r="F495" i="25"/>
  <c r="F494" i="25"/>
  <c r="F489" i="25"/>
  <c r="F487" i="25"/>
  <c r="F486" i="25"/>
  <c r="F485" i="25"/>
  <c r="F484" i="25"/>
  <c r="F483" i="25"/>
  <c r="F482" i="25"/>
  <c r="F481" i="25"/>
  <c r="F476" i="25"/>
  <c r="F475" i="25"/>
  <c r="F474" i="25"/>
  <c r="F473" i="25"/>
  <c r="F472" i="25"/>
  <c r="F471" i="25"/>
  <c r="F470" i="25"/>
  <c r="F469" i="25"/>
  <c r="F468" i="25"/>
  <c r="F467" i="25"/>
  <c r="F466" i="25"/>
  <c r="F465" i="25"/>
  <c r="F464" i="25"/>
  <c r="F462" i="25"/>
  <c r="F449" i="25"/>
  <c r="F447" i="25"/>
  <c r="F445" i="25"/>
  <c r="F443" i="25"/>
  <c r="F441" i="25"/>
  <c r="F439" i="25"/>
  <c r="F431" i="25"/>
  <c r="F430" i="25"/>
  <c r="F428" i="25"/>
  <c r="H426" i="25"/>
  <c r="F426" i="25"/>
  <c r="H425" i="25"/>
  <c r="F425" i="25"/>
  <c r="I423" i="25"/>
  <c r="F423" i="25"/>
  <c r="I422" i="25"/>
  <c r="F422" i="25"/>
  <c r="I421" i="25"/>
  <c r="F421" i="25"/>
  <c r="F419" i="25"/>
  <c r="F418" i="25"/>
  <c r="F417" i="25"/>
  <c r="F416" i="25"/>
  <c r="F415" i="25"/>
  <c r="F410" i="25"/>
  <c r="F402" i="25"/>
  <c r="F400" i="25"/>
  <c r="F399" i="25"/>
  <c r="F398" i="25"/>
  <c r="F397" i="25"/>
  <c r="F396" i="25"/>
  <c r="F395" i="25"/>
  <c r="F394" i="25"/>
  <c r="F393" i="25"/>
  <c r="F392" i="25"/>
  <c r="F391" i="25"/>
  <c r="F390" i="25"/>
  <c r="F389" i="25"/>
  <c r="F384" i="25"/>
  <c r="H383" i="25"/>
  <c r="F383" i="25"/>
  <c r="H382" i="25"/>
  <c r="F382" i="25"/>
  <c r="H381" i="25"/>
  <c r="F381" i="25"/>
  <c r="H380" i="25"/>
  <c r="F380" i="25"/>
  <c r="H379" i="25"/>
  <c r="F379" i="25"/>
  <c r="H369" i="25"/>
  <c r="F369" i="25"/>
  <c r="J368" i="25"/>
  <c r="I368" i="25"/>
  <c r="F368" i="25"/>
  <c r="J367" i="25"/>
  <c r="I367" i="25"/>
  <c r="F367" i="25"/>
  <c r="J366" i="25"/>
  <c r="I366" i="25"/>
  <c r="F366" i="25"/>
  <c r="I365" i="25"/>
  <c r="H365" i="25"/>
  <c r="F365" i="25"/>
  <c r="F364" i="25"/>
  <c r="E356" i="25"/>
  <c r="F356" i="25" s="1"/>
  <c r="E355" i="25"/>
  <c r="F355" i="25" s="1"/>
  <c r="E354" i="25"/>
  <c r="F354" i="25" s="1"/>
  <c r="E353" i="25"/>
  <c r="F353" i="25" s="1"/>
  <c r="F352" i="25"/>
  <c r="F349" i="25"/>
  <c r="E349" i="25"/>
  <c r="E348" i="25"/>
  <c r="F348" i="25" s="1"/>
  <c r="E347" i="25"/>
  <c r="F347" i="25" s="1"/>
  <c r="F346" i="25"/>
  <c r="E343" i="25"/>
  <c r="F343" i="25" s="1"/>
  <c r="E342" i="25"/>
  <c r="F342" i="25" s="1"/>
  <c r="E341" i="25"/>
  <c r="F341" i="25" s="1"/>
  <c r="E340" i="25"/>
  <c r="F340" i="25" s="1"/>
  <c r="F339" i="25"/>
  <c r="R336" i="25"/>
  <c r="M336" i="25"/>
  <c r="L336" i="25"/>
  <c r="K336" i="25"/>
  <c r="E336" i="25"/>
  <c r="F336" i="25" s="1"/>
  <c r="M335" i="25"/>
  <c r="L335" i="25"/>
  <c r="K335" i="25"/>
  <c r="N335" i="25" s="1"/>
  <c r="E335" i="25"/>
  <c r="F335" i="25" s="1"/>
  <c r="M334" i="25"/>
  <c r="L334" i="25"/>
  <c r="K334" i="25"/>
  <c r="E334" i="25"/>
  <c r="F334" i="25" s="1"/>
  <c r="M333" i="25"/>
  <c r="L333" i="25"/>
  <c r="K333" i="25"/>
  <c r="N333" i="25" s="1"/>
  <c r="E333" i="25"/>
  <c r="F333" i="25" s="1"/>
  <c r="M332" i="25"/>
  <c r="L332" i="25"/>
  <c r="K332" i="25"/>
  <c r="F332" i="25"/>
  <c r="F325" i="25"/>
  <c r="F324" i="25"/>
  <c r="F323" i="25"/>
  <c r="H321" i="25"/>
  <c r="F321" i="25"/>
  <c r="E321" i="25"/>
  <c r="H320" i="25"/>
  <c r="E320" i="25"/>
  <c r="F320" i="25" s="1"/>
  <c r="H319" i="25"/>
  <c r="F319" i="25"/>
  <c r="F314" i="25"/>
  <c r="H312" i="25"/>
  <c r="E312" i="25"/>
  <c r="F312" i="25" s="1"/>
  <c r="H311" i="25"/>
  <c r="F311" i="25"/>
  <c r="H299" i="25"/>
  <c r="E299" i="25"/>
  <c r="F299" i="25" s="1"/>
  <c r="H298" i="25"/>
  <c r="E298" i="25"/>
  <c r="F298" i="25" s="1"/>
  <c r="H297" i="25"/>
  <c r="E297" i="25"/>
  <c r="F297" i="25" s="1"/>
  <c r="H296" i="25"/>
  <c r="F296" i="25"/>
  <c r="F293" i="25"/>
  <c r="H291" i="25"/>
  <c r="E291" i="25"/>
  <c r="F291" i="25" s="1"/>
  <c r="H290" i="25"/>
  <c r="E290" i="25"/>
  <c r="F290" i="25" s="1"/>
  <c r="H289" i="25"/>
  <c r="E289" i="25"/>
  <c r="F289" i="25" s="1"/>
  <c r="H288" i="25"/>
  <c r="E288" i="25"/>
  <c r="F288" i="25" s="1"/>
  <c r="H287" i="25"/>
  <c r="F287" i="25"/>
  <c r="J286" i="25"/>
  <c r="F285" i="25"/>
  <c r="H283" i="25"/>
  <c r="E283" i="25"/>
  <c r="F283" i="25" s="1"/>
  <c r="H282" i="25"/>
  <c r="E282" i="25"/>
  <c r="F282" i="25" s="1"/>
  <c r="H281" i="25"/>
  <c r="E281" i="25"/>
  <c r="F281" i="25" s="1"/>
  <c r="H280" i="25"/>
  <c r="F280" i="25"/>
  <c r="E280" i="25"/>
  <c r="H279" i="25"/>
  <c r="F279" i="25"/>
  <c r="H277" i="25"/>
  <c r="F277" i="25"/>
  <c r="F270" i="25"/>
  <c r="F266" i="25"/>
  <c r="G265" i="25"/>
  <c r="F265" i="25"/>
  <c r="G263" i="25"/>
  <c r="F263" i="25"/>
  <c r="G262" i="25"/>
  <c r="F262" i="25"/>
  <c r="F275" i="25" s="1"/>
  <c r="F578" i="25" s="1"/>
  <c r="H257" i="25"/>
  <c r="F257" i="25"/>
  <c r="F260" i="25" s="1"/>
  <c r="F577" i="25" s="1"/>
  <c r="H250" i="25"/>
  <c r="F250" i="25"/>
  <c r="E250" i="25"/>
  <c r="H249" i="25"/>
  <c r="E249" i="25"/>
  <c r="F249" i="25" s="1"/>
  <c r="H248" i="25"/>
  <c r="F248" i="25"/>
  <c r="H245" i="25"/>
  <c r="F245" i="25"/>
  <c r="H244" i="25"/>
  <c r="F244" i="25"/>
  <c r="H243" i="25"/>
  <c r="F243" i="25"/>
  <c r="H242" i="25"/>
  <c r="F242" i="25"/>
  <c r="F235" i="25"/>
  <c r="F238" i="25" s="1"/>
  <c r="F575" i="25" s="1"/>
  <c r="F234" i="25"/>
  <c r="F233" i="25"/>
  <c r="F227" i="25"/>
  <c r="F226" i="25"/>
  <c r="F225" i="25"/>
  <c r="F222" i="25"/>
  <c r="F221" i="25"/>
  <c r="F220" i="25"/>
  <c r="F217" i="25"/>
  <c r="F216" i="25"/>
  <c r="F215" i="25"/>
  <c r="F214" i="25"/>
  <c r="F211" i="25"/>
  <c r="F210" i="25"/>
  <c r="F209" i="25"/>
  <c r="F208" i="25"/>
  <c r="F205" i="25"/>
  <c r="F204" i="25"/>
  <c r="F203" i="25"/>
  <c r="F202" i="25"/>
  <c r="F199" i="25"/>
  <c r="F198" i="25"/>
  <c r="F195" i="25"/>
  <c r="F194" i="25"/>
  <c r="F191" i="25"/>
  <c r="F190" i="25"/>
  <c r="F187" i="25"/>
  <c r="F186" i="25"/>
  <c r="F183" i="25"/>
  <c r="F182" i="25"/>
  <c r="H174" i="25"/>
  <c r="E174" i="25"/>
  <c r="F174" i="25" s="1"/>
  <c r="H173" i="25"/>
  <c r="E173" i="25"/>
  <c r="F173" i="25" s="1"/>
  <c r="F172" i="25"/>
  <c r="H167" i="25"/>
  <c r="E167" i="25"/>
  <c r="F167" i="25" s="1"/>
  <c r="H166" i="25"/>
  <c r="E166" i="25"/>
  <c r="F166" i="25" s="1"/>
  <c r="H165" i="25"/>
  <c r="E165" i="25"/>
  <c r="F165" i="25" s="1"/>
  <c r="H164" i="25"/>
  <c r="F164" i="25"/>
  <c r="H160" i="25"/>
  <c r="F160" i="25"/>
  <c r="E160" i="25"/>
  <c r="H159" i="25"/>
  <c r="E159" i="25"/>
  <c r="F159" i="25" s="1"/>
  <c r="H158" i="25"/>
  <c r="E158" i="25"/>
  <c r="F158" i="25" s="1"/>
  <c r="H157" i="25"/>
  <c r="F157" i="25"/>
  <c r="H154" i="25"/>
  <c r="E154" i="25"/>
  <c r="F154" i="25" s="1"/>
  <c r="H153" i="25"/>
  <c r="E153" i="25"/>
  <c r="F153" i="25" s="1"/>
  <c r="H152" i="25"/>
  <c r="F152" i="25"/>
  <c r="E152" i="25"/>
  <c r="H151" i="25"/>
  <c r="F151" i="25"/>
  <c r="E151" i="25"/>
  <c r="H150" i="25"/>
  <c r="F150" i="25"/>
  <c r="H147" i="25"/>
  <c r="F147" i="25"/>
  <c r="H145" i="25"/>
  <c r="F145" i="25"/>
  <c r="H144" i="25"/>
  <c r="F144" i="25"/>
  <c r="F143" i="25"/>
  <c r="H142" i="25"/>
  <c r="F133" i="25"/>
  <c r="F132" i="25"/>
  <c r="F131" i="25"/>
  <c r="F130" i="25"/>
  <c r="F129" i="25"/>
  <c r="F126" i="25"/>
  <c r="F125" i="25"/>
  <c r="F123" i="25"/>
  <c r="F122" i="25"/>
  <c r="F121" i="25"/>
  <c r="F120" i="25"/>
  <c r="H118" i="25"/>
  <c r="F118" i="25"/>
  <c r="H117" i="25"/>
  <c r="F117" i="25"/>
  <c r="J116" i="25"/>
  <c r="H116" i="25"/>
  <c r="I116" i="25" s="1"/>
  <c r="K116" i="25" s="1"/>
  <c r="L116" i="25" s="1"/>
  <c r="F116" i="25"/>
  <c r="J115" i="25"/>
  <c r="H115" i="25"/>
  <c r="I115" i="25" s="1"/>
  <c r="K115" i="25" s="1"/>
  <c r="L115" i="25" s="1"/>
  <c r="F115" i="25"/>
  <c r="F110" i="25"/>
  <c r="F109" i="25"/>
  <c r="F108" i="25"/>
  <c r="F107" i="25"/>
  <c r="F103" i="25"/>
  <c r="I102" i="25"/>
  <c r="F102" i="25"/>
  <c r="F101" i="25"/>
  <c r="I100" i="25"/>
  <c r="F100" i="25"/>
  <c r="H99" i="25"/>
  <c r="F97" i="25"/>
  <c r="H96" i="25"/>
  <c r="F96" i="25"/>
  <c r="H95" i="25"/>
  <c r="F95" i="25"/>
  <c r="H94" i="25"/>
  <c r="F94" i="25"/>
  <c r="H93" i="25"/>
  <c r="F93" i="25"/>
  <c r="H88" i="25"/>
  <c r="F88" i="25"/>
  <c r="F79" i="25"/>
  <c r="F73" i="25"/>
  <c r="H71" i="25"/>
  <c r="F71" i="25"/>
  <c r="F62" i="25"/>
  <c r="H59" i="25"/>
  <c r="F59" i="25"/>
  <c r="F48" i="25"/>
  <c r="F46" i="25"/>
  <c r="F44" i="25"/>
  <c r="F42" i="25"/>
  <c r="F40" i="25"/>
  <c r="F38" i="25"/>
  <c r="F36" i="25"/>
  <c r="F34" i="25"/>
  <c r="F32" i="25"/>
  <c r="F30" i="25"/>
  <c r="F28" i="25"/>
  <c r="F22" i="25"/>
  <c r="F20" i="25"/>
  <c r="F18" i="25"/>
  <c r="F16" i="25"/>
  <c r="F14" i="25"/>
  <c r="F12" i="25"/>
  <c r="F10" i="25"/>
  <c r="F55" i="25" s="1"/>
  <c r="F607" i="25" s="1"/>
  <c r="K8" i="25"/>
  <c r="M13" i="25" s="1"/>
  <c r="O8" i="20"/>
  <c r="N8" i="20"/>
  <c r="O7" i="20"/>
  <c r="N7" i="20"/>
  <c r="F51" i="18"/>
  <c r="F50" i="18"/>
  <c r="F49" i="18"/>
  <c r="F46" i="18"/>
  <c r="F45" i="18"/>
  <c r="F44" i="18"/>
  <c r="F41" i="18"/>
  <c r="F40" i="18"/>
  <c r="F39" i="18"/>
  <c r="F38" i="18"/>
  <c r="F35" i="18"/>
  <c r="F34" i="18"/>
  <c r="F33" i="18"/>
  <c r="F32" i="18"/>
  <c r="F29" i="18"/>
  <c r="F28" i="18"/>
  <c r="F27" i="18"/>
  <c r="F26" i="18"/>
  <c r="F23" i="18"/>
  <c r="F22" i="18"/>
  <c r="F19" i="18"/>
  <c r="F18" i="18"/>
  <c r="F15" i="18"/>
  <c r="F14" i="18"/>
  <c r="F11" i="18"/>
  <c r="F10" i="18"/>
  <c r="F7" i="18"/>
  <c r="F6" i="18"/>
  <c r="H41" i="17"/>
  <c r="E41" i="17"/>
  <c r="F41" i="17" s="1"/>
  <c r="H40" i="17"/>
  <c r="E40" i="17"/>
  <c r="F40" i="17" s="1"/>
  <c r="F39" i="17"/>
  <c r="H34" i="17"/>
  <c r="E34" i="17"/>
  <c r="F34" i="17" s="1"/>
  <c r="H33" i="17"/>
  <c r="E33" i="17"/>
  <c r="F33" i="17" s="1"/>
  <c r="H32" i="17"/>
  <c r="E32" i="17"/>
  <c r="F32" i="17" s="1"/>
  <c r="H31" i="17"/>
  <c r="F31" i="17"/>
  <c r="H27" i="17"/>
  <c r="E27" i="17"/>
  <c r="F27" i="17" s="1"/>
  <c r="H26" i="17"/>
  <c r="E26" i="17"/>
  <c r="F26" i="17" s="1"/>
  <c r="H25" i="17"/>
  <c r="E25" i="17"/>
  <c r="F25" i="17" s="1"/>
  <c r="H24" i="17"/>
  <c r="F24" i="17"/>
  <c r="H21" i="17"/>
  <c r="E21" i="17"/>
  <c r="F21" i="17" s="1"/>
  <c r="H20" i="17"/>
  <c r="E20" i="17"/>
  <c r="F20" i="17" s="1"/>
  <c r="H19" i="17"/>
  <c r="E19" i="17"/>
  <c r="F19" i="17" s="1"/>
  <c r="H18" i="17"/>
  <c r="E18" i="17"/>
  <c r="F18" i="17" s="1"/>
  <c r="H17" i="17"/>
  <c r="F17" i="17"/>
  <c r="H14" i="17"/>
  <c r="F14" i="17"/>
  <c r="H12" i="17"/>
  <c r="F12" i="17"/>
  <c r="H11" i="17"/>
  <c r="F11" i="17"/>
  <c r="F10" i="17"/>
  <c r="H9" i="17"/>
  <c r="F491" i="25" l="1"/>
  <c r="F504" i="25"/>
  <c r="F564" i="25"/>
  <c r="F588" i="25" s="1"/>
  <c r="F82" i="25"/>
  <c r="F571" i="25" s="1"/>
  <c r="F231" i="25"/>
  <c r="F574" i="25" s="1"/>
  <c r="F387" i="25"/>
  <c r="F583" i="25" s="1"/>
  <c r="F516" i="25"/>
  <c r="F554" i="25" s="1"/>
  <c r="F587" i="25" s="1"/>
  <c r="F136" i="25"/>
  <c r="F572" i="25" s="1"/>
  <c r="F436" i="25"/>
  <c r="F585" i="25" s="1"/>
  <c r="F453" i="25"/>
  <c r="F586" i="25" s="1"/>
  <c r="F376" i="25"/>
  <c r="F582" i="25" s="1"/>
  <c r="F329" i="25"/>
  <c r="F580" i="25" s="1"/>
  <c r="N332" i="25"/>
  <c r="N334" i="25"/>
  <c r="N336" i="25"/>
  <c r="P336" i="25" s="1"/>
  <c r="F406" i="25"/>
  <c r="F584" i="25" s="1"/>
  <c r="F478" i="25"/>
  <c r="H336" i="27"/>
  <c r="P333" i="25"/>
  <c r="F179" i="25"/>
  <c r="F573" i="25" s="1"/>
  <c r="F304" i="25"/>
  <c r="F579" i="25" s="1"/>
  <c r="P332" i="25"/>
  <c r="P334" i="25"/>
  <c r="P335" i="25"/>
  <c r="F255" i="25"/>
  <c r="F576" i="25" s="1"/>
  <c r="F360" i="25"/>
  <c r="F581" i="25" s="1"/>
  <c r="R333" i="25"/>
  <c r="L9" i="25"/>
  <c r="M14" i="25"/>
  <c r="H120" i="25"/>
  <c r="L11" i="25"/>
  <c r="R334" i="25"/>
  <c r="R335" i="25"/>
  <c r="R332" i="25"/>
  <c r="L10" i="25"/>
  <c r="P7" i="20"/>
  <c r="R7" i="20" s="1"/>
  <c r="P8" i="20"/>
  <c r="R8" i="20" s="1"/>
  <c r="T7" i="20"/>
  <c r="T8" i="20"/>
  <c r="F55" i="18"/>
  <c r="F46" i="17"/>
  <c r="F590" i="25" l="1"/>
  <c r="F609" i="25" s="1"/>
  <c r="F611" i="25" s="1"/>
  <c r="F619" i="25" s="1"/>
  <c r="F621" i="25" s="1"/>
  <c r="F623" i="25" s="1"/>
  <c r="M11" i="25"/>
  <c r="C7" i="38" l="1"/>
  <c r="F7" i="38" s="1"/>
  <c r="C14" i="38"/>
  <c r="F14" i="38" s="1"/>
  <c r="F36" i="38" l="1"/>
  <c r="C11" i="38"/>
  <c r="F11" i="38" s="1"/>
  <c r="E33" i="35"/>
  <c r="G33" i="35" s="1"/>
  <c r="E32" i="35"/>
  <c r="C9" i="38"/>
  <c r="F9" i="38" s="1"/>
  <c r="E34" i="35" l="1"/>
  <c r="G34" i="35" s="1"/>
  <c r="G32" i="35"/>
  <c r="F72" i="38"/>
  <c r="H239" i="38" l="1"/>
  <c r="C9" i="47"/>
  <c r="G36" i="35"/>
  <c r="H36" i="35" s="1"/>
  <c r="S4" i="16"/>
  <c r="T4" i="16" s="1"/>
  <c r="U5" i="16" s="1"/>
  <c r="R6" i="16"/>
  <c r="R7" i="16" s="1"/>
  <c r="S7" i="16"/>
  <c r="H236" i="38" l="1"/>
  <c r="F285" i="30" l="1"/>
  <c r="H286" i="21"/>
  <c r="S11" i="16"/>
  <c r="K218" i="30" l="1"/>
  <c r="S13" i="16"/>
  <c r="H56" i="31"/>
  <c r="F168" i="30"/>
  <c r="S15" i="16"/>
  <c r="K219" i="30" l="1"/>
  <c r="F218" i="30"/>
  <c r="K205" i="30"/>
  <c r="F205" i="30"/>
  <c r="K203" i="30"/>
  <c r="F203" i="30"/>
  <c r="H71" i="19" l="1"/>
  <c r="F83" i="30"/>
  <c r="H33" i="20" l="1"/>
  <c r="K130" i="30"/>
  <c r="L130" i="30" s="1"/>
  <c r="N130" i="30" s="1"/>
  <c r="O130" i="30" s="1"/>
  <c r="K131" i="30"/>
  <c r="L131" i="30" s="1"/>
  <c r="N131" i="30" s="1"/>
  <c r="O131" i="30" s="1"/>
  <c r="F136" i="30"/>
  <c r="F277" i="30" s="1"/>
  <c r="L140" i="30"/>
  <c r="L141" i="30" s="1"/>
  <c r="K136" i="30" l="1"/>
  <c r="I74" i="32" l="1"/>
  <c r="K78" i="32"/>
  <c r="C5" i="47" l="1"/>
  <c r="D7" i="47" l="1"/>
  <c r="G17" i="47" s="1"/>
  <c r="E7" i="32" l="1"/>
  <c r="H7" i="32"/>
  <c r="I17" i="47"/>
  <c r="F17" i="47"/>
  <c r="K21" i="32" l="1"/>
  <c r="J21" i="32"/>
  <c r="M21" i="32"/>
  <c r="C16" i="47" l="1"/>
  <c r="E12" i="15" l="1"/>
  <c r="G12" i="15" s="1"/>
  <c r="H12" i="15" s="1"/>
  <c r="H57" i="15" l="1"/>
  <c r="C7" i="29" s="1"/>
  <c r="C19" i="29" s="1"/>
  <c r="E36" i="29" l="1"/>
  <c r="C7" i="32" l="1"/>
  <c r="C45" i="29"/>
  <c r="C7" i="47"/>
  <c r="D3" i="47" l="1"/>
  <c r="F5" i="47" s="1"/>
  <c r="D9" i="47"/>
  <c r="E9" i="47" s="1"/>
  <c r="D16" i="47"/>
  <c r="D5" i="47"/>
  <c r="E5" i="47" s="1"/>
  <c r="E20" i="47"/>
  <c r="E22" i="47" s="1"/>
  <c r="E17" i="47"/>
  <c r="C9" i="32"/>
  <c r="C62" i="32"/>
  <c r="H3" i="32"/>
  <c r="J5" i="32" s="1"/>
  <c r="H19" i="32"/>
  <c r="H5" i="32"/>
  <c r="I5" i="32" s="1"/>
  <c r="E5" i="32"/>
  <c r="G5" i="32"/>
  <c r="H15" i="32"/>
  <c r="D9" i="32"/>
  <c r="D62" i="32" s="1"/>
  <c r="I21" i="32"/>
  <c r="I26" i="32"/>
  <c r="I28" i="32" s="1"/>
  <c r="C13" i="32" l="1"/>
  <c r="K9" i="32"/>
  <c r="L9" i="32"/>
  <c r="I9" i="32"/>
  <c r="E25" i="32"/>
  <c r="K3" i="32"/>
  <c r="I15" i="32"/>
  <c r="I7" i="32"/>
  <c r="C17" i="32" l="1"/>
  <c r="D14" i="32"/>
  <c r="C75" i="32"/>
  <c r="K31" i="32"/>
  <c r="K35" i="32" s="1"/>
  <c r="J15" i="32"/>
  <c r="H80" i="32" l="1"/>
  <c r="J80" i="32" s="1"/>
  <c r="H79" i="32"/>
  <c r="J79" i="32" s="1"/>
  <c r="H78" i="32"/>
  <c r="H83" i="32"/>
  <c r="J83" i="32" s="1"/>
  <c r="H81" i="32"/>
  <c r="J81" i="32" s="1"/>
  <c r="L81" i="32" s="1"/>
  <c r="H82" i="32"/>
  <c r="J82" i="32" s="1"/>
  <c r="C21" i="32"/>
  <c r="D19" i="32"/>
  <c r="D25" i="32" s="1"/>
  <c r="E34" i="32"/>
  <c r="C10" i="47"/>
  <c r="I19" i="32"/>
  <c r="C25" i="32" l="1"/>
  <c r="N21" i="32"/>
  <c r="J78" i="32"/>
  <c r="J86" i="32" s="1"/>
  <c r="M86" i="32"/>
  <c r="H85" i="32"/>
  <c r="H89" i="32" s="1"/>
  <c r="J89" i="32" s="1"/>
  <c r="E30" i="47"/>
  <c r="E10" i="47"/>
  <c r="C14" i="47"/>
  <c r="E16" i="47" s="1"/>
  <c r="C64" i="47"/>
  <c r="C17" i="47"/>
  <c r="J17" i="47" s="1"/>
  <c r="G10" i="47"/>
  <c r="H10" i="47"/>
  <c r="E7" i="47" l="1"/>
  <c r="D67" i="47"/>
  <c r="D68" i="47"/>
  <c r="D70" i="47"/>
  <c r="D71" i="47"/>
  <c r="D72" i="47"/>
  <c r="D69" i="47"/>
  <c r="C27" i="32"/>
  <c r="C21" i="47" s="1"/>
  <c r="C19" i="47"/>
  <c r="D24" i="47" s="1"/>
  <c r="F70" i="47" l="1"/>
  <c r="H70" i="47" s="1"/>
  <c r="D78"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Chathuranga</author>
  </authors>
  <commentList>
    <comment ref="A79" authorId="0" shapeId="0" xr:uid="{00000000-0006-0000-1600-000001000000}">
      <text>
        <r>
          <rPr>
            <b/>
            <sz val="9"/>
            <color indexed="81"/>
            <rFont val="Tahoma"/>
            <family val="2"/>
          </rPr>
          <t>Chathuranga:</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HB User</author>
  </authors>
  <commentList>
    <comment ref="F71" authorId="0" shapeId="0" xr:uid="{E8D2F0A8-E015-44DC-A2EC-181FF910856B}">
      <text>
        <r>
          <rPr>
            <b/>
            <sz val="9"/>
            <color indexed="81"/>
            <rFont val="Tahoma"/>
            <family val="2"/>
          </rPr>
          <t>HB User:</t>
        </r>
        <r>
          <rPr>
            <sz val="9"/>
            <color indexed="81"/>
            <rFont val="Tahoma"/>
            <family val="2"/>
          </rPr>
          <t xml:space="preserve">
Supreme Ready G.30 Rs.
</t>
        </r>
      </text>
    </comment>
  </commentList>
</comments>
</file>

<file path=xl/sharedStrings.xml><?xml version="1.0" encoding="utf-8"?>
<sst xmlns="http://schemas.openxmlformats.org/spreadsheetml/2006/main" count="10585" uniqueCount="3719">
  <si>
    <t>Nos</t>
  </si>
  <si>
    <t>Description</t>
  </si>
  <si>
    <t>Qty</t>
  </si>
  <si>
    <t>Unit</t>
  </si>
  <si>
    <t>Rate</t>
  </si>
  <si>
    <t>Amount</t>
  </si>
  <si>
    <t>BILL NO. 01</t>
  </si>
  <si>
    <t>1/PR</t>
  </si>
  <si>
    <t>PRELIMINARIES</t>
  </si>
  <si>
    <t>Please refer Specifications &amp; Priceing reambles</t>
  </si>
  <si>
    <t>This Bill Provides for the typical general items complimentary to the works wich are required to be provided by the Contractor in compliance with the Conditions of Contract and Contract Data in the execution of the works according to the Contract.</t>
  </si>
  <si>
    <t>1/PR.1</t>
  </si>
  <si>
    <t>Allow lump sum for providing Securtiy Bonds and Guarantees.</t>
  </si>
  <si>
    <t>Item</t>
  </si>
  <si>
    <t>1/PR.2</t>
  </si>
  <si>
    <t>Allow lump sum for mobilization to site</t>
  </si>
  <si>
    <t>1/PR.3</t>
  </si>
  <si>
    <t>Allow lump sum for insurance of works, plant &amp; machinery,materials, third pary and workmen (All the insurances should be submitted for the end of defect liability period.)</t>
  </si>
  <si>
    <t>1/PR.4</t>
  </si>
  <si>
    <t>Provide lump sum to construct, maintain and removal at end of contract temporary buildings for protection &amp; storage of materials &amp; plant and for workshops.</t>
  </si>
  <si>
    <t>1/PR.5</t>
  </si>
  <si>
    <t>1/PR.6</t>
  </si>
  <si>
    <t>Allow for providing safety, Health and sanitary facilities for Contractor's Staff.</t>
  </si>
  <si>
    <t>1/PR.7</t>
  </si>
  <si>
    <t>1/PR.8</t>
  </si>
  <si>
    <t>Allow for supplying temperory electricity for the work including connections, distribution system for the work internal arrangements and for all payments to the authorities for consumption during construction.</t>
  </si>
  <si>
    <t>By Owner</t>
  </si>
  <si>
    <t>1/PR.9</t>
  </si>
  <si>
    <t>Allow for supplying water for use during the construction including supplying, storing internal arrangements and payment to local authorities for consumption.</t>
  </si>
  <si>
    <t>1/PR.10</t>
  </si>
  <si>
    <t>1/PR.11</t>
  </si>
  <si>
    <t>1/PR.12</t>
  </si>
  <si>
    <t>1/PR.13</t>
  </si>
  <si>
    <t>1/PR.14</t>
  </si>
  <si>
    <t>1/PR.16</t>
  </si>
  <si>
    <t>1/PR.17</t>
  </si>
  <si>
    <t>Allow lum sum for obtaining all necessary approvals from local authorities for proper execution and completion of works.</t>
  </si>
  <si>
    <t>1/PR.18</t>
  </si>
  <si>
    <t>Allow lump sum for obtaining test reports including lab reports for structural works and Chartered electrical Engineer's cerfificate for Electrical installation works.</t>
  </si>
  <si>
    <t>1/PR.19</t>
  </si>
  <si>
    <t xml:space="preserve">Allow lump sum for providing approved samples at site. </t>
  </si>
  <si>
    <t>1/PR.20</t>
  </si>
  <si>
    <t>1/PR.21</t>
  </si>
  <si>
    <t>Allow lump sum for providing progress charts, Construction Programs, Progrress photos (minimum 5 photos every month) bar schedules, shop/working drawings etc.</t>
  </si>
  <si>
    <t>Allow lump sum for providing three(03) copies of " As Built" drawing with Operation manual.</t>
  </si>
  <si>
    <t>TOTAL CARRIED TO GRAND SUMMARY</t>
  </si>
  <si>
    <t>TOTAL CARRIED TO COLLECTION</t>
  </si>
  <si>
    <t>SUPER STRUCTURE</t>
  </si>
  <si>
    <t>In column shaft from ground floor level to First floor level</t>
  </si>
  <si>
    <t>In column shaft from  First floor level to Second floor level</t>
  </si>
  <si>
    <t>In Reinforced beam at First floor level</t>
  </si>
  <si>
    <t>In Reinforced beam at second floor level</t>
  </si>
  <si>
    <t>In Reinforced slab at First floor level</t>
  </si>
  <si>
    <t>In Reinforced Slab at second floor level</t>
  </si>
  <si>
    <t>In staircase from ground floor level to First floor level</t>
  </si>
  <si>
    <t>In staircase from  First floor level to Second floor level</t>
  </si>
  <si>
    <t>m</t>
  </si>
  <si>
    <t>Ground floor</t>
  </si>
  <si>
    <t>First floor</t>
  </si>
  <si>
    <t>Second floor</t>
  </si>
  <si>
    <t>METAL WORK</t>
  </si>
  <si>
    <t>In Ground floor</t>
  </si>
  <si>
    <t>In First floor</t>
  </si>
  <si>
    <t>In Second floor</t>
  </si>
  <si>
    <t>Type of Cables - Kelani or ACL</t>
  </si>
  <si>
    <t>Socket outlets - Orange / Kalani or equlant</t>
  </si>
  <si>
    <t xml:space="preserve">Breaker's - European Brand </t>
  </si>
  <si>
    <t>European brand Digital meter</t>
  </si>
  <si>
    <t>60K SPDS protection system</t>
  </si>
  <si>
    <t>Earth Fault and Phase Fult Protection</t>
  </si>
  <si>
    <t>07 Sets (R,Y,B) LED type phase indicators for Each floor and Lift room.</t>
  </si>
  <si>
    <t>01 Set (R,Y,B) LED type phase indicators with fuses.</t>
  </si>
  <si>
    <t xml:space="preserve">Point wiring for socket outlets 15A - ( 16A Circuits) </t>
  </si>
  <si>
    <t>Supply , Installation &amp; wiring of 15A power Socket Outlet, by using 2X1C 2.5mm^2 Cu /PVC /PVC Cable + 1C2.5 mm^2 Cu/PVC Earth Cable (in radial circuit) through the ceiling ,  wall / partition up to the point including  PVC trucking , outlet and other accessories up to the point.</t>
  </si>
  <si>
    <t>Point wiring for socket outlets 13A - ( 16A Circuits)</t>
  </si>
  <si>
    <t>Supply , Installation &amp; wiring of power Socket Outlet, by using 2X1C 1.5 mm^2 Cu /PVC /PVC Cable + 1C 1.5 mm^2 Cu/PVC Earth Cable (in radial circuit) through the ceiling ,  wall / partition up to the point  including  PVC trucking , outlet and other accessories up to the point.</t>
  </si>
  <si>
    <t xml:space="preserve">Light Point Wiring </t>
  </si>
  <si>
    <t xml:space="preserve">Cu/PVC Earth Cable through the slab &amp; ceiling including PVC conduit, 10A PVC Switch, and other accessories </t>
  </si>
  <si>
    <t>Nr</t>
  </si>
  <si>
    <t>No</t>
  </si>
  <si>
    <t>COLLECTION BILL NO.02 - MAIN BUILDING</t>
  </si>
  <si>
    <t>EXCAVATION &amp; EARTH WORK</t>
  </si>
  <si>
    <t>3A</t>
  </si>
  <si>
    <t>Rs.</t>
  </si>
  <si>
    <t>Allow for turfing &amp; Landscaping work</t>
  </si>
  <si>
    <t>GRAND SUMMARY</t>
  </si>
  <si>
    <t>Bill No.</t>
  </si>
  <si>
    <t>Bill no. 01</t>
  </si>
  <si>
    <t>Bill no. 02</t>
  </si>
  <si>
    <t>MAIN BUILDING</t>
  </si>
  <si>
    <t>SUB TOTAL 01</t>
  </si>
  <si>
    <t>Less : Discount (If any)</t>
  </si>
  <si>
    <t>SUB TOTAL 02</t>
  </si>
  <si>
    <t>Bill no. 05</t>
  </si>
  <si>
    <t>PROVISIONAL SUM</t>
  </si>
  <si>
    <t>SUB TOTAL 03</t>
  </si>
  <si>
    <t>ADD 10% CONTINGENCIES</t>
  </si>
  <si>
    <t>GRAND TOTAL</t>
  </si>
  <si>
    <t>In column shaft</t>
  </si>
  <si>
    <t>In Tie  Beams</t>
  </si>
  <si>
    <t>In staircases</t>
  </si>
  <si>
    <t>Lm</t>
  </si>
  <si>
    <t>steps at ground floor entrance area</t>
  </si>
  <si>
    <t>Telephone socket wiring</t>
  </si>
  <si>
    <t>Data socket wiring .</t>
  </si>
  <si>
    <t>PRPOVISIONAL SUMS - BILL NO . 03</t>
  </si>
  <si>
    <t xml:space="preserve">Earthing System </t>
  </si>
  <si>
    <t>0.47mm thick Zink aluminum valance &amp; barge board</t>
  </si>
  <si>
    <t>In column footing</t>
  </si>
  <si>
    <t>In column shaft from  Second floor level to Lift machinary level</t>
  </si>
  <si>
    <t>In column shaft from  Lift machinary level to water tank level</t>
  </si>
  <si>
    <t>In Reinforced beam at roof &amp; lift machinary level</t>
  </si>
  <si>
    <t>In Reinforced beam at water tank level</t>
  </si>
  <si>
    <t>Ramp at rentrance</t>
  </si>
  <si>
    <t>In Reinforced slab at lift machinary level</t>
  </si>
  <si>
    <t>In Reinforced Slab at water tank level</t>
  </si>
  <si>
    <t>Lift machine area</t>
  </si>
  <si>
    <t>Water tank area</t>
  </si>
  <si>
    <t>12mm Tempered Door (D1) -Size 1800 x 2700mm tempered glazed door with 3'-0" long 2" x 2" class 1 timber handle,  sand blast sticker film and all neccessary  branded fittings ( high quality door lock, hinges, , door stoppers  etc…)and top panel as per the Architect detail.</t>
  </si>
  <si>
    <t>Supply &amp; fix 450mmm high GI steel hand railing with extras according to architect direction for terrace area. Rate shall include for finishing work to accoding to the detail</t>
  </si>
  <si>
    <t>Supply &amp; fix staircase hand railing with extras according to architect direction for staircases. Rate shall include for finishing work to accoding to the detail</t>
  </si>
  <si>
    <t>Supply &amp; fix 1000mmm high GI steel hand railing with extras according to architect direction for balcony area. Rate shall include for finishing work to accoding to the detail</t>
  </si>
  <si>
    <t xml:space="preserve">Supply and instalation of 0.47mm thick Zn/Al  roof with "H" iron frame work &amp; other extras as per architects directions. </t>
  </si>
  <si>
    <t xml:space="preserve">Supply and instalation of 4mm thick clear solid polycorbonate  roof with "H" iron &amp; 50 x 50x 1.2mm box bar frame work &amp; other extras as per architects directions. </t>
  </si>
  <si>
    <t>Tank area</t>
  </si>
  <si>
    <t>Point wiring for socket outlets 5A - ( 6A Circuits)</t>
  </si>
  <si>
    <t>PROPSED THREE STORY LIBREARY BUILDING FOR MINUWANGODA URBAN COUNCIL MINUWANGODA.</t>
  </si>
  <si>
    <t>B</t>
  </si>
  <si>
    <t>Site preparation, Clearing site vegetation, removing bushes, shrubs &amp; top soil to a depth not exceeding 6" and removing all debris away from site.</t>
  </si>
  <si>
    <t>Sqr.</t>
  </si>
  <si>
    <t xml:space="preserve">Manual Excavation for column, wall, staircase foundations in any material (except rock requiring blasting) up to 5'-0" depth, part return fill in and ram and surplus depositted within site as directed.                                                                                                           </t>
  </si>
  <si>
    <t>Cube</t>
  </si>
  <si>
    <t>Shuttering for columns including dismantling in 15mm thick  Plywood board.</t>
  </si>
  <si>
    <r>
      <t xml:space="preserve">Mild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Ground floor .</t>
    </r>
  </si>
  <si>
    <t>Kg</t>
  </si>
  <si>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Aneal binding wire in Ground floor.</t>
    </r>
  </si>
  <si>
    <t>B - EXCAVATION &amp; EARTH WORK</t>
  </si>
  <si>
    <t>Excavation</t>
  </si>
  <si>
    <t>B 01</t>
  </si>
  <si>
    <t xml:space="preserve">Shoring, dewatering and rock blasting if  necessary for the excavation, shall be paid for separately for item B04 - B06                                </t>
  </si>
  <si>
    <t>B 04</t>
  </si>
  <si>
    <t>Sq.ft.</t>
  </si>
  <si>
    <t>Filling &amp; Compaction</t>
  </si>
  <si>
    <t>Note:-</t>
  </si>
  <si>
    <t>Approved earth shall mean filling materials that comply to the following :</t>
  </si>
  <si>
    <t>( a )</t>
  </si>
  <si>
    <t>The earth shall be free of vegetation, roots, boulders, easily decomposable materials, chemicals, industrial waste, plastic etc.</t>
  </si>
  <si>
    <t>( b )</t>
  </si>
  <si>
    <t>The maximum size of particle shall not exceed 75mm.</t>
  </si>
  <si>
    <t>( c )</t>
  </si>
  <si>
    <t>The earth shall be well graded and the silt and clay (fines) content shall not be more than 25%</t>
  </si>
  <si>
    <t>( d )</t>
  </si>
  <si>
    <r>
      <t>The Standerd proctor density shall be grater than 1.70g/cm</t>
    </r>
    <r>
      <rPr>
        <b/>
        <vertAlign val="superscript"/>
        <sz val="11"/>
        <rFont val="Times New Roman"/>
        <family val="1"/>
      </rPr>
      <t>3</t>
    </r>
  </si>
  <si>
    <t>1 km</t>
  </si>
  <si>
    <t>Test</t>
  </si>
  <si>
    <t>Conducting a proctor density check on sample fill matearial.</t>
  </si>
  <si>
    <t>Per Test</t>
  </si>
  <si>
    <t>Field density testing of the compacted earth fill using Sand cone method.</t>
  </si>
  <si>
    <t>Antitermite -Tretement</t>
  </si>
  <si>
    <t xml:space="preserve">Antitermite-treatement for the new construction with applying Biflexthrine 10Tc (Biflex ) or approved equivelant , Dialuted chemicals 1:200 ratio with water after supplying the sealed bottle with lables to the site and should be followed the manufacture standards of application including horizontal &amp; vertical barriers. It should be 10 years warranty on application.  </t>
  </si>
  <si>
    <t xml:space="preserve">  C  -  CONCRETE</t>
  </si>
  <si>
    <t xml:space="preserve">Note: </t>
  </si>
  <si>
    <t xml:space="preserve">The Quality of the concrete should  confirm to the relevant B.S., S.L.S. and ICTAD  specification for Building works. </t>
  </si>
  <si>
    <t>IN - SITU PLAIN CONCRETE</t>
  </si>
  <si>
    <t>C 02</t>
  </si>
  <si>
    <t>C 04</t>
  </si>
  <si>
    <t>IN - SITU REINFORCED CONCRETE</t>
  </si>
  <si>
    <t>L.ft.</t>
  </si>
  <si>
    <t>Nr.</t>
  </si>
  <si>
    <t xml:space="preserve"> READY MIX CONCRETE</t>
  </si>
  <si>
    <t>Cu.m</t>
  </si>
  <si>
    <r>
      <t>Transport charges per Km per m</t>
    </r>
    <r>
      <rPr>
        <vertAlign val="superscript"/>
        <sz val="11"/>
        <rFont val="Times New Roman"/>
        <family val="1"/>
      </rPr>
      <t xml:space="preserve">3 </t>
    </r>
    <r>
      <rPr>
        <sz val="11"/>
        <rFont val="Times New Roman"/>
        <family val="1"/>
      </rPr>
      <t>for over and above 20 km.</t>
    </r>
  </si>
  <si>
    <t>Km</t>
  </si>
  <si>
    <t>Placing , levelling , vibrating the concrete.</t>
  </si>
  <si>
    <t>D  -  FORM WORK</t>
  </si>
  <si>
    <t>Note:</t>
  </si>
  <si>
    <t>(a)</t>
  </si>
  <si>
    <t>The rates given for  items D 02, D 03 to D 08 herein are applicable for plywood sheets of 15 mm thick. Hence  the  rate is valid only if the shuttering / formwork for footing , column ,  beams , lintel, walls, slabs are of 15 mm thick ply boards.</t>
  </si>
  <si>
    <t>(b)</t>
  </si>
  <si>
    <t>Any deviation from the specified materials, specified thickness and the arrangement of formwork given in this document should require the written approval of the Divisional Engineer. Rate for  such deviation from   the item description will be decided by the D(B/SW)</t>
  </si>
  <si>
    <t>(c)</t>
  </si>
  <si>
    <t>For ordinary plywood of 15 mm thick boarding as shuttering, (Even for WBP sheets the same rate shall be applicable).</t>
  </si>
  <si>
    <t>D 01</t>
  </si>
  <si>
    <t xml:space="preserve">Shuttering for sides of foundation with  1" thick  rubber planking  including dismantling </t>
  </si>
  <si>
    <t>D 02</t>
  </si>
  <si>
    <t>Shuttering for sides and bottom of plinth beams, ground beams including dismantling in 15mm thick plywood board.</t>
  </si>
  <si>
    <t>D 03</t>
  </si>
  <si>
    <t>D 05</t>
  </si>
  <si>
    <t xml:space="preserve">Note:   </t>
  </si>
  <si>
    <t>The rates given in Items D09, D10, D11 herein are applicable for Rubber planks. The rubber planks are allowed only for minor works and should be used  with the written approval of the D.E.</t>
  </si>
  <si>
    <t>Shuttering for R.C.C. copings in top of balcony , stair and boundary walls and pre - cast lintel sides</t>
  </si>
  <si>
    <t>E  -  REINFORCEMENT</t>
  </si>
  <si>
    <t>E 01</t>
  </si>
  <si>
    <t>E 02</t>
  </si>
  <si>
    <r>
      <t xml:space="preserve">Mild steel reinforcement to slabs, beams, lintols, columns, footings &amp; etc.. bent to shape, laid in position and tied with         </t>
    </r>
    <r>
      <rPr>
        <sz val="11"/>
        <color indexed="10"/>
        <rFont val="Times New Roman"/>
        <family val="1"/>
      </rPr>
      <t xml:space="preserve">16 B.W.G. </t>
    </r>
    <r>
      <rPr>
        <sz val="11"/>
        <rFont val="Times New Roman"/>
        <family val="1"/>
      </rPr>
      <t>Aneal binding wire in first floor .</t>
    </r>
  </si>
  <si>
    <t>E 03</t>
  </si>
  <si>
    <r>
      <t xml:space="preserve">Mild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second floor .</t>
    </r>
  </si>
  <si>
    <t>E 04</t>
  </si>
  <si>
    <t>E 05</t>
  </si>
  <si>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first  floor.</t>
    </r>
  </si>
  <si>
    <t>E 06</t>
  </si>
  <si>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second floor. </t>
    </r>
  </si>
  <si>
    <t>F  -  BRICK MASONRY</t>
  </si>
  <si>
    <t>F 02</t>
  </si>
  <si>
    <t>Brick work in cement and sand 1:8 in super Structure in ground floor.  ( 9" thick brick work)</t>
  </si>
  <si>
    <t>F 03</t>
  </si>
  <si>
    <t>Brick work in cement and sand 1:8 in 1st floor level.(9" thick brick work)</t>
  </si>
  <si>
    <t>Brick work in cement and sand 1:8 in 2nd floor level.(9" thick brick work)</t>
  </si>
  <si>
    <t>G - CELLULAR  AND SOLID BLOCK MASONRY</t>
  </si>
  <si>
    <t>G 02</t>
  </si>
  <si>
    <t>H  -  RUBBLE MASONRY</t>
  </si>
  <si>
    <t>H 01</t>
  </si>
  <si>
    <t>Random rubble (6"-9") masonry in  cement mortar 1:5 in wall foundation and retaining walls.</t>
  </si>
  <si>
    <t>J  -  FLOORING</t>
  </si>
  <si>
    <t>J 01</t>
  </si>
  <si>
    <t>3/4" thick D.P.C. in cement sand 1:2 finished with 2 coats of D.P.C. tar and blinded with sand.</t>
  </si>
  <si>
    <t>J 02</t>
  </si>
  <si>
    <t>Gauge 700 polythene damp proof membrane with 6" laps laid under floors.</t>
  </si>
  <si>
    <t>J 03</t>
  </si>
  <si>
    <t>Water Proofing</t>
  </si>
  <si>
    <t>K  -  PLASTERING</t>
  </si>
  <si>
    <t>K 01</t>
  </si>
  <si>
    <t>K 02</t>
  </si>
  <si>
    <t>K 03</t>
  </si>
  <si>
    <t>K 04</t>
  </si>
  <si>
    <t>K 05</t>
  </si>
  <si>
    <t>K 06</t>
  </si>
  <si>
    <t>Plastering 3/8" thick to soffit of slab, sunshade, sides and soffit of beams, stair cases and sides of columns in cement and sand 1:3 including floating with lime putty.</t>
  </si>
  <si>
    <t>L -  TILING</t>
  </si>
  <si>
    <t>Tiles should comply with European standard specification CEN 177.</t>
  </si>
  <si>
    <t xml:space="preserve">For Item L01 - L03 Should be tile range manufractured by Lanka Wall Tile or approved equivalant.  </t>
  </si>
  <si>
    <t>Wall Tiling</t>
  </si>
  <si>
    <t>L 02</t>
  </si>
  <si>
    <t>L 04</t>
  </si>
  <si>
    <t>Cement and sand  1:3 screed of  1/2" thick backing to receive wall tiles.</t>
  </si>
  <si>
    <t>Floor Tiling</t>
  </si>
  <si>
    <t>Note :</t>
  </si>
  <si>
    <t>For Item No. L05 to L17 Shall be Homogenous, Vitreous porcelain floor tiles of industrial grade  (heavy duty)  Floor tile range manufractured by Rocell or approved equivalant.  *** Rate includes the cost of 1:3 motar leveling bed.</t>
  </si>
  <si>
    <t>L 05</t>
  </si>
  <si>
    <t>M  -  COLOUR WASHING, PAINTING &amp; POLISHING</t>
  </si>
  <si>
    <t>M 03</t>
  </si>
  <si>
    <t>Q  -  ROOFING AND CEILING</t>
  </si>
  <si>
    <t>Q 01</t>
  </si>
  <si>
    <t>Q 02</t>
  </si>
  <si>
    <t>Q 03</t>
  </si>
  <si>
    <t>Q 04</t>
  </si>
  <si>
    <t>Q 05</t>
  </si>
  <si>
    <t>Q 06</t>
  </si>
  <si>
    <t>S  -  SANITARY FITTINGS</t>
  </si>
  <si>
    <t>S 01</t>
  </si>
  <si>
    <t>S 02</t>
  </si>
  <si>
    <t>S 03</t>
  </si>
  <si>
    <t>S 04</t>
  </si>
  <si>
    <t>S 05</t>
  </si>
  <si>
    <t>S 06</t>
  </si>
  <si>
    <t>S 07</t>
  </si>
  <si>
    <t>S 08</t>
  </si>
  <si>
    <t>S 09</t>
  </si>
  <si>
    <t>S 10</t>
  </si>
  <si>
    <t>S 11</t>
  </si>
  <si>
    <t>S 12</t>
  </si>
  <si>
    <t>S 13</t>
  </si>
  <si>
    <t>T - PLUMBING</t>
  </si>
  <si>
    <t>T 01</t>
  </si>
  <si>
    <t>T 02</t>
  </si>
  <si>
    <t>T 03</t>
  </si>
  <si>
    <t>T 04</t>
  </si>
  <si>
    <t>T 05</t>
  </si>
  <si>
    <t>T 06</t>
  </si>
  <si>
    <t>T 07</t>
  </si>
  <si>
    <t>T 08</t>
  </si>
  <si>
    <t>T 09</t>
  </si>
  <si>
    <t>T 10</t>
  </si>
  <si>
    <t>T 11</t>
  </si>
  <si>
    <t>T 12</t>
  </si>
  <si>
    <t>T 13</t>
  </si>
  <si>
    <t>T 14</t>
  </si>
  <si>
    <t xml:space="preserve">PVC Fittings </t>
  </si>
  <si>
    <t>Water Tanks</t>
  </si>
  <si>
    <t>T 40</t>
  </si>
  <si>
    <t>Supplying and installing 5000 ltr. "Plastishell" or any other water tank  at average 12 ft. height  including transporting and hoisting in position Tank shall have a 5 year warranty from the manufracture.</t>
  </si>
  <si>
    <t xml:space="preserve">Construction of a 12ft. height R.C.C. trestle to lay a 2000 ltr. water tank. ( Water tank measured separately ) </t>
  </si>
  <si>
    <t>No.</t>
  </si>
  <si>
    <t>P.V.C. PIPES</t>
  </si>
  <si>
    <t>All P.V.C. pipes should confirm to S.L.S. 147</t>
  </si>
  <si>
    <t>Water Supply Pipes.</t>
  </si>
  <si>
    <t>Waste Water Pipes.</t>
  </si>
  <si>
    <t>Supplying and Fixing 1 1/4" dia P.V.C. waste pipe (type 600)</t>
  </si>
  <si>
    <t>Supplying and fixing 1 1/2" dia  P.V.C. waste pipe (type 600)</t>
  </si>
  <si>
    <t>Supplying and fixing    2"   dia.  P.V.C waste pipe (type 600)</t>
  </si>
  <si>
    <t>Sewer Pipes.</t>
  </si>
  <si>
    <t>Supplying and laying 4" dia.P.V.C. sewer pipes (type 600) Including cement concrete surrounding 1:3:6: ( 1") as per Drg. No:- WSS 270 - Type I . Excavation paid separately.</t>
  </si>
  <si>
    <t>Supplying and laying 4" dia.P.V.C. sewer pipes (type 600) fixed to wall and floor slab with clips.</t>
  </si>
  <si>
    <t>Pumps &amp; Accessories</t>
  </si>
  <si>
    <t>Water Pressure testing for PVC pipes.</t>
  </si>
  <si>
    <t>Testing of Water tanks &amp; Sumps as per clause 3.8.6 of SCA/4/11</t>
  </si>
  <si>
    <t>U  -  DRAINAGE</t>
  </si>
  <si>
    <t>Waste Water Manhole - Brick</t>
  </si>
  <si>
    <t>U 01</t>
  </si>
  <si>
    <t>U 02</t>
  </si>
  <si>
    <r>
      <t xml:space="preserve">Construction of waste water brick manhole internal size of 1'-3" x 1'-3" &amp; depth upto 2'-0", consist of 3" thick Grade 15 concrete base and 4 1/2" thick brick masonry side walls in 1:3 cement sand mix , 1/2" thick cement rendering in 1:2 to internal &amp; external exposed surfaces of walls finished smooth with neat cement floatings, with 2" thick Grade 20 RCC cover slab with 6mm dia. M.S. rods @ 4" c/c both ways. Rate to include for excavation, necessary formwork , lifting hooks &amp; 3" thick concrete pad as per </t>
    </r>
    <r>
      <rPr>
        <sz val="11"/>
        <color indexed="10"/>
        <rFont val="Times New Roman"/>
        <family val="1"/>
      </rPr>
      <t xml:space="preserve">Drawing No:- </t>
    </r>
    <r>
      <rPr>
        <b/>
        <sz val="11"/>
        <color indexed="10"/>
        <rFont val="Times New Roman"/>
        <family val="1"/>
      </rPr>
      <t>WSS/10/01</t>
    </r>
  </si>
  <si>
    <t>U 03</t>
  </si>
  <si>
    <t>U 04</t>
  </si>
  <si>
    <t>U 05</t>
  </si>
  <si>
    <t>U 06</t>
  </si>
  <si>
    <t>Sewer Manhole - Brick</t>
  </si>
  <si>
    <r>
      <t xml:space="preserve">Construction of brick sewer manhole internal size of 2'-6" x 1'-7" &amp; depth vary from 2'-0" - 3'-0", consist of 6" thick Grade 15 lean concrete base and 9" thick brick masonry side walls in 1:3 cement sand mix ,with 3" thick Grade 20 RCC cover slab with 10mm dia.tor steel @ 6" c/c both ways. Rate to include for excavation, necessary formwork, lifting hooks , concrete pad and 1/2" thick cement  &amp; sand rendering in 1:2 mix trowel smooth with neat grey cement to all internal surfaces , exposed external  surfaces and forming channel with 1:6 benching as per </t>
    </r>
    <r>
      <rPr>
        <sz val="11"/>
        <color indexed="10"/>
        <rFont val="Times New Roman"/>
        <family val="1"/>
      </rPr>
      <t>Drawing No:-</t>
    </r>
    <r>
      <rPr>
        <b/>
        <sz val="11"/>
        <color indexed="10"/>
        <rFont val="Times New Roman"/>
        <family val="1"/>
      </rPr>
      <t xml:space="preserve"> WSS/10/03</t>
    </r>
  </si>
  <si>
    <t>Manhole Covers</t>
  </si>
  <si>
    <t>RCC Manhole cover size of 2'-0" x 2'-0" approx. &amp; 3" thick Consist of  1:2:4(3/4") concrete &amp; 10mm dia. Tor steel bars @ 6" C/C both ways. Rate include necessary formwork and lifting hooks.</t>
  </si>
  <si>
    <t>Gulleys</t>
  </si>
  <si>
    <t xml:space="preserve">Gulley S.W. 4" supplied and fixed including 1:2:4(3/4")concrete gully box. </t>
  </si>
  <si>
    <t>Soakage Pits</t>
  </si>
  <si>
    <r>
      <t xml:space="preserve">Construction of  6'-0" dia. soakage pit  in hard soil including necessary excavation as per </t>
    </r>
    <r>
      <rPr>
        <sz val="11"/>
        <color indexed="10"/>
        <rFont val="Times New Roman"/>
        <family val="1"/>
      </rPr>
      <t>Drawing No:- WSS/SP/02.</t>
    </r>
  </si>
  <si>
    <t>Septic tanks</t>
  </si>
  <si>
    <t>V - ELECTRICAL INSTALLATION.</t>
  </si>
  <si>
    <t>V 05</t>
  </si>
  <si>
    <t>V 06</t>
  </si>
  <si>
    <t>V 07</t>
  </si>
  <si>
    <t>V 08</t>
  </si>
  <si>
    <t>V 09</t>
  </si>
  <si>
    <t>V 10</t>
  </si>
  <si>
    <t>V 11</t>
  </si>
  <si>
    <t>V 12</t>
  </si>
  <si>
    <t>V 13</t>
  </si>
  <si>
    <t>V 14</t>
  </si>
  <si>
    <t>V 15</t>
  </si>
  <si>
    <t>V 16</t>
  </si>
  <si>
    <t>V 17</t>
  </si>
  <si>
    <t>V 18</t>
  </si>
  <si>
    <t>N</t>
  </si>
  <si>
    <t>W - METAL WORK</t>
  </si>
  <si>
    <t>W 01</t>
  </si>
  <si>
    <t>W 02</t>
  </si>
  <si>
    <t>W 03</t>
  </si>
  <si>
    <t>Approved earth supplying and piled at site (measured at piled volume)</t>
  </si>
  <si>
    <t xml:space="preserve">Transport of Bulk material (Earth, Graded quarry dust, ABC mix) per
Km per cube.
</t>
  </si>
  <si>
    <t xml:space="preserve">Compaction  of  Earth  including  watering  in  225mm  thick  layers
(measured on piled volume) using machine Rammer. Rate include hire
charges of the machine rammer. This rate is applicable for building
construction  with earth work not exceeding 50 cubes.  (earth available
at site).
</t>
  </si>
  <si>
    <t xml:space="preserve">Cement concrete 1:3:6 (1") laid to a thickness of 2" in wall foundations,
under column/stair footings, including placing in position,compacting
and curing.
</t>
  </si>
  <si>
    <t xml:space="preserve">Volume Batched Grade 20 concrete prepaired at site  for reinforced and
unreinforced concrete floors laid on ground.   Rate shall include the cost of curing continously  for 5 days. 
</t>
  </si>
  <si>
    <t xml:space="preserve">Volume Batched Grade 25 concrete prepared at site using mixer and
vibrator  in ground  floor.  Rate  shall  include  the  cost  of curing
continously for 7 days. 
</t>
  </si>
  <si>
    <t>UP TO DPC LEVEL</t>
  </si>
  <si>
    <t>Groung floor concrete</t>
  </si>
  <si>
    <r>
      <t>Pumping charge for quantites up to 30 m</t>
    </r>
    <r>
      <rPr>
        <vertAlign val="superscript"/>
        <sz val="11"/>
        <rFont val="Times New Roman"/>
        <family val="1"/>
      </rPr>
      <t xml:space="preserve">3 </t>
    </r>
    <r>
      <rPr>
        <sz val="11"/>
        <rFont val="Times New Roman"/>
        <family val="1"/>
      </rPr>
      <t xml:space="preserve">  by pump car</t>
    </r>
  </si>
  <si>
    <r>
      <t>For more than 30 m</t>
    </r>
    <r>
      <rPr>
        <vertAlign val="superscript"/>
        <sz val="11"/>
        <rFont val="Times New Roman"/>
        <family val="1"/>
      </rPr>
      <t xml:space="preserve">3 </t>
    </r>
    <r>
      <rPr>
        <sz val="11"/>
        <rFont val="Times New Roman"/>
        <family val="1"/>
      </rPr>
      <t>additional pumping charges. (Rate for every m</t>
    </r>
    <r>
      <rPr>
        <vertAlign val="superscript"/>
        <sz val="11"/>
        <rFont val="Times New Roman"/>
        <family val="1"/>
      </rPr>
      <t>3</t>
    </r>
    <r>
      <rPr>
        <sz val="11"/>
        <rFont val="Times New Roman"/>
        <family val="1"/>
      </rPr>
      <t xml:space="preserve"> over and above 30 m</t>
    </r>
    <r>
      <rPr>
        <vertAlign val="superscript"/>
        <sz val="11"/>
        <rFont val="Times New Roman"/>
        <family val="1"/>
      </rPr>
      <t>3</t>
    </r>
    <r>
      <rPr>
        <sz val="11"/>
        <rFont val="Times New Roman"/>
        <family val="1"/>
      </rPr>
      <t>)</t>
    </r>
  </si>
  <si>
    <t>Curing  of  Concrete  slabs  with  ponding  water  or  covering  with polythene sheets and continuous wetting for 7 days.</t>
  </si>
  <si>
    <t xml:space="preserve">Casting of 6" x 6" x 6" concrete cubes on a steel mould, curing for 7
days and testing for compressive strength at an approved  laboratory
(rate includes transport of cubes from site to laboratory ).
</t>
  </si>
  <si>
    <t>Sq.ft</t>
  </si>
  <si>
    <t xml:space="preserve">Ready mix concrete of grade 25(25 N/mm2) confirming to SLS 1144-
1997, transport 20km from batching plant. Rate shall inclue for placing, levelling, vibrating &amp; curing the concrete &amp; pump car cost
</t>
  </si>
  <si>
    <t>Up to DPC level</t>
  </si>
  <si>
    <t xml:space="preserve">Shuttering for floor slab including dismantling in 15mm thick Plywood
board  or steel boarding support by  steel jack up to 13'-0".
</t>
  </si>
  <si>
    <t xml:space="preserve">Shuttering  for  floor  Beams  including  dismantling  in  15mm  thick
plywood board up to 12'-0" soffit height supported by timber props or
steel jacks.
</t>
  </si>
  <si>
    <t xml:space="preserve">In staircase Up to DPC level </t>
  </si>
  <si>
    <r>
      <t xml:space="preserve">Mild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up to Dpc .</t>
    </r>
  </si>
  <si>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Aneal binding wire up to Dpc .</t>
    </r>
  </si>
  <si>
    <t>In Beams</t>
  </si>
  <si>
    <t>In Slab</t>
  </si>
  <si>
    <t>In Staircase</t>
  </si>
  <si>
    <r>
      <t xml:space="preserve">Mild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Third floor .</t>
    </r>
  </si>
  <si>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Third floor. </t>
    </r>
  </si>
  <si>
    <t xml:space="preserve">6" thick cement sand Cellular block wall (blocks confirming to S.L.S.
855  and subject to the approval of sample blocks) in cement and  sand
mortar 1:5 
</t>
  </si>
  <si>
    <t>4" thick cement sand Cellular block wall (blocks confirming to S.L.S.855 and subject to the approval of the quality of the blocks) in cement and sand mortar 1:5</t>
  </si>
  <si>
    <t xml:space="preserve">Application of elastomeric water proofing material capable to withstand
temperature variation for wet areas exposed to sunlight and weathering.
(  balconies,  sun-shades,  concrete  gutters.) rate  shall  include  for
cleaning  the  substrate  and  all  other  work  as  per  manufacturer's
specifications with 10 years warranty on application and shall include
for ponding test for a 300mm water height kept for a period of 48 hours
for horizontal surfaces.          
</t>
  </si>
  <si>
    <t xml:space="preserve">Rendering  1/2"  thick  in  cement  and  sand  1:3  in  R.C.C.  floors  and
paved  floors finished smooth with cement slurry and colour pigment as a roof slab &amp; machine room protecting bed.
</t>
  </si>
  <si>
    <t xml:space="preserve">5/8"  thick  plastering  to  plinth  wall  in  cement  sand  1:3  including
finishing with cement slurry floating.
</t>
  </si>
  <si>
    <t xml:space="preserve">Plastering 5/8" thick to walls in cement and sand 1:5 finished semi-
rough.
</t>
  </si>
  <si>
    <t xml:space="preserve">Plastering 5/8" thick to reveals width not exceeding 6" in cement and
sand 1:5 finished semi-rough.
</t>
  </si>
  <si>
    <t xml:space="preserve">Plastering 5/8" thick to walls in cement and sand 1:5 finished smooth
with skim coat.
</t>
  </si>
  <si>
    <t xml:space="preserve">Plastering 5/8" thick to reveals width not exceeding 6" in cement and
sand 1:5 finished smooth with skim coat </t>
  </si>
  <si>
    <t xml:space="preserve">Glazed  Ceramic   wall  tiling  of  size  24"  x  12"   approved  colour,
supplying and fixing to walls on a 1:3 cement sand mortar layer, and
pointed with tile grout to match the tile. (Rate does not include  the 1:3
cement sand mortar layer and is separately measured under item L02)
(Prime Cost of tile Rs.380.00)
</t>
  </si>
  <si>
    <t xml:space="preserve">Homogeneous porcelain semi - rough floor tile  24" x 24" paving on
1:3 cement &amp; sand bedding and pointed with tile grout to match the
tile. (Prime Cost of tile Rs.860.00)
</t>
  </si>
  <si>
    <t xml:space="preserve">Supplying and laying homogeneous  porcelain tiles at staircase treads
including  nosing  type  paving  on  1:3  cement  &amp;  sand  bedding  and
pointed with tile grout to match the tile.
</t>
  </si>
  <si>
    <t xml:space="preserve">Supply and laying of 4" high skirting including tile grout to match the
tile for staircases. 
</t>
  </si>
  <si>
    <t xml:space="preserve">Supply and laying of 4" high skirting including tile grout to match the
tile of tiling 
</t>
  </si>
  <si>
    <t>Lft</t>
  </si>
  <si>
    <t xml:space="preserve">Painting walls with two coats of emulsion paint including preparing
surface.
</t>
  </si>
  <si>
    <t xml:space="preserve">Painting  walls &amp; soffit with  one  coat  of   wall  primer  
</t>
  </si>
  <si>
    <t xml:space="preserve">Painting soffit with two coats of emulsion paint including preparing
surface.
</t>
  </si>
  <si>
    <t xml:space="preserve">Painting  walls  with  two  coats  of  weathershield  paint  including
preparing surface.
</t>
  </si>
  <si>
    <t xml:space="preserve">Zincalum flashing (0.47mm thick) and  1'6" wide bent to shape and
fixed to wall (without timber coating)
</t>
  </si>
  <si>
    <t xml:space="preserve">Supply  and  fix  proprietary  coated  zincalum  gutter  (minimum  base
metal thickness of sheet 0.4mm and minimum total thickness 0.47mm)
complete with end caps, running joints etc. All joints to be properly
connected with an adequate side laps not less than 225mm length and
with sealant to ensure water tightness along the entire length of the
gutter and including angle iron gutter brackets 25mm x 25mm x 3mm
at 450mm centers with an  adequate slope as directed  and including
application of two coats of each anticorrosive paint and enamel paint to
all steel surfaces to match the gutter fix in position.( Inner size of gutter
150mm x 175mm )
</t>
  </si>
  <si>
    <t xml:space="preserve">Supply  and  fix  proprietary  coated  zincalum  square  down  pipe
(minimum base metal thickness of sheet 0.40mm and minimum total
thickness 0.47mm) complete with necessary socket , elbow &amp; bend.
All joints to be properly connected and with sealant to ensure water
tightness along the entire length. Down pipe brackets @ 1.0m c/c .
</t>
  </si>
  <si>
    <t xml:space="preserve">Supply and  fix Chromium plated single level wash basin  mixer tap
without pop-up  waste with  connection flex  of "S-LON"   brand  model
"XG2-SOH" or approved equivalent with 5 year written warranty from
the authorized agent.
</t>
  </si>
  <si>
    <t xml:space="preserve">Supply  and  fix  white  vitreous  china  floor  standing  wash
pedestal with overflow hole and single tap hole in center of "ROCELL"
brand &amp;  model "Urban D" or approved equivalent complete to working
order inclusive of the 1 1/4" chromium plated waste outlet of "ROCELL"
brand &amp;  model "A706" and 1 1/4" chromium plated siphon cleanable
bottale trap of "ROCELL"  brand &amp;  model "A186".
</t>
  </si>
  <si>
    <t xml:space="preserve">Supply and fix white vitreous china floor standing close coupled semi
back to wall water closet suite with wash down flushing with 6/3 liters
dual  flushing,  including  vario  drain  bend  and  two  lateral  holes  for
bottom water connection , cistern with water inlet from rear of "ROCELL"
brand &amp;  model "Urban D" or approved equivalent complete to working
order inclusive of universal bend of "ROCELL"   brand &amp;
Joint".
</t>
  </si>
  <si>
    <t xml:space="preserve">Supply and fix ceramic urinal with flush valve of "ROCELL"  brand model
DP70013 or approved equivalent complete to working order.
</t>
  </si>
  <si>
    <t xml:space="preserve">Supply  and  fix  Chromium  plated  1/2"  dia.  angle  valve of  "S-LON"
brand model No.JG6(B) or approved equivalent.  
</t>
  </si>
  <si>
    <t xml:space="preserve">Supply and fix 5mm thick mirror of size 18" x 24" double coated with
pencil edge back strecher.
</t>
  </si>
  <si>
    <t xml:space="preserve">Supply and  fix  chromium plated  Soap  Basket  of "ROCELL" brand  &amp;
model "Charming"  or approved equivalent. (Semi-luxuary range )
</t>
  </si>
  <si>
    <t xml:space="preserve">SSupply and fix chromium plated Toilet Paper Holder of "ROCELL"
&amp;  model "Charming"  or approved equivalent.
</t>
  </si>
  <si>
    <t xml:space="preserve">Supply and fix chromium plated 600mm long Single Towel Bar of
"ROCELL"  brand &amp;  model "Charming"  or approved equivalent.
</t>
  </si>
  <si>
    <t xml:space="preserve">Supplying  and  fixing  Plastic  Bidet  Shower  of  "S-lon"  brand  or
approved equivalent.
</t>
  </si>
  <si>
    <t>Supply and fixing 2"  dia  PVC Compact Ball valve.</t>
  </si>
  <si>
    <t xml:space="preserve">Supplying  and  fixing  water  pump  single  phase  manufactured  by  "
Jinasena" Model no:- N110T/1 ,size 1" x 1" , 0.75 H.P. , total head 80'-
0"  ,  out  put  1000  I.g/hr.  as  per  manufacturer's  specifications.  Rate
include for fixing 1" dia. Foot valve approved make, Positioning and
mount the pump on a concrete bed 9" x 9" x 3" thick in 1:2:4(3/4")
with 10mm dia. hexagonal bolts to required lengh , Nuts &amp; Washers
1/16" thick complete in working order using necessary P.V.C. pipes,
specials...etc. &amp; electrical supply from the closest DB. Pipes , specials
&amp; electricity connection paid separatly.
</t>
  </si>
  <si>
    <t xml:space="preserve">Supplying   and   fixing   4'-0"   dia.x   8'-0"   Pre-cast   Septic   tank
manufactured by "SEC" or approved equivalent including excavation
depth not exeeding 8'-0" and sand fill upto 2'-0" hight surrounding the
tank.  Rate  shall  include  hire  charges  of  boomtruck  for  placing  and
subject to specific approval by the Divisional Engineer.
</t>
  </si>
  <si>
    <t xml:space="preserve">Supply and  fix  ceramic  wall  hung  wash  basin  for  disabled  of
"AMERICAN  STANDARD "brand, model 0995-WT with waste &amp; plug A-8006-N or approved equivalent.-Disable wash room
</t>
  </si>
  <si>
    <t xml:space="preserve">Supply and fix white ceramic water closet suite for the disabled of
"AMERICAN    STANDARD"    brand  &amp;   model  Ventura  UP-3200.001.9  ,
Cygnet  tank  PP.4041.020.03.1  and  Seat  and  cover  MTC0903  or
approved equivalent complete to working order.
</t>
  </si>
  <si>
    <t xml:space="preserve">N  - DOORS &amp; WINDOWS </t>
  </si>
  <si>
    <r>
      <rPr>
        <b/>
        <sz val="11"/>
        <rFont val="Times New Roman"/>
        <family val="1"/>
      </rPr>
      <t>P</t>
    </r>
    <r>
      <rPr>
        <sz val="11"/>
        <rFont val="Times New Roman"/>
        <family val="1"/>
      </rPr>
      <t xml:space="preserve">rovide lump sum to construct furnish, maintain and removal at end of contract contractor's office and Engineers office separately. </t>
    </r>
  </si>
  <si>
    <r>
      <rPr>
        <b/>
        <sz val="11"/>
        <rFont val="Times New Roman"/>
        <family val="1"/>
      </rPr>
      <t>P</t>
    </r>
    <r>
      <rPr>
        <sz val="11"/>
        <rFont val="Times New Roman"/>
        <family val="1"/>
      </rPr>
      <t>rovide lump sum for electronic equipment and setting out of the works.</t>
    </r>
  </si>
  <si>
    <r>
      <rPr>
        <b/>
        <sz val="11"/>
        <rFont val="Times New Roman"/>
        <family val="1"/>
      </rPr>
      <t>P</t>
    </r>
    <r>
      <rPr>
        <sz val="11"/>
        <rFont val="Times New Roman"/>
        <family val="1"/>
      </rPr>
      <t>rovide lump sum for providing temporary water supply for the use of works.</t>
    </r>
  </si>
  <si>
    <r>
      <rPr>
        <b/>
        <sz val="11"/>
        <rFont val="Times New Roman"/>
        <family val="1"/>
      </rPr>
      <t>P</t>
    </r>
    <r>
      <rPr>
        <sz val="11"/>
        <rFont val="Times New Roman"/>
        <family val="1"/>
      </rPr>
      <t>rovide lump sum for temporary electricity services for the use of works</t>
    </r>
  </si>
  <si>
    <r>
      <rPr>
        <b/>
        <sz val="11"/>
        <rFont val="Times New Roman"/>
        <family val="1"/>
      </rPr>
      <t>P</t>
    </r>
    <r>
      <rPr>
        <sz val="11"/>
        <rFont val="Times New Roman"/>
        <family val="1"/>
      </rPr>
      <t>rovide lump sum for necessary protective fencing, hoarding and temporary dust screen, to fully cover from dust and particles etc. around buildings due to construction activities as directed by the Engineer</t>
    </r>
  </si>
  <si>
    <r>
      <rPr>
        <b/>
        <sz val="11"/>
        <rFont val="Times New Roman"/>
        <family val="1"/>
      </rPr>
      <t>P</t>
    </r>
    <r>
      <rPr>
        <sz val="11"/>
        <rFont val="Times New Roman"/>
        <family val="1"/>
      </rPr>
      <t>rovide lump sum for necessary warning notices, adequate night lighting etc.</t>
    </r>
  </si>
  <si>
    <r>
      <rPr>
        <b/>
        <sz val="11"/>
        <rFont val="Times New Roman"/>
        <family val="1"/>
      </rPr>
      <t>P</t>
    </r>
    <r>
      <rPr>
        <sz val="11"/>
        <rFont val="Times New Roman"/>
        <family val="1"/>
      </rPr>
      <t>rovide lump sum for providing security and safeguarding the works, material &amp; plant against damage, vandalism and trespass.</t>
    </r>
  </si>
  <si>
    <r>
      <rPr>
        <b/>
        <sz val="11"/>
        <rFont val="Times New Roman"/>
        <family val="1"/>
      </rPr>
      <t>P</t>
    </r>
    <r>
      <rPr>
        <sz val="11"/>
        <rFont val="Times New Roman"/>
        <family val="1"/>
      </rPr>
      <t>rovide lump sum for demobilization, removal of all rubbish &amp; debris and clearing up site on completion, leaving all in good order and handing over.</t>
    </r>
  </si>
  <si>
    <t>B 02</t>
  </si>
  <si>
    <t>B 03</t>
  </si>
  <si>
    <t>B 05</t>
  </si>
  <si>
    <t>B 06</t>
  </si>
  <si>
    <t>B 07</t>
  </si>
  <si>
    <t>B 08</t>
  </si>
  <si>
    <t>C 01</t>
  </si>
  <si>
    <t>C2.1</t>
  </si>
  <si>
    <t>C2.2</t>
  </si>
  <si>
    <t>C2.3</t>
  </si>
  <si>
    <t>C2.4</t>
  </si>
  <si>
    <t>C 03</t>
  </si>
  <si>
    <t>C3.1</t>
  </si>
  <si>
    <t>C3.2</t>
  </si>
  <si>
    <t>C3.3</t>
  </si>
  <si>
    <t>C4.1</t>
  </si>
  <si>
    <t>C4.3</t>
  </si>
  <si>
    <t>C4.2</t>
  </si>
  <si>
    <t>C4.4</t>
  </si>
  <si>
    <t>C 05</t>
  </si>
  <si>
    <t>C5.1</t>
  </si>
  <si>
    <t>C5.2</t>
  </si>
  <si>
    <t>C5.3</t>
  </si>
  <si>
    <t>C5.4</t>
  </si>
  <si>
    <t>C5.5</t>
  </si>
  <si>
    <t>C5.6</t>
  </si>
  <si>
    <t>C5.7</t>
  </si>
  <si>
    <t>C5.8</t>
  </si>
  <si>
    <t>C5.9</t>
  </si>
  <si>
    <t>C5.10</t>
  </si>
  <si>
    <t>C5.11</t>
  </si>
  <si>
    <t>C5.12</t>
  </si>
  <si>
    <t>C5.13</t>
  </si>
  <si>
    <t>C5.14</t>
  </si>
  <si>
    <t>C5.15</t>
  </si>
  <si>
    <t>C5.16</t>
  </si>
  <si>
    <t>D 1.1</t>
  </si>
  <si>
    <t>D 1.2</t>
  </si>
  <si>
    <t>D 1.3</t>
  </si>
  <si>
    <t>D 04</t>
  </si>
  <si>
    <t>D 3.1</t>
  </si>
  <si>
    <t>D 3.2</t>
  </si>
  <si>
    <t>D 3.3</t>
  </si>
  <si>
    <t>D 3.4</t>
  </si>
  <si>
    <t>D 4.1</t>
  </si>
  <si>
    <t>D 4.2</t>
  </si>
  <si>
    <t>D 4.3</t>
  </si>
  <si>
    <t>D 4.4</t>
  </si>
  <si>
    <t>D 06</t>
  </si>
  <si>
    <t>D 5.1</t>
  </si>
  <si>
    <t>D 5.2</t>
  </si>
  <si>
    <t>D 5.3</t>
  </si>
  <si>
    <t>D 5.4</t>
  </si>
  <si>
    <t>D 6.1</t>
  </si>
  <si>
    <t>D 6.2</t>
  </si>
  <si>
    <t>D 6.3</t>
  </si>
  <si>
    <t>E1.1</t>
  </si>
  <si>
    <t>E1.2</t>
  </si>
  <si>
    <t>E2.1</t>
  </si>
  <si>
    <t>E2.2</t>
  </si>
  <si>
    <t>E3.1</t>
  </si>
  <si>
    <t>E3.2</t>
  </si>
  <si>
    <t>E4.1</t>
  </si>
  <si>
    <t>E4.2</t>
  </si>
  <si>
    <t>E5.1</t>
  </si>
  <si>
    <t>E5.2</t>
  </si>
  <si>
    <t>E6.1</t>
  </si>
  <si>
    <t>E6.2</t>
  </si>
  <si>
    <t>E6.3</t>
  </si>
  <si>
    <t>E6.4</t>
  </si>
  <si>
    <t>E 07</t>
  </si>
  <si>
    <t>E7.1</t>
  </si>
  <si>
    <t>E7.3</t>
  </si>
  <si>
    <t>E7.2</t>
  </si>
  <si>
    <t>E7.4</t>
  </si>
  <si>
    <t>E 08</t>
  </si>
  <si>
    <t>E8.1</t>
  </si>
  <si>
    <t>E8.2</t>
  </si>
  <si>
    <t>E8.3</t>
  </si>
  <si>
    <t>E8.4</t>
  </si>
  <si>
    <t>E 09</t>
  </si>
  <si>
    <t>E9.1</t>
  </si>
  <si>
    <t>E9.2</t>
  </si>
  <si>
    <t>E9.3</t>
  </si>
  <si>
    <t>E 10</t>
  </si>
  <si>
    <t>E10.1</t>
  </si>
  <si>
    <t>E10.2</t>
  </si>
  <si>
    <t>E10.3</t>
  </si>
  <si>
    <t>F 01</t>
  </si>
  <si>
    <t>G 01</t>
  </si>
  <si>
    <t>G1.1</t>
  </si>
  <si>
    <t>G1.2</t>
  </si>
  <si>
    <t>G1.3</t>
  </si>
  <si>
    <t>G1.4</t>
  </si>
  <si>
    <t>G2.1</t>
  </si>
  <si>
    <t>G2.2</t>
  </si>
  <si>
    <t>G2.3</t>
  </si>
  <si>
    <t>J3.1</t>
  </si>
  <si>
    <t>J3.2</t>
  </si>
  <si>
    <t>J 04</t>
  </si>
  <si>
    <t>K2.1</t>
  </si>
  <si>
    <t>K2.2</t>
  </si>
  <si>
    <t>K2.3</t>
  </si>
  <si>
    <t>K2.4</t>
  </si>
  <si>
    <t>K2.5</t>
  </si>
  <si>
    <t>K4.1</t>
  </si>
  <si>
    <t>K4.4</t>
  </si>
  <si>
    <t>K4.2</t>
  </si>
  <si>
    <t>K4.3</t>
  </si>
  <si>
    <t>K4.5</t>
  </si>
  <si>
    <t>K6.1</t>
  </si>
  <si>
    <t>K6.2</t>
  </si>
  <si>
    <t>K6.3</t>
  </si>
  <si>
    <t>K6.4</t>
  </si>
  <si>
    <t>L 01</t>
  </si>
  <si>
    <t>L1.1</t>
  </si>
  <si>
    <t>L1.2</t>
  </si>
  <si>
    <t>L 03</t>
  </si>
  <si>
    <t>L3.1</t>
  </si>
  <si>
    <t>L3.2</t>
  </si>
  <si>
    <t>L3.3</t>
  </si>
  <si>
    <t>L 06</t>
  </si>
  <si>
    <t>M 01</t>
  </si>
  <si>
    <t>M1.1</t>
  </si>
  <si>
    <t>M1.2</t>
  </si>
  <si>
    <t>M1.3</t>
  </si>
  <si>
    <t>M1.4</t>
  </si>
  <si>
    <t>M1.5</t>
  </si>
  <si>
    <t>M 02</t>
  </si>
  <si>
    <t>M2.1</t>
  </si>
  <si>
    <t>M2.5</t>
  </si>
  <si>
    <t>M2.4</t>
  </si>
  <si>
    <t>M2.2</t>
  </si>
  <si>
    <t>M2.3</t>
  </si>
  <si>
    <t>M 04</t>
  </si>
  <si>
    <t>M3.1</t>
  </si>
  <si>
    <t>M4.1</t>
  </si>
  <si>
    <t>M4.2</t>
  </si>
  <si>
    <t>M3.2</t>
  </si>
  <si>
    <t>M3.3</t>
  </si>
  <si>
    <t>M3.4</t>
  </si>
  <si>
    <t>M4.3</t>
  </si>
  <si>
    <t>M4.4</t>
  </si>
  <si>
    <t>M4.5</t>
  </si>
  <si>
    <t>N 01</t>
  </si>
  <si>
    <t>N 02</t>
  </si>
  <si>
    <t>N 03</t>
  </si>
  <si>
    <t>N 04</t>
  </si>
  <si>
    <t>N 05</t>
  </si>
  <si>
    <t>N 06</t>
  </si>
  <si>
    <t>C</t>
  </si>
  <si>
    <t>D</t>
  </si>
  <si>
    <t>E</t>
  </si>
  <si>
    <t>F</t>
  </si>
  <si>
    <t>G</t>
  </si>
  <si>
    <t>H</t>
  </si>
  <si>
    <t>J</t>
  </si>
  <si>
    <t>K</t>
  </si>
  <si>
    <t>L</t>
  </si>
  <si>
    <t>M</t>
  </si>
  <si>
    <t>Q</t>
  </si>
  <si>
    <t>S</t>
  </si>
  <si>
    <t>T</t>
  </si>
  <si>
    <t>U</t>
  </si>
  <si>
    <t>V</t>
  </si>
  <si>
    <t>W</t>
  </si>
  <si>
    <t>CONCRETE</t>
  </si>
  <si>
    <t>FORM WORK</t>
  </si>
  <si>
    <t>REINFORCEMENT</t>
  </si>
  <si>
    <t>BRICK MASONRY</t>
  </si>
  <si>
    <t>CELLULAR  AND SOLID BLOCK MASONRY</t>
  </si>
  <si>
    <t>RUBBLE MASONRY</t>
  </si>
  <si>
    <t>FLOORING</t>
  </si>
  <si>
    <t>PLASTERING</t>
  </si>
  <si>
    <t>TILING</t>
  </si>
  <si>
    <t>COLOUR WASHING, PAINTING &amp; POLISHING</t>
  </si>
  <si>
    <t xml:space="preserve">DOORS &amp; WINDOWS </t>
  </si>
  <si>
    <t>ROOFING AND CEILING</t>
  </si>
  <si>
    <t>SANITARY FITTINGS</t>
  </si>
  <si>
    <t>PLUMBING</t>
  </si>
  <si>
    <t>DRAINAGE</t>
  </si>
  <si>
    <t>ELECTRICAL INSTALLATION.</t>
  </si>
  <si>
    <t>Sqft</t>
  </si>
  <si>
    <r>
      <rPr>
        <b/>
        <sz val="11"/>
        <rFont val="Times New Roman"/>
        <family val="1"/>
      </rPr>
      <t>Openable Single Sash Door ( Fully Glazed )</t>
    </r>
    <r>
      <rPr>
        <sz val="11"/>
        <rFont val="Times New Roman"/>
        <family val="1"/>
      </rPr>
      <t xml:space="preserve"> 
Black powder coated aluminium single sash butt hinged openable door with middle rail and glazed with 5mm thick clear glass panes, neoprene and wooled beading,  gaskets,  pop  rivots,  threaded  bar  with  nut  and  approved quality lock, butt hinges, door handle with cap nut. As per the members , sizes and details given in Drawing No:- AR/TYPE PLAN/DOORS &amp;WINDOWS/ 2015.04.01/ DETAIL 03 - D6
</t>
    </r>
  </si>
  <si>
    <r>
      <rPr>
        <b/>
        <sz val="11"/>
        <rFont val="Times New Roman"/>
        <family val="1"/>
      </rPr>
      <t>Sliding Window</t>
    </r>
    <r>
      <rPr>
        <sz val="11"/>
        <rFont val="Times New Roman"/>
        <family val="1"/>
      </rPr>
      <t xml:space="preserve">
Black powder coated aluminium sliding window ,consisting of 5mm thick clear glasspanels , lock, roller, screws, gaskets, nut felt, pop rivots, cap, plastic guide etc. As per the members , sizes and details given in Drawing No:-AR/ TYPE PLAN/ DOORS &amp; WINDOWS/ 2015.04.01/ DETAIL 11 -W9
</t>
    </r>
  </si>
  <si>
    <r>
      <rPr>
        <b/>
        <sz val="11"/>
        <rFont val="Times New Roman"/>
        <family val="1"/>
      </rPr>
      <t xml:space="preserve"> Partition Door Fully Panelled with Laminated Plywood 
(two sheets kept back to back)</t>
    </r>
    <r>
      <rPr>
        <sz val="11"/>
        <rFont val="Times New Roman"/>
        <family val="1"/>
      </rPr>
      <t xml:space="preserve">
Black powder coated aluminium single sash butt hinged openable door with middle rail and fully panelled with 2.5mm thick single side laminated plywood,(  two  pannels  kept  back  to  back  ),  neoprene  and  wooled  beading, gaskets, pop rivots, threaded bar with nut and approved quality lock, butt hinges, door handle with cap nut. As per the members , sizes and
details   given   in   Drawing   No:-   AR/TYPE   PLAN/DOORS   &amp;
WINDOWS/ 2015.04.01/ DETAIL 19 - D21
</t>
    </r>
  </si>
  <si>
    <t xml:space="preserve">Black powder coated aluminium fixed glazed fanlight with 5mm thick clear glass and screws, pop rivots, gasket and wool felt etc.
</t>
  </si>
  <si>
    <t>Badullage1982</t>
  </si>
  <si>
    <t xml:space="preserve">Supplying and wiring 4 x 16mm2  (7/0.064") PVC/PVC/ Cu cable +
16mm2     (7/.064")  earth  wire  complete  to working  order excluding
conduit/casing   
</t>
  </si>
  <si>
    <t>Supply , Installation &amp; wiring of power Socket Outlet, by using  2X1C 1.13mm^2 Cu/PVC /PVC Cable +  1C  7/0.67 mm^2 Earth Cable (in radial circuit) through the ceiling ,  wall / partition up to the point  including  PVC trucking , outlet and other accessories up to the point.</t>
  </si>
  <si>
    <t>Supply &amp; Installation of light Point Wiring, by using 2X1C 1.13mm^2 Cu/PVC /PVC Cable +  1C 7/0.67</t>
  </si>
  <si>
    <t xml:space="preserve">Installation  of -Outdoor Light Fittings - Weatherproof  IP65  rated  wall  mounted  cylindrical  shaped  up  down
ward  light  fitting  of  "Simy"  Brand  &amp;  Model  No:SIYWB3027  or
approved equivalent.(with CFL)      
</t>
  </si>
  <si>
    <t xml:space="preserve">Installation  of - Light Fittings - 2'-0" x 2'-0" Recessed mounted fluorescent lamp fittings with full
parabolic polished aluminium mirror louver and 3 nos of 18W
fluorescent bulbs (T8) of "Simy" Brand &amp; Model No:SIYPL-T8 or
approved equivalent.
</t>
  </si>
  <si>
    <t>8" clear transparent glass globe pendent type light fitting of "Simy"</t>
  </si>
  <si>
    <t>Brand &amp; Model No:SIYWB937 or approved equivalent.(with CFL)</t>
  </si>
  <si>
    <t>Installation  of - Light Fittings Wall LamP ( PC Sum 3000.00 )</t>
  </si>
  <si>
    <t>( Sample to be submit before intalation with specifications for approvals )</t>
  </si>
  <si>
    <t>2'-0" long single fluorescent lamp fitting , suspension - round prismatic diffuser with 1 no of 18W fluorescent bulb (T8) of "Simy" Brand &amp; Model No:SIYBLD120 or approved equivalent.</t>
  </si>
  <si>
    <t>Ceiling fan 56" Sweep (USHA - Atom ) or approved equivalent brand</t>
  </si>
  <si>
    <t xml:space="preserve">Supplying and Installation of earth - Provide an earth electrode 6'-0" long , 2" dia. x 3.6mm thick medium
duty GI pipe.  Rate  shall  include  connection  to the main  panel, sub
main, earth clips&amp; etc. with 1'-0" x 1'-0" x 1'-0" earth pit consist of 4
1/2" brick work , 3" thick Grade 20 concrete cover slab.
</t>
  </si>
  <si>
    <t>Fix Glass - 12mm thick fix tempered glass work , out of 25 x 50mm SS "U" frame  including sand blast sticker film with all necessary  fittings as per the Architect detail drawing.</t>
  </si>
  <si>
    <t>Supplying laying  and/or fixing 1/2" dia. P.V.C. pipes        Type 1000  (Without Specials ).</t>
  </si>
  <si>
    <t>Supplying laying  and/or fixing 3/4" dia. P.V.C. pipes        Type 1000  (Without Specials ).</t>
  </si>
  <si>
    <t>Supplying laying  and/or fixing 1" dia. P.V.C. pipes Type 1000  (Without Specials ).</t>
  </si>
  <si>
    <t>Supplying laying  and/or fixing 1 1/4" dia. P.V.C. pipes Type 1000  (Without Specials ).</t>
  </si>
  <si>
    <t>Supplying laying  and/or fixing 2" dia. P.V.C. pipes Type 1000 (Without Specials ).</t>
  </si>
  <si>
    <t>V01</t>
  </si>
  <si>
    <t>Main Power Distribution Panel ( Ground Floor )</t>
  </si>
  <si>
    <t>Supply ,install and wire the foollowing items in the disdribution board.</t>
  </si>
  <si>
    <t xml:space="preserve"> 63A 4P MCCB with shount coil</t>
  </si>
  <si>
    <t xml:space="preserve">125A 4P Automatic Chainge over </t>
  </si>
  <si>
    <t>40A 4P  MCCB</t>
  </si>
  <si>
    <t xml:space="preserve"> 40A 4P 30mA RCCB</t>
  </si>
  <si>
    <t>40A 2P  MCCB</t>
  </si>
  <si>
    <t xml:space="preserve"> 40A 2P 30mA RCCB</t>
  </si>
  <si>
    <t>02 Set (R,Y,B) LED type phase indicators for Generator and CEB.</t>
  </si>
  <si>
    <t>CT Coil Set</t>
  </si>
  <si>
    <t>63A Busbar Set</t>
  </si>
  <si>
    <t>Cables Lugs and other suppotive meterials1</t>
  </si>
  <si>
    <t xml:space="preserve">Floor Mount type, Powder coated metal Enclosure with front door, metal locks &amp; front cover plate. ( Other required supportive materials should include ) </t>
  </si>
  <si>
    <t>V02</t>
  </si>
  <si>
    <t>SUB DB-GF - 01 Row Power Distribution Ground Floor</t>
  </si>
  <si>
    <t xml:space="preserve"> 40 A 4P MCCB </t>
  </si>
  <si>
    <t xml:space="preserve"> 32A 2P MCCB</t>
  </si>
  <si>
    <t xml:space="preserve"> 6A SP MCB</t>
  </si>
  <si>
    <t>16A SP MCB</t>
  </si>
  <si>
    <t>Bus bars, Cables abd suppotive meterials</t>
  </si>
  <si>
    <t>Labour charges</t>
  </si>
  <si>
    <t xml:space="preserve">Wall Mount surface Type, Powder coated metal Enclosure with front door, metal locks &amp; front cover plate. </t>
  </si>
  <si>
    <t>V03</t>
  </si>
  <si>
    <t>SUB DB-FF - 01 Row Power Distribution First Floor</t>
  </si>
  <si>
    <t>V04</t>
  </si>
  <si>
    <t>SUB DB-SF - 01 Row Power Distribution Second Floor</t>
  </si>
  <si>
    <t>VO1/1</t>
  </si>
  <si>
    <t>VO1/2</t>
  </si>
  <si>
    <t>VO1/3</t>
  </si>
  <si>
    <t>VO1/4</t>
  </si>
  <si>
    <t>VO1/5</t>
  </si>
  <si>
    <t>VO1/6</t>
  </si>
  <si>
    <t>VO1/7</t>
  </si>
  <si>
    <t>VO1/8</t>
  </si>
  <si>
    <t>VO1/9</t>
  </si>
  <si>
    <t>VO1/10</t>
  </si>
  <si>
    <t>VO1/11</t>
  </si>
  <si>
    <t>VO1/12</t>
  </si>
  <si>
    <t>VO1/13</t>
  </si>
  <si>
    <t>VO1/14</t>
  </si>
  <si>
    <t>VO1/15</t>
  </si>
  <si>
    <t>VO 04/1</t>
  </si>
  <si>
    <t>VO 04/2</t>
  </si>
  <si>
    <t>VO 04/3</t>
  </si>
  <si>
    <t>VO 04/4</t>
  </si>
  <si>
    <t>VO 04/5</t>
  </si>
  <si>
    <t>VO 04/6</t>
  </si>
  <si>
    <t>VO 04/7</t>
  </si>
  <si>
    <t>VO 04/8</t>
  </si>
  <si>
    <t>VO 04/9</t>
  </si>
  <si>
    <t>VO 02/01</t>
  </si>
  <si>
    <t>VO 02/02</t>
  </si>
  <si>
    <t>VO 02/03</t>
  </si>
  <si>
    <t>VO 02/04</t>
  </si>
  <si>
    <t>VO 02/05</t>
  </si>
  <si>
    <t>VO 02/06</t>
  </si>
  <si>
    <t>VO 02/07</t>
  </si>
  <si>
    <t>VO 02/08</t>
  </si>
  <si>
    <t>VO 02/09</t>
  </si>
  <si>
    <t>VO 03/1</t>
  </si>
  <si>
    <t>VO 03/2</t>
  </si>
  <si>
    <t>VO 03/3</t>
  </si>
  <si>
    <t>VO 03/4</t>
  </si>
  <si>
    <t>VO 03/5</t>
  </si>
  <si>
    <t>VO 03/6</t>
  </si>
  <si>
    <t>VO 03/7</t>
  </si>
  <si>
    <t>VO 03/8</t>
  </si>
  <si>
    <t>VO 03/9</t>
  </si>
  <si>
    <r>
      <t>Wall Mount surface Type, Powder coated metal Enclosure with front door, metal locks &amp; front cover plate.</t>
    </r>
    <r>
      <rPr>
        <b/>
        <sz val="10"/>
        <color rgb="FFFF0000"/>
        <rFont val="Times New Roman"/>
        <family val="1"/>
      </rPr>
      <t xml:space="preserve"> </t>
    </r>
  </si>
  <si>
    <t>V 19</t>
  </si>
  <si>
    <t xml:space="preserve">Allow for any other  item/Items that may be required but those not given above to full fill the Architectural design (Attached separate list of such items) </t>
  </si>
  <si>
    <t>NO</t>
  </si>
  <si>
    <t>DESCRIPTION</t>
  </si>
  <si>
    <t>NOS</t>
  </si>
  <si>
    <t>LENGTH</t>
  </si>
  <si>
    <t>WIDTH</t>
  </si>
  <si>
    <t>HEIGHT</t>
  </si>
  <si>
    <t>QTY</t>
  </si>
  <si>
    <t>T.QTY</t>
  </si>
  <si>
    <t>UNIT</t>
  </si>
  <si>
    <t>excavation</t>
  </si>
  <si>
    <t>dry earth filling</t>
  </si>
  <si>
    <t>anti termite</t>
  </si>
  <si>
    <t>m2</t>
  </si>
  <si>
    <t>m3</t>
  </si>
  <si>
    <t>2"screed concrete</t>
  </si>
  <si>
    <t>rrm</t>
  </si>
  <si>
    <t>A/C    1-7</t>
  </si>
  <si>
    <t>1/7    A-C</t>
  </si>
  <si>
    <t>2/3/4  A-C</t>
  </si>
  <si>
    <t>5  A-B</t>
  </si>
  <si>
    <t>B/C  2-7</t>
  </si>
  <si>
    <t>A/B  1-3</t>
  </si>
  <si>
    <t>A  3-4</t>
  </si>
  <si>
    <t>A/B  4-5</t>
  </si>
  <si>
    <t>parking 3/4</t>
  </si>
  <si>
    <t>toilet</t>
  </si>
  <si>
    <t>Column base</t>
  </si>
  <si>
    <t>column base concrete</t>
  </si>
  <si>
    <t>column shaft concrete</t>
  </si>
  <si>
    <t>tie beam concrete</t>
  </si>
  <si>
    <t>staircase base</t>
  </si>
  <si>
    <t>C2.5</t>
  </si>
  <si>
    <t>In Lift</t>
  </si>
  <si>
    <t>ground floor concrete</t>
  </si>
  <si>
    <t>Varandah</t>
  </si>
  <si>
    <t>car porch</t>
  </si>
  <si>
    <t>Varandah  floor area</t>
  </si>
  <si>
    <t>Car porch floor  area</t>
  </si>
  <si>
    <t>Lift floor area</t>
  </si>
  <si>
    <t>C3.4</t>
  </si>
  <si>
    <t>lift floor</t>
  </si>
  <si>
    <t>column shaft</t>
  </si>
  <si>
    <t>1st to second floor level</t>
  </si>
  <si>
    <t>G.floor to 1st floor level</t>
  </si>
  <si>
    <t>1st floor beam</t>
  </si>
  <si>
    <t>second floor beam</t>
  </si>
  <si>
    <t>water tank beam</t>
  </si>
  <si>
    <t>1st floor slab</t>
  </si>
  <si>
    <t>baclocny</t>
  </si>
  <si>
    <t>sunshade</t>
  </si>
  <si>
    <t>second floor slab</t>
  </si>
  <si>
    <t>slab water tank level</t>
  </si>
  <si>
    <t>staircase concrete</t>
  </si>
  <si>
    <t>Gf - ff</t>
  </si>
  <si>
    <t>ff to s.f</t>
  </si>
  <si>
    <t>concrete placing</t>
  </si>
  <si>
    <t>pumping car charges</t>
  </si>
  <si>
    <t>slab ponding</t>
  </si>
  <si>
    <t>test mold</t>
  </si>
  <si>
    <t>column base</t>
  </si>
  <si>
    <t xml:space="preserve">plinth beam </t>
  </si>
  <si>
    <t>gf to 1st floor</t>
  </si>
  <si>
    <t>1st to second floor</t>
  </si>
  <si>
    <t>second to roof level</t>
  </si>
  <si>
    <t>slab formwork</t>
  </si>
  <si>
    <t>beam formwork</t>
  </si>
  <si>
    <t>staircase formwork</t>
  </si>
  <si>
    <t>A/C  1-7</t>
  </si>
  <si>
    <t>1/7  A-C</t>
  </si>
  <si>
    <t>225mm brick Ground floor level</t>
  </si>
  <si>
    <t>2  B-C</t>
  </si>
  <si>
    <t>3  A-B</t>
  </si>
  <si>
    <t>3  B-C</t>
  </si>
  <si>
    <t>lift</t>
  </si>
  <si>
    <t>4  A-B</t>
  </si>
  <si>
    <t>entrance</t>
  </si>
  <si>
    <t>225mm brick first floor level</t>
  </si>
  <si>
    <t>balcony wall</t>
  </si>
  <si>
    <t xml:space="preserve">less - </t>
  </si>
  <si>
    <t>sl1</t>
  </si>
  <si>
    <t>d2</t>
  </si>
  <si>
    <t>fg1</t>
  </si>
  <si>
    <t>d1</t>
  </si>
  <si>
    <t>w1</t>
  </si>
  <si>
    <t>RD1</t>
  </si>
  <si>
    <t>fg3</t>
  </si>
  <si>
    <t>fl1</t>
  </si>
  <si>
    <t>d3</t>
  </si>
  <si>
    <t>less-</t>
  </si>
  <si>
    <t>fg2</t>
  </si>
  <si>
    <t>d4</t>
  </si>
  <si>
    <t>225mm brick second floor level</t>
  </si>
  <si>
    <t>gable</t>
  </si>
  <si>
    <t>1/3/7  A-C</t>
  </si>
  <si>
    <t>fl2</t>
  </si>
  <si>
    <t>4"block wall -  ground floor</t>
  </si>
  <si>
    <t>A/B  1/2</t>
  </si>
  <si>
    <t>A/B  2/3</t>
  </si>
  <si>
    <t>A/B   4 to 5</t>
  </si>
  <si>
    <t>B   4-7</t>
  </si>
  <si>
    <t>D3</t>
  </si>
  <si>
    <t>d3a</t>
  </si>
  <si>
    <t>d3b</t>
  </si>
  <si>
    <t>4"block wall -  first floor</t>
  </si>
  <si>
    <t>B  1-3</t>
  </si>
  <si>
    <t>B  4-7</t>
  </si>
  <si>
    <t>2  A-B</t>
  </si>
  <si>
    <t>5  B-C</t>
  </si>
  <si>
    <t>Less-</t>
  </si>
  <si>
    <t>d5</t>
  </si>
  <si>
    <t>4"block wall -  second floor</t>
  </si>
  <si>
    <t>rrm work</t>
  </si>
  <si>
    <t xml:space="preserve"> FLOORING</t>
  </si>
  <si>
    <t>DPC</t>
  </si>
  <si>
    <t>laying polythee</t>
  </si>
  <si>
    <t xml:space="preserve">toilet </t>
  </si>
  <si>
    <t>ground floor</t>
  </si>
  <si>
    <t>wall</t>
  </si>
  <si>
    <t>ligt wall</t>
  </si>
  <si>
    <t>first floor</t>
  </si>
  <si>
    <t>second floor</t>
  </si>
  <si>
    <t>outdoor waterproofing</t>
  </si>
  <si>
    <t>balcony floor</t>
  </si>
  <si>
    <t>gutter floor</t>
  </si>
  <si>
    <t>gutter wall</t>
  </si>
  <si>
    <t>external plaster</t>
  </si>
  <si>
    <t>plinth plaster</t>
  </si>
  <si>
    <t xml:space="preserve">Less- </t>
  </si>
  <si>
    <t>rd1</t>
  </si>
  <si>
    <t>internal plaster</t>
  </si>
  <si>
    <t>labour room-2</t>
  </si>
  <si>
    <t>labour room-1</t>
  </si>
  <si>
    <t>health supervision room 2</t>
  </si>
  <si>
    <t>health supervision room 1</t>
  </si>
  <si>
    <t>lobby</t>
  </si>
  <si>
    <t>passage</t>
  </si>
  <si>
    <t>stair area</t>
  </si>
  <si>
    <t>stair flight slab</t>
  </si>
  <si>
    <t>landing</t>
  </si>
  <si>
    <t>lift wall</t>
  </si>
  <si>
    <t>tool room</t>
  </si>
  <si>
    <t>SK room</t>
  </si>
  <si>
    <t>store-stationary</t>
  </si>
  <si>
    <t>store-hardwarer</t>
  </si>
  <si>
    <t>rd</t>
  </si>
  <si>
    <t>room</t>
  </si>
  <si>
    <t>dining room</t>
  </si>
  <si>
    <t>record room 2</t>
  </si>
  <si>
    <t>office/phi/dengue</t>
  </si>
  <si>
    <t>store</t>
  </si>
  <si>
    <t>record room</t>
  </si>
  <si>
    <t>dining</t>
  </si>
  <si>
    <t>male accomadation room</t>
  </si>
  <si>
    <t>female accomadation room</t>
  </si>
  <si>
    <t>d6</t>
  </si>
  <si>
    <t>conferance room</t>
  </si>
  <si>
    <t>revels</t>
  </si>
  <si>
    <t>external revels</t>
  </si>
  <si>
    <t>revls</t>
  </si>
  <si>
    <t>revles</t>
  </si>
  <si>
    <t>w2</t>
  </si>
  <si>
    <t>stair</t>
  </si>
  <si>
    <t>wall tiling</t>
  </si>
  <si>
    <t>less</t>
  </si>
  <si>
    <t>floor tiling</t>
  </si>
  <si>
    <t>bathroom floor tile</t>
  </si>
  <si>
    <t>staircas tile</t>
  </si>
  <si>
    <t>ground floor -landing</t>
  </si>
  <si>
    <t>step</t>
  </si>
  <si>
    <t>first floor -landing</t>
  </si>
  <si>
    <t>24X24 floor tile</t>
  </si>
  <si>
    <t>cement render</t>
  </si>
  <si>
    <t>store- hardware</t>
  </si>
  <si>
    <t>passage and carpark</t>
  </si>
  <si>
    <t>pavement</t>
  </si>
  <si>
    <t>balcony tile</t>
  </si>
  <si>
    <t>tile skirting</t>
  </si>
  <si>
    <t>staircase</t>
  </si>
  <si>
    <t xml:space="preserve">ground floor </t>
  </si>
  <si>
    <t>internal paint</t>
  </si>
  <si>
    <t>slab</t>
  </si>
  <si>
    <t>External Paint</t>
  </si>
  <si>
    <t xml:space="preserve">       For the full description of materials</t>
  </si>
  <si>
    <t xml:space="preserve">       and workmanship refer "Specification</t>
  </si>
  <si>
    <t xml:space="preserve">       of works", "Pricing Preambles" and </t>
  </si>
  <si>
    <t xml:space="preserve">       "Drawings".</t>
  </si>
  <si>
    <t>SITE PREPERATION</t>
  </si>
  <si>
    <t>EXCAVATION</t>
  </si>
  <si>
    <t>Excavations as follows in any materials met with except in rock requiring blasting.</t>
  </si>
  <si>
    <t>All excavations are measured net. No allowance made for working space.</t>
  </si>
  <si>
    <t>Excavation for foundation commencing from formed ground level.</t>
  </si>
  <si>
    <t>msheet</t>
  </si>
  <si>
    <t>cube</t>
  </si>
  <si>
    <t>F - MASONRY WORKS</t>
  </si>
  <si>
    <t>Vertical solid walls, 225mm thick.</t>
  </si>
  <si>
    <t>Second Floor</t>
  </si>
  <si>
    <t>sqr</t>
  </si>
  <si>
    <t>Vertical solid walls, 100mm thick.</t>
  </si>
  <si>
    <t>Recommended Distributors/Agents who are marketing water
proofing material/product are
1. M/s Finco Ltd.
2. M/s HE Engineering
3. M/s Ranki International
4. M/s Solico Engineering
5. M/s Sika Lanka</t>
  </si>
  <si>
    <t>The contractor shall submmit;</t>
  </si>
  <si>
    <t>Internal Wet Areas without Exposure to Sunlight Sq.ft. 
(Cementitious water proofing using Barralastic or approved
equivalnt)</t>
  </si>
  <si>
    <t>Ground Floor</t>
  </si>
  <si>
    <t>First Floor</t>
  </si>
  <si>
    <t>D3a</t>
  </si>
  <si>
    <t>Less</t>
  </si>
  <si>
    <t>1. The rate for plastering items includes the cost of "Febmix"as a
workability enhancer.</t>
  </si>
  <si>
    <t>2. For coarse textured plaster ( identified as "semi-rough") all the
sand should pass through 4.0mm sieve.</t>
  </si>
  <si>
    <t>External Plaster</t>
  </si>
  <si>
    <t>Internal Plaster</t>
  </si>
  <si>
    <t>External revels</t>
  </si>
  <si>
    <t>K 03.1</t>
  </si>
  <si>
    <t>K 03.2</t>
  </si>
  <si>
    <t>Internal Revels</t>
  </si>
  <si>
    <t>K 05.1</t>
  </si>
  <si>
    <t>K 05.2</t>
  </si>
  <si>
    <t>Wall Tiling (Ceramic)</t>
  </si>
  <si>
    <t>Ceramic Tiles should comply to SLS 1181:2019 "specification and
shall comply to relevant abrasion resistant class.</t>
  </si>
  <si>
    <t>Copy of the first grade tile purchase bill should be produced at the
time of payment.</t>
  </si>
  <si>
    <t xml:space="preserve">For tile item Should be tile range manufractured by Lanka Floor,  Wall Tile or approved equivalant.  </t>
  </si>
  <si>
    <t>Method of application is accordiong to the manufacturer's method
specifications</t>
  </si>
  <si>
    <t>Internal Emultion Paint</t>
  </si>
  <si>
    <t>Exterior Emultion Paint</t>
  </si>
  <si>
    <t>EXCAVATION &amp; EARTH WORK  CARRIED TO COLLECTION</t>
  </si>
  <si>
    <t xml:space="preserve"> CONCRETE WORK CARRIED TO COLLECTION</t>
  </si>
  <si>
    <t>MASONRY WORKS CARRIED TO COLLECTION</t>
  </si>
  <si>
    <t>J - FLOORING WORK</t>
  </si>
  <si>
    <t>FLOORING WORK CARRIED TO COLLECTION</t>
  </si>
  <si>
    <t>WATER PROOFING WORK CARRIED TO COLLECTION</t>
  </si>
  <si>
    <t>K  -  PLASTERING WORK</t>
  </si>
  <si>
    <t>PLASTERING WORK CARRIED TO COLLECTION</t>
  </si>
  <si>
    <t>L -  TILING WORK</t>
  </si>
  <si>
    <t>TILING WORK CARRIED TO COLLECTION</t>
  </si>
  <si>
    <t>COLOUR WASHING, PAINTING &amp; POLISHING WORK CARRIED TO COLLECTION</t>
  </si>
  <si>
    <t xml:space="preserve"> DOORS &amp; WINDOWS WORK CARRIED TO COLLECTION</t>
  </si>
  <si>
    <t>ROOFING AND CEILING WORK CARRIED TO COLLECTION</t>
  </si>
  <si>
    <t>S  -  PLUMBING AND DRAINAGE WORK</t>
  </si>
  <si>
    <t>PLUMBING AND DRAINAGE WORK  CARRIED TO COLLECTION</t>
  </si>
  <si>
    <t>ELECTRICAL INSTALLATION WORK CARRIED TO COLLECTION</t>
  </si>
  <si>
    <t>METAL WORK  CARRIED TO COLLECTION</t>
  </si>
  <si>
    <t>A - PRELIMINARIES</t>
  </si>
  <si>
    <t>C - CONCRETE</t>
  </si>
  <si>
    <t>A - PRELIMINARIES CARRIED TO GRAND SUMMARY</t>
  </si>
  <si>
    <t xml:space="preserve">ADD 8% VAT </t>
  </si>
  <si>
    <t>AMOUNT (Rs.)</t>
  </si>
  <si>
    <t xml:space="preserve">BILL NO </t>
  </si>
  <si>
    <t>E - WATER PROOFING WORK</t>
  </si>
  <si>
    <t>E. 01</t>
  </si>
  <si>
    <t>E. 01.1</t>
  </si>
  <si>
    <t>E. 01.2</t>
  </si>
  <si>
    <t>E. 02</t>
  </si>
  <si>
    <t>E. 02.1</t>
  </si>
  <si>
    <t>E. 02.2</t>
  </si>
  <si>
    <t>Rates for concrete are grouped under following categories</t>
  </si>
  <si>
    <t>These items are meant for Footings, Columns, Plinth beams, Floor
beams, Tie-beams &amp; Stair case. i.e. load bearing members.</t>
  </si>
  <si>
    <t>3. Ready mixed concrete of Grade 20 ,Grade 25 .               Grade 30</t>
  </si>
  <si>
    <t xml:space="preserve">Grade 25 concrete shall be used for footings, columns, beams,staircases, tie-beams of reinforced concrete elements in multi-storied building (excluding lintols, stiffener columns, copings, non-structural
columns and Drains).
</t>
  </si>
  <si>
    <t>Constituent material shall comply to following;</t>
  </si>
  <si>
    <t>(v) Clean portable water</t>
  </si>
  <si>
    <t>Cement shall be added in bag form.</t>
  </si>
  <si>
    <t>Contractor shall made available following equipment at site before
starting to concrete.</t>
  </si>
  <si>
    <t>(i) Cube moulds -6Nos</t>
  </si>
  <si>
    <t>(ii) Mixer and Vibrator (in working condition)</t>
  </si>
  <si>
    <t>(iii) Gauge Boxes (size as per ICTAD Specification for Building
Works)</t>
  </si>
  <si>
    <t>(vi) Slump cone apparatus</t>
  </si>
  <si>
    <t>(vii) Weighing scale</t>
  </si>
  <si>
    <t>(viii) Covering material for curing</t>
  </si>
  <si>
    <t>(ix) A Supervisor / Forman not below the rank of a NVQ Level 3 in
“Construction” category</t>
  </si>
  <si>
    <t>(x) Quality assurance sheet</t>
  </si>
  <si>
    <t>Payment for concreting shall be made upon submission of following.</t>
  </si>
  <si>
    <t>Requirement for Ready mixed concrete</t>
  </si>
  <si>
    <t>(i) Ready mix concrete is confirming to SLS 1144-1997.</t>
  </si>
  <si>
    <t>(iii) Nominal maximum size of aggregate shall be 20mm.</t>
  </si>
  <si>
    <t>(iv) Slump shall be as per the mix design.</t>
  </si>
  <si>
    <t>(vi) Maximum free water / cement ratio to be 0.5</t>
  </si>
  <si>
    <t xml:space="preserve">(v) Maximum temperature 30 Celsius
</t>
  </si>
  <si>
    <t>(viii) Concrete grade shall be as specified.</t>
  </si>
  <si>
    <t>(ix) Concrete mix design shall be approved by the Engineer</t>
  </si>
  <si>
    <t>(xii) Testing</t>
  </si>
  <si>
    <t>Shuttering boxes for columns of over 5'-0" height are not
permitted under any circumstances for the pouring of manually
produced (site mix) concrete.</t>
  </si>
  <si>
    <t>(b) The method statement of pouring concrete in to the column
shaft signed by a competent technical person from the
contractor's side should be submitted.</t>
  </si>
  <si>
    <t>(c)In case of tremie pipe, it shall have a diameter of not less than 4" with a funnel.</t>
  </si>
  <si>
    <t>(a) The concrete mix designed based on material available at the site for a W/C ratio of 0.45 and to be able to Pour without segregation.</t>
  </si>
  <si>
    <t>If a contractor made an appeal to use shuttering boxes
(Customary steel boxes or plywood boxes) of over 5'-0" height, then ,Engineer may personally approve for casting a column shaft up to a maximum height of 4'-0" at a time subject to the fulfillment of following conditions.</t>
  </si>
  <si>
    <t>(d)How the funnel and pipe is lowered and kept in position without disturbing the formwork shall be indicated in the
method statement.</t>
  </si>
  <si>
    <t>(e) A Method statement for compaction shall be submitted.</t>
  </si>
  <si>
    <t>(f)Engineer, upon satisfaction himself/herself to the
arrangement of placing concrete and having paying special attention to the method of compaction by a person standing at a height and lowering his head and doing compaction in a restricted cross-section with a tremie pipe inside; may be
allowed to proceed with a log note.</t>
  </si>
  <si>
    <t>(i) Cement of strength class 42.5N and shall comply with SLS 107 (Ordinary Portland Cement) &amp; SLS 1253 (Portland Limestone Cement) , that has been stored under proper conditions and has
manufactured within 90 days at the time of concreting.</t>
  </si>
  <si>
    <t>(iii) Clean river sand without impurities and clay particles of grain distribution falling within the prescribed grading limit in BS 882:1992.</t>
  </si>
  <si>
    <t>iv) Well graded coarse aggregate free of impurities with maximum aggregate size being 20mm. grain distribution falling within the prescribed grading limit in BS 882:1992.</t>
  </si>
  <si>
    <t>Volume batching of constituent material
(a) The equivalent nominal mix suggest for volume batching the Grade 25 &amp; 30 concrete is given in table 4.4 of ICTAD specification for Building Work SCA/4/I of July 2004 for a 50kg cement bag and measuring boxes is reproduced below.</t>
  </si>
  <si>
    <t>Coarse aggregate to be proportioned for the volume batching using the measurement boxes as indicated in the Clause 4.3.1 ICTAD/SCA/4/I. The internal dimensions of the boxes are 400 x 350 x 250mm (which is 0.035m3
and corresponds to the volume of 1 bag of cement weighing 50 kg). The proportioning of sand shall be on the basis of its dry volume and in the case of damp sand allowance for bulkage shall be made as given in Appendix 4C of ICTAD
specification.</t>
  </si>
  <si>
    <t>Water:Cement ratio shall not exceed 0.45. Based on this
Water:Cement ratio, volume of water required (either weight or converted volume of water) shall be decided for a given cement content. Required water content shall then be added by measuring the volume from a calibrated measuring Jar.</t>
  </si>
  <si>
    <t>Slump of site mixed concrete before pouring shall be within 150mm±25mm range.</t>
  </si>
  <si>
    <t>In order to achieve this slump without exceeding the 0.45
water:cement ratio, the use of a water reducing admixture (super plasticer) complying to BS EN 934-2 is permitted to be added to the concrete mix. Contractor shall ensure that the selected plasticer brand is compatible with the cement brand used for concreting.</t>
  </si>
  <si>
    <t>(xi) A written request from the contractor for concreting with date and time, (Request shall forward to the Engineer at least 3 working days in advance)</t>
  </si>
  <si>
    <t>Immediately after (removal of formwork) (initial setting is starts),columns shall be continuously cured for 7 consecutive days.</t>
  </si>
  <si>
    <t>Note: Divisional Engineer or Senior technical officer shall authorize the concreting only after receiving a method statement (in either language) from the contractor.</t>
  </si>
  <si>
    <t>(a).Concrete cube crushing strength test results; 28 day results shall be available to make full payment.</t>
  </si>
  <si>
    <t>(b).Quality assurance report signed by the contractor’s technical officer or agent, Divisional Engineer’s technical officer who has witnessed the concreting along with senior technical officer in charge
of the site.</t>
  </si>
  <si>
    <t>(vii) Coarse and Fine aggregate used shall confirm to BS 882 latest version. Seive analysis reports within 6 months should be submitted for approval .</t>
  </si>
  <si>
    <t>(x) The Ready mix supplier's plant should have been calibrated in the recent past.</t>
  </si>
  <si>
    <t>(xi) Admixures should be compatible with the cement and it should be confirmed by Admixure supplier and Cement supplier.</t>
  </si>
  <si>
    <r>
      <t>(xiii) Collection of samples for testing shall be at the point of placing. One sample per 5m</t>
    </r>
    <r>
      <rPr>
        <vertAlign val="superscript"/>
        <sz val="11"/>
        <rFont val="Times New Roman"/>
        <family val="1"/>
      </rPr>
      <t>3</t>
    </r>
  </si>
  <si>
    <t>Shuttering for sides of foundation with 15mm thick Plywood board including dismantling</t>
  </si>
  <si>
    <t xml:space="preserve">Volume Batched Grade 20 concrete prepaired at site  for reinforced and unreinforced concrete floors laid on ground.   Rate shall include the cost of curing continously  for 5 days. 
</t>
  </si>
  <si>
    <t xml:space="preserve">Supply and laying of 4" high skirting including tile grout to match the tile of tiling 
</t>
  </si>
  <si>
    <t>Sqr</t>
  </si>
  <si>
    <t>titanium finish</t>
  </si>
  <si>
    <t>roof gutter</t>
  </si>
  <si>
    <t>Clearing site vegetation manually including removal of bushes, shurb removing rubbish up to a distance of 30'-0".</t>
  </si>
  <si>
    <t>Removing top soil machinery to a depth not exceeding 6" and removing all debris away from site</t>
  </si>
  <si>
    <t>Insurance and Securities</t>
  </si>
  <si>
    <t>Allow sum for providing performance security</t>
  </si>
  <si>
    <t>Allow sum for providing advance payment security</t>
  </si>
  <si>
    <t xml:space="preserve">The minimim insurance.cover shall be: </t>
  </si>
  <si>
    <t xml:space="preserve">The minimum cover for insurance of the Works and Plant and Materials is 110% of the Initial Controct Price. </t>
  </si>
  <si>
    <t xml:space="preserve">The maximum deductible for insurance uf the Works and of Plant and Materials is 5% of the Initial Contract Price. </t>
  </si>
  <si>
    <t>The minimunm cover for loss or damage to Equipment is the replacement cost</t>
  </si>
  <si>
    <t xml:space="preserve"> The maximum deductible for insurance of Equipment is 5% of minimun cover for equipment.</t>
  </si>
  <si>
    <t>The minimum cover for insurance of (orher propert other than the site) is Ra. 2Million per event and totul limit of indemnity shall be Rs 10 Million</t>
  </si>
  <si>
    <t>The mininum cover for insurance of personal injury or death.</t>
  </si>
  <si>
    <t xml:space="preserve">For third party and employees of the Employer and other persons engaged by the Employer in the Works is Rs.5,000,000/- per event </t>
  </si>
  <si>
    <t>Injury or damage to persons including employer and consultant and their employees and other consultants employed by the employer shall be covered by the personnel accident insurance cover for Rs 2 million per event effective from the date of commencement of contract until end of the defects liability period (total number of persons insured are not exceeding 10 nrs)</t>
  </si>
  <si>
    <t>The iminimum cover for personal injury or death</t>
  </si>
  <si>
    <t>For the Contractor's workmen is Rs. 500,000/= per event</t>
  </si>
  <si>
    <t>Engineer's Facilities</t>
  </si>
  <si>
    <t>The follwing facilities shall be provided</t>
  </si>
  <si>
    <t xml:space="preserve">Contractor's Facilities </t>
  </si>
  <si>
    <t>Construction Managment  and Supervision</t>
  </si>
  <si>
    <t>Allow sum for employing suitable qualified and axperienced technical personnal on full time for construction maragement services at the site.</t>
  </si>
  <si>
    <t xml:space="preserve">Setting Out </t>
  </si>
  <si>
    <t xml:space="preserve">Quality, Standards and Progress </t>
  </si>
  <si>
    <t>Allow lump sum for provision of progress reports including photograplic records and other schedules included in the CIDA publication Guidelines for Effective Construction Managenent. (CIDA/CM/01), relevant administration as directed by the Engineer.</t>
  </si>
  <si>
    <t>Allow lunp sum for all cost in connection with preparing samples for testing, making arrangements for testing of Materials, Goods etc, submission of shop drawings as stipalated in the specification, obtaining test reports and submitting the same to the Engineer,</t>
  </si>
  <si>
    <t xml:space="preserve">Health Safety and Environment </t>
  </si>
  <si>
    <t xml:space="preserve">Allow lump sum for maintaining the site in a clean and orderly manner at all times and during the entire contract period.
</t>
  </si>
  <si>
    <t xml:space="preserve">Allow lump sum for demobilization, removal of all rubbish &amp; debris and clearing up site on completion, leaving all-in good order and handing over. </t>
  </si>
  <si>
    <t>Security and Protection</t>
  </si>
  <si>
    <t>Services and Facilities</t>
  </si>
  <si>
    <t>Allow lump sum for supply of water for the Works and paying all charges and other expenses in connection with the supply from water mains or any other alternative method of water supply, storage and reticulation</t>
  </si>
  <si>
    <t>Allow lump sum for supplying temporary electricity for the works including connection, distribution system for the Works, internal arrangements and all payments to be authorities for consumption</t>
  </si>
  <si>
    <t>If the Engineer is of the opinion that any item in this section has not been provided fully by the Contractor the Engineer may adjust the amounts quoted by the Contractor for the items concerned</t>
  </si>
  <si>
    <t>Reimbursement of actual cost on submission of the relevant document acceptable to the Engineer plus 5% of the actual cost of obtaining the insurance policies and securities</t>
  </si>
  <si>
    <t>Hand Rail</t>
  </si>
  <si>
    <t>Aluminium Panel Ceiling</t>
  </si>
  <si>
    <t>aluminum ceiling</t>
  </si>
  <si>
    <t>Bill No. 01</t>
  </si>
  <si>
    <t>Bill No. 02</t>
  </si>
  <si>
    <t>Bill No. 03</t>
  </si>
  <si>
    <t>BILL NO. 03</t>
  </si>
  <si>
    <r>
      <t>(ii) Minimum cement content shall be 300 kg/m</t>
    </r>
    <r>
      <rPr>
        <vertAlign val="superscript"/>
        <sz val="11"/>
        <rFont val="Times New Roman"/>
        <family val="1"/>
      </rPr>
      <t>3</t>
    </r>
  </si>
  <si>
    <t>Allow Sum for insurance of Works, Machinery &amp; Equipment, Plant, Materials, Third party persons &amp; property and Eimployer's personal &amp; property at site per the Contract</t>
  </si>
  <si>
    <t>Allow Sum for insurance against accidents and injury to Contractor's personnel as per the Contract.</t>
  </si>
  <si>
    <t>base to DPC</t>
  </si>
  <si>
    <t>shaft</t>
  </si>
  <si>
    <t>1. In-situ plain concrete (mixed at site either manually or with machine)</t>
  </si>
  <si>
    <t>4. Site produced concrete of Grade 20 - (machine mix or in case of small quantities manually mixed)</t>
  </si>
  <si>
    <t>These items are meant for pre-cast lintols, stiffeners, copings,concrete drains, etc.</t>
  </si>
  <si>
    <t>5. Curing for In situ plain concrete, In situ reinforced concrete, Site produced concrete of Grade 20 &amp; Ready mix concrete</t>
  </si>
  <si>
    <t>In - Situ Plain Concrete (mixed at site either manually or with machine)</t>
  </si>
  <si>
    <t>4" thick cement sand Cellular block wall (blocks confirming to S.L.S.855 and subject to the approval of sample blocks) in cement and sand mortar in 1:5  Ground floor</t>
  </si>
  <si>
    <t>Random rubble (6"-9") masonry in  cement mortar 1:5 in wall foundation.</t>
  </si>
  <si>
    <t>cemnt</t>
  </si>
  <si>
    <t xml:space="preserve">sand </t>
  </si>
  <si>
    <t>metal</t>
  </si>
  <si>
    <t>DJPO4</t>
  </si>
  <si>
    <t>DJPO2</t>
  </si>
  <si>
    <t>DJPO3</t>
  </si>
  <si>
    <t>DJPO1</t>
  </si>
  <si>
    <t>DJPO5</t>
  </si>
  <si>
    <t>DJPO6</t>
  </si>
  <si>
    <t>DJPO7</t>
  </si>
  <si>
    <t>DJPO8</t>
  </si>
  <si>
    <t>DJPO9</t>
  </si>
  <si>
    <t>DJPO10</t>
  </si>
  <si>
    <t>Earth Work Supports</t>
  </si>
  <si>
    <t>earthwork suppor</t>
  </si>
  <si>
    <t xml:space="preserve">Cement concrete 1:3:6 (1") laid to a thickness of 2" in wall foundations, under column/stair footings, including placing in position,compacting and curing.
</t>
  </si>
  <si>
    <t>screed concrete</t>
  </si>
  <si>
    <t>iv) In case volume of water and admixture to be measured by measuring Jar, accuracy of 0.5ml to measure the volume be available in the Jar.</t>
  </si>
  <si>
    <t>v) An admixture (super-plasticer) compatible with the cement brand (Technical literature and dosage shall be submitted to the Divisional Engineer well in advance for approval)</t>
  </si>
  <si>
    <t>In - Situ Reinforced Concrete Of Grade 25 &amp;30 (mixed at site with a concrete mixer )</t>
  </si>
  <si>
    <t>LINTOLS</t>
  </si>
  <si>
    <t>GROUND FLOOR</t>
  </si>
  <si>
    <t>W1</t>
  </si>
  <si>
    <t>W2</t>
  </si>
  <si>
    <t>C3.5</t>
  </si>
  <si>
    <t>C3.5.1</t>
  </si>
  <si>
    <t>C3.5.2</t>
  </si>
  <si>
    <t>C3.5.3</t>
  </si>
  <si>
    <t xml:space="preserve">Plastering 5/8" thick to walls in cement and sand 1:5 finished semi-rough.
</t>
  </si>
  <si>
    <t xml:space="preserve">Plastering 5/8" thick to reveals in ground floor width not exceeding 6" in cement and sand 1:5 finished semi-rough. Rate includes cost of "Febmix"as a workability enhancer. 
</t>
  </si>
  <si>
    <t xml:space="preserve">Plastering 5/8" thick to walls in cement and sand 1:5 finished smooth with two coats of skim coat.
</t>
  </si>
  <si>
    <t>Plastering 5/8" thick to reveals in ground floor width not exceeding 6" in cement andsand 1:5 finished smooth with two coats of skim coat in ground floor.Rate includes cost of "Febmix"as a workability enhancer.</t>
  </si>
  <si>
    <t xml:space="preserve">Painting walls with two coats of emulsion paint including preparing surface.
</t>
  </si>
  <si>
    <t xml:space="preserve">Painting soffit with two coats of emulsion paint including preparing surface.
</t>
  </si>
  <si>
    <t>Painting walls,slab with one coat of Exterior wall primer including preparing surface for exterior application before applicatin of emulsion paint.</t>
  </si>
  <si>
    <t xml:space="preserve">Painting  slab,walls  with  two  coats  of  weathershield  paint  including preparing surface.
</t>
  </si>
  <si>
    <t>In Lift base and lift wall</t>
  </si>
  <si>
    <t>column shaft up to dpc</t>
  </si>
  <si>
    <t>Tie beam concrete</t>
  </si>
  <si>
    <t xml:space="preserve">In staircases </t>
  </si>
  <si>
    <t>lift base</t>
  </si>
  <si>
    <t>column stub</t>
  </si>
  <si>
    <t>Tie beam formwork</t>
  </si>
  <si>
    <t xml:space="preserve">staricase </t>
  </si>
  <si>
    <t>3/4" thick D.P.C. in cement sand 1:3 finished with 2 coats of D.P.C. tar and blinded with sand.</t>
  </si>
  <si>
    <t>Gauge 750 polythene damp proof membrane with 6" laps laid under floors.</t>
  </si>
  <si>
    <t xml:space="preserve">Rendering 1/2" thick in cement sand 1:3 finished smooth with cement slurry without colour pigment and expansion joints filled with construction expansion joint sealent including the cost for cleaning the joints prior application of construction expansion joint sealent by M/s Bitumix or approved equivalent.
</t>
  </si>
  <si>
    <t>The water proofing material shall conform to relevant British, Euro or ASTM specifications</t>
  </si>
  <si>
    <t>Application of cementitious water proofing using Barralastic or approved equivalnt for internal wet areas such as toilet floors and walls where the surfaces are not directly exposed to sunlight and weathering. Rate shall include for cleaning the substrate and all other work as per manufacturer's specifications on application and shall include ponding test for a 300mm water height kept for a period of 48 hours for horizontal surfaces.</t>
  </si>
  <si>
    <t>Areas exposed to sunlight (Balconies, Sun-Shades Concrete Gutters etc) (Elastomeric water proofing using thoroseal or approved equivalent.)</t>
  </si>
  <si>
    <t>H -MISCELLANEOUS WORK</t>
  </si>
  <si>
    <t>MISCELLANEOUS WORK CARRIED TO COLLECTION</t>
  </si>
  <si>
    <t>point stone work</t>
  </si>
  <si>
    <t>RRM WORK</t>
  </si>
  <si>
    <t>All materials, equipments, wiring and workmanship shall confirm to local codes of specifications, B.S Standards, latest I.E.E regulations (18th Edition) and Ceylon Electricity Board specifications. Contractor shall investigate the site conditions before submitting their quote.</t>
  </si>
  <si>
    <t>Cu/PVC/PVC cables shall confirm to BS 6346</t>
  </si>
  <si>
    <t>Cu/XLPE/PVC cables shall confirm to BS 5467</t>
  </si>
  <si>
    <t>Contractor shall obtain sample approvals for all the items used before fixing,  from the Consultant.</t>
  </si>
  <si>
    <t>Contractor shall propose shop drawings/conduit lay out drawings and obtained approval from the Consultant, before commencing Installation.</t>
  </si>
  <si>
    <t>All electrical fittings ,cables ,circuit breakers and accessories etc from manufacturer / agent , not from Sunday market.</t>
  </si>
  <si>
    <t>Original printed catalogues shall be submitted.</t>
  </si>
  <si>
    <t>Warranties for electrical and electronics items shall be submitted.</t>
  </si>
  <si>
    <t>The Rate shall include  for supply, installation, commissioning &amp; comprehensive maintenance during the defect liability period of one year.</t>
  </si>
  <si>
    <t>The rate shall include insuarance during handling , transporting , storing &amp; installation until handover.</t>
  </si>
  <si>
    <t xml:space="preserve">The rate shall include for all temerory works such as scaffolding and temporary electricity supply etc. </t>
  </si>
  <si>
    <t>Payments shall be on measure and pay basis</t>
  </si>
  <si>
    <t>Submittal of As Built drawings</t>
  </si>
  <si>
    <t>V01.01</t>
  </si>
  <si>
    <t>Inspection and testing</t>
  </si>
  <si>
    <t>V01.02</t>
  </si>
  <si>
    <t>Submittal of As Built drawings c/w set of AutoCAD drawings in a CD and three hard copies size in A1 sheet and submittal of 3 sets of document files all the items listed in this BOQ. Eg: Product broachers for MCCB , MCB, Lightd, Fans,Socket outlets , cables, Medical grade isolation transformers etc.</t>
  </si>
  <si>
    <t>Main Cabling System</t>
  </si>
  <si>
    <t xml:space="preserve">All the Cables quoted below shall be on measure and pay basis. </t>
  </si>
  <si>
    <t>Rates should include for all necessary cable accessories such as cable ties, Cable Lugs, Glands, identification tags, and all accessories for complete installation</t>
  </si>
  <si>
    <t>Rate shall include for supply and installation of following cables including cable trays, ladders and trunking, conduits,Underground Installments incuding sand beddings ,concrete tiles warning tapes etc. including termination.</t>
  </si>
  <si>
    <t xml:space="preserve"> All horizontal and vertical Cable trays , trunking , conduits &amp; ladders should be adequately sized to provide 25% spare space. Installation method shall be according to BS 7671</t>
  </si>
  <si>
    <t>Contractor shall investigate the site conditions and include all the cost involved in point rates given below.</t>
  </si>
  <si>
    <t>All wiring shall be in securely fixed conduits /trunkig above the ceiling</t>
  </si>
  <si>
    <t xml:space="preserve">Main cables for sub distribution boards of each floor shall be tapped from the bus bar riser </t>
  </si>
  <si>
    <t>V02.01</t>
  </si>
  <si>
    <t>All the Distribution Boards shall be surface/flush mounted type Distribution Boards complete with powder coated steel enclosure with lockable doors.</t>
  </si>
  <si>
    <t xml:space="preserve">The panel board should have wire numbering and a laminated circuit diagram  pasted on the inside surface of the door. </t>
  </si>
  <si>
    <t>MDB</t>
  </si>
  <si>
    <t>Make of MCCBs and MCBs, etc shall be Schnider / ABB / Terasaki or equivalent make, approved by the Consultant.</t>
  </si>
  <si>
    <t>Manufactures shop drawings should be submitted and approved by the Consultant before fabrication</t>
  </si>
  <si>
    <t>Main Distribution Board and SUB Distribution Boards and Isolators</t>
  </si>
  <si>
    <t>V03.01</t>
  </si>
  <si>
    <t>1 set of LED Phase indicator lamps c/w 3 x 2A fuse</t>
  </si>
  <si>
    <t>V03.02</t>
  </si>
  <si>
    <r>
      <t>01 No. 4P 63A MCCB (</t>
    </r>
    <r>
      <rPr>
        <sz val="8"/>
        <rFont val="Arial"/>
        <family val="2"/>
      </rPr>
      <t>16kA Breaking capacity</t>
    </r>
    <r>
      <rPr>
        <sz val="10"/>
        <rFont val="Arial"/>
        <family val="2"/>
      </rPr>
      <t>), 01 No. 4P 40A MCCB (16kA Breaking capacity),01 No. 2P 32A, MCB (16kA Breaking capacity),02 Nos. 1P 10A MCB (6kA Breaking capacity),02 Nos. 1P 20A MCB (6kA Breaking capacity),01 No. 2P 40A, 30mA RCCB, and nessasary bus bar and protective system and Cables Lugs and other suppotive meterials1</t>
    </r>
  </si>
  <si>
    <t>02 Nos 4P 63A  MCCB  /(10kA), 04 Nos  2P 32A  MCB  /(10kA),01  Nos 125A 4P Automatic Chainge over,01 Nos 40A 4P  MCCB, 07 Nos 40A 4P  MCCB, 07 Nos  40A 4P 30mA RCCB, 01 Nos  40A 2P 30mA RCCB,and nessasary bus bar and protective system and Cables Lugs and other suppotive meterials</t>
  </si>
  <si>
    <t>Wiring for light points, ceiling fans, socket outlets</t>
  </si>
  <si>
    <t>Rate for point wiring shall include for all the cables trays/ladders,conduits, conduit fittings, casings,surface cable trunks, fixing material, switches, wiring and terminations, holders for light fittings and socket outlets for power points. Contractor shall obtain approvals from the Consultant/CEE for above items</t>
  </si>
  <si>
    <t>As a standard of quality for switches and socket outlets, the contractor may use 'ML/Legrand /ACL or approved equal'.</t>
  </si>
  <si>
    <t>V04.01</t>
  </si>
  <si>
    <t>Testing of the electrical installation and submission of certificate from a chartered Electrical Engineer registered at CEB.</t>
  </si>
  <si>
    <t>V04.02</t>
  </si>
  <si>
    <t>V04.03</t>
  </si>
  <si>
    <t>Switch Socket Wiring</t>
  </si>
  <si>
    <t>V04.04</t>
  </si>
  <si>
    <t>V04.05</t>
  </si>
  <si>
    <t>V04.06</t>
  </si>
  <si>
    <t xml:space="preserve">Supplying and wiring 4 x 16mm2  (7/0.064") PVC/PVC/ Cu cable + 16mm2     (7/.064")  earth  wire  complete  to working  order excluding
conduit/casing   
</t>
  </si>
  <si>
    <t>Fan Regulator</t>
  </si>
  <si>
    <t>V04.07</t>
  </si>
  <si>
    <t>Fan regulator wired without a switch using 2x1/1.13 mm P.V.C. insulated copper wire &amp; 1x7/0.67mm P.V.C. insulated copper earth wire in fully concealed/surface P.V.C. conduits. Ground Floor</t>
  </si>
  <si>
    <t>V04.08</t>
  </si>
  <si>
    <t>V04.09</t>
  </si>
  <si>
    <t>Fan regulator wired without a switch using 2x1/1.13 mm P.V.C. insulated copper wire &amp; 1x7/0.67mm P.V.C. insulated copper earth wire in fully concealed/surface P.V.C. conduits. First Floor</t>
  </si>
  <si>
    <t>cost of wiring, regulator, fan hook &amp; other accessories. For regulator shall be a three star
energy.</t>
  </si>
  <si>
    <t>Fan regulator wired with a switch using 2x1/1.13 mm P.V.C. insulated copper wire &amp; 1x7/0.67mm P.V.C. insulated copper earth wire in fully concealed/surface P.V.C. conduits. second Floor</t>
  </si>
  <si>
    <t>Telephone Socket wired with a switch complete with accessories fixed on solid/partition wall in ground floor</t>
  </si>
  <si>
    <t>Telephone Socket Wiring ( Direct &amp; intercom)</t>
  </si>
  <si>
    <t>V04.10</t>
  </si>
  <si>
    <t>V04.11</t>
  </si>
  <si>
    <t>V04.12</t>
  </si>
  <si>
    <t>Telephone Socket wired with a switch complete with accessories fixed on solid/partition wall in first floor</t>
  </si>
  <si>
    <t>Telephone Socket wired with a switch complete with accessories fixed on solid/partition wall in second floor</t>
  </si>
  <si>
    <t>Data Socket Wiring</t>
  </si>
  <si>
    <t>V04.13</t>
  </si>
  <si>
    <t>Data Socket wired with a switch complete with accessories fixed on solid/partition wall in ground floor</t>
  </si>
  <si>
    <t>V04.14</t>
  </si>
  <si>
    <t>V04.15</t>
  </si>
  <si>
    <t>Data Socket wired with a switch complete with accessories fixed on solid/partition wall in first floor</t>
  </si>
  <si>
    <t>Data Socket wired with a switch complete with accessories fixed on solid/partition wall in second floor</t>
  </si>
  <si>
    <t>Light fittings / Fans</t>
  </si>
  <si>
    <t>The light fittings supplied and installed under this contract shall be in every respect suitable for the intended purpose.</t>
  </si>
  <si>
    <t>Each fitting shall include bulbs, internal wiring, hanging and fixing material and be complete without any additional item/material being required to make it so.</t>
  </si>
  <si>
    <t>The contractor shall obtain consultants and clients approval for the fittings before fixing the fittings in the site</t>
  </si>
  <si>
    <t>As a standard of quality for Light fittings, the contractor may use 'Philips/Osram or approved equal'.</t>
  </si>
  <si>
    <r>
      <t>Rate for items shall include the cost of adapter,connecting 2core 1mm</t>
    </r>
    <r>
      <rPr>
        <b/>
        <vertAlign val="superscript"/>
        <sz val="11"/>
        <rFont val="Times New Roman"/>
        <family val="1"/>
      </rPr>
      <t>2</t>
    </r>
  </si>
  <si>
    <t>Lamp fitting shall include the cost of fitting and bulb &amp; shall be given a two year Warranty and one year warranty for bulb</t>
  </si>
  <si>
    <t>Lamp fitting with given a two year Warranty for fitting</t>
  </si>
  <si>
    <t>V05</t>
  </si>
  <si>
    <t>Dimmer type fan regulator with a switch (Orange or equivalent)</t>
  </si>
  <si>
    <t>V05.01</t>
  </si>
  <si>
    <t>Ceiling Fan</t>
  </si>
  <si>
    <t>V05.02</t>
  </si>
  <si>
    <t>Ceiling fan of 56" Sweep KDK- brand ( M56RG-model) with Air flow rate of 225 cu.m /min @ RPM 270 with tolarance as per SLS 814 and two
star energy label as PER SLS 1600 in ground Floor</t>
  </si>
  <si>
    <t>V05.03</t>
  </si>
  <si>
    <t>V05.04</t>
  </si>
  <si>
    <t>Ceiling fan of 56" Sweep KDK- brand ( M56RG-model) with Air flow rate of 225 cu.m /min @ RPM 270 with tolarance as per SLS 814 and two
star energy label as PER SLS 1600 in second Floor</t>
  </si>
  <si>
    <t>V06</t>
  </si>
  <si>
    <t xml:space="preserve">Item </t>
  </si>
  <si>
    <t>V06.01</t>
  </si>
  <si>
    <t>V06.02</t>
  </si>
  <si>
    <t>Ramp at entrance</t>
  </si>
  <si>
    <t>Work shall be done in accordance with specifications for electrical and mechanical works - ICTAD Publication No.SCA/8 of Aug.2000(2nd Edition -Revised)</t>
  </si>
  <si>
    <t>All switches and socket outlets shall be plated type make"Clipsal", " Orange X5", "Krypton" or any other approved equivalent complying to SLS1000:1993 for switches &amp; SLS 1998 : 1991 for soket outlets .</t>
  </si>
  <si>
    <t>Rate to include switch boxes, Rowl plugs, square pin plug base, Chromium plated M.S. chains, brass hooks, ceiling roses, holders and any other item necessary.</t>
  </si>
  <si>
    <t>All distribution boards should be incorporated with multi 9, Orange Industrial, Merlin Gerin, , Hager, LS, Moeller/EATON, clipsal,SIEMENS make MCB's (Miniature circuit Breaker ) and cabtree, Clipsal ,Orange Industrial 10 kA, LS , Merlin Gerin,Schinieider make R.C.C.B.'s (Residual Current circuit Breaker) and Schinieider, Merlin Gerin, LS, Dormans Smith ,Orange Industrial (10K), Biticano , Clockner moeller make M.C.C.B.'s (Moulded Case Circuit Breakers)</t>
  </si>
  <si>
    <t>The whole installation shall be carried out according to CEB/IEE wiring regulations.</t>
  </si>
  <si>
    <t>All the M.C.C.B.'s, MCB's and RCCB's for the distribution boards should be purchased from the following authorized agents or from heir dealers and a certificate or invoice along with their Company seal and Part No., numbers and warranty should be produced at the time of payment.</t>
  </si>
  <si>
    <t>a).  All MCB, RCCB, shall have 20 Years warranty and hence products which comes with 20 years warranty are permitted.</t>
  </si>
  <si>
    <t>b).  All MCCB shall have 2 Years warranty and hence products which comes with 2 years warranty are permitted.</t>
  </si>
  <si>
    <t>e).  All socket and switches shall have 20 Years warranty and hence products which comes with 20 years warranty are permitted.</t>
  </si>
  <si>
    <t>Point wiring only with and including switches (Rate includes wiring from MCB through switch to lamp point and includes the switch, switch box, lamp holder wire and conduit)</t>
  </si>
  <si>
    <t>Point wiring only with and including Socket (Rate includes wiring from MCB to the Socket, socket box, and conduit)</t>
  </si>
  <si>
    <t>Light Fittings</t>
  </si>
  <si>
    <t>S - SANITARY FITTINGS</t>
  </si>
  <si>
    <t>(a). Has an authorized local agent in Sri Lanka</t>
  </si>
  <si>
    <t>(b). The local agent has been in the trade of the offered make for not
less than 5 years.</t>
  </si>
  <si>
    <t>(c).The cistern mechanism shall have an assurance for the availability of spares for the next 3 years.</t>
  </si>
  <si>
    <t>(d). The fittings are manufactured in conformity to BS, JIS,
A.S.T.M., A.S. or S.L.S. standards.</t>
  </si>
  <si>
    <t>(e).The dimensions and performance characteristics are in par with
the stated model.</t>
  </si>
  <si>
    <t>(f).Contractor should submit the purchasing bill and the required
warranty for all "Rocell , American Standard, Lanka Tiles - coloma " products</t>
  </si>
  <si>
    <t>Warranty</t>
  </si>
  <si>
    <t>(a). Manufacturer's Warranty for American Standard Brand.</t>
  </si>
  <si>
    <t>(b). Manufacturer's Warranty for Rocell Brand.</t>
  </si>
  <si>
    <t>(c).Manufacturer's Warranty for Lanka Tiles - coloma Brand.</t>
  </si>
  <si>
    <t>Supply and fix Chromium plated 1/2" dia. angle valve of "Rocell" brand . model or approved equivalent. (Prime cost of the Chromium plated 1/2" dia. angle valve is Rs. 1231.00)</t>
  </si>
  <si>
    <t>Supply and fix Chromium plated 1 1/4" chromium plated waste outlet of  "Rocell" brand or approved equivalent. (Prime cost of the Chromium plated 1 1/4" chromium plated waste outlet is Rs. 1935.00)</t>
  </si>
  <si>
    <t>Supply and fix 5mm thick mirror of size 18" x 24" double coated with pencil edge back strecher. (Prime cost of the 5mm thick mirror of size 18" x 24" is Rs. 3700.00)</t>
  </si>
  <si>
    <t>S 14</t>
  </si>
  <si>
    <t>Bathroom Accessories</t>
  </si>
  <si>
    <t>S 15</t>
  </si>
  <si>
    <t>S 17</t>
  </si>
  <si>
    <t>Supply and fix Chromium plated bathroom floor gully cover square type  of "Lanka Tiles Coloma " brand or approved equivalent. (Prime cost of the Chromium plated bathroom floor gully cover square type is Rs.
1950.00)</t>
  </si>
  <si>
    <t>S 18</t>
  </si>
  <si>
    <t>S 19</t>
  </si>
  <si>
    <t>Kitchen Sink</t>
  </si>
  <si>
    <t>S 20</t>
  </si>
  <si>
    <t>S 21</t>
  </si>
  <si>
    <t>ACCESSORIES</t>
  </si>
  <si>
    <t>S 22</t>
  </si>
  <si>
    <t>S 23</t>
  </si>
  <si>
    <t>Foot Valve</t>
  </si>
  <si>
    <t>S 24</t>
  </si>
  <si>
    <t>Supply and fixing 1" dia PVC Compact Ball valve.</t>
  </si>
  <si>
    <t>Supply and fixing 1 1/2" dia PVC Compact Ball valve.</t>
  </si>
  <si>
    <t>Supply and fixing 1" dia PVC Foot valve.</t>
  </si>
  <si>
    <t>P.V.C. Pipes</t>
  </si>
  <si>
    <t>S 25</t>
  </si>
  <si>
    <t xml:space="preserve">L.ft. </t>
  </si>
  <si>
    <t>S 27</t>
  </si>
  <si>
    <t>S 28</t>
  </si>
  <si>
    <t>S 29</t>
  </si>
  <si>
    <t>S 30</t>
  </si>
  <si>
    <t>S 31</t>
  </si>
  <si>
    <t>S 32</t>
  </si>
  <si>
    <t>waste pipe</t>
  </si>
  <si>
    <t>S 33</t>
  </si>
  <si>
    <t>S 34</t>
  </si>
  <si>
    <t>S 35</t>
  </si>
  <si>
    <t>Supplying and laying 4" dia.uPVC sewer pipe - PNT7 (type 600) . Excavation, Bedding, Haunching &amp;Surrounding to be paid separately. Detais of Bedding, Haunching or surrounding are given by the Divisional Engineer as per the location.</t>
  </si>
  <si>
    <t>S 36</t>
  </si>
  <si>
    <t xml:space="preserve"> L.ft. </t>
  </si>
  <si>
    <t>Supplying and laying 4" dia.uPVC sewer pipe - PNT7 (type 600) fixed to wall and floor slab with uPVC clips.</t>
  </si>
  <si>
    <t>S 37</t>
  </si>
  <si>
    <t>Supplying and laying 6" dia. uPVC sewer pipe - PNT7 (type 600) fixed to wall and floor slab with uPVC clips.</t>
  </si>
  <si>
    <t>S 38</t>
  </si>
  <si>
    <t xml:space="preserve">Supplying laying and/or fixing 1/2" dia. uPVC pipe - PNT14 (Type 1000) </t>
  </si>
  <si>
    <t xml:space="preserve">Supplying laying and/or fixing 3/4" dia. uPVC pipe - PNT11 (Type 1000)  </t>
  </si>
  <si>
    <t xml:space="preserve">Supplying laying and/or fixing 1" dia. uPVC pipe - PNT11 (Type 1000) </t>
  </si>
  <si>
    <t xml:space="preserve">Supplying laying and/or fixing 1 1/4" dia. uPVC pipe - PNT11 (Type 1000) </t>
  </si>
  <si>
    <t xml:space="preserve">Supplying laying and/or fixing 1 1/2" dia. uPVC pipe - PNT11 (Type 1000) </t>
  </si>
  <si>
    <t>Supplying laying and/or fixing 2" dia. uPVC pipe - PNT11 (Type 1000)  ).</t>
  </si>
  <si>
    <t xml:space="preserve">Supplying and Fixing 1 1/4" dia uPVC waste pipe - PNT7 (Type 600) </t>
  </si>
  <si>
    <t>Supplying and fixing 1 1/2" dia uPVC waste pipe - PNT7 (Type 600)</t>
  </si>
  <si>
    <t xml:space="preserve">Supplying and fixing 2" dia. uPVC waste pipe - PNT7 (Type 600) </t>
  </si>
  <si>
    <t>All P.V.C. pipes should confirm to S.L.S. 147. The fittings should be of the same brand as pipes.Ratt to include to specials</t>
  </si>
  <si>
    <t>Supplying and laying 4" dia. uPVC perforated pipe- PNT7 (type 600) with  10mm dia. Holes @ 3" c/c as per details. Necessary excavation &amp; rubble packing to be paid separately.</t>
  </si>
  <si>
    <t>S 39</t>
  </si>
  <si>
    <t>Waste Water Manhole - Concrete</t>
  </si>
  <si>
    <t>S 40</t>
  </si>
  <si>
    <t>Sewer Manhole - Concrete</t>
  </si>
  <si>
    <t>S 41</t>
  </si>
  <si>
    <t>S 42</t>
  </si>
  <si>
    <t>S 43</t>
  </si>
  <si>
    <t xml:space="preserve">Soakage Pits </t>
  </si>
  <si>
    <t>RCC Manhole cover - Grade 20</t>
  </si>
  <si>
    <t xml:space="preserve">Sq.ft. </t>
  </si>
  <si>
    <t>S 44</t>
  </si>
  <si>
    <t>In view of the variety of sanitary ware and fittings available in the market, it has become necessary to prescribe the exact quality requirements in terms of performance and durability aspects. The "Rocell , American Standard, Lanka Tiles - coloma " brands and respective model numbers have been chosen as a bench mark to establish the said requirements.</t>
  </si>
  <si>
    <t>Any other make/brand that has equivalent performance
characteristics are considered as equivalent provided such fittings meet with the following criteria.</t>
  </si>
  <si>
    <t>Water tank should combined with three layers of high density polyethylene except 5000 Ltr. Water tank.</t>
  </si>
  <si>
    <t>The inner and outer layers made of 100% FDA approved virgin raw materials , ensuring non-contamination.</t>
  </si>
  <si>
    <t>Contractor should submit the purchasing bill and the required warranty for water tanks (10 year warranty) manufactured by "Anton , Arpico" to the Divisional Engineer.</t>
  </si>
  <si>
    <t>The brand name and model number appearing in the respective BSR items are purely meant to describe the performance standard of the said fitting/item and does not imply in any way that only the "Rocell ,American Standard, Lanka Tiles - coloma " brands are recommended or considered to be restricted to the "Rocell &amp; American Standard" brands.</t>
  </si>
  <si>
    <t>25 years warranty for Vitreous china ware (VC), 1 year warranty for VC component parts such as Tank fitting, Seat cover, etc., 1 year warranty for Flush valve, 5 years warranty for Faucets (Body) &amp; 1 year warranty for other products.</t>
  </si>
  <si>
    <t>25 years warranty for Bath ware, 5 years warranty for Faucets (Body) &amp; Bath room Accessories &amp; 1 year warranty for Plumbing Accessories.</t>
  </si>
  <si>
    <t>Rate ( Rs.)</t>
  </si>
  <si>
    <t>Amount ( Rs.)</t>
  </si>
  <si>
    <t>RATE</t>
  </si>
  <si>
    <t>Notes:</t>
  </si>
  <si>
    <t>in this Bill and with accordance to Drawings, Specifications</t>
  </si>
  <si>
    <t>and to the approval of the Engineer.</t>
  </si>
  <si>
    <t>Contractor shall carry out and complete the Works described</t>
  </si>
  <si>
    <t>All steel used in the work shall comply with the relevent british standerds and to the specifications</t>
  </si>
  <si>
    <t>All steel shall be new and each, member shall be free from any built weld or other forms of splice for the full strength between joints shown in or indicated in the drawings unless such spelice shall have been shown in the approved drawings</t>
  </si>
  <si>
    <t>the bidder shall submit the specification for the steel which he proposed to use and obtain prior approval from the engineer before commencemnt of ordering of steel and fabrications</t>
  </si>
  <si>
    <t>Drawings</t>
  </si>
  <si>
    <t>Before any steel work is fabricated the contractor shall obtain the engineers approval of the proposed details of fabrications. For this purpose, two copies of each drawings shall be submitted to the engineer not less than 14 days before commencemnt of fabrication</t>
  </si>
  <si>
    <t>Inspections</t>
  </si>
  <si>
    <t>All steel works shall be subjected for inspection by the engineer, The steel works shall not be moved from the place of fabrication not primer or painted untill the approval of the engineer has been obtained for the fabriction of steel work</t>
  </si>
  <si>
    <t>Welding</t>
  </si>
  <si>
    <t>No welding shall be done untill approval of the prepared syrface has been obtained, All welding shall be carried out under the supervsion of qualified persons</t>
  </si>
  <si>
    <t>base plate, Sole Plate, gussete plate, Spelice etc, have not been measured separatly but the weights of such attachemnts have been included in weights of respective items indicatded in item description</t>
  </si>
  <si>
    <t>refer drawings for fabrication and fixing details of trusses, purlin etc</t>
  </si>
  <si>
    <t>Rate shall include for all necessary cuttings, drillings, bolting reverting, welding, grinding, delering, unloading, hoisting, erecting and fixing in position  levelling, plumbing and submission and getting approval of all shop drwings</t>
  </si>
  <si>
    <t>Product Certification</t>
  </si>
  <si>
    <t>Submit test reports of comprehensive test performed by a qualified independent reputed testing agency certifying that the product complies with the requried specification and specified performance reurements.</t>
  </si>
  <si>
    <t>Mill certificte from the roofing plain coil manufacture</t>
  </si>
  <si>
    <t>In addition to the above, locally availble tests (AZ coating, total thickness of the sheet coating thickness etc ) shall be carried out by a recognized independent testing body such a ITI or university of moratuwa with samples randomly selected from delivery batch.</t>
  </si>
  <si>
    <t>Warranties</t>
  </si>
  <si>
    <t>The contractor shall provide warranty jointly and severally liable by the contractor and manufacture for performance requrements of materils, manufacturing defects and workmanship for periods as stated below from the date of emplyoers taking of the work or section.</t>
  </si>
  <si>
    <t>a) Against corrosion perforation - 10 yrs</t>
  </si>
  <si>
    <t>b) Against flake and peel -10 yrs</t>
  </si>
  <si>
    <t>c) Aginst excessive colour fading and chalking - 10 yrs</t>
  </si>
  <si>
    <t>nr</t>
  </si>
  <si>
    <t>roof covering</t>
  </si>
  <si>
    <t>ridge cap</t>
  </si>
  <si>
    <t>walance</t>
  </si>
  <si>
    <t>down pipe</t>
  </si>
  <si>
    <t>flashing</t>
  </si>
  <si>
    <t>Timber :</t>
  </si>
  <si>
    <t>3. Glass thickness to be 5mm.</t>
  </si>
  <si>
    <t>2 All timber for doors &amp; windows should be well drying subjected to pressure impregnation treatment using chemical of copper sulphate pentahydrate, Sodium dichromate dihydrate and Boric acid to reduce the moisture level up to 8%- 10% ( Final moisture level should be maintain 12% to 15% after Stabilize with the Environment.)</t>
  </si>
  <si>
    <t>4. Following Brass or stainless steel furniture are recommended for timber Doors/ Windows/ Fan lights. Rate with out following heavy duty brass furniture.</t>
  </si>
  <si>
    <t>(b)Doors :- 2 no. 6" Solid brass barrel bolts</t>
  </si>
  <si>
    <t>(c)Windows of 4'-0" height :- 2 no. 4"x 2" Solid brass hinges</t>
  </si>
  <si>
    <t>(d)Windows above 4'-0" height :- 3 no. 4"x 2" Solid brass hinges</t>
  </si>
  <si>
    <t>(e)Windows :- 1 no. 2" Solid brass ring</t>
  </si>
  <si>
    <t>(f)Windows :- 1 no. 10" Solid brass Casement Stay</t>
  </si>
  <si>
    <t>(g)Windows :- 1 no. Solid brass Casement Fastener</t>
  </si>
  <si>
    <t>P - IRON MONGARY</t>
  </si>
  <si>
    <t>All Iron mongary shall be heavy duty and samples should be
approved by the D.E. Prior to installation.</t>
  </si>
  <si>
    <t>1. In view of the variety of door locks available in the market, it has become necessary to prescribe the exact quality requirements in terms of performance and durability aspects. The "Union" brand and respective model numbers have been chosen as a bench mark to establish the said requirements.</t>
  </si>
  <si>
    <t>2. The brand name and model number appearing in the respective BSR items are purely meant to describe the performance standard of the said fitting/item and does not imply in any manner that only the "Union" brand is recommended or considered to be restricted to the "Union" brand.</t>
  </si>
  <si>
    <t>Any other make/brand that has equivalent performance
characteristics are considered as equivalent provided such fittings
met with following criteria.</t>
  </si>
  <si>
    <t>(a) has an authorized local agent in Sri Lanka</t>
  </si>
  <si>
    <t>(b) The local agent has been in the trade of the offered make for not less than 5 years.</t>
  </si>
  <si>
    <t>(c) The fittings are manufactured in conformity to BS, JIS, ASTM, AS or SLS standards.</t>
  </si>
  <si>
    <t>(d) The dimensions and performance characteristics are in par with the stated model.</t>
  </si>
  <si>
    <t>The brands that may be considered as equivalent are "Miva" of
Japan "Whitco" of Australian make or "Dorma" of European make or any other approved make which prior approval to be obtained from Deputy Chief Secretary(Engineering), Director(Building) or
Director(Engineering) after producing necessary catalogues and
documents.</t>
  </si>
  <si>
    <t xml:space="preserve">Nr. </t>
  </si>
  <si>
    <t>Water Based Application</t>
  </si>
  <si>
    <t>All water base products are none toxic and conform to EN 71
standards.</t>
  </si>
  <si>
    <t>Preparing and application two coats of water based stain and two coats of  water based top coat to new wood work. Rate shall include for preparing the surface and sanding with sand paper 80, 120, 180 and 320 or 400 . (Prime cost of "JAT - Sayerlack Brand" is water base stain - 4 L is Rs.8916.00.00 &amp; water base top coat - 5L is Rs.16887.00 with 5 year product warranty) for D6</t>
  </si>
  <si>
    <t>Supplying and fixing 8" long heavy duty solid brass tower bolt for D6 inclusive  of brass screws marketed by M.M.Noorbhoy &amp; company or approved equivalent.</t>
  </si>
  <si>
    <t>Supplying and fixing 5" x 3" x 3mm thick solid brass hinges for D6 inclusive of  brass screws marketed by M.M.Noorbhoy &amp; company or approved equivalent.</t>
  </si>
  <si>
    <t>2. Anodized coating thickness should be 25 ± 5 microns</t>
  </si>
  <si>
    <t>3.Aluminium extrusions available in the Local Market are being either manufactured in Sri Lanka or imported material. Due to the continuous change of the extrusion profiles and thicknesses from time to time, it has become very difficult to specify standard section sizes that are to be used for door /window frames and sash members. Hence the rates given herein are based on the recommended minimum sizes and thicknesses of profiles published by leading Aluminium profile manufacturers (Alumex Plc, Swisstek Aluminium Limited) as at present for the doors, windows, fanlights and partitions.</t>
  </si>
  <si>
    <t>before the fabrication contractor must submitt the following information.</t>
  </si>
  <si>
    <t>1. The specifications and thickness of Aluminium extrusions 
proposes to use on the works.</t>
  </si>
  <si>
    <t>2. Full size cross sections of profiles.</t>
  </si>
  <si>
    <t>(a) Minimum tensile strength 150 Mpa</t>
  </si>
  <si>
    <t>(b) Elongation 7%</t>
  </si>
  <si>
    <t>5. Physical properties :-</t>
  </si>
  <si>
    <t>6. All screws should be stainless steel</t>
  </si>
  <si>
    <t>(a) A written certificate stating that all material and workmanship are in conformity with the specifications and the manufactures requirements.</t>
  </si>
  <si>
    <t xml:space="preserve">
The rates for Items are strictly applicable, subject to the fulfillment of the following conditions.</t>
  </si>
  <si>
    <t>payments for items shall be made on receipt of above certificate</t>
  </si>
  <si>
    <t>All distribution boards should be incorporated with multi 9, Orange Industrial, Merlin Gerin, , Hager, LS, Moeller/EATON, clipsal, SIEMENS make MCB's (Miniature circuit Breaker ) and cabtree, Clipsal ,Orange Industrial 10 kA, LS , Merlin Gerin,Schinieider make R.C.C.B.'s (Residual Current circuit Breaker) and Schinieider, Merlin Gerin, LS, Dormans Smith ,Orange Industrial (10K), Biticano , Clockner moeller make M.C.C.B.'s (Moulded Case Circuit Breakers)</t>
  </si>
  <si>
    <t>All the M.C.C.B.'s, MCB's and RCCB's for the distribution boards should be purchased from the following authorized agents or from their dealers and a certificate or invoice along with their Company seal and Part No., numbers and warranty should be produced at the time of payment.</t>
  </si>
  <si>
    <t>a). All MCB, RCCB, shall have 20 Years warranty and hence products which comes with 20 years warranty are permitted.</t>
  </si>
  <si>
    <t>b). All MCCB shall have 2 Years warranty and hence products which comes with 2 years warranty are permitted.</t>
  </si>
  <si>
    <t>e). All socket and switches shall have 20 Years warranty and hence products which comes with 20 years warranty are permitted.</t>
  </si>
  <si>
    <t>All Lighting Fittings shall have 2 Years warranty including bulb and hence products which comes with 2 Years warranty are permitted.</t>
  </si>
  <si>
    <t>The height of the light bracket from floor level is 2.5m.</t>
  </si>
  <si>
    <t>Height of the switches from floor level is 1.5m.</t>
  </si>
  <si>
    <t>No ceiling fan should be installed at a height of less than 2.7m from floor level.</t>
  </si>
  <si>
    <t>The distance of a light source from the wall should be equal to one half the distance between two adjacent light sources and also the distance between light fittings should not exceed 1.5 times the Mounting height.</t>
  </si>
  <si>
    <t>Point Wiring With Earthwire.</t>
  </si>
  <si>
    <t>Light point wired through a 10Amp two gang one way plate switch using  2x1/1.13mm(2x1/.044) P.V.C. insulated copper wire &amp; 1x7/0.67mm P.V.C. insulated copper earth wire in fully concealed/surface P.V.C.
conduits. (For a switch circuit)</t>
  </si>
  <si>
    <t xml:space="preserve">Light point wired through a 10Amp one gang one way plate switch using  2x1/1.13mm(2x1/.044) P.V.C. insulated copper wire &amp; 1x7/0.67mm P.V.C. insulated copper earth wire in fully concealed/surface P.V.C.
conduits. (For a switch circuit) </t>
  </si>
  <si>
    <t xml:space="preserve">Light point wired through a 10 Amp three gang one way plate switch   using 2x1/1.13mm(2x1/.044) P.V.C. insulated copper wire &amp; 1x7/0.67mm
P.V.C. insulated copper earth wire in fully concealed/surface P.V.C. conduits. (For a switch circuit) </t>
  </si>
  <si>
    <t>FIRST FLOOR</t>
  </si>
  <si>
    <t>SECOND FLOOR</t>
  </si>
  <si>
    <t>Supply , Installation &amp; wiring of power Socket Outlet Flush mounted 13 Amp switch socket outlet wired using   2x7/0.67(2x7/.029) insulated copper wire &amp; 1x7/0.67(7/.029) copper earth wire in fully concealed/surface P.V.C. conduits (in radial circuit) through the ceiling ,  wall / partition up to the point  including  PVC trucking , outlet and other accessories up to the point in ground floor</t>
  </si>
  <si>
    <t>Supply , Installation &amp; wiring of power Socket Outlet Flush mounted 13 Amp switch socket outlet wired using   2x7/0.67(2x7/.029) insulated copper wire &amp; 1x7/0.67(7/.029) copper earth wire in fully concealed/surface P.V.C. conduits (in radial circuit) through the ceiling ,  wall / partition up to the point  including  PVC trucking , outlet and other accessories up to the point in second floor</t>
  </si>
  <si>
    <t>Supply , Installation &amp; wiring of power Socket Outlet Flush mounted 13 Amp switch socket outlet wired using   2x7/0.67(2x7/.029) insulated copper wire &amp; 1x7/0.67(7/.029) copper earth wire in fully concealed/surface P.V.C. conduits (in radial circuit) through the ceiling ,  wall / partition up to the point  including  PVC trucking , outlet and other accessories up to the point in first floor</t>
  </si>
  <si>
    <t>Wall mounted fan - (K.D.K. or approved equivalent ) 12960 in ground Floor</t>
  </si>
  <si>
    <t>V05.05</t>
  </si>
  <si>
    <t>V05.06</t>
  </si>
  <si>
    <t>Lamp fitting with given a two year Warranty for fitting .</t>
  </si>
  <si>
    <t>Light point wired through a 10 Amp one gang two way plate switch using  2x1/1.13mm(2x1/.044) P.V.C. insulated copper wire &amp; 1x7/0.67mm P.V.C. insulated copper earth wire in fully concealed/surface P.V.C.
conduits. (For a switch circuit)</t>
  </si>
  <si>
    <t xml:space="preserve">Light point wired through a 10Amp one gang one way plate switch using 2x1/1.13mm(2x1/.044) P.V.C. insulated copper wire &amp; 1x7/0.67mm P.V.C. insulated copper earth wire in fully concealed/surface P.V.C.
conduits. (For a switch circuit) </t>
  </si>
  <si>
    <t>V04.16</t>
  </si>
  <si>
    <t>V04.17</t>
  </si>
  <si>
    <t>V04.18</t>
  </si>
  <si>
    <t>Inner diameter of 4" Weatherproof IP65 rated wall mounted cylindrical  shaped upward light fitting with 18 watt LED bulb. (Prime cost of the Weatherproof IP65 rated wall mounted cylindrical shaped upward light fitting with 18 watt LED bulb is Rs.5900.00)</t>
  </si>
  <si>
    <t>Inner diameter of 5" Ceiling mounted down light complete with 12w LED lamp. (Prime cost of the Ceiling mounted down light complete with 12w
LED lamp is Rs.2900.00) - external slab area</t>
  </si>
  <si>
    <t>First Foor</t>
  </si>
  <si>
    <t>LIGHT CALCULATING</t>
  </si>
  <si>
    <t>labour room 01</t>
  </si>
  <si>
    <t>6263 Lumens OR 48 Watts</t>
  </si>
  <si>
    <t>12W</t>
  </si>
  <si>
    <t>3935 Lumens OR 30 Watts</t>
  </si>
  <si>
    <t>18W</t>
  </si>
  <si>
    <t>2315 Lumens OR 17 Watts</t>
  </si>
  <si>
    <t>labour room 02</t>
  </si>
  <si>
    <t>labour room 03</t>
  </si>
  <si>
    <t>health supervision room</t>
  </si>
  <si>
    <t>3153 Lumens OR 24 Watts</t>
  </si>
  <si>
    <t>health supervision room 01</t>
  </si>
  <si>
    <t>3394 Lumens OR 26 Watts</t>
  </si>
  <si>
    <t>bathroom</t>
  </si>
  <si>
    <t>3829 Lumens OR 29 Watts</t>
  </si>
  <si>
    <t>6W</t>
  </si>
  <si>
    <t>2633 Lumens OR 20 Watts</t>
  </si>
  <si>
    <t>920 Lumens OR 7 Watts</t>
  </si>
  <si>
    <t>store keeper</t>
  </si>
  <si>
    <t>2493 Lumens OR 19 Watts</t>
  </si>
  <si>
    <t>12538 Lumens OR 96 Watts</t>
  </si>
  <si>
    <t>stores ( hardware)</t>
  </si>
  <si>
    <t>12199 Lumens OR 93 Watts</t>
  </si>
  <si>
    <t>stores ( stationary)</t>
  </si>
  <si>
    <t>0'-7" x 0'-7" LED 12 watt ceiling surface mounted panel light fitting. -  Square Type. (Prime cost of the 0'-7" x 0'-7" LED 12 watt ceiling surface mounted panel light fitting. - Square Type is Rs.1450.00)</t>
  </si>
  <si>
    <t>V06.03</t>
  </si>
  <si>
    <t>V06.04</t>
  </si>
  <si>
    <t>0'-9" x 0'-9" LED 18 watt ceiling surface mounted panel light fitting. -   Square Type. (Prime cost of the 0'-9" x 0'-9" LED 18 watt ceiling surface mounted panel light fitting. - Square is Rs.1800.00)</t>
  </si>
  <si>
    <t>0'-5" x 0'-5" LED 6 watt ceiling surface mounted panel light fitting.-   Square Type. (Prime cost of the 0'-5" x 0'-5" LED 6 watt ceiling surface mounted panel light fitting.- Square Type is Rs.950.00)</t>
  </si>
  <si>
    <t>V06.07</t>
  </si>
  <si>
    <t>V06.08</t>
  </si>
  <si>
    <t>13425 Lumens OR 103 Watts</t>
  </si>
  <si>
    <t>record room 02</t>
  </si>
  <si>
    <t>office</t>
  </si>
  <si>
    <t>10105 Lumens OR 77 Watts</t>
  </si>
  <si>
    <t>phi</t>
  </si>
  <si>
    <t>3601 Lumens OR 27 Watts</t>
  </si>
  <si>
    <t>dengue prevention team</t>
  </si>
  <si>
    <t>1630 Lumens OR 12 Watts</t>
  </si>
  <si>
    <t>record room 01</t>
  </si>
  <si>
    <t>16601 Lumens OR 127 Watts</t>
  </si>
  <si>
    <t>5113 Lumens OR 39 Watts</t>
  </si>
  <si>
    <t>1120 Lumens OR 8 Watts</t>
  </si>
  <si>
    <t>V06.09</t>
  </si>
  <si>
    <t>V06.10</t>
  </si>
  <si>
    <t>V06.11</t>
  </si>
  <si>
    <t>V06.12</t>
  </si>
  <si>
    <t>V06.13</t>
  </si>
  <si>
    <t>V07</t>
  </si>
  <si>
    <t>V07.01</t>
  </si>
  <si>
    <t>V07.02</t>
  </si>
  <si>
    <t>4205 Lumens OR 32 Watts</t>
  </si>
  <si>
    <t>female accomdation room</t>
  </si>
  <si>
    <t>male accomdation room</t>
  </si>
  <si>
    <t>7392 Lumens OR 56 Watts</t>
  </si>
  <si>
    <t>conference</t>
  </si>
  <si>
    <t>V06.14</t>
  </si>
  <si>
    <t>V06.15</t>
  </si>
  <si>
    <t>V06.16</t>
  </si>
  <si>
    <t>G.I Tube Hand Rail</t>
  </si>
  <si>
    <t>partition</t>
  </si>
  <si>
    <t>glass partition</t>
  </si>
  <si>
    <t>Partitions</t>
  </si>
  <si>
    <t>Supplying &amp; fixing surface mounted door closer of "Union Brand" &amp;  Model no. - N8803 or approved equivalent. In second Floor</t>
  </si>
  <si>
    <t>44226 Lumens OR 340 Watts</t>
  </si>
  <si>
    <t>3023 Lumens OR 23 Watts</t>
  </si>
  <si>
    <t>13666 Lumens OR 105 Watts</t>
  </si>
  <si>
    <t>DINING ROOM</t>
  </si>
  <si>
    <t>2830 Lumens OR 21 Watts</t>
  </si>
  <si>
    <t>7466 Lumens OR 57 Watts</t>
  </si>
  <si>
    <t>4883 Lumens OR 37 Watts</t>
  </si>
  <si>
    <t>Rain Water Drain</t>
  </si>
  <si>
    <t>S 45</t>
  </si>
  <si>
    <t>rain water line</t>
  </si>
  <si>
    <t>Removable Grating For  Drain</t>
  </si>
  <si>
    <t>floor point stone</t>
  </si>
  <si>
    <t>Tile Shall be Homogenous, porcelain floor tiles of
industrial grade floor tile range manufactured by Rocell , Lanka Wall Tile or approved equivalent.</t>
  </si>
  <si>
    <t>Copy of the first grade tile purchase bill should be produced at the time of payment.</t>
  </si>
  <si>
    <t>Rates include the cost of 1:3 cement:sand motar leveling bed and adhesives</t>
  </si>
  <si>
    <t>pavemet tile</t>
  </si>
  <si>
    <t>Granite</t>
  </si>
  <si>
    <t>Polished Granite 1" thick for vanity tops, laid on 1/2" thick cement sand  1:3 screed level off using cement slurry and 3mm joints to be absolutely in line and flush and grout. Size &amp; colour should be decided by the Architect.</t>
  </si>
  <si>
    <t>granite</t>
  </si>
  <si>
    <t>Gf</t>
  </si>
  <si>
    <t>ff</t>
  </si>
  <si>
    <t>lift door</t>
  </si>
  <si>
    <t>C6</t>
  </si>
  <si>
    <t>L.ft</t>
  </si>
  <si>
    <t>C6.01</t>
  </si>
  <si>
    <t>Lintols size 9" x 6" deep in Grade 20 concrete, reinforced with 2 nos of 10mm dia. tor steel bars and 6mm mild steel stirrups @ 6" c/c including necessary formwork in first floor.</t>
  </si>
  <si>
    <t>C6.02</t>
  </si>
  <si>
    <t>Lintols size 9" x 6" deep in Grade 20 concrete, reinforced with 2 nos of 10mm dia. tor steel bars and 6mm mild steel stirrups @ 6" c/c including necessary formwork in ground floor.</t>
  </si>
  <si>
    <t>C6.03</t>
  </si>
  <si>
    <t>Lintols size 9" x 6" deep in Grade 20 concrete, reinforced with 2 os of 10mm dia. tor steel bars and 6mm mild steel stirrups @ 6" c/c including necessary formwork in second floor.</t>
  </si>
  <si>
    <t>225X150 lintol ground floor</t>
  </si>
  <si>
    <t>225X150 lintol First floor</t>
  </si>
  <si>
    <t>225X150 lintol second floor</t>
  </si>
  <si>
    <t>225mmX150mm Lintol</t>
  </si>
  <si>
    <t>Concrete Lintols</t>
  </si>
  <si>
    <t>C6.04</t>
  </si>
  <si>
    <t>100X150 lintol</t>
  </si>
  <si>
    <t>C6.05</t>
  </si>
  <si>
    <t>C6.06</t>
  </si>
  <si>
    <t>Lintols  size 4 1/2" x 6" deep in Grade 20 concrete, reinforced with 2 nos of 10mm dia. tor steel bars and 6mm mild steel stirrups @ 6" c/c including necessary formwork in ground floor.</t>
  </si>
  <si>
    <t>Lintols  size 4 1/2" x 6" deep in Grade 20 concrete, reinforced with 2 nos of 10mm dia. tor steel bars and 6mm mild steel stirrups @ 6" c/c including necessary formwork in first floor.</t>
  </si>
  <si>
    <t>Lintols  size 4 1/2" x 6" deep in Grade 20 concrete, reinforced with 2 nos of 10mm dia. tor steel bars and 6mm mild steel stirrups @ 6" c/c including necessary formwork in second floor.</t>
  </si>
  <si>
    <t>100X150 lintols</t>
  </si>
  <si>
    <t>Doors &amp; Windows</t>
  </si>
  <si>
    <t xml:space="preserve">Doors  </t>
  </si>
  <si>
    <t>Windows</t>
  </si>
  <si>
    <t>LABOUR WASHROOM</t>
  </si>
  <si>
    <t>A -  LABOUR WASHROOM</t>
  </si>
  <si>
    <t xml:space="preserve">Cube </t>
  </si>
  <si>
    <t xml:space="preserve">Approved Earth spreading , leveling watering and compaction manually  using standard cast iron stamper or equivalent and filling in 150 mm thick layers (loose volume) in restricted areas (Earth available at site) - Earth measured as a volume in loose state before spreading and compaction.                                                                                                       </t>
  </si>
  <si>
    <t>Mass Concrete</t>
  </si>
  <si>
    <t>4.01.01</t>
  </si>
  <si>
    <t>4.02.01</t>
  </si>
  <si>
    <t>4.02.02</t>
  </si>
  <si>
    <t xml:space="preserve">Volume Batched Grade 25 concrete prepared at site using mixer and vibrator in ground  floor.Rate shall include  the cost of curing continously for 7 days. UP TO DPC LEVEL
</t>
  </si>
  <si>
    <t xml:space="preserve">Volume Batched Grade 25 concrete prepared at site using mixer and vibrator  in ground  floor.  Rate  shall  include  the  cost  of curing continously for 7 days. DPC LEVEL TO SLAB LEVEL
</t>
  </si>
  <si>
    <t>In column shaft from ground floor level to slab level</t>
  </si>
  <si>
    <t>4.02.03</t>
  </si>
  <si>
    <t>MASONRY WORKS</t>
  </si>
  <si>
    <t>FLOORING WORK</t>
  </si>
  <si>
    <t>WATER PROOFING WORK</t>
  </si>
  <si>
    <t>PLASTERING WORK</t>
  </si>
  <si>
    <t>TILING WORK</t>
  </si>
  <si>
    <t>floor area</t>
  </si>
  <si>
    <t xml:space="preserve"> COLOUR WASHING, PAINTING &amp; POLISHING</t>
  </si>
  <si>
    <t>PLUMBING AND DRAINAGE WORK</t>
  </si>
  <si>
    <t>Light fittings</t>
  </si>
  <si>
    <t>Provide an earth electrode 5'-0" long , 16 mm dia. copper bonded solid 
steel rod (coating thickness 25 Micron) Rate shall include connection to
the main panel, sub main, earth clips</t>
  </si>
  <si>
    <t>LABOUR WASH ROOM</t>
  </si>
  <si>
    <t>site clearing</t>
  </si>
  <si>
    <t>earth filling</t>
  </si>
  <si>
    <t>mass concrete</t>
  </si>
  <si>
    <t>tie beam</t>
  </si>
  <si>
    <t>floor cocnrete</t>
  </si>
  <si>
    <t>concrete sab</t>
  </si>
  <si>
    <t>excvation</t>
  </si>
  <si>
    <t>foundation</t>
  </si>
  <si>
    <t>lintol</t>
  </si>
  <si>
    <t xml:space="preserve">In column footing,stub </t>
  </si>
  <si>
    <t>form work</t>
  </si>
  <si>
    <t>footings</t>
  </si>
  <si>
    <t>stub</t>
  </si>
  <si>
    <t>plinth beam</t>
  </si>
  <si>
    <t>In column shaft from DPC  level to slab level</t>
  </si>
  <si>
    <t xml:space="preserve">column </t>
  </si>
  <si>
    <t>reinforcement</t>
  </si>
  <si>
    <t>block work</t>
  </si>
  <si>
    <t>wall - shower</t>
  </si>
  <si>
    <t>ecternal revels</t>
  </si>
  <si>
    <t>wall tile</t>
  </si>
  <si>
    <t>floor tile</t>
  </si>
  <si>
    <t>Supply and fix Chromium plated Bip tap of of "Rocell" brand or approved  equivalent. (Prime cost of the Chromium plated Bip tap is Rs. 1000.00)</t>
  </si>
  <si>
    <t>Supply and fix Chromium plated pillar tap (cold water) for wash basin of "Rocell" brand or approved equivalent. (Prime cost of the Chromium plated pillar tap (cold water) for wash basin is Rs. 2100.00)</t>
  </si>
  <si>
    <t>Supply and fix chromium plated Robe Hook of "Rocell" brand or . 
approved equivalent. (Prime cost of the chromium plated Robe Hook is Rs. 1000.00)</t>
  </si>
  <si>
    <t>Supply and fix chromium plated Toilet Brush Holder of "Lanka Tiles Coloma - Angelo " brand or approved equivalent. (Prime cost of the chromium plated Toilet Brush Holder is Rs. 2500.00)</t>
  </si>
  <si>
    <t xml:space="preserve"> LABOUR WASHROOM SUM CARRIED TO GRAND SUMMARY</t>
  </si>
  <si>
    <t>Metal Work</t>
  </si>
  <si>
    <t>0'-9" x 0'-9" LED 18 watt ceiling recessed mounted panel light fitting. -   Square Type. (Prime cost of the 0'-9" x 0'-9" LED 18 watt ceiling recessed mounted panel light fitting. - Square Type is Rs.1500.00)</t>
  </si>
  <si>
    <t xml:space="preserve"> Nr. </t>
  </si>
  <si>
    <t>0'-5' x 0'-5" LED 6 watt ceiling recessed mounted panel light fitting. -Square Type. (Prime cost of the 0'-5' x 0'-5" LED 6 watt ceiling recessedmounted panel light fitting. - Square Type is Rs.775.00)</t>
  </si>
  <si>
    <t>Prepare Schemetic design and detail drawings</t>
  </si>
  <si>
    <t>Prepare  Building services detail drawings</t>
  </si>
  <si>
    <t>Prepare Structural detail drawings</t>
  </si>
  <si>
    <t>Prepare Cost Estimate</t>
  </si>
  <si>
    <t>Bidding document and procurement stage</t>
  </si>
  <si>
    <t>Bill checking</t>
  </si>
  <si>
    <t>water proof - floor</t>
  </si>
  <si>
    <t>Supply and fix chromium plated Bidet Spray of "Rocell" brand or . approved equivalent. (Prime cost of the chromium plated Bidet Spray is Rs. 1676.00)</t>
  </si>
  <si>
    <t>Supply and fix Chromium plated 1/2" dia. 24" long flexible horse of "Rocell" brand model No."20002" or approved equivalent. (Prime cost of the Chromium plated 1/2" dia. 24" long flexible horse is Rs. 1231.00)</t>
  </si>
  <si>
    <t>Supply and fix Chromium plated 1/2" dia. 18" long flexible horse of "Rocell" brand or approved equivalent. (Prime cost of the Chromium plated 1/2" dia. 18" long flexible horse is Rs. 1148.00)</t>
  </si>
  <si>
    <t>Supply and fixig of shower set with necessary fittings (Prime cost of the shower set is rs.4,500.00)</t>
  </si>
  <si>
    <t>site supervision</t>
  </si>
  <si>
    <t>site visit</t>
  </si>
  <si>
    <r>
      <rPr>
        <b/>
        <sz val="11"/>
        <rFont val="Times New Roman"/>
        <family val="1"/>
      </rPr>
      <t>TD1</t>
    </r>
    <r>
      <rPr>
        <sz val="11"/>
        <rFont val="Times New Roman"/>
        <family val="1"/>
      </rPr>
      <t xml:space="preserve">
Size 2700mmX 900mm Black powder coated aluminium single sash butt hinged openable door with middle rail and glazed with 6mm thick clear glass   panes, neoprene and wooled beading, gaskets, pop rivots,  threaded  bar  with  nut  and  approved quality lock, butt hinges, door handle with cap nut.and door top finish with Fix glass louver As per the members , sizes and details given in Drawing No:- 
</t>
    </r>
  </si>
  <si>
    <r>
      <rPr>
        <b/>
        <sz val="11"/>
        <rFont val="Times New Roman"/>
        <family val="1"/>
      </rPr>
      <t>TD2</t>
    </r>
    <r>
      <rPr>
        <sz val="11"/>
        <rFont val="Times New Roman"/>
        <family val="1"/>
      </rPr>
      <t xml:space="preserve">
Size 2400mmX 750mm Black powder coated aluminium single sash butt hinged openable door with middle rail and glazed with 6mm thick clear glass   panes, neoprene and wooled beading, gaskets, pop rivots,  threaded  bar  with  nut  and  approved quality lock, butt hinges, door handle with cap nut.and door top finish with Fix glass louver As per the members , sizes and details given in Drawing No:- 
</t>
    </r>
  </si>
  <si>
    <r>
      <rPr>
        <b/>
        <sz val="11"/>
        <rFont val="Times New Roman"/>
        <family val="1"/>
      </rPr>
      <t>TD2</t>
    </r>
    <r>
      <rPr>
        <sz val="11"/>
        <rFont val="Times New Roman"/>
        <family val="1"/>
      </rPr>
      <t xml:space="preserve">
Size 2100mmX 750mm Black powder coated aluminium single sash butt hinged openable door with middle rail and glazed with 6mm thick clear glass   panes, neoprene and wooled beading, gaskets, pop rivots,  threaded  bar  with  nut  and  approved quality lock, butt hinges, door handle with cap nut.and door top finish with Fix glass louver As per the members , sizes and details given in Drawing No:- 
</t>
    </r>
  </si>
  <si>
    <r>
      <rPr>
        <b/>
        <sz val="11"/>
        <rFont val="Times New Roman"/>
        <family val="1"/>
      </rPr>
      <t xml:space="preserve">TFL1  </t>
    </r>
    <r>
      <rPr>
        <sz val="11"/>
        <rFont val="Times New Roman"/>
        <family val="1"/>
      </rPr>
      <t xml:space="preserve">                                                                                                            Size 600mm X600mm fanlight - 6mm thick clear glass work , out of 100 x 25mm SS "U" frame  including sand blast sticker film with all necessary  fittings as per the Architect detail drawing.</t>
    </r>
  </si>
  <si>
    <t>perlin</t>
  </si>
  <si>
    <t>concrete</t>
  </si>
  <si>
    <t>formwork</t>
  </si>
  <si>
    <t>rf</t>
  </si>
  <si>
    <t>Shuttering for Columns including dismantling using pre-fabricated steel shutter halves including dismantling.</t>
  </si>
  <si>
    <t>sill beam</t>
  </si>
  <si>
    <t>Window Sill</t>
  </si>
  <si>
    <t>Sill size 9" x 6" deep in Grade 20 concrete, reinforced with 2 nos of 10mm dia. tor steel bars and 6mm mild steel stirrups @ 6" c/c including necessary formwork in ground floor.</t>
  </si>
  <si>
    <t>C7</t>
  </si>
  <si>
    <t xml:space="preserve">225mmX150mm </t>
  </si>
  <si>
    <t>C7.01</t>
  </si>
  <si>
    <t>Sill  size 9" x 6" deep in Grade 20 concrete, reinforced with 2 nos of 10mm dia. tor steel bars and 6mm mild steel stirrups @ 6" c/c including necessary formwork in first floor.</t>
  </si>
  <si>
    <t>C7.02</t>
  </si>
  <si>
    <t>C7.03</t>
  </si>
  <si>
    <t xml:space="preserve">sill </t>
  </si>
  <si>
    <t>4X4 BRC</t>
  </si>
  <si>
    <t>v bvbnbvnbn</t>
  </si>
  <si>
    <t xml:space="preserve">……………………….                                                  </t>
  </si>
  <si>
    <t>MAIN SUMMARY</t>
  </si>
  <si>
    <t>……………………………………………….………………………….</t>
  </si>
  <si>
    <t>………………………………………………………………….……….</t>
  </si>
  <si>
    <t>Bidder's VAT Registration No: ………………………………...………………</t>
  </si>
  <si>
    <t>Signature of Bidder:                                            Date: ……………………………….</t>
  </si>
  <si>
    <t>Name and Address of Bidder:</t>
  </si>
  <si>
    <t xml:space="preserve">If additional Provide an earth electrode 6'-0" long , 2" dia. x 2.3 mm thick copper rod pipe and 35mm2 earth cable are required to improve the earth resistance.   </t>
  </si>
  <si>
    <t xml:space="preserve">Lightning protection earths 600x600x3mm copper plates,interconnecting Cu tape 3mm x25mm, 150mmx25mmx6mm Cu test clamps And concrete inspection Gully,enhance material with all accessories from roof top. Rate shall include connection
to the main panel, sub main, earth clips, wall plug, screws, &amp; etc. with 1'- 0" x 1'-0" x 1'-0" earth pit consist of 4 1/2" brick work , 3" thick Grade 20
concrete cover slab </t>
  </si>
  <si>
    <t>SUB TOTAL-I</t>
  </si>
  <si>
    <t xml:space="preserve">Name and Address of Witness: (1)                                               Name and Address of Witness: (2)  </t>
  </si>
  <si>
    <t>Signature of Witness: (1)                                                             Signature of Witness: (2)</t>
  </si>
  <si>
    <t>…………………………….                                                        ……………………………….</t>
  </si>
  <si>
    <t>Date: …………………………..                                                  Date: ………………………………</t>
  </si>
  <si>
    <t xml:space="preserve">SUB TOTAL-II  </t>
  </si>
  <si>
    <t>P.S</t>
  </si>
  <si>
    <t>Waste Water pit</t>
  </si>
  <si>
    <t>cover slab</t>
  </si>
  <si>
    <t>base</t>
  </si>
  <si>
    <t>Allowed for all cost of supply including CIF,CID,PAL,clearing charges,transport charges,erection,factory testing,site testing,commissioning as per specification.</t>
  </si>
  <si>
    <t>Passenger elavator</t>
  </si>
  <si>
    <t>Allowed for the cost of all temporary works,such as scaffolding etc, associated civil and electricle works and other related works such as  drilling of suitable holes in walls,breaking of any parts of walls and finishing works of the  same such as plastering,painting,etc   electricle power/ control wireing,services connections etc...</t>
  </si>
  <si>
    <t>Supply Cost</t>
  </si>
  <si>
    <t>V - MACHANICAL WORK</t>
  </si>
  <si>
    <t xml:space="preserve">Testing of Water tanks &amp; Sumps as per clause </t>
  </si>
  <si>
    <t>O - PROVISIONAL SUM</t>
  </si>
  <si>
    <t>V - PROVISIONAL SUM CARRIED TO GRAND SUMMARY</t>
  </si>
  <si>
    <t>V - MACHANICAL WORK CARRIED TO GRAND SUMMARY</t>
  </si>
  <si>
    <t>Pro. Sum</t>
  </si>
  <si>
    <t>Contractor s employees other than workmen is Rs.5.000.000/= per event</t>
  </si>
  <si>
    <t>Total Bid Sum to be taken in to Form of Bid in words      Rupees : …………………………………….</t>
  </si>
  <si>
    <t>…………………………………………………………………………………..…………………..Only</t>
  </si>
  <si>
    <t>100mmX150mm Lintols</t>
  </si>
  <si>
    <t>Sill  size 9" x 6" deep in Grade 20 concrete, reinforced with 2 nos of 10mm dia. tor steel bars and 6mm mild steel stirrups @ 6" c/c including necessary formwork in second floor.</t>
  </si>
  <si>
    <t>Supplying and fixing two lever Mortice door lock for D6 double sash of  Union Brand or approved equivalent. (Prime cost is Rs.25,000.00)</t>
  </si>
  <si>
    <t>f1</t>
  </si>
  <si>
    <t>f2</t>
  </si>
  <si>
    <t>f3</t>
  </si>
  <si>
    <t>cf1</t>
  </si>
  <si>
    <t>lft</t>
  </si>
  <si>
    <t>c1</t>
  </si>
  <si>
    <t>c2</t>
  </si>
  <si>
    <t>Ground floor concrete(75mm thick)</t>
  </si>
  <si>
    <t>colmn base form work</t>
  </si>
  <si>
    <t>75mm screed concrete</t>
  </si>
  <si>
    <t>1/7 A1-C</t>
  </si>
  <si>
    <t>A1-A2 3-4</t>
  </si>
  <si>
    <t>c.A.A1  1-7</t>
  </si>
  <si>
    <t>1,2  - B-B3</t>
  </si>
  <si>
    <t>2,3 -c2,b1b2</t>
  </si>
  <si>
    <t>4,5 -c2,b1</t>
  </si>
  <si>
    <t>5,6  c2</t>
  </si>
  <si>
    <t>6-7 - c2</t>
  </si>
  <si>
    <t xml:space="preserve">first floor slab beam </t>
  </si>
  <si>
    <t>1-7  A1-C</t>
  </si>
  <si>
    <t>2 A-C</t>
  </si>
  <si>
    <t>3 A-C</t>
  </si>
  <si>
    <t>4 A-C2</t>
  </si>
  <si>
    <t>3a c2-c</t>
  </si>
  <si>
    <t>4 c2-c</t>
  </si>
  <si>
    <t>5 A-C</t>
  </si>
  <si>
    <t>6 A-C</t>
  </si>
  <si>
    <t>canteliver beam</t>
  </si>
  <si>
    <t>A2  2a-4a</t>
  </si>
  <si>
    <t>B4-34</t>
  </si>
  <si>
    <t>B 1-3</t>
  </si>
  <si>
    <t>C2  2-7</t>
  </si>
  <si>
    <t>C1  3a-4</t>
  </si>
  <si>
    <t>1 -7 A1.A,C</t>
  </si>
  <si>
    <t>water tank level</t>
  </si>
  <si>
    <t>C  2-7</t>
  </si>
  <si>
    <t>2,3 C2-C</t>
  </si>
  <si>
    <t>3a,4  C2-C</t>
  </si>
  <si>
    <t xml:space="preserve">BAR BENDING SCHEDULE </t>
  </si>
  <si>
    <t xml:space="preserve"> BENDING SCHEDULE OF REINFORCEMENTS</t>
  </si>
  <si>
    <t>Project</t>
  </si>
  <si>
    <t>:</t>
  </si>
  <si>
    <t>Consultant</t>
  </si>
  <si>
    <t>Location</t>
  </si>
  <si>
    <t>Bar mark</t>
  </si>
  <si>
    <t>Type&amp;Size</t>
  </si>
  <si>
    <t>Members</t>
  </si>
  <si>
    <t>Nos per member</t>
  </si>
  <si>
    <t>Total nos</t>
  </si>
  <si>
    <t>Shape code (as per BS 4449 code)</t>
  </si>
  <si>
    <t>Length of a bar (m)</t>
  </si>
  <si>
    <t>Total length of bars (m)</t>
  </si>
  <si>
    <t>Lenth of Each Bar (m)</t>
  </si>
  <si>
    <t>Required Bar Qty</t>
  </si>
  <si>
    <r>
      <t>A</t>
    </r>
    <r>
      <rPr>
        <b/>
        <vertAlign val="superscript"/>
        <sz val="12"/>
        <rFont val="Arial"/>
        <family val="2"/>
      </rPr>
      <t>*</t>
    </r>
  </si>
  <si>
    <r>
      <t>B</t>
    </r>
    <r>
      <rPr>
        <b/>
        <vertAlign val="superscript"/>
        <sz val="12"/>
        <rFont val="Arial"/>
        <family val="2"/>
      </rPr>
      <t>*</t>
    </r>
  </si>
  <si>
    <r>
      <t>C</t>
    </r>
    <r>
      <rPr>
        <b/>
        <vertAlign val="superscript"/>
        <sz val="12"/>
        <rFont val="Arial"/>
        <family val="2"/>
      </rPr>
      <t>*</t>
    </r>
  </si>
  <si>
    <r>
      <t>D</t>
    </r>
    <r>
      <rPr>
        <b/>
        <vertAlign val="superscript"/>
        <sz val="12"/>
        <rFont val="Arial"/>
        <family val="2"/>
      </rPr>
      <t>*</t>
    </r>
  </si>
  <si>
    <r>
      <t>E</t>
    </r>
    <r>
      <rPr>
        <b/>
        <vertAlign val="superscript"/>
        <sz val="12"/>
        <rFont val="Arial"/>
        <family val="2"/>
      </rPr>
      <t>*</t>
    </r>
  </si>
  <si>
    <t>Total length (m)</t>
  </si>
  <si>
    <t>Remarks</t>
  </si>
  <si>
    <t>R6</t>
  </si>
  <si>
    <t>R8</t>
  </si>
  <si>
    <t>T10</t>
  </si>
  <si>
    <t>T12</t>
  </si>
  <si>
    <t>T16</t>
  </si>
  <si>
    <t>T20</t>
  </si>
  <si>
    <t>T25</t>
  </si>
  <si>
    <t>T32</t>
  </si>
  <si>
    <t>Column Base</t>
  </si>
  <si>
    <t>F1</t>
  </si>
  <si>
    <t>a</t>
  </si>
  <si>
    <t>Weight (Kg/m)</t>
  </si>
  <si>
    <t>TOTAL (Kg)</t>
  </si>
  <si>
    <t>Footing</t>
  </si>
  <si>
    <t>retaing wall</t>
  </si>
  <si>
    <t>height</t>
  </si>
  <si>
    <t>Wattala Mabola Urban council</t>
  </si>
  <si>
    <t>Proposed 3 storied building - Wattala Mabola Urban council</t>
  </si>
  <si>
    <t>F2</t>
  </si>
  <si>
    <t>F3</t>
  </si>
  <si>
    <t>CF1</t>
  </si>
  <si>
    <t>C1</t>
  </si>
  <si>
    <t>C2</t>
  </si>
  <si>
    <t>shaft -upto DPC</t>
  </si>
  <si>
    <t>Column shaft -upto DPC</t>
  </si>
  <si>
    <t>Plinth Beam</t>
  </si>
  <si>
    <t>pb 300X300</t>
  </si>
  <si>
    <t>pb 225X300</t>
  </si>
  <si>
    <t>Plinth beam</t>
  </si>
  <si>
    <t xml:space="preserve">Column shaft -DPC -1st </t>
  </si>
  <si>
    <t>shaft -dpc to 1st</t>
  </si>
  <si>
    <t>G/F beam</t>
  </si>
  <si>
    <t>1,7 A1-C</t>
  </si>
  <si>
    <t>Total Beam Concrete qty</t>
  </si>
  <si>
    <t>less - lift</t>
  </si>
  <si>
    <t>stir</t>
  </si>
  <si>
    <t>c,A 1-7</t>
  </si>
  <si>
    <t>1,7 A-C</t>
  </si>
  <si>
    <t>3,4 C2-A</t>
  </si>
  <si>
    <t>gutter slab</t>
  </si>
  <si>
    <t>gutter beam</t>
  </si>
  <si>
    <t>F/F Slab</t>
  </si>
  <si>
    <t xml:space="preserve">ground floor slab </t>
  </si>
  <si>
    <t>area</t>
  </si>
  <si>
    <t>rf qty</t>
  </si>
  <si>
    <t>rf for 1 m3</t>
  </si>
  <si>
    <t>FF qoncrete qty</t>
  </si>
  <si>
    <t>Column shaft -1st - 2nd</t>
  </si>
  <si>
    <t>shaft- 1st to 2nd</t>
  </si>
  <si>
    <t>ff beam</t>
  </si>
  <si>
    <t>concrete qty</t>
  </si>
  <si>
    <t>ff slab</t>
  </si>
  <si>
    <t>sf beam</t>
  </si>
  <si>
    <t>water tank slan</t>
  </si>
  <si>
    <t>lift base rendaring</t>
  </si>
  <si>
    <t>floor</t>
  </si>
  <si>
    <t xml:space="preserve">Ready mix concrete of grade 25(25 N/mm2) confirming to SLS 1144- 1997, rate include to transport from batching plant. Rate shall inclue for placing, levelling, vibrating &amp; curing the concrete &amp; pump car cost
</t>
  </si>
  <si>
    <t>Rate to include the transport from batching plant.</t>
  </si>
  <si>
    <t>CONSTRUCTION OF SUMP</t>
  </si>
  <si>
    <t>BASE</t>
  </si>
  <si>
    <t>WALL</t>
  </si>
  <si>
    <t>screed</t>
  </si>
  <si>
    <t>Rf</t>
  </si>
  <si>
    <t>waterproof</t>
  </si>
  <si>
    <t>Sump Construction</t>
  </si>
  <si>
    <t xml:space="preserve">Allowed for cost of providing security bonds,guaranties,insurance of personnel,property,material against accidents,damage,trespass or thief. </t>
  </si>
  <si>
    <t>Should have one year free maintenance and two year warranty.</t>
  </si>
  <si>
    <t>MILD STEEL REINFORCEMENT</t>
  </si>
  <si>
    <t>MILD STEEL</t>
  </si>
  <si>
    <t>shaft dpc to 1st floor</t>
  </si>
  <si>
    <t>shaft 1st to second</t>
  </si>
  <si>
    <t>Volume Batched Grade 20 concrete prepared at site using mixer and vibrator for reinforced cast in situ lintols, copings, stiffeners and drains and pantry slab, kitchen vanity slab</t>
  </si>
  <si>
    <t>Transport</t>
  </si>
  <si>
    <t>B 09</t>
  </si>
  <si>
    <t>Dry Earth Filling</t>
  </si>
  <si>
    <t>Back Filling</t>
  </si>
  <si>
    <t>The rates given for  items herein are applicable for plywood sheets of 15 mm thick. Hence  the  rate is valid only if the shuttering / formwork for footing , column ,  beams , lintel, walls, slabs are of 15 mm thick ply boards.</t>
  </si>
  <si>
    <t>the relavent document acceptable to the</t>
  </si>
  <si>
    <t>engineering plus 5% of the actaul cost of obtaining</t>
  </si>
  <si>
    <t>the insurance policies and securities</t>
  </si>
  <si>
    <t>agreement</t>
  </si>
  <si>
    <t>structures. 30% in equl installments over the</t>
  </si>
  <si>
    <t>contract period and the balance 10% on</t>
  </si>
  <si>
    <t>dismaintling and removal on completion</t>
  </si>
  <si>
    <t>contractor and the employer at the</t>
  </si>
  <si>
    <t>commencement of contract in relation to the</t>
  </si>
  <si>
    <t>work program</t>
  </si>
  <si>
    <r>
      <t xml:space="preserve">In equal installments over the contract period                     </t>
    </r>
    <r>
      <rPr>
        <b/>
        <sz val="10"/>
        <rFont val="Times New Roman"/>
        <family val="1"/>
      </rPr>
      <t>E</t>
    </r>
  </si>
  <si>
    <r>
      <t xml:space="preserve">Mode of payment to be mutually agreed between              </t>
    </r>
    <r>
      <rPr>
        <b/>
        <sz val="10"/>
        <rFont val="Times New Roman"/>
        <family val="1"/>
      </rPr>
      <t xml:space="preserve"> F</t>
    </r>
  </si>
  <si>
    <r>
      <t xml:space="preserve">on the completion of works                                                 </t>
    </r>
    <r>
      <rPr>
        <b/>
        <sz val="10"/>
        <rFont val="Times New Roman"/>
        <family val="1"/>
      </rPr>
      <t xml:space="preserve"> G</t>
    </r>
  </si>
  <si>
    <t>The Bidder is fully responsible for identiflying the limitataions, restrictions and difficulties imposed due to the locally of the site and its environs and should include in his prices for all contingencies that may arise as a result</t>
  </si>
  <si>
    <t>Mode of payment catogary</t>
  </si>
  <si>
    <t>A</t>
  </si>
  <si>
    <t xml:space="preserve">              Mode of Payment                                       Category</t>
  </si>
  <si>
    <r>
      <t xml:space="preserve">Reimbursement of actual cost on submission of                </t>
    </r>
    <r>
      <rPr>
        <b/>
        <sz val="10"/>
        <rFont val="Times New Roman"/>
        <family val="1"/>
      </rPr>
      <t>A</t>
    </r>
  </si>
  <si>
    <r>
      <t xml:space="preserve">To be paid on signal of the format contract                        </t>
    </r>
    <r>
      <rPr>
        <b/>
        <sz val="10"/>
        <rFont val="Times New Roman"/>
        <family val="1"/>
      </rPr>
      <t xml:space="preserve"> B</t>
    </r>
  </si>
  <si>
    <r>
      <t xml:space="preserve">60% on completion of temporary building or                     </t>
    </r>
    <r>
      <rPr>
        <b/>
        <sz val="10"/>
        <rFont val="Times New Roman"/>
        <family val="1"/>
      </rPr>
      <t>C</t>
    </r>
  </si>
  <si>
    <t xml:space="preserve">RCC Manhole cover 5" thick Consist of Grade 25 concrete reinforced  with two layers 10mm dia. Tor steel bars @ 8" C/C both ways. Rate include necessary formwork, lifting hooks and placing in position. All details given in Drawing </t>
  </si>
  <si>
    <t>Light point wired through a 10 Amp one gang two way plate switch using  2x1/1.13mm(2x1/.044) P.V.C. insulated copper wire &amp; 1x7/0.67mm P.V.C. insulated copper earth wire in fully concealed/surface P.V.C.conduits. (For a switch circuit)</t>
  </si>
  <si>
    <t>Supply and fix chromium plated Towel Ring of "Rocell" brand or .  approved equivalent. (Prime cost of the chromium plated Towel Ring is Rs. 1000.00)</t>
  </si>
  <si>
    <t>Drip Edge</t>
  </si>
  <si>
    <t>K 07</t>
  </si>
  <si>
    <t>Forming drip for sunshade edge cement &amp; sand 1: 3 finished semi rough in ground floor. Rate includes cost of "Febmix"as a workability enhancer.</t>
  </si>
  <si>
    <t>In First Floor</t>
  </si>
  <si>
    <t xml:space="preserve">In Ground Floor </t>
  </si>
  <si>
    <t>K 07.01</t>
  </si>
  <si>
    <t>K 07.02</t>
  </si>
  <si>
    <t>Forming drip  edge cement &amp; sand 1: 3 finished semi rough in ground floor. Rate includes cost of "Febmix"as a workability enhancer.</t>
  </si>
  <si>
    <t>Bill No. 05</t>
  </si>
  <si>
    <t>ADD- CONTINGENCIES- 10%</t>
  </si>
  <si>
    <t>Homogeneous porcelain semi - glazed/mat floor tile 16" x 16" paving on  1:3 cement &amp; sand bedding and pointed with tile grout to match the tile.
(Prime Cost of tile sqft  is Rs.150.00)</t>
  </si>
  <si>
    <t>Supply and fix white vitreous china (vc) floor standing Vanity wash basin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and pedestal is Rs.5,185.00)</t>
  </si>
  <si>
    <t>Supply and fix white vitreous china (vc) floor standing wash basin and pedestal with overflow hole and single tap hole in center of "Rocell" brand or approved equivalent complete to working order. (Prime cost of the floor standing wash basin and pedestal is Rs.5,185.00)</t>
  </si>
  <si>
    <t>Supply and fix squatting pan with foot rest with p trap of "Rocell" brand or approved equivalent complete to working order. (Prime cost of the squatting pan with foot rest with p trap is Rs. 3278.00)</t>
  </si>
  <si>
    <t>Supply and fix plastic cistern for squatting pan of "Rocell" brand or   approved equivalent including connecting pipe between tank and squatting pan complete to working order. (Prime cost of the plastic cistern for squatting pan is Rs. 2435.00)</t>
  </si>
  <si>
    <t>Supply and fix chromium plated Soap holder of "Rocell" brand or . 
approved equivalent. (Prime cost of the chromium plated Soap holder is Rs. 500.00)</t>
  </si>
  <si>
    <t>Supply and fix chromium plated Tumbler Holder of "Rocell" brand or  approved equivalent. (Prime cost of the chromium plated Tumbler Holder is Rs. 1000.00)</t>
  </si>
  <si>
    <t xml:space="preserve">Glazed Ceramic wall tiling of size 12" x 24" approved colour, supplying and fixing to walls on a 1:3 cement sand mortar layer, and pointed with tile grout to match the tile. (Rate does not include the 1:3 cement sand mortar layer and is separately measured under item L06) (Prime Cost of
tile Rs.300.00)
</t>
  </si>
  <si>
    <t>ROOF CONSTRUCTION</t>
  </si>
  <si>
    <t>The Bidder is requested to refer the Bill of Quantities,General Notes, Drawing, Specification and other relevant .documents prior to pricing of items in this trade</t>
  </si>
  <si>
    <t xml:space="preserve">Rates shall include for supply, installation, commissioning  and maintaining of the following items according to Drawings, Specifications and complete to working order with all connections to the approved of the AuthoritiesEngineer and relevant . </t>
  </si>
  <si>
    <t xml:space="preserve">The Bidder shall submit the following information on the </t>
  </si>
  <si>
    <t xml:space="preserve">items/equipment quoted for together with the tender. </t>
  </si>
  <si>
    <t>1. Make</t>
  </si>
  <si>
    <t>2. Model No.</t>
  </si>
  <si>
    <t>3. Technical data</t>
  </si>
  <si>
    <t>4. Country of manufacture</t>
  </si>
  <si>
    <t>5. Delivery period</t>
  </si>
  <si>
    <t>6. Lead time for manufacturing</t>
  </si>
  <si>
    <t>7. Port of shipping</t>
  </si>
  <si>
    <t>8. CIF value of each item in foreign currency</t>
  </si>
  <si>
    <t>9. Schedule of equipment</t>
  </si>
  <si>
    <t xml:space="preserve">The Bidder shall submit the following information on the items/equipment quoted for together with the tender. </t>
  </si>
  <si>
    <t>…………………………..                                                                       ………………………….</t>
  </si>
  <si>
    <t>C Plus Design (Pvt) Ltd.                                                                            C Plus Design (Pvt) Ltd.</t>
  </si>
  <si>
    <t xml:space="preserve">          Technical Officer,                                                                        Superintondon of Works,    </t>
  </si>
  <si>
    <t xml:space="preserve">…………………………..                                                               </t>
  </si>
  <si>
    <t xml:space="preserve">   Quantitty Surveyor,                                                                             Project Manager/Architect,</t>
  </si>
  <si>
    <t xml:space="preserve">               Secretary,                                                                                        Chairman,    </t>
  </si>
  <si>
    <t xml:space="preserve">Volume Batched Grade 25 concrete prepared at site using mixer and vibrator in ground  floor.Rate shall include  the cost of curing continously for 7 days. Upto DPC
</t>
  </si>
  <si>
    <t xml:space="preserve">Supply and Install 9L water Cylinder complete with brackets as per Drawings and Specification </t>
  </si>
  <si>
    <t>9KG Dry Powder Fire Extinguisher</t>
  </si>
  <si>
    <t>the rate shall include the bulb lamp complete with the fitting. Bulbs make shall be - Philips, osram, nvc,greenee &amp; Orange or eq</t>
  </si>
  <si>
    <t>3. Documentary evidence from the Profile Manufacture to the effect that the proposed profile will serve for the intended purpose.</t>
  </si>
  <si>
    <t>4. A Manufacturer's test certificate be produced as evidence that the powder coating is of required thickness.</t>
  </si>
  <si>
    <t>7. But hinges and bar type hinges should be Aluminium or Stainless Steel.</t>
  </si>
  <si>
    <t>8. The rates shall include Neoprene gasket, pop rivets, Rawl plugs, Screws, Aluminium cleats etc.</t>
  </si>
  <si>
    <t>Aluminium doors, windows and partitions shall confirm to the following requirements:</t>
  </si>
  <si>
    <t>Wall mounted fan - (K.D.K. or approved equivalent ) 12960 in second Floor</t>
  </si>
  <si>
    <t>Wall mounted fan - (K.D.K. or approved equivalent ) 12960 in first Floor</t>
  </si>
  <si>
    <t>mirror lamp</t>
  </si>
  <si>
    <t>gf</t>
  </si>
  <si>
    <t>sf</t>
  </si>
  <si>
    <t>LED 6 watt Mirror lamp  fitting.-  (Prime cost of the  light fitting.-  is Rs.950.00)</t>
  </si>
  <si>
    <t>V06.17</t>
  </si>
  <si>
    <t xml:space="preserve">Installation charges,Testing and commissioning </t>
  </si>
  <si>
    <t>………………………………………....                                …...…………………………………….</t>
  </si>
  <si>
    <t>Water Disposal</t>
  </si>
  <si>
    <t>B 10</t>
  </si>
  <si>
    <t>Disposal of Ground Water and Surface Water</t>
  </si>
  <si>
    <t>.</t>
  </si>
  <si>
    <t>Supply and fix zinc alum profile roofing colour sheet, laid on  purlings with joints to be properly connected with an adequate side lap to ensure water tightness along the entire length and complete to working order.(Rate to include roof frame and roof plumbing work and necessary other works)</t>
  </si>
  <si>
    <t>clearing site vegetation</t>
  </si>
  <si>
    <t>ft2</t>
  </si>
  <si>
    <t>top soil remove</t>
  </si>
  <si>
    <t>approved earth piled at site</t>
  </si>
  <si>
    <t>back filling</t>
  </si>
  <si>
    <t>225mm gf brick work</t>
  </si>
  <si>
    <t xml:space="preserve">less- </t>
  </si>
  <si>
    <t>bank 4 sliding</t>
  </si>
  <si>
    <t>d1 partition</t>
  </si>
  <si>
    <t>225mm ff brick work</t>
  </si>
  <si>
    <t>225mm sf brick work</t>
  </si>
  <si>
    <t>paraput wall</t>
  </si>
  <si>
    <t>100mm block wall in gf</t>
  </si>
  <si>
    <t>duct</t>
  </si>
  <si>
    <t>janitor</t>
  </si>
  <si>
    <t>sd1</t>
  </si>
  <si>
    <t>ld1</t>
  </si>
  <si>
    <t>100mm block wall in ff</t>
  </si>
  <si>
    <t>rd2</t>
  </si>
  <si>
    <t>100mm block wall in sf</t>
  </si>
  <si>
    <t>H - RUBBLE MASONRY</t>
  </si>
  <si>
    <t>150mm block wall in gf</t>
  </si>
  <si>
    <t>G1.5</t>
  </si>
  <si>
    <t>150mm block wall in ff</t>
  </si>
  <si>
    <t>150mm block wall in sf</t>
  </si>
  <si>
    <t>polythene laying</t>
  </si>
  <si>
    <t>bank 1/2 toilet floor</t>
  </si>
  <si>
    <t>diseble toilet</t>
  </si>
  <si>
    <t>male toilet</t>
  </si>
  <si>
    <t>female toiet</t>
  </si>
  <si>
    <t>bank 3/4 toilet floor</t>
  </si>
  <si>
    <t>femle/male toioet</t>
  </si>
  <si>
    <t>sun exposed waterproof</t>
  </si>
  <si>
    <t xml:space="preserve">5/8" thick plastering to plinth wall in cement sand 1:3 including finishing with cement slurry floating. Rate includes cost of "Febmix" as a workability enhancer.
</t>
  </si>
  <si>
    <t xml:space="preserve">Plastering 5/8" thick to walls in cement and sand 1:5 finished semi-rough.  Rate includes cost of "Febmix"as a workability enhancer.
</t>
  </si>
  <si>
    <t>external plaster in gf</t>
  </si>
  <si>
    <t>external plaster in ff</t>
  </si>
  <si>
    <t>external plaster in sf</t>
  </si>
  <si>
    <t xml:space="preserve">Plastering 5/8" thick to reveals in ground floor  in cement and sand 1:5 finished semi-rough. Rate includes cost of "Febmix"as a workability enhancer. 
</t>
  </si>
  <si>
    <t>Plastering 5/8" thick to reveals in first floor in cement and sand 1:5 finished semi-rough in first floor. Rate includes cost of "Febmix"as a workability enhancer.</t>
  </si>
  <si>
    <t>external revel in gf</t>
  </si>
  <si>
    <t>external revel in ff</t>
  </si>
  <si>
    <t>external revel in sf</t>
  </si>
  <si>
    <t>bank 1</t>
  </si>
  <si>
    <t>bank 2</t>
  </si>
  <si>
    <t>disle toilet</t>
  </si>
  <si>
    <t>femle toilet</t>
  </si>
  <si>
    <t>guard room</t>
  </si>
  <si>
    <t>janitorial room</t>
  </si>
  <si>
    <t>bank 3</t>
  </si>
  <si>
    <t>bank 4</t>
  </si>
  <si>
    <t>shop 01</t>
  </si>
  <si>
    <t>internal plater in gf</t>
  </si>
  <si>
    <t>internal plaster in ff</t>
  </si>
  <si>
    <t>shop 33/29</t>
  </si>
  <si>
    <t>shop 21/26</t>
  </si>
  <si>
    <t>shop 18-27</t>
  </si>
  <si>
    <t>shop 1 -8</t>
  </si>
  <si>
    <t>shop 10-17</t>
  </si>
  <si>
    <t>internal plaster in sf</t>
  </si>
  <si>
    <t>hall area</t>
  </si>
  <si>
    <t>multi panal room</t>
  </si>
  <si>
    <t>food court</t>
  </si>
  <si>
    <t>Plastering 5/8" thick to reveals in ground floor  in cement andsand 1:5 finished smooth with two coats of skim coat in ground floor.Rate includes cost of "Febmix"as a workability enhancer.</t>
  </si>
  <si>
    <t>Plastering 5/8" thick to reveals in first floor in cement and  sand 1:5 finished smooth with two coats of skim coat in first floor. Rate includes cost of "Febmix"as a workability enhancer.</t>
  </si>
  <si>
    <t>internal revel in gf</t>
  </si>
  <si>
    <t>internal revel in ff</t>
  </si>
  <si>
    <t>lm</t>
  </si>
  <si>
    <t>internal revel in sf</t>
  </si>
  <si>
    <t>gf slab skim coat</t>
  </si>
  <si>
    <t>ff slab skim coat</t>
  </si>
  <si>
    <t>drip edge</t>
  </si>
  <si>
    <t>wall tile in gf</t>
  </si>
  <si>
    <t>bank 01</t>
  </si>
  <si>
    <t>bank 02</t>
  </si>
  <si>
    <t>female toilet</t>
  </si>
  <si>
    <t>bank 03</t>
  </si>
  <si>
    <t>bank 04</t>
  </si>
  <si>
    <t>wall tile in ff</t>
  </si>
  <si>
    <t>wall tile in sf</t>
  </si>
  <si>
    <t>floor tileing in gf</t>
  </si>
  <si>
    <t>24x24</t>
  </si>
  <si>
    <t>security room</t>
  </si>
  <si>
    <t>janitor room</t>
  </si>
  <si>
    <t>floor tileing in ff</t>
  </si>
  <si>
    <t>less - wash room</t>
  </si>
  <si>
    <t>void</t>
  </si>
  <si>
    <t>floor tileing in sf</t>
  </si>
  <si>
    <t>hall</t>
  </si>
  <si>
    <t>staircase tile in gf to ff</t>
  </si>
  <si>
    <t>threds</t>
  </si>
  <si>
    <t>gf 24x24 mat tile</t>
  </si>
  <si>
    <t>sf 24x24 mat tile</t>
  </si>
  <si>
    <t>tile skirting in gf</t>
  </si>
  <si>
    <t>tile skirting in ff</t>
  </si>
  <si>
    <t>less - rd1</t>
  </si>
  <si>
    <t>tile skirting in sf</t>
  </si>
  <si>
    <t>staircase skirting</t>
  </si>
  <si>
    <t>RETAINING WALL CONSTRUCTION</t>
  </si>
  <si>
    <t>Transport of any Material / Debris by any means in bulk including loading</t>
  </si>
  <si>
    <t>For powder coated aluminium profiles (minimum powder coating thickness of 60 ± 5 microns)</t>
  </si>
  <si>
    <t>The rates shall include Neoprene gasket, pop rivets, Rawl plugs,Screws,Aluminium cleats etc.</t>
  </si>
  <si>
    <t>1. Aluminium alloy should confirm to- ISO - 9001:2008, SLS 1410:2011 / SLS 1411:2011</t>
  </si>
  <si>
    <t>A Manufacturer's test certificate be produced as evidence that the powder coating is of required thickness.</t>
  </si>
  <si>
    <t>common toilet</t>
  </si>
  <si>
    <t>Acoustic ceiling</t>
  </si>
  <si>
    <t xml:space="preserve"> hall</t>
  </si>
  <si>
    <t>l.ft.</t>
  </si>
  <si>
    <t xml:space="preserve">N  -  TIMBER DOORS </t>
  </si>
  <si>
    <t>D6</t>
  </si>
  <si>
    <t>frame</t>
  </si>
  <si>
    <t>door painting</t>
  </si>
  <si>
    <t>total floor area</t>
  </si>
  <si>
    <t>rate per sqft</t>
  </si>
  <si>
    <t>bank washroom partition extend to wall</t>
  </si>
  <si>
    <t>hall dooe change to glazed to timber</t>
  </si>
  <si>
    <t>second floor slab canteliver</t>
  </si>
  <si>
    <t>first floor shops to civerd material? 20/9</t>
  </si>
  <si>
    <t>(a)Doors :- 4 no. 5"x 3" Solid brass hinges</t>
  </si>
  <si>
    <t>Ground Floor- banak area</t>
  </si>
  <si>
    <t>1. Refer preamble note for approved timber species for Doors &amp; Windows.</t>
  </si>
  <si>
    <t>Supplying and fixing Handle Pair I type "Magnum" Brand &amp; model no  "2512I" handle 900 mm long stainless steel door pull handle fixed complete to working order.</t>
  </si>
  <si>
    <t xml:space="preserve">Ground Floor- </t>
  </si>
  <si>
    <t>Dodangoda Pradeshiya Sabhawa.                                                    Dodangoda Pradeshiya Sabhawa.</t>
  </si>
  <si>
    <t>SUB TOTAL IV</t>
  </si>
  <si>
    <t>TOTAL PROJECT COST WITH VAT</t>
  </si>
  <si>
    <t>Ready mix concrete of grade 25(25 N/mm2) confirming to SLS 1144- 1997, rate include to transport from batching plant. Rate shall inclue for placing, levelling, vibrating &amp; curing the concrete &amp; pump car cost</t>
  </si>
  <si>
    <t>Retaining wall Base</t>
  </si>
  <si>
    <t xml:space="preserve">In Retaining wall base </t>
  </si>
  <si>
    <t xml:space="preserve">In Retaining wall </t>
  </si>
  <si>
    <r>
      <t xml:space="preserve">Tor steel reinforcement to sretaining wall...bent to shape, laid in position and tied with </t>
    </r>
    <r>
      <rPr>
        <sz val="11"/>
        <color indexed="10"/>
        <rFont val="Times New Roman"/>
        <family val="1"/>
      </rPr>
      <t>16 B.W.G</t>
    </r>
    <r>
      <rPr>
        <sz val="11"/>
        <rFont val="Times New Roman"/>
        <family val="1"/>
      </rPr>
      <t xml:space="preserve">. Aneal binding wire </t>
    </r>
  </si>
  <si>
    <t xml:space="preserve">Cement concrete 1:3:6 (1") laid to a thickness of 2" in retaing wall base, including placing in position,compacting and curing.
</t>
  </si>
  <si>
    <t>WEEP HOLE</t>
  </si>
  <si>
    <t xml:space="preserve">Retaining wall </t>
  </si>
  <si>
    <t>RETAINING WALL CONSTRUCTION CARRIED TO GRAND SUMMARY</t>
  </si>
  <si>
    <t xml:space="preserve">        District Engineer.</t>
  </si>
  <si>
    <t xml:space="preserve">Excavation  </t>
  </si>
  <si>
    <t>READY MIX CONCRETE</t>
  </si>
  <si>
    <t xml:space="preserve">In - Situ Plain Concrete </t>
  </si>
  <si>
    <t xml:space="preserve">CONSTRUCTION OF RETAINING WALL </t>
  </si>
  <si>
    <t>Charges for verifying the wiring done with meggar test &amp; continuity test before commensing installation of Distribution Board &amp; Electrical Fittings</t>
  </si>
  <si>
    <t>V01.03</t>
  </si>
  <si>
    <t xml:space="preserve">Supply, installation &amp; termination of main cable  from CEB supply to MDB  </t>
  </si>
  <si>
    <t xml:space="preserve">Supply, installation &amp; termination of  from MDB to DB-Lift    </t>
  </si>
  <si>
    <t>Supply, installation &amp; termination  of  from MDB to each floor DBs.</t>
  </si>
  <si>
    <t xml:space="preserve">Supply, installation &amp; termination  cable from corresponding meter to each DB at shops </t>
  </si>
  <si>
    <t>V02.02</t>
  </si>
  <si>
    <t>V02.03</t>
  </si>
  <si>
    <t>V02.04</t>
  </si>
  <si>
    <t>DBs For Shop</t>
  </si>
  <si>
    <t xml:space="preserve">(4) Pedestal fan </t>
  </si>
  <si>
    <t xml:space="preserve">(CV to be submitted with the bid)  </t>
  </si>
  <si>
    <t>Allow lump sum for providing  Accommodation, including all sanitory facility  for Contractor's staff and workmen</t>
  </si>
  <si>
    <t>DB</t>
  </si>
  <si>
    <t xml:space="preserve">TOTAL PROJECT COST-CARRIED TO FORM OF BID  </t>
  </si>
  <si>
    <t>SUB TOTAL II</t>
  </si>
  <si>
    <t>DB- For Lift</t>
  </si>
  <si>
    <t>V03.03</t>
  </si>
  <si>
    <t>V03.04</t>
  </si>
  <si>
    <t>DBs For Banks</t>
  </si>
  <si>
    <t>V03.05</t>
  </si>
  <si>
    <t xml:space="preserve">Supply and mounted (LED Phase indicator lamps ) Wall/Surface mounted Powder Coated Steel Enclosure with lockable doors ,cover plate &amp; internal wiring c/w bus bars and Accessories.(Rate to include necessary MCCB,MCB,RCCB,and other necessary fixturesand  Other required supportive materials should include )  The contractor shoud take advise an electricle engineer before undataking the work and </t>
  </si>
  <si>
    <t>Supply and mounted LED phase indicator lamps powder coated steel encloser with lockble door, Wall mounted distribution board (3 nr of DB)  &amp; internal wiring c/w bus bars and Accessories.(Rate to include necessary MCCB,MCB,RCCB,and other necessary fixturesand  Other required supportive materials should include )  The contractor shoud take advise an electricle engineer before undataking the work</t>
  </si>
  <si>
    <t>Supply and mounted LED phase indicator lamps powder coated steel encloser with lockble door,  Wall mounted distribution board (4 nr of DB)  &amp; internal wiring c/w bus bars and Accessories.(Rate to include necessary MCCB,MCB,RCCB,and other necessary fixturesand  Other required supportive materials should include )  The contractor shoud take advise an electricle engineer before undataking the work</t>
  </si>
  <si>
    <t>Supply and mounted LED phase indicator lamps powder coated steel encloser with lockble door,  Wall mounted distribution board)  &amp; internal wiring c/w bus bars and Accessories.(Rate to include necessary MCCB,MCB,RCCB,and other necessary fixturesand  Other required supportive materials should include )  The contractor shoud take advise an electricle engineer before undataking the work</t>
  </si>
  <si>
    <t xml:space="preserve">CONSTRUCTION OF PROPOSED SHOPPING COMPLEX                                                            WITH MULTI FUNCTIOANL HALL                                                                                                                 FOR                                                                                                                                             DODANGODA PRADESHIYA SABHAWA </t>
  </si>
  <si>
    <t>Metal Ceiling</t>
  </si>
  <si>
    <t>Supplying &amp; Installing of 600mmx 600mm non perforated white metal sheet ceiling, supported by concealed type furring suspended system installed in a flat horizontal manner using furing bars clipped on to inter locking hot dipped GI main tees with clips, ciling to be susppended using GI 04mm thick hanger rods (Prime cost of 2'-0" x 2'-0" 
sheet is Rs.2,640.00)</t>
  </si>
  <si>
    <t>sf slab skim coat</t>
  </si>
  <si>
    <t>D7</t>
  </si>
  <si>
    <t>GI round bar handrail</t>
  </si>
  <si>
    <t>Powder coated perforated mesh Hand Rail</t>
  </si>
  <si>
    <t>perforated hand rail</t>
  </si>
  <si>
    <t>perforated mesh ceiling</t>
  </si>
  <si>
    <t>guar d room</t>
  </si>
  <si>
    <t>Tempored Glass Partition</t>
  </si>
  <si>
    <r>
      <rPr>
        <b/>
        <sz val="11"/>
        <rFont val="Times New Roman"/>
        <family val="1"/>
      </rPr>
      <t>P1</t>
    </r>
    <r>
      <rPr>
        <sz val="11"/>
        <rFont val="Times New Roman"/>
        <family val="1"/>
      </rPr>
      <t xml:space="preserve">  in 37.5mm x 25mm x 1.4mm thick hairline finished stainless steel 'U' channel framed work and 12mm thick tempered glass with printed PVC stickering  fixed with silicon joints  as per the detailed drawing and finishes as specified as per the drawings</t>
    </r>
  </si>
  <si>
    <t>tempored galss partition</t>
  </si>
  <si>
    <t>shop</t>
  </si>
  <si>
    <t>less- d1</t>
  </si>
  <si>
    <t>aluminum partion</t>
  </si>
  <si>
    <t>less-  d4</t>
  </si>
  <si>
    <t>geound floor</t>
  </si>
  <si>
    <t>Paving Blocks</t>
  </si>
  <si>
    <t xml:space="preserve">interlock </t>
  </si>
  <si>
    <r>
      <t xml:space="preserve">Paid on satisfactury completion of the item                        </t>
    </r>
    <r>
      <rPr>
        <b/>
        <sz val="10"/>
        <rFont val="Times New Roman"/>
        <family val="1"/>
      </rPr>
      <t>D</t>
    </r>
  </si>
  <si>
    <t>Allow lump sum for providing all necessary safety measures barigated etc... to workmen at site safety regulations and as directed by the Engineer</t>
  </si>
  <si>
    <t>concrte works</t>
  </si>
  <si>
    <t>screed cocnrete</t>
  </si>
  <si>
    <t>PB1</t>
  </si>
  <si>
    <t>PB2</t>
  </si>
  <si>
    <t>PB3</t>
  </si>
  <si>
    <t>PB4</t>
  </si>
  <si>
    <t>PB5</t>
  </si>
  <si>
    <t>PB6</t>
  </si>
  <si>
    <t>PB7</t>
  </si>
  <si>
    <t>PB8</t>
  </si>
  <si>
    <t>PB9</t>
  </si>
  <si>
    <t>PB10</t>
  </si>
  <si>
    <t>PB11</t>
  </si>
  <si>
    <t>PB12</t>
  </si>
  <si>
    <t>PB13</t>
  </si>
  <si>
    <t>PB14</t>
  </si>
  <si>
    <t>PB15</t>
  </si>
  <si>
    <t>PB16</t>
  </si>
  <si>
    <t>PB17</t>
  </si>
  <si>
    <t>PB18</t>
  </si>
  <si>
    <t>PB19</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</si>
  <si>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</si>
  <si>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</si>
  <si>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</si>
  <si>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</si>
  <si>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</si>
  <si>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</si>
  <si>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</si>
  <si>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</si>
  <si>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</si>
  <si>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</si>
  <si>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</si>
  <si>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</si>
  <si>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</si>
  <si>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</si>
  <si>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</si>
  <si>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</si>
  <si>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</si>
  <si>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</si>
  <si>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</si>
  <si>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</si>
  <si>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</si>
  <si>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</si>
  <si>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</si>
  <si>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</si>
  <si>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</si>
  <si>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</si>
  <si>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</si>
  <si>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</si>
  <si>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</si>
  <si>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In plinth Beams</t>
  </si>
  <si>
    <t>plinth beam cocnrete</t>
  </si>
  <si>
    <t>PB2a</t>
  </si>
  <si>
    <t>plinth beam form work</t>
  </si>
  <si>
    <t>pile cap screed</t>
  </si>
  <si>
    <t>pc1</t>
  </si>
  <si>
    <t>pc2</t>
  </si>
  <si>
    <t>pc3</t>
  </si>
  <si>
    <t>pc4</t>
  </si>
  <si>
    <t>pc5</t>
  </si>
  <si>
    <t>pile cap concrete</t>
  </si>
  <si>
    <t>pile cap form work</t>
  </si>
  <si>
    <t xml:space="preserve">Cement concrete 1:3:6 (1") laid to a thickness of 2" in wall foundations, under column/stair footings,plinth beams including placing in position,compacting and curing.
</t>
  </si>
  <si>
    <t>plinth beam r/f</t>
  </si>
  <si>
    <t>4t20 1</t>
  </si>
  <si>
    <t>4t20 2</t>
  </si>
  <si>
    <t>2t16 3</t>
  </si>
  <si>
    <t>2t16 4</t>
  </si>
  <si>
    <t>2t16 6</t>
  </si>
  <si>
    <t>4t20 14</t>
  </si>
  <si>
    <t>2t20 13</t>
  </si>
  <si>
    <t>4t20 11</t>
  </si>
  <si>
    <t>2t20 8</t>
  </si>
  <si>
    <t>2t20 9</t>
  </si>
  <si>
    <t>4t20 7</t>
  </si>
  <si>
    <t>stripps</t>
  </si>
  <si>
    <t>t8 15</t>
  </si>
  <si>
    <t>2t10 10</t>
  </si>
  <si>
    <t>4t16 38</t>
  </si>
  <si>
    <t>2t16 39</t>
  </si>
  <si>
    <t>4t16 40</t>
  </si>
  <si>
    <t>2t16 41</t>
  </si>
  <si>
    <t>2t16 42</t>
  </si>
  <si>
    <t>2t16 46</t>
  </si>
  <si>
    <t>4t16 45</t>
  </si>
  <si>
    <t>2t16 44</t>
  </si>
  <si>
    <t>4t16 43</t>
  </si>
  <si>
    <t>t8 47</t>
  </si>
  <si>
    <t>pie cap r/f</t>
  </si>
  <si>
    <t>T12 01</t>
  </si>
  <si>
    <t>T16 02</t>
  </si>
  <si>
    <t>T16 03</t>
  </si>
  <si>
    <t>4t16 39</t>
  </si>
  <si>
    <t>2t12 40</t>
  </si>
  <si>
    <t>4t16 42</t>
  </si>
  <si>
    <t>2t10 43</t>
  </si>
  <si>
    <t>3t16 56</t>
  </si>
  <si>
    <t>2t12 64</t>
  </si>
  <si>
    <t>3t16 58</t>
  </si>
  <si>
    <t>2t12 61</t>
  </si>
  <si>
    <t>2t12 60</t>
  </si>
  <si>
    <t>3t16 59</t>
  </si>
  <si>
    <t>t8 62</t>
  </si>
  <si>
    <t xml:space="preserve">Volume Batched Grade 25 concrete prepared at site using mixer or Grade 25 ready mix( rate include to transport from batching plant. Rate shall inclue for placing, levelling, vibrating &amp; curing the concrete &amp; pump car cost)  and vibrator  in ground  floor.  Rate  shall  include  the  cost  of curing continously for 7 days. 
</t>
  </si>
  <si>
    <t>column concrete</t>
  </si>
  <si>
    <t>c3</t>
  </si>
  <si>
    <t>c4</t>
  </si>
  <si>
    <t>c5</t>
  </si>
  <si>
    <t>c6</t>
  </si>
  <si>
    <t>c7</t>
  </si>
  <si>
    <t>c8</t>
  </si>
  <si>
    <t>c9</t>
  </si>
  <si>
    <t>c10</t>
  </si>
  <si>
    <t>c11</t>
  </si>
  <si>
    <t>c12</t>
  </si>
  <si>
    <t>c13</t>
  </si>
  <si>
    <t>c14</t>
  </si>
  <si>
    <t>c15</t>
  </si>
  <si>
    <t>c16</t>
  </si>
  <si>
    <t>c17</t>
  </si>
  <si>
    <t>c18</t>
  </si>
  <si>
    <t>c19</t>
  </si>
  <si>
    <t>c21</t>
  </si>
  <si>
    <t>c22</t>
  </si>
  <si>
    <t>c23</t>
  </si>
  <si>
    <t>c24</t>
  </si>
  <si>
    <t>c25</t>
  </si>
  <si>
    <t>c26</t>
  </si>
  <si>
    <t>c27</t>
  </si>
  <si>
    <t>c28</t>
  </si>
  <si>
    <t>c29</t>
  </si>
  <si>
    <t>c30</t>
  </si>
  <si>
    <t>c31</t>
  </si>
  <si>
    <t>gf to ff</t>
  </si>
  <si>
    <t>In staircase First floor level to Second floor level</t>
  </si>
  <si>
    <t>C4.5</t>
  </si>
  <si>
    <t>In column shaft from First floor level to Second floor level</t>
  </si>
  <si>
    <t>flight 1</t>
  </si>
  <si>
    <t>flight 2</t>
  </si>
  <si>
    <t>landing 1</t>
  </si>
  <si>
    <t>landing 2</t>
  </si>
  <si>
    <t>flight 3</t>
  </si>
  <si>
    <t>steps</t>
  </si>
  <si>
    <t>colmn formwork gf to ff</t>
  </si>
  <si>
    <t>In staircase  from  First floor level to Second floor level</t>
  </si>
  <si>
    <t>D 3.5</t>
  </si>
  <si>
    <t xml:space="preserve">staircase frm work </t>
  </si>
  <si>
    <t>column rf gf to ff</t>
  </si>
  <si>
    <t>ff to sf column concrete</t>
  </si>
  <si>
    <t>gf floor concrete</t>
  </si>
  <si>
    <t>lift screed</t>
  </si>
  <si>
    <t>In Lift wall from ground floor level to First floor level</t>
  </si>
  <si>
    <t>C4.6</t>
  </si>
  <si>
    <t>In Lift wall from First floor level to Second floor level</t>
  </si>
  <si>
    <t>In Lift wall From Second floor level to roof level</t>
  </si>
  <si>
    <t>C4.7</t>
  </si>
  <si>
    <t>C4.8</t>
  </si>
  <si>
    <t>lift wall ff level</t>
  </si>
  <si>
    <t>stair base formwork</t>
  </si>
  <si>
    <t xml:space="preserve">lift </t>
  </si>
  <si>
    <t>ff slab beam concrete</t>
  </si>
  <si>
    <t>B1</t>
  </si>
  <si>
    <t>B2</t>
  </si>
  <si>
    <t>B3</t>
  </si>
  <si>
    <t>B4</t>
  </si>
  <si>
    <t>B5</t>
  </si>
  <si>
    <t>B6</t>
  </si>
  <si>
    <t>B7</t>
  </si>
  <si>
    <t>B8</t>
  </si>
  <si>
    <t>B9</t>
  </si>
  <si>
    <t>B10</t>
  </si>
  <si>
    <t>B11</t>
  </si>
  <si>
    <t>B12</t>
  </si>
  <si>
    <t>B13</t>
  </si>
  <si>
    <t>B14</t>
  </si>
  <si>
    <t>B15</t>
  </si>
  <si>
    <t>B16</t>
  </si>
  <si>
    <t>B21</t>
  </si>
  <si>
    <t>B22</t>
  </si>
  <si>
    <t>B23</t>
  </si>
  <si>
    <t>B24</t>
  </si>
  <si>
    <t>B25</t>
  </si>
  <si>
    <t>B26</t>
  </si>
  <si>
    <t>B27</t>
  </si>
  <si>
    <t>B28</t>
  </si>
  <si>
    <t>B29</t>
  </si>
  <si>
    <t>B30</t>
  </si>
  <si>
    <t>B31</t>
  </si>
  <si>
    <t>B32</t>
  </si>
  <si>
    <t>B33</t>
  </si>
  <si>
    <t>B34</t>
  </si>
  <si>
    <t>B35</t>
  </si>
  <si>
    <t>B36</t>
  </si>
  <si>
    <t>B37</t>
  </si>
  <si>
    <t>B38</t>
  </si>
  <si>
    <t>B39</t>
  </si>
  <si>
    <t>B40</t>
  </si>
  <si>
    <t>B41</t>
  </si>
  <si>
    <t>B1a</t>
  </si>
  <si>
    <t>B35a</t>
  </si>
  <si>
    <t>beam fw ff</t>
  </si>
  <si>
    <t xml:space="preserve">Shuttering for floor slab including dismantling in 15mm thick Plywood board or steel boarding support by steel jack </t>
  </si>
  <si>
    <t>Shuttering for floor Beams including dismantling in 15mm thick plywood board or steel formwork</t>
  </si>
  <si>
    <t>In slab at First floor level</t>
  </si>
  <si>
    <t>In  Slab at second floor level</t>
  </si>
  <si>
    <t>In beam at First floor level</t>
  </si>
  <si>
    <t>In beam at second floor level</t>
  </si>
  <si>
    <t>beam rf in ff slab</t>
  </si>
  <si>
    <t>3t 16 82</t>
  </si>
  <si>
    <t>3t 16 85</t>
  </si>
  <si>
    <t>3t 20 86</t>
  </si>
  <si>
    <t>strips</t>
  </si>
  <si>
    <t>2t16 01</t>
  </si>
  <si>
    <t>1t16 3</t>
  </si>
  <si>
    <t>3t16 4</t>
  </si>
  <si>
    <t>2t16 5</t>
  </si>
  <si>
    <t>1t20 6</t>
  </si>
  <si>
    <t>1t16 7</t>
  </si>
  <si>
    <t>2t16 8</t>
  </si>
  <si>
    <t>2t16 02</t>
  </si>
  <si>
    <t>1t20 11</t>
  </si>
  <si>
    <t>3t16 9</t>
  </si>
  <si>
    <t>2t16 50</t>
  </si>
  <si>
    <t>1t12 52</t>
  </si>
  <si>
    <t>1t12 53</t>
  </si>
  <si>
    <t>1t12 54</t>
  </si>
  <si>
    <t>1t12 55</t>
  </si>
  <si>
    <t>2t16 51</t>
  </si>
  <si>
    <t>1t12 58</t>
  </si>
  <si>
    <t>1t12 57</t>
  </si>
  <si>
    <t>1t12 56</t>
  </si>
  <si>
    <t>2t16 21</t>
  </si>
  <si>
    <t>1t12 23</t>
  </si>
  <si>
    <t>1t12 24</t>
  </si>
  <si>
    <t>1t16 25</t>
  </si>
  <si>
    <t>1t16 26</t>
  </si>
  <si>
    <t>3t16 27</t>
  </si>
  <si>
    <t>2t16 28</t>
  </si>
  <si>
    <t>1t16 29</t>
  </si>
  <si>
    <t>1t16 30</t>
  </si>
  <si>
    <t>1t12 31</t>
  </si>
  <si>
    <t>1t12 32</t>
  </si>
  <si>
    <t>1t12 33</t>
  </si>
  <si>
    <t>2t16 22</t>
  </si>
  <si>
    <t>B51</t>
  </si>
  <si>
    <t>B52</t>
  </si>
  <si>
    <t>B53</t>
  </si>
  <si>
    <t>B54</t>
  </si>
  <si>
    <t>B55</t>
  </si>
  <si>
    <t>B56</t>
  </si>
  <si>
    <t>B57</t>
  </si>
  <si>
    <t>B58</t>
  </si>
  <si>
    <t>B59</t>
  </si>
  <si>
    <t>B60</t>
  </si>
  <si>
    <t>B61</t>
  </si>
  <si>
    <t>B62</t>
  </si>
  <si>
    <t>B63</t>
  </si>
  <si>
    <t>B64</t>
  </si>
  <si>
    <t>B71</t>
  </si>
  <si>
    <t>B72</t>
  </si>
  <si>
    <t>B73</t>
  </si>
  <si>
    <t>B74</t>
  </si>
  <si>
    <t>B75</t>
  </si>
  <si>
    <t>B76</t>
  </si>
  <si>
    <t>B77</t>
  </si>
  <si>
    <t>B78</t>
  </si>
  <si>
    <t>B79</t>
  </si>
  <si>
    <t>B80</t>
  </si>
  <si>
    <t>B81</t>
  </si>
  <si>
    <t>B82</t>
  </si>
  <si>
    <t>B83</t>
  </si>
  <si>
    <t>B84</t>
  </si>
  <si>
    <t>B85</t>
  </si>
  <si>
    <t>B86</t>
  </si>
  <si>
    <t>B87</t>
  </si>
  <si>
    <t>B88</t>
  </si>
  <si>
    <t>B89</t>
  </si>
  <si>
    <t>B90</t>
  </si>
  <si>
    <t>beam form work</t>
  </si>
  <si>
    <t>roof beam</t>
  </si>
  <si>
    <t>RB151</t>
  </si>
  <si>
    <t>RB152</t>
  </si>
  <si>
    <t>RB153</t>
  </si>
  <si>
    <t>RB154</t>
  </si>
  <si>
    <t>RB155</t>
  </si>
  <si>
    <t>RB161</t>
  </si>
  <si>
    <t>RB162</t>
  </si>
  <si>
    <t>RB163</t>
  </si>
  <si>
    <t>first floor slab concrete</t>
  </si>
  <si>
    <t>slab form work</t>
  </si>
  <si>
    <t>second floor slab concrete</t>
  </si>
  <si>
    <t>roof slab concrete</t>
  </si>
  <si>
    <t>In  stairacse and lift</t>
  </si>
  <si>
    <t>Shuttering for lift wall  including dismantling in 15mm thick plywood board or steel formwork</t>
  </si>
  <si>
    <t>In Ground Floor level to  First floor level</t>
  </si>
  <si>
    <t>In First Floor level to second floor level</t>
  </si>
  <si>
    <t>In Second floor level to Roof level</t>
  </si>
  <si>
    <t>lift form work</t>
  </si>
  <si>
    <t>lift rf</t>
  </si>
  <si>
    <t>lift wall rf</t>
  </si>
  <si>
    <t>column in second floor to roof level</t>
  </si>
  <si>
    <t>C12</t>
  </si>
  <si>
    <t>C14</t>
  </si>
  <si>
    <t>C15</t>
  </si>
  <si>
    <t>C18</t>
  </si>
  <si>
    <t>C22</t>
  </si>
  <si>
    <t>C26</t>
  </si>
  <si>
    <t>C17</t>
  </si>
  <si>
    <t>C21</t>
  </si>
  <si>
    <t>column form work</t>
  </si>
  <si>
    <t>Curing  of  Concrete  slabs  with  ponding  water  or  covering  with polythene sheets and continuous wetting for 14 days.</t>
  </si>
  <si>
    <t>First Floor Slab</t>
  </si>
  <si>
    <t>Second Floor Slab</t>
  </si>
  <si>
    <t>Roof Slab</t>
  </si>
  <si>
    <t>D 07</t>
  </si>
  <si>
    <t>Shuttering for kitchen slab, pantry slab, stiffners, coping  etc.. including dismantling in 15mm thick plywood board or steel formwork</t>
  </si>
  <si>
    <t>D 07.1</t>
  </si>
  <si>
    <t>In Ground Floor</t>
  </si>
  <si>
    <t>In Second Floor</t>
  </si>
  <si>
    <t>D 07.2</t>
  </si>
  <si>
    <t>D 07.3</t>
  </si>
  <si>
    <t xml:space="preserve"> laying of Topseal 3mm thick,Torch-on membrane or any othere quivalent product marketed /installed by a specialist contractor registered at ICTAD under waterproofing category including 1:3 cement,sand protective screed laid to slope.Rate shall include the formation of edges,torch welding and fixing metal stripon vertical walls at termination edges.</t>
  </si>
  <si>
    <t>E.03.01</t>
  </si>
  <si>
    <t>roof work</t>
  </si>
  <si>
    <t>c channel</t>
  </si>
  <si>
    <t>sandwitch panal roog</t>
  </si>
  <si>
    <t>P -  STEEL STRUCTURAL WORK</t>
  </si>
  <si>
    <t>STEEL STRUCTURAL WORK CARRIED TO COLLECTION</t>
  </si>
  <si>
    <t>P 01</t>
  </si>
  <si>
    <t>Steel Column Work</t>
  </si>
  <si>
    <t>P 01.1</t>
  </si>
  <si>
    <t xml:space="preserve">P 02 </t>
  </si>
  <si>
    <t>Roof Beam Work</t>
  </si>
  <si>
    <t>P 02.1</t>
  </si>
  <si>
    <t>P 02.2</t>
  </si>
  <si>
    <t>IC1</t>
  </si>
  <si>
    <t>ton</t>
  </si>
  <si>
    <r>
      <t xml:space="preserve">Supply and  fabrication and erection  of  </t>
    </r>
    <r>
      <rPr>
        <b/>
        <sz val="10"/>
        <color theme="1"/>
        <rFont val="Times New Roman"/>
        <family val="1"/>
      </rPr>
      <t>IC1</t>
    </r>
    <r>
      <rPr>
        <sz val="10"/>
        <color theme="1"/>
        <rFont val="Times New Roman"/>
        <family val="1"/>
      </rPr>
      <t xml:space="preserve">  250X125 29.6kg/m  I column including fixing and connection to  concrete shaft, rate to include to gusset plates,sole plated,base plates,cleats and  nuts bolts, j bolts, plates, welding &amp; applying one coat of Zn/phosphate paint and two coats of enamal and nesessary other work, complete to working order as per the detail drawings and specification </t>
    </r>
  </si>
  <si>
    <r>
      <t xml:space="preserve">Supply and  fabrication and erection  of  </t>
    </r>
    <r>
      <rPr>
        <b/>
        <sz val="10"/>
        <color theme="1"/>
        <rFont val="Times New Roman"/>
        <family val="1"/>
      </rPr>
      <t>IRB1</t>
    </r>
    <r>
      <rPr>
        <sz val="10"/>
        <color theme="1"/>
        <rFont val="Times New Roman"/>
        <family val="1"/>
      </rPr>
      <t xml:space="preserve">  250X125 29.6kg/m  I roof beam including fixing and connection to  concrete beam and I column, rate to include to gusset plates,sole plated,base plates,cleats and  nuts bolts, j bolts, plates, welding &amp; applying one coat of Zn/phosphate paint and two coats of enamal and nesessary other work, complete to working order as per the detail drawings and specification </t>
    </r>
  </si>
  <si>
    <r>
      <t xml:space="preserve">Supply and  fabrication and erection  of  </t>
    </r>
    <r>
      <rPr>
        <b/>
        <sz val="10"/>
        <color theme="1"/>
        <rFont val="Times New Roman"/>
        <family val="1"/>
      </rPr>
      <t>ITB1</t>
    </r>
    <r>
      <rPr>
        <sz val="10"/>
        <color theme="1"/>
        <rFont val="Times New Roman"/>
        <family val="1"/>
      </rPr>
      <t xml:space="preserve">  150X75 14kg/m  I roof beam including fixing and connection to  concrete beam and I column, rate to include to gusset plates,sole plated,base plates,cleats and  nuts bolts, j bolts, plates, welding &amp; applying one coat of Zn/phosphate paint and two coats of enamal and nesessary other work, complete to working order as per the detail drawings and specification </t>
    </r>
  </si>
  <si>
    <t>IRB1</t>
  </si>
  <si>
    <t>ITB1</t>
  </si>
  <si>
    <t>first floor sla rf</t>
  </si>
  <si>
    <t>t10 1 250 b</t>
  </si>
  <si>
    <t>t10 2 250 b</t>
  </si>
  <si>
    <t>t10 3 250 t</t>
  </si>
  <si>
    <t>t10 5 250 t</t>
  </si>
  <si>
    <t>t10 6 250 b</t>
  </si>
  <si>
    <t>t10 7 250 b</t>
  </si>
  <si>
    <t>t10 69 250 t</t>
  </si>
  <si>
    <t>t10 65 250 t</t>
  </si>
  <si>
    <t>t10 66 200 t</t>
  </si>
  <si>
    <t>t10 66 250 b</t>
  </si>
  <si>
    <t>t10 67 300 t</t>
  </si>
  <si>
    <t>t10 64 250 b</t>
  </si>
  <si>
    <t>t10 63 200 b</t>
  </si>
  <si>
    <t>ground floor slab cocnerete</t>
  </si>
  <si>
    <t>Allow lump sum for providing and maintaining necessary hoarding and gates for safeguarding the Works, Materials and Plant, as directed by the Engineer. Corrugated sheet/Zn allow wall sheet   GI gramed hoarding  height 8ft and to necessary perimetor area</t>
  </si>
  <si>
    <t>showring</t>
  </si>
  <si>
    <t>quarry dust fill</t>
  </si>
  <si>
    <t>Graded Quarry dust 4.5mm downwards supplying, spreading, levelling, watering in 225mm thick layers and compaction using machine Rammer.(loose volume). Rate include hire charges of the machine rammer. Incase where measurements are to be done on compacted volume multiply the rate by 1.20.</t>
  </si>
  <si>
    <t xml:space="preserve">Approved Earth spreading , leveling watering and compaction manually  using standard cast iron stamper or equivalent and filling in 225 mm thick layers (loose volume) in restricted areas (Earth available at off site) - Earth measured as a volume in loose state before spreading and compaction. </t>
  </si>
  <si>
    <t>Transport of any Material /Debris by any means in bulk including loading (for distance less than or equal 3 kilometers)</t>
  </si>
  <si>
    <t>soil filling</t>
  </si>
  <si>
    <t>qurry dust fill</t>
  </si>
  <si>
    <t>base concrete</t>
  </si>
  <si>
    <t>wall concrete</t>
  </si>
  <si>
    <t xml:space="preserve">form work </t>
  </si>
  <si>
    <t>reinforcmnt</t>
  </si>
  <si>
    <t>In Retaining wall base and shaft</t>
  </si>
  <si>
    <t>t12 27 175</t>
  </si>
  <si>
    <t>t12 26 175</t>
  </si>
  <si>
    <t>t16 25 175</t>
  </si>
  <si>
    <t>t20 21 175</t>
  </si>
  <si>
    <t>t16 22 175</t>
  </si>
  <si>
    <t>t12 23 200</t>
  </si>
  <si>
    <t>t12 24 200</t>
  </si>
  <si>
    <t>links</t>
  </si>
  <si>
    <t>t10</t>
  </si>
  <si>
    <t>Supplying and laying of type 400,75mm di uPVC pipes and forming weep holes at 1000mm staggered spacing including 40mm metal filter packing 500mm x 500mm x 500mm for retaining wall as directed</t>
  </si>
  <si>
    <t>dpc</t>
  </si>
  <si>
    <t>lift base renderinng</t>
  </si>
  <si>
    <t>T-FIRE EXTINGUSHER WORKS</t>
  </si>
  <si>
    <t>FIRE EXTINGUSHER WORKS CARRIED TO COLLECTION</t>
  </si>
  <si>
    <t>(b) The contractor shall jointly with manufacture/supplier of the
waterproofing materials shall furnish a warranty to the Employer
valid for a period of 10 years  after handing over of the work against dampness and/or moisture penetration through treated surfaces due to defective materials and/or workmanship</t>
  </si>
  <si>
    <t>bank 01 dining</t>
  </si>
  <si>
    <t>bank 02 dining</t>
  </si>
  <si>
    <t>bank 03 dining</t>
  </si>
  <si>
    <t>1200x600 tile</t>
  </si>
  <si>
    <t xml:space="preserve">titenium wall </t>
  </si>
  <si>
    <t>nos</t>
  </si>
  <si>
    <t>Sqm</t>
  </si>
  <si>
    <t>L.m</t>
  </si>
  <si>
    <t>bank 01 toilet</t>
  </si>
  <si>
    <t>bank 02 toilet</t>
  </si>
  <si>
    <t>bank 03 toilet</t>
  </si>
  <si>
    <t>bank 04 toilet</t>
  </si>
  <si>
    <t>excvtion</t>
  </si>
  <si>
    <t>earth work support</t>
  </si>
  <si>
    <t>Removing top soil including mud,  machinery to a  nessasary depth  and removing all debris away from site, location decided by client withing 3 km</t>
  </si>
  <si>
    <t xml:space="preserve"> (1) 2-0"x4-0" Table with drawers for Engineer's representative with medium back chair</t>
  </si>
  <si>
    <t>(2) Chair for Engineer's Representative( two nr of low back chair)</t>
  </si>
  <si>
    <t>(5) 30 Gb monthly data package( WIFI Router),contractor should paid data package  monthly</t>
  </si>
  <si>
    <t>Allow lump sum for erecting and maintaining scaffolding and/ self climbing platforms around the construction building wall area. Such scaffolding etc. shall be removed on completion and all Works disturbed shall be made good.rate to include to safety dust coverd green net for total building perimeter building height area</t>
  </si>
  <si>
    <t xml:space="preserve">Rate for items  shall include the cost of adapter, connecting 2core 1mm 2 cable o ,galvanized hanging chain. </t>
  </si>
  <si>
    <t>wall mounted clear transparent glass globe light fitting and bracket  with 12 watt LED bulb. (Prime cost of the wall mounted clear transparent
glass globe light fitting and bracket with 9 watt LED bulb is Rs.2900.00)</t>
  </si>
  <si>
    <t>Inner diameter of 100mm Ceiling mounted down light complete with 18w LED lamp. (Prime cost of the Ceiling mounted down light complete with 18w
LED lamp is Rs.2900.00) - external slab area</t>
  </si>
  <si>
    <t>Supplying and fixing of 18 watt pendnt lite fittings  for the restaurant area, (Prime cost of the   light fitting. -  is Rs.2500.00)</t>
  </si>
  <si>
    <t xml:space="preserve">Excavation for retaining wall base in any material earth up to 5'-0" depth,(rate to include to nesessary working space and rock blasting if required)                                                                                                         </t>
  </si>
  <si>
    <t xml:space="preserve">Excavation for retaining wall base in any  material earth exceeding 5'-0" and not exceeding 10'-0" depth,(rate to include to nesessary working space and rock blasting if required)                                                                                                         </t>
  </si>
  <si>
    <t xml:space="preserve">Excavation for retaining wall base in any  material earth  exceeding 10'-0" and not exceeding 15'-0" depth,(rate to include to nesessary working space and rock blasting if required)                                                                                                        </t>
  </si>
  <si>
    <t>Temporary earth work supports ,inclose planking in trenches of loose soil,total depth to detail drawings,Contractor shall design the shoring method based on soil report recommendations to suit the specific site requirements and method specification to be submitted before excavation to the Divisional Engineer for approval.</t>
  </si>
  <si>
    <t>Shuttering for sides of base and wall with 15mm thick Plywood board/or steel plate including dismantling</t>
  </si>
  <si>
    <t xml:space="preserve">DB- For bank- 4 nr of DB </t>
  </si>
  <si>
    <t xml:space="preserve">Allow sum for emplyoing a licensed land surveyor to define the building site work etc., check levels and carry out such other surveys as may be necessary to establish accrately the placing of forms and pouring of concrete and all other setting out in both vertical and horizontal plane. </t>
  </si>
  <si>
    <t>1.Architectural</t>
  </si>
  <si>
    <t>2.Electricle</t>
  </si>
  <si>
    <t>lintol 225*225</t>
  </si>
  <si>
    <t>lintol 150*150</t>
  </si>
  <si>
    <t>powder coated wall panal</t>
  </si>
  <si>
    <t>Tempored fixed Glass</t>
  </si>
  <si>
    <t>37.5mm x 25mm x 1.4mm thick hairline finished stainless steel 'U' channel framed work and 12mm thick tempered glass with printed PVC stickering  fixed with silicon joints  as per the detailed drawing and finishes as specified as per the drawings</t>
  </si>
  <si>
    <t>fixed glass partition</t>
  </si>
  <si>
    <t>Rates include the cost of 1:3 cement:sand motar leveling bed and adhesives and matching grout</t>
  </si>
  <si>
    <t>600x600 semi glozed tile</t>
  </si>
  <si>
    <t>bank pantry area</t>
  </si>
  <si>
    <t>600x600 outdoor tile</t>
  </si>
  <si>
    <t>gf lobby floor</t>
  </si>
  <si>
    <t>skirting</t>
  </si>
  <si>
    <t>600x600 tile</t>
  </si>
  <si>
    <t>washroom</t>
  </si>
  <si>
    <t>washroom floor</t>
  </si>
  <si>
    <t>sedond floor</t>
  </si>
  <si>
    <t>600x600 matt tile</t>
  </si>
  <si>
    <t>semi gloos</t>
  </si>
  <si>
    <t>Door (D6) paneled (Class I teak or eq treated timber) 1 1/8" thick double sash hung on
3/4" x 2 3/4" frame. Rate without brass furniture, painting and lock.</t>
  </si>
  <si>
    <t>Door (D7) paneled (Class I teak or eq treated timber)  1 1/8" thick double sash hung on
3/4" x 2 3/4" frame. Rate without brass furniture, painting and lock.</t>
  </si>
  <si>
    <t xml:space="preserve">Door frame in approved timber supplying &amp; fixing in 
position.(Class I teak or eq treated timber) </t>
  </si>
  <si>
    <t>Supplying and fixing two lever Mortice door lock for D7 single sash of  Union Brand or approved equivalent. (Prime cost is Rs.15,000.00)</t>
  </si>
  <si>
    <t>N 07</t>
  </si>
  <si>
    <t>Supplying and fixing 5" long heavy duty solid brass tower bolt for D7 inclusive  of brass screws marketed by M.M.Noorbhoy &amp; company or approved equivalent.</t>
  </si>
  <si>
    <t>Supplying &amp; fixing surface mounted door closer of "Union Brand" &amp;  Model no. - N8803 or approved equivalent. In Ground Floor D7</t>
  </si>
  <si>
    <t>N 08</t>
  </si>
  <si>
    <t>N 09</t>
  </si>
  <si>
    <t>Supplying, fabricating &amp; fixing of perforated mesh  hand rail upto 1.2m height  50mm dia 2.3mm thick G.I round  bar upright @ 3000mm c/c as vertical members fixed bottom end to steps with the 150mm dia 8mm thick M.S. plate connecting with 4 nos of 8mm dia.anchor bolts  and work complete in order. Rate Shall include for applying one coat of etch primer (50% of etch primer base and 50% etch primer activator),one coat of anti-corrosive primer with two coats of enamel paint. (Prime cost is Rs, 1,250.00 per sqft)</t>
  </si>
  <si>
    <t>Surface mounted Powder Coated Steel Enclosure with lockable doors ,cover plate &amp; internal wiring c/w bus bars and Accessories.</t>
  </si>
  <si>
    <t>Surface mounted Powder Coated Steel Enclosure c/w bus bars and Accessories.</t>
  </si>
  <si>
    <t xml:space="preserve">Supply, installation &amp; termination of  from Gf Dbs to Banks DB    </t>
  </si>
  <si>
    <t>Distribution Boards shall be completed  with necessary  protection</t>
  </si>
  <si>
    <t>V07.03</t>
  </si>
  <si>
    <t>Supply and mounted LED phase indicator lamps powder coated steel encloser with lockble door,  Wall mounted distribution board  &amp; internal wiring c/w bus bars and Accessories.(Rate to include necessary MCCB,MCB,RCCB,and other necessary fixturesand  Other required supportive materials should include )  The contractor shoud take advise an electricle engineer before undataking the work</t>
  </si>
  <si>
    <t>Supply and installation of 800Kg (10 Persons) capacity passenger lift with floor stops and Opening Doors complete with all accessories( Door safety 2D Infrared Light Curtain Protection,door stopper, Door-Opening Type Automatic , center opening, Main Power  400V / AC, 3Phase, 50Hz, and with all protection and other related necessary work  )</t>
  </si>
  <si>
    <t>Allow sum for removeing of surface water and ground water</t>
  </si>
  <si>
    <t>Contractor shall be responsible for earthing the system in order to have an earth resistance below 10 Ohms.</t>
  </si>
  <si>
    <t>Supply and Installation of 1C, 16 sqmm Cu/PVC Earthing Cable from  MDB to  Earth pit.</t>
  </si>
  <si>
    <t>V07.04</t>
  </si>
  <si>
    <t xml:space="preserve">Project Manager ( C.Eng with 10 year experience- part time) </t>
  </si>
  <si>
    <t xml:space="preserve">MEP Engineer( Building Service Eng with 10 year experience- part time) </t>
  </si>
  <si>
    <t>( Site Engineer BSc.Eng with 5 years or NDT-Civil with 10 years experience- Full Time )</t>
  </si>
  <si>
    <t xml:space="preserve">(6) 1200mm X 1200mm white board </t>
  </si>
  <si>
    <t>(7) I5 computer with printer</t>
  </si>
  <si>
    <t>(3) lockable Cupboard for storage of drawings, documents and stationery</t>
  </si>
  <si>
    <t>In column shaft from Base/ ground floor level to First floor level</t>
  </si>
  <si>
    <t>Allow lump sum for constructing, maintaining, dismantling and removal on completion of the Works, a temporary air conditioned TFU for Engineer's office with toilet,elecricity facility in conformity with the plans provided for Engineer's requirements, including furniture and fittings, furnishing, sanitary facilities necessary and other facilities.</t>
  </si>
  <si>
    <t xml:space="preserve">Supplying and compaction of  Approved earth,compaction of earth including watering and compaction in 225mm thick layers with proctor density, using  machine rammer or roller vibrator, rate to include to compaction maching charges and other nessasary related work   </t>
  </si>
  <si>
    <t>Supply and mounted  Wall mounted distribution board( 42 nr)  &amp; internal wiring c/w bus bars and Accessories.(Rate to include necessary MCCB,MCB,RCCB,and other necessary fixturesand  Other required supportive materials should include )  The contractor shoud take advise an electricle engineer before undataking the work</t>
  </si>
  <si>
    <t>Mild steel and Tor steel bars confirming to BS specifications, tensile strength 250 N/mm2 and 460 N/mm2 respectively, in reinforcements. Rate shall included for lapping, cutting, bending, fabricating, concrete distance blocks, stools, and fixing with binding wires in: spacer bars, placing in position as per the structural drawings</t>
  </si>
  <si>
    <t>Supply and fix 5mm thick mirror of size 18" x 24" double coated with pencil edge back strecher. (Prime cost of the 5mm thick mirror of size 18" x 24" is Rs. 4,000.00)</t>
  </si>
  <si>
    <t>Supply and fix stainless steel 36"X 18"0.6mm thick shiny finish kitchen sink with double  bowl of "Seal core" by mascons or approved equivalent with 5 year written warranty from the authorized agent. including PVC bottle trap and water connection with flexible hose, all complete to working order. ( Swan neck tap paid separately.)</t>
  </si>
  <si>
    <t>Supply and fix Chromium plated Sink tap (Swan neck type) of "Rocell" . brand or approved equivalent. (Prime cost of the Chromium plated Sink tap (Swan neck type) is Rs. 3,047.00)</t>
  </si>
  <si>
    <t xml:space="preserve">Supplying and laying 4" dia.uPVC sewer pipe in wall or trenches - PNT7 (type 600) .rate to include to  Excavation, Bedding, Haunching &amp;Surrounding </t>
  </si>
  <si>
    <t>Supplying and laying 6" dia.uPVC sewer pipe - PNT7 (type 600)  Including cement concrete surrounding 1:3:6: ( 1")   Excavation, Bedding, Haunching &amp; Surrounding</t>
  </si>
  <si>
    <t>Fan reulator wired without a switch using 2x1/1.13mm P.V.V insulated copper wire &amp; 1x7/0.67mm P.V.C insulated copper earth wire in fully concealed/surface P.V.C condiuts.</t>
  </si>
  <si>
    <t>0'-6" x 0'-6" LED 18 watt ceiling surface/slab raised mounted  light fitting. -    (Prime cost of the 0'-6" x 0'-6" LED 18 watt ceiling surface mounted  light fitting. -  is Rs.1,975.00)</t>
  </si>
  <si>
    <t>(8) Adequate Size Meeting table and 6 nr of chair</t>
  </si>
  <si>
    <t xml:space="preserve">Wall Tiling </t>
  </si>
  <si>
    <r>
      <t>m</t>
    </r>
    <r>
      <rPr>
        <vertAlign val="superscript"/>
        <sz val="11"/>
        <rFont val="Times New Roman"/>
        <family val="1"/>
      </rPr>
      <t>3</t>
    </r>
  </si>
  <si>
    <r>
      <t xml:space="preserve">Mild/Tor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up to Dpc .</t>
    </r>
  </si>
  <si>
    <r>
      <t xml:space="preserve">Mild/Tor steel reinforcement to slabs, beams, lintols, columns, footings &amp; etc.. bent to shape, laid in position and tied with         </t>
    </r>
    <r>
      <rPr>
        <sz val="11"/>
        <color indexed="10"/>
        <rFont val="Times New Roman"/>
        <family val="1"/>
      </rPr>
      <t xml:space="preserve">16 B.W.G. </t>
    </r>
    <r>
      <rPr>
        <sz val="11"/>
        <rFont val="Times New Roman"/>
        <family val="1"/>
      </rPr>
      <t>Aneal binding wire in first floor .</t>
    </r>
  </si>
  <si>
    <t>E1.3</t>
  </si>
  <si>
    <t>in Column Base</t>
  </si>
  <si>
    <t>E2.3</t>
  </si>
  <si>
    <t>E1.4</t>
  </si>
  <si>
    <t>In Floor Slab</t>
  </si>
  <si>
    <t>E3.3</t>
  </si>
  <si>
    <t>In Ground Floor  area</t>
  </si>
  <si>
    <t xml:space="preserve">Painting  walls, columns, Revels with  one  coat  of   wall  primer and two coats of emulsion paint including preparing surface.   
</t>
  </si>
  <si>
    <t xml:space="preserve">Painting soffit  &amp; Beams with  one  coat  of   wall  primer and two coats of emulsion paint including preparing surface.   
</t>
  </si>
  <si>
    <t>Disable Fittings &amp; Accessories</t>
  </si>
  <si>
    <t>Supply and fix ceramic wall hung wash basin for disabled of "Vitra" brand, Model No.6147 with Plush Lock waste &amp; overflow &amp; Bottle Trap Chrome plated or approved equivalent.(Prime cost of the  wash basin  is Rs.45,000.00)</t>
  </si>
  <si>
    <t>Supply and fix Disable Water Closet "Vitra" brand-Model No.6927 with seat cover &amp; water tank or approved equivalent complete to working order.(Prime cost of   is Rs.65,000.00)</t>
  </si>
  <si>
    <t>Supply and fix Chromium plated single level wash basin mixer tap without pop-up waste with connection flex of "cobra" brand or approved equivalent with 5 year written warranty from the authorized agent.(Prime cost of   is Rs.25,000.00)</t>
  </si>
  <si>
    <t>Supply and fix Heavy duty Straight grab bar for disabled of "J&amp;T" brand,model "GB029" or approved equivalent.(Prime cost of   is Rs.10,000.00)</t>
  </si>
  <si>
    <t>Supplying &amp; installing of suspended Aluminium Panel Ceiling in 
600mm x 600 grid size reveal / bevel type using hot dipped GI pre –engineered inter - locking main tees (38mm x 14mm) and cross tees (25mm x 14mm) and wall angles expose areas finished with white baked enamel finish and suspended on 4 mm dia. adjustable hanger rods with spring clips. Ceiling panels will be Compton aluminium tiles 600mm x 600mm x 0.7mm (thickness) and complete to working order as per manufacture's specifications..</t>
  </si>
  <si>
    <t>Brick Slate</t>
  </si>
  <si>
    <t>Wall Point Stone work</t>
  </si>
  <si>
    <t>Pine Wood Ceiling</t>
  </si>
  <si>
    <t>Supply and fixing of tongued and grooved 1200mm X150mm Pine wood ceiling planks on underside of existing rafters, (Rate to include of timber strips and nessasry fixing related work and sand papering and smoothing one side of the planks, application of water based staining and two coats of waterbased sealant. Application of two coats of wood preservative )</t>
  </si>
  <si>
    <t>Site Engineer( Full Time)</t>
  </si>
  <si>
    <t>The Contractor shall protect and maintain the approaches to the site, clear of mud and debris including providing a water pressure gun  with all connected services. The contractor also shall  make good any damage attributable to the works at his own expense or pay all costs, charges in connection therewith.</t>
  </si>
  <si>
    <t>All P.V.C. pipes should confirm to S.L.S. 147. The fittings should be of the same brand as pipes.Ratt to include to necessary all required specials and fittings  T, l bor, Clips,bends, etc</t>
  </si>
  <si>
    <t>The rates for items  include the cost of surface
preparation, ande the cost of protective masonry
screed. Appropriate B.S.R. item rate shall be used for protective
layer. The approving authority for products shall be the Engineer.</t>
  </si>
  <si>
    <t>2A - DEMOLITIONS</t>
  </si>
  <si>
    <t>Valuble material arising from demolitions shall be the properly of the employer and shall be stacked in a place within the site premises as directed by the consultant or client and handed over with a proper way</t>
  </si>
  <si>
    <t>Debries from demolitions shall be cleared away from the site premises and cost for same should distribute among their rates.</t>
  </si>
  <si>
    <t>Rate shall include for necessary precaution for spreading dust to the adjoining building while demolition in progress</t>
  </si>
  <si>
    <t>Note</t>
  </si>
  <si>
    <t>2A-1</t>
  </si>
  <si>
    <t>Demolition of existing building. Rate to include removeing of total existing building with foundation and related work</t>
  </si>
  <si>
    <t>DEMOLITIONS WORK  CARRIED TO COLLECTION</t>
  </si>
  <si>
    <t>Painting walls,slab and revels  with one coat of Exterior wall primer and  two  coats  of  weathershield weatherproof acrylic exterior emultion  paint  including preparing surface. including preparing surface for exterior application before applicatin of emulsion paint.</t>
  </si>
  <si>
    <t>Concrete Curb</t>
  </si>
  <si>
    <t>Supply &amp; paving precast concrete Curb size 125mm x 255mm x 450mm of 25N/mm2 compressive strength laid with 1:3 cement mortar on top of a well compacted earth sub base &amp; tied with Grade20 cement concrete layer of  0' - 6" thick.</t>
  </si>
  <si>
    <t xml:space="preserve">Supply and fabrication of tempory chain post, rate to include to applying of suitable coates of primer and anti corrosive paints for post as per the drawings </t>
  </si>
  <si>
    <t>Temporary chain post</t>
  </si>
  <si>
    <t xml:space="preserve">Supplying and compaction of  Approved earth,compaction of earth including watering and compaction in 225mm thick layers with proctor density, using  machine rammer/roller vibrator, rate to include to compaction maching charges and other nessasary related work  </t>
  </si>
  <si>
    <t>Clearing site vegetation manually including removal of bushes, shurb removing rubbish.</t>
  </si>
  <si>
    <t xml:space="preserve">Supply  &amp;paving 80mm thick Non-Rectangular (Approx.size220mmx110mm) coloured precast interlocking paving blocks of 50N/mm2 compressive strength ,on 2" thick compacted Quarry dust laid on top of a levelled and well compacted earth sub base fort he high volume traffic areas. Paving blocks should confirming to S.L.S1425 :Part I &amp; II and subject to the approval of the quality &amp; colour including transport and laying.Rate shall include hire charges of 1/2-1 ton vibrating roller.
</t>
  </si>
  <si>
    <t>2. Reinforced concrete of Grade 20 &amp;25 (mixed at site with a concrete mixer )</t>
  </si>
  <si>
    <t xml:space="preserve">Volume Batched Grade 20/ready mix  reinforced concrete floors laid on ground.   Rate shall include the cost of curing continously  for 10 days. ( rate include to transport from batching plant. Rate shall inclue for placing, levelling, vibrating &amp; curing the concrete &amp; pump car cost) 
</t>
  </si>
  <si>
    <t>Internal light wiring shall comply with the drawings and shall be in 230/440 volt  PVC insulated copper cables</t>
  </si>
  <si>
    <t>Ground Floor,First Floor</t>
  </si>
  <si>
    <t xml:space="preserve">Light point wired through a 10 Amp two gang one way plate switch   using 2x1/1.13mm(2x1/.044) P.V.C. insulated copper wire &amp; 1x7/0.67mm
P.V.C. insulated copper earth wire in fully concealed/surface P.V.C. conduits. (For a switch circuit) </t>
  </si>
  <si>
    <t>Light point wired through a 10 Amp one gang four way plate switch using  2x1/1.13mm(2x1/.044) P.V.C. insulated copper wire &amp; 1x7/0.67mm P.V.C. insulated copper earth wire in fully concealed/surface P.V.C.conduits. (For a switch circuit)</t>
  </si>
  <si>
    <t>Ceiling fan of 56" Sweep KDK- brand ( M56RG-model) with Air flow rate of 225 cu.m /min @ RPM 270 with tolarance as per SLS 814 and two
star energy label as PER SLS 1600 in first Floor(Prime cost is Rs,25,000.00)</t>
  </si>
  <si>
    <t xml:space="preserve"> Weatherproof IP65 rated wall mounted  light fitting with 18 watt LED bulb. (Prime cost of the Weatherproof IP65 rated wall mounted light fitting with 18 watt LED bulb is Rs.7000.00)</t>
  </si>
  <si>
    <t>0'-5" x 0'-5" LED 18 watt ceiling surface/slab raised mounted  light fitting. -    (Prime cost of the 0'-6" x 0'-6" LED 18 watt ceiling surface mounted  light fitting. -  is Rs.3,500.00)</t>
  </si>
  <si>
    <t>LED 6 watt Mirror lamp  fitting.-  (Prime cost of the  light fitting.-  is Rs.2,000.00)</t>
  </si>
  <si>
    <t>Supplying and install of LED 6w Stair step light.-  (Prime cost of the  light fitting.-  is Rs.2,000.00)</t>
  </si>
  <si>
    <t>Steel Stair case</t>
  </si>
  <si>
    <t>Wall Mounted ledder</t>
  </si>
  <si>
    <t>Supplying and laying of wall point stone (Pathuru gal, 75mm X 450mm) for desired floor area, rate to include to 1:5 cement mortaor works and outer surface should be applied suitble coats of exterior wall primer for neat finish</t>
  </si>
  <si>
    <t>Supply and Install 5kg  CO2 fire extinguishe  complete with brackets as per Drawings and Specification</t>
  </si>
  <si>
    <t>Supply and Install 9l Form Fire  extinguishe  complete with brackets as per Drawings and Specification</t>
  </si>
  <si>
    <t>7.Warrenty</t>
  </si>
  <si>
    <t>3.Water Supply,Sewarage and Waste Water lines</t>
  </si>
  <si>
    <t>HPL Partition</t>
  </si>
  <si>
    <t>Supplying, fabrication and erection of  steel spiral staircase as per the detail,rate to include to nessasary excavation work,reinforced concrete work,painting work and all related work.(Ground Floor level to irst Floor Slab Level)</t>
  </si>
  <si>
    <t>Fabrication and erection of Steel framed wall mounted ladder to First Floor slab to water tank slab as per the detail</t>
  </si>
  <si>
    <t>Supplying and fixing of outdoor type brick slate for desired outdoor wall area,rate to include to nesasry fixing works and applying of suitable coates of outdoor waterproofing primer for smooth finished</t>
  </si>
  <si>
    <t xml:space="preserve">Allow lunp sum for preparing As built drawings of following services. All drawings shall be produced in triplicate to a scale (3 set of binded hard copy) and one electronic copy in Auto CAD format </t>
  </si>
  <si>
    <t>Supplying and fixing 1800mm internal dia.x 4'-0" depth Pre-cast waste water ( 2 nr of rings) pit with concrete cover and gaps filler with mortar works, and  perporated holes manufactured by "SEC" or approved equivalent. Rate shall include to excavtion,back filling, taransporting and  hire charges of boomtruck for placing and complete with all the necessary connection to  working order and subject to specific approval by the  Engineer and detail drawings</t>
  </si>
  <si>
    <t>Strom Water Manhole - Concrete</t>
  </si>
  <si>
    <r>
      <rPr>
        <b/>
        <sz val="12"/>
        <rFont val="Times New Roman"/>
        <family val="1"/>
      </rPr>
      <t>SWMH-</t>
    </r>
    <r>
      <rPr>
        <sz val="12"/>
        <rFont val="Times New Roman"/>
        <family val="1"/>
      </rPr>
      <t xml:space="preserve"> Construction of RCC sewer manhole internal size of 600mm x 600mm &amp; depth vary from 600mm to  1000mm , consist of 3" thick Grade 15 lean concrete, base and side walls 6" thick Grade 25 concrete r/f with 10mm dia. tor steel @ 8" c/c bothways , 1/2" thick cement sand rendering in 1:2 mix trowel smooth with neat grey cement to all internal surfaces and external exposed surfaces and channel with 1:6 benching. Excavation and 3" thick Grade 20 RCC cover slab with lifting hooks ( Reinforced with 10mm dia.M.S. rods @ 6" c/c both ways) </t>
    </r>
  </si>
  <si>
    <t>Manhole/Waste/Sewer  Covers</t>
  </si>
  <si>
    <t>Supplying &amp; fixing iron grating for surface drain consists of outer angle iron 2 1/2'' x 2 1/2'' x 6mm thick wlded to top angle iron 1'' x 1'' x 5mm thick @ 3'-0'' c/c horizontally and 16mm dia. tor steel @ 1" internal to internal welded to top of angle iron 1'' x 1'' x 5mm thick.Rate shall include for applying two coats of anti-corrosive paint.</t>
  </si>
  <si>
    <t>Construction of concrete drain 550mm width  x 300mm depth and varies up to   500mm Consists of 2'' thick Grade 15 concrete base and 3'' thick Grade 25 concrete walls , fair finish internal surface with size 1'-0'' wide x 1'-0'' depth.</t>
  </si>
  <si>
    <t>4" thick cement sand Cellular block wall (blocks confirming to S.L.S. 855  and subject to the approval of sample blocks) in cement and sand mortar 1:5 in Second FLoor.</t>
  </si>
  <si>
    <t>4" thick cement sand Cellular block wall (blocks confirming to S.L.S. 855  and subject to the approval of sample blocks) in cement and sand mortar 1:5 in Fourth FLoor.</t>
  </si>
  <si>
    <t>4" thick cement sand Cellular block wall (blocks confirming to S.L.S. 855  and subject to the approval of sample blocks) in cement and sand mortar 1:5 in Roof  FLoor.</t>
  </si>
  <si>
    <t>E. 01.3</t>
  </si>
  <si>
    <t>E. 01.4</t>
  </si>
  <si>
    <t>Third Floor</t>
  </si>
  <si>
    <t>Fourth Floor</t>
  </si>
  <si>
    <t>S.qm</t>
  </si>
  <si>
    <t>E. 02.3</t>
  </si>
  <si>
    <t>E. 02.4</t>
  </si>
  <si>
    <t>E. 02.5</t>
  </si>
  <si>
    <t>E.03.02</t>
  </si>
  <si>
    <t>E.03.03</t>
  </si>
  <si>
    <t>Water Tank/Lift Room Slab</t>
  </si>
  <si>
    <t>In Third Floor</t>
  </si>
  <si>
    <t>K 03.3</t>
  </si>
  <si>
    <t>K 03.4</t>
  </si>
  <si>
    <t>K 03.5</t>
  </si>
  <si>
    <t xml:space="preserve">Plastering 5/8" thick to walls,columns in cement and sand 1:5 finished smooth with two coats of skim coat.
</t>
  </si>
  <si>
    <t>in Second Floor</t>
  </si>
  <si>
    <t>K 05.3</t>
  </si>
  <si>
    <t>K 05.4</t>
  </si>
  <si>
    <t>Applying two coats of skim coat ( Not exceeding 3 mm thick) to soffit of slab,beams sunshade &amp; stair cases Inc. preparation surface.</t>
  </si>
  <si>
    <t>K 07.03</t>
  </si>
  <si>
    <t>Supplying of 300mm X300mm temples stone work with masory work</t>
  </si>
  <si>
    <t>3rd</t>
  </si>
  <si>
    <t>Supply and fix Chromium plated 1/2" dia. angle valve of "Rocell" brand . model or approved equivalent. (Prime cost of the Chromium plated 1/2" dia. angle valve is Rs. 2,500.00)</t>
  </si>
  <si>
    <t>Supply and fix Chromium plated 1 1/4" chromium plated push type waste outlet of  "Rocell" brand or approved equivalent. (Prime cost of the Chromium plated 1 1/4" chromium plated waste outlet is Rs. 2,500.00)</t>
  </si>
  <si>
    <t>Supply and fix Chromium plated 1/2" dia. 36" long flexible horse of  "Rocell" brand or approved equivalent. (Prime cost of the Chromium plated 1/2" dia. 18" long flexible horse is Rs. 3,000.00)</t>
  </si>
  <si>
    <t>Supply and fix Chromium plated pillar tap (cold water) for wash basin of "Rocell" brand or approved equivalent. (Prime cost of the Chromium plated pillar tap (cold water) for wash basin is Rs. 6,000.00)</t>
  </si>
  <si>
    <t>Supply and fix chromium plated Soap holder of "Rocell" brand or .  approved equivalent. (Prime cost of the chromium plated Soap holder is Rs. 3,500.00)</t>
  </si>
  <si>
    <t>Supply and fix chromium plated Toilet Paper Holder of "Rocell" brand or .  approved equivalent. (Prime cost of the chromium plated Toilet Paper Holder is Rs. 3,500.00)</t>
  </si>
  <si>
    <t>Supply and fix Chromium plated bathroom floor gully cover square type  of "Lanka Tiles Coloma " brand or approved equivalent. (Prime cost of the Chromium plated bathroom floor gully cover square type is Rs.
8,000.00)</t>
  </si>
  <si>
    <t>Supply and fix chromium plated Toilet Brush Holder of "Lanka Tiles Coloma - Angelo " brand or approved equivalent. (Prime cost of the chromium plated Toilet Brush Holder is Rs. 3,000.00)</t>
  </si>
  <si>
    <t>Supplying and installing of water tank 2000 ltr. Capacity rate to including the cost of transport. Hoisting in position and specials,rate to include to necessary ball valve and other related fixtures and accessories</t>
  </si>
  <si>
    <r>
      <rPr>
        <b/>
        <sz val="12"/>
        <rFont val="Times New Roman"/>
        <family val="1"/>
      </rPr>
      <t xml:space="preserve">MH- </t>
    </r>
    <r>
      <rPr>
        <sz val="12"/>
        <rFont val="Times New Roman"/>
        <family val="1"/>
      </rPr>
      <t>Construction of waste water concrete manhole internal size of 450mm x 450mm &amp; depth vary from 600mm to  900mm ,, consist of 3" thick Grade15 lean concrete &amp; 5" thick Grade 25 RCC base and sides, 1/2" thick cement sand rendering in 1:2 mix trowel smooth with neat grey cement to all internal surfaces and external exposed surfaces. Excavation and 3" thick Grade 20 RCC cover slab with lifting hooks ( Reinforced with 10mm dia.M.S. rods @ 6" c/c both ways)</t>
    </r>
  </si>
  <si>
    <t xml:space="preserve">Excavation for column, wall, staircase foundations in any material (except rock requiring blasting) up to depth (as per the drawings), part return fill in and ram and surplus depositted within site as directed.                                                                                                           </t>
  </si>
  <si>
    <t>Temporary earth work supports, in open planking in trenches total depth up todepth  (as per the drawings)</t>
  </si>
  <si>
    <t>In column/strip footing</t>
  </si>
  <si>
    <t>In column shaft from Second floor level to third floor  level</t>
  </si>
  <si>
    <t>In column shaft from third floor level to fouth floor  level</t>
  </si>
  <si>
    <t>In staircase Second floor level to third floor level</t>
  </si>
  <si>
    <t>In staircase fouth  floor level to roof floor level</t>
  </si>
  <si>
    <t>Fouth Floor</t>
  </si>
  <si>
    <t>C3.5.4</t>
  </si>
  <si>
    <t>C3.5.5</t>
  </si>
  <si>
    <t>In Reinforced beam at Third floor level</t>
  </si>
  <si>
    <t>In Reinforced slab at Third floor level</t>
  </si>
  <si>
    <t>In Reinforced slab at water tank level</t>
  </si>
  <si>
    <t>Plinth baam</t>
  </si>
  <si>
    <t xml:space="preserve">Column base </t>
  </si>
  <si>
    <t xml:space="preserve">In column shaft from  Second floor level to Third floor Level </t>
  </si>
  <si>
    <t xml:space="preserve">In column shaft from Third floor level to Fouth  floor Level </t>
  </si>
  <si>
    <t>In staircase  from  Second floor level to third  floor level</t>
  </si>
  <si>
    <t>In  Slab at Third floor level</t>
  </si>
  <si>
    <t>In  Slab at fouth floor level</t>
  </si>
  <si>
    <t>In beam at third floor level</t>
  </si>
  <si>
    <t>In beam at fouth floor level</t>
  </si>
  <si>
    <t>E1.5</t>
  </si>
  <si>
    <t>E1.6</t>
  </si>
  <si>
    <t>E1.7</t>
  </si>
  <si>
    <t>Staircase</t>
  </si>
  <si>
    <t>Lift</t>
  </si>
  <si>
    <t>E2.4</t>
  </si>
  <si>
    <t>E3.4</t>
  </si>
  <si>
    <r>
      <t xml:space="preserve">Mild/Tor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Ground Floor.</t>
    </r>
  </si>
  <si>
    <r>
      <t xml:space="preserve">Mild/Tor steel reinforcement to slabs, beams, lintols, columns, footings &amp; etc.. bent to shape, laid in position and tied with         </t>
    </r>
    <r>
      <rPr>
        <sz val="11"/>
        <color indexed="10"/>
        <rFont val="Times New Roman"/>
        <family val="1"/>
      </rPr>
      <t xml:space="preserve">16 B.W.G. </t>
    </r>
    <r>
      <rPr>
        <sz val="11"/>
        <rFont val="Times New Roman"/>
        <family val="1"/>
      </rPr>
      <t>Aneal binding wire in second floor .</t>
    </r>
  </si>
  <si>
    <r>
      <t xml:space="preserve">Mild/Tor steel reinforcement to slabs, beams, lintols, columns, footings &amp; etc.. bent to shape, laid in position and tied with         </t>
    </r>
    <r>
      <rPr>
        <sz val="11"/>
        <color indexed="10"/>
        <rFont val="Times New Roman"/>
        <family val="1"/>
      </rPr>
      <t xml:space="preserve">16 B.W.G. </t>
    </r>
    <r>
      <rPr>
        <sz val="11"/>
        <rFont val="Times New Roman"/>
        <family val="1"/>
      </rPr>
      <t>Aneal binding wire in third floor .</t>
    </r>
  </si>
  <si>
    <r>
      <t xml:space="preserve">Mild/Tor steel reinforcement to slabs, beams, lintols, columns, footings &amp; etc.. bent to shape, laid in position and tied with         </t>
    </r>
    <r>
      <rPr>
        <sz val="11"/>
        <color indexed="10"/>
        <rFont val="Times New Roman"/>
        <family val="1"/>
      </rPr>
      <t xml:space="preserve">16 B.W.G. </t>
    </r>
    <r>
      <rPr>
        <sz val="11"/>
        <rFont val="Times New Roman"/>
        <family val="1"/>
      </rPr>
      <t>Aneal binding wire in fouth floor .</t>
    </r>
  </si>
  <si>
    <t>In  Floor Slab</t>
  </si>
  <si>
    <t>Supply, installation &amp; termination  of  from MDB to each  DBs.</t>
  </si>
  <si>
    <t>Supply and Installation of Power Distribution Panels</t>
  </si>
  <si>
    <r>
      <t>Rate for items shall include the cost of fixing,adapter,connecting 2core 1mm</t>
    </r>
    <r>
      <rPr>
        <b/>
        <vertAlign val="superscript"/>
        <sz val="11"/>
        <rFont val="Times New Roman"/>
        <family val="1"/>
      </rPr>
      <t xml:space="preserve">2 . </t>
    </r>
    <r>
      <rPr>
        <b/>
        <sz val="11"/>
        <rFont val="Times New Roman"/>
        <family val="1"/>
      </rPr>
      <t>And any other related cost</t>
    </r>
  </si>
  <si>
    <t>SUB CIRCUIT &amp; LIGHT POINT WIRING</t>
  </si>
  <si>
    <r>
      <rPr>
        <b/>
        <sz val="11"/>
        <rFont val="Times New Roman"/>
        <family val="1"/>
      </rPr>
      <t xml:space="preserve">Point wiring for socket outlets 13A - ( 16A Circuits) </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</si>
  <si>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 xml:space="preserve">Two way light Point Wiring (10A Circuits) </t>
    </r>
    <r>
      <rPr>
        <sz val="11"/>
        <rFont val="Times New Roman"/>
        <family val="1"/>
      </rPr>
      <t xml:space="preserve">                                                                                          Supply &amp; Installation of 2way light Point Wiring, by using 2x1C 1.5mm^2 Cu/PVC/PVC Cable + 1C 1.5 mm^2 Cu/PVC Earth Cable through slab &amp; wall in PVC conduits including PVC conduits, sunk box, junction box, 10A PVC 2 way Switches and complete with all other relevant accessories. </t>
    </r>
  </si>
  <si>
    <r>
      <rPr>
        <b/>
        <sz val="11"/>
        <rFont val="Times New Roman"/>
        <family val="1"/>
      </rPr>
      <t xml:space="preserve">Fan Point Wiring - (10A Circuits )    </t>
    </r>
    <r>
      <rPr>
        <sz val="11"/>
        <rFont val="Times New Roman"/>
        <family val="1"/>
      </rPr>
      <t xml:space="preserve">                                                                                                                                                                                                                                                                     Supply &amp; installation of Fan Point wiring, by using 2X1C 1.5mm^2 Cu/PVC /PVC Cable +  1C 1.5 mm^2 Cu/PVC earth Cable through slab &amp; wall in PVC conduits including PVC conduits, junction boxes, sunk boxes, 10A PVC Switch, and complete with all other relevant accessories.</t>
    </r>
  </si>
  <si>
    <r>
      <rPr>
        <b/>
        <sz val="11"/>
        <rFont val="Times New Roman"/>
        <family val="1"/>
      </rPr>
      <t xml:space="preserve">Supply &amp; Installation of ceiling fans- Brand - KDK (model need to be finalized with architect)   </t>
    </r>
    <r>
      <rPr>
        <sz val="11"/>
        <rFont val="Times New Roman"/>
        <family val="1"/>
      </rPr>
      <t xml:space="preserve">                                                                                                                                                                                                                                                                      Supply &amp; Installation of ceiling fan (Diameter-56") and speed regulator with roll plugs, screws, metal hooks (Fan hook need to be passed through the slab and properly  connected) and complete with all other relevant accessories. </t>
    </r>
  </si>
  <si>
    <r>
      <rPr>
        <b/>
        <sz val="11"/>
        <rFont val="Times New Roman"/>
        <family val="1"/>
      </rPr>
      <t>Installation of light fittings-indoor</t>
    </r>
    <r>
      <rPr>
        <sz val="11"/>
        <rFont val="Times New Roman"/>
        <family val="1"/>
      </rPr>
      <t xml:space="preserve">                                                                                                                                                                                                                                                                          Installation of light fittings including roll plugs, screws and complete with all other relevant accessories.                                                                                                                                                                                 </t>
    </r>
  </si>
  <si>
    <t>Outdoor wall mounted  light fitting with 18w LED bulb. (Prime cost is Rs.4,000.00)</t>
  </si>
  <si>
    <t>wall mounted clear transparent glass globe light fitting and bracket  with 12w LED bulb. (Prime cost is Rs.5,000.00)</t>
  </si>
  <si>
    <t>LED 6w  Mirror lamp  fitting.-  (Prime cost is Rs.2,500.00)</t>
  </si>
  <si>
    <r>
      <rPr>
        <b/>
        <sz val="11"/>
        <rFont val="Times New Roman"/>
        <family val="1"/>
      </rPr>
      <t xml:space="preserve">Point wiring for socket outlets 13A - ( 16A Circuits) </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</si>
  <si>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Installation of light fittings-indoor</t>
    </r>
    <r>
      <rPr>
        <sz val="11"/>
        <rFont val="Times New Roman"/>
        <family val="1"/>
      </rPr>
      <t xml:space="preserve">                                                                                                                                                                                                                                                                          Installation of light fittings including roll plugs, screws and complete with all other relevant accessories. (excluding chandeliers)                                                                                                                                                                                </t>
    </r>
  </si>
  <si>
    <r>
      <rPr>
        <b/>
        <sz val="11"/>
        <rFont val="Times New Roman"/>
        <family val="1"/>
      </rPr>
      <t>Installation of light fittings-indoor/outdoor</t>
    </r>
    <r>
      <rPr>
        <sz val="11"/>
        <rFont val="Times New Roman"/>
        <family val="1"/>
      </rPr>
      <t xml:space="preserve">                                                                                                                                                                                                                                                                          Installation of light fittings including roll plugs, screws and complete with all other relevant accessories.                                                                                                                                                                                 </t>
    </r>
  </si>
  <si>
    <t xml:space="preserve">Inner diameter of 150mm Ceiling/slab mounted down light complete with 18w LED lamp. (Prime cost is Rs.5,000.00) </t>
  </si>
  <si>
    <r>
      <rPr>
        <b/>
        <sz val="12"/>
        <rFont val="Times New Roman"/>
        <family val="1"/>
      </rPr>
      <t>WMH-</t>
    </r>
    <r>
      <rPr>
        <sz val="12"/>
        <rFont val="Times New Roman"/>
        <family val="1"/>
      </rPr>
      <t xml:space="preserve"> Construction of RCC sewer manhole internal size of 450mm x 450mm &amp; depth vary from 600mm to  900mm , consist of 3" thick Grade 15 lean concrete, base and side walls 6" thick Grade 25 concrete r/f with 10mm dia. tor steel @ 8" c/c bothways , 1/2" thick cement sand rendering in 1:2 mix trowel smooth with neat grey cement to all internal surfaces and external exposed surfaces and channel with 1:6 benching. Excavation and 3" thick Grade 20 RCC cover slab with lifting hooks ( Reinforced with 10mm dia.M.S. rods @ 6" c/c both ways) </t>
    </r>
  </si>
  <si>
    <t>Supplying and fixing 1800mm internal dia.x 2'-6" depth Pre-cast Soakage ( 7 nr of rings) pit with concrete cover and gaps filler with mortar works, and  perporated holes manufactured by "SEC" or approved equivalent. Rate shall include to excavtion,back filling, taransporting and  hire charges of boomtruck for placing and complete with all the necessary connection to  working order and subject to specific approval by the  Engineer and detail drawings</t>
  </si>
  <si>
    <t>Construction of Septic tank 5700mm (L) X 2500mm(W) X 3200mm (invet depth) Including excavation ,backfilling, masonry work,concrete work.opening cover with lifting handles,complete with all necessary connection to working order and complete as per the detailded drawings</t>
  </si>
  <si>
    <t>LED 12w 1200mm length  florecent fitting.-  (Prime cost is Rs.5,500.00)</t>
  </si>
  <si>
    <t>Third floor</t>
  </si>
  <si>
    <t>Construction of water sump , internal size is 3000mm X 2400mm X2500mm rate to include excavation and back filling,cover slab and sump open grating , formwork,concrete works, reinforcement work, water proofing works and other all related work, and neat finish and as per the details</t>
  </si>
  <si>
    <r>
      <rPr>
        <b/>
        <sz val="11"/>
        <rFont val="Times New Roman"/>
        <family val="1"/>
      </rPr>
      <t xml:space="preserve">Light Point Wiring (10A Circuits)-indoor/outdoor   </t>
    </r>
    <r>
      <rPr>
        <sz val="11"/>
        <rFont val="Times New Roman"/>
        <family val="1"/>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</si>
  <si>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t>150mm dia LED 18w ceiling surface/slab raised mounted  light fitting. -    (Prime cost is Rs.5,500.00)</t>
  </si>
  <si>
    <t>Supplying and fixing of chandiler- fittings (Prime cost of the  light fitting.-  is Rs.150,000.00)</t>
  </si>
  <si>
    <t xml:space="preserve">Inner diameter of 150mm Ceiling/slab mounted raised light complete with 18w LED lamp. (Prime cost is Rs.5,000.00) </t>
  </si>
  <si>
    <t>Water supply,waste and sewarage line plumbing work</t>
  </si>
  <si>
    <t>Figurs will be changed as per the MEP Engineers Specifications and Final Drawings</t>
  </si>
  <si>
    <t>T 15</t>
  </si>
  <si>
    <t>Supply, Installation, Testing and Commissioning of Electrical Distribution System.</t>
  </si>
  <si>
    <t>Proposed Building For Mr. Hiroshan Hettiarachchi at Maharagama.</t>
  </si>
  <si>
    <t xml:space="preserve">BoQ and Specifications for Electrical System. </t>
  </si>
  <si>
    <t>RATE (LKR)</t>
  </si>
  <si>
    <t>AMOUNT (LKR)</t>
  </si>
  <si>
    <t>Specifications &amp; General Notes For Electrical Installation</t>
  </si>
  <si>
    <t>1.</t>
  </si>
  <si>
    <t>All related work to the above installation shall meet the requirements of BS 7671:2018;Requirments for Electrical Installations (IET Wiring Regulations;18th Edition)</t>
  </si>
  <si>
    <t>2.</t>
  </si>
  <si>
    <t>The Electrical Installation is designed for 400/230 volts, 3 phase 50Hz with earthed neutral.</t>
  </si>
  <si>
    <t>3.</t>
  </si>
  <si>
    <t>All items shall be quoted and Contract is Measure and pay Basis. It is possible to increase or decrease number of quantities of items and total removal of items also can occur, depend on the site conditions and requirements.</t>
  </si>
  <si>
    <t>4.</t>
  </si>
  <si>
    <t>Cable terminations shall be carried out using correct accessories such as lugs, brass glands, bushes, lock nuts etc.</t>
  </si>
  <si>
    <t>5.</t>
  </si>
  <si>
    <t>Installation work shall be carried out by experienced electrical contractors who has had previous experience in similar capacity projects and shall have proper standard tools, equipment and experienced and competent staff for electrical installation and commissioning and testing.</t>
  </si>
  <si>
    <t>6.</t>
  </si>
  <si>
    <t>Contractor must check actual cable lengths at site before purchasing and start laying/implementation hence avoid cable joints.</t>
  </si>
  <si>
    <t>7.</t>
  </si>
  <si>
    <t>The contractor shall provide a minimum one year warranty period for the distribution panels and its accessories / components. In addition contractor shall provide manufactures’ warranty (if more than one year) for accessories  and components that are used.</t>
  </si>
  <si>
    <t>8.</t>
  </si>
  <si>
    <t>Door earthing link to be provided for metal power distribution boards.</t>
  </si>
  <si>
    <t>9.</t>
  </si>
  <si>
    <t>keep 10% Additional Space within the Power Distribution Boards (this includes din rails &amp; front cover plate space and front covers to be cut to the 10 % space and to be closed with blank plates.</t>
  </si>
  <si>
    <t>10.</t>
  </si>
  <si>
    <t>Proper size of earth CU bus bars to be provided for Power Distribution Boards.</t>
  </si>
  <si>
    <t>11.</t>
  </si>
  <si>
    <r>
      <t xml:space="preserve">Proper durable </t>
    </r>
    <r>
      <rPr>
        <b/>
        <sz val="11"/>
        <rFont val="Times New Roman"/>
        <family val="1"/>
      </rPr>
      <t>metal type door locks</t>
    </r>
    <r>
      <rPr>
        <sz val="11"/>
        <rFont val="Times New Roman"/>
        <family val="1"/>
      </rPr>
      <t xml:space="preserve"> with metal keys to be used for metal Distribution Boards</t>
    </r>
  </si>
  <si>
    <t>12.</t>
  </si>
  <si>
    <t>Samples and technical details need to be provided for all the accessories, when request by consultant without claiming any charge.</t>
  </si>
  <si>
    <t>13.</t>
  </si>
  <si>
    <t>The Contractor shall submit complete two set of certified As Built drawings that includes layout and schematic drawings, control diagrams, power diagrams after completion of the Job.</t>
  </si>
  <si>
    <t>14.</t>
  </si>
  <si>
    <t xml:space="preserve">After completion of the installation, the Contractor shall submit Inspection and test certificates for electrical installation( Including all tests)  from a Chartered Electrical Engineer before energizing the system. </t>
  </si>
  <si>
    <t>Contractor must perform site visits &amp; check for practical &amp; feasible conditions/options of the given designs  based on practical site conditions &amp; submit quotations accordingly.</t>
  </si>
  <si>
    <t>Identification tags to be pasted at Distribution boards, sub Circuits etc.</t>
  </si>
  <si>
    <t>Single line diagram and load description details (laminated color copies) to be kept inside the Distribution board (Those to be kept in a Proper polythene cover pasting to the back side of the front door.)</t>
  </si>
  <si>
    <t>Proper Rubber/PVC beading to be fixed for cable entering points of Power Distribution Boards and Metal Trunking.</t>
  </si>
  <si>
    <t>It is contractor’s responsibility to remove all the debris own/ happened due to contractor’s work.</t>
  </si>
  <si>
    <t>Installation heights of switches, socket outlets and other items will be given by architect/consultant/client.</t>
  </si>
  <si>
    <r>
      <t xml:space="preserve">Contractor shall give </t>
    </r>
    <r>
      <rPr>
        <b/>
        <sz val="11"/>
        <rFont val="Times New Roman"/>
        <family val="1"/>
      </rPr>
      <t>item schedule</t>
    </r>
    <r>
      <rPr>
        <sz val="11"/>
        <rFont val="Times New Roman"/>
        <family val="1"/>
      </rPr>
      <t xml:space="preserve"> (that mentioned all brands going to be used), for consultant’s approval before purchasing and starting the work.</t>
    </r>
  </si>
  <si>
    <t>Contractor shall submit shop drawings for consultant's approval before start site works.</t>
  </si>
  <si>
    <t>Equipment Specifications</t>
  </si>
  <si>
    <t xml:space="preserve">Wall Mounted and Floor Mounted Distribution Boards,                                                                                                                     </t>
  </si>
  <si>
    <t xml:space="preserve">All Floor mounted and wall mounted distribution boards are complied for IP 55 and be fabricated with 2.0 mm thickness mild steel sheet metal and painted with powdered epoxy paint. </t>
  </si>
  <si>
    <t>Electrical Cable Trays, Ladders Trunkings</t>
  </si>
  <si>
    <t>Cable ladder system and cable tray system should be complied with BS EN61537 :2007 &amp; IEC 61537: 2006 .Cable management, Cable Tray system and Cable Ladder system</t>
  </si>
  <si>
    <t>These items shall be complied with mentioned standards. Mild steel: BS EN 10149-3, Stainless steel BS 1449: Part 2, Surface coating BS EN ISO 1461:2009</t>
  </si>
  <si>
    <t>Molded Case Circuit Breaker</t>
  </si>
  <si>
    <t>(MCCB) shall have breaking capacity of more than 25 kA or as indicated in drawings; and shall conform to BS 4752. Current transformer shall conform to BS 3938. The bus bars shall be copper conforming to BS 159 and covered with heat shrink insulation and colour coded. All the bus bars and cables from bus bars to MCCB and MCB shall be adequately rated so that the temperature in those are not more than 50 deg C at full load current.</t>
  </si>
  <si>
    <t xml:space="preserve">All MCCB’s and switch boards shall be labelled to indicate area it feeds.    </t>
  </si>
  <si>
    <t>MCB (Miniature Circuit Breakers)</t>
  </si>
  <si>
    <t xml:space="preserve">MCB shall be comply with BS 3871 and breaking capacity shall be more than 5kA; type 2 used for lighting and socket outlets whereas type 3 is used for AC circuits. </t>
  </si>
  <si>
    <t>RCCB ( Residual Current Circuit Breaker)</t>
  </si>
  <si>
    <t>RCCB shall be comply with BS 4293 and sensitivity has been mentioned in the BoQ and Single line diagrams.</t>
  </si>
  <si>
    <t xml:space="preserve">20A Double Pole (2pole) Switches </t>
  </si>
  <si>
    <t>Above Switches shall be comply with BS 3676</t>
  </si>
  <si>
    <t>13A Switched Socket Outlets (Square Pin)</t>
  </si>
  <si>
    <t>Above socket outlets shall be comply with BS 546</t>
  </si>
  <si>
    <t xml:space="preserve">Recommended brands of Item </t>
  </si>
  <si>
    <t>Note: Bidder shall mention their consent for below brands, if not mention alternative brands.</t>
  </si>
  <si>
    <r>
      <t>Panel Board Power Analyzer / Digital kWh Meter</t>
    </r>
    <r>
      <rPr>
        <sz val="11"/>
        <rFont val="Times New Roman"/>
        <family val="1"/>
      </rPr>
      <t xml:space="preserve"> - Schneider (France),Circutor (Spain),Merlin Gerin or equivalent                                                     (need consultant's approval)</t>
    </r>
  </si>
  <si>
    <r>
      <t xml:space="preserve">MCCB </t>
    </r>
    <r>
      <rPr>
        <sz val="11"/>
        <rFont val="Times New Roman"/>
        <family val="1"/>
      </rPr>
      <t>-  Schneider (France),Hager(France), Terasaki(Japan), Moeller(German),Siemens(German)                                                                                                 (need consultant's approval)</t>
    </r>
  </si>
  <si>
    <r>
      <t>MCB-</t>
    </r>
    <r>
      <rPr>
        <sz val="11"/>
        <rFont val="Times New Roman"/>
        <family val="1"/>
      </rPr>
      <t>Schneider(France),Hager(France),Moeller(German), Siemens(German)  or equivalent (need consultant's approval)</t>
    </r>
  </si>
  <si>
    <r>
      <t>RCCB-</t>
    </r>
    <r>
      <rPr>
        <sz val="11"/>
        <rFont val="Times New Roman"/>
        <family val="1"/>
      </rPr>
      <t>Schneider(France),Hager(France),Moeller(German), Siemens(German) or equivalent (need consultant's approval)</t>
    </r>
  </si>
  <si>
    <r>
      <t xml:space="preserve">Power/Telephone Outlets </t>
    </r>
    <r>
      <rPr>
        <sz val="11"/>
        <rFont val="Times New Roman"/>
        <family val="1"/>
      </rPr>
      <t>– Orange or equivalent                                                                                                               (need consultant's approval)</t>
    </r>
  </si>
  <si>
    <r>
      <t xml:space="preserve">Switches </t>
    </r>
    <r>
      <rPr>
        <sz val="11"/>
        <rFont val="Times New Roman"/>
        <family val="1"/>
      </rPr>
      <t>– Orange or equivalent (need consultant's approval)</t>
    </r>
  </si>
  <si>
    <r>
      <t>Power Cables</t>
    </r>
    <r>
      <rPr>
        <sz val="11"/>
        <rFont val="Times New Roman"/>
        <family val="1"/>
      </rPr>
      <t xml:space="preserve"> - ACL, Kelani</t>
    </r>
  </si>
  <si>
    <r>
      <t>Fire resistant cables</t>
    </r>
    <r>
      <rPr>
        <sz val="11"/>
        <rFont val="Times New Roman"/>
        <family val="1"/>
      </rPr>
      <t xml:space="preserve"> – ACL, Kelani, Wilson (complying with BS7629/BS6387 Cat: CWZ )</t>
    </r>
  </si>
  <si>
    <r>
      <t xml:space="preserve">PVC Conduits and junction Boxes, Sunk Boxes – </t>
    </r>
    <r>
      <rPr>
        <sz val="11"/>
        <rFont val="Times New Roman"/>
        <family val="1"/>
      </rPr>
      <t>National, Slon, Polychrome or equivalent (need consultant's approval)</t>
    </r>
  </si>
  <si>
    <r>
      <t>ELR</t>
    </r>
    <r>
      <rPr>
        <sz val="11"/>
        <rFont val="Times New Roman"/>
        <family val="1"/>
      </rPr>
      <t xml:space="preserve"> - Merlin Gerin(France), Moeller(German),Delab,Micro or  equivalent  (need consultant's approval)</t>
    </r>
  </si>
  <si>
    <r>
      <t>PFR</t>
    </r>
    <r>
      <rPr>
        <sz val="11"/>
        <rFont val="Times New Roman"/>
        <family val="1"/>
      </rPr>
      <t xml:space="preserve"> - Merlin Gerin(France), Moeller(German) or equivalent                                                                       (need consultant's approval)</t>
    </r>
  </si>
  <si>
    <r>
      <t>SPD</t>
    </r>
    <r>
      <rPr>
        <sz val="11"/>
        <rFont val="Times New Roman"/>
        <family val="1"/>
      </rPr>
      <t xml:space="preserve"> - Surge Protection Devices - Furse, Erico, or equivalent( need consultant's approval)</t>
    </r>
  </si>
  <si>
    <r>
      <t>Current Transformers</t>
    </r>
    <r>
      <rPr>
        <sz val="11"/>
        <rFont val="Times New Roman"/>
        <family val="1"/>
      </rPr>
      <t xml:space="preserve"> – Hobut or equivalent ( need consultant's approval)</t>
    </r>
  </si>
  <si>
    <r>
      <t>Phase Indicators ( LED type)</t>
    </r>
    <r>
      <rPr>
        <sz val="11"/>
        <rFont val="Times New Roman"/>
        <family val="1"/>
      </rPr>
      <t xml:space="preserve"> – TEKNIC/CS or equivalent ( need consultant's approval)</t>
    </r>
  </si>
  <si>
    <r>
      <t>Distribution Boards</t>
    </r>
    <r>
      <rPr>
        <sz val="11"/>
        <rFont val="Times New Roman"/>
        <family val="1"/>
      </rPr>
      <t xml:space="preserve"> - EMP,Magline, KIK, Pubudu,Imported or locally manufactured up to the standard. (need consultant's approval)</t>
    </r>
  </si>
  <si>
    <r>
      <rPr>
        <b/>
        <sz val="11"/>
        <rFont val="Times New Roman"/>
        <family val="1"/>
      </rPr>
      <t>Cable Trays, Trunking and Ladders-</t>
    </r>
    <r>
      <rPr>
        <sz val="11"/>
        <rFont val="Times New Roman"/>
        <family val="1"/>
      </rPr>
      <t xml:space="preserve"> PUBUDU, EMP or equivalent. ( need consultants approval)</t>
    </r>
  </si>
  <si>
    <t>This is Measure and pay Contract. All items should be checked, measured and verified with relevant drawings.</t>
  </si>
  <si>
    <t>Contractor must check the actual cable length @ site, before purchasing and start cable laying/implementation.</t>
  </si>
  <si>
    <t>Contractor must read the specifications, General notes given and submit the quotation accordingly.</t>
  </si>
  <si>
    <t>As this is Measure and pay contract, Bidders are advised to carefully refer and understand all  drawings, specifications and general notes before submission of their quotation and proposal.</t>
  </si>
  <si>
    <t>Contractor must submit shop drawing and get approval before start fabrication and installation.</t>
  </si>
  <si>
    <t>Contractor must submit brands and specifications of all items and get approval before start fabrication and installation</t>
  </si>
  <si>
    <t>It’s bidders’ responsibility to refer Drawings, relevant specifications and general notes thereby check and verify quantities.</t>
  </si>
  <si>
    <t>If any discrepancy identified, bidder should clarify the same with client/consultant engineer before submission of final quotation and proposal.</t>
  </si>
  <si>
    <t>ATS WITH MDB</t>
  </si>
  <si>
    <t xml:space="preserve">03 Nos. 100A 4P MCCB </t>
  </si>
  <si>
    <t xml:space="preserve">01 No. 32A 4P Isolator </t>
  </si>
  <si>
    <t xml:space="preserve">01 No. 32A 4P MCCB </t>
  </si>
  <si>
    <t xml:space="preserve">01 No. 63A 4P MCB </t>
  </si>
  <si>
    <t xml:space="preserve">04 Nos. 32A 4P MCB </t>
  </si>
  <si>
    <t xml:space="preserve">02 Nos. 32A 2P MCB </t>
  </si>
  <si>
    <t xml:space="preserve">04 Nos. 20A 4P MCB </t>
  </si>
  <si>
    <t xml:space="preserve">01 No. 20A 2P MCB </t>
  </si>
  <si>
    <t xml:space="preserve">01 No. 16A 4P MCB </t>
  </si>
  <si>
    <t>01 No. power analyzer with all other relevant accessories.</t>
  </si>
  <si>
    <t xml:space="preserve">01 Set of SPD - Surge Protection Devices ( 3 Nos 50kA &amp; 1 Nos. 120kA) with 4 Nos 100A HRC fuses </t>
  </si>
  <si>
    <t xml:space="preserve">01 No. 100A ATS arrangement with electrical &amp; mechanical interlock, all controlling and complete with all other relevant accessories. </t>
  </si>
  <si>
    <t xml:space="preserve">01 No. Earth Leakage Relay (for 100A 4P MCCB) with shunt trip, CT'S &amp; other accessories. </t>
  </si>
  <si>
    <t>03 Set of (R,Y,B) LED type phase indicators with fuses.</t>
  </si>
  <si>
    <t>01 No. 32A Manual changeover and complete with all other accessories.</t>
  </si>
  <si>
    <t>01 Set of 25x3mm Cu Busbar ( for main earth terminal at ATS with MDB) with length of 600mm</t>
  </si>
  <si>
    <t>Relevant number of Cu Bus bars for R,Y,B,N,E</t>
  </si>
  <si>
    <t>01 No. Free Standing type, Powder coated metal Enclosure with front doors, metal locks &amp; front cover plate</t>
  </si>
  <si>
    <t xml:space="preserve">DB-GF </t>
  </si>
  <si>
    <t xml:space="preserve">01 No. 20A 4P MCB </t>
  </si>
  <si>
    <t>05 Nos. 40A 30mA 2P RCCB</t>
  </si>
  <si>
    <t>09 Nos. 6A SP MCB</t>
  </si>
  <si>
    <t>08 Nos. 10A SP MCB</t>
  </si>
  <si>
    <t>05 Nos. 16A SP MCB</t>
  </si>
  <si>
    <t>01 Set of Cu Bus bars for R,Y,B,N,E</t>
  </si>
  <si>
    <t>01 No. Wall mounted Type, Powder coated metal Enclosure with front door, metal locks &amp; front cover plate.</t>
  </si>
  <si>
    <t>DB-1F-RAW</t>
  </si>
  <si>
    <t>03 Nos. 40A 30mA 2P RCCB</t>
  </si>
  <si>
    <t>07 Nos. 6A SP MCB</t>
  </si>
  <si>
    <t>09 Nos. 10A SP MCB</t>
  </si>
  <si>
    <t>02 No. 16A SP MCB</t>
  </si>
  <si>
    <t>DB-1F-UPS</t>
  </si>
  <si>
    <t xml:space="preserve">01 No. 32A 2P MCB </t>
  </si>
  <si>
    <t>01 No. 40A 30mA 2P RCCB</t>
  </si>
  <si>
    <t>07 Nos. 16A SP MCB</t>
  </si>
  <si>
    <t>01 Set of Cu Bus bars for R,N,E</t>
  </si>
  <si>
    <t>01 Set (R) LED type phase indicators with fuses.</t>
  </si>
  <si>
    <t>DB-2F-RAW</t>
  </si>
  <si>
    <t>03 Nos. 6A SP MCB</t>
  </si>
  <si>
    <t>10 Nos. 10A SP MCB</t>
  </si>
  <si>
    <t>DB-2F-UPS</t>
  </si>
  <si>
    <t>06 Nos. 16A SP MCB</t>
  </si>
  <si>
    <t>01 Set of Cu Bus bars for Y,N,E</t>
  </si>
  <si>
    <t>01 Set (Y) LED type phase indicators with fuses.</t>
  </si>
  <si>
    <t>DB-3F-RAW</t>
  </si>
  <si>
    <t>10 Nos. 6A SP MCB</t>
  </si>
  <si>
    <t>03 Nos. 16A SP MCB</t>
  </si>
  <si>
    <t>DB-3F-UPS</t>
  </si>
  <si>
    <t>01 Set of Cu Bus bars for B,N,E</t>
  </si>
  <si>
    <t>01 Set (B) LED type phase indicators with fuses.</t>
  </si>
  <si>
    <t>DB-4F-RAW</t>
  </si>
  <si>
    <t>02 Nos. 40A 30mA 2P RCCB</t>
  </si>
  <si>
    <t>05 Nos. 6A SP MCB</t>
  </si>
  <si>
    <t>03 Nos. 10A SP MCB</t>
  </si>
  <si>
    <t>02 Nos. 16A SP MCB</t>
  </si>
  <si>
    <t>Relevant Set of Cu Bus bars for R,N,E</t>
  </si>
  <si>
    <t>DB-RT</t>
  </si>
  <si>
    <t xml:space="preserve">01 No. 16A 2P MCB </t>
  </si>
  <si>
    <t>01 No. 6A SP MCB</t>
  </si>
  <si>
    <t>05 Nos. 10A SP MCB</t>
  </si>
  <si>
    <t>01 No. Wall mounted  Type, PVC Enclosure with front door</t>
  </si>
  <si>
    <t>DB-UPS-IN</t>
  </si>
  <si>
    <t xml:space="preserve">01 No. 32A 4P MCB </t>
  </si>
  <si>
    <t>Relevant Set of Cu Bus bars for R,Y,B,N,E</t>
  </si>
  <si>
    <t>DB-UPS-OUT</t>
  </si>
  <si>
    <t xml:space="preserve">02 Nos. 20A 2P MCB </t>
  </si>
  <si>
    <t>DB-UPS-OUT-SR</t>
  </si>
  <si>
    <t>01 No. 40A 100mA 2P RCCB</t>
  </si>
  <si>
    <t>16 Nos. 16A SP MCB</t>
  </si>
  <si>
    <t>01 No. Wall mounted Type, PVC Enclosure with front door</t>
  </si>
  <si>
    <t>DB-AC-OUTDOOR</t>
  </si>
  <si>
    <t xml:space="preserve">01 No. 63A 4P MCCB </t>
  </si>
  <si>
    <t>01 No. 40A 4P MCB</t>
  </si>
  <si>
    <t>01 No. 32A 4P MCB</t>
  </si>
  <si>
    <t xml:space="preserve">01 No. Earth Leakage Relay (for 63A 4P MCCB) with shunt trip, CT'S &amp; other accessories. </t>
  </si>
  <si>
    <t>DB-LIFT</t>
  </si>
  <si>
    <t>01 No. 32A 4P ISOLATOR</t>
  </si>
  <si>
    <t>01 Nos. 6A SP MCB</t>
  </si>
  <si>
    <t>01 Nos. 10A SP MCB</t>
  </si>
  <si>
    <t>01 Nos. 16A SP MCB</t>
  </si>
  <si>
    <t>Relevant set of Cu Bus bars for R,Y,B,N,E</t>
  </si>
  <si>
    <t>01 Set of (R,Y,B) LED type phase indicators with fuses.</t>
  </si>
  <si>
    <t>01 No. Wall mounted type, Powder coated metal Enclosure with front door, metal locks &amp; front cover plate.</t>
  </si>
  <si>
    <t xml:space="preserve">Supply and installation of 16A 4P isolator with surface mounted PVC enclosure for water pump (at pump room in Ground Floor) and complete with all other relevant accessories.                                                                                                                                                                                   </t>
  </si>
  <si>
    <t xml:space="preserve">Supply and installation of 32A 4P isolator with surface mounted PVC enclosure for Fire pump (at pump room in Ground Floor) and complete with all other relevant accessories.                                                                                                                                                                                   </t>
  </si>
  <si>
    <t xml:space="preserve">Supply and installation of 16A 2P isolator with surface mounted PVC enclosure for Name board (at roof top) and complete with all other relevant accessories.                                                                                                                                                                                   </t>
  </si>
  <si>
    <t xml:space="preserve">Supply and installation of 32A 4P isolator with surface mounted PVC enclosure for Passenger Lift (at Lift machine rooms) and complete with all other relevant accessories.                                                                                                                                                                                   </t>
  </si>
  <si>
    <t>MAIN &amp; SUB MAIN DISTRIBUTION CABLES TO DBs</t>
  </si>
  <si>
    <r>
      <t>Supply, laying and termination of 4x1C 25mm^2 Cu/PVC/PVC Cable,</t>
    </r>
    <r>
      <rPr>
        <sz val="11"/>
        <color rgb="FFFF0000"/>
        <rFont val="Times New Roman"/>
        <family val="1"/>
      </rPr>
      <t xml:space="preserve"> </t>
    </r>
    <r>
      <rPr>
        <sz val="11"/>
        <rFont val="Times New Roman"/>
        <family val="1"/>
      </rPr>
      <t xml:space="preserve"> through electrical cable tray (fixing to vertical cable ladder) &amp;  complete with all other relevant accessories. (Cable type, Cable Length &amp; Size can be varied as per site conditions.)                                                                                                                                                                                                                                                                                                                                                                                             </t>
    </r>
    <r>
      <rPr>
        <b/>
        <sz val="11"/>
        <rFont val="Times New Roman"/>
        <family val="1"/>
      </rPr>
      <t>(from Transformer to ATS With MDB)</t>
    </r>
  </si>
  <si>
    <t xml:space="preserve">meter </t>
  </si>
  <si>
    <r>
      <t xml:space="preserve">Supply, laying and both end termination of 4x1C 25mm^2 Cu/PVC/PVC Cable through electrical cable tray (fixing to vertical cable ladder) &amp; complete with all other relevant accessories.                                                                                                                                                                                                                                                                                                                                                                                           </t>
    </r>
    <r>
      <rPr>
        <b/>
        <sz val="11"/>
        <rFont val="Times New Roman"/>
        <family val="1"/>
      </rPr>
      <t>(from Generator to ATS With MDB)</t>
    </r>
  </si>
  <si>
    <r>
      <t>Supply, laying and both end termination of 1x4C 6mm^2 Cu/MGT/FRXLPE/LSHF Cable + 1C 4mm^2 Cu/PVC Earth cable, through electrical cable tray (fixing to vertical cable ladder), on slab &amp; wall in PVC conduit, including PVC conduits and complete with all other relevant accessories.                                                                                                                                                                                                                                                                                                    (</t>
    </r>
    <r>
      <rPr>
        <b/>
        <sz val="11"/>
        <rFont val="Times New Roman"/>
        <family val="1"/>
      </rPr>
      <t>From</t>
    </r>
    <r>
      <rPr>
        <sz val="11"/>
        <rFont val="Times New Roman"/>
        <family val="1"/>
      </rPr>
      <t xml:space="preserve"> </t>
    </r>
    <r>
      <rPr>
        <b/>
        <sz val="11"/>
        <rFont val="Times New Roman"/>
        <family val="1"/>
      </rPr>
      <t>ATS with MDB to Fire Pumps panel at Pump room)</t>
    </r>
  </si>
  <si>
    <r>
      <t xml:space="preserve">Supply, laying and both end termination of 4x1C 2.5mm^2 Cu/PVC/PVC Cable + 1C 2.5mm^2 Cu/PVC Earth cable, through electrical cable tray (fixing to vertical cable ladder), on slab &amp; wall in PVC conduit, including PVC conduits and complete with all other relevant accessories.                                                                                                                                                                                                                                                                                </t>
    </r>
    <r>
      <rPr>
        <b/>
        <sz val="11"/>
        <rFont val="Times New Roman"/>
        <family val="1"/>
      </rPr>
      <t>(from ATS with MDB to Water Pumps panel at Pump room)</t>
    </r>
  </si>
  <si>
    <r>
      <t xml:space="preserve">Supply, laying and both end termination of 1x4C 6mm^2 Cu/MGT/FRXLPE/LSHF Cable + 1C 4mm^2 Cu/PVC Earth cable, through electrical cable tray (fixing to vertical cable ladder), on slab &amp; wall in PVC conduit, including PVC conduits and complete with all other relevant accessories.                                                                                                                               </t>
    </r>
    <r>
      <rPr>
        <b/>
        <sz val="11"/>
        <rFont val="Times New Roman"/>
        <family val="1"/>
      </rPr>
      <t>(from ATS with MDB to DB-LIFT at Lift Machine room )</t>
    </r>
  </si>
  <si>
    <r>
      <t xml:space="preserve">Supply, laying and both end termination of 4x1C 16mm^2 Cu/PVC/PVC Cable        + 1C 10mm^2 Cu/PVC Earth cable, through electrical cable tray (fixing to vertical cable ladder) , in PVC conduit, including PVC conduit and complete with all other relevant accessories.                                                                                                                                                                                                                                                              </t>
    </r>
    <r>
      <rPr>
        <b/>
        <sz val="11"/>
        <rFont val="Times New Roman"/>
        <family val="1"/>
      </rPr>
      <t>(from ATS with MDB to DB-AC-Outdoor at Roof terrace )</t>
    </r>
  </si>
  <si>
    <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family val="1"/>
      </rPr>
      <t>(from ATS with MDB to DB-GF at Ground Floor )</t>
    </r>
  </si>
  <si>
    <r>
      <t xml:space="preserve">Supply, laying and both end termination of 4x1C 4mm^2 Cu/PVC/PVC Cable        + 1C 2.5mm^2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DB-1F-RAW at First Floor )</t>
    </r>
  </si>
  <si>
    <r>
      <t xml:space="preserve">Supply, laying and both end termination of 4x1C 4mm^2 Cu/PVC/PVC Cable        + 1C 2.5mm^2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DB-2F-RAW at Second Floor )</t>
    </r>
  </si>
  <si>
    <r>
      <t xml:space="preserve">Supply, laying and both end termination of 4x1C 4mm^2 Cu/PVC/PVC Cable        + 1C 2.5mm^2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DB-3F-RAW at Third Floor )</t>
    </r>
  </si>
  <si>
    <r>
      <t xml:space="preserve">Supply, laying and both end termination of 2x1C 4mm^2 Cu/PVC/PVC Cable        + 1C 2.5mm^2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DB-4F-RAW at Fourth Floor )</t>
    </r>
  </si>
  <si>
    <r>
      <t xml:space="preserve">Supply, laying and both end termination of 2x1C 6mm^2 Cu/PVC/PVC Cable        + 1C 4mm^2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DB-RT )</t>
    </r>
  </si>
  <si>
    <r>
      <t xml:space="preserve">Supply, laying and both end termination of 2x1C 2.5mm^2 Cu/PVC/PVC Cable        + 1C 2.5mm^2 Cu/PVC Earth cable, through slab &amp; wall  in PVC conduit, including PVC conduits and complete with all other relevant accessories.                                                                                                                                                                                                                                                                </t>
    </r>
    <r>
      <rPr>
        <b/>
        <sz val="11"/>
        <rFont val="Times New Roman"/>
        <family val="1"/>
      </rPr>
      <t>(from DB-RT to Name board at Roof top )</t>
    </r>
  </si>
  <si>
    <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family val="1"/>
      </rPr>
      <t>(from ATS with MDB to DB-UPS-IN at Third Floor)</t>
    </r>
  </si>
  <si>
    <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family val="1"/>
      </rPr>
      <t>(from DB-UPS-IN to UPS Unit )</t>
    </r>
  </si>
  <si>
    <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family val="1"/>
      </rPr>
      <t>(from UPS Unit  to DB-UPS-OUT )</t>
    </r>
  </si>
  <si>
    <r>
      <t xml:space="preserve">Supply, laying and both end termination of 2x1C 6mm^2 Cu/PVC/PVC Cable        + 1C 4mm^2 Cu/PVC Earth cable, through electrical cable tray (fixing to vertical cable ladder) , in PVC conduit, including PVC conduit and complete with all other relevant accessories.                                                                                                                                                                                                                                                              </t>
    </r>
    <r>
      <rPr>
        <b/>
        <sz val="11"/>
        <rFont val="Times New Roman"/>
        <family val="1"/>
      </rPr>
      <t>(from DB-UPS-OUT to DB-1F-UPS )</t>
    </r>
  </si>
  <si>
    <r>
      <t xml:space="preserve">Supply, laying and both end termination of 2x1C 4mm^2 Cu/PVC/PVC Cable        + 1C 2.5mm^2 Cu/PVC Earth cable, through electrical cable tray (fixing to vertical cable ladder) , in PVC conduit, including PVC conduit and complete with all other relevant accessories.                                                                                                                                                                                                                                                              </t>
    </r>
    <r>
      <rPr>
        <b/>
        <sz val="11"/>
        <rFont val="Times New Roman"/>
        <family val="1"/>
      </rPr>
      <t>(from DB-UPS-OUT to DB-2F-UPS )</t>
    </r>
  </si>
  <si>
    <r>
      <t xml:space="preserve">Supply, laying and both end termination of 2x1C 4mm^2 Cu/PVC/PVC Cable        + 1C 2.5mm^2 Cu/PVC Earth cable, through electrical cable tray (fixing to vertical cable ladder) , in PVC conduit, including PVC conduit and complete with all other relevant accessories.                                                                                                                                                                                                                                                              </t>
    </r>
    <r>
      <rPr>
        <b/>
        <sz val="11"/>
        <rFont val="Times New Roman"/>
        <family val="1"/>
      </rPr>
      <t>(from DB-UPS-OUT to DB-3F-UPS )</t>
    </r>
  </si>
  <si>
    <r>
      <t xml:space="preserve">Supply, laying and both end termination of 4x1C 4mm^2 Cu/PVC/PVC Cable        + 1C 2.5mm^2 Cu/PVC Earth cable, through electrical cable tray (fixing to vertical cable ladder) , in PVC conduit, including PVC conduit and complete with all other relevant accessories.                                                                                                                                                                                                                                                              </t>
    </r>
    <r>
      <rPr>
        <b/>
        <sz val="11"/>
        <rFont val="Times New Roman"/>
        <family val="1"/>
      </rPr>
      <t>(from DB-UPS-OUT to DB-3F-SR )</t>
    </r>
  </si>
  <si>
    <t>Sub Circuit &amp; Light point Wiring - for Ground Floor (DB-GF)</t>
  </si>
  <si>
    <r>
      <rPr>
        <b/>
        <sz val="11"/>
        <rFont val="Times New Roman"/>
        <family val="1"/>
      </rPr>
      <t xml:space="preserve">Point wiring for socket outlets 13A - ( 10A Circuits) </t>
    </r>
    <r>
      <rPr>
        <sz val="11"/>
        <rFont val="Times New Roman"/>
        <family val="1"/>
      </rPr>
      <t xml:space="preserve">                                                Supply, Installation &amp; wiring of 13A power Socket Outlet, by using 2x1C 1.5mm^2 Cu /PVC/PVC Cable + 1C 1.5 mm^2 Cu/PVC Earth Cable (in radial circuit) through slab &amp; wall in PVC conduits including PVC conduits, sunk box, junction box, outlet and complete with all other relevant accessories. </t>
    </r>
  </si>
  <si>
    <r>
      <rPr>
        <b/>
        <sz val="11"/>
        <rFont val="Times New Roman"/>
        <family val="1"/>
      </rPr>
      <t xml:space="preserve">Point wiring for socket outlets 13A - ( 16A Circuits)-Outdoor          </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</si>
  <si>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Point wiring for socket outlets 13A - ( 16A Circuits) One outlet per circuit for Roller Door &amp; Car Charging</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</si>
  <si>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 xml:space="preserve">Light Point Wiring (6A Circuits)-indoor  </t>
    </r>
    <r>
      <rPr>
        <sz val="11"/>
        <rFont val="Times New Roman"/>
        <family val="1"/>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</si>
  <si>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family val="1"/>
      </rPr>
      <t xml:space="preserve">Two way light Point Wiring (6A Circuits) </t>
    </r>
    <r>
      <rPr>
        <sz val="11"/>
        <rFont val="Times New Roman"/>
        <family val="1"/>
      </rPr>
      <t xml:space="preserve">                                                                                          Supply &amp; Installation of 2way light Point Wiring, by using 2x1C 1mm^2 Cu/PVC/PVC Cable + 1C 1.5 mm^2 Cu/PVC Earth Cable through slab &amp; wall in PVC conduits including PVC conduits, sunk box, junction box, 10A PVC 2 way Switches and complete with all other relevant accessories. </t>
    </r>
  </si>
  <si>
    <r>
      <rPr>
        <b/>
        <sz val="11"/>
        <rFont val="Times New Roman"/>
        <family val="1"/>
      </rPr>
      <t xml:space="preserve">Light Point Wiring (10A Circuits)-Outdoor  </t>
    </r>
    <r>
      <rPr>
        <sz val="11"/>
        <rFont val="Times New Roman"/>
        <family val="1"/>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</si>
  <si>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r>
      <rPr>
        <b/>
        <sz val="11"/>
        <rFont val="Times New Roman"/>
        <family val="1"/>
      </rPr>
      <t>Installation of light fittings-Outdoor</t>
    </r>
    <r>
      <rPr>
        <sz val="11"/>
        <rFont val="Times New Roman"/>
        <family val="1"/>
      </rPr>
      <t xml:space="preserve">                                                                                                                                                                                                                                                                          Installation of light fittings including roll plugs, screws and complete with all other relevant accessories.                                                                                                                                                                                 </t>
    </r>
  </si>
  <si>
    <r>
      <rPr>
        <b/>
        <sz val="11"/>
        <rFont val="Times New Roman"/>
        <family val="1"/>
      </rPr>
      <t>Supply of light fittings-indoor</t>
    </r>
    <r>
      <rPr>
        <sz val="11"/>
        <rFont val="Times New Roman"/>
        <family val="1"/>
      </rPr>
      <t xml:space="preserve">                                                                                                                                                                                                                                                                          Shall be maintained 350 lux level (with &gt;100 Lumen/Watt ) &amp; 6500K colour temperature</t>
    </r>
  </si>
  <si>
    <r>
      <rPr>
        <b/>
        <sz val="11"/>
        <rFont val="Times New Roman"/>
        <family val="1"/>
      </rPr>
      <t>Supply of light fittings-Outdoor</t>
    </r>
    <r>
      <rPr>
        <sz val="11"/>
        <rFont val="Times New Roman"/>
        <family val="1"/>
      </rPr>
      <t xml:space="preserve">                                                                                                                                                                                                                                                                          Shall be maintained 350 lux level (with &gt;100 Lumen/Watt ) &amp; 6500K colour temperature</t>
    </r>
  </si>
  <si>
    <r>
      <rPr>
        <b/>
        <sz val="11"/>
        <rFont val="Times New Roman"/>
        <family val="1"/>
      </rPr>
      <t xml:space="preserve">Fan Point Wiring - (6A Circuits )    </t>
    </r>
    <r>
      <rPr>
        <sz val="11"/>
        <rFont val="Times New Roman"/>
        <family val="1"/>
      </rPr>
      <t xml:space="preserve">                                                                                                                                                                                                                                                                     Supply &amp; installation of Fan Point wiring, by using 2X1C 1mm^2 Cu/PVC /PVC Cable +  1C 1.5 mm^2 Cu/PVC earth Cable through slab &amp; wall in PVC conduits including PVC conduits, junction boxes, sunk boxes, 10A PVC Switch, and complete with all other relevant accessories.</t>
    </r>
  </si>
  <si>
    <t>Sub Circuit &amp; Light point Wiring - for First Floor (DB-1F-RAW)</t>
  </si>
  <si>
    <r>
      <rPr>
        <b/>
        <sz val="11"/>
        <rFont val="Times New Roman"/>
        <family val="1"/>
      </rPr>
      <t xml:space="preserve">Light Point Wiring (6A Circuits)-indoor   </t>
    </r>
    <r>
      <rPr>
        <sz val="11"/>
        <rFont val="Times New Roman"/>
        <family val="1"/>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</si>
  <si>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family val="1"/>
      </rPr>
      <t>Installation of light fittings-indoor</t>
    </r>
    <r>
      <rPr>
        <sz val="11"/>
        <rFont val="Times New Roman"/>
        <family val="1"/>
      </rPr>
      <t xml:space="preserve">                                                                                                                                                                                                                                                                           Installation of light fittings including roll plugs, screws and complete with all other relevant accessories.                                                                                                                                                                                </t>
    </r>
  </si>
  <si>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</si>
  <si>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</si>
  <si>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 for First Floor (DB-1F-UPS)</t>
  </si>
  <si>
    <t>Sub Circuit &amp; Light point Wiring - for Second Floor  (DB-2F-RAW)</t>
  </si>
  <si>
    <r>
      <rPr>
        <b/>
        <sz val="11"/>
        <rFont val="Times New Roman"/>
        <family val="1"/>
      </rPr>
      <t xml:space="preserve">Light Point Wiring (6A Circuits)-indoor </t>
    </r>
    <r>
      <rPr>
        <sz val="11"/>
        <rFont val="Times New Roman"/>
        <family val="1"/>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</si>
  <si>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family val="1"/>
      </rPr>
      <t xml:space="preserve">Two way light Point Wiring (6A Circuits)  </t>
    </r>
    <r>
      <rPr>
        <sz val="11"/>
        <rFont val="Times New Roman"/>
        <family val="1"/>
      </rPr>
      <t xml:space="preserve">                                                                                         Supply &amp; Installation of 2way light Point Wiring, by using 2x1C 1mm^2 Cu/PVC/PVC Cable + 1C 1.5 mm^2 Cu/PVC Earth Cable through slab &amp; wall in PVC conduits including PVC conduits, sunk box, junction box, 10A PVC 2 way Switches and complete with all other relevant accessories. </t>
    </r>
  </si>
  <si>
    <r>
      <rPr>
        <b/>
        <sz val="11"/>
        <rFont val="Times New Roman"/>
        <family val="1"/>
      </rPr>
      <t xml:space="preserve">Light Point Wiring (10A Circuits)-indoor </t>
    </r>
    <r>
      <rPr>
        <sz val="11"/>
        <rFont val="Times New Roman"/>
        <family val="1"/>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</si>
  <si>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r>
      <rPr>
        <b/>
        <sz val="11"/>
        <rFont val="Times New Roman"/>
        <family val="1"/>
      </rPr>
      <t>Installation of light fittings-indoor</t>
    </r>
    <r>
      <rPr>
        <sz val="11"/>
        <rFont val="Times New Roman"/>
        <family val="1"/>
      </rPr>
      <t xml:space="preserve">                                                                                                                                                                                                                                                                           Installation of light fittings including roll plugs, screws and complete with all other relevant accessories.</t>
    </r>
    <r>
      <rPr>
        <b/>
        <sz val="11"/>
        <rFont val="Times New Roman"/>
        <family val="1"/>
      </rPr>
      <t xml:space="preserve"> </t>
    </r>
    <r>
      <rPr>
        <sz val="11"/>
        <rFont val="Times New Roman"/>
        <family val="1"/>
      </rPr>
      <t xml:space="preserve">                                                                                                                                                                                 </t>
    </r>
  </si>
  <si>
    <r>
      <rPr>
        <b/>
        <sz val="11"/>
        <rFont val="Times New Roman"/>
        <family val="1"/>
      </rPr>
      <t>Supply of light fittings-indoor -Type 01</t>
    </r>
    <r>
      <rPr>
        <sz val="11"/>
        <rFont val="Times New Roman"/>
        <family val="1"/>
      </rPr>
      <t xml:space="preserve"> (at Electrical Lab, Dimention Lab &amp; Thermal Lab)                                                                                                                                                                                                                                                                     Shall be maintained 1000 lux level (with &gt;100 Lumen/Watt ) &amp; 6500K colour temperature                                                                                                                                                       </t>
    </r>
  </si>
  <si>
    <r>
      <t>Supply of light fittings-indoor - Type 02</t>
    </r>
    <r>
      <rPr>
        <sz val="11"/>
        <rFont val="Times New Roman"/>
        <family val="1"/>
      </rPr>
      <t xml:space="preserve"> (at Dimention Lab)                                                                                                                                                                                                                                                                     Shall be maintained 1000 lux level (with &gt;100 Lumen/Watt ) &amp; 6500K colour temperature     </t>
    </r>
  </si>
  <si>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</si>
  <si>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</si>
  <si>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 for Second Floor (DB-2F-UPS)</t>
  </si>
  <si>
    <t>Sub Circuit &amp; Light point Wiring - for 3rd Floor (DB-3F-RAW)</t>
  </si>
  <si>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</si>
  <si>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</si>
  <si>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 for Third Floor (DB-3F-UPS)</t>
  </si>
  <si>
    <t>Sub Circuit &amp; Light point Wiring - for Third Floor (DB-UPS-OUT-SR)      at Server Room</t>
  </si>
  <si>
    <t>Sub Circuit &amp; Light point Wiring - for 4th Floor (DB-4F-RAW)</t>
  </si>
  <si>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</si>
  <si>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</si>
  <si>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 for Roof Terrace (DB-RT)</t>
  </si>
  <si>
    <r>
      <rPr>
        <b/>
        <sz val="11"/>
        <rFont val="Times New Roman"/>
        <family val="1"/>
      </rPr>
      <t xml:space="preserve">Point wiring for socket outlets 13A - ( 10A Circuits)          </t>
    </r>
    <r>
      <rPr>
        <sz val="11"/>
        <rFont val="Times New Roman"/>
        <family val="1"/>
      </rPr>
      <t xml:space="preserve">                                                Supply, Installation &amp; wiring of 13A power Socket Outlet, by using 2x1C 1.5mm^2 Cu /PVC/PVC Cable + 1C 1.5 mm^2 Cu/PVC Earth Cable (in radial circuit) through slab &amp; wall in PVC conduits including PVC conduits, sunk box, junction box, outlet and complete with all other relevant accessories. </t>
    </r>
  </si>
  <si>
    <r>
      <rPr>
        <b/>
        <sz val="11"/>
        <rFont val="Times New Roman"/>
        <family val="1"/>
      </rPr>
      <t>Point wiring for socket outlets 13A - ( 16A Circuits) One outlet per circuit for Booster Pump</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</si>
  <si>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</si>
  <si>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</si>
  <si>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-DB-LIFT</t>
  </si>
  <si>
    <r>
      <rPr>
        <b/>
        <sz val="11"/>
        <rFont val="Times New Roman"/>
        <family val="1"/>
      </rPr>
      <t xml:space="preserve">Point wiring for socket outlets 13A - ( 10A Circuits)  </t>
    </r>
    <r>
      <rPr>
        <sz val="11"/>
        <rFont val="Times New Roman"/>
        <family val="1"/>
      </rPr>
      <t xml:space="preserve">                                                Supply, Installation &amp; wiring of 13A power Socket Outlet, by using 2x1C 1.5mm^2 Cu /PVC/PVC Cable + 1C 1.5 mm^2 Cu/PVC Earth Cable (in radial circuit) through slab &amp; wall in PVC conduits including PVC conduits, sunk box, junction box, outlet and complete with all other relevant accessories. </t>
    </r>
  </si>
  <si>
    <r>
      <rPr>
        <b/>
        <sz val="11"/>
        <rFont val="Times New Roman"/>
        <family val="1"/>
      </rPr>
      <t xml:space="preserve">Light Point Wiring (6A Circuits) </t>
    </r>
    <r>
      <rPr>
        <sz val="11"/>
        <rFont val="Times New Roman"/>
        <family val="1"/>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</si>
  <si>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family val="1"/>
      </rPr>
      <t>Installation of light fittings</t>
    </r>
    <r>
      <rPr>
        <sz val="11"/>
        <rFont val="Times New Roman"/>
        <family val="1"/>
      </rPr>
      <t xml:space="preserve">                                                                                                                                                                                                                                                                           Installation of light fittings including roll plugs, screws and complete with all other relevant accessories.                                                                                                                                                                                 </t>
    </r>
  </si>
  <si>
    <t>GENERAL EARTHING  SYSTEM</t>
  </si>
  <si>
    <t>Supply &amp; Installation of 2'x2' Cu plate buried at 2400mm length and connected to the main earth bar at ATS with MDB by 3x25mm Cu tape and all other relevant accessories with earth Inspection pit for testing.</t>
  </si>
  <si>
    <t xml:space="preserve">Cable Ladder System 1 For Electrical </t>
  </si>
  <si>
    <t>Supply &amp; Installation of 200mm wide, 50mm height vertical cable ladder made with 1.2mm thickness sheet steel and finished with powder epoxy paint and fixed to wall at every one meter length and complete with nut &amp; bolts and all other relevant accessories</t>
  </si>
  <si>
    <t xml:space="preserve">Meter </t>
  </si>
  <si>
    <t xml:space="preserve">Cable Ladder System 2 For ELV   </t>
  </si>
  <si>
    <r>
      <rPr>
        <b/>
        <sz val="11"/>
        <rFont val="Times New Roman"/>
        <family val="1"/>
      </rPr>
      <t xml:space="preserve">Cable Ladder System 3                                                                                                                                                                                                                                                                                            </t>
    </r>
    <r>
      <rPr>
        <sz val="11"/>
        <rFont val="Times New Roman"/>
        <family val="1"/>
      </rPr>
      <t>Supply , Installation of 100mm wide, 50mm height vertical cable ladder made with 1.2 mm thickness sheet steel and finished with powder epoxy paint and fixed to wall at every one meter length and complete with nut &amp; belts and all other relevant accessories</t>
    </r>
  </si>
  <si>
    <r>
      <rPr>
        <b/>
        <sz val="11"/>
        <rFont val="Times New Roman"/>
        <family val="1"/>
      </rPr>
      <t xml:space="preserve">Cable Trunking ( with top Cover) System 1                                                                         (refer drawing no RC/HH/MG/EL/19-24)                                                                                                                                                                                                                               </t>
    </r>
    <r>
      <rPr>
        <sz val="11"/>
        <rFont val="Times New Roman"/>
        <family val="1"/>
      </rPr>
      <t>Supply , Installation of 300mm wide; 50mm depth horizontal, vertical cable trunking (with Top Cover plate) made with 2.0mm thickness sheet and finished with powder epoxy paint and fixed to soffit with angle  iron brackets at every one meter length.  and complete with bends, joints, thread bars, nut &amp; bolts and all other relevant accessories.(For electrical cables up to vertical duct)</t>
    </r>
  </si>
  <si>
    <r>
      <rPr>
        <b/>
        <sz val="11"/>
        <rFont val="Times New Roman"/>
        <family val="1"/>
      </rPr>
      <t xml:space="preserve">Cable Trunking ( with top Cover) System 2                                                                        (refer drawing no RC/HH/MG/EL/19-24)                                                                                                                                                                                                                                    </t>
    </r>
    <r>
      <rPr>
        <sz val="11"/>
        <rFont val="Times New Roman"/>
        <family val="1"/>
      </rPr>
      <t>Supply , Installation of 100mm wide; 50mm depth horizontal, vertical cable trunking  (with Top Cover plate) made with 1.2 mm thickness sheet and finished with powder epoxy paint and fixed to soffit with angle  iron brackets at every one meter length.  and complete with bends, joints, thread bars, nut &amp; bolts and all other relevant accessories.</t>
    </r>
  </si>
  <si>
    <t xml:space="preserve">Ground Floor </t>
  </si>
  <si>
    <t xml:space="preserve">First Floor </t>
  </si>
  <si>
    <t xml:space="preserve">Second Floor </t>
  </si>
  <si>
    <t xml:space="preserve">Third Floor </t>
  </si>
  <si>
    <t xml:space="preserve">Fourth Floor </t>
  </si>
  <si>
    <t>Supply , Installation of 25mm GI pipe to light/power points at every one meter length. and complete with bends, Junction box and all other relevant accessories.(Provisional)</t>
  </si>
  <si>
    <r>
      <rPr>
        <b/>
        <sz val="11"/>
        <rFont val="Times New Roman"/>
        <family val="1"/>
      </rPr>
      <t>Covering duct free Space</t>
    </r>
    <r>
      <rPr>
        <sz val="11"/>
        <rFont val="Times New Roman"/>
        <family val="1"/>
      </rPr>
      <t xml:space="preserve">                                                                                                                                                                                                                     Supply and installation of checker plate with fire proof materials to cover remaining spaces inside all Electrical, ELV, Fire and complete with all other relevant accessories</t>
    </r>
  </si>
  <si>
    <r>
      <rPr>
        <b/>
        <sz val="11"/>
        <rFont val="Times New Roman"/>
        <family val="1"/>
      </rPr>
      <t>Testing and commissioning of the system</t>
    </r>
    <r>
      <rPr>
        <sz val="11"/>
        <rFont val="Times New Roman"/>
        <family val="1"/>
      </rPr>
      <t xml:space="preserve">; Need to perform standardized tests as per IET wiring regulations;18th Edition &amp; submit the certified test certificate for the total installation. Test result reports shall be submitted by the contractor after completion of works.                                                                                                                                                              </t>
    </r>
  </si>
  <si>
    <t>Contractor need to submit, schematic drawings, design details, and data sheets of all items with tender document.</t>
  </si>
  <si>
    <t>Supply &amp; Installation of UPVC Pipe for SLT cable</t>
  </si>
  <si>
    <t xml:space="preserve">Supply &amp; Installation of 100mm UPVC Pipe (type 1000) for SLT cable buried in ground including all civil works &amp; other relevant accessories. </t>
  </si>
  <si>
    <t xml:space="preserve">Shop Drawings </t>
  </si>
  <si>
    <t>Need to submit shop drawings and get approval from the consultant engineer before installation &amp; starting of relevant works</t>
  </si>
  <si>
    <t>As Built Drawings</t>
  </si>
  <si>
    <t>Submission of chartered engineer certified as built drawings for the total installation</t>
  </si>
  <si>
    <t>Any Other Items</t>
  </si>
  <si>
    <t>Provide for any other item/s of electrical distribution system not listed above which in the opinion of bidder required as per the contract for the proper execution and completion of the works. Bidder need to specify the items in adequate details and each item to be priced separately.</t>
  </si>
  <si>
    <t>TOTAL in LKR  (WITHOUT TAX)</t>
  </si>
  <si>
    <t>Need to mention proposed brands for below items.                                                                                                                                                                                                                                  (need to be filled by bidder)</t>
  </si>
  <si>
    <r>
      <t xml:space="preserve">MCB  - </t>
    </r>
    <r>
      <rPr>
        <sz val="11"/>
        <rFont val="Times New Roman"/>
        <family val="1"/>
      </rPr>
      <t>………………………………………………………..</t>
    </r>
  </si>
  <si>
    <r>
      <t xml:space="preserve">RCCB- </t>
    </r>
    <r>
      <rPr>
        <sz val="11"/>
        <rFont val="Times New Roman"/>
        <family val="1"/>
      </rPr>
      <t>………………………………………………………………….</t>
    </r>
  </si>
  <si>
    <r>
      <t xml:space="preserve">MCCB </t>
    </r>
    <r>
      <rPr>
        <sz val="11"/>
        <rFont val="Times New Roman"/>
        <family val="1"/>
      </rPr>
      <t>- ………………………………………………………………….</t>
    </r>
  </si>
  <si>
    <r>
      <t>EFR</t>
    </r>
    <r>
      <rPr>
        <sz val="11"/>
        <rFont val="Times New Roman"/>
        <family val="1"/>
      </rPr>
      <t xml:space="preserve"> - ………………………………………………………………….</t>
    </r>
  </si>
  <si>
    <r>
      <t>PFR</t>
    </r>
    <r>
      <rPr>
        <sz val="11"/>
        <rFont val="Times New Roman"/>
        <family val="1"/>
      </rPr>
      <t xml:space="preserve"> -  ………………………………………………………………….</t>
    </r>
  </si>
  <si>
    <r>
      <t>Power Cables</t>
    </r>
    <r>
      <rPr>
        <sz val="11"/>
        <rFont val="Times New Roman"/>
        <family val="1"/>
      </rPr>
      <t xml:space="preserve"> - …………………………………………………………</t>
    </r>
  </si>
  <si>
    <r>
      <t>SPD</t>
    </r>
    <r>
      <rPr>
        <sz val="11"/>
        <rFont val="Times New Roman"/>
        <family val="1"/>
      </rPr>
      <t xml:space="preserve"> - …………………………………………………………………….</t>
    </r>
  </si>
  <si>
    <r>
      <t>Current Transformers</t>
    </r>
    <r>
      <rPr>
        <sz val="11"/>
        <rFont val="Times New Roman"/>
        <family val="1"/>
      </rPr>
      <t xml:space="preserve"> – ……………………………………………….</t>
    </r>
  </si>
  <si>
    <r>
      <t>Phase Indicators ( LED type)</t>
    </r>
    <r>
      <rPr>
        <sz val="11"/>
        <rFont val="Times New Roman"/>
        <family val="1"/>
      </rPr>
      <t xml:space="preserve"> – ……………………………………….</t>
    </r>
  </si>
  <si>
    <r>
      <t>Distribution Boards</t>
    </r>
    <r>
      <rPr>
        <sz val="11"/>
        <rFont val="Times New Roman"/>
        <family val="1"/>
      </rPr>
      <t xml:space="preserve"> - …………………………………………………..</t>
    </r>
  </si>
  <si>
    <r>
      <t>PVC Conduits and Junction Boxes, Sunk Boxes</t>
    </r>
    <r>
      <rPr>
        <sz val="11"/>
        <rFont val="Times New Roman"/>
        <family val="1"/>
      </rPr>
      <t xml:space="preserve"> –  ………………..</t>
    </r>
  </si>
  <si>
    <r>
      <t xml:space="preserve">Switches </t>
    </r>
    <r>
      <rPr>
        <sz val="11"/>
        <rFont val="Times New Roman"/>
        <family val="1"/>
      </rPr>
      <t>– ……………………………………………………………….</t>
    </r>
  </si>
  <si>
    <r>
      <t xml:space="preserve">Power / Telephone Outlets </t>
    </r>
    <r>
      <rPr>
        <sz val="11"/>
        <rFont val="Times New Roman"/>
        <family val="1"/>
      </rPr>
      <t>– ……………………………………….</t>
    </r>
  </si>
  <si>
    <r>
      <t>Panel Board Power Analyzer / Digital kWh Meter</t>
    </r>
    <r>
      <rPr>
        <sz val="11"/>
        <rFont val="Times New Roman"/>
        <family val="1"/>
      </rPr>
      <t xml:space="preserve"> - ………………………</t>
    </r>
  </si>
  <si>
    <r>
      <t xml:space="preserve">Fire resistant cables - </t>
    </r>
    <r>
      <rPr>
        <sz val="11"/>
        <rFont val="Times New Roman"/>
        <family val="1"/>
      </rPr>
      <t>…………………………………………………..</t>
    </r>
  </si>
  <si>
    <r>
      <t xml:space="preserve">Cable Trays, Trunking and Ladders- </t>
    </r>
    <r>
      <rPr>
        <sz val="11"/>
        <rFont val="Times New Roman"/>
        <family val="1"/>
      </rPr>
      <t>…………………………………..</t>
    </r>
  </si>
  <si>
    <t>This is Measure and pay contract. Bidders are advised to carefully refer and understand all  drawings, specifications and general notes before submission of their quotation and proposal.</t>
  </si>
  <si>
    <t>It’s bidders’ responsibility to refer drawings, relevant specifications and general notes thereby calculate actual quantities.</t>
  </si>
  <si>
    <r>
      <t xml:space="preserve">If any discrepancy identified, bidder should verify the same with client/consultant engineer </t>
    </r>
    <r>
      <rPr>
        <b/>
        <sz val="11"/>
        <rFont val="Times New Roman"/>
        <family val="1"/>
      </rPr>
      <t>before submission</t>
    </r>
    <r>
      <rPr>
        <sz val="11"/>
        <rFont val="Times New Roman"/>
        <family val="1"/>
      </rPr>
      <t xml:space="preserve"> of final quotation and proposal tender.</t>
    </r>
  </si>
  <si>
    <t>Name of the Company: ………………………………………………….</t>
  </si>
  <si>
    <t xml:space="preserve">Name and Signature of Authorized personnel: …………………………………………………. </t>
  </si>
  <si>
    <t>Rubber Stamp: ………………………………….</t>
  </si>
  <si>
    <t>Date: ………….…………………….</t>
  </si>
  <si>
    <r>
      <rPr>
        <b/>
        <sz val="11"/>
        <rFont val="Times New Roman"/>
        <family val="1"/>
      </rPr>
      <t xml:space="preserve">Supply &amp; Installation of ceiling fans- Brand - KDK (model need to be finalized with architect)   </t>
    </r>
    <r>
      <rPr>
        <sz val="11"/>
        <rFont val="Times New Roman"/>
        <family val="1"/>
      </rPr>
      <t xml:space="preserve">                                                                                                                                                                                                                                                                      Supply &amp; Installation of ceiling fan (Diameter-56") and speed regulator with roll plugs, screws, metal hooks (Fan hook need to be passed through the slab and properly  connected) and complete with all other relevant accessories.  (Prime cost is Rs.25,500.00)</t>
    </r>
  </si>
  <si>
    <r>
      <rPr>
        <b/>
        <sz val="11"/>
        <rFont val="Times New Roman"/>
        <family val="1"/>
      </rPr>
      <t xml:space="preserve">Supply &amp; Installation of ceiling fans- Brand - KDK (model need to be finalized with architect)   </t>
    </r>
    <r>
      <rPr>
        <sz val="11"/>
        <rFont val="Times New Roman"/>
        <family val="1"/>
      </rPr>
      <t xml:space="preserve">                                                                                                                                                                                                                                                                      Supply &amp; Installation of ceiling fan (Diameter-56") and speed regulator with roll plugs, screws, metal hooks (Fan hook need to be passed through the slab and properly  connected) and complete with all other relevant accessories. (Prime cost is Rs.25,500.00)</t>
    </r>
  </si>
  <si>
    <t>Supply, Installation, Testing and Commissioning of Lightning Protection System.</t>
  </si>
  <si>
    <t>Proposed Building For Hiroshan Hettiarachchi at Maharagama,</t>
  </si>
  <si>
    <t>BoQ and Specifications for Lightning Protection System.</t>
  </si>
  <si>
    <t>Specifications and General Notes for LPS Installation</t>
  </si>
  <si>
    <t>This is Measure and Pay Contract. All items should be checked, measured and verified with relevant drawings.</t>
  </si>
  <si>
    <t>Contractor must check the actual length @ site, before purchasing and start cable laying/implementation.</t>
  </si>
  <si>
    <t>As this is measure and pay contract, Bidders are advised to carefully refer and understand all  drawings, specifications and general notes before submission of their quotation and proposal.</t>
  </si>
  <si>
    <t>It’s bidders’ responsibility to refer drawings, relevant specifications and general notes thereby check and verify quantities.</t>
  </si>
  <si>
    <t>The Tenderer shall investigate the site conditions for the lightning protection system installation before submitting their quote and ensure that installation shall comply with BS6651 / IEC-62305</t>
  </si>
  <si>
    <t xml:space="preserve">Rates shall include all Preliminary Expenses, Insurances, overheads and Profit. </t>
  </si>
  <si>
    <t>Tenderer shall submit the Country of Manufacture/Make Model of items quoted with their tender submission with Catalogues for Major items.</t>
  </si>
  <si>
    <t>Tenderer shall check the quantities and items specified in the BOQ  and any discrepancies shall be informed to the consulting engineer. Prices for  any of the missing items shall be included in the space provided.</t>
  </si>
  <si>
    <t>Contractor ensure to connect all metal parts at roof top                                                                                                                                                                                                                                  (ex: AC Outdoors, Name Boards, Metal Frames) to copper tape to maintain equipotential bonding.</t>
  </si>
  <si>
    <t>Contractor ensure to keep adequate distance between earth pit and personnel walking area in order to avoid step potential effects.</t>
  </si>
  <si>
    <t>Contractor shall submit, Inspection and Test Certificate from Chartered Electrical Engineer after completion of the installation.</t>
  </si>
  <si>
    <t>RECOMMENDED BRANDS OF ITEMS</t>
  </si>
  <si>
    <t>CU Tape : ACL, Metrod (Malaysia) or equivalent                                                                                                                                                                                                                                                                                                                ( need consultant's approval)</t>
  </si>
  <si>
    <t>DC Clips : Hex or equivalent ( need consultant's approval)</t>
  </si>
  <si>
    <t>Air Terminal : Furse, Metrod (Malaysia), Hex or equivalent                                                                                                                                                                                                                                                                                                                                                                                                                                                                                                                                                                                                                                                                                                                                                                                                                                ( need consultant's approval)</t>
  </si>
  <si>
    <t>Test Box : Imported or locally manufactured upto standards                                                                                                                                                                                                                                                                                                                                                                                                                                                                                                                                                                                                                                                                                                                                                                                                                                   (need consultant's approval)</t>
  </si>
  <si>
    <t>MS Rod : Lanwa or equivalent                                                                                                                                                                                                                                                                                                                                                                                                                                                                                                                                                                                                                                                                                                                                                                                                                                ( need consultant's approval)</t>
  </si>
  <si>
    <t>6</t>
  </si>
  <si>
    <t xml:space="preserve">CU Rod/Plate : ACL,HEX or equivalent                                                                                                                                                                                                                                                                                                                                                                                                           ( need consultant's approval)                                                                                                                                  </t>
  </si>
  <si>
    <t>(For all materials &amp; accessories need to get consultant's approval before proceed.)</t>
  </si>
  <si>
    <t>LIGHTNING PROTECTION SYSTEM</t>
  </si>
  <si>
    <t>Supply and Installation of; 3mm X 25mm copper tape from air terminals upto 16mm MS rod laid inside columns (including ring system at roof ,all horizontally &amp; vertically driven CU tape parts) &amp; Cu tape pieces at test boxes  including DC clips, clamps, screws &amp; complete with all other relevant accessories.</t>
  </si>
  <si>
    <t>Meter</t>
  </si>
  <si>
    <t>Supply and Installation of ; 500mm length cu air terminal on 2m height GI mast at roof top level  including GI base plate,nuts &amp; bolts, stiffeners &amp; complete with all other relevant  accessories.</t>
  </si>
  <si>
    <t>Each mild steel bars and mild steel bars to steel reinforcement shall securely bonded by standard clamps at every 2m length.</t>
  </si>
  <si>
    <t>Supply and Installation of; 16mm dia mild steel bar ring system at ground floor slab that connected all MS rod down conductors together using standardized bonding/clamps including MS rods, clamps &amp; complete with all other relevant accessories.</t>
  </si>
  <si>
    <t xml:space="preserve">Supply and Installation of; 16mm dia mild steel bar ring system at roof terrace slab that connected to all MS rod down conductors together using standardized bonding/clamps including MS rods, clamps &amp; complete with all other relevant accessories. </t>
  </si>
  <si>
    <r>
      <t xml:space="preserve">Supply and Installation of; 16mm dia mild steel bars as down conductors from raft foundation level at ground level upto roof terrace level inside columns. Each mild steel bar shall be securely bonded to reinforcement by standard clamps at every 2m length. </t>
    </r>
    <r>
      <rPr>
        <b/>
        <sz val="11"/>
        <rFont val="Times New Roman"/>
        <family val="1"/>
      </rPr>
      <t xml:space="preserve">MS bars shall be welded properly over 900mm lap length.    </t>
    </r>
  </si>
  <si>
    <t>Supply and Installation of 20mm dia 2400mm length Cu rod buried to a depth of 2400 mm &amp; connected with copper tape using standardized clamps, nut and bolts, c/w Earth inspection pit, all excavation &amp; soil improvement materials.</t>
  </si>
  <si>
    <t>Supply and Installation of Test Clamp (Test Joint) with 2 Nos 12mm dia stainless steel nuts and bolts, Metal enclosure with front cover (with warning mark symbol on front) at ground level &amp; complete with all other relevant accessories.</t>
  </si>
  <si>
    <r>
      <rPr>
        <b/>
        <sz val="11"/>
        <rFont val="Times New Roman"/>
        <family val="1"/>
      </rPr>
      <t xml:space="preserve">Testing &amp; Commissioning; </t>
    </r>
    <r>
      <rPr>
        <sz val="11"/>
        <rFont val="Times New Roman"/>
        <family val="1"/>
      </rPr>
      <t>Total installation shall be tested by the contractor after completion of the work. Also need to  test the earth resistance after installation and shall be less than 10 Ohms (if required need to add soil improvement materials &amp; achieve the recommended earth resistance).Certified test report need to be submitted for the installation.</t>
    </r>
  </si>
  <si>
    <t>Total system should have at least one year warranty period, also need to provide manufacturer's warranty for relevant accessories.</t>
  </si>
  <si>
    <t>As Built drawing</t>
  </si>
  <si>
    <t>Submit of chartered engineer certified as built drawings for total installation.</t>
  </si>
  <si>
    <t>Shop drawing</t>
  </si>
  <si>
    <t>Submit of shop drawings get approval before installation and start relevant works.</t>
  </si>
  <si>
    <t>Provide for any other item/s of  lighting protection system not listed above which in the opinion of Bidder  required as per the Contract for the proper execution and completion of the Works. Bidder to specify the items in adequate details and each item to be priced separately.</t>
  </si>
  <si>
    <t>Total ( without Tax) Rs:</t>
  </si>
  <si>
    <t>Rs</t>
  </si>
  <si>
    <t>Need to mention proposed brands for below items.                             (need to filled by bidder)</t>
  </si>
  <si>
    <r>
      <rPr>
        <b/>
        <sz val="11"/>
        <rFont val="Times New Roman"/>
        <family val="1"/>
      </rPr>
      <t>CU Tape</t>
    </r>
    <r>
      <rPr>
        <sz val="11"/>
        <rFont val="Times New Roman"/>
        <family val="1"/>
      </rPr>
      <t xml:space="preserve">       :- ……………………………………………….   </t>
    </r>
  </si>
  <si>
    <r>
      <rPr>
        <b/>
        <sz val="11"/>
        <rFont val="Times New Roman"/>
        <family val="1"/>
      </rPr>
      <t>CU Rod</t>
    </r>
    <r>
      <rPr>
        <sz val="11"/>
        <rFont val="Times New Roman"/>
        <family val="1"/>
      </rPr>
      <t xml:space="preserve">       :- ……………………………………………….   </t>
    </r>
  </si>
  <si>
    <r>
      <rPr>
        <b/>
        <sz val="11"/>
        <rFont val="Times New Roman"/>
        <family val="1"/>
      </rPr>
      <t xml:space="preserve">DC Clips </t>
    </r>
    <r>
      <rPr>
        <sz val="11"/>
        <rFont val="Times New Roman"/>
        <family val="1"/>
      </rPr>
      <t xml:space="preserve">      :- ……………………………………………….  </t>
    </r>
  </si>
  <si>
    <r>
      <rPr>
        <b/>
        <sz val="11"/>
        <rFont val="Times New Roman"/>
        <family val="1"/>
      </rPr>
      <t>Air Terminal</t>
    </r>
    <r>
      <rPr>
        <sz val="11"/>
        <rFont val="Times New Roman"/>
        <family val="1"/>
      </rPr>
      <t xml:space="preserve"> :- ……………………………………………….  </t>
    </r>
  </si>
  <si>
    <r>
      <rPr>
        <b/>
        <sz val="11"/>
        <rFont val="Times New Roman"/>
        <family val="1"/>
      </rPr>
      <t>Test Box</t>
    </r>
    <r>
      <rPr>
        <sz val="11"/>
        <rFont val="Times New Roman"/>
        <family val="1"/>
      </rPr>
      <t xml:space="preserve">       :- ……………………………………………….  </t>
    </r>
  </si>
  <si>
    <r>
      <rPr>
        <b/>
        <sz val="11"/>
        <rFont val="Times New Roman"/>
        <family val="1"/>
      </rPr>
      <t>MS Rod</t>
    </r>
    <r>
      <rPr>
        <sz val="11"/>
        <rFont val="Times New Roman"/>
        <family val="1"/>
      </rPr>
      <t xml:space="preserve">      :- ……………………………………………….  </t>
    </r>
  </si>
  <si>
    <t>AMOUNT</t>
  </si>
  <si>
    <t xml:space="preserve">Supply, Installation, Testing and Commissioning of CCTV System </t>
  </si>
  <si>
    <t xml:space="preserve">BoQ and Specifications for CCTV System </t>
  </si>
  <si>
    <t>This Bills of Quantities shall be read in conjunction with all the other Bid Documents. All such provisions shall be included in rates and prices as applicable.</t>
  </si>
  <si>
    <t>This is a Measure &amp; Pay Contract. All items should be checked, measured and verified with relevant drawings.</t>
  </si>
  <si>
    <t>Contractor must read the specifications, general notes given and submit the quotation accordingly.</t>
  </si>
  <si>
    <t>As this is a Measure &amp; Pay Contract, Bidders are advised to carefully refer and understand all  drawings, specifications and general notes before submission of their quotation and proposal.</t>
  </si>
  <si>
    <t>Contractor must submit shop drawings and get approval before start fabrication and installation.</t>
  </si>
  <si>
    <t>Contractor must submit brands and specifications of all items and get approval before start fabrication and installation.</t>
  </si>
  <si>
    <t>Recommended Brands of Items</t>
  </si>
  <si>
    <t>Camera-Hikvision,Dahua  or equivalent ( need consultant's approval)</t>
  </si>
  <si>
    <t>NVR-Hikvision,Dahua  or equivalent ( need consultant's approval)</t>
  </si>
  <si>
    <t>Cables (Cat 6) - Schneider (France)  or equivalent                                                                                                                                                                                                                                                                      ( need consultant's approval)</t>
  </si>
  <si>
    <t>POE Switch - Schneider (France)  or equivalent                                                                                                                                                                                                             ( need consultant's approval)</t>
  </si>
  <si>
    <t>LED Monitor / TV-HP,Dell,Samsung,Panasonic or equivalent                                                                                                                                                                                                                                                                                                             ( need consultant's approval)</t>
  </si>
  <si>
    <t>Storage Device-Seagate, Western Digital (WD) or equivalent                                                                                                                                                                                                                                                                                                             ( need consultant's approval)</t>
  </si>
  <si>
    <t>Conduits / Junction Boxes / Sunk Boxes - National, Slon, Polychrome or equivalent (need consultant's approval)</t>
  </si>
  <si>
    <t>UPS-APC,DCP or equivalent                                                                                                                                                                                                                                                                                                             ( need consultant's approval)</t>
  </si>
  <si>
    <t>U Rack - EMP or equivalent ( need consultant's approval)</t>
  </si>
  <si>
    <t>Supply and Installation, Testing and Commissioning of CCTV System</t>
  </si>
  <si>
    <t>Supply and installation of 3MP IP (at least 30m) HD resolution POE indoor camera with DWDR, Day/Night (ICR), 3DNR, AWB, AGC, BLC and c/w all other relevant accessories.                                                                                                                                                   (Need to submit all technical details of the camera with bid document)</t>
  </si>
  <si>
    <t>Supply and installation of 3MP IP (at least 30m) HD resolution POE outdoor camera with DWDR, Day/Night (ICR), 3DNR, AWB, AGC, BLC and c/w all other relevant accessories.                                                                                                                                                   (Need to submit all technical details of the camera with bid document)</t>
  </si>
  <si>
    <r>
      <t>Supply and installation of 3MP IP (at least 30m) HD resolution POE indoor camera with DWDR, Day/Night (ICR), 3DNR, AWB, AGC, BLC and c/w all other relevant accessories (inside passenger lifts).</t>
    </r>
    <r>
      <rPr>
        <b/>
        <sz val="11"/>
        <rFont val="Times New Roman"/>
        <family val="1"/>
      </rPr>
      <t xml:space="preserve">This shall be included under lift contractor's scope as per client's interest if required. In such case, this item shall be omitted from CCTV contractor's scope.                   </t>
    </r>
    <r>
      <rPr>
        <sz val="11"/>
        <rFont val="Times New Roman"/>
        <family val="1"/>
      </rPr>
      <t xml:space="preserve">                                                                                                                                (Need to submit all technical details of the camera with bid document)</t>
    </r>
  </si>
  <si>
    <r>
      <t>Supply and installation of NVR system (01 No 24Ch NVRs) &amp; complete with all other relevant accessories.</t>
    </r>
    <r>
      <rPr>
        <b/>
        <sz val="11"/>
        <rFont val="Times New Roman"/>
        <family val="1"/>
      </rPr>
      <t xml:space="preserve"> </t>
    </r>
    <r>
      <rPr>
        <sz val="11"/>
        <rFont val="Times New Roman"/>
        <family val="1"/>
      </rPr>
      <t xml:space="preserve">Also provision should be included in the NVR system for connecting a link to provide monitoring facility at a remote location proposed by the client if required.       </t>
    </r>
    <r>
      <rPr>
        <b/>
        <sz val="11"/>
        <rFont val="Times New Roman"/>
        <family val="1"/>
      </rPr>
      <t xml:space="preserve">                   </t>
    </r>
    <r>
      <rPr>
        <sz val="11"/>
        <rFont val="Times New Roman"/>
        <family val="1"/>
      </rPr>
      <t xml:space="preserve">                                                                           (Need to mention relevant no of  NVR units &amp; respective channels per each unit if any deviations required in the given system as per contractor's interest) </t>
    </r>
  </si>
  <si>
    <t>Supply and installation of storage facility for 01 month (at least).              (Need to mention proposed storage capacity &amp; HDD qty. to satisfy this requirement)</t>
  </si>
  <si>
    <t>Supply and installation of LED Full HD 24 inch Monitor/TV with  mounting brackets at reception area &amp; CCTV room @ first floor  and complete with all other relevant accessories.                                                                                                             ( Monitor size &amp; quantity can be varied as per client requirement)</t>
  </si>
  <si>
    <t>Supply &amp; installation of wall mounted type 5U metal rack (with toughened glass front lockable door) as main CCTV rack @ panel room in first floor   including mounting brackets,nut &amp; bolts &amp; complete with all other relevant accessories.</t>
  </si>
  <si>
    <t>Supply and installation of 24 Port POE switch inside main CCTV rack @ IT room, including POE switch, patch panels, patch chords (if required)  and complete with all other relevant accessories.</t>
  </si>
  <si>
    <t>Supply and installation of CCTV camera point wiring with Cat 6 UTP cables through slab &amp; wall in PVC conduits including connectors,PVC conduits, junction boxes, sunk boxes &amp; complete with all other relevant accessories. Need to consider all camera point wiring &amp; backbone wiring for switches from main CCTV rack.(actual length can be varied as per site conditions &amp; breakdown of items need to be submitted with bid document)</t>
  </si>
  <si>
    <t xml:space="preserve">Supply and installation of Cat 6 UTP cables for display units from main CCTV rack through slab &amp; wall in PVC conduits including connectors,decoders,PVC conduits, junction boxes, sunk boxes &amp; complete with all other relevant accessories. </t>
  </si>
  <si>
    <t>Testing and commissioning of the system; Need to submit the certified test certificate, Testing of every CCTV outlet shall be done using cable tester. Contractor shall ensure clarity of Video. Test results report shall be submitted by the contractor.                                                                                                                                                               (contractor need to ensure the video quality expected by client / consultant after completion of works).</t>
  </si>
  <si>
    <t>Total system should have at least 2 years of minimum warranty period. If any deviation, please mention</t>
  </si>
  <si>
    <t>Need to include annual maintenance agreement after the warranty period, Including cost for 5 years (Excluding spare parts cost).</t>
  </si>
  <si>
    <t>Provide for any other item/s of CCTV System not listed above which in the opinion of bidder required as per the contract for the proper execution and completion of the Works. Bidder need to specify the items in adequate details and each item to be priced separately.</t>
  </si>
  <si>
    <t>Bidder need to mention proposed brands for below items/accessories along with the bid document.</t>
  </si>
  <si>
    <t>Indoor Camera -</t>
  </si>
  <si>
    <t>Outdoor Camera -</t>
  </si>
  <si>
    <t>NVR -</t>
  </si>
  <si>
    <t xml:space="preserve">Cables (Cat 6) - </t>
  </si>
  <si>
    <t xml:space="preserve">POE Switch - </t>
  </si>
  <si>
    <t>LED Monitor / TV -</t>
  </si>
  <si>
    <t>Storage Device -</t>
  </si>
  <si>
    <t xml:space="preserve">Conduits / Junction Boxes / Sunk Boxes - </t>
  </si>
  <si>
    <t>UPS -</t>
  </si>
  <si>
    <t>U Rack -</t>
  </si>
  <si>
    <r>
      <t>This is measure and pay contract.</t>
    </r>
    <r>
      <rPr>
        <sz val="11"/>
        <rFont val="Times New Roman"/>
        <family val="1"/>
      </rPr>
      <t xml:space="preserve"> Bidders are advised to carefully refer and understand all  drawings, specifications and general notes before submission of their quotation and proposal.</t>
    </r>
  </si>
  <si>
    <t>It’s bidder's responsibility to refer drawings, relevant specifications and general notes thereby calculate actual quantities.</t>
  </si>
  <si>
    <r>
      <t xml:space="preserve">If any discrepancy identified, bidder should verify the same with client/consultant engineer </t>
    </r>
    <r>
      <rPr>
        <b/>
        <sz val="11"/>
        <rFont val="Times New Roman"/>
        <family val="1"/>
      </rPr>
      <t>before submission</t>
    </r>
    <r>
      <rPr>
        <sz val="11"/>
        <rFont val="Times New Roman"/>
        <family val="1"/>
      </rPr>
      <t xml:space="preserve"> of final quotation and proposal.</t>
    </r>
  </si>
  <si>
    <t xml:space="preserve">RATE </t>
  </si>
  <si>
    <t xml:space="preserve">AMOUNT </t>
  </si>
  <si>
    <t>CCTV SYSTEM</t>
  </si>
  <si>
    <t>Supply, Installation, Testing and Commissioning of Telephone System.</t>
  </si>
  <si>
    <t>BoQ and Specifications for Telephone System.</t>
  </si>
  <si>
    <t>TELEPHONE SYSTEM</t>
  </si>
  <si>
    <t>Specifications &amp; General Notes for  Telephone System.</t>
  </si>
  <si>
    <t>Bidders are advised to carefully refer and understand all drawings, specifications and general notes before submission of their quotation and proposal.</t>
  </si>
  <si>
    <t>It’s bidders’ responsibility to refer drawings, relevant specifications and general notes, thereby check and verify quantities.</t>
  </si>
  <si>
    <t xml:space="preserve"> Bidder need to follow all relevant standards &amp; regulations as per IEEE Network Standards for all accessories &amp; equipment used. </t>
  </si>
  <si>
    <r>
      <rPr>
        <b/>
        <sz val="11"/>
        <color theme="1"/>
        <rFont val="Times New Roman"/>
        <family val="1"/>
      </rPr>
      <t>Cables (2 pair, Cat-3)</t>
    </r>
    <r>
      <rPr>
        <sz val="11"/>
        <color theme="1"/>
        <rFont val="Times New Roman"/>
        <family val="1"/>
      </rPr>
      <t xml:space="preserve"> – Schneider, ACL or equivalent (need consultant's approval)</t>
    </r>
  </si>
  <si>
    <r>
      <rPr>
        <b/>
        <sz val="11"/>
        <color theme="1"/>
        <rFont val="Times New Roman"/>
        <family val="1"/>
      </rPr>
      <t>Telephone Outlet</t>
    </r>
    <r>
      <rPr>
        <sz val="11"/>
        <color theme="1"/>
        <rFont val="Times New Roman"/>
        <family val="1"/>
      </rPr>
      <t xml:space="preserve"> - Orange or equivalent (need consultant's approval)</t>
    </r>
  </si>
  <si>
    <r>
      <rPr>
        <b/>
        <sz val="11"/>
        <color theme="1"/>
        <rFont val="Times New Roman"/>
        <family val="1"/>
      </rPr>
      <t>Conduits, sunk boxes, junction boxes</t>
    </r>
    <r>
      <rPr>
        <sz val="11"/>
        <color theme="1"/>
        <rFont val="Times New Roman"/>
        <family val="1"/>
      </rPr>
      <t xml:space="preserve"> -  National, Slon, Polychrome or equivalent (need consultant's approval)</t>
    </r>
  </si>
  <si>
    <r>
      <rPr>
        <b/>
        <sz val="11"/>
        <color theme="1"/>
        <rFont val="Times New Roman"/>
        <family val="1"/>
      </rPr>
      <t>Distribution Module</t>
    </r>
    <r>
      <rPr>
        <sz val="11"/>
        <color theme="1"/>
        <rFont val="Times New Roman"/>
        <family val="1"/>
      </rPr>
      <t xml:space="preserve"> - Imported or local brand manufactured up to standards (need consultant's approval)</t>
    </r>
  </si>
  <si>
    <r>
      <t>PABX-</t>
    </r>
    <r>
      <rPr>
        <sz val="11"/>
        <rFont val="Times New Roman"/>
        <family val="1"/>
      </rPr>
      <t>NEC or equivalent (need consultant's approval)</t>
    </r>
  </si>
  <si>
    <r>
      <t>Metal Enclosure-</t>
    </r>
    <r>
      <rPr>
        <sz val="11"/>
        <rFont val="Times New Roman"/>
        <family val="1"/>
      </rPr>
      <t xml:space="preserve">EMP,PUBUDU or equivalent                                       (need consultant's approval) </t>
    </r>
  </si>
  <si>
    <t>Supply and Installation, Testing and Commissioning of Telephone System.</t>
  </si>
  <si>
    <t>Supply and installation of PABX unit (18 Extensions) in Reception at first floor, including signal &amp; communication modules,connectors,controllers, &amp; etc,wall mounted type metal enclosure with front lockable door, mounting brackets and complete with all other relevant accessories. (breakdown of accessories need to be mentioned in the bid document)</t>
  </si>
  <si>
    <t>Supply &amp; installation of master telephone unit (of PABX system) at reception counter (first floor) &amp; complete with all other relevant accessories.</t>
  </si>
  <si>
    <t xml:space="preserve">Supply and installation of Telephone Distribution Point (connection module) inside the ELV duct at 2nd floor &amp; 3rd floor including DP module, mounting brackets &amp; complete with all other relevant accessories. </t>
  </si>
  <si>
    <r>
      <t xml:space="preserve">Supply and installation of 16 pair 0.5mm^2 telephone cable set from PABX to </t>
    </r>
    <r>
      <rPr>
        <b/>
        <sz val="11"/>
        <rFont val="Times New Roman"/>
        <family val="1"/>
      </rPr>
      <t>DP point at 2nd floor</t>
    </r>
    <r>
      <rPr>
        <sz val="11"/>
        <rFont val="Times New Roman"/>
        <family val="1"/>
      </rPr>
      <t xml:space="preserve"> through cable ELV cable tray including cable ties, flexible conduits and complete with all other relevant accessories.</t>
    </r>
  </si>
  <si>
    <r>
      <t xml:space="preserve">Supply and installation of 16 pair 0.5mm^2 telephone cable set from PABX to </t>
    </r>
    <r>
      <rPr>
        <b/>
        <sz val="11"/>
        <rFont val="Times New Roman"/>
        <family val="1"/>
      </rPr>
      <t>DP point at 3rd floor</t>
    </r>
    <r>
      <rPr>
        <sz val="11"/>
        <rFont val="Times New Roman"/>
        <family val="1"/>
      </rPr>
      <t xml:space="preserve"> through cable ELV cable tray including cable ties, flexible conduits and complete with all other relevant accessories.</t>
    </r>
  </si>
  <si>
    <t>Supply and installation of telephone points, point wiring with 2 pair 0.5mm^2 telephone cables from Distribution Point / PABX at relevant floors to 15nos telephone points in the building in PVC conduits through slab &amp; wall including PVC conduits, junction boxes, sunk box, telephone outlet and complete with all other relevant accessories.</t>
  </si>
  <si>
    <r>
      <rPr>
        <b/>
        <sz val="11"/>
        <color theme="1"/>
        <rFont val="Times New Roman"/>
        <family val="1"/>
      </rPr>
      <t>Testing and commissioning of the system</t>
    </r>
    <r>
      <rPr>
        <sz val="11"/>
        <color theme="1"/>
        <rFont val="Times New Roman"/>
        <family val="1"/>
      </rPr>
      <t xml:space="preserve"> : Testing of every telephone outlet by using cable tester. Contractor shall ensure clarity of Voice. Chartered Engineer certified test result report shall be submitted by the contractor.</t>
    </r>
  </si>
  <si>
    <t>Total system should have at least 2 years of minimum warranty period, in addition need to provide manufacturer's warranty for all accessories. If any deviations, please mention</t>
  </si>
  <si>
    <t>Provide for any other item/s of  TP System not listed above which in the opinion of bidder required as per the contract for the proper execution and completion of the Works. Bidder need to specify the items in adequate details and each item to be priced separately.</t>
  </si>
  <si>
    <t>Bidder need to mention proposed brands for below items in the tender proposal.</t>
  </si>
  <si>
    <r>
      <rPr>
        <b/>
        <sz val="11"/>
        <color theme="1"/>
        <rFont val="Times New Roman"/>
        <family val="1"/>
      </rPr>
      <t>Cables (2 pair, Cat-3)</t>
    </r>
    <r>
      <rPr>
        <sz val="11"/>
        <color theme="1"/>
        <rFont val="Times New Roman"/>
        <family val="1"/>
      </rPr>
      <t xml:space="preserve"> – ………………………………………….</t>
    </r>
  </si>
  <si>
    <r>
      <rPr>
        <b/>
        <sz val="11"/>
        <color theme="1"/>
        <rFont val="Times New Roman"/>
        <family val="1"/>
      </rPr>
      <t>Telephone Outlet</t>
    </r>
    <r>
      <rPr>
        <sz val="11"/>
        <color theme="1"/>
        <rFont val="Times New Roman"/>
        <family val="1"/>
      </rPr>
      <t xml:space="preserve"> - ………………………………………………</t>
    </r>
  </si>
  <si>
    <r>
      <rPr>
        <b/>
        <sz val="11"/>
        <color theme="1"/>
        <rFont val="Times New Roman"/>
        <family val="1"/>
      </rPr>
      <t>Conduits, sunk boxes, junction boxes</t>
    </r>
    <r>
      <rPr>
        <sz val="11"/>
        <color theme="1"/>
        <rFont val="Times New Roman"/>
        <family val="1"/>
      </rPr>
      <t xml:space="preserve"> - …………………………..</t>
    </r>
  </si>
  <si>
    <r>
      <rPr>
        <b/>
        <sz val="11"/>
        <color theme="1"/>
        <rFont val="Times New Roman"/>
        <family val="1"/>
      </rPr>
      <t>Distribution Module</t>
    </r>
    <r>
      <rPr>
        <sz val="11"/>
        <color theme="1"/>
        <rFont val="Times New Roman"/>
        <family val="1"/>
      </rPr>
      <t xml:space="preserve"> - ……………………………………………..</t>
    </r>
  </si>
  <si>
    <r>
      <rPr>
        <b/>
        <sz val="11"/>
        <color theme="1"/>
        <rFont val="Times New Roman"/>
        <family val="1"/>
      </rPr>
      <t>Metal Enclosure</t>
    </r>
    <r>
      <rPr>
        <sz val="11"/>
        <color theme="1"/>
        <rFont val="Times New Roman"/>
        <family val="1"/>
      </rPr>
      <t xml:space="preserve"> – ………………………………………………………</t>
    </r>
  </si>
  <si>
    <r>
      <t xml:space="preserve">This is Measure and pay contract. </t>
    </r>
    <r>
      <rPr>
        <sz val="11"/>
        <rFont val="Times New Roman"/>
        <family val="1"/>
      </rPr>
      <t>Bidders are advised to carefully refer and understand all  drawings, specifications and general notes before submission of their quotation and proposal.</t>
    </r>
  </si>
  <si>
    <t>tender.</t>
  </si>
  <si>
    <t xml:space="preserve">ADD 15% VAT </t>
  </si>
  <si>
    <t>Second  Floor</t>
  </si>
  <si>
    <t>Ground Floor to First Floor</t>
  </si>
  <si>
    <t>First  Floor to Second Floor</t>
  </si>
  <si>
    <t>In First  Floor</t>
  </si>
  <si>
    <t>Second Floor to Third Floor</t>
  </si>
  <si>
    <t>Supply and fix Chromium plated 1/2" dia. 12" long flexible horse of  "Rocell" brand or approved equivalent. (Prime cost of the Chromium plated 1/2" dia. 12" long flexible horse is Rs. 2,500.00)</t>
  </si>
  <si>
    <t>Allow lump sum for constructing, maintaining, dismantling and removal on completion of the Works, a temporary office,stores and workshop with toilet,elecricity facility in conformity with the plans provided for Engineer's requirements, including furniture and fittings, furnishing, sanitary facilities necessary and other facilities.</t>
  </si>
  <si>
    <t xml:space="preserve">Glazed wall tiling of size 300mm x 600mm approved colour, supplying and fixing to walls on a 1:3 cement sand mortar layer, and pointed with tile grout to match the tile. (Prime Cost of
tile Rs.600.00 per sqft)
</t>
  </si>
  <si>
    <t xml:space="preserve">Homogeneous Porcelain  glazed non slip floor tile 600mm x 600mm paving on 1:3 cement &amp; sand bedding with suitable adhesives and pointed with tile grout to match the tile. (Prime Cost of tile Rs.600.00 per sqft)
</t>
  </si>
  <si>
    <t xml:space="preserve">Homogeneous Porcelain  glazed floor tile 900mm x 900mm paving on 1:3 cement &amp; sand bedding with suitable adhesives and pointed with tile grout to match the tile. (Prime Cost of tile Rs.600.00 per sqft)
</t>
  </si>
  <si>
    <t xml:space="preserve">Homogeneous Porcelain semi - glazed/matt wash room floor tile 300mm x 600mm paving on 1:3 cement &amp; sand bedding and pointed with tile grout to match the tile.(Prime Cost of tile Rs.600.00 per sqft)
</t>
  </si>
  <si>
    <t xml:space="preserve">Homogeneous Porcelain  glazed non slip floor tile 600mm x 600mm(Balcony or Terrace) paving on 1:3 cement &amp; sand bedding with suitable adhesives and pointed with tile grout to match the tile. (Prime Cost of tile Rs.600.00 per sqft)
</t>
  </si>
  <si>
    <t xml:space="preserve">Homogeneous matt floor tile 150mm x 900mm paving on 1:3 cement &amp; sand bedding with suitable adhesives and pointed with tile grout to match the tile. (Prime Cost of tile Rs.600.00 per sqft) for staircase
</t>
  </si>
  <si>
    <t xml:space="preserve">Third Floor to Roof Slab </t>
  </si>
  <si>
    <t>Ground Floor,First Floor,Second Floor, Third Floor</t>
  </si>
  <si>
    <t>Supplying of pendent light fittings Type 01-(Prime cost is Rs.35,000.00)</t>
  </si>
  <si>
    <t>Supplying of pendent light fittings Type 02-(Prime cost is Rs.35,000.00)</t>
  </si>
  <si>
    <t>Supplying of pendent light fittings Type 03-(Prime cost is Rs.35,000.00)</t>
  </si>
  <si>
    <t xml:space="preserve">Inner diameter of 100mm Ceiling/slab mounted down light complete with 18w LED lamp. (Prime cost is Rs.3,000.00) </t>
  </si>
  <si>
    <t>Supplying of pendent light fittings Type 05-(Prime cost is Rs.75,000.00)</t>
  </si>
  <si>
    <t>Supplying of pendent light fittings Type 06-(Prime cost is Rs.85,000.00)</t>
  </si>
  <si>
    <t>Supplying of pendent light fittings Type 07-(Prime cost is Rs.35,000.00)</t>
  </si>
  <si>
    <t>Supplying of pendent light fittings Type 08-(Prime cost is Rs.70,000.00)</t>
  </si>
  <si>
    <t>BILLS OF QUANTITIES</t>
  </si>
  <si>
    <t>*+</t>
  </si>
  <si>
    <t>Water tank slab/Roof Slab</t>
  </si>
  <si>
    <t>Plastering 5/8" thick to reveals in second floor in cement and sand 1:5 finished semi-rough in Second floor. Rate includes cost of "Febmix"as a workability enhancer.</t>
  </si>
  <si>
    <t>Plastering 5/8" thick to reveals in third floor in cement and sand 1:5 finished semi-rough in third floor. Rate includes cost of "Febmix"as a workability enhancer.</t>
  </si>
  <si>
    <t>Plastering 5/8" thick to reveals in roof floor in cement and sand 1:5 finished semi-rough in Fourth  floor. Rate includes cost of "Febmix"as a workability enhancer.</t>
  </si>
  <si>
    <t>Plastering 5/8" thick to reveals in second floor in cement and  sand 1:5 finished smooth with two coats of skim coat in Second floor. Rate includes cost of "Febmix"as a workability enhancer.</t>
  </si>
  <si>
    <t>Plastering 5/8" thick to reveals in third floor in cement and  sand 1:5 finished smooth with two coats of skim coat in Third floor. Rate includes cost of "Febmix"as a workability enhancer.</t>
  </si>
  <si>
    <t>ROOF FLOOR</t>
  </si>
  <si>
    <t>LED 12w  Outdoor type wall bracket lamp  fitting.-  (Prime cost is Rs.3,500.00)</t>
  </si>
  <si>
    <t>4" thick cement sand Cellular block wall (blocks confirming to S.L.S. 855  and subject to the approval of sample blocks) in cement and sand mortar 1:5 in Roof FLoor.</t>
  </si>
  <si>
    <t>Vertical solid walls, 112.5mm thick.</t>
  </si>
  <si>
    <t>Brick work in cement and sand 1:8 in Roof  floor level.( 4 1/2"" thick brick work)</t>
  </si>
  <si>
    <t>Roof Floor</t>
  </si>
  <si>
    <t xml:space="preserve">Homogeneous matt floor tile 150mm x 1200mm paving on 1:3 cement &amp; sand bedding with suitable adhesives and pointed with tile grout to match the tile. (Prime Cost of tile Rs.600.00 per sqft) 
</t>
  </si>
  <si>
    <t xml:space="preserve">Supplying of gravel </t>
  </si>
  <si>
    <t>Supplying and installation of floor carpet as per the design (pc sum is Rs. 900.00 per sqft)</t>
  </si>
  <si>
    <t xml:space="preserve">Supply and laying of 4" high timber skirting 
</t>
  </si>
  <si>
    <t>Pipe Works/Manhole/ Septic Tanks</t>
  </si>
  <si>
    <t>Supplying and installation of ceiling fan with all fittings (Pc sum is Rs. 50,000.00)</t>
  </si>
  <si>
    <t>Staircase handr/Balcony rail as per the design</t>
  </si>
  <si>
    <t>In Reinforced beam at roof floor level</t>
  </si>
  <si>
    <t>sl2</t>
  </si>
  <si>
    <t>6" thick cement sand Cellular block wall (blocks confirming to S.L.S. 855  and subject to the approval of sample blocks) in cement and sand mortar 1:5 in ground floor.</t>
  </si>
  <si>
    <t>6" thick cement sand Cellular block wall (blocks confirming to S.L.S. 855  and subject to the approval of sample blocks) in cement and sand mortar 1:5 in first floor.</t>
  </si>
  <si>
    <t>sl3</t>
  </si>
  <si>
    <t>sl4</t>
  </si>
  <si>
    <t>4" thick cement sand Cellular block wall (blocks confirming to S.L.S. 855  and subject to the approval of sample blocks) in cement and sand mortar 1:5 in roof FLoor.</t>
  </si>
  <si>
    <t>Water Tank  Floor</t>
  </si>
  <si>
    <t>Water Tank Slab</t>
  </si>
  <si>
    <t>Supplying and applying of Titanium flooring, rate to include to necessasry leveling screed</t>
  </si>
  <si>
    <t xml:space="preserve">Supply and laying of 4" high timber skirting including 
</t>
  </si>
  <si>
    <t>Supplying and laying of Trated Timber Kumbuk flooring for pool deck area, rate to include to necessasry leveling screed and raised fllor if necessasry</t>
  </si>
  <si>
    <t>Application of two coats of elastomeric water proofing material using thoroseal or approved equivalnt capable to withstand temperature variation for wet areas exposed to sunlight and weathering. ( balconies, sun-shades, concrete gutters etc.) rate shall include for cleaning the substrate and all other work as per manufacturer's specifications on application and shall include ponding test for a 300mm water height kept for a period of 48 hours for horizontal surfaces and cement sand finished with neat finish smooth rendering</t>
  </si>
  <si>
    <t>LED 6w  Mirror lamp  fitting.-  (Prime cost is Rs.5,500.00)</t>
  </si>
  <si>
    <t>Supplying of Wall Bracket  light fittings -(Prime cost is Rs.6,000.00)</t>
  </si>
  <si>
    <t>Supplying of pendent light fittings Type 06-(Prime cost is Rs.55,000.00)</t>
  </si>
  <si>
    <t>Supplying of Spot light fittings -(Prime cost is Rs.105,000.00)</t>
  </si>
  <si>
    <r>
      <t xml:space="preserve">Window type </t>
    </r>
    <r>
      <rPr>
        <b/>
        <sz val="11"/>
        <rFont val="Times New Roman"/>
        <family val="1"/>
      </rPr>
      <t xml:space="preserve">FG5 </t>
    </r>
    <r>
      <rPr>
        <sz val="11"/>
        <rFont val="Times New Roman"/>
        <family val="1"/>
      </rPr>
      <t>, size 2925mmX2400mm  tempored fixed glaed complete with all necessary ironmongeries and complete as per thedetail drawings.</t>
    </r>
  </si>
  <si>
    <r>
      <t xml:space="preserve">Window type </t>
    </r>
    <r>
      <rPr>
        <b/>
        <sz val="11"/>
        <rFont val="Times New Roman"/>
        <family val="1"/>
      </rPr>
      <t xml:space="preserve">FG6 </t>
    </r>
    <r>
      <rPr>
        <sz val="11"/>
        <rFont val="Times New Roman"/>
        <family val="1"/>
      </rPr>
      <t>, size 2175mmX2400mm  tempored fixed glaed complete with all necessary ironmongeries and complete as per thedetail drawings.</t>
    </r>
  </si>
  <si>
    <r>
      <t xml:space="preserve">Window type </t>
    </r>
    <r>
      <rPr>
        <b/>
        <sz val="11"/>
        <rFont val="Times New Roman"/>
        <family val="1"/>
      </rPr>
      <t xml:space="preserve">FG7 </t>
    </r>
    <r>
      <rPr>
        <sz val="11"/>
        <rFont val="Times New Roman"/>
        <family val="1"/>
      </rPr>
      <t>, size 3800mmX2400mm  tempored fixed glaed complete with all necessary ironmongeries and complete as per thedetail drawings.</t>
    </r>
  </si>
  <si>
    <t>Allow Sum for Steel Staircases</t>
  </si>
  <si>
    <t>In Reinforced slab at Water tank floor level</t>
  </si>
  <si>
    <t>RD- Supplying and fixing of Roller door with Mortor, size is 3900mmx2800mm</t>
  </si>
  <si>
    <t>Wicket Gate</t>
  </si>
  <si>
    <t>Supplying and erection of steel wicket gate, size is 900mmx2800mm</t>
  </si>
  <si>
    <t>sl5</t>
  </si>
  <si>
    <t>Brick work in cement and sand 1:5 in super Structure in ground floor.  ( 9" thick brick work)</t>
  </si>
  <si>
    <t>Brick work in cement and sand 1:5 in First floor level.(9" thick brick work)</t>
  </si>
  <si>
    <t>Brick work in cement and sand 1:5 in Second floor level.(9" thick brick work)</t>
  </si>
  <si>
    <t>Brick work in cement and sand 1:5 in super Structure in ground floor.  ( 4 1/2"" thick brick work)</t>
  </si>
  <si>
    <t>Brick work in cement and sand 1:5 in First floor level( 4 1/2"" thick brick work)</t>
  </si>
  <si>
    <t>Brick work in cement and sand 1:5 in Second floor level.(( 4 1/2"" thick brick work)</t>
  </si>
  <si>
    <t>sl7</t>
  </si>
  <si>
    <t>sl6</t>
  </si>
  <si>
    <t>Application of cementitious water proofing using Barralastic or approved equivalnt for internal wet areas such as toilet floors and walls (Walls Up to 1.50m) where the surfaces are not directly exposed to sunlight and weathering. Rate shall include to  cleaning the substrate and 1:3 cement sand bedding and all other work as per manufacturer's specifications on application and shall include ponding test for a 300mm water height kept for a period of 48 hours for horizontal surfaces.</t>
  </si>
  <si>
    <t>ex revels</t>
  </si>
  <si>
    <t>slab paint</t>
  </si>
  <si>
    <t>SUB TOTAL III</t>
  </si>
  <si>
    <t xml:space="preserve">SUB TOTAL-II-CARRIED TO FORM OF BID  </t>
  </si>
  <si>
    <t>Supply and fix white vitreous china (vc) floor standing wash basin and  pedestal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and pedestal is Rs.20,185.00) for servant bathroom</t>
  </si>
  <si>
    <t>Supply and fix white vitreous china (vc) floor standing close coupled semi .  back to wall water closet suite with wash down flushing with 6/3 liters dual flushing has horizontal outlet with vario drain bend and two lateral holes for bottom water connection , P trap, cistern with water inlet from rear of "Rocell" brand or approved equivalent complete to working order inclusive of universal bend of "Rocell" brand. (Prime cost of the water closet, tank and seat cover is Rs.30,000.00) for Servant bathroom</t>
  </si>
  <si>
    <t>Supply and fix chromium plated Bidet Spray of "Rocell" brand or . approved equivalent. (Prime cost of the chromium plated Bidet Spray is Rs. 5,000.00)</t>
  </si>
  <si>
    <t>Supply and fix chromium plated Bidet Spray of "Rocell" brand or . approved equivalent. (Prime cost of the chromium plated Bidet Spray is Rs. 3,000.00)</t>
  </si>
  <si>
    <t>Supply and fix Chromium plated Bip tap of of "Rocell" brand or approved  equivalent. (Prime cost of the Chromium plated Bip tap is Rs. 5,000.00)</t>
  </si>
  <si>
    <t>Supply and fix chromium plated Towel Ring of "Rocell" brand or . approved equivalent. (Prime cost of the chromium plated Towel Ring is Rs. 3,500.00)</t>
  </si>
  <si>
    <t>MDB/DB</t>
  </si>
  <si>
    <t>Supplying and applying of vinyl flooring, rate to include to necessasry leveling screed</t>
  </si>
  <si>
    <t>Supplying of turfing as per the design</t>
  </si>
  <si>
    <t>Supplying and applying of rubber carpet flooring, rate to include to necessasry leveling screed</t>
  </si>
  <si>
    <t>Supplying and applying of  carpet flooring, rate to include to necessasry leveling screed</t>
  </si>
  <si>
    <t xml:space="preserve">150mmX150mm Ceiling/slab mounted down light complete with 18w LED lamp. (Prime cost is Rs.6,000.00) </t>
  </si>
  <si>
    <t>Supplying of Wall Bracket  light fittings -(Prime cost is Rs.6,500.00)</t>
  </si>
  <si>
    <t>Supplying of floor  light fittings -(Prime cost is Rs.6,500.00)</t>
  </si>
  <si>
    <t>Supplying fabrication and erection of roof, rate to include to roof structure, roof plumbing work and roof covering work and finished as per the detail drawings and design</t>
  </si>
  <si>
    <t>roof</t>
  </si>
  <si>
    <t>c1a</t>
  </si>
  <si>
    <t>c9a</t>
  </si>
  <si>
    <t>f4</t>
  </si>
  <si>
    <t>Qurry Dust Filling</t>
  </si>
  <si>
    <t xml:space="preserve">Supplying and compaction of   qurry dust compaction of earth including watering and compaction in 225mm thick layers with proctor density, using  machine rammer/roller vibrator, rate to include to compaction maching charges and other nessasary related work  </t>
  </si>
  <si>
    <t>qurry dust filling</t>
  </si>
  <si>
    <t>stub concrete</t>
  </si>
  <si>
    <t>plinth beam concrete</t>
  </si>
  <si>
    <t>floor conctete</t>
  </si>
  <si>
    <t>beam concrete</t>
  </si>
  <si>
    <t>b1</t>
  </si>
  <si>
    <t>b2</t>
  </si>
  <si>
    <t>b3</t>
  </si>
  <si>
    <t>b4</t>
  </si>
  <si>
    <t>b5</t>
  </si>
  <si>
    <t>b6</t>
  </si>
  <si>
    <t>b7</t>
  </si>
  <si>
    <t>b8</t>
  </si>
  <si>
    <t>b9</t>
  </si>
  <si>
    <t>b10</t>
  </si>
  <si>
    <t>b11</t>
  </si>
  <si>
    <t>b12</t>
  </si>
  <si>
    <t>b13</t>
  </si>
  <si>
    <t>b14</t>
  </si>
  <si>
    <t>b15</t>
  </si>
  <si>
    <t>b16</t>
  </si>
  <si>
    <t>b17</t>
  </si>
  <si>
    <t>b18</t>
  </si>
  <si>
    <t>b19</t>
  </si>
  <si>
    <t>b20</t>
  </si>
  <si>
    <t>b11a</t>
  </si>
  <si>
    <t>b15a</t>
  </si>
  <si>
    <t>beam fw</t>
  </si>
  <si>
    <t>second floor beam concrete</t>
  </si>
  <si>
    <t>b21</t>
  </si>
  <si>
    <t>b22</t>
  </si>
  <si>
    <t>b23</t>
  </si>
  <si>
    <t>b24</t>
  </si>
  <si>
    <t>b25</t>
  </si>
  <si>
    <t>b26</t>
  </si>
  <si>
    <t>b27</t>
  </si>
  <si>
    <t>b28</t>
  </si>
  <si>
    <t>b29</t>
  </si>
  <si>
    <t>b30</t>
  </si>
  <si>
    <t>b31</t>
  </si>
  <si>
    <t>b41</t>
  </si>
  <si>
    <t>b42</t>
  </si>
  <si>
    <t>b43</t>
  </si>
  <si>
    <t>b44</t>
  </si>
  <si>
    <t>b45</t>
  </si>
  <si>
    <t>b46</t>
  </si>
  <si>
    <t>b44a</t>
  </si>
  <si>
    <t>b47</t>
  </si>
  <si>
    <t>b48</t>
  </si>
  <si>
    <t>b49</t>
  </si>
  <si>
    <t>base fw</t>
  </si>
  <si>
    <t>Column Stub</t>
  </si>
  <si>
    <t>stub fw</t>
  </si>
  <si>
    <t>pb fw</t>
  </si>
  <si>
    <t>column fw</t>
  </si>
  <si>
    <t>ff slab concrete</t>
  </si>
  <si>
    <t>slab fw</t>
  </si>
  <si>
    <t>sf slab concrete</t>
  </si>
  <si>
    <t>pb concrete</t>
  </si>
  <si>
    <t>base rf</t>
  </si>
  <si>
    <t>in Column Stub</t>
  </si>
  <si>
    <t>stub rf</t>
  </si>
  <si>
    <t>strip</t>
  </si>
  <si>
    <t>column rf</t>
  </si>
  <si>
    <t>ff slab rf</t>
  </si>
  <si>
    <t>beam rf</t>
  </si>
  <si>
    <t>roof slab</t>
  </si>
  <si>
    <t>rrm masonry work</t>
  </si>
  <si>
    <t xml:space="preserve">CONSTRUCTION OF PROPOSED RESIDENT PROJECT                                   FOR MR.ROLF AT HIKKADUWA. </t>
  </si>
  <si>
    <t>CONSTRUCTION OF PROPOSED RESIDENT PROJECT                                   FOR MR.ROLF AT HIKKADUWA.</t>
  </si>
  <si>
    <t>225mm brick wall</t>
  </si>
  <si>
    <t>fd1</t>
  </si>
  <si>
    <t>fg5</t>
  </si>
  <si>
    <t>fg4</t>
  </si>
  <si>
    <t>fd2</t>
  </si>
  <si>
    <t>Brick work in cement and sand 1:8 in Water tank floor level.(9" thick brick work)</t>
  </si>
  <si>
    <t>112.5mm brick wall</t>
  </si>
  <si>
    <t>polythene</t>
  </si>
  <si>
    <t>water tank rendering</t>
  </si>
  <si>
    <t>WATER PROOF</t>
  </si>
  <si>
    <t>terrace waterprrof</t>
  </si>
  <si>
    <t>In Water Tank Floor</t>
  </si>
  <si>
    <t>INTERNAL PALSTER</t>
  </si>
  <si>
    <t>in Water Tank level</t>
  </si>
  <si>
    <t>Supply and fix white vitreous china (vc) floor standing Vanity wash basin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is Rs.50,000.00)</t>
  </si>
  <si>
    <t>Supply and fix white vitreous china (vc) floor standing close coupled semi .  back to wall water closet suite with wash down flushing with 6/3 liters dual flushing has horizontal outlet with vario drain bend and two lateral holes for bottom water connection , P trap, cistern with water inlet from rear of "Rocell" brand or approved equivalent complete to working order inclusive of universal bend of "Rocell" brand. (Prime cost of the water closet, tank and seat cover is Rs.65,000.00)</t>
  </si>
  <si>
    <t>wal tile</t>
  </si>
  <si>
    <t>600x1200 floor tile</t>
  </si>
  <si>
    <t>skrting</t>
  </si>
  <si>
    <t>600x600 floor tile</t>
  </si>
  <si>
    <t>templestone</t>
  </si>
  <si>
    <r>
      <rPr>
        <b/>
        <sz val="11"/>
        <rFont val="Times New Roman"/>
        <family val="1"/>
      </rPr>
      <t xml:space="preserve">FF2- </t>
    </r>
    <r>
      <rPr>
        <sz val="11"/>
        <rFont val="Times New Roman"/>
        <family val="1"/>
      </rPr>
      <t xml:space="preserve">Homogeneous Porcelain  glazed non slip ceramic gloss floor tile 600mm x 1200mm non slip floor tie paving on 1:3 cement &amp; sand bedding with suitable adhesives and pointed with tile grout to match the tile. (Prime Cost of tile Rs.600.00 per sqft)
</t>
    </r>
  </si>
  <si>
    <r>
      <rPr>
        <b/>
        <sz val="11"/>
        <rFont val="Times New Roman"/>
        <family val="1"/>
      </rPr>
      <t xml:space="preserve">FF3- </t>
    </r>
    <r>
      <rPr>
        <sz val="11"/>
        <rFont val="Times New Roman"/>
        <family val="1"/>
      </rPr>
      <t xml:space="preserve">Homogeneous Porcelain  glazed floor tile 600mm x 600mm paving on 1:3 cement &amp; sand bedding with suitable adhesives and pointed with tile grout to match the tile. (Prime Cost of tile Rs.600.00 per sqft)
</t>
    </r>
  </si>
  <si>
    <r>
      <rPr>
        <b/>
        <sz val="11"/>
        <rFont val="Times New Roman"/>
        <family val="1"/>
      </rPr>
      <t>FF6-</t>
    </r>
    <r>
      <rPr>
        <sz val="11"/>
        <rFont val="Times New Roman"/>
        <family val="1"/>
      </rPr>
      <t xml:space="preserve"> Homogeneous Porcelain semi - glazed/matt wash room floor tile 300mm x 600mm paving on 1:3 cement &amp; sand bedding and pointed with tile grout to match the tile.(Prime Cost of tile Rs.600.00 per sqft)
</t>
    </r>
  </si>
  <si>
    <r>
      <rPr>
        <b/>
        <sz val="11"/>
        <rFont val="Times New Roman"/>
        <family val="1"/>
      </rPr>
      <t>FF5-</t>
    </r>
    <r>
      <rPr>
        <sz val="11"/>
        <rFont val="Times New Roman"/>
        <family val="1"/>
      </rPr>
      <t xml:space="preserve"> Homogeneous  floor tile 600mm x 600mm paving on 1:3 cement &amp; sand bedding with suitable adhesives and pointed with tile grout to match the tile. (Prime Cost of tile Rs.600.00 per sqft) 
</t>
    </r>
  </si>
  <si>
    <t>ff5- 600x600mm semi rough</t>
  </si>
  <si>
    <t xml:space="preserve"> </t>
  </si>
  <si>
    <r>
      <rPr>
        <b/>
        <sz val="11"/>
        <rFont val="Times New Roman"/>
        <family val="1"/>
      </rPr>
      <t xml:space="preserve">FF4- </t>
    </r>
    <r>
      <rPr>
        <sz val="11"/>
        <rFont val="Times New Roman"/>
        <family val="1"/>
      </rPr>
      <t xml:space="preserve">Homogeneous semi rough floor tile 600mm x 1600mm non slip floor tie paving on 1:3 cement &amp; sand bedding with suitable adhesives and pointed with tile grout to match the tile. (Prime Cost of tile Rs.600.00 per sqft)
</t>
    </r>
  </si>
  <si>
    <t>ff4</t>
  </si>
  <si>
    <r>
      <rPr>
        <b/>
        <sz val="11"/>
        <rFont val="Times New Roman"/>
        <family val="1"/>
      </rPr>
      <t>FF7-</t>
    </r>
    <r>
      <rPr>
        <sz val="11"/>
        <rFont val="Times New Roman"/>
        <family val="1"/>
      </rPr>
      <t xml:space="preserve"> Homogeneous Porcelain rough floor tile 600mm x 600mm paving on 1:3 cement &amp; sand bedding and pointed with tile grout to match the tile.(Prime Cost of tile Rs.600.00 per sqft)
</t>
    </r>
  </si>
  <si>
    <t>ff7</t>
  </si>
  <si>
    <t>ff2</t>
  </si>
  <si>
    <t>ff3</t>
  </si>
  <si>
    <r>
      <rPr>
        <b/>
        <sz val="11"/>
        <rFont val="Times New Roman"/>
        <family val="1"/>
      </rPr>
      <t xml:space="preserve">FF8- </t>
    </r>
    <r>
      <rPr>
        <sz val="11"/>
        <rFont val="Times New Roman"/>
        <family val="1"/>
      </rPr>
      <t>Supplying and laying of 25mm thk teak timber flooring for master bedroom area, rate to include to necessasry leveling screed and finished as specified</t>
    </r>
  </si>
  <si>
    <t>ff8</t>
  </si>
  <si>
    <t>FF7</t>
  </si>
  <si>
    <t>carpet</t>
  </si>
  <si>
    <t>gym rubber</t>
  </si>
  <si>
    <r>
      <t xml:space="preserve">Door type </t>
    </r>
    <r>
      <rPr>
        <b/>
        <sz val="11"/>
        <rFont val="Times New Roman"/>
        <family val="1"/>
      </rPr>
      <t>D1</t>
    </r>
    <r>
      <rPr>
        <sz val="11"/>
        <rFont val="Times New Roman"/>
        <family val="1"/>
      </rPr>
      <t xml:space="preserve"> size 1500mm x 2700mm class I teak timber solid door  per the detail drawings with all necessary iron mongaries</t>
    </r>
  </si>
  <si>
    <r>
      <t xml:space="preserve">Door type </t>
    </r>
    <r>
      <rPr>
        <b/>
        <sz val="11"/>
        <rFont val="Times New Roman"/>
        <family val="1"/>
      </rPr>
      <t>D2</t>
    </r>
    <r>
      <rPr>
        <sz val="11"/>
        <rFont val="Times New Roman"/>
        <family val="1"/>
      </rPr>
      <t xml:space="preserve"> size 1000mm x 2700mm class I teak timber solid door  per the detail drawings with all necessary iron mongaries</t>
    </r>
  </si>
  <si>
    <r>
      <t xml:space="preserve">Door type </t>
    </r>
    <r>
      <rPr>
        <b/>
        <sz val="11"/>
        <rFont val="Times New Roman"/>
        <family val="1"/>
      </rPr>
      <t>D3</t>
    </r>
    <r>
      <rPr>
        <sz val="11"/>
        <rFont val="Times New Roman"/>
        <family val="1"/>
      </rPr>
      <t xml:space="preserve"> size 900mm x 2700mm class I teak timber solid door  per the detail drawings with all necessary iron mongaries</t>
    </r>
  </si>
  <si>
    <r>
      <t xml:space="preserve">Door type </t>
    </r>
    <r>
      <rPr>
        <b/>
        <sz val="11"/>
        <rFont val="Times New Roman"/>
        <family val="1"/>
      </rPr>
      <t>D4</t>
    </r>
    <r>
      <rPr>
        <sz val="11"/>
        <rFont val="Times New Roman"/>
        <family val="1"/>
      </rPr>
      <t xml:space="preserve"> size 1000mm x 2700mm class I teak timber solid door  per the detail drawings with all necessary iron mongaries</t>
    </r>
  </si>
  <si>
    <r>
      <t xml:space="preserve">Door type </t>
    </r>
    <r>
      <rPr>
        <b/>
        <sz val="11"/>
        <rFont val="Times New Roman"/>
        <family val="1"/>
      </rPr>
      <t>D5</t>
    </r>
    <r>
      <rPr>
        <sz val="11"/>
        <rFont val="Times New Roman"/>
        <family val="1"/>
      </rPr>
      <t xml:space="preserve"> size 800mm x 2400mm class I teak timber solid door  per the detail drawings with all necessary iron mongaries</t>
    </r>
  </si>
  <si>
    <r>
      <t xml:space="preserve">Door type </t>
    </r>
    <r>
      <rPr>
        <b/>
        <sz val="11"/>
        <rFont val="Times New Roman"/>
        <family val="1"/>
      </rPr>
      <t>D6</t>
    </r>
    <r>
      <rPr>
        <sz val="11"/>
        <rFont val="Times New Roman"/>
        <family val="1"/>
      </rPr>
      <t xml:space="preserve"> size 2200mm x 2700mm class I teak timber solid door  per the detail drawings with all necessary iron mongaries</t>
    </r>
  </si>
  <si>
    <r>
      <t xml:space="preserve">Door type </t>
    </r>
    <r>
      <rPr>
        <b/>
        <sz val="11"/>
        <rFont val="Times New Roman"/>
        <family val="1"/>
      </rPr>
      <t>FD1</t>
    </r>
    <r>
      <rPr>
        <sz val="11"/>
        <rFont val="Times New Roman"/>
        <family val="1"/>
      </rPr>
      <t xml:space="preserve"> size 2200mm x 2700mm class I teak timber solid folding door  per the detail drawings with all necessary iron mongaries</t>
    </r>
  </si>
  <si>
    <r>
      <t xml:space="preserve">Door type </t>
    </r>
    <r>
      <rPr>
        <b/>
        <sz val="11"/>
        <rFont val="Times New Roman"/>
        <family val="1"/>
      </rPr>
      <t>FD2</t>
    </r>
    <r>
      <rPr>
        <sz val="11"/>
        <rFont val="Times New Roman"/>
        <family val="1"/>
      </rPr>
      <t xml:space="preserve"> size 4300mm x 2700mm class I teak timber solid folding door  per the detail drawings with all necessary iron mongaries</t>
    </r>
  </si>
  <si>
    <r>
      <t xml:space="preserve">Window type </t>
    </r>
    <r>
      <rPr>
        <b/>
        <sz val="11"/>
        <rFont val="Times New Roman"/>
        <family val="1"/>
      </rPr>
      <t>W1</t>
    </r>
    <r>
      <rPr>
        <sz val="11"/>
        <rFont val="Times New Roman"/>
        <family val="1"/>
      </rPr>
      <t xml:space="preserve"> size 1650mm x 1800mm class I teak timber Framed Glazed window  per the detail drawings with all necessary iron mongaries</t>
    </r>
  </si>
  <si>
    <r>
      <t xml:space="preserve">Window type </t>
    </r>
    <r>
      <rPr>
        <b/>
        <sz val="11"/>
        <rFont val="Times New Roman"/>
        <family val="1"/>
      </rPr>
      <t xml:space="preserve">FG1 </t>
    </r>
    <r>
      <rPr>
        <sz val="11"/>
        <rFont val="Times New Roman"/>
        <family val="1"/>
      </rPr>
      <t>, size 1775mmX2700mm class I teak timber framed   tempored fixed glaed complete with all necessary ironmongeries and complete as per thedetail drawings.</t>
    </r>
  </si>
  <si>
    <r>
      <t xml:space="preserve">Window type </t>
    </r>
    <r>
      <rPr>
        <b/>
        <sz val="11"/>
        <rFont val="Times New Roman"/>
        <family val="1"/>
      </rPr>
      <t xml:space="preserve">FG2 </t>
    </r>
    <r>
      <rPr>
        <sz val="11"/>
        <rFont val="Times New Roman"/>
        <family val="1"/>
      </rPr>
      <t>, size 3300mmX2700mm class I teak timber framed   tempored fixed glaed complete with all necessary ironmongeries and complete as per thedetail drawings.</t>
    </r>
  </si>
  <si>
    <r>
      <t xml:space="preserve">Window type </t>
    </r>
    <r>
      <rPr>
        <b/>
        <sz val="11"/>
        <rFont val="Times New Roman"/>
        <family val="1"/>
      </rPr>
      <t xml:space="preserve">FG3 </t>
    </r>
    <r>
      <rPr>
        <sz val="11"/>
        <rFont val="Times New Roman"/>
        <family val="1"/>
      </rPr>
      <t>, size 4040mmX2700mm class I teak timber framed   tempored fixed glaed complete with all necessary ironmongeries and complete as per thedetail drawings.</t>
    </r>
  </si>
  <si>
    <r>
      <t xml:space="preserve">Window type </t>
    </r>
    <r>
      <rPr>
        <b/>
        <sz val="11"/>
        <rFont val="Times New Roman"/>
        <family val="1"/>
      </rPr>
      <t xml:space="preserve">FG4 </t>
    </r>
    <r>
      <rPr>
        <sz val="11"/>
        <rFont val="Times New Roman"/>
        <family val="1"/>
      </rPr>
      <t>, size 2000mmX2700mm class I teak timber framed   tempored fixed glaed complete with all necessary ironmongeries and complete as per thedetail drawings.</t>
    </r>
  </si>
  <si>
    <r>
      <t xml:space="preserve">Window type </t>
    </r>
    <r>
      <rPr>
        <b/>
        <sz val="11"/>
        <rFont val="Times New Roman"/>
        <family val="1"/>
      </rPr>
      <t xml:space="preserve">FG5 </t>
    </r>
    <r>
      <rPr>
        <sz val="11"/>
        <rFont val="Times New Roman"/>
        <family val="1"/>
      </rPr>
      <t>, size 800mmX2700mm class I teak timber framed   tempored fixed glaed complete with all necessary ironmongeries and complete as per thedetail drawings.</t>
    </r>
  </si>
  <si>
    <r>
      <t xml:space="preserve">Window type </t>
    </r>
    <r>
      <rPr>
        <b/>
        <sz val="11"/>
        <rFont val="Times New Roman"/>
        <family val="1"/>
      </rPr>
      <t xml:space="preserve">SL1 </t>
    </r>
    <r>
      <rPr>
        <sz val="11"/>
        <rFont val="Times New Roman"/>
        <family val="1"/>
      </rPr>
      <t>, size 2900mmX2700mm class I teak timber framed  glazed sliding window complete with all necessary ironmongeries and complete as per thedetail drawings.</t>
    </r>
  </si>
  <si>
    <r>
      <t xml:space="preserve">Window type </t>
    </r>
    <r>
      <rPr>
        <b/>
        <sz val="11"/>
        <rFont val="Times New Roman"/>
        <family val="1"/>
      </rPr>
      <t xml:space="preserve">SL2 </t>
    </r>
    <r>
      <rPr>
        <sz val="11"/>
        <rFont val="Times New Roman"/>
        <family val="1"/>
      </rPr>
      <t>, size 4400mmX2700mm class I teak timber framed  glazed sliding window complete with all necessary ironmongeries and complete as per thedetail drawings.</t>
    </r>
  </si>
  <si>
    <r>
      <t xml:space="preserve">Window type </t>
    </r>
    <r>
      <rPr>
        <b/>
        <sz val="11"/>
        <rFont val="Times New Roman"/>
        <family val="1"/>
      </rPr>
      <t xml:space="preserve">SL3 </t>
    </r>
    <r>
      <rPr>
        <sz val="11"/>
        <rFont val="Times New Roman"/>
        <family val="1"/>
      </rPr>
      <t>, size 4875mmX2700mm class I teak timber framed  glazed sliding window complete with all necessary ironmongeries and complete as per thedetail drawings.</t>
    </r>
  </si>
  <si>
    <r>
      <t xml:space="preserve">Window type </t>
    </r>
    <r>
      <rPr>
        <b/>
        <sz val="11"/>
        <rFont val="Times New Roman"/>
        <family val="1"/>
      </rPr>
      <t xml:space="preserve">SL4 </t>
    </r>
    <r>
      <rPr>
        <sz val="11"/>
        <rFont val="Times New Roman"/>
        <family val="1"/>
      </rPr>
      <t>, size 4100mmX2700mm class I teak timber framed  glazed sliding window complete with all necessary ironmongeries and complete as per thedetail drawings.</t>
    </r>
  </si>
  <si>
    <r>
      <t xml:space="preserve">Window type </t>
    </r>
    <r>
      <rPr>
        <b/>
        <sz val="11"/>
        <rFont val="Times New Roman"/>
        <family val="1"/>
      </rPr>
      <t xml:space="preserve">SL5 </t>
    </r>
    <r>
      <rPr>
        <sz val="11"/>
        <rFont val="Times New Roman"/>
        <family val="1"/>
      </rPr>
      <t>, size 2000mmX2700mm class I teak timber framed  glazed sliding window complete with all necessary ironmongeries and complete as per thedetail drawings.</t>
    </r>
  </si>
  <si>
    <r>
      <t xml:space="preserve">Window type </t>
    </r>
    <r>
      <rPr>
        <b/>
        <sz val="11"/>
        <rFont val="Times New Roman"/>
        <family val="1"/>
      </rPr>
      <t xml:space="preserve">SL7 </t>
    </r>
    <r>
      <rPr>
        <sz val="11"/>
        <rFont val="Times New Roman"/>
        <family val="1"/>
      </rPr>
      <t>, size 1700mmX2700mm class I teak timber framed  glazed sliding window complete with all necessary ironmongeries and complete as per thedetail drawings.</t>
    </r>
  </si>
  <si>
    <r>
      <t xml:space="preserve">Window type </t>
    </r>
    <r>
      <rPr>
        <b/>
        <sz val="11"/>
        <rFont val="Times New Roman"/>
        <family val="1"/>
      </rPr>
      <t xml:space="preserve">SL6 </t>
    </r>
    <r>
      <rPr>
        <sz val="11"/>
        <rFont val="Times New Roman"/>
        <family val="1"/>
      </rPr>
      <t>, size 3375mmX2700mm class I teak timber framed  glazed sliding window complete with all necessary ironmongeries and complete as per thedetail drawings.</t>
    </r>
  </si>
  <si>
    <r>
      <t xml:space="preserve">Fanlight type </t>
    </r>
    <r>
      <rPr>
        <b/>
        <sz val="11"/>
        <rFont val="Times New Roman"/>
        <family val="1"/>
      </rPr>
      <t>FL1</t>
    </r>
    <r>
      <rPr>
        <sz val="11"/>
        <rFont val="Times New Roman"/>
        <family val="1"/>
      </rPr>
      <t xml:space="preserve"> , size 1500mmX1500mm   high overall size class I teak timber framed glased anlight, complete with all necessary ironmongeries.</t>
    </r>
  </si>
  <si>
    <t xml:space="preserve">Inner diameter of 150mm dia Ceiling/slab mounted down light complete with 18w LED lamp. (Prime cost is Rs.6,000.00) </t>
  </si>
  <si>
    <t>Supplying and installation of ceiling fan KDK with all fittings (Pc sum is Rs. 50,000.00)</t>
  </si>
  <si>
    <t>Supplying of Wall mounted outdoor  light fittings -(Prime cost is Rs.6,500.00)</t>
  </si>
  <si>
    <t>Supplying of pendent light fittings Type 01-(Prime cost is Rs.55,000.00)</t>
  </si>
  <si>
    <t>Supplying of pendent light fittings Type 02-(Prime cost is Rs.45,000.00)</t>
  </si>
  <si>
    <r>
      <t>NOTE:</t>
    </r>
    <r>
      <rPr>
        <i/>
        <sz val="14"/>
        <rFont val="Times New Roman"/>
        <family val="1"/>
      </rPr>
      <t xml:space="preserve"> - price exclude to excavation (excavation, dry earth filling, back filing) work, random rubble masonry work and concrete ( concrete, formwork,reinforcement)work</t>
    </r>
  </si>
  <si>
    <t xml:space="preserve">Site Clearing &amp; Removing top soil </t>
  </si>
  <si>
    <t>Per 1 Sqr</t>
  </si>
  <si>
    <t>Decription</t>
  </si>
  <si>
    <t xml:space="preserve">Unit </t>
  </si>
  <si>
    <t xml:space="preserve">Rate </t>
  </si>
  <si>
    <t>Total</t>
  </si>
  <si>
    <t>Labour</t>
  </si>
  <si>
    <t>Un/Skilled</t>
  </si>
  <si>
    <t>Total Labour Cost</t>
  </si>
  <si>
    <t>Basic Cost per 10 Sqr</t>
  </si>
  <si>
    <t>Basic Cost per 1 sqr</t>
  </si>
  <si>
    <t>Basic Cost per 1m2</t>
  </si>
  <si>
    <t>Excavation for foundations depth not exceeding 1.5m (Manual Excavation)</t>
  </si>
  <si>
    <t>Per 1 Cube</t>
  </si>
  <si>
    <t>Sub Contractor's Rate</t>
  </si>
  <si>
    <t>Basic Cost per 1 Cube</t>
  </si>
  <si>
    <r>
      <t>Basic Cost per 1 m</t>
    </r>
    <r>
      <rPr>
        <b/>
        <vertAlign val="superscript"/>
        <sz val="11"/>
        <color theme="1"/>
        <rFont val="Arial Narrow"/>
        <family val="2"/>
      </rPr>
      <t>3</t>
    </r>
  </si>
  <si>
    <t>Earth Filling (Excavated material)</t>
  </si>
  <si>
    <t>Consider 12 Cubes</t>
  </si>
  <si>
    <t>Material</t>
  </si>
  <si>
    <t>Total Material Cost</t>
  </si>
  <si>
    <t>Un/Skilled Labour for levelling &amp; Compaction</t>
  </si>
  <si>
    <t>Days</t>
  </si>
  <si>
    <t>Sub contractor's rate for earth filling</t>
  </si>
  <si>
    <t>Plant &amp; Machinery</t>
  </si>
  <si>
    <t>Jumping Compactor</t>
  </si>
  <si>
    <t>hr</t>
  </si>
  <si>
    <t>Total Plant &amp; Machinery Cost</t>
  </si>
  <si>
    <t>Basic Cost per 12 Cube</t>
  </si>
  <si>
    <t>Imported Soil Filling</t>
  </si>
  <si>
    <t>Cost of Imported Soil Transport to Site</t>
  </si>
  <si>
    <t>35% of Additional Soil for Compaction</t>
  </si>
  <si>
    <t>JCB with Operator</t>
  </si>
  <si>
    <t>Dam Proof Membrane ; Gauge 1000 Polythene</t>
  </si>
  <si>
    <t>Gauge 1000 polythene</t>
  </si>
  <si>
    <t>Laying</t>
  </si>
  <si>
    <t>Basic Cost per 1 Sqr</t>
  </si>
  <si>
    <t>Basic Cost per 1 m2</t>
  </si>
  <si>
    <t>Basic Cost per 1 ft2</t>
  </si>
  <si>
    <t>CONCRETE WORKS</t>
  </si>
  <si>
    <t>Cement Bag cost delivered to Site</t>
  </si>
  <si>
    <t>Cement Bag (50kg)</t>
  </si>
  <si>
    <t>Bag</t>
  </si>
  <si>
    <t xml:space="preserve">Loading &amp; Unloading Cost (1hr Un/Sk Labour per 1 Ton) </t>
  </si>
  <si>
    <t>Transport Cost (Miximum 20km range)</t>
  </si>
  <si>
    <t>Turn</t>
  </si>
  <si>
    <t>Total Cost per 50 Cement bags</t>
  </si>
  <si>
    <t>Total Cost per 1nr  Cement bag delivered to Site</t>
  </si>
  <si>
    <t>Grade 15 Insitu Concrete 1: 3 : 6</t>
  </si>
  <si>
    <t>Sand</t>
  </si>
  <si>
    <t>3/4"Metal</t>
  </si>
  <si>
    <t>Concrete Mixer</t>
  </si>
  <si>
    <t>Poker Vibrator</t>
  </si>
  <si>
    <t>Grade 20 Insitu Concrete 1: 2 : 4</t>
  </si>
  <si>
    <t>Basic Cost per 1 Cube - Ground to 1st Floor</t>
  </si>
  <si>
    <t>Basic Cost per 1 Cube - 1st Floor to 2nd Floor</t>
  </si>
  <si>
    <t>Basic Cost per 1 Cube - 2nd Floor to 3rd Floor</t>
  </si>
  <si>
    <t>Grade 25 Insitu Concrete 1:1 1/2 : 3</t>
  </si>
  <si>
    <t>Metal</t>
  </si>
  <si>
    <t xml:space="preserve">2"thk.  Screed Concrete;  Grade 15 Insitu Concrete 1: 3 : 6 </t>
  </si>
  <si>
    <t>Concrete (Material Cost Only)</t>
  </si>
  <si>
    <t>Wastage 5%</t>
  </si>
  <si>
    <t>Sub Contractor's Rate for Placing</t>
  </si>
  <si>
    <t xml:space="preserve">3"thk.  Screed Concrete;  Grade 20 Insitu Concrete 1: 2 : 4 </t>
  </si>
  <si>
    <t xml:space="preserve">3"thk. Floor Concrete with BRC A142 mesh;  Grade 20 Insitu Concrete 1: 2 : 4 </t>
  </si>
  <si>
    <t>Wastage for Concrete 10%</t>
  </si>
  <si>
    <t>BRC A142 mesh</t>
  </si>
  <si>
    <t>LINTELS, STIFFENER COLUMNS</t>
  </si>
  <si>
    <t>100 x 100 mm Lintels in Grade 25 insitu Concrete 1 : 1 1/2 : 3</t>
  </si>
  <si>
    <t>Per 10m</t>
  </si>
  <si>
    <t>Cement</t>
  </si>
  <si>
    <t>Bags</t>
  </si>
  <si>
    <t>R/F</t>
  </si>
  <si>
    <t>Sub Contractor's Rate with Form work</t>
  </si>
  <si>
    <t>Basic Cost per 10m</t>
  </si>
  <si>
    <t>Basic Cost per 1m</t>
  </si>
  <si>
    <t>Basic Cost per 1 L.ft</t>
  </si>
  <si>
    <t>150 x 150 mm Lintels in Grade 25 insitu Concrete 1 : 1 1/2 : 3</t>
  </si>
  <si>
    <t>225 x 150 mm Lintels in Grade 25 insitu Concrete 1 : 1 1/2 : 3</t>
  </si>
  <si>
    <t>Length</t>
  </si>
  <si>
    <t>Breadth</t>
  </si>
  <si>
    <t xml:space="preserve">Depth </t>
  </si>
  <si>
    <t>225 x 225 mm Lintels in Grade 25 insitu Concrete 1 : 1 1/2 : 3</t>
  </si>
  <si>
    <t>R/F cost delivered to Site</t>
  </si>
  <si>
    <t>Price per Ton</t>
  </si>
  <si>
    <t>Ton</t>
  </si>
  <si>
    <t>Total Cost per 1 Ton of R/F Delivered to Site</t>
  </si>
  <si>
    <t>Total Cost per 1 Cwt R/F Delivered to Site</t>
  </si>
  <si>
    <t>Total Cost per 1 Kg R/F Delivered to Site</t>
  </si>
  <si>
    <t xml:space="preserve">R/F </t>
  </si>
  <si>
    <t>Per 1 Cwt</t>
  </si>
  <si>
    <t>Mild Steel/Tor Steel Delivered to Site</t>
  </si>
  <si>
    <t>Cwt</t>
  </si>
  <si>
    <t>Wastage 10%</t>
  </si>
  <si>
    <t xml:space="preserve">Binding wire </t>
  </si>
  <si>
    <t xml:space="preserve">Add 1.5% from steel cost to shapers or chairs </t>
  </si>
  <si>
    <t>Add 4% for Cover Blocks</t>
  </si>
  <si>
    <t>Basic Cost per 1 Cwt</t>
  </si>
  <si>
    <t>Basic Cost per 1 Ton</t>
  </si>
  <si>
    <t>Basic Cost per 1 Kg</t>
  </si>
  <si>
    <t>WATERPROOFING</t>
  </si>
  <si>
    <t>Baralastic water proofing work</t>
  </si>
  <si>
    <t xml:space="preserve">Per 38.75 Sqft </t>
  </si>
  <si>
    <t>12mm thk. Levelling screed</t>
  </si>
  <si>
    <t>bag</t>
  </si>
  <si>
    <t>cu</t>
  </si>
  <si>
    <t>Non shrink grout</t>
  </si>
  <si>
    <t>Masterseal 540</t>
  </si>
  <si>
    <t xml:space="preserve">Transport Cost </t>
  </si>
  <si>
    <t>Sub Contractor's waterproofing Rate with material</t>
  </si>
  <si>
    <t>Sub Contractor's Angle filet Rate with material</t>
  </si>
  <si>
    <t>ft</t>
  </si>
  <si>
    <t>Basic Cost per 38.75 ft2</t>
  </si>
  <si>
    <t>MASONRY WORK</t>
  </si>
  <si>
    <t xml:space="preserve">Random Rubble Masonry </t>
  </si>
  <si>
    <t xml:space="preserve"> 6" x 9" Rubble</t>
  </si>
  <si>
    <t>ft3</t>
  </si>
  <si>
    <t>Basic Cost per 1 m3</t>
  </si>
  <si>
    <t>225 mm thk. Brick Wall (Brick Size 212.5mm x 100mm x 50mm)</t>
  </si>
  <si>
    <t>Bricks (Brick Size 212.5mm x 100mm x 50mm)</t>
  </si>
  <si>
    <t>Add; 5% for Scaffoldings</t>
  </si>
  <si>
    <t>150 mm thk. Brick Wall (Brick Size 212.5mm x 150mm x 75mm)</t>
  </si>
  <si>
    <t>Materials</t>
  </si>
  <si>
    <t>Bricks (Brick Size 212.5mm x 150mm x 75mm)</t>
  </si>
  <si>
    <t>112 mm thk. Brick Wall (Brick Size 212.5mm x 100mm x 50mm)</t>
  </si>
  <si>
    <t>BLOCK WORK</t>
  </si>
  <si>
    <t>100mm thk. Block  Wall (Block Size 390mm x 190mm x 100mm)</t>
  </si>
  <si>
    <t>Blocks(Block Size 390mm x 190mm x 100mm)</t>
  </si>
  <si>
    <t>Plinth Plastering in 1:5 Cement Sand mortar</t>
  </si>
  <si>
    <t>Add; 3% for Tools</t>
  </si>
  <si>
    <t xml:space="preserve">Add; 5% for Scaffoldings  </t>
  </si>
  <si>
    <t>16mm thk. Internal Plastering in 1:5 Cement Sand mortar</t>
  </si>
  <si>
    <t>Finex Motar Plus (Plasticiser)</t>
  </si>
  <si>
    <t>Ltr</t>
  </si>
  <si>
    <t>Chicken mesh</t>
  </si>
  <si>
    <t>20mm thk. External Plastering  in 1:5 Cement Sand motar (with Scaffolding work)</t>
  </si>
  <si>
    <t>20mm thk. External Plastering  in 1:5 Cement Sand motar (Moulding work)</t>
  </si>
  <si>
    <t>16mm thk. Column &amp; Beam Plastering in 1:5 Cement Sand mortar</t>
  </si>
  <si>
    <t>FLOOR FINISHES</t>
  </si>
  <si>
    <t xml:space="preserve">18mm thk. Floor Rendering in 1:3 Cement Sand motar </t>
  </si>
  <si>
    <t>Sub Contractor's Rate for 18mm thk. Screed</t>
  </si>
  <si>
    <t xml:space="preserve">25mm thk. Floor Rendering in 1:3 Cement Sand motar </t>
  </si>
  <si>
    <t>Floor Tiling (600 x 600mm)</t>
  </si>
  <si>
    <t>Tiles (600 x 600mm) (Tile P.C. Rs.500per 1ft2)</t>
  </si>
  <si>
    <t>Tile Adhesive</t>
  </si>
  <si>
    <t>Tile Grout</t>
  </si>
  <si>
    <t>Cotton Waste</t>
  </si>
  <si>
    <t>Sum</t>
  </si>
  <si>
    <t>Transport Cost</t>
  </si>
  <si>
    <t>Wall Tiling (600 x 600mm)</t>
  </si>
  <si>
    <t>Tiles (600 x 600mm) (Tile P.C. Rs.500 per 1ft2)</t>
  </si>
  <si>
    <t>Pool Tiling (600 x 600mm)</t>
  </si>
  <si>
    <t>SF Skim Coat 20 Kg Bag - Rs.1380</t>
  </si>
  <si>
    <t>Acrylic Wall Filler  20L Rs.12821</t>
  </si>
  <si>
    <t>Emulsion Paint - 20L -Rs.47404</t>
  </si>
  <si>
    <t>Roller Brush - 9" - Rs,1581</t>
  </si>
  <si>
    <t>Sand Paper - Rs.260</t>
  </si>
  <si>
    <t>PAINTING</t>
  </si>
  <si>
    <t>Skim Coat</t>
  </si>
  <si>
    <t>Acrylic Wall Filler</t>
  </si>
  <si>
    <t>Emulsion Paints</t>
  </si>
  <si>
    <t>9" Roller Brush (10 Uses)</t>
  </si>
  <si>
    <t>Sand Papers</t>
  </si>
  <si>
    <t>Transport Cost (10% of Total Material Cost)</t>
  </si>
  <si>
    <t>Add; Scaffolding 5%</t>
  </si>
  <si>
    <t>Weathersheild Paint 20L - Rs.58583</t>
  </si>
  <si>
    <t>Interior /Exterior Sealer- 20L  Rs. 58583</t>
  </si>
  <si>
    <t>External Painting Wall - Apply Two coats of Exterior Primer and Three Coats of Weathersheild Paint</t>
  </si>
  <si>
    <t>Primer</t>
  </si>
  <si>
    <t>Weathersheild Paint</t>
  </si>
  <si>
    <t>DOORS &amp; WINDOWS</t>
  </si>
  <si>
    <t>D1 (1200 X 2850)</t>
  </si>
  <si>
    <t>Sub Contractors Rate for Supply &amp; fixing of Timber frame and Sash</t>
  </si>
  <si>
    <t>Basic Cost per 1 nr</t>
  </si>
  <si>
    <t>Pre Cast Pergola 100 x 50mm  with 3mm thk. Polycarbonate sheets</t>
  </si>
  <si>
    <t>Per Area 4m x 4m</t>
  </si>
  <si>
    <t>100 x 50mm, 4m Long Precast pergola</t>
  </si>
  <si>
    <t>Consumbles for fixing of Pergola</t>
  </si>
  <si>
    <t>Finish with Titanium</t>
  </si>
  <si>
    <t>3mm thk. Polycarbonate Sheets</t>
  </si>
  <si>
    <t>GI Box bar frame work</t>
  </si>
  <si>
    <t>Rs.14500</t>
  </si>
  <si>
    <t>Basic Cost per 16m Sqr</t>
  </si>
  <si>
    <t>Exposed Rafter roof with Lunumidella Ceiling</t>
  </si>
  <si>
    <t>Per 12.48 Sqr</t>
  </si>
  <si>
    <t>50x100 Wall Plate (Tulang)</t>
  </si>
  <si>
    <t>75x175 Ridge Plate (Tulang)</t>
  </si>
  <si>
    <t>50x125 Raffters (Tulang)</t>
  </si>
  <si>
    <t>50x50 Battens (Tulang)</t>
  </si>
  <si>
    <t>225x25  Valance Board (Tulang)</t>
  </si>
  <si>
    <t>225x25 Barge board (Tulang)</t>
  </si>
  <si>
    <t xml:space="preserve">5mm thk single sided heat insulation </t>
  </si>
  <si>
    <t>20mm thk 150mm width stained and water base timber ceilling</t>
  </si>
  <si>
    <t>Corrugated cement fiber roofing sheet</t>
  </si>
  <si>
    <t>Half round roofing tiles (Covering tile)</t>
  </si>
  <si>
    <t>Rigde tile</t>
  </si>
  <si>
    <t>Waterbase Painting (Material price per 1ft2)</t>
  </si>
  <si>
    <t>Add; Tools 3%</t>
  </si>
  <si>
    <t>Basic Cost per 12.48 Sqr</t>
  </si>
  <si>
    <t>Pre Cast Pergola 100 x 50mm, finish with Titanium Cut finish</t>
  </si>
  <si>
    <t>Vanity counter ( 900 x 550 mm)   4" thk. G20 concrete 1:2:4                 ( 3' x 1'10")</t>
  </si>
  <si>
    <t>Width</t>
  </si>
  <si>
    <t>Depth</t>
  </si>
  <si>
    <t>Per 1 item</t>
  </si>
  <si>
    <t>Concrete</t>
  </si>
  <si>
    <t>Concrete (G20 insitue)</t>
  </si>
  <si>
    <t>Formwork</t>
  </si>
  <si>
    <t>kg</t>
  </si>
  <si>
    <t>F/W</t>
  </si>
  <si>
    <t>2' height Tile back spash with backing</t>
  </si>
  <si>
    <t>Plastering in vanity top</t>
  </si>
  <si>
    <t>Tool 3%</t>
  </si>
  <si>
    <t>Plastering</t>
  </si>
  <si>
    <t>Sub Contractor's Rate with F/W materils and top plastering</t>
  </si>
  <si>
    <t>item</t>
  </si>
  <si>
    <t>Senarath 24.09.2023</t>
  </si>
  <si>
    <t>Tile Backspash</t>
  </si>
  <si>
    <t>Basic Cost per 1 item</t>
  </si>
  <si>
    <t>Vanity counter (4200 x 600 mm)   4" thk. G20 concrete 1:2:4                 ( 14' x 2' )</t>
  </si>
  <si>
    <t>Vanity counter ( 2325 x 600 mm)   4" thk. G20 concrete 1:2:4                 ( 7'9" x 2')</t>
  </si>
  <si>
    <t>600 x 600 Manhole</t>
  </si>
  <si>
    <t>cement</t>
  </si>
  <si>
    <t>Cost</t>
  </si>
  <si>
    <t>OH &amp; P %</t>
  </si>
  <si>
    <t>BUILDING SCHEDULE OF RATES</t>
  </si>
  <si>
    <t>PRICES OF MATERIAL &amp;  TOOLS</t>
  </si>
  <si>
    <t>Rate without Transport</t>
  </si>
  <si>
    <t>Rate with Transport</t>
  </si>
  <si>
    <t>Transporting Price</t>
  </si>
  <si>
    <t>Lanwa</t>
  </si>
  <si>
    <t>Ultratech</t>
  </si>
  <si>
    <t>Cement ( 50 Kg )</t>
  </si>
  <si>
    <t>tokyo santha</t>
  </si>
  <si>
    <t>River Sand</t>
  </si>
  <si>
    <t>10mm</t>
  </si>
  <si>
    <t>Sea Sand</t>
  </si>
  <si>
    <t>Wash Sand</t>
  </si>
  <si>
    <t>6mm</t>
  </si>
  <si>
    <t>12mm</t>
  </si>
  <si>
    <t>16mm</t>
  </si>
  <si>
    <t>20mm</t>
  </si>
  <si>
    <t>3/4" Metal</t>
  </si>
  <si>
    <t>1" Metal</t>
  </si>
  <si>
    <t>6" x 9" Rubble</t>
  </si>
  <si>
    <t>Binding wire</t>
  </si>
  <si>
    <t xml:space="preserve">6" x 4" Rubble </t>
  </si>
  <si>
    <t>Imported Soil</t>
  </si>
  <si>
    <t>Quarry Dust</t>
  </si>
  <si>
    <t>ABC</t>
  </si>
  <si>
    <t>Reinforcement</t>
  </si>
  <si>
    <t>Tor Steel</t>
  </si>
  <si>
    <t>Melwa</t>
  </si>
  <si>
    <t>GTB</t>
  </si>
  <si>
    <t>RS</t>
  </si>
  <si>
    <t>16 BWG Binding Wire</t>
  </si>
  <si>
    <t>Lbs</t>
  </si>
  <si>
    <t>Gals</t>
  </si>
  <si>
    <t>Bitumix ( 20L )</t>
  </si>
  <si>
    <t>10 Litre - Rs.2350 +VAT</t>
  </si>
  <si>
    <t>BRICKS</t>
  </si>
  <si>
    <t xml:space="preserve">Engineering Brick 200mm x 100mm x 50mm </t>
  </si>
  <si>
    <t>Engineering Brick 200mm x 150mm x 75mm (6") thk.</t>
  </si>
  <si>
    <t>BLOCKS</t>
  </si>
  <si>
    <t xml:space="preserve">Solid Block 390 x 190 x 100mm </t>
  </si>
  <si>
    <t xml:space="preserve">Solid Block 390 x 190 x 150mm </t>
  </si>
  <si>
    <t xml:space="preserve">Solid Block 390 x 190 x 120mm </t>
  </si>
  <si>
    <t xml:space="preserve">Hollow Block 390 x 190 x 100mm </t>
  </si>
  <si>
    <t xml:space="preserve">Hollow Block 390 x 190 x 150mm </t>
  </si>
  <si>
    <t xml:space="preserve">Hollow Block 390 x 190 x 120mm </t>
  </si>
  <si>
    <t>Chiken mesh ( 1 x 3.33 )</t>
  </si>
  <si>
    <t>50 x 50 GI Mesh</t>
  </si>
  <si>
    <t>ft²</t>
  </si>
  <si>
    <t>BRC mesh (12'x7')</t>
  </si>
  <si>
    <t xml:space="preserve">2"x2"  </t>
  </si>
  <si>
    <t>84ft2</t>
  </si>
  <si>
    <t>6"x6"</t>
  </si>
  <si>
    <t>8"x8"</t>
  </si>
  <si>
    <t>Supreme Readymix</t>
  </si>
  <si>
    <t>Tokyo</t>
  </si>
  <si>
    <t>Prema</t>
  </si>
  <si>
    <t>Redy Mix Concrete</t>
  </si>
  <si>
    <t>G.15</t>
  </si>
  <si>
    <t>G.20</t>
  </si>
  <si>
    <t>G15</t>
  </si>
  <si>
    <t>G20</t>
  </si>
  <si>
    <t>G25</t>
  </si>
  <si>
    <t>G.25</t>
  </si>
  <si>
    <r>
      <t>Pump Car (25m</t>
    </r>
    <r>
      <rPr>
        <vertAlign val="superscript"/>
        <sz val="11"/>
        <color theme="1"/>
        <rFont val="Arial Narrow"/>
        <family val="2"/>
      </rPr>
      <t>3</t>
    </r>
    <r>
      <rPr>
        <sz val="11"/>
        <color theme="1"/>
        <rFont val="Arial Narrow"/>
        <family val="2"/>
      </rPr>
      <t>) Additional 1m3 - Rs.1500</t>
    </r>
  </si>
  <si>
    <t>G.30</t>
  </si>
  <si>
    <t>Plywood Board</t>
  </si>
  <si>
    <t xml:space="preserve">15mm thk 8'x4' non-coated Plywood board </t>
  </si>
  <si>
    <t>Nrs</t>
  </si>
  <si>
    <t xml:space="preserve">15mm thk 8'x4' coated Plywood board </t>
  </si>
  <si>
    <t xml:space="preserve">16mm thk 8'x4' coated Plywood board </t>
  </si>
  <si>
    <t>Mould oil</t>
  </si>
  <si>
    <t>Ltrs</t>
  </si>
  <si>
    <t>Class I timber</t>
  </si>
  <si>
    <t>1" Class I timber planks</t>
  </si>
  <si>
    <t>1" timber base plate to props</t>
  </si>
  <si>
    <t>1 1/2" Class I planks</t>
  </si>
  <si>
    <t>1" Class II timber</t>
  </si>
  <si>
    <t>6"x3/4" Lunumidella Ceiling planks</t>
  </si>
  <si>
    <t>2"x1" Class I reepers</t>
  </si>
  <si>
    <t>2"x2" Class I timber</t>
  </si>
  <si>
    <t>4"x2" Class I timber</t>
  </si>
  <si>
    <t>4"x3" Class I timber</t>
  </si>
  <si>
    <t>2"x2" Class II timber in yokes</t>
  </si>
  <si>
    <t>2"x1" Class II timber batterns</t>
  </si>
  <si>
    <t>2"x2" Class II Ledges</t>
  </si>
  <si>
    <t>4"x2" Class II bearers</t>
  </si>
  <si>
    <t>4"x2" Class II timber props</t>
  </si>
  <si>
    <t>2"x2" Halmilla cove moulding</t>
  </si>
  <si>
    <t>1 1/2"x1 1/2" Halmilla beading</t>
  </si>
  <si>
    <t>Props</t>
  </si>
  <si>
    <t>Brick</t>
  </si>
  <si>
    <t>Wirecut Bricks</t>
  </si>
  <si>
    <r>
      <t xml:space="preserve">Brick Size 212.5mm x 100mm x 50mm </t>
    </r>
    <r>
      <rPr>
        <b/>
        <sz val="11"/>
        <color theme="1"/>
        <rFont val="Arial Narrow"/>
        <family val="2"/>
      </rPr>
      <t>( 9" )</t>
    </r>
  </si>
  <si>
    <t>Hashan (Wellawaya Brick Supplier)</t>
  </si>
  <si>
    <r>
      <t xml:space="preserve">Brick Size 212.5mm x 150mm x 75mm </t>
    </r>
    <r>
      <rPr>
        <b/>
        <sz val="11"/>
        <color theme="1"/>
        <rFont val="Arial Narrow"/>
        <family val="2"/>
      </rPr>
      <t>( 6" )</t>
    </r>
  </si>
  <si>
    <t>with loading &amp; unloading (AMTRAD limited prices)</t>
  </si>
  <si>
    <t>Bloock</t>
  </si>
  <si>
    <t>Size</t>
  </si>
  <si>
    <t>Amtrad</t>
  </si>
  <si>
    <t>Wapco</t>
  </si>
  <si>
    <t>Sachindra</t>
  </si>
  <si>
    <t>390x190x100mm Solid block</t>
  </si>
  <si>
    <t>390x190x150mm Solid block</t>
  </si>
  <si>
    <t>390x190x150mm Hollow block</t>
  </si>
  <si>
    <t>Tile</t>
  </si>
  <si>
    <t>2x2 Glazed Floor tile</t>
  </si>
  <si>
    <t>3x3 Glazed Floor tile</t>
  </si>
  <si>
    <t>4x4 Glazed Floor tile</t>
  </si>
  <si>
    <t>6x6 Glazed Floor tile</t>
  </si>
  <si>
    <t>8x8 Glazed Floor tile</t>
  </si>
  <si>
    <t>12"x12" Glazed Floor tile</t>
  </si>
  <si>
    <t>16"x16"Glazed Floor tile</t>
  </si>
  <si>
    <t>18"x18" Glazed Floor tile</t>
  </si>
  <si>
    <t>24"x24" Glazed Floor tile</t>
  </si>
  <si>
    <t>4 x4  Glazed Wall tile</t>
  </si>
  <si>
    <t>6 x 6 Glazed Wall tile</t>
  </si>
  <si>
    <t>12"x12" Terracota tile</t>
  </si>
  <si>
    <t>12"x12" Ceramic Floor tile</t>
  </si>
  <si>
    <t>12"x12" Granite tile</t>
  </si>
  <si>
    <t>12"x12" Mosaic tile</t>
  </si>
  <si>
    <t>Tiles (300 x 300mm) (Tile P.C. Rs.600 per 1ft2)</t>
  </si>
  <si>
    <t>Tiles (600 x 600mm) (Tile P.C. Rs.600 per 1ft2)</t>
  </si>
  <si>
    <t>Tile Adhesive ( 25 Kg )</t>
  </si>
  <si>
    <t>Tile Grout (1Kg )</t>
  </si>
  <si>
    <t>Painting</t>
  </si>
  <si>
    <t>Anti-corrosive primer</t>
  </si>
  <si>
    <t>Alkali resistant primer</t>
  </si>
  <si>
    <t>Wall primer</t>
  </si>
  <si>
    <t>Wood primer</t>
  </si>
  <si>
    <t>Nippon Filler</t>
  </si>
  <si>
    <r>
      <t xml:space="preserve">20L - </t>
    </r>
    <r>
      <rPr>
        <b/>
        <sz val="11"/>
        <color theme="1"/>
        <rFont val="Arial Narrow"/>
        <family val="2"/>
      </rPr>
      <t>Rs.10170.00</t>
    </r>
  </si>
  <si>
    <t>Sanding</t>
  </si>
  <si>
    <t>Enamel paint</t>
  </si>
  <si>
    <t>Emulsion paint</t>
  </si>
  <si>
    <t>Nippon Emulsion - Rs.20L -Rs.26060</t>
  </si>
  <si>
    <t>Weather Sheild Paint</t>
  </si>
  <si>
    <t>Nippon Weathersheld - Rs.20L</t>
  </si>
  <si>
    <t>Marine epoxy paint</t>
  </si>
  <si>
    <t>ltr</t>
  </si>
  <si>
    <t>Mineral turpentine or Thinner</t>
  </si>
  <si>
    <t>Nippon - 31480</t>
  </si>
  <si>
    <t>OH &amp; P%</t>
  </si>
  <si>
    <t>Bitumix DPC Tar</t>
  </si>
  <si>
    <t>Tiles (600 x 600mm) (Tile P.C. Rs.600per 1ft2)</t>
  </si>
  <si>
    <t>Tile Skirting (600 x 75mm)</t>
  </si>
  <si>
    <t>Per 10 ft</t>
  </si>
  <si>
    <t>Basic Cost per 1 m</t>
  </si>
  <si>
    <t>Basic Cost per 10 ft</t>
  </si>
  <si>
    <t>Internal Painting Wall - Apply one Coat of Acrylic Filler and Two Coats of Emulsion Paints on Walls</t>
  </si>
  <si>
    <t>Internal Painting Wall - Apply  one Coat of Acrylic Filler and Two Coats of Emulsion Paints on slab soffit</t>
  </si>
  <si>
    <t>N/A</t>
  </si>
  <si>
    <t>Provide by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</si>
</sst>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_);_(* \(#,##0.00\);_(* &quot;-&quot;??_);_(@_)"/>
    <numFmt numFmtId="165" formatCode="0.0"/>
    <numFmt numFmtId="166" formatCode="_(* #,##0.000_);_(* \(#,##0.000\);_(* &quot;-&quot;??_);_(@_)"/>
    <numFmt numFmtId="167" formatCode="_(* #,##0.0_);_(* \(#,##0.0\);_(* &quot;-&quot;??_);_(@_)"/>
    <numFmt numFmtId="168" formatCode="0.000"/>
    <numFmt numFmtId="169" formatCode="[$-409]d\-mmm\-yyyy;@"/>
    <numFmt numFmtId="170" formatCode="[$-409]d\-mmm\-yy;@"/>
    <numFmt numFmtId="171" formatCode="00"/>
    <numFmt numFmtId="172" formatCode="0.000%"/>
    <numFmt numFmtId="173" formatCode="_-* #,##0.0000_-;\-* #,##0.0000_-;_-* &quot;-&quot;??_-;_-@_-"/>
    <numFmt numFmtId="174" formatCode="#,##0.00000000"/>
    <numFmt numFmtId="175" formatCode="#,##0.0;[Red]#,##0.0"/>
    <numFmt numFmtId="176" formatCode="0.00_)"/>
    <numFmt numFmtId="177" formatCode="_-* #,##0.000_-;\-* #,##0.000_-;_-* &quot;-&quot;???_-;_-@_-"/>
    <numFmt numFmtId="178" formatCode="_-* #,##0.00_-;\-* #,##0.00_-;_-* &quot;-&quot;??_-;_-@"/>
  </numFmts>
  <fonts count="93" x14ac:knownFonts="1">
    <font>
      <sz val="10"/>
      <name val="Arial"/>
    </font>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u/>
      <sz val="12"/>
      <name val="Calibri"/>
      <family val="2"/>
      <scheme val="minor"/>
    </font>
    <font>
      <sz val="10"/>
      <name val="Calibri"/>
      <family val="2"/>
      <scheme val="minor"/>
    </font>
    <font>
      <sz val="10"/>
      <name val="Arial"/>
      <family val="2"/>
    </font>
    <font>
      <sz val="10"/>
      <name val="Times New Roman"/>
      <family val="1"/>
    </font>
    <font>
      <sz val="10"/>
      <name val="Arial"/>
      <family val="2"/>
    </font>
    <font>
      <sz val="11"/>
      <name val="Times New Roman"/>
      <family val="1"/>
    </font>
    <font>
      <b/>
      <sz val="11"/>
      <name val="Times New Roman"/>
      <family val="1"/>
    </font>
    <font>
      <sz val="11"/>
      <color indexed="10"/>
      <name val="Times New Roman"/>
      <family val="1"/>
    </font>
    <font>
      <b/>
      <u/>
      <sz val="12"/>
      <name val="Times New Roman"/>
      <family val="1"/>
    </font>
    <font>
      <b/>
      <u/>
      <sz val="11"/>
      <name val="Times New Roman"/>
      <family val="1"/>
    </font>
    <font>
      <b/>
      <vertAlign val="superscript"/>
      <sz val="11"/>
      <name val="Times New Roman"/>
      <family val="1"/>
    </font>
    <font>
      <vertAlign val="superscript"/>
      <sz val="11"/>
      <name val="Times New Roman"/>
      <family val="1"/>
    </font>
    <font>
      <b/>
      <sz val="11"/>
      <color indexed="10"/>
      <name val="Times New Roman"/>
      <family val="1"/>
    </font>
    <font>
      <b/>
      <sz val="10"/>
      <name val="Times New Roman"/>
      <family val="1"/>
    </font>
    <font>
      <b/>
      <u/>
      <sz val="10"/>
      <name val="Times New Roman"/>
      <family val="1"/>
    </font>
    <font>
      <sz val="11"/>
      <color theme="1"/>
      <name val="Times New Roman"/>
      <family val="1"/>
    </font>
    <font>
      <b/>
      <sz val="11"/>
      <color theme="1"/>
      <name val="Times New Roman"/>
      <family val="1"/>
    </font>
    <font>
      <sz val="9"/>
      <name val="Times New Roman"/>
      <family val="1"/>
    </font>
    <font>
      <b/>
      <sz val="10"/>
      <color rgb="FFFF0000"/>
      <name val="Times New Roman"/>
      <family val="1"/>
    </font>
    <font>
      <b/>
      <sz val="10"/>
      <color rgb="FFFF0000"/>
      <name val="Arial"/>
      <family val="2"/>
    </font>
    <font>
      <b/>
      <u/>
      <sz val="9"/>
      <name val="Times New Roman"/>
      <family val="1"/>
    </font>
    <font>
      <b/>
      <sz val="10"/>
      <name val="Arial"/>
      <family val="2"/>
    </font>
    <font>
      <b/>
      <sz val="12"/>
      <name val="Times New Roman"/>
      <family val="1"/>
    </font>
    <font>
      <sz val="12"/>
      <name val="Times New Roman"/>
      <family val="1"/>
    </font>
    <font>
      <u/>
      <sz val="10"/>
      <name val="Times New Roman"/>
      <family val="1"/>
    </font>
    <font>
      <sz val="10"/>
      <color theme="1"/>
      <name val="Arial"/>
      <family val="2"/>
    </font>
    <font>
      <b/>
      <sz val="10"/>
      <color theme="1"/>
      <name val="Arial"/>
      <family val="2"/>
    </font>
    <font>
      <sz val="10"/>
      <name val="Courier"/>
      <family val="3"/>
    </font>
    <font>
      <sz val="8"/>
      <name val="Arial"/>
      <family val="2"/>
    </font>
    <font>
      <b/>
      <i/>
      <sz val="10"/>
      <name val="Times New Roman"/>
      <family val="1"/>
    </font>
    <font>
      <i/>
      <sz val="10"/>
      <name val="Times New Roman"/>
      <family val="1"/>
    </font>
    <font>
      <u/>
      <sz val="10"/>
      <color theme="1"/>
      <name val="Times New Roman"/>
      <family val="1"/>
    </font>
    <font>
      <sz val="10"/>
      <color theme="1"/>
      <name val="Times New Roman"/>
      <family val="1"/>
    </font>
    <font>
      <b/>
      <u/>
      <sz val="10"/>
      <color theme="1"/>
      <name val="Times New Roman"/>
      <family val="1"/>
    </font>
    <font>
      <b/>
      <sz val="10"/>
      <color theme="1"/>
      <name val="Times New Roman"/>
      <family val="1"/>
    </font>
    <font>
      <sz val="10"/>
      <name val="Arial"/>
      <family val="2"/>
    </font>
    <font>
      <sz val="12"/>
      <name val="Arial"/>
      <family val="2"/>
    </font>
    <font>
      <b/>
      <sz val="12"/>
      <name val="Arial"/>
      <family val="2"/>
    </font>
    <font>
      <sz val="12"/>
      <color theme="1"/>
      <name val="Calibri"/>
      <family val="2"/>
      <scheme val="minor"/>
    </font>
    <font>
      <b/>
      <vertAlign val="superscript"/>
      <sz val="12"/>
      <name val="Arial"/>
      <family val="2"/>
    </font>
    <font>
      <sz val="12"/>
      <color rgb="FFFF0000"/>
      <name val="Arial"/>
      <family val="2"/>
    </font>
    <font>
      <i/>
      <sz val="12"/>
      <name val="Arial"/>
      <family val="2"/>
    </font>
    <font>
      <b/>
      <sz val="12"/>
      <color theme="1"/>
      <name val="Calibri"/>
      <family val="2"/>
      <scheme val="minor"/>
    </font>
    <font>
      <b/>
      <sz val="16"/>
      <name val="Times New Roman"/>
      <family val="1"/>
    </font>
    <font>
      <sz val="14"/>
      <name val="Times New Roman"/>
      <family val="1"/>
    </font>
    <font>
      <sz val="14"/>
      <color indexed="12"/>
      <name val="Times New Roman"/>
      <family val="1"/>
    </font>
    <font>
      <b/>
      <sz val="14"/>
      <name val="Times New Roman"/>
      <family val="1"/>
    </font>
    <font>
      <b/>
      <sz val="22"/>
      <name val="Times New Roman"/>
      <family val="1"/>
    </font>
    <font>
      <sz val="10"/>
      <color indexed="8"/>
      <name val="Arial"/>
      <family val="2"/>
    </font>
    <font>
      <sz val="11"/>
      <color rgb="FFFF0000"/>
      <name val="Times New Roman"/>
      <family val="1"/>
    </font>
    <font>
      <sz val="11"/>
      <name val="Arial"/>
      <family val="2"/>
    </font>
    <font>
      <u/>
      <sz val="12"/>
      <name val="Times New Roman"/>
      <family val="1"/>
    </font>
    <font>
      <sz val="11"/>
      <color rgb="FFFF0000"/>
      <name val="Arial"/>
      <family val="2"/>
    </font>
    <font>
      <sz val="11"/>
      <color rgb="FF0070C0"/>
      <name val="Times New Roman"/>
      <family val="1"/>
    </font>
    <font>
      <b/>
      <sz val="11"/>
      <color rgb="FFFF0000"/>
      <name val="Times New Roman"/>
      <family val="1"/>
    </font>
    <font>
      <sz val="8"/>
      <name val="Times New Roman"/>
      <family val="1"/>
    </font>
    <font>
      <sz val="6"/>
      <name val="Arial"/>
      <family val="2"/>
    </font>
    <font>
      <sz val="10"/>
      <color rgb="FFFF0000"/>
      <name val="Arial"/>
      <family val="2"/>
    </font>
    <font>
      <sz val="6"/>
      <color rgb="FFFF0000"/>
      <name val="Arial"/>
      <family val="2"/>
    </font>
    <font>
      <sz val="11"/>
      <color rgb="FF009900"/>
      <name val="Times New Roman"/>
      <family val="1"/>
    </font>
    <font>
      <u/>
      <sz val="11"/>
      <name val="Times New Roman"/>
      <family val="1"/>
    </font>
    <font>
      <b/>
      <u/>
      <sz val="11"/>
      <color theme="1"/>
      <name val="Times New Roman"/>
      <family val="1"/>
    </font>
    <font>
      <sz val="9"/>
      <color indexed="81"/>
      <name val="Tahoma"/>
      <family val="2"/>
    </font>
    <font>
      <b/>
      <sz val="9"/>
      <color indexed="81"/>
      <name val="Tahoma"/>
      <family val="2"/>
    </font>
    <font>
      <i/>
      <sz val="14"/>
      <name val="Times New Roman"/>
      <family val="1"/>
    </font>
    <font>
      <b/>
      <u/>
      <sz val="10"/>
      <name val="Arial"/>
      <family val="2"/>
    </font>
    <font>
      <b/>
      <sz val="11"/>
      <color theme="1"/>
      <name val="Arial Narrow"/>
      <family val="2"/>
    </font>
    <font>
      <sz val="11"/>
      <color theme="1"/>
      <name val="Arial Narrow"/>
      <family val="2"/>
    </font>
    <font>
      <b/>
      <vertAlign val="superscript"/>
      <sz val="11"/>
      <color theme="1"/>
      <name val="Arial Narrow"/>
      <family val="2"/>
    </font>
    <font>
      <u val="singleAccounting"/>
      <sz val="11"/>
      <color theme="1"/>
      <name val="Arial Narrow"/>
      <family val="2"/>
    </font>
    <font>
      <b/>
      <sz val="11"/>
      <color theme="1"/>
      <name val="Calibri"/>
      <family val="2"/>
      <scheme val="minor"/>
    </font>
    <font>
      <b/>
      <sz val="11"/>
      <color rgb="FFFF0000"/>
      <name val="Arial Narrow"/>
      <family val="2"/>
      <charset val="1"/>
    </font>
    <font>
      <sz val="10"/>
      <color rgb="FFFF0000"/>
      <name val="Arial"/>
      <family val="2"/>
      <charset val="1"/>
    </font>
    <font>
      <sz val="11"/>
      <color rgb="FFFF0000"/>
      <name val="Arial Narrow"/>
      <family val="2"/>
      <charset val="1"/>
    </font>
    <font>
      <b/>
      <u/>
      <sz val="11"/>
      <color theme="1"/>
      <name val="Arial Narrow"/>
      <family val="2"/>
    </font>
    <font>
      <sz val="11"/>
      <name val="Calibri"/>
      <family val="2"/>
    </font>
    <font>
      <vertAlign val="superscript"/>
      <sz val="11"/>
      <color theme="1"/>
      <name val="Arial Narrow"/>
      <family val="2"/>
    </font>
    <font>
      <b/>
      <u/>
      <sz val="10"/>
      <color rgb="FFFF0000"/>
      <name val="Arial"/>
      <family val="2"/>
      <charset val="1"/>
    </font>
    <font>
      <u val="singleAccounting"/>
      <sz val="11"/>
      <color rgb="FFFF0000"/>
      <name val="Arial Narrow"/>
      <family val="2"/>
      <charset val="1"/>
    </font>
    <font>
      <b/>
      <u/>
      <sz val="10"/>
      <name val="Arial"/>
      <family val="2"/>
      <charset val="1"/>
    </font>
    <font>
      <sz val="10"/>
      <name val="Arial"/>
      <family val="2"/>
      <charset val="1"/>
    </font>
    <font>
      <b/>
      <sz val="11"/>
      <name val="Arial Narrow"/>
      <family val="2"/>
      <charset val="1"/>
    </font>
    <font>
      <sz val="11"/>
      <name val="Arial Narrow"/>
      <family val="2"/>
      <charset val="1"/>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E2EFD9"/>
        <bgColor rgb="FFE2EFD9"/>
      </patternFill>
    </fill>
    <fill>
      <patternFill patternType="solid">
        <fgColor theme="6" tint="0.59999389629810485"/>
        <bgColor indexed="64"/>
      </patternFill>
    </fill>
    <fill>
      <patternFill patternType="solid">
        <fgColor theme="0" tint="-0.14999847407452621"/>
        <bgColor indexed="64"/>
      </patternFill>
    </fill>
  </fills>
  <borders count="1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diagonal/>
    </border>
    <border>
      <left style="medium">
        <color indexed="64"/>
      </left>
      <right/>
      <top style="hair">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diagonal/>
    </border>
    <border>
      <left style="thin">
        <color indexed="64"/>
      </left>
      <right/>
      <top style="thin">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diagonal/>
    </border>
    <border>
      <left style="thin">
        <color indexed="64"/>
      </left>
      <right style="medium">
        <color indexed="64"/>
      </right>
      <top style="hair">
        <color indexed="64"/>
      </top>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medium">
        <color auto="1"/>
      </left>
      <right style="thin">
        <color indexed="64"/>
      </right>
      <top/>
      <bottom style="thin">
        <color auto="1"/>
      </bottom>
      <diagonal/>
    </border>
    <border>
      <left style="thin">
        <color auto="1"/>
      </left>
      <right style="thin">
        <color auto="1"/>
      </right>
      <top style="thin">
        <color auto="1"/>
      </top>
      <bottom style="hair">
        <color auto="1"/>
      </bottom>
      <diagonal/>
    </border>
    <border>
      <left style="thin">
        <color indexed="64"/>
      </left>
      <right/>
      <top style="medium">
        <color indexed="64"/>
      </top>
      <bottom style="hair">
        <color indexed="64"/>
      </bottom>
      <diagonal/>
    </border>
    <border>
      <left style="thin">
        <color indexed="64"/>
      </left>
      <right/>
      <top style="hair">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indexed="64"/>
      </right>
      <top/>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style="medium">
        <color indexed="64"/>
      </left>
      <right style="thin">
        <color indexed="64"/>
      </right>
      <top style="thin">
        <color theme="0" tint="-0.14996795556505021"/>
      </top>
      <bottom style="thin">
        <color theme="0" tint="-0.14996795556505021"/>
      </bottom>
      <diagonal/>
    </border>
    <border>
      <left style="thin">
        <color indexed="64"/>
      </left>
      <right style="thin">
        <color indexed="64"/>
      </right>
      <top/>
      <bottom style="thin">
        <color theme="0" tint="-0.14996795556505021"/>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14996795556505021"/>
      </top>
      <bottom style="thin">
        <color theme="0" tint="-0.14996795556505021"/>
      </bottom>
      <diagonal/>
    </border>
    <border>
      <left style="thin">
        <color indexed="64"/>
      </left>
      <right style="medium">
        <color indexed="64"/>
      </right>
      <top/>
      <bottom style="thin">
        <color theme="0" tint="-0.14996795556505021"/>
      </bottom>
      <diagonal/>
    </border>
    <border>
      <left style="medium">
        <color indexed="64"/>
      </left>
      <right style="thin">
        <color indexed="64"/>
      </right>
      <top style="thin">
        <color theme="0" tint="-0.24994659260841701"/>
      </top>
      <bottom/>
      <diagonal/>
    </border>
    <border>
      <left style="thin">
        <color indexed="64"/>
      </left>
      <right style="thin">
        <color indexed="64"/>
      </right>
      <top style="thin">
        <color theme="0" tint="-0.24994659260841701"/>
      </top>
      <bottom/>
      <diagonal/>
    </border>
    <border>
      <left style="thin">
        <color indexed="64"/>
      </left>
      <right style="thin">
        <color indexed="64"/>
      </right>
      <top style="thin">
        <color theme="0" tint="-0.14996795556505021"/>
      </top>
      <bottom/>
      <diagonal/>
    </border>
    <border>
      <left style="thin">
        <color indexed="64"/>
      </left>
      <right style="medium">
        <color indexed="64"/>
      </right>
      <top style="thin">
        <color theme="0" tint="-0.14996795556505021"/>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thin">
        <color indexed="64"/>
      </left>
      <right style="medium">
        <color indexed="64"/>
      </right>
      <top style="double">
        <color indexed="64"/>
      </top>
      <bottom/>
      <diagonal/>
    </border>
    <border>
      <left/>
      <right/>
      <top/>
      <bottom style="double">
        <color indexed="64"/>
      </bottom>
      <diagonal/>
    </border>
    <border>
      <left style="medium">
        <color indexed="64"/>
      </left>
      <right style="thin">
        <color indexed="64"/>
      </right>
      <top style="thin">
        <color theme="0" tint="-0.24994659260841701"/>
      </top>
      <bottom style="double">
        <color indexed="64"/>
      </bottom>
      <diagonal/>
    </border>
    <border>
      <left style="thin">
        <color indexed="64"/>
      </left>
      <right style="thin">
        <color indexed="64"/>
      </right>
      <top style="thin">
        <color theme="0" tint="-0.24994659260841701"/>
      </top>
      <bottom style="double">
        <color indexed="64"/>
      </bottom>
      <diagonal/>
    </border>
    <border>
      <left style="thin">
        <color indexed="64"/>
      </left>
      <right style="thin">
        <color indexed="64"/>
      </right>
      <top style="thin">
        <color theme="0" tint="-0.14996795556505021"/>
      </top>
      <bottom style="double">
        <color indexed="64"/>
      </bottom>
      <diagonal/>
    </border>
    <border>
      <left style="thin">
        <color indexed="64"/>
      </left>
      <right style="medium">
        <color indexed="64"/>
      </right>
      <top style="thin">
        <color theme="0" tint="-0.14996795556505021"/>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right/>
      <top style="thin">
        <color indexed="64"/>
      </top>
      <bottom style="medium">
        <color indexed="64"/>
      </bottom>
      <diagonal/>
    </border>
    <border>
      <left style="thin">
        <color indexed="64"/>
      </left>
      <right style="thin">
        <color indexed="64"/>
      </right>
      <top style="double">
        <color indexed="64"/>
      </top>
      <bottom style="thin">
        <color theme="0" tint="-0.14996795556505021"/>
      </bottom>
      <diagonal/>
    </border>
    <border>
      <left style="thin">
        <color indexed="64"/>
      </left>
      <right style="medium">
        <color indexed="64"/>
      </right>
      <top style="double">
        <color indexed="64"/>
      </top>
      <bottom style="thin">
        <color theme="0" tint="-0.14996795556505021"/>
      </bottom>
      <diagonal/>
    </border>
    <border>
      <left/>
      <right/>
      <top style="double">
        <color indexed="64"/>
      </top>
      <bottom style="double">
        <color indexed="64"/>
      </bottom>
      <diagonal/>
    </border>
  </borders>
  <cellStyleXfs count="42">
    <xf numFmtId="0" fontId="0" fillId="0" borderId="0"/>
    <xf numFmtId="164" fontId="9"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9" fillId="0" borderId="0"/>
    <xf numFmtId="164" fontId="12" fillId="0" borderId="0" applyFont="0" applyFill="0" applyBorder="0" applyAlignment="0" applyProtection="0"/>
    <xf numFmtId="0" fontId="12" fillId="0" borderId="0"/>
    <xf numFmtId="164" fontId="14" fillId="0" borderId="0" applyFont="0" applyFill="0" applyBorder="0" applyAlignment="0" applyProtection="0"/>
    <xf numFmtId="9" fontId="14" fillId="0" borderId="0" applyFont="0" applyFill="0" applyBorder="0" applyAlignment="0" applyProtection="0"/>
    <xf numFmtId="0" fontId="8" fillId="0" borderId="0"/>
    <xf numFmtId="9" fontId="8" fillId="0" borderId="0" applyFont="0" applyFill="0" applyBorder="0" applyAlignment="0" applyProtection="0"/>
    <xf numFmtId="164" fontId="8" fillId="0" borderId="0" applyFont="0" applyFill="0" applyBorder="0" applyAlignment="0" applyProtection="0"/>
    <xf numFmtId="0" fontId="12" fillId="0" borderId="0"/>
    <xf numFmtId="0" fontId="37" fillId="0" borderId="0"/>
    <xf numFmtId="0" fontId="12" fillId="0" borderId="0"/>
    <xf numFmtId="0" fontId="12" fillId="0" borderId="0"/>
    <xf numFmtId="164" fontId="7" fillId="0" borderId="0" applyFont="0" applyFill="0" applyBorder="0" applyAlignment="0" applyProtection="0"/>
    <xf numFmtId="0" fontId="7" fillId="0" borderId="0"/>
    <xf numFmtId="0" fontId="33" fillId="0" borderId="0"/>
    <xf numFmtId="0" fontId="6" fillId="0" borderId="0"/>
    <xf numFmtId="164" fontId="6" fillId="0" borderId="0" applyFont="0" applyFill="0" applyBorder="0" applyAlignment="0" applyProtection="0"/>
    <xf numFmtId="9" fontId="45" fillId="0" borderId="0" applyFont="0" applyFill="0" applyBorder="0" applyAlignment="0" applyProtection="0"/>
    <xf numFmtId="0" fontId="5" fillId="0" borderId="0"/>
    <xf numFmtId="43" fontId="5" fillId="0" borderId="0" applyFont="0" applyFill="0" applyBorder="0" applyAlignment="0" applyProtection="0"/>
    <xf numFmtId="4" fontId="12" fillId="0" borderId="0"/>
    <xf numFmtId="164" fontId="12" fillId="0" borderId="0" applyFont="0" applyFill="0" applyBorder="0" applyAlignment="0" applyProtection="0"/>
    <xf numFmtId="0" fontId="4" fillId="0" borderId="0"/>
    <xf numFmtId="164" fontId="4" fillId="0" borderId="0" applyFont="0" applyFill="0" applyBorder="0" applyAlignment="0" applyProtection="0"/>
    <xf numFmtId="0" fontId="12" fillId="0" borderId="0"/>
    <xf numFmtId="164" fontId="3" fillId="0" borderId="0" applyFont="0" applyFill="0" applyBorder="0" applyAlignment="0" applyProtection="0"/>
    <xf numFmtId="0" fontId="33" fillId="0" borderId="0"/>
    <xf numFmtId="0" fontId="33" fillId="0" borderId="0" applyFont="0" applyFill="0" applyBorder="0" applyAlignment="0" applyProtection="0"/>
    <xf numFmtId="0" fontId="12" fillId="0" borderId="0"/>
    <xf numFmtId="164" fontId="12" fillId="0" borderId="0" applyFont="0" applyFill="0" applyBorder="0" applyAlignment="0" applyProtection="0"/>
    <xf numFmtId="0" fontId="2" fillId="0" borderId="0"/>
    <xf numFmtId="0" fontId="12" fillId="0" borderId="0"/>
    <xf numFmtId="176" fontId="37"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 fillId="0" borderId="0"/>
  </cellStyleXfs>
  <cellXfs count="2987">
    <xf numFmtId="0" fontId="0" fillId="0" borderId="0" xfId="0"/>
    <xf numFmtId="0" fontId="11" fillId="0" borderId="12" xfId="0" applyFont="1" applyBorder="1" applyAlignment="1">
      <alignment horizontal="justify" vertical="justify"/>
    </xf>
    <xf numFmtId="39" fontId="11" fillId="0" borderId="12" xfId="2" applyNumberFormat="1" applyFont="1" applyFill="1" applyBorder="1" applyAlignment="1"/>
    <xf numFmtId="0" fontId="10" fillId="0" borderId="22" xfId="0" applyFont="1" applyBorder="1" applyAlignment="1">
      <alignment horizontal="justify" vertical="justify"/>
    </xf>
    <xf numFmtId="164" fontId="11" fillId="0" borderId="12" xfId="2" applyFont="1" applyFill="1" applyBorder="1" applyAlignment="1"/>
    <xf numFmtId="0" fontId="11" fillId="0" borderId="12" xfId="0" applyFont="1" applyFill="1" applyBorder="1" applyAlignment="1">
      <alignment horizontal="justify" vertical="top"/>
    </xf>
    <xf numFmtId="2" fontId="13" fillId="0" borderId="0" xfId="0" applyNumberFormat="1" applyFont="1" applyFill="1" applyBorder="1"/>
    <xf numFmtId="2" fontId="13" fillId="0" borderId="0" xfId="0" applyNumberFormat="1" applyFont="1" applyFill="1" applyBorder="1" applyAlignment="1">
      <alignment horizontal="center" wrapText="1"/>
    </xf>
    <xf numFmtId="0" fontId="11" fillId="0" borderId="0" xfId="0" applyFont="1" applyFill="1" applyBorder="1" applyAlignment="1">
      <alignment horizontal="justify" vertical="top"/>
    </xf>
    <xf numFmtId="0" fontId="13" fillId="0" borderId="11" xfId="0" applyFont="1" applyFill="1" applyBorder="1" applyAlignment="1">
      <alignment horizontal="center" vertical="top"/>
    </xf>
    <xf numFmtId="164" fontId="13" fillId="0" borderId="13" xfId="5" applyFont="1" applyFill="1" applyBorder="1" applyAlignment="1"/>
    <xf numFmtId="164" fontId="13" fillId="0" borderId="15" xfId="5" applyFont="1" applyFill="1" applyBorder="1" applyAlignment="1">
      <alignment horizontal="right"/>
    </xf>
    <xf numFmtId="4" fontId="15" fillId="0" borderId="0" xfId="0" applyNumberFormat="1" applyFont="1" applyBorder="1" applyAlignment="1">
      <alignment vertical="center"/>
    </xf>
    <xf numFmtId="4" fontId="15" fillId="0" borderId="47" xfId="0" applyNumberFormat="1" applyFont="1" applyBorder="1" applyAlignment="1">
      <alignment horizontal="center" vertical="center"/>
    </xf>
    <xf numFmtId="4" fontId="15" fillId="0" borderId="47" xfId="0" applyNumberFormat="1" applyFont="1" applyFill="1" applyBorder="1" applyAlignment="1">
      <alignment horizontal="center" vertical="top"/>
    </xf>
    <xf numFmtId="4" fontId="15" fillId="0" borderId="49" xfId="0" applyNumberFormat="1" applyFont="1" applyBorder="1" applyAlignment="1">
      <alignment horizontal="center" vertical="center"/>
    </xf>
    <xf numFmtId="4" fontId="18" fillId="0" borderId="49" xfId="0" applyNumberFormat="1" applyFont="1" applyFill="1" applyBorder="1" applyAlignment="1">
      <alignment horizontal="justify" vertical="center"/>
    </xf>
    <xf numFmtId="4" fontId="18" fillId="0" borderId="49" xfId="0" applyNumberFormat="1" applyFont="1" applyFill="1" applyBorder="1" applyAlignment="1">
      <alignment horizontal="right" vertical="center"/>
    </xf>
    <xf numFmtId="4" fontId="15" fillId="0" borderId="49" xfId="0" applyNumberFormat="1" applyFont="1" applyFill="1" applyBorder="1" applyAlignment="1">
      <alignment horizontal="center" vertical="top"/>
    </xf>
    <xf numFmtId="4" fontId="19" fillId="0" borderId="49" xfId="0" applyNumberFormat="1" applyFont="1" applyFill="1" applyBorder="1" applyAlignment="1">
      <alignment horizontal="justify" vertical="center" wrapText="1"/>
    </xf>
    <xf numFmtId="4" fontId="19" fillId="0" borderId="49" xfId="0" applyNumberFormat="1" applyFont="1" applyFill="1" applyBorder="1" applyAlignment="1">
      <alignment horizontal="right" vertical="center" wrapText="1"/>
    </xf>
    <xf numFmtId="4" fontId="15" fillId="0" borderId="49" xfId="0" applyNumberFormat="1" applyFont="1" applyBorder="1" applyAlignment="1">
      <alignment horizontal="center" vertical="top"/>
    </xf>
    <xf numFmtId="4" fontId="15" fillId="0" borderId="49" xfId="0" applyNumberFormat="1" applyFont="1" applyFill="1" applyBorder="1" applyAlignment="1">
      <alignment horizontal="justify" vertical="top" wrapText="1"/>
    </xf>
    <xf numFmtId="4" fontId="15" fillId="0" borderId="49" xfId="0" applyNumberFormat="1" applyFont="1" applyFill="1" applyBorder="1" applyAlignment="1">
      <alignment horizontal="right" vertical="top" wrapText="1"/>
    </xf>
    <xf numFmtId="4" fontId="15" fillId="0" borderId="0" xfId="0" applyNumberFormat="1" applyFont="1" applyBorder="1" applyAlignment="1">
      <alignment vertical="top"/>
    </xf>
    <xf numFmtId="4" fontId="16" fillId="0" borderId="49" xfId="0" applyNumberFormat="1" applyFont="1" applyFill="1" applyBorder="1" applyAlignment="1">
      <alignment horizontal="justify" vertical="center" wrapText="1"/>
    </xf>
    <xf numFmtId="4" fontId="16" fillId="0" borderId="49" xfId="0" applyNumberFormat="1" applyFont="1" applyFill="1" applyBorder="1" applyAlignment="1">
      <alignment horizontal="right" vertical="center" wrapText="1"/>
    </xf>
    <xf numFmtId="4" fontId="15" fillId="0" borderId="49" xfId="0" applyNumberFormat="1" applyFont="1" applyFill="1" applyBorder="1" applyAlignment="1">
      <alignment horizontal="justify" vertical="center" wrapText="1"/>
    </xf>
    <xf numFmtId="4" fontId="15" fillId="0" borderId="49" xfId="0" applyNumberFormat="1" applyFont="1" applyFill="1" applyBorder="1" applyAlignment="1">
      <alignment horizontal="right" vertical="center" wrapText="1"/>
    </xf>
    <xf numFmtId="4" fontId="16" fillId="0" borderId="49" xfId="0" applyNumberFormat="1" applyFont="1" applyBorder="1" applyAlignment="1">
      <alignment horizontal="center" vertical="center"/>
    </xf>
    <xf numFmtId="4" fontId="15" fillId="0" borderId="49" xfId="0" applyNumberFormat="1" applyFont="1" applyFill="1" applyBorder="1" applyAlignment="1">
      <alignment horizontal="center" vertical="center"/>
    </xf>
    <xf numFmtId="4" fontId="15" fillId="0" borderId="0" xfId="0" applyNumberFormat="1" applyFont="1" applyFill="1" applyBorder="1" applyAlignment="1">
      <alignment vertical="center"/>
    </xf>
    <xf numFmtId="4" fontId="18" fillId="0" borderId="49" xfId="0" applyNumberFormat="1" applyFont="1" applyFill="1" applyBorder="1" applyAlignment="1">
      <alignment horizontal="justify" vertical="center" wrapText="1"/>
    </xf>
    <xf numFmtId="4" fontId="18" fillId="0" borderId="49" xfId="0" applyNumberFormat="1" applyFont="1" applyFill="1" applyBorder="1" applyAlignment="1">
      <alignment horizontal="right" vertical="center" wrapText="1"/>
    </xf>
    <xf numFmtId="4" fontId="16" fillId="0" borderId="49" xfId="0" applyNumberFormat="1" applyFont="1" applyFill="1" applyBorder="1" applyAlignment="1">
      <alignment horizontal="center" vertical="top"/>
    </xf>
    <xf numFmtId="4" fontId="16" fillId="0" borderId="0" xfId="0" applyNumberFormat="1" applyFont="1" applyBorder="1" applyAlignment="1">
      <alignment vertical="center"/>
    </xf>
    <xf numFmtId="4" fontId="15" fillId="0" borderId="0" xfId="0" applyNumberFormat="1" applyFont="1" applyBorder="1" applyAlignment="1">
      <alignment horizontal="justify" vertical="top"/>
    </xf>
    <xf numFmtId="4" fontId="19" fillId="0" borderId="49" xfId="0" applyNumberFormat="1" applyFont="1" applyFill="1" applyBorder="1" applyAlignment="1">
      <alignment horizontal="justify" vertical="top" wrapText="1"/>
    </xf>
    <xf numFmtId="4" fontId="15" fillId="0" borderId="0" xfId="0" applyNumberFormat="1" applyFont="1" applyBorder="1" applyAlignment="1">
      <alignment horizontal="center" vertical="top"/>
    </xf>
    <xf numFmtId="4" fontId="15" fillId="0" borderId="0" xfId="0" applyNumberFormat="1" applyFont="1" applyBorder="1" applyAlignment="1">
      <alignment horizontal="right" vertical="top"/>
    </xf>
    <xf numFmtId="4" fontId="15" fillId="0" borderId="47" xfId="0" applyNumberFormat="1" applyFont="1" applyFill="1" applyBorder="1" applyAlignment="1">
      <alignment horizontal="right" vertical="top"/>
    </xf>
    <xf numFmtId="4" fontId="15" fillId="0" borderId="49" xfId="0" applyNumberFormat="1" applyFont="1" applyFill="1" applyBorder="1" applyAlignment="1">
      <alignment horizontal="right" vertical="top"/>
    </xf>
    <xf numFmtId="4" fontId="16" fillId="0" borderId="49" xfId="0" applyNumberFormat="1" applyFont="1" applyFill="1" applyBorder="1" applyAlignment="1">
      <alignment horizontal="right" vertical="top"/>
    </xf>
    <xf numFmtId="0" fontId="15" fillId="0" borderId="5" xfId="0" applyFont="1" applyBorder="1" applyAlignment="1">
      <alignment vertical="center" wrapText="1"/>
    </xf>
    <xf numFmtId="164" fontId="11" fillId="0" borderId="0" xfId="2" applyFont="1" applyFill="1" applyBorder="1" applyAlignment="1"/>
    <xf numFmtId="2" fontId="16" fillId="0" borderId="6" xfId="0" applyNumberFormat="1" applyFont="1" applyFill="1" applyBorder="1" applyAlignment="1">
      <alignment horizontal="center"/>
    </xf>
    <xf numFmtId="2" fontId="16" fillId="0" borderId="7" xfId="0" applyNumberFormat="1" applyFont="1" applyFill="1" applyBorder="1" applyAlignment="1">
      <alignment horizontal="center"/>
    </xf>
    <xf numFmtId="2" fontId="16" fillId="0" borderId="8" xfId="0" applyNumberFormat="1" applyFont="1" applyFill="1" applyBorder="1" applyAlignment="1">
      <alignment horizontal="center"/>
    </xf>
    <xf numFmtId="0" fontId="16" fillId="0" borderId="9" xfId="0" applyFont="1" applyFill="1" applyBorder="1" applyAlignment="1">
      <alignment horizontal="center"/>
    </xf>
    <xf numFmtId="164" fontId="16" fillId="0" borderId="10" xfId="2" applyFont="1" applyFill="1" applyBorder="1" applyAlignment="1">
      <alignment horizontal="center"/>
    </xf>
    <xf numFmtId="0" fontId="15" fillId="0" borderId="11" xfId="0" applyFont="1" applyFill="1" applyBorder="1" applyAlignment="1">
      <alignment horizontal="center" vertical="top"/>
    </xf>
    <xf numFmtId="0" fontId="19" fillId="0" borderId="12" xfId="0" applyFont="1" applyFill="1" applyBorder="1" applyAlignment="1">
      <alignment horizontal="left" vertical="top"/>
    </xf>
    <xf numFmtId="2" fontId="15" fillId="0" borderId="13" xfId="0" applyNumberFormat="1" applyFont="1" applyFill="1" applyBorder="1" applyAlignment="1">
      <alignment horizontal="center"/>
    </xf>
    <xf numFmtId="0" fontId="15" fillId="0" borderId="14" xfId="0" applyFont="1" applyFill="1" applyBorder="1" applyAlignment="1">
      <alignment horizontal="center"/>
    </xf>
    <xf numFmtId="0" fontId="15" fillId="0" borderId="15" xfId="0" applyFont="1" applyFill="1" applyBorder="1" applyAlignment="1">
      <alignment horizontal="center"/>
    </xf>
    <xf numFmtId="0" fontId="16" fillId="0" borderId="11" xfId="0" applyFont="1" applyFill="1" applyBorder="1" applyAlignment="1">
      <alignment horizontal="center" vertical="top"/>
    </xf>
    <xf numFmtId="0" fontId="15" fillId="0" borderId="0" xfId="0" applyFont="1" applyFill="1" applyBorder="1" applyAlignment="1">
      <alignment horizontal="center"/>
    </xf>
    <xf numFmtId="0" fontId="15" fillId="0" borderId="0" xfId="0" applyFont="1" applyFill="1" applyBorder="1" applyAlignment="1">
      <alignment horizontal="justify"/>
    </xf>
    <xf numFmtId="0" fontId="15" fillId="0" borderId="16" xfId="0" applyFont="1" applyFill="1" applyBorder="1" applyAlignment="1">
      <alignment horizontal="center" vertical="top"/>
    </xf>
    <xf numFmtId="2" fontId="15" fillId="0" borderId="12" xfId="2" applyNumberFormat="1" applyFont="1" applyFill="1" applyBorder="1" applyAlignment="1">
      <alignment horizontal="right" vertical="justify"/>
    </xf>
    <xf numFmtId="0" fontId="15" fillId="0" borderId="12" xfId="0" applyFont="1" applyFill="1" applyBorder="1" applyAlignment="1">
      <alignment horizontal="center" vertical="justify"/>
    </xf>
    <xf numFmtId="164" fontId="15" fillId="0" borderId="12" xfId="3" applyFont="1" applyFill="1" applyBorder="1" applyAlignment="1">
      <alignment horizontal="right" vertical="justify"/>
    </xf>
    <xf numFmtId="164" fontId="15" fillId="0" borderId="17" xfId="3" applyFont="1" applyFill="1" applyBorder="1" applyAlignment="1">
      <alignment horizontal="right" vertical="justify"/>
    </xf>
    <xf numFmtId="0" fontId="15" fillId="0" borderId="12" xfId="0" applyFont="1" applyFill="1" applyBorder="1" applyAlignment="1">
      <alignment horizontal="justify" vertical="top"/>
    </xf>
    <xf numFmtId="2" fontId="15" fillId="0" borderId="12" xfId="2" applyNumberFormat="1" applyFont="1" applyFill="1" applyBorder="1" applyAlignment="1">
      <alignment horizontal="right" vertical="top"/>
    </xf>
    <xf numFmtId="0" fontId="15" fillId="0" borderId="12" xfId="0" applyFont="1" applyFill="1" applyBorder="1" applyAlignment="1">
      <alignment horizontal="center" vertical="top"/>
    </xf>
    <xf numFmtId="164" fontId="15" fillId="0" borderId="17" xfId="3" applyFont="1" applyFill="1" applyBorder="1" applyAlignment="1">
      <alignment horizontal="right" vertical="top"/>
    </xf>
    <xf numFmtId="4" fontId="25" fillId="0" borderId="12" xfId="4" applyNumberFormat="1" applyFont="1" applyFill="1" applyBorder="1" applyAlignment="1">
      <alignment wrapText="1"/>
    </xf>
    <xf numFmtId="164" fontId="15" fillId="0" borderId="17" xfId="2" applyFont="1" applyFill="1" applyBorder="1" applyAlignment="1">
      <alignment horizontal="right" vertical="justify"/>
    </xf>
    <xf numFmtId="0" fontId="15" fillId="0" borderId="13" xfId="0" applyFont="1" applyFill="1" applyBorder="1" applyAlignment="1">
      <alignment horizontal="justify" vertical="top"/>
    </xf>
    <xf numFmtId="0" fontId="15" fillId="0" borderId="18" xfId="0" applyFont="1" applyFill="1" applyBorder="1" applyAlignment="1">
      <alignment horizontal="center" vertical="top"/>
    </xf>
    <xf numFmtId="0" fontId="15" fillId="0" borderId="19" xfId="0" applyFont="1" applyFill="1" applyBorder="1" applyAlignment="1">
      <alignment horizontal="justify" vertical="top"/>
    </xf>
    <xf numFmtId="2" fontId="15" fillId="0" borderId="19" xfId="2" applyNumberFormat="1" applyFont="1" applyFill="1" applyBorder="1" applyAlignment="1">
      <alignment horizontal="right" vertical="top"/>
    </xf>
    <xf numFmtId="0" fontId="15" fillId="0" borderId="19" xfId="0" applyFont="1" applyFill="1" applyBorder="1" applyAlignment="1">
      <alignment horizontal="center" vertical="top"/>
    </xf>
    <xf numFmtId="164" fontId="15" fillId="0" borderId="20" xfId="3" applyFont="1" applyFill="1" applyBorder="1" applyAlignment="1">
      <alignment horizontal="right" vertical="justify"/>
    </xf>
    <xf numFmtId="0" fontId="15" fillId="0" borderId="21" xfId="0" applyFont="1" applyFill="1" applyBorder="1" applyAlignment="1">
      <alignment horizontal="center" vertical="top"/>
    </xf>
    <xf numFmtId="0" fontId="15" fillId="0" borderId="22" xfId="0" applyFont="1" applyFill="1" applyBorder="1" applyAlignment="1">
      <alignment horizontal="justify" vertical="top"/>
    </xf>
    <xf numFmtId="2" fontId="15" fillId="0" borderId="22" xfId="2" applyNumberFormat="1" applyFont="1" applyFill="1" applyBorder="1" applyAlignment="1">
      <alignment horizontal="right" vertical="top"/>
    </xf>
    <xf numFmtId="0" fontId="15" fillId="0" borderId="22" xfId="0" applyFont="1" applyFill="1" applyBorder="1" applyAlignment="1">
      <alignment horizontal="center" vertical="top"/>
    </xf>
    <xf numFmtId="164" fontId="15" fillId="0" borderId="23" xfId="3" applyFont="1" applyFill="1" applyBorder="1" applyAlignment="1">
      <alignment horizontal="right" vertical="justify"/>
    </xf>
    <xf numFmtId="0" fontId="16" fillId="0" borderId="12" xfId="0" applyFont="1" applyFill="1" applyBorder="1" applyAlignment="1">
      <alignment horizontal="justify" vertical="top"/>
    </xf>
    <xf numFmtId="4" fontId="25" fillId="0" borderId="24" xfId="4" applyNumberFormat="1" applyFont="1" applyFill="1" applyBorder="1" applyAlignment="1">
      <alignment wrapText="1"/>
    </xf>
    <xf numFmtId="2" fontId="15" fillId="0" borderId="13" xfId="2" applyNumberFormat="1" applyFont="1" applyFill="1" applyBorder="1" applyAlignment="1">
      <alignment horizontal="right" vertical="top"/>
    </xf>
    <xf numFmtId="0" fontId="15" fillId="0" borderId="14" xfId="0" applyFont="1" applyFill="1" applyBorder="1" applyAlignment="1">
      <alignment horizontal="center" vertical="top"/>
    </xf>
    <xf numFmtId="164" fontId="15" fillId="0" borderId="15" xfId="3" applyFont="1" applyFill="1" applyBorder="1" applyAlignment="1">
      <alignment horizontal="right" vertical="justify"/>
    </xf>
    <xf numFmtId="0" fontId="15" fillId="0" borderId="24" xfId="0" applyFont="1" applyFill="1" applyBorder="1" applyAlignment="1">
      <alignment horizontal="justify" vertical="top" wrapText="1"/>
    </xf>
    <xf numFmtId="2" fontId="15" fillId="0" borderId="13" xfId="2" applyNumberFormat="1" applyFont="1" applyFill="1" applyBorder="1" applyAlignment="1">
      <alignment horizontal="right" vertical="justify"/>
    </xf>
    <xf numFmtId="0" fontId="15" fillId="0" borderId="14" xfId="0" applyFont="1" applyFill="1" applyBorder="1" applyAlignment="1">
      <alignment horizontal="center" vertical="justify"/>
    </xf>
    <xf numFmtId="0" fontId="16" fillId="0" borderId="25" xfId="0" applyFont="1" applyFill="1" applyBorder="1" applyAlignment="1">
      <alignment horizontal="justify" vertical="top" wrapText="1"/>
    </xf>
    <xf numFmtId="0" fontId="15" fillId="0" borderId="26" xfId="0" applyFont="1" applyFill="1" applyBorder="1" applyAlignment="1">
      <alignment horizontal="center" vertical="justify"/>
    </xf>
    <xf numFmtId="0" fontId="15" fillId="0" borderId="27" xfId="0" applyFont="1" applyFill="1" applyBorder="1" applyAlignment="1">
      <alignment horizontal="center" vertical="top"/>
    </xf>
    <xf numFmtId="0" fontId="15" fillId="0" borderId="28" xfId="0" applyFont="1" applyFill="1" applyBorder="1" applyAlignment="1">
      <alignment horizontal="justify" vertical="top" wrapText="1"/>
    </xf>
    <xf numFmtId="2" fontId="15" fillId="0" borderId="29" xfId="2" applyNumberFormat="1" applyFont="1" applyFill="1" applyBorder="1" applyAlignment="1">
      <alignment horizontal="right" vertical="justify"/>
    </xf>
    <xf numFmtId="0" fontId="15" fillId="0" borderId="30" xfId="0" applyFont="1" applyFill="1" applyBorder="1" applyAlignment="1">
      <alignment horizontal="center" vertical="justify"/>
    </xf>
    <xf numFmtId="164" fontId="15" fillId="0" borderId="31" xfId="3" applyFont="1" applyFill="1" applyBorder="1" applyAlignment="1">
      <alignment horizontal="right" vertical="justify"/>
    </xf>
    <xf numFmtId="4" fontId="15" fillId="0" borderId="51" xfId="0" applyNumberFormat="1" applyFont="1" applyBorder="1" applyAlignment="1">
      <alignment horizontal="center" vertical="top"/>
    </xf>
    <xf numFmtId="4" fontId="15" fillId="0" borderId="51" xfId="0" applyNumberFormat="1" applyFont="1" applyFill="1" applyBorder="1" applyAlignment="1">
      <alignment horizontal="justify" vertical="top" wrapText="1"/>
    </xf>
    <xf numFmtId="4" fontId="15" fillId="0" borderId="51" xfId="0" applyNumberFormat="1" applyFont="1" applyFill="1" applyBorder="1" applyAlignment="1">
      <alignment horizontal="right" vertical="top" wrapText="1"/>
    </xf>
    <xf numFmtId="4" fontId="15" fillId="0" borderId="51" xfId="0" applyNumberFormat="1" applyFont="1" applyFill="1" applyBorder="1" applyAlignment="1">
      <alignment horizontal="center" vertical="top"/>
    </xf>
    <xf numFmtId="4" fontId="15" fillId="0" borderId="51" xfId="0" applyNumberFormat="1" applyFont="1" applyFill="1" applyBorder="1" applyAlignment="1">
      <alignment horizontal="right" vertical="top"/>
    </xf>
    <xf numFmtId="4" fontId="18" fillId="0" borderId="47" xfId="0" applyNumberFormat="1" applyFont="1" applyFill="1" applyBorder="1" applyAlignment="1">
      <alignment horizontal="justify" vertical="center" wrapText="1"/>
    </xf>
    <xf numFmtId="4" fontId="18" fillId="0" borderId="47" xfId="0" applyNumberFormat="1" applyFont="1" applyFill="1" applyBorder="1" applyAlignment="1">
      <alignment horizontal="right" vertical="center" wrapText="1"/>
    </xf>
    <xf numFmtId="4" fontId="15" fillId="0" borderId="53" xfId="0" applyNumberFormat="1" applyFont="1" applyBorder="1" applyAlignment="1">
      <alignment horizontal="center" vertical="center"/>
    </xf>
    <xf numFmtId="4" fontId="16" fillId="0" borderId="53" xfId="0" applyNumberFormat="1" applyFont="1" applyFill="1" applyBorder="1" applyAlignment="1">
      <alignment horizontal="justify" vertical="center" wrapText="1"/>
    </xf>
    <xf numFmtId="4" fontId="19" fillId="0" borderId="53" xfId="0" applyNumberFormat="1" applyFont="1" applyFill="1" applyBorder="1" applyAlignment="1">
      <alignment horizontal="right" vertical="center" wrapText="1"/>
    </xf>
    <xf numFmtId="4" fontId="15" fillId="0" borderId="53" xfId="0" applyNumberFormat="1" applyFont="1" applyFill="1" applyBorder="1" applyAlignment="1">
      <alignment horizontal="center" vertical="top"/>
    </xf>
    <xf numFmtId="4" fontId="16" fillId="0" borderId="53" xfId="0" applyNumberFormat="1" applyFont="1" applyFill="1" applyBorder="1" applyAlignment="1">
      <alignment horizontal="right" vertical="top"/>
    </xf>
    <xf numFmtId="2" fontId="24" fillId="0" borderId="4" xfId="0" applyNumberFormat="1" applyFont="1" applyFill="1" applyBorder="1" applyAlignment="1">
      <alignment horizontal="center"/>
    </xf>
    <xf numFmtId="2" fontId="24" fillId="0" borderId="0" xfId="0" applyNumberFormat="1" applyFont="1" applyFill="1" applyBorder="1" applyAlignment="1">
      <alignment horizontal="center"/>
    </xf>
    <xf numFmtId="2" fontId="24" fillId="0" borderId="5" xfId="0" applyNumberFormat="1" applyFont="1" applyFill="1" applyBorder="1" applyAlignment="1">
      <alignment horizontal="center"/>
    </xf>
    <xf numFmtId="2" fontId="23" fillId="0" borderId="6" xfId="0" applyNumberFormat="1" applyFont="1" applyFill="1" applyBorder="1" applyAlignment="1">
      <alignment horizontal="center" vertical="top"/>
    </xf>
    <xf numFmtId="2" fontId="23" fillId="0" borderId="7" xfId="0" applyNumberFormat="1" applyFont="1" applyFill="1" applyBorder="1" applyAlignment="1">
      <alignment horizontal="center"/>
    </xf>
    <xf numFmtId="2" fontId="23" fillId="0" borderId="8" xfId="0" applyNumberFormat="1" applyFont="1" applyFill="1" applyBorder="1" applyAlignment="1">
      <alignment horizontal="center"/>
    </xf>
    <xf numFmtId="0" fontId="23" fillId="0" borderId="9" xfId="0" applyFont="1" applyFill="1" applyBorder="1" applyAlignment="1">
      <alignment horizontal="center"/>
    </xf>
    <xf numFmtId="164" fontId="23" fillId="0" borderId="10" xfId="2" applyFont="1" applyFill="1" applyBorder="1" applyAlignment="1">
      <alignment horizontal="center"/>
    </xf>
    <xf numFmtId="2" fontId="23" fillId="0" borderId="11" xfId="0" applyNumberFormat="1" applyFont="1" applyFill="1" applyBorder="1" applyAlignment="1">
      <alignment horizontal="center" vertical="top"/>
    </xf>
    <xf numFmtId="2" fontId="23" fillId="0" borderId="0" xfId="0" applyNumberFormat="1" applyFont="1" applyFill="1" applyBorder="1" applyAlignment="1">
      <alignment horizontal="center"/>
    </xf>
    <xf numFmtId="2" fontId="23" fillId="0" borderId="13" xfId="0" applyNumberFormat="1" applyFont="1" applyFill="1" applyBorder="1" applyAlignment="1">
      <alignment horizontal="center"/>
    </xf>
    <xf numFmtId="0" fontId="23" fillId="0" borderId="0" xfId="0" applyFont="1" applyFill="1" applyBorder="1" applyAlignment="1">
      <alignment horizontal="center"/>
    </xf>
    <xf numFmtId="164" fontId="23" fillId="0" borderId="15" xfId="2" applyFont="1" applyFill="1" applyBorder="1" applyAlignment="1">
      <alignment horizontal="center"/>
    </xf>
    <xf numFmtId="164" fontId="13" fillId="0" borderId="13" xfId="2" applyFont="1" applyFill="1" applyBorder="1" applyAlignment="1"/>
    <xf numFmtId="164" fontId="13" fillId="0" borderId="15" xfId="2" applyFont="1" applyFill="1" applyBorder="1" applyAlignment="1">
      <alignment horizontal="right"/>
    </xf>
    <xf numFmtId="0" fontId="13" fillId="0" borderId="11" xfId="0" applyFont="1" applyFill="1" applyBorder="1" applyAlignment="1">
      <alignment horizontal="center" vertical="center"/>
    </xf>
    <xf numFmtId="2" fontId="13" fillId="0" borderId="0" xfId="0" applyNumberFormat="1" applyFont="1" applyFill="1" applyBorder="1" applyAlignment="1">
      <alignment vertical="center"/>
    </xf>
    <xf numFmtId="164" fontId="13" fillId="0" borderId="13" xfId="2" applyFont="1" applyFill="1" applyBorder="1" applyAlignment="1">
      <alignment vertical="center"/>
    </xf>
    <xf numFmtId="2" fontId="13" fillId="0" borderId="0" xfId="0" applyNumberFormat="1" applyFont="1" applyFill="1" applyBorder="1" applyAlignment="1">
      <alignment horizontal="center" vertical="center" wrapText="1"/>
    </xf>
    <xf numFmtId="0" fontId="13" fillId="0" borderId="6" xfId="0" applyFont="1" applyFill="1" applyBorder="1" applyAlignment="1">
      <alignment horizontal="center" vertical="center"/>
    </xf>
    <xf numFmtId="2" fontId="23" fillId="0" borderId="44" xfId="0" applyNumberFormat="1" applyFont="1" applyFill="1" applyBorder="1" applyAlignment="1">
      <alignment vertical="center"/>
    </xf>
    <xf numFmtId="164" fontId="23" fillId="0" borderId="8" xfId="2" applyFont="1" applyFill="1" applyBorder="1" applyAlignment="1">
      <alignment vertical="center"/>
    </xf>
    <xf numFmtId="2" fontId="23" fillId="0" borderId="44" xfId="0" applyNumberFormat="1" applyFont="1" applyFill="1" applyBorder="1" applyAlignment="1">
      <alignment horizontal="center" vertical="center" wrapText="1"/>
    </xf>
    <xf numFmtId="164" fontId="23" fillId="0" borderId="10" xfId="2" applyFont="1" applyFill="1" applyBorder="1" applyAlignment="1">
      <alignment horizontal="right" vertical="center"/>
    </xf>
    <xf numFmtId="0" fontId="13" fillId="0" borderId="0" xfId="0" applyFont="1" applyBorder="1" applyAlignment="1">
      <alignment horizontal="center" vertical="top"/>
    </xf>
    <xf numFmtId="0" fontId="13" fillId="0" borderId="0" xfId="0" applyFont="1" applyBorder="1" applyAlignment="1">
      <alignment horizontal="justify"/>
    </xf>
    <xf numFmtId="2" fontId="13" fillId="0" borderId="0" xfId="0" applyNumberFormat="1" applyFont="1" applyBorder="1" applyAlignment="1">
      <alignment horizontal="center"/>
    </xf>
    <xf numFmtId="0" fontId="13" fillId="0" borderId="0" xfId="0" applyFont="1" applyBorder="1" applyAlignment="1">
      <alignment horizontal="center"/>
    </xf>
    <xf numFmtId="0" fontId="13" fillId="0" borderId="27" xfId="0" applyFont="1" applyFill="1" applyBorder="1" applyAlignment="1">
      <alignment horizontal="center" vertical="top"/>
    </xf>
    <xf numFmtId="2" fontId="13" fillId="0" borderId="35" xfId="0" applyNumberFormat="1" applyFont="1" applyFill="1" applyBorder="1"/>
    <xf numFmtId="164" fontId="13" fillId="0" borderId="29" xfId="2" applyFont="1" applyFill="1" applyBorder="1" applyAlignment="1"/>
    <xf numFmtId="2" fontId="13" fillId="0" borderId="35" xfId="0" applyNumberFormat="1" applyFont="1" applyFill="1" applyBorder="1" applyAlignment="1">
      <alignment horizontal="center" wrapText="1"/>
    </xf>
    <xf numFmtId="164" fontId="13" fillId="0" borderId="31" xfId="2" applyFont="1" applyFill="1" applyBorder="1" applyAlignment="1">
      <alignment horizontal="right"/>
    </xf>
    <xf numFmtId="0" fontId="13" fillId="0" borderId="24" xfId="0" applyFont="1" applyBorder="1" applyAlignment="1">
      <alignment horizontal="justify" vertical="center"/>
    </xf>
    <xf numFmtId="164" fontId="13" fillId="0" borderId="15" xfId="2" applyFont="1" applyFill="1" applyBorder="1" applyAlignment="1">
      <alignment vertical="center"/>
    </xf>
    <xf numFmtId="0" fontId="13" fillId="0" borderId="11" xfId="0" applyFont="1" applyFill="1" applyBorder="1" applyAlignment="1">
      <alignment horizontal="center" vertical="center" wrapText="1"/>
    </xf>
    <xf numFmtId="0" fontId="13" fillId="0" borderId="0" xfId="0" applyFont="1" applyBorder="1" applyAlignment="1">
      <alignment horizontal="right" vertical="center"/>
    </xf>
    <xf numFmtId="164" fontId="13" fillId="0" borderId="13" xfId="2" applyFont="1" applyFill="1" applyBorder="1" applyAlignment="1">
      <alignment vertical="center" wrapText="1"/>
    </xf>
    <xf numFmtId="164" fontId="13" fillId="0" borderId="15" xfId="2" applyFont="1" applyFill="1" applyBorder="1" applyAlignment="1">
      <alignment vertical="center" wrapText="1"/>
    </xf>
    <xf numFmtId="0" fontId="13" fillId="0" borderId="0" xfId="0" applyFont="1" applyBorder="1" applyAlignment="1">
      <alignment horizontal="justify" vertical="center"/>
    </xf>
    <xf numFmtId="164" fontId="13" fillId="0" borderId="15" xfId="2" applyFont="1" applyFill="1" applyBorder="1" applyAlignment="1">
      <alignment horizontal="right" vertical="center" wrapText="1"/>
    </xf>
    <xf numFmtId="0" fontId="13" fillId="0" borderId="11" xfId="0" applyFont="1" applyFill="1" applyBorder="1" applyAlignment="1">
      <alignment horizontal="center" vertical="top" wrapText="1"/>
    </xf>
    <xf numFmtId="2" fontId="23" fillId="0" borderId="0" xfId="0" applyNumberFormat="1" applyFont="1" applyFill="1" applyBorder="1" applyAlignment="1">
      <alignment horizontal="right" wrapText="1"/>
    </xf>
    <xf numFmtId="164" fontId="13" fillId="0" borderId="13" xfId="2" applyFont="1" applyFill="1" applyBorder="1" applyAlignment="1">
      <alignment wrapText="1"/>
    </xf>
    <xf numFmtId="164" fontId="23" fillId="0" borderId="38" xfId="2" applyFont="1" applyFill="1" applyBorder="1" applyAlignment="1">
      <alignment horizontal="right"/>
    </xf>
    <xf numFmtId="0" fontId="13" fillId="0" borderId="27" xfId="0" applyFont="1" applyFill="1" applyBorder="1" applyAlignment="1">
      <alignment horizontal="center" vertical="top" wrapText="1"/>
    </xf>
    <xf numFmtId="0" fontId="13" fillId="0" borderId="35" xfId="0" applyFont="1" applyBorder="1" applyAlignment="1">
      <alignment horizontal="justify"/>
    </xf>
    <xf numFmtId="164" fontId="13" fillId="0" borderId="29" xfId="2" applyFont="1" applyFill="1" applyBorder="1" applyAlignment="1">
      <alignment wrapText="1"/>
    </xf>
    <xf numFmtId="0" fontId="13" fillId="0" borderId="40" xfId="0" applyFont="1" applyBorder="1" applyAlignment="1">
      <alignment horizontal="center"/>
    </xf>
    <xf numFmtId="2" fontId="15" fillId="0" borderId="0" xfId="0" applyNumberFormat="1" applyFont="1" applyFill="1" applyBorder="1"/>
    <xf numFmtId="164" fontId="15" fillId="0" borderId="13" xfId="2" applyFont="1" applyFill="1" applyBorder="1" applyAlignment="1"/>
    <xf numFmtId="2" fontId="15" fillId="0" borderId="0" xfId="0" applyNumberFormat="1" applyFont="1" applyFill="1" applyBorder="1" applyAlignment="1">
      <alignment horizontal="center" wrapText="1"/>
    </xf>
    <xf numFmtId="164" fontId="15" fillId="0" borderId="15" xfId="2" applyFont="1" applyFill="1" applyBorder="1" applyAlignment="1">
      <alignment horizontal="right"/>
    </xf>
    <xf numFmtId="164" fontId="15" fillId="0" borderId="15" xfId="2" applyFont="1" applyFill="1" applyBorder="1" applyAlignment="1">
      <alignment horizontal="right" vertical="center"/>
    </xf>
    <xf numFmtId="0" fontId="15" fillId="0" borderId="0" xfId="0" applyFont="1" applyBorder="1" applyAlignment="1">
      <alignment horizontal="center" vertical="top"/>
    </xf>
    <xf numFmtId="0" fontId="15" fillId="0" borderId="0" xfId="0" applyFont="1" applyBorder="1" applyAlignment="1">
      <alignment horizontal="justify"/>
    </xf>
    <xf numFmtId="2" fontId="15" fillId="0" borderId="0" xfId="0" applyNumberFormat="1" applyFont="1" applyBorder="1" applyAlignment="1">
      <alignment horizontal="center"/>
    </xf>
    <xf numFmtId="0" fontId="15" fillId="0" borderId="0" xfId="0" applyFont="1" applyBorder="1" applyAlignment="1">
      <alignment horizontal="center"/>
    </xf>
    <xf numFmtId="0" fontId="16" fillId="0" borderId="36" xfId="0" applyFont="1" applyFill="1" applyBorder="1" applyAlignment="1">
      <alignment horizontal="center" vertical="top"/>
    </xf>
    <xf numFmtId="2" fontId="19" fillId="0" borderId="2" xfId="0" applyNumberFormat="1" applyFont="1" applyFill="1" applyBorder="1"/>
    <xf numFmtId="164" fontId="15" fillId="0" borderId="37" xfId="2" applyFont="1" applyFill="1" applyBorder="1" applyAlignment="1"/>
    <xf numFmtId="2" fontId="15" fillId="0" borderId="2" xfId="0" applyNumberFormat="1" applyFont="1" applyFill="1" applyBorder="1" applyAlignment="1">
      <alignment horizontal="center" wrapText="1"/>
    </xf>
    <xf numFmtId="2" fontId="19" fillId="0" borderId="0" xfId="0" applyNumberFormat="1" applyFont="1" applyFill="1" applyBorder="1"/>
    <xf numFmtId="2" fontId="15" fillId="0" borderId="12" xfId="0" applyNumberFormat="1" applyFont="1" applyFill="1" applyBorder="1" applyAlignment="1">
      <alignment horizontal="left" wrapText="1"/>
    </xf>
    <xf numFmtId="164" fontId="15" fillId="0" borderId="12" xfId="2" applyFont="1" applyFill="1" applyBorder="1" applyAlignment="1">
      <alignment vertical="top"/>
    </xf>
    <xf numFmtId="2" fontId="15" fillId="0" borderId="12" xfId="0" applyNumberFormat="1" applyFont="1" applyFill="1" applyBorder="1" applyAlignment="1">
      <alignment horizontal="center" vertical="top" wrapText="1"/>
    </xf>
    <xf numFmtId="164" fontId="15" fillId="0" borderId="12" xfId="2" applyFont="1" applyFill="1" applyBorder="1" applyAlignment="1">
      <alignment horizontal="center" vertical="top"/>
    </xf>
    <xf numFmtId="2" fontId="15" fillId="0" borderId="12" xfId="0" applyNumberFormat="1" applyFont="1" applyFill="1" applyBorder="1"/>
    <xf numFmtId="164" fontId="15" fillId="0" borderId="12" xfId="2" applyFont="1" applyFill="1" applyBorder="1" applyAlignment="1"/>
    <xf numFmtId="2" fontId="15" fillId="0" borderId="12" xfId="0" applyNumberFormat="1" applyFont="1" applyFill="1" applyBorder="1" applyAlignment="1">
      <alignment horizontal="center" wrapText="1"/>
    </xf>
    <xf numFmtId="164" fontId="15" fillId="0" borderId="34" xfId="2" applyFont="1" applyFill="1" applyBorder="1" applyAlignment="1">
      <alignment horizontal="center"/>
    </xf>
    <xf numFmtId="2" fontId="16" fillId="0" borderId="19" xfId="0" applyNumberFormat="1" applyFont="1" applyFill="1" applyBorder="1"/>
    <xf numFmtId="164" fontId="16" fillId="0" borderId="19" xfId="2" applyFont="1" applyFill="1" applyBorder="1" applyAlignment="1"/>
    <xf numFmtId="2" fontId="16" fillId="0" borderId="19" xfId="0" applyNumberFormat="1" applyFont="1" applyFill="1" applyBorder="1" applyAlignment="1">
      <alignment horizontal="center" wrapText="1"/>
    </xf>
    <xf numFmtId="164" fontId="16" fillId="0" borderId="20" xfId="2" applyFont="1" applyFill="1" applyBorder="1" applyAlignment="1">
      <alignment horizontal="right"/>
    </xf>
    <xf numFmtId="4" fontId="13" fillId="0" borderId="0" xfId="0" applyNumberFormat="1" applyFont="1" applyBorder="1" applyAlignment="1">
      <alignment vertical="top"/>
    </xf>
    <xf numFmtId="4" fontId="13" fillId="0" borderId="0" xfId="0" applyNumberFormat="1" applyFont="1" applyBorder="1" applyAlignment="1">
      <alignment horizontal="center" vertical="top"/>
    </xf>
    <xf numFmtId="4" fontId="13" fillId="0" borderId="0" xfId="0" applyNumberFormat="1" applyFont="1" applyBorder="1" applyAlignment="1">
      <alignment horizontal="justify" vertical="top"/>
    </xf>
    <xf numFmtId="4" fontId="13" fillId="0" borderId="0" xfId="0" applyNumberFormat="1" applyFont="1" applyBorder="1" applyAlignment="1">
      <alignment horizontal="right" vertical="top"/>
    </xf>
    <xf numFmtId="0" fontId="15" fillId="0" borderId="5" xfId="0" applyFont="1" applyBorder="1" applyAlignment="1">
      <alignment wrapText="1"/>
    </xf>
    <xf numFmtId="0" fontId="15" fillId="0" borderId="0" xfId="0" applyFont="1"/>
    <xf numFmtId="164" fontId="16" fillId="0" borderId="8" xfId="1" applyFont="1" applyFill="1" applyBorder="1" applyAlignment="1">
      <alignment horizontal="center"/>
    </xf>
    <xf numFmtId="164" fontId="15" fillId="0" borderId="13" xfId="1" applyFont="1" applyFill="1" applyBorder="1" applyAlignment="1">
      <alignment horizontal="center"/>
    </xf>
    <xf numFmtId="164" fontId="15" fillId="0" borderId="13" xfId="1" applyFont="1" applyFill="1" applyBorder="1" applyAlignment="1">
      <alignment horizontal="right"/>
    </xf>
    <xf numFmtId="164" fontId="15" fillId="0" borderId="12" xfId="1" applyFont="1" applyFill="1" applyBorder="1" applyAlignment="1">
      <alignment horizontal="right" vertical="justify"/>
    </xf>
    <xf numFmtId="164" fontId="15" fillId="0" borderId="12" xfId="1" applyFont="1" applyFill="1" applyBorder="1" applyAlignment="1">
      <alignment horizontal="right" vertical="top"/>
    </xf>
    <xf numFmtId="164" fontId="15" fillId="0" borderId="19" xfId="1" applyFont="1" applyFill="1" applyBorder="1" applyAlignment="1">
      <alignment horizontal="right" vertical="justify"/>
    </xf>
    <xf numFmtId="164" fontId="15" fillId="0" borderId="22" xfId="1" applyFont="1" applyFill="1" applyBorder="1" applyAlignment="1">
      <alignment horizontal="right" vertical="justify"/>
    </xf>
    <xf numFmtId="164" fontId="15" fillId="0" borderId="13" xfId="1" applyFont="1" applyFill="1" applyBorder="1" applyAlignment="1">
      <alignment horizontal="right" vertical="justify"/>
    </xf>
    <xf numFmtId="164" fontId="15" fillId="0" borderId="29" xfId="1" applyFont="1" applyFill="1" applyBorder="1" applyAlignment="1">
      <alignment horizontal="right" vertical="justify"/>
    </xf>
    <xf numFmtId="164" fontId="15" fillId="0" borderId="50" xfId="1" applyFont="1" applyFill="1" applyBorder="1" applyAlignment="1">
      <alignment horizontal="right" vertical="top"/>
    </xf>
    <xf numFmtId="164" fontId="15" fillId="0" borderId="52" xfId="1" applyFont="1" applyFill="1" applyBorder="1" applyAlignment="1">
      <alignment horizontal="right" vertical="top"/>
    </xf>
    <xf numFmtId="164" fontId="15" fillId="0" borderId="54" xfId="1" applyFont="1" applyFill="1" applyBorder="1" applyAlignment="1">
      <alignment horizontal="right" vertical="top"/>
    </xf>
    <xf numFmtId="164" fontId="15" fillId="0" borderId="48" xfId="1" applyFont="1" applyFill="1" applyBorder="1" applyAlignment="1">
      <alignment horizontal="right" vertical="top"/>
    </xf>
    <xf numFmtId="164" fontId="16" fillId="0" borderId="50" xfId="1" applyFont="1" applyFill="1" applyBorder="1" applyAlignment="1">
      <alignment horizontal="right" vertical="top"/>
    </xf>
    <xf numFmtId="164" fontId="15" fillId="0" borderId="0" xfId="1" applyFont="1" applyBorder="1" applyAlignment="1">
      <alignment horizontal="right" vertical="top"/>
    </xf>
    <xf numFmtId="164" fontId="24" fillId="0" borderId="0" xfId="1" applyFont="1" applyFill="1" applyBorder="1" applyAlignment="1">
      <alignment horizontal="center"/>
    </xf>
    <xf numFmtId="164" fontId="23" fillId="0" borderId="8" xfId="1" applyFont="1" applyFill="1" applyBorder="1" applyAlignment="1">
      <alignment horizontal="center"/>
    </xf>
    <xf numFmtId="164" fontId="23" fillId="0" borderId="13" xfId="1" applyFont="1" applyFill="1" applyBorder="1" applyAlignment="1">
      <alignment horizontal="center"/>
    </xf>
    <xf numFmtId="164" fontId="13" fillId="0" borderId="13" xfId="1" applyFont="1" applyFill="1" applyBorder="1" applyAlignment="1">
      <alignment horizontal="right" wrapText="1"/>
    </xf>
    <xf numFmtId="164" fontId="13" fillId="0" borderId="13" xfId="1" applyFont="1" applyFill="1" applyBorder="1" applyAlignment="1">
      <alignment horizontal="right" vertical="center" wrapText="1"/>
    </xf>
    <xf numFmtId="164" fontId="23" fillId="0" borderId="8" xfId="1" applyFont="1" applyFill="1" applyBorder="1" applyAlignment="1">
      <alignment horizontal="right" vertical="center" wrapText="1"/>
    </xf>
    <xf numFmtId="164" fontId="13" fillId="0" borderId="0" xfId="1" applyFont="1" applyBorder="1" applyAlignment="1">
      <alignment horizontal="center"/>
    </xf>
    <xf numFmtId="164" fontId="15" fillId="0" borderId="37" xfId="1" applyFont="1" applyFill="1" applyBorder="1" applyAlignment="1"/>
    <xf numFmtId="164" fontId="15" fillId="0" borderId="13" xfId="1" applyFont="1" applyFill="1" applyBorder="1" applyAlignment="1"/>
    <xf numFmtId="164" fontId="15" fillId="0" borderId="12" xfId="1" applyFont="1" applyFill="1" applyBorder="1" applyAlignment="1">
      <alignment horizontal="center" vertical="top"/>
    </xf>
    <xf numFmtId="164" fontId="15" fillId="0" borderId="33" xfId="1" applyFont="1" applyFill="1" applyBorder="1" applyAlignment="1">
      <alignment horizontal="center"/>
    </xf>
    <xf numFmtId="164" fontId="15" fillId="0" borderId="13" xfId="1" applyFont="1" applyFill="1" applyBorder="1" applyAlignment="1">
      <alignment horizontal="right" wrapText="1"/>
    </xf>
    <xf numFmtId="164" fontId="16" fillId="0" borderId="19" xfId="1" applyFont="1" applyFill="1" applyBorder="1" applyAlignment="1">
      <alignment horizontal="right" wrapText="1"/>
    </xf>
    <xf numFmtId="164" fontId="15" fillId="0" borderId="0" xfId="1" applyFont="1" applyBorder="1" applyAlignment="1">
      <alignment horizontal="center"/>
    </xf>
    <xf numFmtId="164" fontId="13" fillId="0" borderId="29" xfId="1" applyFont="1" applyFill="1" applyBorder="1" applyAlignment="1">
      <alignment horizontal="right" wrapText="1"/>
    </xf>
    <xf numFmtId="164" fontId="13" fillId="0" borderId="0" xfId="1" applyFont="1" applyBorder="1" applyAlignment="1">
      <alignment horizontal="right" vertical="top"/>
    </xf>
    <xf numFmtId="4" fontId="15" fillId="0" borderId="55" xfId="0" applyNumberFormat="1" applyFont="1" applyBorder="1" applyAlignment="1">
      <alignment horizontal="center" vertical="center"/>
    </xf>
    <xf numFmtId="4" fontId="16" fillId="0" borderId="55" xfId="0" applyNumberFormat="1" applyFont="1" applyFill="1" applyBorder="1" applyAlignment="1">
      <alignment horizontal="justify" vertical="center" wrapText="1"/>
    </xf>
    <xf numFmtId="4" fontId="19" fillId="0" borderId="55" xfId="0" applyNumberFormat="1" applyFont="1" applyFill="1" applyBorder="1" applyAlignment="1">
      <alignment horizontal="right" vertical="center" wrapText="1"/>
    </xf>
    <xf numFmtId="4" fontId="15" fillId="0" borderId="55" xfId="0" applyNumberFormat="1" applyFont="1" applyFill="1" applyBorder="1" applyAlignment="1">
      <alignment horizontal="center" vertical="top"/>
    </xf>
    <xf numFmtId="164" fontId="15" fillId="0" borderId="56" xfId="1" applyFont="1" applyFill="1" applyBorder="1" applyAlignment="1">
      <alignment horizontal="right" vertical="top"/>
    </xf>
    <xf numFmtId="4" fontId="16" fillId="0" borderId="55" xfId="0" applyNumberFormat="1" applyFont="1" applyFill="1" applyBorder="1" applyAlignment="1">
      <alignment horizontal="right" vertical="top"/>
    </xf>
    <xf numFmtId="4" fontId="15" fillId="0" borderId="47" xfId="0" applyNumberFormat="1" applyFont="1" applyBorder="1" applyAlignment="1">
      <alignment horizontal="center" vertical="top"/>
    </xf>
    <xf numFmtId="4" fontId="15" fillId="0" borderId="13" xfId="0" applyNumberFormat="1" applyFont="1" applyBorder="1" applyAlignment="1">
      <alignment horizontal="center" vertical="top"/>
    </xf>
    <xf numFmtId="4" fontId="15" fillId="0" borderId="57" xfId="0" applyNumberFormat="1" applyFont="1" applyBorder="1" applyAlignment="1">
      <alignment horizontal="center" vertical="top"/>
    </xf>
    <xf numFmtId="4" fontId="15" fillId="0" borderId="59" xfId="0" applyNumberFormat="1" applyFont="1" applyBorder="1" applyAlignment="1">
      <alignment horizontal="center" vertical="top"/>
    </xf>
    <xf numFmtId="4" fontId="15" fillId="0" borderId="32" xfId="0" applyNumberFormat="1" applyFont="1" applyBorder="1" applyAlignment="1">
      <alignment horizontal="center" vertical="center"/>
    </xf>
    <xf numFmtId="4" fontId="15" fillId="0" borderId="41" xfId="0" applyNumberFormat="1" applyFont="1" applyFill="1" applyBorder="1" applyAlignment="1">
      <alignment horizontal="right" vertical="top"/>
    </xf>
    <xf numFmtId="4" fontId="15" fillId="0" borderId="24" xfId="0" applyNumberFormat="1" applyFont="1" applyFill="1" applyBorder="1" applyAlignment="1">
      <alignment horizontal="right" vertical="top"/>
    </xf>
    <xf numFmtId="4" fontId="15" fillId="0" borderId="61" xfId="0" applyNumberFormat="1" applyFont="1" applyFill="1" applyBorder="1" applyAlignment="1">
      <alignment horizontal="right" vertical="top"/>
    </xf>
    <xf numFmtId="4" fontId="15" fillId="0" borderId="62" xfId="0" applyNumberFormat="1" applyFont="1" applyBorder="1" applyAlignment="1">
      <alignment horizontal="center" vertical="top"/>
    </xf>
    <xf numFmtId="4" fontId="18" fillId="0" borderId="41" xfId="0" applyNumberFormat="1" applyFont="1" applyFill="1" applyBorder="1" applyAlignment="1">
      <alignment horizontal="justify" vertical="center" wrapText="1"/>
    </xf>
    <xf numFmtId="4" fontId="15" fillId="0" borderId="24" xfId="0" applyNumberFormat="1" applyFont="1" applyFill="1" applyBorder="1" applyAlignment="1">
      <alignment horizontal="justify" vertical="top" wrapText="1"/>
    </xf>
    <xf numFmtId="4" fontId="15" fillId="0" borderId="64" xfId="0" applyNumberFormat="1" applyFont="1" applyFill="1" applyBorder="1" applyAlignment="1">
      <alignment horizontal="justify" vertical="top" wrapText="1"/>
    </xf>
    <xf numFmtId="4" fontId="15" fillId="0" borderId="65" xfId="0" applyNumberFormat="1" applyFont="1" applyFill="1" applyBorder="1" applyAlignment="1">
      <alignment horizontal="justify" vertical="top" wrapText="1"/>
    </xf>
    <xf numFmtId="4" fontId="15" fillId="0" borderId="63" xfId="0" applyNumberFormat="1" applyFont="1" applyFill="1" applyBorder="1" applyAlignment="1">
      <alignment horizontal="justify" vertical="top" wrapText="1"/>
    </xf>
    <xf numFmtId="4" fontId="15" fillId="0" borderId="60" xfId="0" applyNumberFormat="1" applyFont="1" applyFill="1" applyBorder="1" applyAlignment="1">
      <alignment horizontal="justify" vertical="top" wrapText="1"/>
    </xf>
    <xf numFmtId="4" fontId="15" fillId="0" borderId="61" xfId="0" applyNumberFormat="1" applyFont="1" applyFill="1" applyBorder="1" applyAlignment="1">
      <alignment horizontal="justify" vertical="top" wrapText="1"/>
    </xf>
    <xf numFmtId="4" fontId="15" fillId="0" borderId="58" xfId="0" applyNumberFormat="1" applyFont="1" applyFill="1" applyBorder="1" applyAlignment="1">
      <alignment horizontal="center" vertical="top"/>
    </xf>
    <xf numFmtId="4" fontId="15" fillId="0" borderId="46" xfId="0" applyNumberFormat="1" applyFont="1" applyFill="1" applyBorder="1" applyAlignment="1">
      <alignment horizontal="center" vertical="top"/>
    </xf>
    <xf numFmtId="4" fontId="18" fillId="0" borderId="41" xfId="0" applyNumberFormat="1" applyFont="1" applyFill="1" applyBorder="1" applyAlignment="1">
      <alignment horizontal="right" vertical="center" wrapText="1"/>
    </xf>
    <xf numFmtId="4" fontId="15" fillId="0" borderId="24" xfId="0" applyNumberFormat="1" applyFont="1" applyFill="1" applyBorder="1" applyAlignment="1">
      <alignment horizontal="right" vertical="top" wrapText="1"/>
    </xf>
    <xf numFmtId="4" fontId="15" fillId="0" borderId="64" xfId="0" applyNumberFormat="1" applyFont="1" applyFill="1" applyBorder="1" applyAlignment="1">
      <alignment horizontal="right" vertical="top" wrapText="1"/>
    </xf>
    <xf numFmtId="4" fontId="15" fillId="0" borderId="65" xfId="0" applyNumberFormat="1" applyFont="1" applyFill="1" applyBorder="1" applyAlignment="1">
      <alignment horizontal="right" vertical="top" wrapText="1"/>
    </xf>
    <xf numFmtId="4" fontId="15" fillId="0" borderId="66" xfId="0" applyNumberFormat="1" applyFont="1" applyFill="1" applyBorder="1" applyAlignment="1">
      <alignment horizontal="right" vertical="top" wrapText="1"/>
    </xf>
    <xf numFmtId="4" fontId="15" fillId="0" borderId="61" xfId="0" applyNumberFormat="1" applyFont="1" applyFill="1" applyBorder="1" applyAlignment="1">
      <alignment horizontal="right" vertical="top" wrapText="1"/>
    </xf>
    <xf numFmtId="4" fontId="19" fillId="0" borderId="16" xfId="0" applyNumberFormat="1" applyFont="1" applyFill="1" applyBorder="1" applyAlignment="1">
      <alignment horizontal="right" vertical="center" wrapText="1"/>
    </xf>
    <xf numFmtId="4" fontId="15" fillId="0" borderId="32" xfId="0" applyNumberFormat="1" applyFont="1" applyFill="1" applyBorder="1" applyAlignment="1">
      <alignment horizontal="center" vertical="top"/>
    </xf>
    <xf numFmtId="4" fontId="15" fillId="0" borderId="13" xfId="0" applyNumberFormat="1" applyFont="1" applyFill="1" applyBorder="1" applyAlignment="1">
      <alignment horizontal="center" vertical="top"/>
    </xf>
    <xf numFmtId="4" fontId="15" fillId="0" borderId="57" xfId="0" applyNumberFormat="1" applyFont="1" applyFill="1" applyBorder="1" applyAlignment="1">
      <alignment horizontal="center" vertical="top"/>
    </xf>
    <xf numFmtId="4" fontId="15" fillId="0" borderId="59" xfId="0" applyNumberFormat="1" applyFont="1" applyFill="1" applyBorder="1" applyAlignment="1">
      <alignment horizontal="center" vertical="top"/>
    </xf>
    <xf numFmtId="4" fontId="15" fillId="0" borderId="67" xfId="0" applyNumberFormat="1" applyFont="1" applyFill="1" applyBorder="1" applyAlignment="1">
      <alignment horizontal="center" vertical="top"/>
    </xf>
    <xf numFmtId="4" fontId="15" fillId="0" borderId="64" xfId="0" applyNumberFormat="1" applyFont="1" applyFill="1" applyBorder="1" applyAlignment="1">
      <alignment horizontal="right" vertical="top"/>
    </xf>
    <xf numFmtId="4" fontId="15" fillId="0" borderId="65" xfId="0" applyNumberFormat="1" applyFont="1" applyFill="1" applyBorder="1" applyAlignment="1">
      <alignment horizontal="right" vertical="top"/>
    </xf>
    <xf numFmtId="4" fontId="15" fillId="0" borderId="66" xfId="0" applyNumberFormat="1" applyFont="1" applyFill="1" applyBorder="1" applyAlignment="1">
      <alignment horizontal="right" vertical="top"/>
    </xf>
    <xf numFmtId="164" fontId="15" fillId="0" borderId="41" xfId="1" applyFont="1" applyFill="1" applyBorder="1" applyAlignment="1">
      <alignment horizontal="right" vertical="top"/>
    </xf>
    <xf numFmtId="164" fontId="15" fillId="0" borderId="24" xfId="1" applyFont="1" applyFill="1" applyBorder="1" applyAlignment="1">
      <alignment horizontal="right" vertical="top"/>
    </xf>
    <xf numFmtId="164" fontId="15" fillId="0" borderId="64" xfId="1" applyFont="1" applyFill="1" applyBorder="1" applyAlignment="1">
      <alignment horizontal="right" vertical="top"/>
    </xf>
    <xf numFmtId="164" fontId="15" fillId="0" borderId="65" xfId="1" applyFont="1" applyFill="1" applyBorder="1" applyAlignment="1">
      <alignment horizontal="right" vertical="top"/>
    </xf>
    <xf numFmtId="164" fontId="15" fillId="0" borderId="66" xfId="1" applyFont="1" applyFill="1" applyBorder="1" applyAlignment="1">
      <alignment horizontal="right" vertical="top"/>
    </xf>
    <xf numFmtId="164" fontId="15" fillId="0" borderId="61" xfId="1" applyFont="1" applyFill="1" applyBorder="1" applyAlignment="1">
      <alignment horizontal="right" vertical="top"/>
    </xf>
    <xf numFmtId="0" fontId="26" fillId="0" borderId="13" xfId="0" applyFont="1" applyBorder="1" applyAlignment="1">
      <alignment vertical="center"/>
    </xf>
    <xf numFmtId="0" fontId="24" fillId="0" borderId="24" xfId="0" applyFont="1" applyFill="1" applyBorder="1" applyAlignment="1">
      <alignment horizontal="justify" vertical="center"/>
    </xf>
    <xf numFmtId="0" fontId="13" fillId="0" borderId="24" xfId="0" applyFont="1" applyBorder="1"/>
    <xf numFmtId="0" fontId="13" fillId="0" borderId="13" xfId="0" applyFont="1" applyBorder="1"/>
    <xf numFmtId="164" fontId="13" fillId="0" borderId="24" xfId="1" applyFont="1" applyBorder="1"/>
    <xf numFmtId="0" fontId="13" fillId="0" borderId="24" xfId="0" applyFont="1" applyFill="1" applyBorder="1" applyAlignment="1">
      <alignment horizontal="justify" vertical="top"/>
    </xf>
    <xf numFmtId="0" fontId="27" fillId="0" borderId="13" xfId="0" applyFont="1" applyBorder="1" applyAlignment="1">
      <alignment horizontal="center" vertical="center"/>
    </xf>
    <xf numFmtId="165" fontId="13" fillId="0" borderId="24" xfId="0" applyNumberFormat="1" applyFont="1" applyBorder="1" applyAlignment="1">
      <alignment horizontal="center"/>
    </xf>
    <xf numFmtId="0" fontId="13" fillId="0" borderId="13" xfId="0" applyFont="1" applyBorder="1" applyAlignment="1">
      <alignment horizontal="center"/>
    </xf>
    <xf numFmtId="0" fontId="24" fillId="0" borderId="24" xfId="0" applyFont="1" applyFill="1" applyBorder="1" applyAlignment="1">
      <alignment horizontal="justify" vertical="top"/>
    </xf>
    <xf numFmtId="0" fontId="13" fillId="0" borderId="24" xfId="0" applyFont="1" applyFill="1" applyBorder="1" applyAlignment="1">
      <alignment horizontal="justify" vertical="center"/>
    </xf>
    <xf numFmtId="165" fontId="13" fillId="0" borderId="24" xfId="0" applyNumberFormat="1" applyFont="1" applyBorder="1"/>
    <xf numFmtId="164" fontId="13" fillId="0" borderId="24" xfId="1" applyFont="1" applyBorder="1" applyAlignment="1">
      <alignment horizontal="right"/>
    </xf>
    <xf numFmtId="0" fontId="13" fillId="0" borderId="13" xfId="0" applyFont="1" applyBorder="1" applyAlignment="1">
      <alignment horizontal="center" vertical="center"/>
    </xf>
    <xf numFmtId="0" fontId="23" fillId="0" borderId="13" xfId="0" applyFont="1" applyBorder="1" applyAlignment="1">
      <alignment horizontal="center"/>
    </xf>
    <xf numFmtId="164" fontId="23" fillId="0" borderId="42" xfId="0" applyNumberFormat="1" applyFont="1" applyBorder="1"/>
    <xf numFmtId="4" fontId="16" fillId="0" borderId="42" xfId="0" applyNumberFormat="1" applyFont="1" applyFill="1" applyBorder="1" applyAlignment="1">
      <alignment horizontal="right" vertical="top"/>
    </xf>
    <xf numFmtId="0" fontId="15" fillId="0" borderId="12" xfId="0" applyFont="1" applyBorder="1" applyAlignment="1">
      <alignment horizontal="justify" vertical="top"/>
    </xf>
    <xf numFmtId="164" fontId="0" fillId="0" borderId="6" xfId="2" applyNumberFormat="1" applyFont="1" applyBorder="1"/>
    <xf numFmtId="0" fontId="12" fillId="0" borderId="8" xfId="12" applyBorder="1"/>
    <xf numFmtId="164" fontId="0" fillId="0" borderId="8" xfId="2" applyFont="1" applyBorder="1"/>
    <xf numFmtId="164" fontId="29" fillId="2" borderId="42" xfId="2" applyFont="1" applyFill="1" applyBorder="1"/>
    <xf numFmtId="0" fontId="12" fillId="0" borderId="10" xfId="12" applyBorder="1"/>
    <xf numFmtId="0" fontId="12" fillId="0" borderId="0" xfId="12"/>
    <xf numFmtId="164" fontId="0" fillId="0" borderId="33" xfId="2" applyNumberFormat="1" applyFont="1" applyBorder="1"/>
    <xf numFmtId="0" fontId="12" fillId="0" borderId="33" xfId="12" applyBorder="1"/>
    <xf numFmtId="1" fontId="12" fillId="0" borderId="33" xfId="12" applyNumberFormat="1" applyBorder="1"/>
    <xf numFmtId="164" fontId="0" fillId="0" borderId="33" xfId="2" applyFont="1" applyBorder="1"/>
    <xf numFmtId="164" fontId="0" fillId="0" borderId="12" xfId="2" applyNumberFormat="1" applyFont="1" applyBorder="1"/>
    <xf numFmtId="0" fontId="0" fillId="0" borderId="12" xfId="12" applyFont="1" applyBorder="1"/>
    <xf numFmtId="0" fontId="12" fillId="0" borderId="12" xfId="12" applyBorder="1"/>
    <xf numFmtId="164" fontId="0" fillId="0" borderId="12" xfId="2" applyFont="1" applyBorder="1"/>
    <xf numFmtId="0" fontId="12" fillId="0" borderId="12" xfId="12" applyFont="1" applyBorder="1"/>
    <xf numFmtId="164" fontId="0" fillId="0" borderId="0" xfId="2" applyFont="1"/>
    <xf numFmtId="164" fontId="0" fillId="0" borderId="0" xfId="2" applyNumberFormat="1" applyFont="1"/>
    <xf numFmtId="164" fontId="0" fillId="0" borderId="13" xfId="2" applyFont="1" applyBorder="1"/>
    <xf numFmtId="164" fontId="0" fillId="0" borderId="32" xfId="2" applyFont="1" applyBorder="1"/>
    <xf numFmtId="43" fontId="12" fillId="0" borderId="0" xfId="12" applyNumberFormat="1"/>
    <xf numFmtId="0" fontId="31" fillId="0" borderId="12" xfId="12" applyFont="1" applyBorder="1"/>
    <xf numFmtId="164" fontId="12" fillId="0" borderId="0" xfId="1" applyFont="1"/>
    <xf numFmtId="164" fontId="12" fillId="0" borderId="12" xfId="2" applyFont="1" applyBorder="1"/>
    <xf numFmtId="164" fontId="16" fillId="0" borderId="0" xfId="2" applyFont="1" applyFill="1" applyBorder="1" applyAlignment="1">
      <alignment horizontal="center"/>
    </xf>
    <xf numFmtId="4" fontId="15" fillId="0" borderId="0" xfId="0" applyNumberFormat="1" applyFont="1" applyFill="1" applyBorder="1" applyAlignment="1">
      <alignment horizontal="right" vertical="top"/>
    </xf>
    <xf numFmtId="4" fontId="16" fillId="0" borderId="0" xfId="0" applyNumberFormat="1" applyFont="1" applyFill="1" applyBorder="1" applyAlignment="1">
      <alignment horizontal="right" vertical="top"/>
    </xf>
    <xf numFmtId="166" fontId="0" fillId="0" borderId="8" xfId="2" applyNumberFormat="1" applyFont="1" applyBorder="1"/>
    <xf numFmtId="166" fontId="0" fillId="0" borderId="33" xfId="2" applyNumberFormat="1" applyFont="1" applyBorder="1"/>
    <xf numFmtId="166" fontId="0" fillId="0" borderId="12" xfId="2" applyNumberFormat="1" applyFont="1" applyBorder="1"/>
    <xf numFmtId="166" fontId="0" fillId="0" borderId="0" xfId="2" applyNumberFormat="1" applyFont="1"/>
    <xf numFmtId="4" fontId="16" fillId="0" borderId="53" xfId="0" applyNumberFormat="1" applyFont="1" applyFill="1" applyBorder="1" applyAlignment="1">
      <alignment horizontal="left" vertical="center" wrapText="1"/>
    </xf>
    <xf numFmtId="2" fontId="32" fillId="0" borderId="6" xfId="0" applyNumberFormat="1" applyFont="1" applyFill="1" applyBorder="1" applyAlignment="1">
      <alignment horizontal="center" vertical="top"/>
    </xf>
    <xf numFmtId="2" fontId="32" fillId="0" borderId="7" xfId="0" applyNumberFormat="1" applyFont="1" applyFill="1" applyBorder="1" applyAlignment="1">
      <alignment horizontal="center"/>
    </xf>
    <xf numFmtId="164" fontId="32" fillId="0" borderId="10" xfId="1" applyFont="1" applyFill="1" applyBorder="1" applyAlignment="1">
      <alignment horizontal="center"/>
    </xf>
    <xf numFmtId="4" fontId="33" fillId="0" borderId="0" xfId="0" applyNumberFormat="1" applyFont="1" applyBorder="1" applyAlignment="1">
      <alignment vertical="top"/>
    </xf>
    <xf numFmtId="0" fontId="33" fillId="0" borderId="11" xfId="0" applyFont="1" applyFill="1" applyBorder="1" applyAlignment="1">
      <alignment horizontal="center" vertical="top"/>
    </xf>
    <xf numFmtId="2" fontId="33" fillId="0" borderId="0" xfId="0" applyNumberFormat="1" applyFont="1" applyFill="1" applyBorder="1"/>
    <xf numFmtId="164" fontId="33" fillId="0" borderId="15" xfId="1" applyFont="1" applyFill="1" applyBorder="1" applyAlignment="1"/>
    <xf numFmtId="0" fontId="33" fillId="0" borderId="11" xfId="0" applyFont="1" applyFill="1" applyBorder="1" applyAlignment="1">
      <alignment horizontal="center" vertical="center"/>
    </xf>
    <xf numFmtId="0" fontId="33" fillId="0" borderId="24" xfId="0" applyFont="1" applyBorder="1" applyAlignment="1">
      <alignment horizontal="justify" vertical="center"/>
    </xf>
    <xf numFmtId="164" fontId="33" fillId="0" borderId="15" xfId="1" applyFont="1" applyFill="1" applyBorder="1" applyAlignment="1">
      <alignment vertical="center"/>
    </xf>
    <xf numFmtId="2" fontId="33" fillId="0" borderId="0" xfId="0" applyNumberFormat="1" applyFont="1" applyFill="1" applyBorder="1" applyAlignment="1">
      <alignment vertical="center"/>
    </xf>
    <xf numFmtId="0" fontId="33" fillId="0" borderId="11" xfId="0" applyFont="1" applyFill="1" applyBorder="1" applyAlignment="1">
      <alignment horizontal="center" vertical="center" wrapText="1"/>
    </xf>
    <xf numFmtId="164" fontId="33" fillId="0" borderId="15" xfId="1" applyFont="1" applyFill="1" applyBorder="1" applyAlignment="1">
      <alignment vertical="center" wrapText="1"/>
    </xf>
    <xf numFmtId="0" fontId="33" fillId="0" borderId="0" xfId="0" applyFont="1" applyBorder="1" applyAlignment="1">
      <alignment horizontal="justify" vertical="center"/>
    </xf>
    <xf numFmtId="0" fontId="32" fillId="0" borderId="0" xfId="0" applyFont="1" applyBorder="1" applyAlignment="1">
      <alignment horizontal="left" vertical="center"/>
    </xf>
    <xf numFmtId="164" fontId="32" fillId="0" borderId="15" xfId="1" applyFont="1" applyFill="1" applyBorder="1" applyAlignment="1">
      <alignment vertical="center" wrapText="1"/>
    </xf>
    <xf numFmtId="0" fontId="33" fillId="0" borderId="11" xfId="0" applyFont="1" applyFill="1" applyBorder="1" applyAlignment="1">
      <alignment horizontal="center" vertical="top" wrapText="1"/>
    </xf>
    <xf numFmtId="2" fontId="32" fillId="0" borderId="0" xfId="0" applyNumberFormat="1" applyFont="1" applyFill="1" applyBorder="1" applyAlignment="1">
      <alignment horizontal="left" wrapText="1"/>
    </xf>
    <xf numFmtId="164" fontId="33" fillId="0" borderId="15" xfId="1" applyFont="1" applyFill="1" applyBorder="1" applyAlignment="1">
      <alignment wrapText="1"/>
    </xf>
    <xf numFmtId="0" fontId="33" fillId="0" borderId="27" xfId="0" applyFont="1" applyFill="1" applyBorder="1" applyAlignment="1">
      <alignment horizontal="center" vertical="top" wrapText="1"/>
    </xf>
    <xf numFmtId="0" fontId="33" fillId="0" borderId="0" xfId="0" applyFont="1" applyBorder="1" applyAlignment="1">
      <alignment horizontal="center" vertical="top"/>
    </xf>
    <xf numFmtId="0" fontId="33" fillId="0" borderId="0" xfId="0" applyFont="1" applyBorder="1" applyAlignment="1">
      <alignment horizontal="justify"/>
    </xf>
    <xf numFmtId="4" fontId="33" fillId="0" borderId="0" xfId="0" applyNumberFormat="1" applyFont="1" applyBorder="1" applyAlignment="1">
      <alignment horizontal="center" vertical="top"/>
    </xf>
    <xf numFmtId="4" fontId="33" fillId="0" borderId="0" xfId="0" applyNumberFormat="1" applyFont="1" applyBorder="1" applyAlignment="1">
      <alignment horizontal="justify" vertical="top"/>
    </xf>
    <xf numFmtId="164" fontId="33" fillId="0" borderId="0" xfId="1" applyFont="1" applyBorder="1" applyAlignment="1">
      <alignment horizontal="right" vertical="top"/>
    </xf>
    <xf numFmtId="4" fontId="33" fillId="0" borderId="1" xfId="0" applyNumberFormat="1" applyFont="1" applyBorder="1" applyAlignment="1">
      <alignment horizontal="center" vertical="top"/>
    </xf>
    <xf numFmtId="4" fontId="33" fillId="0" borderId="2" xfId="0" applyNumberFormat="1" applyFont="1" applyBorder="1" applyAlignment="1">
      <alignment horizontal="justify" vertical="top"/>
    </xf>
    <xf numFmtId="2" fontId="32" fillId="0" borderId="11" xfId="0" applyNumberFormat="1" applyFont="1" applyFill="1" applyBorder="1" applyAlignment="1">
      <alignment horizontal="center" vertical="top"/>
    </xf>
    <xf numFmtId="2" fontId="32" fillId="0" borderId="0" xfId="0" applyNumberFormat="1" applyFont="1" applyFill="1" applyBorder="1" applyAlignment="1">
      <alignment horizontal="center"/>
    </xf>
    <xf numFmtId="0" fontId="33" fillId="0" borderId="6" xfId="0" applyFont="1" applyFill="1" applyBorder="1" applyAlignment="1">
      <alignment horizontal="center" vertical="center"/>
    </xf>
    <xf numFmtId="2" fontId="32" fillId="0" borderId="44" xfId="0" applyNumberFormat="1" applyFont="1" applyFill="1" applyBorder="1" applyAlignment="1">
      <alignment vertical="center"/>
    </xf>
    <xf numFmtId="2" fontId="32" fillId="0" borderId="27" xfId="0" applyNumberFormat="1" applyFont="1" applyFill="1" applyBorder="1" applyAlignment="1">
      <alignment horizontal="center" vertical="top"/>
    </xf>
    <xf numFmtId="2" fontId="32" fillId="0" borderId="28" xfId="0" applyNumberFormat="1" applyFont="1" applyFill="1" applyBorder="1" applyAlignment="1">
      <alignment horizontal="center"/>
    </xf>
    <xf numFmtId="2" fontId="18" fillId="0" borderId="39" xfId="0" applyNumberFormat="1" applyFont="1" applyFill="1" applyBorder="1" applyAlignment="1">
      <alignment horizontal="center"/>
    </xf>
    <xf numFmtId="2" fontId="18" fillId="0" borderId="35" xfId="0" applyNumberFormat="1" applyFont="1" applyFill="1" applyBorder="1" applyAlignment="1">
      <alignment horizontal="center"/>
    </xf>
    <xf numFmtId="0" fontId="13" fillId="0" borderId="12" xfId="0" applyFont="1" applyFill="1" applyBorder="1" applyAlignment="1">
      <alignment horizontal="justify" vertical="top"/>
    </xf>
    <xf numFmtId="0" fontId="15" fillId="0" borderId="13" xfId="0" applyFont="1" applyFill="1" applyBorder="1" applyAlignment="1">
      <alignment horizontal="center" vertical="justify"/>
    </xf>
    <xf numFmtId="164" fontId="15" fillId="0" borderId="13" xfId="1" applyFont="1" applyFill="1" applyBorder="1" applyAlignment="1">
      <alignment horizontal="right" vertical="top"/>
    </xf>
    <xf numFmtId="0" fontId="16" fillId="0" borderId="13" xfId="0" applyFont="1" applyFill="1" applyBorder="1" applyAlignment="1">
      <alignment horizontal="justify" vertical="top"/>
    </xf>
    <xf numFmtId="0" fontId="19" fillId="0" borderId="37" xfId="0" applyFont="1" applyFill="1" applyBorder="1" applyAlignment="1">
      <alignment horizontal="left" vertical="top"/>
    </xf>
    <xf numFmtId="2" fontId="15" fillId="0" borderId="37" xfId="0" applyNumberFormat="1" applyFont="1" applyFill="1" applyBorder="1" applyAlignment="1">
      <alignment horizontal="center"/>
    </xf>
    <xf numFmtId="0" fontId="15" fillId="0" borderId="37" xfId="0" applyFont="1" applyFill="1" applyBorder="1" applyAlignment="1">
      <alignment horizontal="center"/>
    </xf>
    <xf numFmtId="0" fontId="19" fillId="0" borderId="13" xfId="0" applyFont="1" applyFill="1" applyBorder="1" applyAlignment="1">
      <alignment horizontal="left" vertical="top"/>
    </xf>
    <xf numFmtId="0" fontId="15" fillId="0" borderId="13" xfId="0" applyFont="1" applyFill="1" applyBorder="1" applyAlignment="1">
      <alignment horizontal="center"/>
    </xf>
    <xf numFmtId="0" fontId="15" fillId="0" borderId="13" xfId="0" applyFont="1" applyFill="1" applyBorder="1" applyAlignment="1">
      <alignment horizontal="justify"/>
    </xf>
    <xf numFmtId="0" fontId="15" fillId="0" borderId="13" xfId="0" applyFont="1" applyFill="1" applyBorder="1" applyAlignment="1">
      <alignment horizontal="justify" vertical="top" wrapText="1"/>
    </xf>
    <xf numFmtId="0" fontId="15" fillId="0" borderId="13" xfId="0" applyFont="1" applyFill="1" applyBorder="1" applyAlignment="1">
      <alignment horizontal="left" vertical="top" wrapText="1"/>
    </xf>
    <xf numFmtId="4" fontId="15" fillId="0" borderId="13" xfId="0" applyNumberFormat="1" applyFont="1" applyBorder="1" applyAlignment="1">
      <alignment horizontal="center" vertical="center"/>
    </xf>
    <xf numFmtId="4" fontId="18" fillId="0" borderId="13" xfId="0" applyNumberFormat="1" applyFont="1" applyFill="1" applyBorder="1" applyAlignment="1">
      <alignment horizontal="justify" vertical="center"/>
    </xf>
    <xf numFmtId="4" fontId="18" fillId="0" borderId="13" xfId="0" applyNumberFormat="1" applyFont="1" applyFill="1" applyBorder="1" applyAlignment="1">
      <alignment horizontal="right" vertical="center"/>
    </xf>
    <xf numFmtId="4" fontId="15" fillId="0" borderId="13" xfId="0" applyNumberFormat="1" applyFont="1" applyFill="1" applyBorder="1" applyAlignment="1">
      <alignment horizontal="right" vertical="top"/>
    </xf>
    <xf numFmtId="0" fontId="31" fillId="0" borderId="13" xfId="0" applyFont="1" applyFill="1" applyBorder="1" applyAlignment="1">
      <alignment wrapText="1"/>
    </xf>
    <xf numFmtId="4" fontId="19" fillId="0" borderId="13" xfId="0" applyNumberFormat="1" applyFont="1" applyFill="1" applyBorder="1" applyAlignment="1">
      <alignment horizontal="right" vertical="center" wrapText="1"/>
    </xf>
    <xf numFmtId="0" fontId="31" fillId="0" borderId="13" xfId="0" applyFont="1" applyFill="1" applyBorder="1" applyAlignment="1">
      <alignment vertical="top"/>
    </xf>
    <xf numFmtId="4" fontId="19" fillId="0" borderId="13" xfId="0" applyNumberFormat="1" applyFont="1" applyFill="1" applyBorder="1" applyAlignment="1">
      <alignment horizontal="justify" vertical="center" wrapText="1"/>
    </xf>
    <xf numFmtId="4" fontId="15" fillId="0" borderId="13" xfId="0" applyNumberFormat="1" applyFont="1" applyFill="1" applyBorder="1" applyAlignment="1">
      <alignment horizontal="justify" vertical="top" wrapText="1"/>
    </xf>
    <xf numFmtId="4" fontId="15" fillId="0" borderId="13" xfId="0" applyNumberFormat="1" applyFont="1" applyFill="1" applyBorder="1" applyAlignment="1">
      <alignment horizontal="right" vertical="top" wrapText="1"/>
    </xf>
    <xf numFmtId="0" fontId="12" fillId="0" borderId="13" xfId="0" applyFont="1" applyFill="1" applyBorder="1" applyAlignment="1">
      <alignment wrapText="1"/>
    </xf>
    <xf numFmtId="0" fontId="31" fillId="0" borderId="13" xfId="0" applyFont="1" applyFill="1" applyBorder="1" applyAlignment="1">
      <alignment vertical="top" wrapText="1"/>
    </xf>
    <xf numFmtId="4" fontId="16" fillId="0" borderId="13" xfId="0" applyNumberFormat="1" applyFont="1" applyFill="1" applyBorder="1" applyAlignment="1">
      <alignment horizontal="right" vertical="center" wrapText="1"/>
    </xf>
    <xf numFmtId="4" fontId="15" fillId="0" borderId="13" xfId="0" applyNumberFormat="1" applyFont="1" applyFill="1" applyBorder="1" applyAlignment="1">
      <alignment horizontal="justify" vertical="center" wrapText="1"/>
    </xf>
    <xf numFmtId="4" fontId="15" fillId="0" borderId="13" xfId="0" applyNumberFormat="1" applyFont="1" applyFill="1" applyBorder="1" applyAlignment="1">
      <alignment horizontal="right" vertical="center" wrapText="1"/>
    </xf>
    <xf numFmtId="4" fontId="16" fillId="0" borderId="13" xfId="0" applyNumberFormat="1" applyFont="1" applyFill="1" applyBorder="1" applyAlignment="1">
      <alignment horizontal="justify" vertical="center" wrapText="1"/>
    </xf>
    <xf numFmtId="4" fontId="16" fillId="0" borderId="13" xfId="0" applyNumberFormat="1" applyFont="1" applyBorder="1" applyAlignment="1">
      <alignment horizontal="center" vertical="center"/>
    </xf>
    <xf numFmtId="4" fontId="18" fillId="0" borderId="13" xfId="0" applyNumberFormat="1" applyFont="1" applyFill="1" applyBorder="1" applyAlignment="1">
      <alignment horizontal="justify" vertical="center" wrapText="1"/>
    </xf>
    <xf numFmtId="4" fontId="18" fillId="0" borderId="13" xfId="0" applyNumberFormat="1" applyFont="1" applyFill="1" applyBorder="1" applyAlignment="1">
      <alignment horizontal="right" vertical="center" wrapText="1"/>
    </xf>
    <xf numFmtId="4" fontId="15" fillId="0" borderId="6" xfId="0" applyNumberFormat="1" applyFont="1" applyBorder="1" applyAlignment="1">
      <alignment horizontal="center" vertical="center"/>
    </xf>
    <xf numFmtId="4" fontId="19" fillId="0" borderId="8" xfId="0" applyNumberFormat="1" applyFont="1" applyFill="1" applyBorder="1" applyAlignment="1">
      <alignment horizontal="right" vertical="center" wrapText="1"/>
    </xf>
    <xf numFmtId="4" fontId="15" fillId="0" borderId="8" xfId="0" applyNumberFormat="1" applyFont="1" applyFill="1" applyBorder="1" applyAlignment="1">
      <alignment horizontal="center" vertical="top"/>
    </xf>
    <xf numFmtId="164" fontId="15" fillId="0" borderId="8" xfId="1" applyFont="1" applyFill="1" applyBorder="1" applyAlignment="1">
      <alignment horizontal="right" vertical="top"/>
    </xf>
    <xf numFmtId="4" fontId="16" fillId="0" borderId="10" xfId="0" applyNumberFormat="1" applyFont="1" applyFill="1" applyBorder="1" applyAlignment="1">
      <alignment horizontal="right" vertical="top"/>
    </xf>
    <xf numFmtId="4" fontId="16" fillId="0" borderId="8" xfId="0" applyNumberFormat="1" applyFont="1" applyFill="1" applyBorder="1" applyAlignment="1">
      <alignment horizontal="justify" vertical="center" wrapText="1"/>
    </xf>
    <xf numFmtId="4" fontId="15" fillId="0" borderId="37" xfId="0" applyNumberFormat="1" applyFont="1" applyBorder="1" applyAlignment="1">
      <alignment horizontal="center" vertical="center"/>
    </xf>
    <xf numFmtId="4" fontId="18" fillId="0" borderId="37" xfId="0" applyNumberFormat="1" applyFont="1" applyFill="1" applyBorder="1" applyAlignment="1">
      <alignment horizontal="justify" vertical="center" wrapText="1"/>
    </xf>
    <xf numFmtId="4" fontId="18" fillId="0" borderId="37" xfId="0" applyNumberFormat="1" applyFont="1" applyFill="1" applyBorder="1" applyAlignment="1">
      <alignment horizontal="right" vertical="center" wrapText="1"/>
    </xf>
    <xf numFmtId="4" fontId="15" fillId="0" borderId="37" xfId="0" applyNumberFormat="1" applyFont="1" applyFill="1" applyBorder="1" applyAlignment="1">
      <alignment horizontal="center" vertical="top"/>
    </xf>
    <xf numFmtId="164" fontId="15" fillId="0" borderId="37" xfId="1" applyFont="1" applyFill="1" applyBorder="1" applyAlignment="1">
      <alignment horizontal="right" vertical="top"/>
    </xf>
    <xf numFmtId="0" fontId="23" fillId="0" borderId="13" xfId="0" applyFont="1" applyFill="1" applyBorder="1" applyAlignment="1">
      <alignment wrapText="1"/>
    </xf>
    <xf numFmtId="0" fontId="23" fillId="0" borderId="13" xfId="0" applyFont="1" applyFill="1" applyBorder="1" applyAlignment="1">
      <alignment vertical="top"/>
    </xf>
    <xf numFmtId="4" fontId="15" fillId="0" borderId="13" xfId="0" applyNumberFormat="1" applyFont="1" applyFill="1" applyBorder="1" applyAlignment="1">
      <alignment horizontal="left" vertical="top" wrapText="1"/>
    </xf>
    <xf numFmtId="9" fontId="15" fillId="0" borderId="13" xfId="8" applyFont="1" applyFill="1" applyBorder="1" applyAlignment="1">
      <alignment horizontal="left" vertical="top" wrapText="1"/>
    </xf>
    <xf numFmtId="164" fontId="13" fillId="0" borderId="12" xfId="2" applyFont="1" applyFill="1" applyBorder="1" applyAlignment="1"/>
    <xf numFmtId="4" fontId="19" fillId="0" borderId="37" xfId="0" applyNumberFormat="1" applyFont="1" applyFill="1" applyBorder="1" applyAlignment="1">
      <alignment horizontal="right" vertical="center" wrapText="1"/>
    </xf>
    <xf numFmtId="4" fontId="16" fillId="0" borderId="13" xfId="0" applyNumberFormat="1" applyFont="1" applyFill="1" applyBorder="1" applyAlignment="1">
      <alignment horizontal="justify" vertical="top" wrapText="1"/>
    </xf>
    <xf numFmtId="4" fontId="32" fillId="0" borderId="13" xfId="0" applyNumberFormat="1" applyFont="1" applyFill="1" applyBorder="1" applyAlignment="1">
      <alignment horizontal="justify" vertical="center"/>
    </xf>
    <xf numFmtId="4" fontId="32" fillId="0" borderId="13" xfId="0" applyNumberFormat="1" applyFont="1" applyFill="1" applyBorder="1" applyAlignment="1">
      <alignment horizontal="left" vertical="center" wrapText="1"/>
    </xf>
    <xf numFmtId="4" fontId="32" fillId="0" borderId="13" xfId="0" applyNumberFormat="1" applyFont="1" applyFill="1" applyBorder="1" applyAlignment="1">
      <alignment horizontal="justify" vertical="center" wrapText="1"/>
    </xf>
    <xf numFmtId="4" fontId="16" fillId="0" borderId="13" xfId="0" applyNumberFormat="1" applyFont="1" applyFill="1" applyBorder="1" applyAlignment="1">
      <alignment horizontal="left" vertical="center" wrapText="1"/>
    </xf>
    <xf numFmtId="4" fontId="15" fillId="0" borderId="37" xfId="0" applyNumberFormat="1" applyFont="1" applyFill="1" applyBorder="1" applyAlignment="1">
      <alignment horizontal="center" vertical="center"/>
    </xf>
    <xf numFmtId="4" fontId="19" fillId="0" borderId="37" xfId="0" applyNumberFormat="1" applyFont="1" applyFill="1" applyBorder="1" applyAlignment="1">
      <alignment horizontal="justify" vertical="center" wrapText="1"/>
    </xf>
    <xf numFmtId="4" fontId="15" fillId="0" borderId="13" xfId="0" applyNumberFormat="1" applyFont="1" applyFill="1" applyBorder="1" applyAlignment="1">
      <alignment vertical="center" wrapText="1"/>
    </xf>
    <xf numFmtId="0" fontId="12" fillId="0" borderId="0" xfId="12" applyBorder="1"/>
    <xf numFmtId="0" fontId="12" fillId="0" borderId="0" xfId="12" applyFont="1" applyBorder="1"/>
    <xf numFmtId="0" fontId="15" fillId="0" borderId="13" xfId="0" applyFont="1" applyFill="1" applyBorder="1" applyAlignment="1">
      <alignment horizontal="left" vertical="top"/>
    </xf>
    <xf numFmtId="0" fontId="19" fillId="0" borderId="13" xfId="0" applyFont="1" applyFill="1" applyBorder="1" applyAlignment="1">
      <alignment horizontal="left" vertical="top" wrapText="1"/>
    </xf>
    <xf numFmtId="0" fontId="15" fillId="0" borderId="13" xfId="0" applyFont="1" applyFill="1" applyBorder="1" applyAlignment="1">
      <alignment vertical="top" wrapText="1"/>
    </xf>
    <xf numFmtId="164" fontId="15" fillId="0" borderId="0" xfId="1" applyFont="1" applyBorder="1" applyAlignment="1">
      <alignment horizontal="center" vertical="top"/>
    </xf>
    <xf numFmtId="0" fontId="34" fillId="0" borderId="13" xfId="0" applyFont="1" applyBorder="1" applyAlignment="1" applyProtection="1">
      <alignment vertical="center"/>
    </xf>
    <xf numFmtId="0" fontId="15" fillId="0" borderId="13" xfId="0" applyFont="1" applyBorder="1" applyAlignment="1" applyProtection="1">
      <alignment vertical="center" wrapText="1"/>
    </xf>
    <xf numFmtId="4" fontId="16" fillId="0" borderId="49" xfId="0" applyNumberFormat="1" applyFont="1" applyFill="1" applyBorder="1" applyAlignment="1">
      <alignment horizontal="justify" vertical="top" wrapText="1"/>
    </xf>
    <xf numFmtId="43" fontId="12" fillId="0" borderId="0" xfId="12" applyNumberFormat="1" applyBorder="1"/>
    <xf numFmtId="2" fontId="33" fillId="0" borderId="0" xfId="0" applyNumberFormat="1" applyFont="1" applyFill="1" applyBorder="1" applyAlignment="1">
      <alignment horizontal="left" wrapText="1"/>
    </xf>
    <xf numFmtId="164" fontId="32" fillId="0" borderId="31" xfId="1" applyFont="1" applyFill="1" applyBorder="1" applyAlignment="1">
      <alignment wrapText="1"/>
    </xf>
    <xf numFmtId="4" fontId="13" fillId="0" borderId="13" xfId="0" applyNumberFormat="1" applyFont="1" applyFill="1" applyBorder="1" applyAlignment="1">
      <alignment horizontal="justify" vertical="center" wrapText="1"/>
    </xf>
    <xf numFmtId="164" fontId="0" fillId="3" borderId="12" xfId="2" applyNumberFormat="1" applyFont="1" applyFill="1" applyBorder="1"/>
    <xf numFmtId="0" fontId="12" fillId="3" borderId="12" xfId="12" applyFill="1" applyBorder="1"/>
    <xf numFmtId="164" fontId="0" fillId="3" borderId="12" xfId="2" applyFont="1" applyFill="1" applyBorder="1"/>
    <xf numFmtId="166" fontId="0" fillId="3" borderId="12" xfId="2" applyNumberFormat="1" applyFont="1" applyFill="1" applyBorder="1"/>
    <xf numFmtId="0" fontId="12" fillId="3" borderId="0" xfId="12" applyFill="1" applyBorder="1"/>
    <xf numFmtId="0" fontId="12" fillId="3" borderId="0" xfId="12" applyFill="1"/>
    <xf numFmtId="164" fontId="12" fillId="0" borderId="0" xfId="12" applyNumberFormat="1" applyBorder="1"/>
    <xf numFmtId="4" fontId="16" fillId="0" borderId="49" xfId="0" applyNumberFormat="1" applyFont="1" applyBorder="1" applyAlignment="1">
      <alignment horizontal="center" vertical="top"/>
    </xf>
    <xf numFmtId="4" fontId="16" fillId="0" borderId="13" xfId="0" applyNumberFormat="1" applyFont="1" applyBorder="1" applyAlignment="1">
      <alignment horizontal="center" vertical="top"/>
    </xf>
    <xf numFmtId="4" fontId="15" fillId="0" borderId="0" xfId="15" applyNumberFormat="1" applyFont="1" applyFill="1" applyBorder="1" applyAlignment="1">
      <alignment vertical="center"/>
    </xf>
    <xf numFmtId="164" fontId="15" fillId="0" borderId="0" xfId="16" applyFont="1" applyFill="1" applyBorder="1" applyAlignment="1">
      <alignment vertical="center"/>
    </xf>
    <xf numFmtId="2" fontId="16" fillId="0" borderId="6" xfId="15" applyNumberFormat="1" applyFont="1" applyFill="1" applyBorder="1" applyAlignment="1">
      <alignment horizontal="center"/>
    </xf>
    <xf numFmtId="2" fontId="16" fillId="0" borderId="7" xfId="15" applyNumberFormat="1" applyFont="1" applyFill="1" applyBorder="1" applyAlignment="1">
      <alignment horizontal="center"/>
    </xf>
    <xf numFmtId="2" fontId="16" fillId="0" borderId="8" xfId="15" applyNumberFormat="1" applyFont="1" applyFill="1" applyBorder="1" applyAlignment="1">
      <alignment horizontal="center"/>
    </xf>
    <xf numFmtId="0" fontId="16" fillId="0" borderId="9" xfId="15" applyFont="1" applyFill="1" applyBorder="1" applyAlignment="1">
      <alignment horizontal="center"/>
    </xf>
    <xf numFmtId="164" fontId="16" fillId="0" borderId="8" xfId="16" applyFont="1" applyFill="1" applyBorder="1" applyAlignment="1">
      <alignment horizontal="center"/>
    </xf>
    <xf numFmtId="0" fontId="15" fillId="0" borderId="11" xfId="15" applyFont="1" applyFill="1" applyBorder="1" applyAlignment="1">
      <alignment horizontal="center" vertical="top"/>
    </xf>
    <xf numFmtId="0" fontId="19" fillId="0" borderId="12" xfId="15" applyFont="1" applyFill="1" applyBorder="1" applyAlignment="1">
      <alignment horizontal="left" vertical="top"/>
    </xf>
    <xf numFmtId="2" fontId="15" fillId="0" borderId="13" xfId="15" applyNumberFormat="1" applyFont="1" applyFill="1" applyBorder="1" applyAlignment="1">
      <alignment horizontal="center"/>
    </xf>
    <xf numFmtId="0" fontId="15" fillId="0" borderId="14" xfId="15" applyFont="1" applyFill="1" applyBorder="1" applyAlignment="1">
      <alignment horizontal="center"/>
    </xf>
    <xf numFmtId="164" fontId="15" fillId="0" borderId="13" xfId="16" applyFont="1" applyFill="1" applyBorder="1" applyAlignment="1">
      <alignment horizontal="center"/>
    </xf>
    <xf numFmtId="0" fontId="15" fillId="0" borderId="15" xfId="15" applyFont="1" applyFill="1" applyBorder="1" applyAlignment="1">
      <alignment horizontal="center"/>
    </xf>
    <xf numFmtId="0" fontId="16" fillId="0" borderId="11" xfId="15" applyFont="1" applyFill="1" applyBorder="1" applyAlignment="1">
      <alignment horizontal="center" vertical="top"/>
    </xf>
    <xf numFmtId="0" fontId="15" fillId="0" borderId="0" xfId="15" applyFont="1" applyFill="1" applyBorder="1" applyAlignment="1">
      <alignment horizontal="center"/>
    </xf>
    <xf numFmtId="164" fontId="15" fillId="0" borderId="13" xfId="16" applyFont="1" applyFill="1" applyBorder="1" applyAlignment="1">
      <alignment horizontal="right"/>
    </xf>
    <xf numFmtId="0" fontId="15" fillId="0" borderId="0" xfId="15" applyFont="1" applyFill="1" applyBorder="1" applyAlignment="1">
      <alignment horizontal="justify"/>
    </xf>
    <xf numFmtId="0" fontId="15" fillId="0" borderId="16" xfId="15" applyFont="1" applyFill="1" applyBorder="1" applyAlignment="1">
      <alignment horizontal="center" vertical="top"/>
    </xf>
    <xf numFmtId="0" fontId="15" fillId="0" borderId="12" xfId="15" applyFont="1" applyFill="1" applyBorder="1" applyAlignment="1">
      <alignment horizontal="center" vertical="justify"/>
    </xf>
    <xf numFmtId="164" fontId="15" fillId="0" borderId="12" xfId="16" applyFont="1" applyFill="1" applyBorder="1" applyAlignment="1">
      <alignment horizontal="right" vertical="justify"/>
    </xf>
    <xf numFmtId="0" fontId="15" fillId="0" borderId="12" xfId="15" applyFont="1" applyFill="1" applyBorder="1" applyAlignment="1">
      <alignment horizontal="justify" vertical="top"/>
    </xf>
    <xf numFmtId="0" fontId="15" fillId="0" borderId="12" xfId="15" applyFont="1" applyFill="1" applyBorder="1" applyAlignment="1">
      <alignment horizontal="center" vertical="top"/>
    </xf>
    <xf numFmtId="164" fontId="15" fillId="0" borderId="12" xfId="16" applyFont="1" applyFill="1" applyBorder="1" applyAlignment="1">
      <alignment horizontal="right" vertical="top"/>
    </xf>
    <xf numFmtId="4" fontId="25" fillId="0" borderId="12" xfId="17" applyNumberFormat="1" applyFont="1" applyFill="1" applyBorder="1" applyAlignment="1">
      <alignment wrapText="1"/>
    </xf>
    <xf numFmtId="0" fontId="15" fillId="0" borderId="13" xfId="15" applyFont="1" applyFill="1" applyBorder="1" applyAlignment="1">
      <alignment horizontal="justify" vertical="top"/>
    </xf>
    <xf numFmtId="0" fontId="15" fillId="0" borderId="18" xfId="15" applyFont="1" applyFill="1" applyBorder="1" applyAlignment="1">
      <alignment horizontal="center" vertical="top"/>
    </xf>
    <xf numFmtId="0" fontId="15" fillId="0" borderId="19" xfId="15" applyFont="1" applyFill="1" applyBorder="1" applyAlignment="1">
      <alignment horizontal="justify" vertical="top"/>
    </xf>
    <xf numFmtId="0" fontId="15" fillId="0" borderId="19" xfId="15" applyFont="1" applyFill="1" applyBorder="1" applyAlignment="1">
      <alignment horizontal="center" vertical="top"/>
    </xf>
    <xf numFmtId="164" fontId="15" fillId="0" borderId="19" xfId="16" applyFont="1" applyFill="1" applyBorder="1" applyAlignment="1">
      <alignment horizontal="right" vertical="justify"/>
    </xf>
    <xf numFmtId="0" fontId="15" fillId="0" borderId="21" xfId="15" applyFont="1" applyFill="1" applyBorder="1" applyAlignment="1">
      <alignment horizontal="center" vertical="top"/>
    </xf>
    <xf numFmtId="0" fontId="15" fillId="0" borderId="22" xfId="15" applyFont="1" applyFill="1" applyBorder="1" applyAlignment="1">
      <alignment horizontal="justify" vertical="top"/>
    </xf>
    <xf numFmtId="0" fontId="15" fillId="0" borderId="22" xfId="15" applyFont="1" applyFill="1" applyBorder="1" applyAlignment="1">
      <alignment horizontal="center" vertical="top"/>
    </xf>
    <xf numFmtId="164" fontId="15" fillId="0" borderId="22" xfId="16" applyFont="1" applyFill="1" applyBorder="1" applyAlignment="1">
      <alignment horizontal="right" vertical="justify"/>
    </xf>
    <xf numFmtId="0" fontId="16" fillId="0" borderId="12" xfId="15" applyFont="1" applyFill="1" applyBorder="1" applyAlignment="1">
      <alignment horizontal="justify" vertical="top"/>
    </xf>
    <xf numFmtId="4" fontId="25" fillId="0" borderId="24" xfId="17" applyNumberFormat="1" applyFont="1" applyFill="1" applyBorder="1" applyAlignment="1">
      <alignment wrapText="1"/>
    </xf>
    <xf numFmtId="0" fontId="15" fillId="0" borderId="14" xfId="15" applyFont="1" applyFill="1" applyBorder="1" applyAlignment="1">
      <alignment horizontal="center" vertical="top"/>
    </xf>
    <xf numFmtId="164" fontId="15" fillId="0" borderId="13" xfId="16" applyFont="1" applyFill="1" applyBorder="1" applyAlignment="1">
      <alignment horizontal="right" vertical="justify"/>
    </xf>
    <xf numFmtId="0" fontId="15" fillId="0" borderId="24" xfId="15" applyFont="1" applyFill="1" applyBorder="1" applyAlignment="1">
      <alignment horizontal="justify" vertical="top" wrapText="1"/>
    </xf>
    <xf numFmtId="0" fontId="15" fillId="0" borderId="14" xfId="15" applyFont="1" applyFill="1" applyBorder="1" applyAlignment="1">
      <alignment horizontal="center" vertical="justify"/>
    </xf>
    <xf numFmtId="0" fontId="16" fillId="0" borderId="25" xfId="15" applyFont="1" applyFill="1" applyBorder="1" applyAlignment="1">
      <alignment horizontal="justify" vertical="top" wrapText="1"/>
    </xf>
    <xf numFmtId="0" fontId="15" fillId="0" borderId="26" xfId="15" applyFont="1" applyFill="1" applyBorder="1" applyAlignment="1">
      <alignment horizontal="center" vertical="justify"/>
    </xf>
    <xf numFmtId="0" fontId="15" fillId="0" borderId="27" xfId="15" applyFont="1" applyFill="1" applyBorder="1" applyAlignment="1">
      <alignment horizontal="center" vertical="top"/>
    </xf>
    <xf numFmtId="0" fontId="15" fillId="0" borderId="28" xfId="15" applyFont="1" applyFill="1" applyBorder="1" applyAlignment="1">
      <alignment horizontal="justify" vertical="top" wrapText="1"/>
    </xf>
    <xf numFmtId="0" fontId="15" fillId="0" borderId="30" xfId="15" applyFont="1" applyFill="1" applyBorder="1" applyAlignment="1">
      <alignment horizontal="center" vertical="justify"/>
    </xf>
    <xf numFmtId="164" fontId="15" fillId="0" borderId="29" xfId="16" applyFont="1" applyFill="1" applyBorder="1" applyAlignment="1">
      <alignment horizontal="right" vertical="justify"/>
    </xf>
    <xf numFmtId="4" fontId="15" fillId="0" borderId="49" xfId="15" applyNumberFormat="1" applyFont="1" applyBorder="1" applyAlignment="1">
      <alignment horizontal="center" vertical="center"/>
    </xf>
    <xf numFmtId="4" fontId="18" fillId="0" borderId="49" xfId="15" applyNumberFormat="1" applyFont="1" applyFill="1" applyBorder="1" applyAlignment="1">
      <alignment horizontal="justify" vertical="center"/>
    </xf>
    <xf numFmtId="4" fontId="18" fillId="0" borderId="49" xfId="15" applyNumberFormat="1" applyFont="1" applyFill="1" applyBorder="1" applyAlignment="1">
      <alignment horizontal="right" vertical="center"/>
    </xf>
    <xf numFmtId="4" fontId="15" fillId="0" borderId="49" xfId="15" applyNumberFormat="1" applyFont="1" applyFill="1" applyBorder="1" applyAlignment="1">
      <alignment horizontal="center" vertical="top"/>
    </xf>
    <xf numFmtId="164" fontId="15" fillId="0" borderId="50" xfId="16" applyFont="1" applyFill="1" applyBorder="1" applyAlignment="1">
      <alignment horizontal="right" vertical="top"/>
    </xf>
    <xf numFmtId="4" fontId="15" fillId="0" borderId="49" xfId="15" applyNumberFormat="1" applyFont="1" applyFill="1" applyBorder="1" applyAlignment="1">
      <alignment horizontal="right" vertical="top"/>
    </xf>
    <xf numFmtId="4" fontId="15" fillId="0" borderId="0" xfId="15" applyNumberFormat="1" applyFont="1" applyBorder="1" applyAlignment="1">
      <alignment vertical="center"/>
    </xf>
    <xf numFmtId="164" fontId="15" fillId="0" borderId="0" xfId="16" applyFont="1" applyBorder="1" applyAlignment="1">
      <alignment vertical="center"/>
    </xf>
    <xf numFmtId="4" fontId="19" fillId="0" borderId="49" xfId="15" applyNumberFormat="1" applyFont="1" applyFill="1" applyBorder="1" applyAlignment="1">
      <alignment horizontal="justify" vertical="center" wrapText="1"/>
    </xf>
    <xf numFmtId="4" fontId="19" fillId="0" borderId="49" xfId="15" applyNumberFormat="1" applyFont="1" applyFill="1" applyBorder="1" applyAlignment="1">
      <alignment horizontal="right" vertical="center" wrapText="1"/>
    </xf>
    <xf numFmtId="4" fontId="15" fillId="0" borderId="49" xfId="15" applyNumberFormat="1" applyFont="1" applyBorder="1" applyAlignment="1">
      <alignment horizontal="center" vertical="top"/>
    </xf>
    <xf numFmtId="4" fontId="15" fillId="0" borderId="49" xfId="15" applyNumberFormat="1" applyFont="1" applyFill="1" applyBorder="1" applyAlignment="1">
      <alignment horizontal="justify" vertical="top" wrapText="1"/>
    </xf>
    <xf numFmtId="4" fontId="15" fillId="0" borderId="49" xfId="15" applyNumberFormat="1" applyFont="1" applyFill="1" applyBorder="1" applyAlignment="1">
      <alignment horizontal="right" vertical="top" wrapText="1"/>
    </xf>
    <xf numFmtId="4" fontId="15" fillId="0" borderId="0" xfId="15" applyNumberFormat="1" applyFont="1" applyBorder="1" applyAlignment="1">
      <alignment vertical="top"/>
    </xf>
    <xf numFmtId="164" fontId="15" fillId="0" borderId="0" xfId="16" applyFont="1" applyBorder="1" applyAlignment="1">
      <alignment vertical="top"/>
    </xf>
    <xf numFmtId="4" fontId="16" fillId="0" borderId="49" xfId="15" applyNumberFormat="1" applyFont="1" applyFill="1" applyBorder="1" applyAlignment="1">
      <alignment horizontal="justify" vertical="center" wrapText="1"/>
    </xf>
    <xf numFmtId="4" fontId="16" fillId="0" borderId="49" xfId="15" applyNumberFormat="1" applyFont="1" applyFill="1" applyBorder="1" applyAlignment="1">
      <alignment horizontal="right" vertical="center" wrapText="1"/>
    </xf>
    <xf numFmtId="4" fontId="15" fillId="0" borderId="49" xfId="15" applyNumberFormat="1" applyFont="1" applyFill="1" applyBorder="1" applyAlignment="1">
      <alignment horizontal="justify" vertical="center" wrapText="1"/>
    </xf>
    <xf numFmtId="4" fontId="15" fillId="0" borderId="49" xfId="15" applyNumberFormat="1" applyFont="1" applyFill="1" applyBorder="1" applyAlignment="1">
      <alignment horizontal="right" vertical="center" wrapText="1"/>
    </xf>
    <xf numFmtId="4" fontId="16" fillId="0" borderId="49" xfId="15" applyNumberFormat="1" applyFont="1" applyBorder="1" applyAlignment="1">
      <alignment horizontal="center" vertical="center"/>
    </xf>
    <xf numFmtId="4" fontId="18" fillId="0" borderId="49" xfId="15" applyNumberFormat="1" applyFont="1" applyFill="1" applyBorder="1" applyAlignment="1">
      <alignment horizontal="justify" vertical="center" wrapText="1"/>
    </xf>
    <xf numFmtId="4" fontId="18" fillId="0" borderId="49" xfId="15" applyNumberFormat="1" applyFont="1" applyFill="1" applyBorder="1" applyAlignment="1">
      <alignment horizontal="right" vertical="center" wrapText="1"/>
    </xf>
    <xf numFmtId="4" fontId="15" fillId="0" borderId="51" xfId="15" applyNumberFormat="1" applyFont="1" applyBorder="1" applyAlignment="1">
      <alignment horizontal="center" vertical="top"/>
    </xf>
    <xf numFmtId="4" fontId="15" fillId="0" borderId="51" xfId="15" applyNumberFormat="1" applyFont="1" applyFill="1" applyBorder="1" applyAlignment="1">
      <alignment horizontal="justify" vertical="top" wrapText="1"/>
    </xf>
    <xf numFmtId="4" fontId="15" fillId="0" borderId="51" xfId="15" applyNumberFormat="1" applyFont="1" applyFill="1" applyBorder="1" applyAlignment="1">
      <alignment horizontal="right" vertical="top" wrapText="1"/>
    </xf>
    <xf numFmtId="4" fontId="15" fillId="0" borderId="51" xfId="15" applyNumberFormat="1" applyFont="1" applyFill="1" applyBorder="1" applyAlignment="1">
      <alignment horizontal="center" vertical="top"/>
    </xf>
    <xf numFmtId="164" fontId="15" fillId="0" borderId="52" xfId="16" applyFont="1" applyFill="1" applyBorder="1" applyAlignment="1">
      <alignment horizontal="right" vertical="top"/>
    </xf>
    <xf numFmtId="4" fontId="15" fillId="0" borderId="51" xfId="15" applyNumberFormat="1" applyFont="1" applyFill="1" applyBorder="1" applyAlignment="1">
      <alignment horizontal="right" vertical="top"/>
    </xf>
    <xf numFmtId="4" fontId="15" fillId="0" borderId="53" xfId="15" applyNumberFormat="1" applyFont="1" applyBorder="1" applyAlignment="1">
      <alignment horizontal="center" vertical="center"/>
    </xf>
    <xf numFmtId="4" fontId="16" fillId="0" borderId="53" xfId="15" applyNumberFormat="1" applyFont="1" applyFill="1" applyBorder="1" applyAlignment="1">
      <alignment horizontal="justify" vertical="center" wrapText="1"/>
    </xf>
    <xf numFmtId="4" fontId="19" fillId="0" borderId="53" xfId="15" applyNumberFormat="1" applyFont="1" applyFill="1" applyBorder="1" applyAlignment="1">
      <alignment horizontal="right" vertical="center" wrapText="1"/>
    </xf>
    <xf numFmtId="4" fontId="15" fillId="0" borderId="53" xfId="15" applyNumberFormat="1" applyFont="1" applyFill="1" applyBorder="1" applyAlignment="1">
      <alignment horizontal="center" vertical="top"/>
    </xf>
    <xf numFmtId="164" fontId="15" fillId="0" borderId="54" xfId="16" applyFont="1" applyFill="1" applyBorder="1" applyAlignment="1">
      <alignment horizontal="right" vertical="top"/>
    </xf>
    <xf numFmtId="4" fontId="16" fillId="0" borderId="53" xfId="15" applyNumberFormat="1" applyFont="1" applyFill="1" applyBorder="1" applyAlignment="1">
      <alignment horizontal="right" vertical="top"/>
    </xf>
    <xf numFmtId="4" fontId="15" fillId="0" borderId="47" xfId="15" applyNumberFormat="1" applyFont="1" applyBorder="1" applyAlignment="1">
      <alignment horizontal="center" vertical="center"/>
    </xf>
    <xf numFmtId="4" fontId="18" fillId="0" borderId="47" xfId="15" applyNumberFormat="1" applyFont="1" applyFill="1" applyBorder="1" applyAlignment="1">
      <alignment horizontal="justify" vertical="center" wrapText="1"/>
    </xf>
    <xf numFmtId="4" fontId="18" fillId="0" borderId="47" xfId="15" applyNumberFormat="1" applyFont="1" applyFill="1" applyBorder="1" applyAlignment="1">
      <alignment horizontal="right" vertical="center" wrapText="1"/>
    </xf>
    <xf numFmtId="4" fontId="15" fillId="0" borderId="47" xfId="15" applyNumberFormat="1" applyFont="1" applyFill="1" applyBorder="1" applyAlignment="1">
      <alignment horizontal="center" vertical="top"/>
    </xf>
    <xf numFmtId="164" fontId="15" fillId="0" borderId="48" xfId="16" applyFont="1" applyFill="1" applyBorder="1" applyAlignment="1">
      <alignment horizontal="right" vertical="top"/>
    </xf>
    <xf numFmtId="4" fontId="15" fillId="0" borderId="47" xfId="15" applyNumberFormat="1" applyFont="1" applyFill="1" applyBorder="1" applyAlignment="1">
      <alignment horizontal="right" vertical="top"/>
    </xf>
    <xf numFmtId="4" fontId="15" fillId="0" borderId="49" xfId="15" applyNumberFormat="1" applyFont="1" applyFill="1" applyBorder="1" applyAlignment="1">
      <alignment horizontal="center" vertical="center"/>
    </xf>
    <xf numFmtId="0" fontId="11" fillId="0" borderId="12" xfId="15" applyFont="1" applyBorder="1" applyAlignment="1">
      <alignment horizontal="justify" vertical="justify"/>
    </xf>
    <xf numFmtId="164" fontId="11" fillId="0" borderId="12" xfId="16" applyFont="1" applyFill="1" applyBorder="1" applyAlignment="1"/>
    <xf numFmtId="0" fontId="10" fillId="0" borderId="22" xfId="15" applyFont="1" applyBorder="1" applyAlignment="1">
      <alignment horizontal="justify" vertical="justify"/>
    </xf>
    <xf numFmtId="0" fontId="15" fillId="0" borderId="5" xfId="15" applyFont="1" applyBorder="1" applyAlignment="1">
      <alignment vertical="center" wrapText="1"/>
    </xf>
    <xf numFmtId="4" fontId="16" fillId="0" borderId="49" xfId="15" applyNumberFormat="1" applyFont="1" applyFill="1" applyBorder="1" applyAlignment="1">
      <alignment horizontal="center" vertical="top"/>
    </xf>
    <xf numFmtId="164" fontId="16" fillId="0" borderId="50" xfId="16" applyFont="1" applyFill="1" applyBorder="1" applyAlignment="1">
      <alignment horizontal="right" vertical="top"/>
    </xf>
    <xf numFmtId="4" fontId="16" fillId="0" borderId="49" xfId="15" applyNumberFormat="1" applyFont="1" applyFill="1" applyBorder="1" applyAlignment="1">
      <alignment horizontal="right" vertical="top"/>
    </xf>
    <xf numFmtId="4" fontId="16" fillId="0" borderId="0" xfId="15" applyNumberFormat="1" applyFont="1" applyBorder="1" applyAlignment="1">
      <alignment vertical="center"/>
    </xf>
    <xf numFmtId="164" fontId="16" fillId="0" borderId="0" xfId="16" applyFont="1" applyBorder="1" applyAlignment="1">
      <alignment vertical="center"/>
    </xf>
    <xf numFmtId="4" fontId="15" fillId="0" borderId="0" xfId="15" applyNumberFormat="1" applyFont="1" applyBorder="1" applyAlignment="1">
      <alignment horizontal="justify" vertical="top"/>
    </xf>
    <xf numFmtId="164" fontId="15" fillId="0" borderId="0" xfId="16" applyFont="1" applyBorder="1" applyAlignment="1">
      <alignment horizontal="justify" vertical="top"/>
    </xf>
    <xf numFmtId="0" fontId="11" fillId="0" borderId="12" xfId="15" applyFont="1" applyFill="1" applyBorder="1" applyAlignment="1">
      <alignment horizontal="justify" vertical="top"/>
    </xf>
    <xf numFmtId="0" fontId="11" fillId="0" borderId="0" xfId="15" applyFont="1" applyFill="1" applyBorder="1" applyAlignment="1">
      <alignment horizontal="justify" vertical="top"/>
    </xf>
    <xf numFmtId="4" fontId="15" fillId="0" borderId="55" xfId="15" applyNumberFormat="1" applyFont="1" applyBorder="1" applyAlignment="1">
      <alignment horizontal="center" vertical="center"/>
    </xf>
    <xf numFmtId="4" fontId="16" fillId="0" borderId="55" xfId="15" applyNumberFormat="1" applyFont="1" applyFill="1" applyBorder="1" applyAlignment="1">
      <alignment horizontal="justify" vertical="center" wrapText="1"/>
    </xf>
    <xf numFmtId="4" fontId="19" fillId="0" borderId="55" xfId="15" applyNumberFormat="1" applyFont="1" applyFill="1" applyBorder="1" applyAlignment="1">
      <alignment horizontal="right" vertical="center" wrapText="1"/>
    </xf>
    <xf numFmtId="4" fontId="15" fillId="0" borderId="55" xfId="15" applyNumberFormat="1" applyFont="1" applyFill="1" applyBorder="1" applyAlignment="1">
      <alignment horizontal="center" vertical="top"/>
    </xf>
    <xf numFmtId="164" fontId="15" fillId="0" borderId="56" xfId="16" applyFont="1" applyFill="1" applyBorder="1" applyAlignment="1">
      <alignment horizontal="right" vertical="top"/>
    </xf>
    <xf numFmtId="4" fontId="16" fillId="0" borderId="55" xfId="15" applyNumberFormat="1" applyFont="1" applyFill="1" applyBorder="1" applyAlignment="1">
      <alignment horizontal="right" vertical="top"/>
    </xf>
    <xf numFmtId="4" fontId="15" fillId="0" borderId="32" xfId="15" applyNumberFormat="1" applyFont="1" applyBorder="1" applyAlignment="1">
      <alignment horizontal="center" vertical="center"/>
    </xf>
    <xf numFmtId="4" fontId="18" fillId="0" borderId="41" xfId="15" applyNumberFormat="1" applyFont="1" applyFill="1" applyBorder="1" applyAlignment="1">
      <alignment horizontal="justify" vertical="center" wrapText="1"/>
    </xf>
    <xf numFmtId="4" fontId="18" fillId="0" borderId="41" xfId="15" applyNumberFormat="1" applyFont="1" applyFill="1" applyBorder="1" applyAlignment="1">
      <alignment horizontal="right" vertical="center" wrapText="1"/>
    </xf>
    <xf numFmtId="4" fontId="15" fillId="0" borderId="32" xfId="15" applyNumberFormat="1" applyFont="1" applyFill="1" applyBorder="1" applyAlignment="1">
      <alignment horizontal="center" vertical="top"/>
    </xf>
    <xf numFmtId="164" fontId="15" fillId="0" borderId="41" xfId="16" applyFont="1" applyFill="1" applyBorder="1" applyAlignment="1">
      <alignment horizontal="right" vertical="top"/>
    </xf>
    <xf numFmtId="4" fontId="15" fillId="0" borderId="41" xfId="15" applyNumberFormat="1" applyFont="1" applyFill="1" applyBorder="1" applyAlignment="1">
      <alignment horizontal="right" vertical="top"/>
    </xf>
    <xf numFmtId="4" fontId="15" fillId="0" borderId="13" xfId="15" applyNumberFormat="1" applyFont="1" applyBorder="1" applyAlignment="1">
      <alignment horizontal="center" vertical="top"/>
    </xf>
    <xf numFmtId="4" fontId="15" fillId="0" borderId="24" xfId="15" applyNumberFormat="1" applyFont="1" applyFill="1" applyBorder="1" applyAlignment="1">
      <alignment horizontal="justify" vertical="top" wrapText="1"/>
    </xf>
    <xf numFmtId="4" fontId="15" fillId="0" borderId="24" xfId="15" applyNumberFormat="1" applyFont="1" applyFill="1" applyBorder="1" applyAlignment="1">
      <alignment horizontal="right" vertical="top" wrapText="1"/>
    </xf>
    <xf numFmtId="4" fontId="15" fillId="0" borderId="13" xfId="15" applyNumberFormat="1" applyFont="1" applyFill="1" applyBorder="1" applyAlignment="1">
      <alignment horizontal="center" vertical="top"/>
    </xf>
    <xf numFmtId="164" fontId="15" fillId="0" borderId="24" xfId="16" applyFont="1" applyFill="1" applyBorder="1" applyAlignment="1">
      <alignment horizontal="right" vertical="top"/>
    </xf>
    <xf numFmtId="4" fontId="15" fillId="0" borderId="24" xfId="15" applyNumberFormat="1" applyFont="1" applyFill="1" applyBorder="1" applyAlignment="1">
      <alignment horizontal="right" vertical="top"/>
    </xf>
    <xf numFmtId="0" fontId="26" fillId="0" borderId="13" xfId="15" applyFont="1" applyBorder="1" applyAlignment="1">
      <alignment vertical="center"/>
    </xf>
    <xf numFmtId="0" fontId="24" fillId="0" borderId="24" xfId="15" applyFont="1" applyFill="1" applyBorder="1" applyAlignment="1">
      <alignment horizontal="justify" vertical="center"/>
    </xf>
    <xf numFmtId="0" fontId="13" fillId="0" borderId="24" xfId="15" applyFont="1" applyBorder="1"/>
    <xf numFmtId="0" fontId="13" fillId="0" borderId="13" xfId="15" applyFont="1" applyBorder="1"/>
    <xf numFmtId="164" fontId="13" fillId="0" borderId="24" xfId="16" applyFont="1" applyBorder="1"/>
    <xf numFmtId="0" fontId="12" fillId="0" borderId="0" xfId="15"/>
    <xf numFmtId="164" fontId="0" fillId="0" borderId="0" xfId="16" applyFont="1"/>
    <xf numFmtId="0" fontId="13" fillId="0" borderId="24" xfId="15" applyFont="1" applyFill="1" applyBorder="1" applyAlignment="1">
      <alignment horizontal="justify" vertical="top"/>
    </xf>
    <xf numFmtId="0" fontId="27" fillId="0" borderId="13" xfId="15" applyFont="1" applyBorder="1" applyAlignment="1">
      <alignment horizontal="center" vertical="center"/>
    </xf>
    <xf numFmtId="165" fontId="13" fillId="0" borderId="24" xfId="15" applyNumberFormat="1" applyFont="1" applyBorder="1" applyAlignment="1">
      <alignment horizontal="center"/>
    </xf>
    <xf numFmtId="0" fontId="13" fillId="0" borderId="13" xfId="15" applyFont="1" applyBorder="1" applyAlignment="1">
      <alignment horizontal="center"/>
    </xf>
    <xf numFmtId="164" fontId="23" fillId="0" borderId="42" xfId="15" applyNumberFormat="1" applyFont="1" applyBorder="1"/>
    <xf numFmtId="0" fontId="23" fillId="0" borderId="13" xfId="15" applyFont="1" applyBorder="1" applyAlignment="1">
      <alignment horizontal="center"/>
    </xf>
    <xf numFmtId="0" fontId="24" fillId="0" borderId="24" xfId="15" applyFont="1" applyFill="1" applyBorder="1" applyAlignment="1">
      <alignment horizontal="justify" vertical="top"/>
    </xf>
    <xf numFmtId="0" fontId="13" fillId="0" borderId="24" xfId="15" applyFont="1" applyFill="1" applyBorder="1" applyAlignment="1">
      <alignment horizontal="justify" vertical="center"/>
    </xf>
    <xf numFmtId="165" fontId="13" fillId="0" borderId="24" xfId="15" applyNumberFormat="1" applyFont="1" applyBorder="1"/>
    <xf numFmtId="164" fontId="13" fillId="0" borderId="24" xfId="16" applyFont="1" applyBorder="1" applyAlignment="1">
      <alignment horizontal="right"/>
    </xf>
    <xf numFmtId="0" fontId="13" fillId="0" borderId="13" xfId="15" applyFont="1" applyBorder="1" applyAlignment="1">
      <alignment horizontal="center" vertical="center"/>
    </xf>
    <xf numFmtId="4" fontId="15" fillId="0" borderId="57" xfId="15" applyNumberFormat="1" applyFont="1" applyBorder="1" applyAlignment="1">
      <alignment horizontal="center" vertical="top"/>
    </xf>
    <xf numFmtId="4" fontId="15" fillId="0" borderId="64" xfId="15" applyNumberFormat="1" applyFont="1" applyFill="1" applyBorder="1" applyAlignment="1">
      <alignment horizontal="justify" vertical="top" wrapText="1"/>
    </xf>
    <xf numFmtId="4" fontId="15" fillId="0" borderId="64" xfId="15" applyNumberFormat="1" applyFont="1" applyFill="1" applyBorder="1" applyAlignment="1">
      <alignment horizontal="right" vertical="top" wrapText="1"/>
    </xf>
    <xf numFmtId="4" fontId="15" fillId="0" borderId="57" xfId="15" applyNumberFormat="1" applyFont="1" applyFill="1" applyBorder="1" applyAlignment="1">
      <alignment horizontal="center" vertical="top"/>
    </xf>
    <xf numFmtId="164" fontId="15" fillId="0" borderId="64" xfId="16" applyFont="1" applyFill="1" applyBorder="1" applyAlignment="1">
      <alignment horizontal="right" vertical="top"/>
    </xf>
    <xf numFmtId="4" fontId="16" fillId="0" borderId="42" xfId="15" applyNumberFormat="1" applyFont="1" applyFill="1" applyBorder="1" applyAlignment="1">
      <alignment horizontal="right" vertical="top"/>
    </xf>
    <xf numFmtId="4" fontId="15" fillId="0" borderId="59" xfId="15" applyNumberFormat="1" applyFont="1" applyBorder="1" applyAlignment="1">
      <alignment horizontal="center" vertical="top"/>
    </xf>
    <xf numFmtId="4" fontId="15" fillId="0" borderId="65" xfId="15" applyNumberFormat="1" applyFont="1" applyFill="1" applyBorder="1" applyAlignment="1">
      <alignment horizontal="justify" vertical="top" wrapText="1"/>
    </xf>
    <xf numFmtId="4" fontId="15" fillId="0" borderId="65" xfId="15" applyNumberFormat="1" applyFont="1" applyFill="1" applyBorder="1" applyAlignment="1">
      <alignment horizontal="right" vertical="top" wrapText="1"/>
    </xf>
    <xf numFmtId="4" fontId="15" fillId="0" borderId="59" xfId="15" applyNumberFormat="1" applyFont="1" applyFill="1" applyBorder="1" applyAlignment="1">
      <alignment horizontal="center" vertical="top"/>
    </xf>
    <xf numFmtId="164" fontId="15" fillId="0" borderId="65" xfId="16" applyFont="1" applyFill="1" applyBorder="1" applyAlignment="1">
      <alignment horizontal="right" vertical="top"/>
    </xf>
    <xf numFmtId="4" fontId="15" fillId="0" borderId="64" xfId="15" applyNumberFormat="1" applyFont="1" applyFill="1" applyBorder="1" applyAlignment="1">
      <alignment horizontal="right" vertical="top"/>
    </xf>
    <xf numFmtId="4" fontId="15" fillId="0" borderId="62" xfId="15" applyNumberFormat="1" applyFont="1" applyBorder="1" applyAlignment="1">
      <alignment horizontal="center" vertical="top"/>
    </xf>
    <xf numFmtId="4" fontId="15" fillId="0" borderId="63" xfId="15" applyNumberFormat="1" applyFont="1" applyFill="1" applyBorder="1" applyAlignment="1">
      <alignment horizontal="justify" vertical="top" wrapText="1"/>
    </xf>
    <xf numFmtId="4" fontId="15" fillId="0" borderId="66" xfId="15" applyNumberFormat="1" applyFont="1" applyFill="1" applyBorder="1" applyAlignment="1">
      <alignment horizontal="right" vertical="top" wrapText="1"/>
    </xf>
    <xf numFmtId="4" fontId="15" fillId="0" borderId="67" xfId="15" applyNumberFormat="1" applyFont="1" applyFill="1" applyBorder="1" applyAlignment="1">
      <alignment horizontal="center" vertical="top"/>
    </xf>
    <xf numFmtId="164" fontId="15" fillId="0" borderId="66" xfId="16" applyFont="1" applyFill="1" applyBorder="1" applyAlignment="1">
      <alignment horizontal="right" vertical="top"/>
    </xf>
    <xf numFmtId="4" fontId="15" fillId="0" borderId="66" xfId="15" applyNumberFormat="1" applyFont="1" applyFill="1" applyBorder="1" applyAlignment="1">
      <alignment horizontal="right" vertical="top"/>
    </xf>
    <xf numFmtId="4" fontId="15" fillId="0" borderId="47" xfId="15" applyNumberFormat="1" applyFont="1" applyBorder="1" applyAlignment="1">
      <alignment horizontal="center" vertical="top"/>
    </xf>
    <xf numFmtId="4" fontId="15" fillId="0" borderId="60" xfId="15" applyNumberFormat="1" applyFont="1" applyFill="1" applyBorder="1" applyAlignment="1">
      <alignment horizontal="justify" vertical="top" wrapText="1"/>
    </xf>
    <xf numFmtId="4" fontId="15" fillId="0" borderId="61" xfId="15" applyNumberFormat="1" applyFont="1" applyFill="1" applyBorder="1" applyAlignment="1">
      <alignment horizontal="justify" vertical="top" wrapText="1"/>
    </xf>
    <xf numFmtId="4" fontId="15" fillId="0" borderId="65" xfId="15" applyNumberFormat="1" applyFont="1" applyFill="1" applyBorder="1" applyAlignment="1">
      <alignment horizontal="right" vertical="top"/>
    </xf>
    <xf numFmtId="4" fontId="15" fillId="0" borderId="58" xfId="15" applyNumberFormat="1" applyFont="1" applyFill="1" applyBorder="1" applyAlignment="1">
      <alignment horizontal="center" vertical="top"/>
    </xf>
    <xf numFmtId="164" fontId="15" fillId="0" borderId="61" xfId="16" applyFont="1" applyFill="1" applyBorder="1" applyAlignment="1">
      <alignment horizontal="right" vertical="top"/>
    </xf>
    <xf numFmtId="4" fontId="15" fillId="0" borderId="61" xfId="15" applyNumberFormat="1" applyFont="1" applyFill="1" applyBorder="1" applyAlignment="1">
      <alignment horizontal="right" vertical="top"/>
    </xf>
    <xf numFmtId="4" fontId="15" fillId="0" borderId="61" xfId="15" applyNumberFormat="1" applyFont="1" applyFill="1" applyBorder="1" applyAlignment="1">
      <alignment horizontal="right" vertical="top" wrapText="1"/>
    </xf>
    <xf numFmtId="0" fontId="15" fillId="0" borderId="5" xfId="15" applyFont="1" applyBorder="1" applyAlignment="1">
      <alignment wrapText="1"/>
    </xf>
    <xf numFmtId="0" fontId="15" fillId="0" borderId="0" xfId="15" applyFont="1"/>
    <xf numFmtId="0" fontId="15" fillId="0" borderId="12" xfId="15" applyFont="1" applyBorder="1" applyAlignment="1">
      <alignment horizontal="justify" vertical="top"/>
    </xf>
    <xf numFmtId="4" fontId="19" fillId="0" borderId="16" xfId="15" applyNumberFormat="1" applyFont="1" applyFill="1" applyBorder="1" applyAlignment="1">
      <alignment horizontal="right" vertical="center" wrapText="1"/>
    </xf>
    <xf numFmtId="4" fontId="15" fillId="0" borderId="46" xfId="15" applyNumberFormat="1" applyFont="1" applyFill="1" applyBorder="1" applyAlignment="1">
      <alignment horizontal="center" vertical="top"/>
    </xf>
    <xf numFmtId="4" fontId="19" fillId="0" borderId="49" xfId="15" applyNumberFormat="1" applyFont="1" applyFill="1" applyBorder="1" applyAlignment="1">
      <alignment horizontal="justify" vertical="top" wrapText="1"/>
    </xf>
    <xf numFmtId="4" fontId="15" fillId="0" borderId="0" xfId="15" applyNumberFormat="1" applyFont="1" applyBorder="1" applyAlignment="1">
      <alignment horizontal="center" vertical="top"/>
    </xf>
    <xf numFmtId="4" fontId="15" fillId="0" borderId="0" xfId="15" applyNumberFormat="1" applyFont="1" applyBorder="1" applyAlignment="1">
      <alignment horizontal="right" vertical="top"/>
    </xf>
    <xf numFmtId="164" fontId="15" fillId="0" borderId="0" xfId="16" applyFont="1" applyBorder="1" applyAlignment="1">
      <alignment horizontal="right" vertical="top"/>
    </xf>
    <xf numFmtId="4" fontId="13" fillId="0" borderId="0" xfId="15" applyNumberFormat="1" applyFont="1" applyBorder="1" applyAlignment="1">
      <alignment vertical="top"/>
    </xf>
    <xf numFmtId="164" fontId="13" fillId="0" borderId="0" xfId="16" applyFont="1" applyBorder="1" applyAlignment="1">
      <alignment vertical="top"/>
    </xf>
    <xf numFmtId="2" fontId="24" fillId="0" borderId="4" xfId="15" applyNumberFormat="1" applyFont="1" applyFill="1" applyBorder="1" applyAlignment="1">
      <alignment horizontal="center"/>
    </xf>
    <xf numFmtId="2" fontId="24" fillId="0" borderId="0" xfId="15" applyNumberFormat="1" applyFont="1" applyFill="1" applyBorder="1" applyAlignment="1">
      <alignment horizontal="center"/>
    </xf>
    <xf numFmtId="164" fontId="24" fillId="0" borderId="0" xfId="16" applyFont="1" applyFill="1" applyBorder="1" applyAlignment="1">
      <alignment horizontal="center"/>
    </xf>
    <xf numFmtId="2" fontId="24" fillId="0" borderId="5" xfId="15" applyNumberFormat="1" applyFont="1" applyFill="1" applyBorder="1" applyAlignment="1">
      <alignment horizontal="center"/>
    </xf>
    <xf numFmtId="2" fontId="23" fillId="0" borderId="6" xfId="15" applyNumberFormat="1" applyFont="1" applyFill="1" applyBorder="1" applyAlignment="1">
      <alignment horizontal="center" vertical="top"/>
    </xf>
    <xf numFmtId="2" fontId="23" fillId="0" borderId="7" xfId="15" applyNumberFormat="1" applyFont="1" applyFill="1" applyBorder="1" applyAlignment="1">
      <alignment horizontal="center"/>
    </xf>
    <xf numFmtId="2" fontId="23" fillId="0" borderId="8" xfId="15" applyNumberFormat="1" applyFont="1" applyFill="1" applyBorder="1" applyAlignment="1">
      <alignment horizontal="center"/>
    </xf>
    <xf numFmtId="0" fontId="23" fillId="0" borderId="9" xfId="15" applyFont="1" applyFill="1" applyBorder="1" applyAlignment="1">
      <alignment horizontal="center"/>
    </xf>
    <xf numFmtId="164" fontId="23" fillId="0" borderId="8" xfId="16" applyFont="1" applyFill="1" applyBorder="1" applyAlignment="1">
      <alignment horizontal="center"/>
    </xf>
    <xf numFmtId="2" fontId="23" fillId="0" borderId="11" xfId="15" applyNumberFormat="1" applyFont="1" applyFill="1" applyBorder="1" applyAlignment="1">
      <alignment horizontal="center" vertical="top"/>
    </xf>
    <xf numFmtId="2" fontId="23" fillId="0" borderId="0" xfId="15" applyNumberFormat="1" applyFont="1" applyFill="1" applyBorder="1" applyAlignment="1">
      <alignment horizontal="center"/>
    </xf>
    <xf numFmtId="2" fontId="23" fillId="0" borderId="13" xfId="15" applyNumberFormat="1" applyFont="1" applyFill="1" applyBorder="1" applyAlignment="1">
      <alignment horizontal="center"/>
    </xf>
    <xf numFmtId="0" fontId="23" fillId="0" borderId="0" xfId="15" applyFont="1" applyFill="1" applyBorder="1" applyAlignment="1">
      <alignment horizontal="center"/>
    </xf>
    <xf numFmtId="164" fontId="23" fillId="0" borderId="13" xfId="16" applyFont="1" applyFill="1" applyBorder="1" applyAlignment="1">
      <alignment horizontal="center"/>
    </xf>
    <xf numFmtId="0" fontId="13" fillId="0" borderId="11" xfId="15" applyFont="1" applyFill="1" applyBorder="1" applyAlignment="1">
      <alignment horizontal="center" vertical="top"/>
    </xf>
    <xf numFmtId="2" fontId="13" fillId="0" borderId="0" xfId="15" applyNumberFormat="1" applyFont="1" applyFill="1" applyBorder="1"/>
    <xf numFmtId="2" fontId="13" fillId="0" borderId="0" xfId="15" applyNumberFormat="1" applyFont="1" applyFill="1" applyBorder="1" applyAlignment="1">
      <alignment horizontal="center" wrapText="1"/>
    </xf>
    <xf numFmtId="164" fontId="13" fillId="0" borderId="13" xfId="16" applyFont="1" applyFill="1" applyBorder="1" applyAlignment="1">
      <alignment horizontal="right" wrapText="1"/>
    </xf>
    <xf numFmtId="0" fontId="13" fillId="0" borderId="11" xfId="15" applyFont="1" applyFill="1" applyBorder="1" applyAlignment="1">
      <alignment horizontal="center" vertical="center"/>
    </xf>
    <xf numFmtId="2" fontId="13" fillId="0" borderId="0" xfId="15" applyNumberFormat="1" applyFont="1" applyFill="1" applyBorder="1" applyAlignment="1">
      <alignment vertical="center"/>
    </xf>
    <xf numFmtId="2" fontId="13" fillId="0" borderId="0" xfId="15" applyNumberFormat="1" applyFont="1" applyFill="1" applyBorder="1" applyAlignment="1">
      <alignment horizontal="center" vertical="center" wrapText="1"/>
    </xf>
    <xf numFmtId="164" fontId="13" fillId="0" borderId="13" xfId="16" applyFont="1" applyFill="1" applyBorder="1" applyAlignment="1">
      <alignment horizontal="right" vertical="center" wrapText="1"/>
    </xf>
    <xf numFmtId="0" fontId="13" fillId="0" borderId="6" xfId="15" applyFont="1" applyFill="1" applyBorder="1" applyAlignment="1">
      <alignment horizontal="center" vertical="center"/>
    </xf>
    <xf numFmtId="2" fontId="23" fillId="0" borderId="44" xfId="15" applyNumberFormat="1" applyFont="1" applyFill="1" applyBorder="1" applyAlignment="1">
      <alignment vertical="center"/>
    </xf>
    <xf numFmtId="2" fontId="23" fillId="0" borderId="44" xfId="15" applyNumberFormat="1" applyFont="1" applyFill="1" applyBorder="1" applyAlignment="1">
      <alignment horizontal="center" vertical="center" wrapText="1"/>
    </xf>
    <xf numFmtId="164" fontId="23" fillId="0" borderId="8" xfId="16" applyFont="1" applyFill="1" applyBorder="1" applyAlignment="1">
      <alignment horizontal="right" vertical="center" wrapText="1"/>
    </xf>
    <xf numFmtId="0" fontId="13" fillId="0" borderId="0" xfId="15" applyFont="1" applyBorder="1" applyAlignment="1">
      <alignment horizontal="center" vertical="top"/>
    </xf>
    <xf numFmtId="0" fontId="13" fillId="0" borderId="0" xfId="15" applyFont="1" applyBorder="1" applyAlignment="1">
      <alignment horizontal="justify"/>
    </xf>
    <xf numFmtId="2" fontId="13" fillId="0" borderId="0" xfId="15" applyNumberFormat="1" applyFont="1" applyBorder="1" applyAlignment="1">
      <alignment horizontal="center"/>
    </xf>
    <xf numFmtId="0" fontId="13" fillId="0" borderId="0" xfId="15" applyFont="1" applyBorder="1" applyAlignment="1">
      <alignment horizontal="center"/>
    </xf>
    <xf numFmtId="164" fontId="13" fillId="0" borderId="0" xfId="16" applyFont="1" applyBorder="1" applyAlignment="1">
      <alignment horizontal="center"/>
    </xf>
    <xf numFmtId="0" fontId="16" fillId="0" borderId="36" xfId="15" applyFont="1" applyFill="1" applyBorder="1" applyAlignment="1">
      <alignment horizontal="center" vertical="top"/>
    </xf>
    <xf numFmtId="2" fontId="19" fillId="0" borderId="2" xfId="15" applyNumberFormat="1" applyFont="1" applyFill="1" applyBorder="1"/>
    <xf numFmtId="2" fontId="15" fillId="0" borderId="2" xfId="15" applyNumberFormat="1" applyFont="1" applyFill="1" applyBorder="1" applyAlignment="1">
      <alignment horizontal="center" wrapText="1"/>
    </xf>
    <xf numFmtId="164" fontId="15" fillId="0" borderId="37" xfId="16" applyFont="1" applyFill="1" applyBorder="1" applyAlignment="1"/>
    <xf numFmtId="2" fontId="19" fillId="0" borderId="0" xfId="15" applyNumberFormat="1" applyFont="1" applyFill="1" applyBorder="1"/>
    <xf numFmtId="2" fontId="15" fillId="0" borderId="0" xfId="15" applyNumberFormat="1" applyFont="1" applyFill="1" applyBorder="1" applyAlignment="1">
      <alignment horizontal="center" wrapText="1"/>
    </xf>
    <xf numFmtId="164" fontId="15" fillId="0" borderId="13" xfId="16" applyFont="1" applyFill="1" applyBorder="1" applyAlignment="1"/>
    <xf numFmtId="2" fontId="15" fillId="0" borderId="12" xfId="15" applyNumberFormat="1" applyFont="1" applyFill="1" applyBorder="1" applyAlignment="1">
      <alignment horizontal="left" wrapText="1"/>
    </xf>
    <xf numFmtId="2" fontId="15" fillId="0" borderId="12" xfId="15" applyNumberFormat="1" applyFont="1" applyFill="1" applyBorder="1" applyAlignment="1">
      <alignment horizontal="center" vertical="top" wrapText="1"/>
    </xf>
    <xf numFmtId="164" fontId="15" fillId="0" borderId="12" xfId="16" applyFont="1" applyFill="1" applyBorder="1" applyAlignment="1">
      <alignment horizontal="center" vertical="top"/>
    </xf>
    <xf numFmtId="2" fontId="15" fillId="0" borderId="12" xfId="15" applyNumberFormat="1" applyFont="1" applyFill="1" applyBorder="1"/>
    <xf numFmtId="2" fontId="15" fillId="0" borderId="12" xfId="15" applyNumberFormat="1" applyFont="1" applyFill="1" applyBorder="1" applyAlignment="1">
      <alignment horizontal="center" wrapText="1"/>
    </xf>
    <xf numFmtId="164" fontId="15" fillId="0" borderId="33" xfId="16" applyFont="1" applyFill="1" applyBorder="1" applyAlignment="1">
      <alignment horizontal="center"/>
    </xf>
    <xf numFmtId="2" fontId="15" fillId="0" borderId="0" xfId="15" applyNumberFormat="1" applyFont="1" applyFill="1" applyBorder="1"/>
    <xf numFmtId="164" fontId="15" fillId="0" borderId="13" xfId="16" applyFont="1" applyFill="1" applyBorder="1" applyAlignment="1">
      <alignment horizontal="right" wrapText="1"/>
    </xf>
    <xf numFmtId="2" fontId="16" fillId="0" borderId="19" xfId="15" applyNumberFormat="1" applyFont="1" applyFill="1" applyBorder="1"/>
    <xf numFmtId="2" fontId="16" fillId="0" borderId="19" xfId="15" applyNumberFormat="1" applyFont="1" applyFill="1" applyBorder="1" applyAlignment="1">
      <alignment horizontal="center" wrapText="1"/>
    </xf>
    <xf numFmtId="164" fontId="16" fillId="0" borderId="19" xfId="16" applyFont="1" applyFill="1" applyBorder="1" applyAlignment="1">
      <alignment horizontal="right" wrapText="1"/>
    </xf>
    <xf numFmtId="0" fontId="15" fillId="0" borderId="0" xfId="15" applyFont="1" applyBorder="1" applyAlignment="1">
      <alignment horizontal="center" vertical="top"/>
    </xf>
    <xf numFmtId="0" fontId="15" fillId="0" borderId="0" xfId="15" applyFont="1" applyBorder="1" applyAlignment="1">
      <alignment horizontal="justify"/>
    </xf>
    <xf numFmtId="2" fontId="15" fillId="0" borderId="0" xfId="15" applyNumberFormat="1" applyFont="1" applyBorder="1" applyAlignment="1">
      <alignment horizontal="center"/>
    </xf>
    <xf numFmtId="0" fontId="15" fillId="0" borderId="0" xfId="15" applyFont="1" applyBorder="1" applyAlignment="1">
      <alignment horizontal="center"/>
    </xf>
    <xf numFmtId="164" fontId="15" fillId="0" borderId="0" xfId="16" applyFont="1" applyBorder="1" applyAlignment="1">
      <alignment horizontal="center"/>
    </xf>
    <xf numFmtId="0" fontId="13" fillId="0" borderId="27" xfId="15" applyFont="1" applyFill="1" applyBorder="1" applyAlignment="1">
      <alignment horizontal="center" vertical="top"/>
    </xf>
    <xf numFmtId="2" fontId="13" fillId="0" borderId="35" xfId="15" applyNumberFormat="1" applyFont="1" applyFill="1" applyBorder="1"/>
    <xf numFmtId="2" fontId="13" fillId="0" borderId="35" xfId="15" applyNumberFormat="1" applyFont="1" applyFill="1" applyBorder="1" applyAlignment="1">
      <alignment horizontal="center" wrapText="1"/>
    </xf>
    <xf numFmtId="164" fontId="13" fillId="0" borderId="29" xfId="16" applyFont="1" applyFill="1" applyBorder="1" applyAlignment="1">
      <alignment horizontal="right" wrapText="1"/>
    </xf>
    <xf numFmtId="0" fontId="13" fillId="0" borderId="24" xfId="15" applyFont="1" applyBorder="1" applyAlignment="1">
      <alignment horizontal="justify" vertical="center"/>
    </xf>
    <xf numFmtId="0" fontId="13" fillId="0" borderId="11" xfId="15" applyFont="1" applyFill="1" applyBorder="1" applyAlignment="1">
      <alignment horizontal="center" vertical="center" wrapText="1"/>
    </xf>
    <xf numFmtId="0" fontId="13" fillId="0" borderId="0" xfId="15" applyFont="1" applyBorder="1" applyAlignment="1">
      <alignment horizontal="right" vertical="center"/>
    </xf>
    <xf numFmtId="0" fontId="13" fillId="0" borderId="0" xfId="15" applyFont="1" applyBorder="1" applyAlignment="1">
      <alignment horizontal="justify" vertical="center"/>
    </xf>
    <xf numFmtId="0" fontId="13" fillId="0" borderId="11" xfId="15" applyFont="1" applyFill="1" applyBorder="1" applyAlignment="1">
      <alignment horizontal="center" vertical="top" wrapText="1"/>
    </xf>
    <xf numFmtId="2" fontId="23" fillId="0" borderId="0" xfId="15" applyNumberFormat="1" applyFont="1" applyFill="1" applyBorder="1" applyAlignment="1">
      <alignment horizontal="right" wrapText="1"/>
    </xf>
    <xf numFmtId="0" fontId="13" fillId="0" borderId="27" xfId="15" applyFont="1" applyFill="1" applyBorder="1" applyAlignment="1">
      <alignment horizontal="center" vertical="top" wrapText="1"/>
    </xf>
    <xf numFmtId="0" fontId="13" fillId="0" borderId="35" xfId="15" applyFont="1" applyBorder="1" applyAlignment="1">
      <alignment horizontal="justify"/>
    </xf>
    <xf numFmtId="0" fontId="13" fillId="0" borderId="40" xfId="15" applyFont="1" applyBorder="1" applyAlignment="1">
      <alignment horizontal="center"/>
    </xf>
    <xf numFmtId="4" fontId="13" fillId="0" borderId="0" xfId="15" applyNumberFormat="1" applyFont="1" applyBorder="1" applyAlignment="1">
      <alignment horizontal="center" vertical="top"/>
    </xf>
    <xf numFmtId="4" fontId="13" fillId="0" borderId="0" xfId="15" applyNumberFormat="1" applyFont="1" applyBorder="1" applyAlignment="1">
      <alignment horizontal="justify" vertical="top"/>
    </xf>
    <xf numFmtId="4" fontId="13" fillId="0" borderId="0" xfId="15" applyNumberFormat="1" applyFont="1" applyBorder="1" applyAlignment="1">
      <alignment horizontal="right" vertical="top"/>
    </xf>
    <xf numFmtId="164" fontId="13" fillId="0" borderId="0" xfId="16" applyFont="1" applyBorder="1" applyAlignment="1">
      <alignment horizontal="right" vertical="top"/>
    </xf>
    <xf numFmtId="4" fontId="15" fillId="0" borderId="0" xfId="0" applyNumberFormat="1" applyFont="1" applyBorder="1" applyAlignment="1">
      <alignment horizontal="center" vertical="center"/>
    </xf>
    <xf numFmtId="164" fontId="15" fillId="0" borderId="0" xfId="1" applyFont="1" applyBorder="1" applyAlignment="1">
      <alignment horizontal="center" vertical="center"/>
    </xf>
    <xf numFmtId="164" fontId="13" fillId="3" borderId="20" xfId="2" applyFont="1" applyFill="1" applyBorder="1" applyAlignment="1">
      <alignment horizontal="center" vertical="center" wrapText="1"/>
    </xf>
    <xf numFmtId="0" fontId="23" fillId="3" borderId="70" xfId="15" applyFont="1" applyFill="1" applyBorder="1" applyAlignment="1">
      <alignment horizontal="center" vertical="center" wrapText="1"/>
    </xf>
    <xf numFmtId="164" fontId="23" fillId="3" borderId="70" xfId="2" applyFont="1" applyFill="1" applyBorder="1" applyAlignment="1">
      <alignment horizontal="center" vertical="center" wrapText="1"/>
    </xf>
    <xf numFmtId="0" fontId="23" fillId="3" borderId="70" xfId="15" applyFont="1" applyFill="1" applyBorder="1" applyAlignment="1">
      <alignment horizontal="center" vertical="center"/>
    </xf>
    <xf numFmtId="4" fontId="23" fillId="3" borderId="70" xfId="2" applyNumberFormat="1" applyFont="1" applyFill="1" applyBorder="1" applyAlignment="1">
      <alignment horizontal="center" vertical="center"/>
    </xf>
    <xf numFmtId="4" fontId="23" fillId="3" borderId="18" xfId="2" applyNumberFormat="1" applyFont="1" applyFill="1" applyBorder="1" applyAlignment="1">
      <alignment horizontal="center" vertical="center"/>
    </xf>
    <xf numFmtId="4" fontId="39" fillId="3" borderId="0" xfId="2" applyNumberFormat="1" applyFont="1" applyFill="1" applyBorder="1" applyAlignment="1">
      <alignment horizontal="center" vertical="center"/>
    </xf>
    <xf numFmtId="166" fontId="13" fillId="3" borderId="0" xfId="2" applyNumberFormat="1" applyFont="1" applyFill="1" applyBorder="1" applyAlignment="1">
      <alignment vertical="center"/>
    </xf>
    <xf numFmtId="0" fontId="13" fillId="3" borderId="0" xfId="15" applyFont="1" applyFill="1" applyBorder="1" applyAlignment="1">
      <alignment vertical="center"/>
    </xf>
    <xf numFmtId="0" fontId="13" fillId="3" borderId="0" xfId="15" applyFont="1" applyFill="1" applyAlignment="1">
      <alignment vertical="center"/>
    </xf>
    <xf numFmtId="164" fontId="13" fillId="3" borderId="13" xfId="2" applyFont="1" applyFill="1" applyBorder="1" applyAlignment="1">
      <alignment vertical="center"/>
    </xf>
    <xf numFmtId="164" fontId="33" fillId="3" borderId="13" xfId="2" applyFont="1" applyFill="1" applyBorder="1" applyAlignment="1">
      <alignment vertical="top"/>
    </xf>
    <xf numFmtId="164" fontId="40" fillId="3" borderId="0" xfId="2" applyFont="1" applyFill="1" applyBorder="1" applyAlignment="1">
      <alignment vertical="center"/>
    </xf>
    <xf numFmtId="0" fontId="13" fillId="3" borderId="0" xfId="18" applyFont="1" applyFill="1" applyBorder="1" applyAlignment="1">
      <alignment vertical="center"/>
    </xf>
    <xf numFmtId="0" fontId="13" fillId="3" borderId="0" xfId="18" applyFont="1" applyFill="1" applyAlignment="1">
      <alignment vertical="center"/>
    </xf>
    <xf numFmtId="0" fontId="24" fillId="3" borderId="13" xfId="18" applyFont="1" applyFill="1" applyBorder="1" applyAlignment="1" applyProtection="1">
      <alignment horizontal="left" vertical="center"/>
    </xf>
    <xf numFmtId="164" fontId="32" fillId="3" borderId="13" xfId="2" applyFont="1" applyFill="1" applyBorder="1" applyAlignment="1">
      <alignment vertical="top"/>
    </xf>
    <xf numFmtId="0" fontId="13" fillId="3" borderId="13" xfId="18" applyFont="1" applyFill="1" applyBorder="1" applyAlignment="1">
      <alignment horizontal="center" vertical="center"/>
    </xf>
    <xf numFmtId="164" fontId="13" fillId="3" borderId="13" xfId="2" applyFont="1" applyFill="1" applyBorder="1" applyAlignment="1" applyProtection="1">
      <alignment horizontal="center" vertical="center"/>
    </xf>
    <xf numFmtId="164" fontId="33" fillId="3" borderId="26" xfId="2" applyFont="1" applyFill="1" applyBorder="1" applyAlignment="1">
      <alignment vertical="top"/>
    </xf>
    <xf numFmtId="164" fontId="32" fillId="3" borderId="12" xfId="2" applyFont="1" applyFill="1" applyBorder="1" applyAlignment="1">
      <alignment horizontal="right"/>
    </xf>
    <xf numFmtId="0" fontId="24" fillId="3" borderId="13" xfId="15" applyFont="1" applyFill="1" applyBorder="1" applyAlignment="1">
      <alignment vertical="center" wrapText="1"/>
    </xf>
    <xf numFmtId="164" fontId="13" fillId="3" borderId="13" xfId="2" applyFont="1" applyFill="1" applyBorder="1" applyAlignment="1">
      <alignment horizontal="center" vertical="center"/>
    </xf>
    <xf numFmtId="0" fontId="41" fillId="3" borderId="13" xfId="15" applyFont="1" applyFill="1" applyBorder="1" applyAlignment="1"/>
    <xf numFmtId="0" fontId="42" fillId="3" borderId="13" xfId="15" applyFont="1" applyFill="1" applyBorder="1" applyAlignment="1">
      <alignment wrapText="1"/>
    </xf>
    <xf numFmtId="0" fontId="42" fillId="3" borderId="13" xfId="15" applyFont="1" applyFill="1" applyBorder="1" applyAlignment="1"/>
    <xf numFmtId="0" fontId="42" fillId="3" borderId="13" xfId="15" applyFont="1" applyFill="1" applyBorder="1" applyAlignment="1">
      <alignment vertical="top" wrapText="1"/>
    </xf>
    <xf numFmtId="0" fontId="43" fillId="3" borderId="13" xfId="15" applyFont="1" applyFill="1" applyBorder="1" applyAlignment="1"/>
    <xf numFmtId="0" fontId="44" fillId="3" borderId="13" xfId="15" applyFont="1" applyFill="1" applyBorder="1" applyAlignment="1">
      <alignment wrapText="1"/>
    </xf>
    <xf numFmtId="164" fontId="13" fillId="3" borderId="24" xfId="2" applyFont="1" applyFill="1" applyBorder="1" applyAlignment="1" applyProtection="1">
      <alignment horizontal="center" vertical="center"/>
    </xf>
    <xf numFmtId="164" fontId="42" fillId="3" borderId="13" xfId="2" applyFont="1" applyFill="1" applyBorder="1" applyAlignment="1">
      <alignment vertical="center"/>
    </xf>
    <xf numFmtId="0" fontId="13" fillId="3" borderId="13" xfId="15" applyFont="1" applyFill="1" applyBorder="1" applyAlignment="1">
      <alignment horizontal="center" vertical="center"/>
    </xf>
    <xf numFmtId="0" fontId="42" fillId="3" borderId="13" xfId="18" applyFont="1" applyFill="1" applyBorder="1" applyAlignment="1" applyProtection="1">
      <alignment horizontal="left" vertical="top"/>
    </xf>
    <xf numFmtId="164" fontId="33" fillId="3" borderId="12" xfId="2" applyFont="1" applyFill="1" applyBorder="1" applyAlignment="1">
      <alignment horizontal="center"/>
    </xf>
    <xf numFmtId="164" fontId="13" fillId="3" borderId="0" xfId="2" applyFont="1" applyFill="1" applyBorder="1" applyAlignment="1">
      <alignment horizontal="center" vertical="center"/>
    </xf>
    <xf numFmtId="0" fontId="13" fillId="3" borderId="0" xfId="15" applyFont="1" applyFill="1" applyBorder="1" applyAlignment="1">
      <alignment horizontal="right" vertical="center" wrapText="1"/>
    </xf>
    <xf numFmtId="164" fontId="13" fillId="3" borderId="0" xfId="2" applyFont="1" applyFill="1" applyBorder="1" applyAlignment="1">
      <alignment horizontal="center" vertical="center" wrapText="1"/>
    </xf>
    <xf numFmtId="0" fontId="23" fillId="3" borderId="0" xfId="15" applyFont="1" applyFill="1" applyBorder="1" applyAlignment="1">
      <alignment horizontal="center" vertical="center" wrapText="1"/>
    </xf>
    <xf numFmtId="164" fontId="13" fillId="3" borderId="0" xfId="2" applyFont="1" applyFill="1" applyAlignment="1">
      <alignment vertical="center"/>
    </xf>
    <xf numFmtId="164" fontId="40" fillId="3" borderId="0" xfId="2" applyFont="1" applyFill="1" applyAlignment="1">
      <alignment vertical="center"/>
    </xf>
    <xf numFmtId="0" fontId="23" fillId="3" borderId="0" xfId="18" applyFont="1" applyFill="1" applyBorder="1" applyAlignment="1">
      <alignment vertical="center"/>
    </xf>
    <xf numFmtId="0" fontId="13" fillId="3" borderId="0" xfId="18" applyNumberFormat="1" applyFont="1" applyFill="1" applyBorder="1" applyAlignment="1">
      <alignment vertical="center"/>
    </xf>
    <xf numFmtId="0" fontId="13" fillId="3" borderId="0" xfId="18" applyFont="1" applyFill="1" applyBorder="1" applyAlignment="1">
      <alignment horizontal="center" vertical="center"/>
    </xf>
    <xf numFmtId="164" fontId="13" fillId="3" borderId="0" xfId="2" applyFont="1" applyFill="1" applyBorder="1" applyAlignment="1">
      <alignment vertical="center"/>
    </xf>
    <xf numFmtId="167" fontId="32" fillId="3" borderId="68" xfId="2" applyNumberFormat="1" applyFont="1" applyFill="1" applyBorder="1" applyAlignment="1">
      <alignment vertical="top" wrapText="1"/>
    </xf>
    <xf numFmtId="0" fontId="33" fillId="3" borderId="25" xfId="15" applyFont="1" applyFill="1" applyBorder="1" applyAlignment="1">
      <alignment horizontal="center"/>
    </xf>
    <xf numFmtId="4" fontId="15" fillId="0" borderId="13" xfId="0" applyNumberFormat="1" applyFont="1" applyBorder="1" applyAlignment="1">
      <alignment vertical="center"/>
    </xf>
    <xf numFmtId="4" fontId="19" fillId="0" borderId="16" xfId="0" applyNumberFormat="1" applyFont="1" applyFill="1" applyBorder="1" applyAlignment="1">
      <alignment horizontal="center" vertical="center" wrapText="1"/>
    </xf>
    <xf numFmtId="4" fontId="15" fillId="0" borderId="32" xfId="0" applyNumberFormat="1" applyFont="1" applyFill="1" applyBorder="1" applyAlignment="1">
      <alignment horizontal="center" vertical="center"/>
    </xf>
    <xf numFmtId="4" fontId="15" fillId="0" borderId="46" xfId="0" applyNumberFormat="1" applyFont="1" applyFill="1" applyBorder="1" applyAlignment="1">
      <alignment horizontal="center" vertical="center"/>
    </xf>
    <xf numFmtId="164" fontId="15" fillId="0" borderId="54" xfId="1" applyFont="1" applyFill="1" applyBorder="1" applyAlignment="1">
      <alignment horizontal="center" vertical="center"/>
    </xf>
    <xf numFmtId="164" fontId="12" fillId="0" borderId="12" xfId="12" applyNumberFormat="1" applyBorder="1"/>
    <xf numFmtId="4" fontId="15" fillId="0" borderId="72" xfId="0" applyNumberFormat="1" applyFont="1" applyFill="1" applyBorder="1" applyAlignment="1">
      <alignment horizontal="justify" vertical="top" wrapText="1"/>
    </xf>
    <xf numFmtId="4" fontId="15" fillId="0" borderId="72" xfId="0" applyNumberFormat="1" applyFont="1" applyFill="1" applyBorder="1" applyAlignment="1">
      <alignment horizontal="center" vertical="center" wrapText="1"/>
    </xf>
    <xf numFmtId="4" fontId="15" fillId="0" borderId="72" xfId="0" applyNumberFormat="1" applyFont="1" applyFill="1" applyBorder="1" applyAlignment="1">
      <alignment horizontal="center" vertical="center"/>
    </xf>
    <xf numFmtId="0" fontId="25" fillId="0" borderId="12" xfId="0" applyFont="1" applyBorder="1" applyAlignment="1" applyProtection="1">
      <alignment vertical="center" wrapText="1"/>
      <protection locked="0"/>
    </xf>
    <xf numFmtId="9" fontId="25" fillId="0" borderId="12" xfId="21" applyFont="1" applyBorder="1" applyAlignment="1" applyProtection="1">
      <alignment horizontal="center" vertical="center" wrapText="1"/>
      <protection locked="0"/>
    </xf>
    <xf numFmtId="43" fontId="12" fillId="0" borderId="0" xfId="12" applyNumberFormat="1" applyFont="1" applyBorder="1"/>
    <xf numFmtId="4" fontId="19" fillId="0" borderId="73" xfId="0" applyNumberFormat="1" applyFont="1" applyFill="1" applyBorder="1" applyAlignment="1">
      <alignment horizontal="justify" vertical="top" wrapText="1"/>
    </xf>
    <xf numFmtId="4" fontId="15" fillId="0" borderId="73" xfId="0" applyNumberFormat="1" applyFont="1" applyFill="1" applyBorder="1" applyAlignment="1">
      <alignment horizontal="center" vertical="center" wrapText="1"/>
    </xf>
    <xf numFmtId="4" fontId="15" fillId="0" borderId="73" xfId="0" applyNumberFormat="1" applyFont="1" applyFill="1" applyBorder="1" applyAlignment="1">
      <alignment horizontal="center" vertical="center"/>
    </xf>
    <xf numFmtId="164" fontId="15" fillId="0" borderId="73" xfId="1" applyFont="1" applyFill="1" applyBorder="1" applyAlignment="1">
      <alignment horizontal="center" vertical="center"/>
    </xf>
    <xf numFmtId="164" fontId="15" fillId="0" borderId="72" xfId="1" applyFont="1" applyFill="1" applyBorder="1" applyAlignment="1">
      <alignment horizontal="center" vertical="center"/>
    </xf>
    <xf numFmtId="2" fontId="16" fillId="0" borderId="19" xfId="0" applyNumberFormat="1" applyFont="1" applyFill="1" applyBorder="1" applyAlignment="1">
      <alignment horizontal="center"/>
    </xf>
    <xf numFmtId="2" fontId="16" fillId="0" borderId="74" xfId="0" applyNumberFormat="1" applyFont="1" applyFill="1" applyBorder="1" applyAlignment="1">
      <alignment horizontal="center"/>
    </xf>
    <xf numFmtId="2" fontId="16" fillId="0" borderId="19" xfId="0" applyNumberFormat="1" applyFont="1" applyFill="1" applyBorder="1" applyAlignment="1">
      <alignment horizontal="center" vertical="center"/>
    </xf>
    <xf numFmtId="0" fontId="16" fillId="0" borderId="75" xfId="0" applyFont="1" applyFill="1" applyBorder="1" applyAlignment="1">
      <alignment horizontal="center" vertical="center"/>
    </xf>
    <xf numFmtId="164" fontId="16" fillId="0" borderId="19" xfId="1" applyFont="1" applyFill="1" applyBorder="1" applyAlignment="1">
      <alignment horizontal="center" vertical="center"/>
    </xf>
    <xf numFmtId="164" fontId="16" fillId="0" borderId="19" xfId="2" applyFont="1" applyFill="1" applyBorder="1" applyAlignment="1">
      <alignment horizontal="center" vertical="center"/>
    </xf>
    <xf numFmtId="4" fontId="15" fillId="0" borderId="69" xfId="0" applyNumberFormat="1" applyFont="1" applyBorder="1" applyAlignment="1">
      <alignment horizontal="center" vertical="top"/>
    </xf>
    <xf numFmtId="4" fontId="15" fillId="0" borderId="36" xfId="0" applyNumberFormat="1" applyFont="1" applyFill="1" applyBorder="1" applyAlignment="1">
      <alignment horizontal="center" vertical="center"/>
    </xf>
    <xf numFmtId="4" fontId="15" fillId="0" borderId="15" xfId="0" applyNumberFormat="1" applyFont="1" applyBorder="1" applyAlignment="1">
      <alignment horizontal="center" vertical="top"/>
    </xf>
    <xf numFmtId="4" fontId="15" fillId="0" borderId="11" xfId="0" applyNumberFormat="1" applyFont="1" applyFill="1" applyBorder="1" applyAlignment="1">
      <alignment horizontal="center" vertical="center"/>
    </xf>
    <xf numFmtId="4" fontId="15" fillId="0" borderId="76" xfId="0" applyNumberFormat="1" applyFont="1" applyFill="1" applyBorder="1" applyAlignment="1">
      <alignment vertical="center"/>
    </xf>
    <xf numFmtId="4" fontId="15" fillId="0" borderId="14" xfId="0" applyNumberFormat="1" applyFont="1" applyBorder="1" applyAlignment="1">
      <alignment horizontal="center" vertical="top"/>
    </xf>
    <xf numFmtId="4" fontId="16" fillId="0" borderId="53" xfId="0" applyNumberFormat="1" applyFont="1" applyFill="1" applyBorder="1" applyAlignment="1">
      <alignment horizontal="left" vertical="top" wrapText="1"/>
    </xf>
    <xf numFmtId="4" fontId="15" fillId="0" borderId="46" xfId="0" applyNumberFormat="1" applyFont="1" applyFill="1" applyBorder="1" applyAlignment="1">
      <alignment horizontal="left" vertical="top"/>
    </xf>
    <xf numFmtId="164" fontId="15" fillId="0" borderId="54" xfId="1" applyFont="1" applyFill="1" applyBorder="1" applyAlignment="1">
      <alignment horizontal="left" vertical="top"/>
    </xf>
    <xf numFmtId="4" fontId="15" fillId="0" borderId="53" xfId="0" applyNumberFormat="1" applyFont="1" applyBorder="1" applyAlignment="1">
      <alignment horizontal="left" vertical="top"/>
    </xf>
    <xf numFmtId="4" fontId="19" fillId="0" borderId="16" xfId="0" applyNumberFormat="1" applyFont="1" applyFill="1" applyBorder="1" applyAlignment="1">
      <alignment horizontal="left" vertical="top" wrapText="1"/>
    </xf>
    <xf numFmtId="4" fontId="15" fillId="0" borderId="0" xfId="0" applyNumberFormat="1" applyFont="1" applyBorder="1" applyAlignment="1">
      <alignment horizontal="left" vertical="top"/>
    </xf>
    <xf numFmtId="2" fontId="32" fillId="0" borderId="35" xfId="0" applyNumberFormat="1" applyFont="1" applyFill="1" applyBorder="1" applyAlignment="1">
      <alignment horizontal="left"/>
    </xf>
    <xf numFmtId="164" fontId="33" fillId="0" borderId="2" xfId="1" applyFont="1" applyBorder="1" applyAlignment="1"/>
    <xf numFmtId="2" fontId="16" fillId="0" borderId="0" xfId="0" applyNumberFormat="1" applyFont="1" applyFill="1" applyBorder="1" applyAlignment="1">
      <alignment horizontal="center"/>
    </xf>
    <xf numFmtId="164" fontId="16" fillId="0" borderId="0" xfId="1" applyFont="1" applyFill="1" applyBorder="1" applyAlignment="1">
      <alignment wrapText="1"/>
    </xf>
    <xf numFmtId="0" fontId="15" fillId="0" borderId="0" xfId="0" applyFont="1" applyFill="1" applyBorder="1" applyAlignment="1">
      <alignment horizontal="left" vertical="top" wrapText="1"/>
    </xf>
    <xf numFmtId="4" fontId="15" fillId="0" borderId="0" xfId="0" applyNumberFormat="1" applyFont="1" applyBorder="1" applyAlignment="1">
      <alignment horizontal="left"/>
    </xf>
    <xf numFmtId="164" fontId="32" fillId="0" borderId="15" xfId="1" applyFont="1" applyFill="1" applyBorder="1" applyAlignment="1">
      <alignment vertical="center"/>
    </xf>
    <xf numFmtId="0" fontId="15" fillId="0" borderId="0" xfId="0" applyFont="1" applyFill="1" applyBorder="1" applyAlignment="1">
      <alignment wrapText="1"/>
    </xf>
    <xf numFmtId="4" fontId="15" fillId="0" borderId="13" xfId="0" applyNumberFormat="1" applyFont="1" applyFill="1" applyBorder="1" applyAlignment="1">
      <alignment vertical="top" wrapText="1"/>
    </xf>
    <xf numFmtId="4" fontId="15" fillId="0" borderId="13" xfId="0" applyNumberFormat="1" applyFont="1" applyFill="1" applyBorder="1" applyAlignment="1">
      <alignment vertical="center"/>
    </xf>
    <xf numFmtId="4" fontId="16" fillId="0" borderId="13" xfId="0" applyNumberFormat="1" applyFont="1" applyFill="1" applyBorder="1" applyAlignment="1">
      <alignment vertical="center" wrapText="1"/>
    </xf>
    <xf numFmtId="4" fontId="16" fillId="0" borderId="13" xfId="0" applyNumberFormat="1" applyFont="1" applyFill="1" applyBorder="1" applyAlignment="1">
      <alignment vertical="top" wrapText="1"/>
    </xf>
    <xf numFmtId="0" fontId="12" fillId="2" borderId="12" xfId="12" applyFont="1" applyFill="1" applyBorder="1"/>
    <xf numFmtId="0" fontId="46" fillId="0" borderId="77" xfId="22" applyFont="1" applyBorder="1" applyAlignment="1">
      <alignment vertical="center"/>
    </xf>
    <xf numFmtId="0" fontId="48" fillId="0" borderId="0" xfId="22" applyFont="1" applyAlignment="1">
      <alignment vertical="center"/>
    </xf>
    <xf numFmtId="0" fontId="46" fillId="0" borderId="14" xfId="22" applyFont="1" applyBorder="1" applyAlignment="1">
      <alignment vertical="center"/>
    </xf>
    <xf numFmtId="0" fontId="47" fillId="0" borderId="77" xfId="22" applyFont="1" applyFill="1" applyBorder="1" applyAlignment="1">
      <alignment vertical="center" wrapText="1"/>
    </xf>
    <xf numFmtId="0" fontId="47" fillId="0" borderId="76" xfId="22" applyFont="1" applyFill="1" applyBorder="1" applyAlignment="1">
      <alignment horizontal="center" vertical="center"/>
    </xf>
    <xf numFmtId="0" fontId="47" fillId="0" borderId="76" xfId="22" applyFont="1" applyBorder="1" applyAlignment="1">
      <alignment horizontal="left" vertical="center"/>
    </xf>
    <xf numFmtId="0" fontId="47" fillId="0" borderId="76" xfId="22" applyFont="1" applyBorder="1" applyAlignment="1">
      <alignment vertical="center" wrapText="1"/>
    </xf>
    <xf numFmtId="0" fontId="47" fillId="0" borderId="76" xfId="22" applyFont="1" applyFill="1" applyBorder="1" applyAlignment="1">
      <alignment horizontal="left" vertical="center" wrapText="1"/>
    </xf>
    <xf numFmtId="2" fontId="47" fillId="0" borderId="76" xfId="22" applyNumberFormat="1" applyFont="1" applyFill="1" applyBorder="1" applyAlignment="1">
      <alignment horizontal="center" vertical="center" wrapText="1"/>
    </xf>
    <xf numFmtId="168" fontId="47" fillId="0" borderId="76" xfId="22" applyNumberFormat="1" applyFont="1" applyBorder="1" applyAlignment="1">
      <alignment vertical="center"/>
    </xf>
    <xf numFmtId="168" fontId="47" fillId="0" borderId="76" xfId="22" applyNumberFormat="1" applyFont="1" applyFill="1" applyBorder="1" applyAlignment="1">
      <alignment horizontal="left" vertical="center" wrapText="1"/>
    </xf>
    <xf numFmtId="3" fontId="47" fillId="0" borderId="76" xfId="22" applyNumberFormat="1" applyFont="1" applyBorder="1" applyAlignment="1">
      <alignment horizontal="center" vertical="center"/>
    </xf>
    <xf numFmtId="0" fontId="47" fillId="0" borderId="76" xfId="22" applyFont="1" applyBorder="1" applyAlignment="1">
      <alignment vertical="center"/>
    </xf>
    <xf numFmtId="169" fontId="47" fillId="0" borderId="41" xfId="22" applyNumberFormat="1" applyFont="1" applyFill="1" applyBorder="1" applyAlignment="1">
      <alignment horizontal="left" vertical="center"/>
    </xf>
    <xf numFmtId="0" fontId="47" fillId="0" borderId="14" xfId="22" applyFont="1" applyFill="1" applyBorder="1" applyAlignment="1">
      <alignment vertical="center"/>
    </xf>
    <xf numFmtId="0" fontId="47" fillId="0" borderId="0" xfId="22" applyFont="1" applyFill="1" applyBorder="1" applyAlignment="1">
      <alignment horizontal="center" vertical="center"/>
    </xf>
    <xf numFmtId="0" fontId="47" fillId="0" borderId="0" xfId="22" applyFont="1" applyBorder="1" applyAlignment="1">
      <alignment horizontal="left" vertical="center"/>
    </xf>
    <xf numFmtId="0" fontId="47" fillId="0" borderId="0" xfId="22" applyFont="1" applyBorder="1" applyAlignment="1">
      <alignment vertical="center" wrapText="1"/>
    </xf>
    <xf numFmtId="0" fontId="47" fillId="0" borderId="0" xfId="22" applyFont="1" applyFill="1" applyBorder="1" applyAlignment="1">
      <alignment horizontal="center" vertical="center" wrapText="1"/>
    </xf>
    <xf numFmtId="2" fontId="47" fillId="0" borderId="0" xfId="22" applyNumberFormat="1" applyFont="1" applyFill="1" applyBorder="1" applyAlignment="1">
      <alignment horizontal="center" vertical="center" wrapText="1"/>
    </xf>
    <xf numFmtId="168" fontId="47" fillId="0" borderId="0" xfId="22" applyNumberFormat="1" applyFont="1" applyBorder="1" applyAlignment="1">
      <alignment vertical="center"/>
    </xf>
    <xf numFmtId="168" fontId="47" fillId="0" borderId="0" xfId="22" applyNumberFormat="1" applyFont="1" applyFill="1" applyBorder="1" applyAlignment="1">
      <alignment horizontal="left" vertical="center" wrapText="1"/>
    </xf>
    <xf numFmtId="3" fontId="47" fillId="0" borderId="0" xfId="22" applyNumberFormat="1" applyFont="1" applyBorder="1" applyAlignment="1">
      <alignment horizontal="center" vertical="center"/>
    </xf>
    <xf numFmtId="0" fontId="47" fillId="0" borderId="0" xfId="22" applyFont="1" applyBorder="1" applyAlignment="1">
      <alignment vertical="center"/>
    </xf>
    <xf numFmtId="0" fontId="47" fillId="0" borderId="24" xfId="22" applyFont="1" applyFill="1" applyBorder="1" applyAlignment="1">
      <alignment vertical="center"/>
    </xf>
    <xf numFmtId="14" fontId="47" fillId="0" borderId="0" xfId="22" applyNumberFormat="1" applyFont="1" applyFill="1" applyBorder="1" applyAlignment="1">
      <alignment vertical="center"/>
    </xf>
    <xf numFmtId="14" fontId="47" fillId="0" borderId="24" xfId="22" applyNumberFormat="1" applyFont="1" applyFill="1" applyBorder="1" applyAlignment="1">
      <alignment vertical="center"/>
    </xf>
    <xf numFmtId="0" fontId="47" fillId="0" borderId="14" xfId="22" applyFont="1" applyBorder="1" applyAlignment="1">
      <alignment vertical="center"/>
    </xf>
    <xf numFmtId="0" fontId="47" fillId="0" borderId="0" xfId="22" applyFont="1" applyBorder="1" applyAlignment="1">
      <alignment horizontal="left" vertical="center" wrapText="1"/>
    </xf>
    <xf numFmtId="0" fontId="47" fillId="0" borderId="0" xfId="22" applyFont="1" applyFill="1" applyBorder="1" applyAlignment="1">
      <alignment horizontal="left" vertical="center" wrapText="1"/>
    </xf>
    <xf numFmtId="0" fontId="47" fillId="0" borderId="0" xfId="22" applyFont="1" applyBorder="1" applyAlignment="1">
      <alignment horizontal="center" vertical="center" wrapText="1"/>
    </xf>
    <xf numFmtId="2" fontId="47" fillId="0" borderId="0" xfId="22" applyNumberFormat="1" applyFont="1" applyBorder="1" applyAlignment="1">
      <alignment horizontal="center" vertical="center" wrapText="1"/>
    </xf>
    <xf numFmtId="168" fontId="47" fillId="0" borderId="0" xfId="22" applyNumberFormat="1" applyFont="1" applyBorder="1" applyAlignment="1">
      <alignment horizontal="left" vertical="center" wrapText="1"/>
    </xf>
    <xf numFmtId="168" fontId="47" fillId="0" borderId="22" xfId="22" applyNumberFormat="1" applyFont="1" applyBorder="1" applyAlignment="1">
      <alignment horizontal="center" vertical="center" wrapText="1"/>
    </xf>
    <xf numFmtId="168" fontId="47" fillId="0" borderId="22" xfId="22" applyNumberFormat="1" applyFont="1" applyBorder="1" applyAlignment="1">
      <alignment horizontal="center" vertical="center"/>
    </xf>
    <xf numFmtId="0" fontId="47" fillId="0" borderId="2" xfId="22" applyFont="1" applyBorder="1" applyAlignment="1">
      <alignment horizontal="center" vertical="center"/>
    </xf>
    <xf numFmtId="49" fontId="46" fillId="0" borderId="57" xfId="22" applyNumberFormat="1" applyFont="1" applyBorder="1" applyAlignment="1">
      <alignment vertical="center" wrapText="1"/>
    </xf>
    <xf numFmtId="1" fontId="46" fillId="0" borderId="57" xfId="22" applyNumberFormat="1" applyFont="1" applyBorder="1" applyAlignment="1">
      <alignment horizontal="center" vertical="center" wrapText="1"/>
    </xf>
    <xf numFmtId="0" fontId="46" fillId="0" borderId="57" xfId="22" applyFont="1" applyBorder="1" applyAlignment="1">
      <alignment horizontal="center" vertical="center" wrapText="1"/>
    </xf>
    <xf numFmtId="0" fontId="46" fillId="0" borderId="57" xfId="22" applyFont="1" applyFill="1" applyBorder="1" applyAlignment="1">
      <alignment horizontal="center" vertical="center"/>
    </xf>
    <xf numFmtId="164" fontId="50" fillId="0" borderId="57" xfId="2" applyFont="1" applyFill="1" applyBorder="1" applyAlignment="1">
      <alignment horizontal="center" vertical="center" wrapText="1"/>
    </xf>
    <xf numFmtId="4" fontId="46" fillId="0" borderId="57" xfId="22" applyNumberFormat="1" applyFont="1" applyBorder="1" applyAlignment="1">
      <alignment horizontal="center" vertical="center"/>
    </xf>
    <xf numFmtId="168" fontId="46" fillId="0" borderId="57" xfId="22" applyNumberFormat="1" applyFont="1" applyFill="1" applyBorder="1" applyAlignment="1">
      <alignment horizontal="center" vertical="center" wrapText="1"/>
    </xf>
    <xf numFmtId="168" fontId="46" fillId="0" borderId="57" xfId="22" applyNumberFormat="1" applyFont="1" applyFill="1" applyBorder="1" applyAlignment="1">
      <alignment horizontal="center" vertical="center"/>
    </xf>
    <xf numFmtId="168" fontId="46" fillId="0" borderId="57" xfId="22" applyNumberFormat="1" applyFont="1" applyBorder="1" applyAlignment="1">
      <alignment horizontal="center" vertical="center" wrapText="1"/>
    </xf>
    <xf numFmtId="168" fontId="46" fillId="0" borderId="57" xfId="22" applyNumberFormat="1" applyFont="1" applyBorder="1" applyAlignment="1">
      <alignment horizontal="center" vertical="center"/>
    </xf>
    <xf numFmtId="0" fontId="46" fillId="0" borderId="59" xfId="22" applyFont="1" applyBorder="1" applyAlignment="1">
      <alignment horizontal="center" vertical="center"/>
    </xf>
    <xf numFmtId="49" fontId="47" fillId="0" borderId="57" xfId="22" applyNumberFormat="1" applyFont="1" applyBorder="1" applyAlignment="1">
      <alignment horizontal="center" vertical="center" wrapText="1"/>
    </xf>
    <xf numFmtId="49" fontId="47" fillId="0" borderId="57" xfId="22" applyNumberFormat="1" applyFont="1" applyBorder="1" applyAlignment="1">
      <alignment horizontal="left" vertical="center" wrapText="1"/>
    </xf>
    <xf numFmtId="49" fontId="46" fillId="0" borderId="57" xfId="22" applyNumberFormat="1" applyFont="1" applyBorder="1" applyAlignment="1">
      <alignment horizontal="left" vertical="center" wrapText="1"/>
    </xf>
    <xf numFmtId="0" fontId="47" fillId="0" borderId="12" xfId="22" applyFont="1" applyBorder="1" applyAlignment="1">
      <alignment vertical="center"/>
    </xf>
    <xf numFmtId="1" fontId="46" fillId="0" borderId="12" xfId="22" applyNumberFormat="1" applyFont="1" applyFill="1" applyBorder="1" applyAlignment="1">
      <alignment horizontal="center" vertical="center" wrapText="1"/>
    </xf>
    <xf numFmtId="0" fontId="46" fillId="0" borderId="12" xfId="22" applyFont="1" applyBorder="1" applyAlignment="1">
      <alignment horizontal="center" vertical="center" wrapText="1"/>
    </xf>
    <xf numFmtId="0" fontId="46" fillId="0" borderId="12" xfId="22" applyFont="1" applyFill="1" applyBorder="1" applyAlignment="1">
      <alignment horizontal="center" vertical="center"/>
    </xf>
    <xf numFmtId="171" fontId="46" fillId="0" borderId="12" xfId="22" applyNumberFormat="1" applyFont="1" applyBorder="1" applyAlignment="1">
      <alignment horizontal="center" vertical="center" wrapText="1"/>
    </xf>
    <xf numFmtId="1" fontId="46" fillId="0" borderId="12" xfId="22" applyNumberFormat="1" applyFont="1" applyBorder="1" applyAlignment="1">
      <alignment horizontal="center" vertical="center" wrapText="1"/>
    </xf>
    <xf numFmtId="2" fontId="46" fillId="0" borderId="12" xfId="22" applyNumberFormat="1" applyFont="1" applyBorder="1" applyAlignment="1">
      <alignment horizontal="center" vertical="center"/>
    </xf>
    <xf numFmtId="168" fontId="46" fillId="0" borderId="12" xfId="22" applyNumberFormat="1" applyFont="1" applyFill="1" applyBorder="1" applyAlignment="1">
      <alignment horizontal="center" vertical="center" wrapText="1"/>
    </xf>
    <xf numFmtId="168" fontId="46" fillId="0" borderId="12" xfId="22" applyNumberFormat="1" applyFont="1" applyBorder="1" applyAlignment="1">
      <alignment horizontal="center" vertical="center"/>
    </xf>
    <xf numFmtId="4" fontId="46" fillId="0" borderId="12" xfId="22" applyNumberFormat="1" applyFont="1" applyBorder="1" applyAlignment="1">
      <alignment horizontal="center" vertical="center"/>
    </xf>
    <xf numFmtId="0" fontId="51" fillId="0" borderId="14" xfId="22" applyFont="1" applyBorder="1" applyAlignment="1">
      <alignment vertical="center"/>
    </xf>
    <xf numFmtId="1" fontId="51" fillId="0" borderId="12" xfId="22" applyNumberFormat="1" applyFont="1" applyFill="1" applyBorder="1" applyAlignment="1">
      <alignment horizontal="center" vertical="center" wrapText="1"/>
    </xf>
    <xf numFmtId="0" fontId="51" fillId="0" borderId="12" xfId="22" applyFont="1" applyBorder="1" applyAlignment="1">
      <alignment horizontal="center" vertical="center" wrapText="1"/>
    </xf>
    <xf numFmtId="0" fontId="51" fillId="0" borderId="12" xfId="22" applyFont="1" applyFill="1" applyBorder="1" applyAlignment="1">
      <alignment horizontal="center" vertical="center"/>
    </xf>
    <xf numFmtId="171" fontId="51" fillId="0" borderId="12" xfId="22" applyNumberFormat="1" applyFont="1" applyBorder="1" applyAlignment="1">
      <alignment horizontal="center" vertical="center" wrapText="1"/>
    </xf>
    <xf numFmtId="1" fontId="51" fillId="0" borderId="12" xfId="22" applyNumberFormat="1" applyFont="1" applyBorder="1" applyAlignment="1">
      <alignment horizontal="center" vertical="center" wrapText="1"/>
    </xf>
    <xf numFmtId="2" fontId="51" fillId="0" borderId="12" xfId="22" applyNumberFormat="1" applyFont="1" applyBorder="1" applyAlignment="1">
      <alignment horizontal="center" vertical="center"/>
    </xf>
    <xf numFmtId="168" fontId="51" fillId="0" borderId="12" xfId="22" applyNumberFormat="1" applyFont="1" applyFill="1" applyBorder="1" applyAlignment="1">
      <alignment horizontal="center" vertical="center" wrapText="1"/>
    </xf>
    <xf numFmtId="168" fontId="51" fillId="0" borderId="12" xfId="22" applyNumberFormat="1" applyFont="1" applyBorder="1" applyAlignment="1">
      <alignment horizontal="center" vertical="center"/>
    </xf>
    <xf numFmtId="0" fontId="51" fillId="0" borderId="59" xfId="22" applyFont="1" applyBorder="1" applyAlignment="1">
      <alignment horizontal="center" vertical="center"/>
    </xf>
    <xf numFmtId="1" fontId="47" fillId="0" borderId="12" xfId="22" applyNumberFormat="1" applyFont="1" applyFill="1" applyBorder="1" applyAlignment="1">
      <alignment horizontal="center" vertical="center" wrapText="1"/>
    </xf>
    <xf numFmtId="0" fontId="47" fillId="0" borderId="12" xfId="22" applyFont="1" applyBorder="1" applyAlignment="1">
      <alignment horizontal="center" vertical="center" wrapText="1"/>
    </xf>
    <xf numFmtId="0" fontId="47" fillId="0" borderId="12" xfId="22" applyFont="1" applyFill="1" applyBorder="1" applyAlignment="1">
      <alignment horizontal="center" vertical="center"/>
    </xf>
    <xf numFmtId="171" fontId="47" fillId="0" borderId="12" xfId="22" applyNumberFormat="1" applyFont="1" applyBorder="1" applyAlignment="1">
      <alignment horizontal="center" vertical="center" wrapText="1"/>
    </xf>
    <xf numFmtId="1" fontId="47" fillId="0" borderId="12" xfId="22" applyNumberFormat="1" applyFont="1" applyBorder="1" applyAlignment="1">
      <alignment horizontal="center" vertical="center" wrapText="1"/>
    </xf>
    <xf numFmtId="2" fontId="47" fillId="0" borderId="12" xfId="22" applyNumberFormat="1" applyFont="1" applyBorder="1" applyAlignment="1">
      <alignment horizontal="center" vertical="center"/>
    </xf>
    <xf numFmtId="168" fontId="47" fillId="0" borderId="12" xfId="22" applyNumberFormat="1" applyFont="1" applyFill="1" applyBorder="1" applyAlignment="1">
      <alignment horizontal="center" vertical="center" wrapText="1"/>
    </xf>
    <xf numFmtId="168" fontId="47" fillId="0" borderId="12" xfId="22" applyNumberFormat="1" applyFont="1" applyBorder="1" applyAlignment="1">
      <alignment horizontal="center" vertical="center"/>
    </xf>
    <xf numFmtId="4" fontId="47" fillId="0" borderId="12" xfId="22" applyNumberFormat="1" applyFont="1" applyBorder="1" applyAlignment="1">
      <alignment horizontal="center" vertical="center"/>
    </xf>
    <xf numFmtId="4" fontId="47" fillId="0" borderId="67" xfId="22" applyNumberFormat="1" applyFont="1" applyBorder="1" applyAlignment="1">
      <alignment horizontal="center" vertical="center"/>
    </xf>
    <xf numFmtId="0" fontId="46" fillId="0" borderId="82" xfId="22" applyFont="1" applyBorder="1" applyAlignment="1">
      <alignment vertical="center"/>
    </xf>
    <xf numFmtId="0" fontId="46" fillId="0" borderId="83" xfId="22" applyFont="1" applyBorder="1" applyAlignment="1">
      <alignment horizontal="center" vertical="center"/>
    </xf>
    <xf numFmtId="0" fontId="46" fillId="0" borderId="83" xfId="22" applyFont="1" applyFill="1" applyBorder="1" applyAlignment="1">
      <alignment horizontal="center" vertical="center"/>
    </xf>
    <xf numFmtId="1" fontId="46" fillId="0" borderId="83" xfId="22" applyNumberFormat="1" applyFont="1" applyBorder="1" applyAlignment="1">
      <alignment horizontal="center" vertical="center"/>
    </xf>
    <xf numFmtId="2" fontId="46" fillId="0" borderId="83" xfId="22" applyNumberFormat="1" applyFont="1" applyBorder="1" applyAlignment="1">
      <alignment horizontal="center" vertical="center"/>
    </xf>
    <xf numFmtId="168" fontId="46" fillId="0" borderId="83" xfId="22" applyNumberFormat="1" applyFont="1" applyBorder="1" applyAlignment="1">
      <alignment horizontal="left" vertical="center" wrapText="1"/>
    </xf>
    <xf numFmtId="168" fontId="46" fillId="0" borderId="83" xfId="22" applyNumberFormat="1" applyFont="1" applyBorder="1" applyAlignment="1">
      <alignment vertical="center"/>
    </xf>
    <xf numFmtId="0" fontId="46" fillId="0" borderId="83" xfId="22" applyFont="1" applyBorder="1" applyAlignment="1">
      <alignment vertical="center"/>
    </xf>
    <xf numFmtId="0" fontId="46" fillId="0" borderId="71" xfId="22" applyFont="1" applyBorder="1" applyAlignment="1">
      <alignment vertical="center"/>
    </xf>
    <xf numFmtId="0" fontId="46" fillId="0" borderId="0" xfId="22" applyFont="1" applyAlignment="1">
      <alignment vertical="center"/>
    </xf>
    <xf numFmtId="0" fontId="46" fillId="0" borderId="0" xfId="22" applyFont="1" applyBorder="1" applyAlignment="1">
      <alignment vertical="center"/>
    </xf>
    <xf numFmtId="0" fontId="46" fillId="0" borderId="0" xfId="22" applyFont="1" applyBorder="1" applyAlignment="1">
      <alignment horizontal="center" vertical="center"/>
    </xf>
    <xf numFmtId="0" fontId="46" fillId="0" borderId="0" xfId="22" applyFont="1" applyFill="1" applyBorder="1" applyAlignment="1">
      <alignment horizontal="center" vertical="center"/>
    </xf>
    <xf numFmtId="1" fontId="47" fillId="0" borderId="0" xfId="22" applyNumberFormat="1" applyFont="1" applyBorder="1" applyAlignment="1">
      <alignment horizontal="center" vertical="center"/>
    </xf>
    <xf numFmtId="2" fontId="46" fillId="0" borderId="0" xfId="22" applyNumberFormat="1" applyFont="1" applyBorder="1" applyAlignment="1">
      <alignment horizontal="center" vertical="center"/>
    </xf>
    <xf numFmtId="168" fontId="46" fillId="0" borderId="0" xfId="22" applyNumberFormat="1" applyFont="1" applyBorder="1" applyAlignment="1">
      <alignment horizontal="left" vertical="center" wrapText="1"/>
    </xf>
    <xf numFmtId="168" fontId="46" fillId="0" borderId="0" xfId="22" applyNumberFormat="1" applyFont="1" applyBorder="1" applyAlignment="1">
      <alignment vertical="center"/>
    </xf>
    <xf numFmtId="4" fontId="46" fillId="0" borderId="0" xfId="22" applyNumberFormat="1" applyFont="1" applyBorder="1" applyAlignment="1">
      <alignment vertical="center"/>
    </xf>
    <xf numFmtId="164" fontId="46" fillId="0" borderId="0" xfId="2" applyFont="1" applyBorder="1" applyAlignment="1">
      <alignment vertical="center"/>
    </xf>
    <xf numFmtId="2" fontId="46" fillId="0" borderId="0" xfId="22" applyNumberFormat="1" applyFont="1" applyBorder="1" applyAlignment="1">
      <alignment horizontal="left" vertical="center"/>
    </xf>
    <xf numFmtId="1" fontId="46" fillId="0" borderId="0" xfId="22" applyNumberFormat="1" applyFont="1" applyBorder="1" applyAlignment="1">
      <alignment horizontal="center" vertical="center"/>
    </xf>
    <xf numFmtId="0" fontId="52" fillId="0" borderId="0" xfId="22" applyFont="1" applyAlignment="1">
      <alignment vertical="center"/>
    </xf>
    <xf numFmtId="168" fontId="48" fillId="0" borderId="0" xfId="22" applyNumberFormat="1" applyFont="1" applyAlignment="1">
      <alignment vertical="center"/>
    </xf>
    <xf numFmtId="4" fontId="48" fillId="0" borderId="0" xfId="22" applyNumberFormat="1" applyFont="1" applyAlignment="1">
      <alignment vertical="center"/>
    </xf>
    <xf numFmtId="43" fontId="48" fillId="0" borderId="0" xfId="23" applyFont="1" applyAlignment="1">
      <alignment vertical="center"/>
    </xf>
    <xf numFmtId="164" fontId="48" fillId="0" borderId="0" xfId="2" applyFont="1" applyAlignment="1">
      <alignment vertical="center"/>
    </xf>
    <xf numFmtId="164" fontId="48" fillId="0" borderId="0" xfId="22" applyNumberFormat="1" applyFont="1" applyAlignment="1">
      <alignment vertical="center"/>
    </xf>
    <xf numFmtId="43" fontId="48" fillId="0" borderId="0" xfId="22" applyNumberFormat="1" applyFont="1" applyAlignment="1">
      <alignment vertical="center"/>
    </xf>
    <xf numFmtId="1" fontId="47" fillId="0" borderId="83" xfId="22" applyNumberFormat="1" applyFont="1" applyFill="1" applyBorder="1" applyAlignment="1">
      <alignment horizontal="center" vertical="center" wrapText="1"/>
    </xf>
    <xf numFmtId="0" fontId="47" fillId="0" borderId="68" xfId="22" applyFont="1" applyBorder="1" applyAlignment="1">
      <alignment horizontal="center" vertical="center" wrapText="1"/>
    </xf>
    <xf numFmtId="0" fontId="47" fillId="0" borderId="83" xfId="22" applyFont="1" applyBorder="1" applyAlignment="1">
      <alignment horizontal="center" vertical="center" wrapText="1"/>
    </xf>
    <xf numFmtId="0" fontId="47" fillId="0" borderId="83" xfId="22" applyFont="1" applyFill="1" applyBorder="1" applyAlignment="1">
      <alignment horizontal="center" vertical="center"/>
    </xf>
    <xf numFmtId="171" fontId="47" fillId="0" borderId="83" xfId="22" applyNumberFormat="1" applyFont="1" applyBorder="1" applyAlignment="1">
      <alignment horizontal="center" vertical="center" wrapText="1"/>
    </xf>
    <xf numFmtId="1" fontId="47" fillId="0" borderId="83" xfId="22" applyNumberFormat="1" applyFont="1" applyBorder="1" applyAlignment="1">
      <alignment horizontal="center" vertical="center" wrapText="1"/>
    </xf>
    <xf numFmtId="2" fontId="47" fillId="0" borderId="83" xfId="22" applyNumberFormat="1" applyFont="1" applyBorder="1" applyAlignment="1">
      <alignment horizontal="center" vertical="center"/>
    </xf>
    <xf numFmtId="168" fontId="47" fillId="0" borderId="83" xfId="22" applyNumberFormat="1" applyFont="1" applyFill="1" applyBorder="1" applyAlignment="1">
      <alignment horizontal="center" vertical="center" wrapText="1"/>
    </xf>
    <xf numFmtId="168" fontId="47" fillId="0" borderId="83" xfId="22" applyNumberFormat="1" applyFont="1" applyBorder="1" applyAlignment="1">
      <alignment horizontal="center" vertical="center"/>
    </xf>
    <xf numFmtId="4" fontId="47" fillId="0" borderId="83" xfId="22" applyNumberFormat="1" applyFont="1" applyBorder="1" applyAlignment="1">
      <alignment horizontal="center" vertical="center"/>
    </xf>
    <xf numFmtId="4" fontId="47" fillId="0" borderId="71" xfId="22" applyNumberFormat="1" applyFont="1" applyBorder="1" applyAlignment="1">
      <alignment horizontal="center" vertical="center"/>
    </xf>
    <xf numFmtId="43" fontId="12" fillId="0" borderId="0" xfId="12" applyNumberFormat="1" applyBorder="1" applyAlignment="1">
      <alignment horizontal="left"/>
    </xf>
    <xf numFmtId="4" fontId="15" fillId="3" borderId="13" xfId="0" applyNumberFormat="1" applyFont="1" applyFill="1" applyBorder="1" applyAlignment="1">
      <alignment horizontal="center" vertical="top"/>
    </xf>
    <xf numFmtId="4" fontId="15" fillId="3" borderId="13" xfId="0" applyNumberFormat="1" applyFont="1" applyFill="1" applyBorder="1" applyAlignment="1">
      <alignment horizontal="right" vertical="top" wrapText="1"/>
    </xf>
    <xf numFmtId="164" fontId="15" fillId="3" borderId="13" xfId="1" applyFont="1" applyFill="1" applyBorder="1" applyAlignment="1">
      <alignment horizontal="right" vertical="top"/>
    </xf>
    <xf numFmtId="4" fontId="15" fillId="3" borderId="13" xfId="0" applyNumberFormat="1" applyFont="1" applyFill="1" applyBorder="1" applyAlignment="1">
      <alignment horizontal="right" vertical="top"/>
    </xf>
    <xf numFmtId="4" fontId="15" fillId="3" borderId="0" xfId="0" applyNumberFormat="1" applyFont="1" applyFill="1" applyBorder="1" applyAlignment="1">
      <alignment vertical="top"/>
    </xf>
    <xf numFmtId="4" fontId="23" fillId="0" borderId="13" xfId="0" applyNumberFormat="1" applyFont="1" applyFill="1" applyBorder="1" applyAlignment="1">
      <alignment horizontal="justify" vertical="center" wrapText="1"/>
    </xf>
    <xf numFmtId="0" fontId="13" fillId="0" borderId="13" xfId="0" applyFont="1" applyBorder="1" applyAlignment="1" applyProtection="1">
      <alignment vertical="center"/>
    </xf>
    <xf numFmtId="0" fontId="23" fillId="0" borderId="13" xfId="0" applyFont="1" applyBorder="1" applyAlignment="1" applyProtection="1">
      <alignment vertical="center"/>
    </xf>
    <xf numFmtId="0" fontId="23" fillId="0" borderId="13" xfId="0" applyFont="1" applyBorder="1" applyAlignment="1" applyProtection="1">
      <alignment vertical="center" wrapText="1"/>
    </xf>
    <xf numFmtId="0" fontId="19" fillId="0" borderId="37" xfId="0" applyFont="1" applyFill="1" applyBorder="1" applyAlignment="1">
      <alignment horizontal="center" vertical="top"/>
    </xf>
    <xf numFmtId="0" fontId="19" fillId="0" borderId="13" xfId="0" applyFont="1" applyFill="1" applyBorder="1" applyAlignment="1">
      <alignment horizontal="center" vertical="top"/>
    </xf>
    <xf numFmtId="0" fontId="15" fillId="0" borderId="13" xfId="0" applyFont="1" applyBorder="1" applyAlignment="1" applyProtection="1">
      <alignment horizontal="center" vertical="center" wrapText="1"/>
    </xf>
    <xf numFmtId="0" fontId="34" fillId="0" borderId="13" xfId="0" applyFont="1" applyBorder="1" applyAlignment="1" applyProtection="1">
      <alignment horizontal="center" vertical="center"/>
    </xf>
    <xf numFmtId="0" fontId="23" fillId="0" borderId="13" xfId="0" applyFont="1" applyBorder="1" applyAlignment="1" applyProtection="1">
      <alignment horizontal="center" vertical="center"/>
    </xf>
    <xf numFmtId="0" fontId="13" fillId="0" borderId="13" xfId="0" applyFont="1" applyBorder="1" applyAlignment="1" applyProtection="1">
      <alignment horizontal="center" vertical="center"/>
    </xf>
    <xf numFmtId="0" fontId="23" fillId="0" borderId="13" xfId="0" applyFont="1" applyBorder="1" applyAlignment="1" applyProtection="1">
      <alignment horizontal="center" vertical="center" wrapText="1"/>
    </xf>
    <xf numFmtId="0" fontId="15" fillId="0" borderId="13" xfId="0" applyFont="1" applyFill="1" applyBorder="1" applyAlignment="1">
      <alignment horizontal="center" vertical="top"/>
    </xf>
    <xf numFmtId="0" fontId="15" fillId="0" borderId="13" xfId="0" applyFont="1" applyFill="1" applyBorder="1" applyAlignment="1">
      <alignment horizontal="center" vertical="top" wrapText="1"/>
    </xf>
    <xf numFmtId="0" fontId="19" fillId="0" borderId="13" xfId="0" applyFont="1" applyFill="1" applyBorder="1" applyAlignment="1">
      <alignment horizontal="center" vertical="top" wrapText="1"/>
    </xf>
    <xf numFmtId="0" fontId="13" fillId="0" borderId="0" xfId="15" applyNumberFormat="1" applyFont="1" applyBorder="1" applyAlignment="1">
      <alignment horizontal="center"/>
    </xf>
    <xf numFmtId="1" fontId="13" fillId="0" borderId="0" xfId="15" applyNumberFormat="1" applyFont="1" applyBorder="1" applyAlignment="1">
      <alignment horizontal="right"/>
    </xf>
    <xf numFmtId="0" fontId="13" fillId="0" borderId="0" xfId="15" applyNumberFormat="1" applyFont="1" applyAlignment="1">
      <alignment horizontal="center"/>
    </xf>
    <xf numFmtId="0" fontId="53" fillId="0" borderId="0" xfId="15" applyNumberFormat="1" applyFont="1" applyBorder="1" applyAlignment="1"/>
    <xf numFmtId="0" fontId="53" fillId="0" borderId="0" xfId="15" applyNumberFormat="1" applyFont="1" applyBorder="1" applyAlignment="1">
      <alignment horizontal="center"/>
    </xf>
    <xf numFmtId="0" fontId="54" fillId="0" borderId="0" xfId="15" applyNumberFormat="1" applyFont="1" applyAlignment="1">
      <alignment horizontal="center"/>
    </xf>
    <xf numFmtId="0" fontId="55" fillId="0" borderId="0" xfId="15" applyNumberFormat="1" applyFont="1" applyAlignment="1">
      <alignment horizontal="center"/>
    </xf>
    <xf numFmtId="1" fontId="13" fillId="0" borderId="0" xfId="15" applyNumberFormat="1" applyFont="1" applyAlignment="1">
      <alignment horizontal="right"/>
    </xf>
    <xf numFmtId="1" fontId="13" fillId="0" borderId="0" xfId="15" applyNumberFormat="1" applyFont="1" applyFill="1" applyAlignment="1">
      <alignment horizontal="left"/>
    </xf>
    <xf numFmtId="0" fontId="13" fillId="0" borderId="0" xfId="15" applyNumberFormat="1" applyFont="1" applyAlignment="1">
      <alignment horizontal="center" wrapText="1"/>
    </xf>
    <xf numFmtId="0" fontId="57" fillId="0" borderId="0" xfId="15" applyNumberFormat="1" applyFont="1" applyBorder="1" applyAlignment="1">
      <alignment vertical="center" wrapText="1"/>
    </xf>
    <xf numFmtId="4" fontId="12" fillId="0" borderId="12" xfId="24" applyFont="1" applyBorder="1" applyAlignment="1">
      <alignment horizontal="left"/>
    </xf>
    <xf numFmtId="0" fontId="12" fillId="0" borderId="12" xfId="0" applyFont="1" applyBorder="1" applyAlignment="1">
      <alignment horizontal="justify" vertical="top" wrapText="1"/>
    </xf>
    <xf numFmtId="4" fontId="12" fillId="0" borderId="13" xfId="24" applyFont="1" applyBorder="1" applyAlignment="1">
      <alignment horizontal="left" wrapText="1"/>
    </xf>
    <xf numFmtId="4" fontId="12" fillId="0" borderId="13" xfId="24" applyFont="1" applyBorder="1" applyAlignment="1">
      <alignment horizontal="left"/>
    </xf>
    <xf numFmtId="0" fontId="12" fillId="0" borderId="13" xfId="0" applyFont="1" applyBorder="1" applyAlignment="1">
      <alignment horizontal="justify" vertical="top" wrapText="1"/>
    </xf>
    <xf numFmtId="4" fontId="58" fillId="0" borderId="13" xfId="24" applyFont="1" applyBorder="1" applyAlignment="1">
      <alignment horizontal="left" wrapText="1"/>
    </xf>
    <xf numFmtId="4" fontId="15" fillId="0" borderId="23" xfId="0" applyNumberFormat="1" applyFont="1" applyBorder="1" applyAlignment="1">
      <alignment horizontal="center" vertical="center"/>
    </xf>
    <xf numFmtId="4" fontId="16" fillId="0" borderId="84" xfId="0" applyNumberFormat="1" applyFont="1" applyFill="1" applyBorder="1" applyAlignment="1">
      <alignment horizontal="left" vertical="center" wrapText="1"/>
    </xf>
    <xf numFmtId="4" fontId="19" fillId="0" borderId="84" xfId="0" applyNumberFormat="1" applyFont="1" applyFill="1" applyBorder="1" applyAlignment="1">
      <alignment horizontal="center" vertical="center" wrapText="1"/>
    </xf>
    <xf numFmtId="4" fontId="15" fillId="0" borderId="84" xfId="0" applyNumberFormat="1" applyFont="1" applyFill="1" applyBorder="1" applyAlignment="1">
      <alignment horizontal="center" vertical="center"/>
    </xf>
    <xf numFmtId="164" fontId="15" fillId="0" borderId="84" xfId="1" applyFont="1" applyFill="1" applyBorder="1" applyAlignment="1">
      <alignment horizontal="center" vertical="center"/>
    </xf>
    <xf numFmtId="4" fontId="16" fillId="0" borderId="21" xfId="0" applyNumberFormat="1" applyFont="1" applyFill="1" applyBorder="1" applyAlignment="1">
      <alignment horizontal="center" vertical="center"/>
    </xf>
    <xf numFmtId="0" fontId="33" fillId="0" borderId="0" xfId="0" applyFont="1" applyFill="1" applyBorder="1" applyAlignment="1">
      <alignment horizontal="left" vertical="top" wrapText="1"/>
    </xf>
    <xf numFmtId="4" fontId="16" fillId="0" borderId="53" xfId="0" applyNumberFormat="1" applyFont="1" applyFill="1" applyBorder="1" applyAlignment="1">
      <alignment horizontal="center" vertical="top"/>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0" borderId="13" xfId="1" applyFont="1" applyFill="1" applyBorder="1" applyAlignment="1">
      <alignment horizontal="center" vertical="center"/>
    </xf>
    <xf numFmtId="164" fontId="16" fillId="0" borderId="19" xfId="1" applyFont="1" applyFill="1" applyBorder="1" applyAlignment="1">
      <alignment horizontal="center"/>
    </xf>
    <xf numFmtId="0" fontId="16" fillId="0" borderId="75" xfId="0" applyFont="1" applyFill="1" applyBorder="1" applyAlignment="1">
      <alignment horizontal="center"/>
    </xf>
    <xf numFmtId="164" fontId="16" fillId="0" borderId="19" xfId="2" applyFont="1" applyFill="1" applyBorder="1" applyAlignment="1">
      <alignment horizontal="center"/>
    </xf>
    <xf numFmtId="0" fontId="15" fillId="0" borderId="33" xfId="0" applyFont="1" applyFill="1" applyBorder="1" applyAlignment="1">
      <alignment horizontal="center" vertical="top"/>
    </xf>
    <xf numFmtId="2" fontId="15" fillId="0" borderId="32" xfId="2" applyNumberFormat="1" applyFont="1" applyFill="1" applyBorder="1" applyAlignment="1">
      <alignment horizontal="right" vertical="justify"/>
    </xf>
    <xf numFmtId="0" fontId="15" fillId="0" borderId="32" xfId="0" applyFont="1" applyFill="1" applyBorder="1" applyAlignment="1">
      <alignment horizontal="center" vertical="justify"/>
    </xf>
    <xf numFmtId="0" fontId="16" fillId="0" borderId="19" xfId="0" applyFont="1" applyFill="1" applyBorder="1" applyAlignment="1">
      <alignment horizontal="center"/>
    </xf>
    <xf numFmtId="4" fontId="15" fillId="0" borderId="33" xfId="0" applyNumberFormat="1" applyFont="1" applyBorder="1" applyAlignment="1">
      <alignment horizontal="center" vertical="top"/>
    </xf>
    <xf numFmtId="4" fontId="15" fillId="0" borderId="33" xfId="0" applyNumberFormat="1" applyFont="1" applyFill="1" applyBorder="1" applyAlignment="1">
      <alignment horizontal="justify" vertical="top" wrapText="1"/>
    </xf>
    <xf numFmtId="4" fontId="15" fillId="0" borderId="33" xfId="0" applyNumberFormat="1" applyFont="1" applyFill="1" applyBorder="1" applyAlignment="1">
      <alignment horizontal="right" vertical="top" wrapText="1"/>
    </xf>
    <xf numFmtId="4" fontId="15" fillId="0" borderId="33" xfId="0" applyNumberFormat="1" applyFont="1" applyFill="1" applyBorder="1" applyAlignment="1">
      <alignment horizontal="center" vertical="top"/>
    </xf>
    <xf numFmtId="164" fontId="15" fillId="0" borderId="33" xfId="1" applyFont="1" applyFill="1" applyBorder="1" applyAlignment="1">
      <alignment horizontal="right" vertical="top"/>
    </xf>
    <xf numFmtId="4" fontId="15" fillId="0" borderId="33" xfId="0" applyNumberFormat="1" applyFont="1" applyFill="1" applyBorder="1" applyAlignment="1">
      <alignment horizontal="right" vertical="top"/>
    </xf>
    <xf numFmtId="4" fontId="15" fillId="0" borderId="32" xfId="0" applyNumberFormat="1" applyFont="1" applyBorder="1" applyAlignment="1">
      <alignment horizontal="center" vertical="top"/>
    </xf>
    <xf numFmtId="4" fontId="15" fillId="0" borderId="32" xfId="0" applyNumberFormat="1" applyFont="1" applyFill="1" applyBorder="1" applyAlignment="1">
      <alignment horizontal="right" vertical="top" wrapText="1"/>
    </xf>
    <xf numFmtId="164" fontId="15" fillId="0" borderId="32" xfId="1" applyFont="1" applyFill="1" applyBorder="1" applyAlignment="1">
      <alignment horizontal="right" vertical="top"/>
    </xf>
    <xf numFmtId="4" fontId="15" fillId="0" borderId="32" xfId="0" applyNumberFormat="1" applyFont="1" applyFill="1" applyBorder="1" applyAlignment="1">
      <alignment horizontal="right" vertical="top"/>
    </xf>
    <xf numFmtId="4" fontId="15" fillId="0" borderId="22" xfId="0" applyNumberFormat="1" applyFont="1" applyBorder="1" applyAlignment="1">
      <alignment horizontal="center" vertical="center"/>
    </xf>
    <xf numFmtId="4" fontId="16" fillId="0" borderId="22" xfId="0" applyNumberFormat="1" applyFont="1" applyFill="1" applyBorder="1" applyAlignment="1">
      <alignment horizontal="left" vertical="center" wrapText="1"/>
    </xf>
    <xf numFmtId="4" fontId="19" fillId="0" borderId="22" xfId="0" applyNumberFormat="1" applyFont="1" applyFill="1" applyBorder="1" applyAlignment="1">
      <alignment horizontal="right" vertical="center" wrapText="1"/>
    </xf>
    <xf numFmtId="4" fontId="15" fillId="0" borderId="22" xfId="0" applyNumberFormat="1" applyFont="1" applyFill="1" applyBorder="1" applyAlignment="1">
      <alignment horizontal="center" vertical="top"/>
    </xf>
    <xf numFmtId="164" fontId="15" fillId="0" borderId="22" xfId="1" applyFont="1" applyFill="1" applyBorder="1" applyAlignment="1">
      <alignment horizontal="right" vertical="top"/>
    </xf>
    <xf numFmtId="4" fontId="16" fillId="0" borderId="22" xfId="0" applyNumberFormat="1" applyFont="1" applyFill="1" applyBorder="1" applyAlignment="1">
      <alignment horizontal="right" vertical="top"/>
    </xf>
    <xf numFmtId="4" fontId="15" fillId="0" borderId="13" xfId="0" applyNumberFormat="1" applyFont="1" applyFill="1" applyBorder="1" applyAlignment="1">
      <alignment horizontal="left" wrapText="1"/>
    </xf>
    <xf numFmtId="4" fontId="15" fillId="0" borderId="33" xfId="0" applyNumberFormat="1" applyFont="1" applyBorder="1" applyAlignment="1">
      <alignment horizontal="center" vertical="center"/>
    </xf>
    <xf numFmtId="4" fontId="15" fillId="0" borderId="33" xfId="0" applyNumberFormat="1" applyFont="1" applyFill="1" applyBorder="1" applyAlignment="1">
      <alignment horizontal="center" vertical="center"/>
    </xf>
    <xf numFmtId="4" fontId="16" fillId="0" borderId="37" xfId="0" applyNumberFormat="1" applyFont="1" applyFill="1" applyBorder="1" applyAlignment="1">
      <alignment horizontal="justify" vertical="top" wrapText="1"/>
    </xf>
    <xf numFmtId="4" fontId="15" fillId="0" borderId="37" xfId="0" applyNumberFormat="1" applyFont="1" applyFill="1" applyBorder="1" applyAlignment="1">
      <alignment horizontal="right" vertical="top" wrapText="1"/>
    </xf>
    <xf numFmtId="4" fontId="15" fillId="0" borderId="29" xfId="0" applyNumberFormat="1" applyFont="1" applyFill="1" applyBorder="1" applyAlignment="1">
      <alignment horizontal="justify" vertical="top" wrapText="1"/>
    </xf>
    <xf numFmtId="4" fontId="15" fillId="0" borderId="29" xfId="0" applyNumberFormat="1" applyFont="1" applyFill="1" applyBorder="1" applyAlignment="1">
      <alignment horizontal="right" vertical="top" wrapText="1"/>
    </xf>
    <xf numFmtId="4" fontId="15" fillId="0" borderId="29" xfId="0" applyNumberFormat="1" applyFont="1" applyFill="1" applyBorder="1" applyAlignment="1">
      <alignment horizontal="center" vertical="top"/>
    </xf>
    <xf numFmtId="164" fontId="15" fillId="0" borderId="29" xfId="1" applyFont="1" applyFill="1" applyBorder="1" applyAlignment="1">
      <alignment horizontal="right" vertical="top"/>
    </xf>
    <xf numFmtId="4" fontId="15" fillId="0" borderId="85" xfId="0" applyNumberFormat="1" applyFont="1" applyBorder="1" applyAlignment="1">
      <alignment horizontal="center" vertical="top"/>
    </xf>
    <xf numFmtId="4" fontId="19" fillId="0" borderId="85" xfId="0" applyNumberFormat="1" applyFont="1" applyFill="1" applyBorder="1" applyAlignment="1">
      <alignment horizontal="justify" vertical="center" wrapText="1"/>
    </xf>
    <xf numFmtId="4" fontId="15" fillId="0" borderId="85" xfId="0" applyNumberFormat="1" applyFont="1" applyFill="1" applyBorder="1" applyAlignment="1">
      <alignment horizontal="right" vertical="top" wrapText="1"/>
    </xf>
    <xf numFmtId="4" fontId="15" fillId="0" borderId="85" xfId="0" applyNumberFormat="1" applyFont="1" applyFill="1" applyBorder="1" applyAlignment="1">
      <alignment horizontal="center" vertical="top"/>
    </xf>
    <xf numFmtId="164" fontId="15" fillId="0" borderId="85" xfId="1" applyFont="1" applyFill="1" applyBorder="1" applyAlignment="1">
      <alignment horizontal="right" vertical="top"/>
    </xf>
    <xf numFmtId="4" fontId="15" fillId="0" borderId="85" xfId="0" applyNumberFormat="1" applyFont="1" applyFill="1" applyBorder="1" applyAlignment="1">
      <alignment horizontal="right" vertical="top"/>
    </xf>
    <xf numFmtId="4" fontId="15" fillId="0" borderId="86" xfId="0" applyNumberFormat="1" applyFont="1" applyBorder="1" applyAlignment="1">
      <alignment horizontal="center" vertical="top"/>
    </xf>
    <xf numFmtId="4" fontId="19" fillId="0" borderId="86" xfId="0" applyNumberFormat="1" applyFont="1" applyFill="1" applyBorder="1" applyAlignment="1">
      <alignment horizontal="justify" vertical="center" wrapText="1"/>
    </xf>
    <xf numFmtId="4" fontId="15" fillId="0" borderId="86" xfId="0" applyNumberFormat="1" applyFont="1" applyFill="1" applyBorder="1" applyAlignment="1">
      <alignment horizontal="right" vertical="top" wrapText="1"/>
    </xf>
    <xf numFmtId="4" fontId="15" fillId="0" borderId="86" xfId="0" applyNumberFormat="1" applyFont="1" applyFill="1" applyBorder="1" applyAlignment="1">
      <alignment horizontal="center" vertical="top"/>
    </xf>
    <xf numFmtId="164" fontId="15" fillId="0" borderId="86" xfId="1" applyFont="1" applyFill="1" applyBorder="1" applyAlignment="1">
      <alignment horizontal="right" vertical="top"/>
    </xf>
    <xf numFmtId="4" fontId="15" fillId="0" borderId="86" xfId="0" applyNumberFormat="1" applyFont="1" applyFill="1" applyBorder="1" applyAlignment="1">
      <alignment horizontal="right" vertical="top"/>
    </xf>
    <xf numFmtId="4" fontId="15" fillId="0" borderId="13" xfId="0" applyNumberFormat="1" applyFont="1" applyFill="1" applyBorder="1" applyAlignment="1">
      <alignment horizontal="center" vertical="top" wrapText="1"/>
    </xf>
    <xf numFmtId="4" fontId="19" fillId="0" borderId="13" xfId="0" applyNumberFormat="1" applyFont="1" applyFill="1" applyBorder="1" applyAlignment="1">
      <alignment horizontal="justify" vertical="top" wrapText="1"/>
    </xf>
    <xf numFmtId="4" fontId="15" fillId="0" borderId="57" xfId="0" applyNumberFormat="1" applyFont="1" applyFill="1" applyBorder="1" applyAlignment="1">
      <alignment horizontal="justify" vertical="top" wrapText="1"/>
    </xf>
    <xf numFmtId="4" fontId="15" fillId="0" borderId="57" xfId="0" applyNumberFormat="1" applyFont="1" applyFill="1" applyBorder="1" applyAlignment="1">
      <alignment horizontal="center" vertical="center" wrapText="1"/>
    </xf>
    <xf numFmtId="4" fontId="15" fillId="0" borderId="57" xfId="0" applyNumberFormat="1" applyFont="1" applyFill="1" applyBorder="1" applyAlignment="1">
      <alignment horizontal="center" vertical="center"/>
    </xf>
    <xf numFmtId="164" fontId="15" fillId="0" borderId="57" xfId="1" applyFont="1" applyFill="1" applyBorder="1" applyAlignment="1">
      <alignment horizontal="center" vertical="center"/>
    </xf>
    <xf numFmtId="4" fontId="15" fillId="0" borderId="67" xfId="0" applyNumberFormat="1" applyFont="1" applyBorder="1" applyAlignment="1">
      <alignment horizontal="center" vertical="top"/>
    </xf>
    <xf numFmtId="4" fontId="15" fillId="0" borderId="67" xfId="0" applyNumberFormat="1" applyFont="1" applyFill="1" applyBorder="1" applyAlignment="1">
      <alignment horizontal="justify" vertical="top" wrapText="1"/>
    </xf>
    <xf numFmtId="4" fontId="15" fillId="0" borderId="67" xfId="0" applyNumberFormat="1" applyFont="1" applyFill="1" applyBorder="1" applyAlignment="1">
      <alignment horizontal="center" vertical="center" wrapText="1"/>
    </xf>
    <xf numFmtId="4" fontId="15" fillId="0" borderId="67" xfId="0" applyNumberFormat="1" applyFont="1" applyFill="1" applyBorder="1" applyAlignment="1">
      <alignment horizontal="center" vertical="center"/>
    </xf>
    <xf numFmtId="164" fontId="15" fillId="0" borderId="67" xfId="1" applyFont="1" applyFill="1" applyBorder="1" applyAlignment="1">
      <alignment horizontal="center" vertical="center"/>
    </xf>
    <xf numFmtId="2" fontId="16" fillId="0" borderId="20" xfId="0" applyNumberFormat="1" applyFont="1" applyFill="1" applyBorder="1" applyAlignment="1">
      <alignment horizontal="center"/>
    </xf>
    <xf numFmtId="2" fontId="16" fillId="0" borderId="70" xfId="0" applyNumberFormat="1" applyFont="1" applyFill="1" applyBorder="1" applyAlignment="1">
      <alignment horizontal="center"/>
    </xf>
    <xf numFmtId="0" fontId="16" fillId="0" borderId="70" xfId="0" applyFont="1" applyFill="1" applyBorder="1" applyAlignment="1">
      <alignment horizontal="center"/>
    </xf>
    <xf numFmtId="164" fontId="16" fillId="0" borderId="70" xfId="1" applyFont="1" applyFill="1" applyBorder="1" applyAlignment="1">
      <alignment horizontal="center"/>
    </xf>
    <xf numFmtId="164" fontId="16" fillId="0" borderId="18" xfId="2" applyFont="1" applyFill="1" applyBorder="1" applyAlignment="1">
      <alignment horizontal="center"/>
    </xf>
    <xf numFmtId="4" fontId="15" fillId="0" borderId="17" xfId="0" applyNumberFormat="1" applyFont="1" applyBorder="1" applyAlignment="1">
      <alignment horizontal="center" vertical="center"/>
    </xf>
    <xf numFmtId="164" fontId="13" fillId="3" borderId="33" xfId="2" applyFont="1" applyFill="1" applyBorder="1" applyAlignment="1">
      <alignment horizontal="center" vertical="center"/>
    </xf>
    <xf numFmtId="164" fontId="13" fillId="3" borderId="33" xfId="2" applyFont="1" applyFill="1" applyBorder="1" applyAlignment="1" applyProtection="1">
      <alignment horizontal="center" vertical="center"/>
    </xf>
    <xf numFmtId="0" fontId="13" fillId="3" borderId="33" xfId="18" applyFont="1" applyFill="1" applyBorder="1" applyAlignment="1">
      <alignment horizontal="center" vertical="center"/>
    </xf>
    <xf numFmtId="164" fontId="13" fillId="3" borderId="33" xfId="2" applyFont="1" applyFill="1" applyBorder="1" applyAlignment="1">
      <alignment vertical="center"/>
    </xf>
    <xf numFmtId="164" fontId="32" fillId="3" borderId="84" xfId="2" applyFont="1" applyFill="1" applyBorder="1" applyAlignment="1">
      <alignment vertical="top"/>
    </xf>
    <xf numFmtId="4" fontId="18" fillId="0" borderId="85" xfId="0" applyNumberFormat="1" applyFont="1" applyFill="1" applyBorder="1" applyAlignment="1">
      <alignment horizontal="justify" vertical="center" wrapText="1"/>
    </xf>
    <xf numFmtId="4" fontId="33" fillId="0" borderId="85" xfId="0" applyNumberFormat="1" applyFont="1" applyFill="1" applyBorder="1" applyAlignment="1">
      <alignment horizontal="center" vertical="center" wrapText="1"/>
    </xf>
    <xf numFmtId="4" fontId="15" fillId="0" borderId="85" xfId="0" applyNumberFormat="1" applyFont="1" applyFill="1" applyBorder="1" applyAlignment="1">
      <alignment horizontal="center" vertical="center"/>
    </xf>
    <xf numFmtId="164" fontId="15" fillId="0" borderId="85" xfId="1" applyFont="1" applyFill="1" applyBorder="1" applyAlignment="1">
      <alignment horizontal="center" vertical="center"/>
    </xf>
    <xf numFmtId="4" fontId="18" fillId="0" borderId="86" xfId="0" applyNumberFormat="1" applyFont="1" applyFill="1" applyBorder="1" applyAlignment="1">
      <alignment horizontal="justify" vertical="center" wrapText="1"/>
    </xf>
    <xf numFmtId="4" fontId="33" fillId="0" borderId="86" xfId="0" applyNumberFormat="1" applyFont="1" applyFill="1" applyBorder="1" applyAlignment="1">
      <alignment horizontal="center" vertical="center" wrapText="1"/>
    </xf>
    <xf numFmtId="4" fontId="15" fillId="0" borderId="86" xfId="0" applyNumberFormat="1" applyFont="1" applyFill="1" applyBorder="1" applyAlignment="1">
      <alignment horizontal="center" vertical="center"/>
    </xf>
    <xf numFmtId="164" fontId="15" fillId="0" borderId="86" xfId="1" applyFont="1" applyFill="1" applyBorder="1" applyAlignment="1">
      <alignment horizontal="center" vertical="center"/>
    </xf>
    <xf numFmtId="4" fontId="33" fillId="0" borderId="13" xfId="0" applyNumberFormat="1" applyFont="1" applyFill="1" applyBorder="1" applyAlignment="1">
      <alignment horizontal="center" vertical="center" wrapText="1"/>
    </xf>
    <xf numFmtId="4" fontId="33" fillId="0" borderId="13" xfId="0" applyNumberFormat="1" applyFont="1" applyFill="1" applyBorder="1" applyAlignment="1">
      <alignment horizontal="justify" vertical="center" wrapText="1"/>
    </xf>
    <xf numFmtId="4" fontId="15" fillId="0" borderId="29" xfId="0" applyNumberFormat="1" applyFont="1" applyFill="1" applyBorder="1" applyAlignment="1">
      <alignment horizontal="center" vertical="center" wrapText="1"/>
    </xf>
    <xf numFmtId="4" fontId="15" fillId="0" borderId="29" xfId="0" applyNumberFormat="1" applyFont="1" applyFill="1" applyBorder="1" applyAlignment="1">
      <alignment horizontal="center" vertical="center"/>
    </xf>
    <xf numFmtId="164" fontId="15" fillId="0" borderId="29" xfId="1" applyFont="1" applyFill="1" applyBorder="1" applyAlignment="1">
      <alignment horizontal="center" vertical="center"/>
    </xf>
    <xf numFmtId="4" fontId="33" fillId="0" borderId="33" xfId="0" applyNumberFormat="1" applyFont="1" applyFill="1" applyBorder="1" applyAlignment="1">
      <alignment horizontal="center" vertical="center" wrapText="1"/>
    </xf>
    <xf numFmtId="164" fontId="15" fillId="0" borderId="33" xfId="1" applyFont="1" applyFill="1" applyBorder="1" applyAlignment="1">
      <alignment horizontal="center" vertical="center"/>
    </xf>
    <xf numFmtId="4" fontId="33" fillId="0" borderId="32" xfId="0" applyNumberFormat="1" applyFont="1" applyFill="1" applyBorder="1" applyAlignment="1">
      <alignment horizontal="center" vertical="center" wrapText="1"/>
    </xf>
    <xf numFmtId="164" fontId="15" fillId="0" borderId="32" xfId="1" applyFont="1" applyFill="1" applyBorder="1" applyAlignment="1">
      <alignment horizontal="center" vertical="center"/>
    </xf>
    <xf numFmtId="4" fontId="33" fillId="0" borderId="33" xfId="0" applyNumberFormat="1" applyFont="1" applyFill="1" applyBorder="1" applyAlignment="1">
      <alignment horizontal="justify" vertical="center" wrapText="1"/>
    </xf>
    <xf numFmtId="4" fontId="33" fillId="0" borderId="32" xfId="0" applyNumberFormat="1" applyFont="1" applyFill="1" applyBorder="1" applyAlignment="1">
      <alignment horizontal="justify" vertical="center" wrapText="1"/>
    </xf>
    <xf numFmtId="4" fontId="18" fillId="0" borderId="32" xfId="0" applyNumberFormat="1" applyFont="1" applyFill="1" applyBorder="1" applyAlignment="1">
      <alignment horizontal="justify" vertical="center" wrapText="1"/>
    </xf>
    <xf numFmtId="4" fontId="15" fillId="0" borderId="33" xfId="0" applyNumberFormat="1" applyFont="1" applyFill="1" applyBorder="1" applyAlignment="1">
      <alignment horizontal="center" vertical="center" wrapText="1"/>
    </xf>
    <xf numFmtId="164" fontId="15" fillId="0" borderId="37" xfId="1" applyFont="1" applyFill="1" applyBorder="1" applyAlignment="1">
      <alignment horizontal="center" vertical="center"/>
    </xf>
    <xf numFmtId="0" fontId="31" fillId="0" borderId="13" xfId="6" applyFont="1" applyFill="1" applyBorder="1" applyAlignment="1">
      <alignment horizontal="left" vertical="top"/>
    </xf>
    <xf numFmtId="0" fontId="31" fillId="0" borderId="13" xfId="6" applyFont="1" applyFill="1" applyBorder="1" applyAlignment="1">
      <alignment horizontal="left" vertical="top" wrapText="1"/>
    </xf>
    <xf numFmtId="0" fontId="31" fillId="0" borderId="13" xfId="6" applyFont="1" applyFill="1" applyBorder="1" applyAlignment="1">
      <alignment vertical="top" wrapText="1"/>
    </xf>
    <xf numFmtId="0" fontId="31" fillId="0" borderId="13" xfId="13" applyFont="1" applyFill="1" applyBorder="1" applyAlignment="1">
      <alignment horizontal="left" vertical="center" wrapText="1"/>
    </xf>
    <xf numFmtId="0" fontId="12" fillId="0" borderId="13" xfId="13" applyFont="1" applyFill="1" applyBorder="1" applyAlignment="1">
      <alignment horizontal="left" vertical="top" wrapText="1"/>
    </xf>
    <xf numFmtId="0" fontId="31" fillId="0" borderId="13" xfId="13" applyFont="1" applyFill="1" applyBorder="1" applyAlignment="1">
      <alignment horizontal="left" vertical="top" wrapText="1"/>
    </xf>
    <xf numFmtId="0" fontId="12" fillId="0" borderId="13" xfId="14" applyNumberFormat="1" applyFont="1" applyFill="1" applyBorder="1" applyAlignment="1" applyProtection="1">
      <alignment horizontal="left" vertical="center" wrapText="1"/>
      <protection locked="0"/>
    </xf>
    <xf numFmtId="0" fontId="31" fillId="0" borderId="13" xfId="14" applyNumberFormat="1" applyFont="1" applyFill="1" applyBorder="1" applyAlignment="1" applyProtection="1">
      <alignment horizontal="left" vertical="center" wrapText="1"/>
      <protection locked="0"/>
    </xf>
    <xf numFmtId="0" fontId="35" fillId="0" borderId="13" xfId="14" applyNumberFormat="1" applyFont="1" applyFill="1" applyBorder="1" applyAlignment="1" applyProtection="1">
      <alignment horizontal="left" vertical="center" wrapText="1"/>
      <protection locked="0"/>
    </xf>
    <xf numFmtId="0" fontId="12" fillId="0" borderId="13" xfId="0" applyFont="1" applyFill="1" applyBorder="1" applyAlignment="1">
      <alignment horizontal="left" vertical="top" wrapText="1"/>
    </xf>
    <xf numFmtId="0" fontId="36" fillId="0" borderId="13" xfId="0" applyFont="1" applyFill="1" applyBorder="1" applyAlignment="1">
      <alignment horizontal="left" vertical="center" wrapText="1"/>
    </xf>
    <xf numFmtId="0" fontId="36" fillId="0" borderId="13" xfId="0" applyFont="1" applyFill="1" applyBorder="1" applyAlignment="1">
      <alignment horizontal="left" vertical="top" wrapText="1"/>
    </xf>
    <xf numFmtId="0" fontId="31" fillId="0" borderId="13" xfId="6" applyFont="1" applyFill="1" applyBorder="1" applyAlignment="1">
      <alignment horizontal="left" wrapText="1"/>
    </xf>
    <xf numFmtId="0" fontId="12" fillId="0" borderId="13" xfId="15" applyFont="1" applyFill="1" applyBorder="1" applyAlignment="1">
      <alignment horizontal="left" vertical="center" wrapText="1"/>
    </xf>
    <xf numFmtId="0" fontId="36" fillId="0" borderId="13" xfId="14" applyNumberFormat="1" applyFont="1" applyFill="1" applyBorder="1" applyAlignment="1" applyProtection="1">
      <alignment horizontal="left" vertical="center" wrapText="1"/>
      <protection locked="0"/>
    </xf>
    <xf numFmtId="0" fontId="12" fillId="0" borderId="13" xfId="15" applyFont="1" applyFill="1" applyBorder="1" applyAlignment="1">
      <alignment horizontal="left" vertical="top" wrapText="1"/>
    </xf>
    <xf numFmtId="0" fontId="12" fillId="0" borderId="13" xfId="15" applyFont="1" applyFill="1" applyBorder="1" applyAlignment="1">
      <alignment vertical="top"/>
    </xf>
    <xf numFmtId="0" fontId="12" fillId="0" borderId="13" xfId="0" applyFont="1" applyFill="1" applyBorder="1" applyAlignment="1">
      <alignment horizontal="left" vertical="center" wrapText="1"/>
    </xf>
    <xf numFmtId="0" fontId="31" fillId="0" borderId="13" xfId="0" applyFont="1" applyFill="1" applyBorder="1" applyAlignment="1">
      <alignment horizontal="left" vertical="center" wrapText="1"/>
    </xf>
    <xf numFmtId="0" fontId="12" fillId="0" borderId="13" xfId="15" applyFont="1" applyFill="1" applyBorder="1" applyAlignment="1">
      <alignment vertical="top" wrapText="1"/>
    </xf>
    <xf numFmtId="0" fontId="35" fillId="0" borderId="13" xfId="0" applyFont="1" applyFill="1" applyBorder="1" applyAlignment="1">
      <alignment horizontal="left" vertical="top" wrapText="1"/>
    </xf>
    <xf numFmtId="4" fontId="16" fillId="0" borderId="13" xfId="0" applyNumberFormat="1" applyFont="1" applyFill="1" applyBorder="1" applyAlignment="1">
      <alignment vertical="top"/>
    </xf>
    <xf numFmtId="4" fontId="16" fillId="0" borderId="13" xfId="0" applyNumberFormat="1" applyFont="1" applyFill="1" applyBorder="1" applyAlignment="1">
      <alignment horizontal="left" vertical="top" wrapText="1"/>
    </xf>
    <xf numFmtId="0" fontId="31" fillId="0" borderId="33" xfId="6" applyFont="1" applyFill="1" applyBorder="1" applyAlignment="1">
      <alignment horizontal="left" vertical="top" wrapText="1"/>
    </xf>
    <xf numFmtId="0" fontId="31" fillId="0" borderId="32" xfId="6" applyFont="1" applyFill="1" applyBorder="1" applyAlignment="1">
      <alignment horizontal="left" vertical="top" wrapText="1"/>
    </xf>
    <xf numFmtId="0" fontId="12" fillId="0" borderId="33" xfId="14" applyNumberFormat="1" applyFont="1" applyFill="1" applyBorder="1" applyAlignment="1" applyProtection="1">
      <alignment horizontal="left" vertical="center" wrapText="1"/>
      <protection locked="0"/>
    </xf>
    <xf numFmtId="4" fontId="16" fillId="0" borderId="32" xfId="0" applyNumberFormat="1" applyFont="1" applyFill="1" applyBorder="1" applyAlignment="1">
      <alignment horizontal="justify" vertical="top" wrapText="1"/>
    </xf>
    <xf numFmtId="4" fontId="15" fillId="0" borderId="32" xfId="0" applyNumberFormat="1" applyFont="1" applyFill="1" applyBorder="1" applyAlignment="1">
      <alignment horizontal="center" vertical="center" wrapText="1"/>
    </xf>
    <xf numFmtId="4" fontId="16" fillId="0" borderId="32" xfId="0" applyNumberFormat="1" applyFont="1" applyBorder="1" applyAlignment="1">
      <alignment horizontal="center" vertical="top"/>
    </xf>
    <xf numFmtId="4" fontId="16" fillId="0" borderId="16" xfId="0" applyNumberFormat="1" applyFont="1" applyFill="1" applyBorder="1" applyAlignment="1">
      <alignment horizontal="center" vertical="center"/>
    </xf>
    <xf numFmtId="4" fontId="16" fillId="0" borderId="86" xfId="0" applyNumberFormat="1" applyFont="1" applyBorder="1" applyAlignment="1">
      <alignment horizontal="center" vertical="top"/>
    </xf>
    <xf numFmtId="4" fontId="16" fillId="0" borderId="86" xfId="0" applyNumberFormat="1" applyFont="1" applyFill="1" applyBorder="1" applyAlignment="1">
      <alignment horizontal="justify" vertical="top" wrapText="1"/>
    </xf>
    <xf numFmtId="4" fontId="16" fillId="0" borderId="85" xfId="0" applyNumberFormat="1" applyFont="1" applyBorder="1" applyAlignment="1">
      <alignment horizontal="center" vertical="top"/>
    </xf>
    <xf numFmtId="4" fontId="16" fillId="0" borderId="85" xfId="0" applyNumberFormat="1" applyFont="1" applyFill="1" applyBorder="1" applyAlignment="1">
      <alignment horizontal="justify" vertical="top" wrapText="1"/>
    </xf>
    <xf numFmtId="4" fontId="16" fillId="0" borderId="12" xfId="0" applyNumberFormat="1" applyFont="1" applyFill="1" applyBorder="1" applyAlignment="1">
      <alignment horizontal="left" vertical="top" wrapText="1"/>
    </xf>
    <xf numFmtId="4" fontId="19" fillId="0" borderId="12" xfId="0" applyNumberFormat="1" applyFont="1" applyFill="1" applyBorder="1" applyAlignment="1">
      <alignment horizontal="left" vertical="top" wrapText="1"/>
    </xf>
    <xf numFmtId="4" fontId="15" fillId="0" borderId="12" xfId="0" applyNumberFormat="1" applyFont="1" applyFill="1" applyBorder="1" applyAlignment="1">
      <alignment horizontal="left" vertical="top"/>
    </xf>
    <xf numFmtId="164" fontId="15" fillId="0" borderId="12" xfId="1" applyFont="1" applyFill="1" applyBorder="1" applyAlignment="1">
      <alignment horizontal="left" vertical="top"/>
    </xf>
    <xf numFmtId="4" fontId="16" fillId="0" borderId="12" xfId="0" applyNumberFormat="1" applyFont="1" applyFill="1" applyBorder="1" applyAlignment="1">
      <alignment horizontal="left" vertical="top"/>
    </xf>
    <xf numFmtId="4" fontId="18" fillId="0" borderId="13" xfId="0" applyNumberFormat="1" applyFont="1" applyFill="1" applyBorder="1" applyAlignment="1">
      <alignment horizontal="center" vertical="center" wrapText="1"/>
    </xf>
    <xf numFmtId="4" fontId="19" fillId="0" borderId="13" xfId="0" applyNumberFormat="1" applyFont="1" applyFill="1" applyBorder="1" applyAlignment="1">
      <alignment horizontal="center" vertical="center" wrapText="1"/>
    </xf>
    <xf numFmtId="0" fontId="15" fillId="0" borderId="13" xfId="0" applyFont="1" applyBorder="1" applyAlignment="1">
      <alignment horizontal="justify" vertical="justify"/>
    </xf>
    <xf numFmtId="4" fontId="33" fillId="0" borderId="13" xfId="0" applyNumberFormat="1" applyFont="1" applyFill="1" applyBorder="1" applyAlignment="1">
      <alignment horizontal="justify" vertical="top" wrapText="1"/>
    </xf>
    <xf numFmtId="4" fontId="15" fillId="0" borderId="32" xfId="0" applyNumberFormat="1" applyFont="1" applyFill="1" applyBorder="1" applyAlignment="1">
      <alignment horizontal="left" vertical="center" wrapText="1"/>
    </xf>
    <xf numFmtId="4" fontId="33" fillId="0" borderId="32" xfId="0" applyNumberFormat="1" applyFont="1" applyFill="1" applyBorder="1" applyAlignment="1">
      <alignment horizontal="justify" vertical="top" wrapText="1"/>
    </xf>
    <xf numFmtId="2" fontId="16" fillId="0" borderId="37" xfId="0" applyNumberFormat="1" applyFont="1" applyFill="1" applyBorder="1" applyAlignment="1">
      <alignment horizontal="center"/>
    </xf>
    <xf numFmtId="4" fontId="16" fillId="0" borderId="29" xfId="0" applyNumberFormat="1" applyFont="1" applyFill="1" applyBorder="1" applyAlignment="1">
      <alignment horizontal="justify" vertical="top" wrapText="1"/>
    </xf>
    <xf numFmtId="4" fontId="15" fillId="3" borderId="13" xfId="0" applyNumberFormat="1" applyFont="1" applyFill="1" applyBorder="1" applyAlignment="1">
      <alignment horizontal="justify" vertical="top" wrapText="1"/>
    </xf>
    <xf numFmtId="4" fontId="15" fillId="3" borderId="13" xfId="0" applyNumberFormat="1" applyFont="1" applyFill="1" applyBorder="1" applyAlignment="1">
      <alignment horizontal="center" vertical="center" wrapText="1"/>
    </xf>
    <xf numFmtId="4" fontId="15" fillId="3" borderId="13" xfId="0" applyNumberFormat="1" applyFont="1" applyFill="1" applyBorder="1" applyAlignment="1">
      <alignment horizontal="center" vertical="center"/>
    </xf>
    <xf numFmtId="164" fontId="15" fillId="3" borderId="13" xfId="1" applyFont="1" applyFill="1" applyBorder="1" applyAlignment="1">
      <alignment horizontal="center" vertical="center"/>
    </xf>
    <xf numFmtId="4" fontId="59" fillId="0" borderId="0" xfId="0" applyNumberFormat="1" applyFont="1" applyBorder="1" applyAlignment="1">
      <alignment vertical="top"/>
    </xf>
    <xf numFmtId="4" fontId="59" fillId="2" borderId="0" xfId="0" applyNumberFormat="1" applyFont="1" applyFill="1" applyBorder="1" applyAlignment="1">
      <alignment vertical="top"/>
    </xf>
    <xf numFmtId="0" fontId="53" fillId="0" borderId="0" xfId="15" applyNumberFormat="1" applyFont="1" applyBorder="1" applyAlignment="1">
      <alignment wrapText="1"/>
    </xf>
    <xf numFmtId="164" fontId="29" fillId="2" borderId="14" xfId="2" applyFont="1" applyFill="1" applyBorder="1"/>
    <xf numFmtId="164" fontId="29" fillId="2" borderId="13" xfId="2" applyFont="1" applyFill="1" applyBorder="1"/>
    <xf numFmtId="164" fontId="29" fillId="2" borderId="32" xfId="2" applyFont="1" applyFill="1" applyBorder="1"/>
    <xf numFmtId="4" fontId="15" fillId="3" borderId="0" xfId="0" applyNumberFormat="1" applyFont="1" applyFill="1" applyBorder="1" applyAlignment="1">
      <alignment horizontal="right" vertical="top"/>
    </xf>
    <xf numFmtId="164" fontId="12" fillId="0" borderId="32" xfId="2" applyFont="1" applyBorder="1"/>
    <xf numFmtId="4" fontId="15" fillId="0" borderId="32" xfId="0" applyNumberFormat="1" applyFont="1" applyFill="1" applyBorder="1" applyAlignment="1">
      <alignment horizontal="left" vertical="top" wrapText="1"/>
    </xf>
    <xf numFmtId="4" fontId="32" fillId="0" borderId="0" xfId="0" applyNumberFormat="1" applyFont="1" applyBorder="1" applyAlignment="1">
      <alignment horizontal="center" vertical="center" wrapText="1"/>
    </xf>
    <xf numFmtId="164" fontId="32" fillId="0" borderId="0" xfId="1" applyFont="1" applyFill="1" applyBorder="1" applyAlignment="1">
      <alignment horizontal="center"/>
    </xf>
    <xf numFmtId="164" fontId="33" fillId="0" borderId="0" xfId="1" applyFont="1" applyFill="1" applyBorder="1" applyAlignment="1">
      <alignment vertical="center"/>
    </xf>
    <xf numFmtId="164" fontId="32" fillId="0" borderId="0" xfId="1" applyFont="1" applyFill="1" applyBorder="1" applyAlignment="1">
      <alignment vertical="center"/>
    </xf>
    <xf numFmtId="164" fontId="32" fillId="0" borderId="0" xfId="1" applyFont="1" applyFill="1" applyBorder="1" applyAlignment="1">
      <alignment vertical="center" wrapText="1"/>
    </xf>
    <xf numFmtId="164" fontId="33" fillId="0" borderId="0" xfId="1" applyFont="1" applyFill="1" applyBorder="1" applyAlignment="1">
      <alignment wrapText="1"/>
    </xf>
    <xf numFmtId="164" fontId="32" fillId="0" borderId="0" xfId="1" applyFont="1" applyFill="1" applyBorder="1" applyAlignment="1">
      <alignment wrapText="1"/>
    </xf>
    <xf numFmtId="164" fontId="33" fillId="0" borderId="0" xfId="1" applyFont="1" applyBorder="1" applyAlignment="1"/>
    <xf numFmtId="9" fontId="25" fillId="0" borderId="0" xfId="21" applyFont="1" applyBorder="1" applyAlignment="1" applyProtection="1">
      <alignment horizontal="center" vertical="center" wrapText="1"/>
      <protection locked="0"/>
    </xf>
    <xf numFmtId="4" fontId="33" fillId="0" borderId="13" xfId="0" applyNumberFormat="1" applyFont="1" applyFill="1" applyBorder="1" applyAlignment="1">
      <alignment horizontal="left" vertical="center" wrapText="1"/>
    </xf>
    <xf numFmtId="0" fontId="15" fillId="0" borderId="0" xfId="0" applyFont="1" applyFill="1" applyBorder="1" applyAlignment="1">
      <alignment horizontal="left" wrapText="1"/>
    </xf>
    <xf numFmtId="164" fontId="15" fillId="0" borderId="0" xfId="1" applyFont="1" applyFill="1" applyBorder="1" applyAlignment="1">
      <alignment horizontal="left" wrapText="1"/>
    </xf>
    <xf numFmtId="0" fontId="15" fillId="0" borderId="0" xfId="0" applyFont="1" applyFill="1" applyBorder="1" applyAlignment="1">
      <alignment horizontal="left" vertical="top" wrapText="1"/>
    </xf>
    <xf numFmtId="164" fontId="13" fillId="0" borderId="15" xfId="1" applyFont="1" applyFill="1" applyBorder="1" applyAlignment="1"/>
    <xf numFmtId="164" fontId="13" fillId="0" borderId="0" xfId="1" applyFont="1" applyFill="1" applyBorder="1" applyAlignment="1"/>
    <xf numFmtId="164" fontId="13" fillId="0" borderId="15" xfId="1" applyFont="1" applyFill="1" applyBorder="1" applyAlignment="1">
      <alignment vertical="center"/>
    </xf>
    <xf numFmtId="164" fontId="13" fillId="0" borderId="0" xfId="1" applyFont="1" applyFill="1" applyBorder="1" applyAlignment="1">
      <alignment vertical="center"/>
    </xf>
    <xf numFmtId="164" fontId="13" fillId="0" borderId="15" xfId="1" applyFont="1" applyFill="1" applyBorder="1" applyAlignment="1">
      <alignment vertical="center" wrapText="1"/>
    </xf>
    <xf numFmtId="164" fontId="13" fillId="0" borderId="0" xfId="1" applyFont="1" applyFill="1" applyBorder="1" applyAlignment="1">
      <alignment vertical="center" wrapText="1"/>
    </xf>
    <xf numFmtId="2" fontId="23" fillId="0" borderId="0" xfId="0" applyNumberFormat="1" applyFont="1" applyFill="1" applyBorder="1" applyAlignment="1">
      <alignment horizontal="left" wrapText="1"/>
    </xf>
    <xf numFmtId="164" fontId="13" fillId="0" borderId="15" xfId="1" applyFont="1" applyFill="1" applyBorder="1" applyAlignment="1">
      <alignment wrapText="1"/>
    </xf>
    <xf numFmtId="164" fontId="13" fillId="0" borderId="0" xfId="1" applyFont="1" applyFill="1" applyBorder="1" applyAlignment="1">
      <alignment wrapText="1"/>
    </xf>
    <xf numFmtId="0" fontId="19" fillId="0" borderId="13" xfId="0" applyFont="1" applyFill="1" applyBorder="1" applyAlignment="1"/>
    <xf numFmtId="2" fontId="32" fillId="0" borderId="0" xfId="0" applyNumberFormat="1" applyFont="1" applyFill="1" applyBorder="1" applyAlignment="1">
      <alignment horizontal="left"/>
    </xf>
    <xf numFmtId="164" fontId="32" fillId="0" borderId="15" xfId="1" applyFont="1" applyFill="1" applyBorder="1" applyAlignment="1">
      <alignment wrapText="1"/>
    </xf>
    <xf numFmtId="0" fontId="33" fillId="0" borderId="14" xfId="0" applyFont="1" applyFill="1" applyBorder="1" applyAlignment="1">
      <alignment horizontal="left" vertical="top" wrapText="1"/>
    </xf>
    <xf numFmtId="0" fontId="33" fillId="0" borderId="24" xfId="0" applyFont="1" applyFill="1" applyBorder="1" applyAlignment="1">
      <alignment horizontal="left" vertical="top" wrapText="1"/>
    </xf>
    <xf numFmtId="0" fontId="15" fillId="0" borderId="14" xfId="0" applyFont="1" applyFill="1" applyBorder="1" applyAlignment="1">
      <alignment horizontal="center" vertical="top" wrapText="1"/>
    </xf>
    <xf numFmtId="164" fontId="16" fillId="0" borderId="24" xfId="1" applyFont="1" applyFill="1" applyBorder="1" applyAlignment="1">
      <alignment wrapText="1"/>
    </xf>
    <xf numFmtId="0" fontId="15" fillId="0" borderId="14" xfId="0" applyFont="1" applyFill="1" applyBorder="1" applyAlignment="1">
      <alignment horizontal="left" vertical="top" wrapText="1"/>
    </xf>
    <xf numFmtId="0" fontId="15" fillId="0" borderId="24" xfId="0" applyFont="1" applyFill="1" applyBorder="1" applyAlignment="1">
      <alignment horizontal="left" vertical="top" wrapText="1"/>
    </xf>
    <xf numFmtId="0" fontId="31" fillId="0" borderId="13" xfId="0" applyFont="1" applyFill="1" applyBorder="1" applyAlignment="1">
      <alignment horizontal="left" vertical="top" wrapText="1"/>
    </xf>
    <xf numFmtId="0" fontId="31" fillId="0" borderId="13" xfId="15" applyFont="1" applyFill="1" applyBorder="1" applyAlignment="1">
      <alignment vertical="top" wrapText="1"/>
    </xf>
    <xf numFmtId="0" fontId="56" fillId="0" borderId="0" xfId="15" applyNumberFormat="1" applyFont="1" applyBorder="1" applyAlignment="1">
      <alignment wrapText="1"/>
    </xf>
    <xf numFmtId="0" fontId="15" fillId="0" borderId="0" xfId="0" applyFont="1" applyFill="1" applyBorder="1" applyAlignment="1">
      <alignment horizontal="left" wrapText="1"/>
    </xf>
    <xf numFmtId="0" fontId="15" fillId="0" borderId="0" xfId="0" applyFont="1" applyFill="1" applyBorder="1" applyAlignment="1">
      <alignment horizontal="left" vertical="top" wrapText="1"/>
    </xf>
    <xf numFmtId="0" fontId="15" fillId="0" borderId="0" xfId="0" applyFont="1" applyFill="1" applyBorder="1" applyAlignment="1">
      <alignment wrapText="1"/>
    </xf>
    <xf numFmtId="164" fontId="13" fillId="0" borderId="0" xfId="1" applyFont="1" applyAlignment="1">
      <alignment horizontal="center"/>
    </xf>
    <xf numFmtId="164" fontId="54" fillId="0" borderId="0" xfId="1" applyFont="1" applyAlignment="1">
      <alignment horizontal="center"/>
    </xf>
    <xf numFmtId="164" fontId="55" fillId="0" borderId="0" xfId="1" applyFont="1" applyAlignment="1">
      <alignment horizontal="center"/>
    </xf>
    <xf numFmtId="172" fontId="15" fillId="0" borderId="0" xfId="21" applyNumberFormat="1" applyFont="1" applyFill="1" applyBorder="1" applyAlignment="1">
      <alignment wrapText="1"/>
    </xf>
    <xf numFmtId="172" fontId="15" fillId="0" borderId="0" xfId="21" applyNumberFormat="1" applyFont="1" applyFill="1" applyBorder="1" applyAlignment="1">
      <alignment horizontal="left" vertical="top" wrapText="1"/>
    </xf>
    <xf numFmtId="172" fontId="15" fillId="0" borderId="0" xfId="21" applyNumberFormat="1" applyFont="1" applyFill="1" applyBorder="1" applyAlignment="1">
      <alignment horizontal="left" wrapText="1"/>
    </xf>
    <xf numFmtId="172" fontId="33" fillId="0" borderId="0" xfId="21" applyNumberFormat="1" applyFont="1" applyBorder="1" applyAlignment="1"/>
    <xf numFmtId="172" fontId="33" fillId="0" borderId="0" xfId="21" applyNumberFormat="1" applyFont="1" applyBorder="1" applyAlignment="1">
      <alignment horizontal="right" vertical="top"/>
    </xf>
    <xf numFmtId="172" fontId="25" fillId="0" borderId="0" xfId="21" applyNumberFormat="1" applyFont="1" applyBorder="1" applyAlignment="1" applyProtection="1">
      <alignment horizontal="center" vertical="center" wrapText="1"/>
      <protection locked="0"/>
    </xf>
    <xf numFmtId="164" fontId="15" fillId="2" borderId="13" xfId="1" applyFont="1" applyFill="1" applyBorder="1" applyAlignment="1">
      <alignment horizontal="center" vertical="center"/>
    </xf>
    <xf numFmtId="164" fontId="15" fillId="0" borderId="0" xfId="1" applyFont="1" applyFill="1" applyBorder="1" applyAlignment="1"/>
    <xf numFmtId="164" fontId="25" fillId="0" borderId="0" xfId="1" applyFont="1" applyBorder="1" applyAlignment="1" applyProtection="1">
      <alignment horizontal="center" vertical="center" wrapText="1"/>
      <protection locked="0"/>
    </xf>
    <xf numFmtId="166" fontId="0" fillId="2" borderId="12" xfId="2" applyNumberFormat="1" applyFont="1" applyFill="1" applyBorder="1"/>
    <xf numFmtId="166" fontId="12" fillId="0" borderId="12" xfId="12" applyNumberFormat="1" applyBorder="1"/>
    <xf numFmtId="166" fontId="12" fillId="0" borderId="12" xfId="2" applyNumberFormat="1" applyFont="1" applyBorder="1"/>
    <xf numFmtId="4" fontId="15" fillId="0" borderId="13" xfId="0" applyNumberFormat="1" applyFont="1" applyFill="1" applyBorder="1" applyAlignment="1">
      <alignment horizontal="left" vertical="center" wrapText="1"/>
    </xf>
    <xf numFmtId="173" fontId="12" fillId="0" borderId="0" xfId="12" applyNumberFormat="1" applyBorder="1"/>
    <xf numFmtId="164" fontId="23" fillId="3" borderId="13" xfId="2" applyFont="1" applyFill="1" applyBorder="1" applyAlignment="1">
      <alignment horizontal="center" vertical="center"/>
    </xf>
    <xf numFmtId="0" fontId="44" fillId="3" borderId="13" xfId="15" applyFont="1" applyFill="1" applyBorder="1" applyAlignment="1"/>
    <xf numFmtId="164" fontId="23" fillId="3" borderId="24" xfId="2" applyFont="1" applyFill="1" applyBorder="1" applyAlignment="1" applyProtection="1">
      <alignment horizontal="center" vertical="center"/>
    </xf>
    <xf numFmtId="0" fontId="23" fillId="3" borderId="13" xfId="18" applyFont="1" applyFill="1" applyBorder="1" applyAlignment="1">
      <alignment horizontal="center" vertical="center"/>
    </xf>
    <xf numFmtId="164" fontId="23" fillId="3" borderId="13" xfId="2" applyFont="1" applyFill="1" applyBorder="1" applyAlignment="1">
      <alignment vertical="center"/>
    </xf>
    <xf numFmtId="164" fontId="39" fillId="3" borderId="0" xfId="2" applyFont="1" applyFill="1" applyBorder="1" applyAlignment="1">
      <alignment vertical="center"/>
    </xf>
    <xf numFmtId="166" fontId="23" fillId="3" borderId="0" xfId="2" applyNumberFormat="1" applyFont="1" applyFill="1" applyBorder="1" applyAlignment="1">
      <alignment vertical="center"/>
    </xf>
    <xf numFmtId="0" fontId="23" fillId="3" borderId="0" xfId="18" applyFont="1" applyFill="1" applyAlignment="1">
      <alignment vertical="center"/>
    </xf>
    <xf numFmtId="164" fontId="13" fillId="0" borderId="13" xfId="25" applyFont="1" applyFill="1" applyBorder="1" applyAlignment="1" applyProtection="1">
      <alignment horizontal="center" vertical="center"/>
    </xf>
    <xf numFmtId="0" fontId="13" fillId="0" borderId="13" xfId="18" applyFont="1" applyFill="1" applyBorder="1" applyAlignment="1">
      <alignment horizontal="center" vertical="center"/>
    </xf>
    <xf numFmtId="164" fontId="15" fillId="0" borderId="13" xfId="1" applyFont="1" applyFill="1" applyBorder="1" applyAlignment="1">
      <alignment vertical="center"/>
    </xf>
    <xf numFmtId="4" fontId="15" fillId="3" borderId="13" xfId="0" applyNumberFormat="1" applyFont="1" applyFill="1" applyBorder="1" applyAlignment="1">
      <alignment horizontal="left" vertical="top" wrapText="1"/>
    </xf>
    <xf numFmtId="0" fontId="15" fillId="0" borderId="13" xfId="6" applyFont="1" applyFill="1" applyBorder="1" applyAlignment="1">
      <alignment horizontal="left" vertical="top" wrapText="1"/>
    </xf>
    <xf numFmtId="4" fontId="19" fillId="3" borderId="13" xfId="0" applyNumberFormat="1" applyFont="1" applyFill="1" applyBorder="1" applyAlignment="1">
      <alignment horizontal="justify" vertical="top" wrapText="1"/>
    </xf>
    <xf numFmtId="4" fontId="16" fillId="0" borderId="13" xfId="0" applyNumberFormat="1" applyFont="1" applyFill="1" applyBorder="1" applyAlignment="1">
      <alignment horizontal="left" wrapText="1"/>
    </xf>
    <xf numFmtId="4" fontId="16" fillId="0" borderId="13" xfId="0" applyNumberFormat="1" applyFont="1" applyFill="1" applyBorder="1" applyAlignment="1">
      <alignment horizontal="justify" wrapText="1"/>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0" borderId="13" xfId="1" applyFont="1" applyFill="1" applyBorder="1" applyAlignment="1">
      <alignment horizontal="center" vertical="center"/>
    </xf>
    <xf numFmtId="164" fontId="32" fillId="0" borderId="0" xfId="1" applyFont="1" applyBorder="1" applyAlignment="1">
      <alignment horizontal="center" vertical="center" wrapText="1"/>
    </xf>
    <xf numFmtId="164" fontId="33" fillId="0" borderId="0" xfId="1" applyFont="1" applyFill="1" applyBorder="1" applyAlignment="1">
      <alignment horizontal="left" vertical="top" wrapText="1"/>
    </xf>
    <xf numFmtId="164" fontId="15" fillId="0" borderId="0" xfId="1" applyFont="1" applyFill="1" applyBorder="1" applyAlignment="1">
      <alignment horizontal="left" vertical="center" wrapText="1"/>
    </xf>
    <xf numFmtId="164" fontId="15" fillId="0" borderId="0" xfId="1" applyFont="1" applyFill="1" applyBorder="1" applyAlignment="1">
      <alignment horizontal="left"/>
    </xf>
    <xf numFmtId="164" fontId="15" fillId="0" borderId="0" xfId="1" applyFont="1" applyFill="1" applyBorder="1" applyAlignment="1">
      <alignment wrapText="1"/>
    </xf>
    <xf numFmtId="164" fontId="15" fillId="0" borderId="0" xfId="1" applyFont="1" applyFill="1" applyBorder="1" applyAlignment="1">
      <alignment horizontal="left" vertical="top" wrapText="1"/>
    </xf>
    <xf numFmtId="0" fontId="19" fillId="0" borderId="32" xfId="0" applyFont="1" applyFill="1" applyBorder="1" applyAlignment="1">
      <alignment horizontal="left" vertical="top" wrapText="1"/>
    </xf>
    <xf numFmtId="0" fontId="19" fillId="0" borderId="32" xfId="0" applyFont="1" applyFill="1" applyBorder="1" applyAlignment="1">
      <alignment horizontal="center" vertical="top" wrapText="1"/>
    </xf>
    <xf numFmtId="4" fontId="15" fillId="0" borderId="32" xfId="0" applyNumberFormat="1" applyFont="1" applyFill="1" applyBorder="1" applyAlignment="1">
      <alignment horizontal="justify" vertical="top" wrapText="1"/>
    </xf>
    <xf numFmtId="4" fontId="16" fillId="0" borderId="33" xfId="0" applyNumberFormat="1" applyFont="1" applyFill="1" applyBorder="1" applyAlignment="1">
      <alignment horizontal="justify" vertical="top" wrapText="1"/>
    </xf>
    <xf numFmtId="4" fontId="19" fillId="0" borderId="32" xfId="0" applyNumberFormat="1" applyFont="1" applyFill="1" applyBorder="1" applyAlignment="1">
      <alignment horizontal="justify" vertical="top" wrapText="1"/>
    </xf>
    <xf numFmtId="4" fontId="15" fillId="0" borderId="33" xfId="0" applyNumberFormat="1" applyFont="1" applyFill="1" applyBorder="1" applyAlignment="1">
      <alignment horizontal="justify" vertical="center" wrapText="1"/>
    </xf>
    <xf numFmtId="4" fontId="15" fillId="0" borderId="33" xfId="0" applyNumberFormat="1" applyFont="1" applyFill="1" applyBorder="1" applyAlignment="1">
      <alignment horizontal="center" vertical="top" wrapText="1"/>
    </xf>
    <xf numFmtId="4" fontId="15" fillId="0" borderId="32" xfId="0" applyNumberFormat="1" applyFont="1" applyFill="1" applyBorder="1" applyAlignment="1">
      <alignment horizontal="center" vertical="top" wrapText="1"/>
    </xf>
    <xf numFmtId="0" fontId="42" fillId="3" borderId="33" xfId="15" applyFont="1" applyFill="1" applyBorder="1" applyAlignment="1">
      <alignment vertical="top" wrapText="1"/>
    </xf>
    <xf numFmtId="0" fontId="31" fillId="0" borderId="32" xfId="0" applyFont="1" applyFill="1" applyBorder="1" applyAlignment="1">
      <alignment horizontal="left" vertical="top" wrapText="1"/>
    </xf>
    <xf numFmtId="4" fontId="33" fillId="0" borderId="13" xfId="0" applyNumberFormat="1" applyFont="1" applyFill="1" applyBorder="1" applyAlignment="1">
      <alignment horizontal="justify" vertical="center"/>
    </xf>
    <xf numFmtId="4" fontId="33" fillId="0" borderId="13" xfId="0" applyNumberFormat="1" applyFont="1" applyFill="1" applyBorder="1" applyAlignment="1">
      <alignment horizontal="center" vertical="top"/>
    </xf>
    <xf numFmtId="2" fontId="33" fillId="0" borderId="11" xfId="0" applyNumberFormat="1" applyFont="1" applyFill="1" applyBorder="1" applyAlignment="1">
      <alignment horizontal="center" vertical="top"/>
    </xf>
    <xf numFmtId="2" fontId="33" fillId="0" borderId="0" xfId="0" applyNumberFormat="1" applyFont="1" applyFill="1" applyBorder="1" applyAlignment="1">
      <alignment horizontal="left"/>
    </xf>
    <xf numFmtId="164" fontId="33" fillId="0" borderId="3" xfId="1" applyFont="1" applyBorder="1" applyAlignment="1">
      <alignment horizontal="right" vertical="top"/>
    </xf>
    <xf numFmtId="164" fontId="32" fillId="0" borderId="10" xfId="1" applyFont="1" applyFill="1" applyBorder="1" applyAlignment="1">
      <alignment vertical="center"/>
    </xf>
    <xf numFmtId="164" fontId="33" fillId="0" borderId="0" xfId="1" applyFont="1" applyBorder="1" applyAlignment="1">
      <alignment horizontal="center"/>
    </xf>
    <xf numFmtId="164" fontId="61" fillId="0" borderId="40" xfId="1" applyFont="1" applyFill="1" applyBorder="1" applyAlignment="1">
      <alignment horizontal="center"/>
    </xf>
    <xf numFmtId="164" fontId="33" fillId="0" borderId="69" xfId="1" applyFont="1" applyFill="1" applyBorder="1" applyAlignment="1"/>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0" borderId="13" xfId="1" applyFont="1" applyFill="1" applyBorder="1" applyAlignment="1">
      <alignment horizontal="center" vertical="center"/>
    </xf>
    <xf numFmtId="0" fontId="31" fillId="0" borderId="13" xfId="0" applyFont="1" applyFill="1" applyBorder="1" applyAlignment="1">
      <alignment horizontal="left" vertical="top"/>
    </xf>
    <xf numFmtId="4" fontId="16" fillId="0" borderId="12" xfId="0" applyNumberFormat="1" applyFont="1" applyBorder="1" applyAlignment="1">
      <alignment horizontal="left" vertical="top"/>
    </xf>
    <xf numFmtId="4" fontId="16" fillId="0" borderId="0" xfId="0" applyNumberFormat="1" applyFont="1" applyBorder="1" applyAlignment="1">
      <alignment horizontal="center" vertical="top"/>
    </xf>
    <xf numFmtId="4" fontId="15" fillId="2" borderId="13" xfId="0" applyNumberFormat="1" applyFont="1" applyFill="1" applyBorder="1" applyAlignment="1">
      <alignment horizontal="center" vertical="center"/>
    </xf>
    <xf numFmtId="0" fontId="15" fillId="0" borderId="0" xfId="0" applyFont="1" applyFill="1" applyBorder="1" applyAlignment="1">
      <alignment horizontal="left" wrapText="1"/>
    </xf>
    <xf numFmtId="4" fontId="33" fillId="2" borderId="13" xfId="0" applyNumberFormat="1" applyFont="1" applyFill="1" applyBorder="1" applyAlignment="1">
      <alignment horizontal="justify" vertical="center" wrapText="1"/>
    </xf>
    <xf numFmtId="4" fontId="33" fillId="2" borderId="13" xfId="0" applyNumberFormat="1" applyFont="1" applyFill="1" applyBorder="1" applyAlignment="1">
      <alignment horizontal="center" vertical="center" wrapText="1"/>
    </xf>
    <xf numFmtId="4" fontId="15" fillId="2" borderId="0" xfId="0" applyNumberFormat="1" applyFont="1" applyFill="1" applyBorder="1" applyAlignment="1">
      <alignment vertical="center"/>
    </xf>
    <xf numFmtId="4" fontId="33" fillId="3" borderId="13" xfId="0" applyNumberFormat="1" applyFont="1" applyFill="1" applyBorder="1" applyAlignment="1">
      <alignment horizontal="justify" vertical="center" wrapText="1"/>
    </xf>
    <xf numFmtId="4" fontId="33" fillId="3" borderId="13" xfId="0" applyNumberFormat="1" applyFont="1" applyFill="1" applyBorder="1" applyAlignment="1">
      <alignment horizontal="center" vertical="center" wrapText="1"/>
    </xf>
    <xf numFmtId="4" fontId="15" fillId="3" borderId="0" xfId="0" applyNumberFormat="1" applyFont="1" applyFill="1" applyBorder="1" applyAlignment="1">
      <alignment vertical="center"/>
    </xf>
    <xf numFmtId="164" fontId="60" fillId="0" borderId="6" xfId="2" applyNumberFormat="1" applyFont="1" applyBorder="1"/>
    <xf numFmtId="0" fontId="60" fillId="0" borderId="8" xfId="12" applyFont="1" applyBorder="1"/>
    <xf numFmtId="166" fontId="60" fillId="0" borderId="8" xfId="2" applyNumberFormat="1" applyFont="1" applyBorder="1"/>
    <xf numFmtId="164" fontId="60" fillId="0" borderId="8" xfId="2" applyFont="1" applyBorder="1"/>
    <xf numFmtId="164" fontId="60" fillId="0" borderId="13" xfId="2" applyFont="1" applyBorder="1"/>
    <xf numFmtId="164" fontId="62" fillId="2" borderId="42" xfId="2" applyFont="1" applyFill="1" applyBorder="1"/>
    <xf numFmtId="164" fontId="62" fillId="2" borderId="14" xfId="2" applyFont="1" applyFill="1" applyBorder="1"/>
    <xf numFmtId="0" fontId="60" fillId="0" borderId="10" xfId="12" applyFont="1" applyBorder="1"/>
    <xf numFmtId="0" fontId="60" fillId="0" borderId="0" xfId="12" applyFont="1" applyBorder="1"/>
    <xf numFmtId="0" fontId="60" fillId="0" borderId="0" xfId="12" applyFont="1"/>
    <xf numFmtId="164" fontId="60" fillId="0" borderId="33" xfId="2" applyNumberFormat="1" applyFont="1" applyBorder="1"/>
    <xf numFmtId="0" fontId="60" fillId="0" borderId="33" xfId="12" applyFont="1" applyBorder="1"/>
    <xf numFmtId="166" fontId="60" fillId="0" borderId="33" xfId="2" applyNumberFormat="1" applyFont="1" applyBorder="1"/>
    <xf numFmtId="164" fontId="60" fillId="0" borderId="33" xfId="2" applyFont="1" applyBorder="1"/>
    <xf numFmtId="164" fontId="62" fillId="2" borderId="13" xfId="2" applyFont="1" applyFill="1" applyBorder="1"/>
    <xf numFmtId="164" fontId="60" fillId="0" borderId="12" xfId="2" applyNumberFormat="1" applyFont="1" applyBorder="1"/>
    <xf numFmtId="166" fontId="60" fillId="0" borderId="12" xfId="2" applyNumberFormat="1" applyFont="1" applyBorder="1"/>
    <xf numFmtId="164" fontId="60" fillId="0" borderId="12" xfId="2" applyFont="1" applyBorder="1"/>
    <xf numFmtId="164" fontId="60" fillId="0" borderId="32" xfId="2" applyFont="1" applyBorder="1"/>
    <xf numFmtId="164" fontId="62" fillId="2" borderId="32" xfId="2" applyFont="1" applyFill="1" applyBorder="1"/>
    <xf numFmtId="0" fontId="60" fillId="0" borderId="12" xfId="12" applyFont="1" applyBorder="1"/>
    <xf numFmtId="43" fontId="60" fillId="0" borderId="0" xfId="12" applyNumberFormat="1" applyFont="1"/>
    <xf numFmtId="164" fontId="60" fillId="0" borderId="0" xfId="2" applyNumberFormat="1" applyFont="1"/>
    <xf numFmtId="166" fontId="60" fillId="0" borderId="0" xfId="2" applyNumberFormat="1" applyFont="1"/>
    <xf numFmtId="164" fontId="60" fillId="0" borderId="0" xfId="2" applyFont="1"/>
    <xf numFmtId="4" fontId="15" fillId="3" borderId="0" xfId="0" applyNumberFormat="1" applyFont="1" applyFill="1" applyBorder="1" applyAlignment="1"/>
    <xf numFmtId="4" fontId="15" fillId="0" borderId="0" xfId="0" applyNumberFormat="1" applyFont="1" applyFill="1" applyBorder="1" applyAlignment="1">
      <alignment horizontal="left" vertical="center"/>
    </xf>
    <xf numFmtId="4" fontId="15" fillId="0" borderId="0" xfId="0" applyNumberFormat="1" applyFont="1" applyBorder="1" applyAlignment="1">
      <alignment horizontal="left" vertical="center"/>
    </xf>
    <xf numFmtId="4" fontId="15" fillId="3" borderId="0" xfId="0" applyNumberFormat="1" applyFont="1" applyFill="1" applyBorder="1" applyAlignment="1">
      <alignment horizontal="left" vertical="center"/>
    </xf>
    <xf numFmtId="4" fontId="15" fillId="2" borderId="0" xfId="0" applyNumberFormat="1" applyFont="1" applyFill="1" applyBorder="1" applyAlignment="1">
      <alignment horizontal="left" vertical="center"/>
    </xf>
    <xf numFmtId="4" fontId="15" fillId="3" borderId="0" xfId="0" applyNumberFormat="1" applyFont="1" applyFill="1" applyBorder="1" applyAlignment="1">
      <alignment horizontal="left" vertical="top"/>
    </xf>
    <xf numFmtId="164" fontId="15" fillId="0" borderId="33" xfId="29" applyFont="1" applyFill="1" applyBorder="1" applyAlignment="1">
      <alignment horizontal="center" vertical="center"/>
    </xf>
    <xf numFmtId="164" fontId="15" fillId="0" borderId="32" xfId="29" applyFont="1" applyFill="1" applyBorder="1" applyAlignment="1">
      <alignment horizontal="center" vertical="center"/>
    </xf>
    <xf numFmtId="0" fontId="36" fillId="0" borderId="13" xfId="14" quotePrefix="1" applyNumberFormat="1" applyFont="1" applyFill="1" applyBorder="1" applyAlignment="1" applyProtection="1">
      <alignment horizontal="left" vertical="center" wrapText="1"/>
      <protection locked="0"/>
    </xf>
    <xf numFmtId="0" fontId="15" fillId="0" borderId="14" xfId="30" applyFont="1" applyFill="1" applyBorder="1" applyAlignment="1">
      <alignment horizontal="left" vertical="top" wrapText="1"/>
    </xf>
    <xf numFmtId="165" fontId="15" fillId="0" borderId="13" xfId="30" applyNumberFormat="1" applyFont="1" applyFill="1" applyBorder="1" applyAlignment="1">
      <alignment horizontal="center" vertical="center" wrapText="1"/>
    </xf>
    <xf numFmtId="0" fontId="15" fillId="0" borderId="13" xfId="0" applyFont="1" applyFill="1" applyBorder="1" applyAlignment="1" applyProtection="1">
      <alignment horizontal="center" vertical="center" wrapText="1"/>
    </xf>
    <xf numFmtId="164" fontId="15" fillId="0" borderId="13" xfId="2" applyFont="1" applyFill="1" applyBorder="1" applyAlignment="1">
      <alignment horizontal="center" vertical="center" wrapText="1"/>
    </xf>
    <xf numFmtId="43" fontId="15" fillId="0" borderId="13" xfId="31" applyNumberFormat="1" applyFont="1" applyFill="1" applyBorder="1" applyAlignment="1">
      <alignment horizontal="center" vertical="center" wrapText="1"/>
    </xf>
    <xf numFmtId="165" fontId="15" fillId="0" borderId="13" xfId="30" applyNumberFormat="1" applyFont="1" applyFill="1" applyBorder="1" applyAlignment="1">
      <alignment horizontal="left" vertical="top" wrapText="1"/>
    </xf>
    <xf numFmtId="0" fontId="15" fillId="0" borderId="13" xfId="30" applyFont="1" applyFill="1" applyBorder="1" applyAlignment="1">
      <alignment horizontal="left" vertical="top" wrapText="1"/>
    </xf>
    <xf numFmtId="164" fontId="15" fillId="0" borderId="0" xfId="29" applyFont="1" applyBorder="1" applyAlignment="1">
      <alignment horizontal="center" vertical="center"/>
    </xf>
    <xf numFmtId="4" fontId="15" fillId="3" borderId="0" xfId="0" applyNumberFormat="1" applyFont="1" applyFill="1" applyBorder="1" applyAlignment="1">
      <alignment horizontal="left" vertical="center" wrapText="1"/>
    </xf>
    <xf numFmtId="4" fontId="33" fillId="3" borderId="13" xfId="0" applyNumberFormat="1" applyFont="1" applyFill="1" applyBorder="1" applyAlignment="1">
      <alignment horizontal="left" vertical="center" wrapText="1"/>
    </xf>
    <xf numFmtId="174" fontId="15" fillId="0" borderId="0" xfId="0" applyNumberFormat="1" applyFont="1" applyBorder="1" applyAlignment="1">
      <alignment horizontal="center" vertical="center"/>
    </xf>
    <xf numFmtId="4" fontId="15" fillId="3" borderId="33" xfId="0" applyNumberFormat="1" applyFont="1" applyFill="1" applyBorder="1" applyAlignment="1">
      <alignment horizontal="center" vertical="center"/>
    </xf>
    <xf numFmtId="0" fontId="15" fillId="0" borderId="82" xfId="30" applyFont="1" applyFill="1" applyBorder="1" applyAlignment="1">
      <alignment horizontal="left" vertical="top" wrapText="1"/>
    </xf>
    <xf numFmtId="0" fontId="15" fillId="0" borderId="0" xfId="15" applyFont="1" applyFill="1" applyAlignment="1">
      <alignment horizontal="left"/>
    </xf>
    <xf numFmtId="0" fontId="33" fillId="0" borderId="0" xfId="32" applyFont="1" applyFill="1" applyBorder="1" applyAlignment="1">
      <alignment horizontal="left" vertical="top" wrapText="1"/>
    </xf>
    <xf numFmtId="1" fontId="16" fillId="0" borderId="12" xfId="32" applyNumberFormat="1" applyFont="1" applyFill="1" applyBorder="1" applyAlignment="1">
      <alignment horizontal="center" vertical="center" wrapText="1"/>
    </xf>
    <xf numFmtId="0" fontId="16" fillId="0" borderId="26" xfId="32" applyFont="1" applyFill="1" applyBorder="1" applyAlignment="1">
      <alignment horizontal="center" vertical="center" wrapText="1"/>
    </xf>
    <xf numFmtId="165" fontId="16" fillId="0" borderId="12" xfId="2" applyNumberFormat="1" applyFont="1" applyFill="1" applyBorder="1" applyAlignment="1">
      <alignment horizontal="center" vertical="center" wrapText="1"/>
    </xf>
    <xf numFmtId="0" fontId="16" fillId="0" borderId="12" xfId="32" applyFont="1" applyFill="1" applyBorder="1" applyAlignment="1">
      <alignment horizontal="center" vertical="center" wrapText="1"/>
    </xf>
    <xf numFmtId="164" fontId="16" fillId="0" borderId="12" xfId="33" applyFont="1" applyFill="1" applyBorder="1" applyAlignment="1">
      <alignment horizontal="center" vertical="center" wrapText="1"/>
    </xf>
    <xf numFmtId="4" fontId="16" fillId="0" borderId="12" xfId="2" applyNumberFormat="1" applyFont="1" applyFill="1" applyBorder="1" applyAlignment="1">
      <alignment horizontal="center" vertical="center" wrapText="1"/>
    </xf>
    <xf numFmtId="0" fontId="15" fillId="0" borderId="0" xfId="6" applyFont="1" applyFill="1" applyAlignment="1">
      <alignment horizontal="center" vertical="center" wrapText="1"/>
    </xf>
    <xf numFmtId="0" fontId="15" fillId="0" borderId="0" xfId="6" applyFont="1" applyFill="1" applyAlignment="1">
      <alignment vertical="center" wrapText="1"/>
    </xf>
    <xf numFmtId="1" fontId="16" fillId="0" borderId="13" xfId="32" applyNumberFormat="1" applyFont="1" applyFill="1" applyBorder="1" applyAlignment="1">
      <alignment horizontal="center" vertical="center" wrapText="1"/>
    </xf>
    <xf numFmtId="0" fontId="16" fillId="0" borderId="0" xfId="32" applyFont="1" applyFill="1" applyBorder="1" applyAlignment="1">
      <alignment horizontal="center" vertical="center" wrapText="1"/>
    </xf>
    <xf numFmtId="165" fontId="16" fillId="0" borderId="13" xfId="2" applyNumberFormat="1" applyFont="1" applyFill="1" applyBorder="1" applyAlignment="1">
      <alignment horizontal="center" vertical="center" wrapText="1"/>
    </xf>
    <xf numFmtId="0" fontId="16" fillId="0" borderId="13" xfId="32" applyFont="1" applyFill="1" applyBorder="1" applyAlignment="1">
      <alignment horizontal="center" vertical="center" wrapText="1"/>
    </xf>
    <xf numFmtId="164" fontId="16" fillId="0" borderId="13" xfId="33" applyFont="1" applyFill="1" applyBorder="1" applyAlignment="1">
      <alignment horizontal="center" vertical="center" wrapText="1"/>
    </xf>
    <xf numFmtId="4" fontId="16" fillId="0" borderId="13" xfId="2" applyNumberFormat="1" applyFont="1" applyFill="1" applyBorder="1" applyAlignment="1">
      <alignment horizontal="center" vertical="center" wrapText="1"/>
    </xf>
    <xf numFmtId="1" fontId="19" fillId="0" borderId="13" xfId="15" applyNumberFormat="1" applyFont="1" applyFill="1" applyBorder="1" applyAlignment="1">
      <alignment vertical="center" wrapText="1"/>
    </xf>
    <xf numFmtId="0" fontId="18" fillId="0" borderId="0" xfId="15" applyFont="1" applyFill="1" applyBorder="1" applyAlignment="1">
      <alignment vertical="center" wrapText="1"/>
    </xf>
    <xf numFmtId="165" fontId="15" fillId="0" borderId="13" xfId="2" applyNumberFormat="1" applyFont="1" applyFill="1" applyBorder="1" applyAlignment="1">
      <alignment horizontal="center" vertical="center" wrapText="1"/>
    </xf>
    <xf numFmtId="164" fontId="16" fillId="0" borderId="13" xfId="2" applyFont="1" applyFill="1" applyBorder="1" applyAlignment="1">
      <alignment horizontal="center" vertical="center" wrapText="1"/>
    </xf>
    <xf numFmtId="0" fontId="15" fillId="0" borderId="0" xfId="6" applyFont="1" applyFill="1" applyBorder="1" applyAlignment="1">
      <alignment horizontal="center" vertical="center" wrapText="1"/>
    </xf>
    <xf numFmtId="0" fontId="15" fillId="0" borderId="0" xfId="6" applyFont="1" applyFill="1" applyBorder="1" applyAlignment="1">
      <alignment wrapText="1"/>
    </xf>
    <xf numFmtId="0" fontId="19" fillId="0" borderId="0" xfId="15" applyFont="1" applyFill="1" applyBorder="1" applyAlignment="1">
      <alignment vertical="center" wrapText="1"/>
    </xf>
    <xf numFmtId="1" fontId="16" fillId="0" borderId="13" xfId="15" applyNumberFormat="1" applyFont="1" applyFill="1" applyBorder="1" applyAlignment="1">
      <alignment horizontal="center" vertical="center" wrapText="1"/>
    </xf>
    <xf numFmtId="0" fontId="15" fillId="0" borderId="0" xfId="15" applyFont="1" applyFill="1" applyBorder="1" applyAlignment="1">
      <alignment vertical="top" wrapText="1"/>
    </xf>
    <xf numFmtId="1" fontId="16" fillId="0" borderId="13" xfId="15" applyNumberFormat="1" applyFont="1" applyFill="1" applyBorder="1" applyAlignment="1">
      <alignment horizontal="center" vertical="top" wrapText="1"/>
    </xf>
    <xf numFmtId="0" fontId="15" fillId="0" borderId="0" xfId="15" applyFont="1" applyFill="1" applyBorder="1" applyAlignment="1">
      <alignment vertical="center" wrapText="1"/>
    </xf>
    <xf numFmtId="39" fontId="15" fillId="0" borderId="13" xfId="2" applyNumberFormat="1" applyFont="1" applyFill="1" applyBorder="1" applyAlignment="1">
      <alignment horizontal="center" vertical="center" wrapText="1"/>
    </xf>
    <xf numFmtId="0" fontId="15" fillId="0" borderId="0" xfId="6" applyFont="1" applyFill="1" applyBorder="1" applyAlignment="1">
      <alignment vertical="center" wrapText="1"/>
    </xf>
    <xf numFmtId="0" fontId="15" fillId="0" borderId="0" xfId="15" applyFont="1" applyFill="1" applyBorder="1" applyAlignment="1">
      <alignment vertical="top"/>
    </xf>
    <xf numFmtId="1" fontId="16" fillId="0" borderId="13" xfId="30" applyNumberFormat="1" applyFont="1" applyBorder="1" applyAlignment="1">
      <alignment horizontal="center" vertical="center" wrapText="1"/>
    </xf>
    <xf numFmtId="0" fontId="15" fillId="0" borderId="14" xfId="6" applyFont="1" applyFill="1" applyBorder="1" applyAlignment="1">
      <alignment horizontal="left" vertical="center" wrapText="1"/>
    </xf>
    <xf numFmtId="0" fontId="15" fillId="0" borderId="13" xfId="15" applyFont="1" applyBorder="1" applyAlignment="1">
      <alignment horizontal="center" vertical="center" wrapText="1"/>
    </xf>
    <xf numFmtId="164" fontId="15" fillId="0" borderId="13" xfId="2" applyFont="1" applyBorder="1" applyAlignment="1">
      <alignment horizontal="center" vertical="center" wrapText="1"/>
    </xf>
    <xf numFmtId="43" fontId="15" fillId="0" borderId="13" xfId="31" applyNumberFormat="1" applyFont="1" applyBorder="1" applyAlignment="1">
      <alignment horizontal="center" vertical="top" wrapText="1"/>
    </xf>
    <xf numFmtId="0" fontId="15" fillId="0" borderId="0" xfId="6" applyFont="1" applyAlignment="1">
      <alignment horizontal="center" vertical="center" wrapText="1"/>
    </xf>
    <xf numFmtId="0" fontId="15" fillId="0" borderId="0" xfId="6" applyFont="1" applyAlignment="1">
      <alignment wrapText="1"/>
    </xf>
    <xf numFmtId="1" fontId="15" fillId="0" borderId="13" xfId="15" applyNumberFormat="1" applyFont="1" applyFill="1" applyBorder="1" applyAlignment="1">
      <alignment horizontal="center" wrapText="1"/>
    </xf>
    <xf numFmtId="0" fontId="16" fillId="0" borderId="0" xfId="15" applyFont="1" applyFill="1" applyBorder="1" applyAlignment="1">
      <alignment vertical="center" wrapText="1"/>
    </xf>
    <xf numFmtId="1" fontId="16" fillId="0" borderId="13" xfId="15" applyNumberFormat="1" applyFont="1" applyFill="1" applyBorder="1" applyAlignment="1">
      <alignment vertical="center" wrapText="1"/>
    </xf>
    <xf numFmtId="164" fontId="15" fillId="0" borderId="13" xfId="2" applyFont="1" applyFill="1" applyBorder="1" applyAlignment="1" applyProtection="1">
      <alignment horizontal="center" vertical="center" wrapText="1"/>
    </xf>
    <xf numFmtId="1" fontId="16" fillId="0" borderId="13" xfId="15" applyNumberFormat="1" applyFont="1" applyFill="1" applyBorder="1" applyAlignment="1">
      <alignment vertical="top" wrapText="1"/>
    </xf>
    <xf numFmtId="0" fontId="16" fillId="0" borderId="0" xfId="15" applyFont="1" applyFill="1" applyBorder="1" applyAlignment="1">
      <alignment vertical="top" wrapText="1"/>
    </xf>
    <xf numFmtId="0" fontId="15" fillId="0" borderId="13" xfId="30" applyFont="1" applyFill="1" applyBorder="1" applyAlignment="1">
      <alignment horizontal="center" vertical="center" wrapText="1"/>
    </xf>
    <xf numFmtId="0" fontId="16" fillId="0" borderId="13" xfId="15" applyFont="1" applyFill="1" applyBorder="1" applyAlignment="1" applyProtection="1">
      <alignment horizontal="center" vertical="center" wrapText="1"/>
    </xf>
    <xf numFmtId="0" fontId="15" fillId="0" borderId="13" xfId="15" applyFont="1" applyFill="1" applyBorder="1" applyAlignment="1" applyProtection="1">
      <alignment horizontal="center" vertical="center" wrapText="1"/>
    </xf>
    <xf numFmtId="164" fontId="15" fillId="0" borderId="0" xfId="6" applyNumberFormat="1" applyFont="1" applyFill="1" applyBorder="1" applyAlignment="1">
      <alignment wrapText="1"/>
    </xf>
    <xf numFmtId="2" fontId="15" fillId="0" borderId="0" xfId="30" applyNumberFormat="1" applyFont="1" applyFill="1" applyBorder="1" applyAlignment="1">
      <alignment horizontal="center" wrapText="1"/>
    </xf>
    <xf numFmtId="0" fontId="16" fillId="0" borderId="14" xfId="15" applyFont="1" applyFill="1" applyBorder="1" applyAlignment="1">
      <alignment vertical="center" wrapText="1"/>
    </xf>
    <xf numFmtId="0" fontId="16" fillId="0" borderId="0" xfId="15" applyFont="1" applyFill="1" applyBorder="1" applyAlignment="1">
      <alignment vertical="center"/>
    </xf>
    <xf numFmtId="1" fontId="15" fillId="0" borderId="13" xfId="30" applyNumberFormat="1" applyFont="1" applyFill="1" applyBorder="1" applyAlignment="1">
      <alignment horizontal="center" vertical="center" wrapText="1"/>
    </xf>
    <xf numFmtId="43" fontId="15" fillId="0" borderId="13" xfId="31" applyNumberFormat="1" applyFont="1" applyFill="1" applyBorder="1" applyAlignment="1">
      <alignment horizontal="center" vertical="top" wrapText="1"/>
    </xf>
    <xf numFmtId="0" fontId="15" fillId="0" borderId="14" xfId="6" applyFont="1" applyFill="1" applyBorder="1" applyAlignment="1" applyProtection="1">
      <alignment horizontal="left" vertical="center" wrapText="1"/>
    </xf>
    <xf numFmtId="1" fontId="15" fillId="0" borderId="13" xfId="6" applyNumberFormat="1" applyFont="1" applyFill="1" applyBorder="1" applyAlignment="1">
      <alignment horizontal="center" vertical="center"/>
    </xf>
    <xf numFmtId="0" fontId="16" fillId="0" borderId="14" xfId="30" quotePrefix="1" applyFont="1" applyFill="1" applyBorder="1" applyAlignment="1">
      <alignment horizontal="left" vertical="center" wrapText="1"/>
    </xf>
    <xf numFmtId="0" fontId="15" fillId="2" borderId="0" xfId="6" applyFont="1" applyFill="1" applyBorder="1" applyAlignment="1">
      <alignment horizontal="center" vertical="center" wrapText="1"/>
    </xf>
    <xf numFmtId="0" fontId="15" fillId="2" borderId="0" xfId="6" applyFont="1" applyFill="1" applyBorder="1" applyAlignment="1">
      <alignment wrapText="1"/>
    </xf>
    <xf numFmtId="0" fontId="16" fillId="0" borderId="14" xfId="6" applyFont="1" applyFill="1" applyBorder="1" applyAlignment="1">
      <alignment horizontal="left" vertical="top" wrapText="1"/>
    </xf>
    <xf numFmtId="0" fontId="15" fillId="0" borderId="14" xfId="15" applyFont="1" applyFill="1" applyBorder="1"/>
    <xf numFmtId="0" fontId="15" fillId="0" borderId="14" xfId="6" applyFont="1" applyFill="1" applyBorder="1" applyAlignment="1">
      <alignment horizontal="justify" vertical="top" wrapText="1"/>
    </xf>
    <xf numFmtId="0" fontId="15" fillId="0" borderId="14" xfId="15" applyFont="1" applyFill="1" applyBorder="1" applyAlignment="1">
      <alignment wrapText="1"/>
    </xf>
    <xf numFmtId="0" fontId="16" fillId="0" borderId="14" xfId="30" applyFont="1" applyFill="1" applyBorder="1" applyAlignment="1">
      <alignment horizontal="left" vertical="top" wrapText="1"/>
    </xf>
    <xf numFmtId="0" fontId="15" fillId="0" borderId="14" xfId="15" applyFont="1" applyFill="1" applyBorder="1" applyAlignment="1">
      <alignment vertical="center" wrapText="1"/>
    </xf>
    <xf numFmtId="0" fontId="15" fillId="0" borderId="14" xfId="6" applyFont="1" applyFill="1" applyBorder="1" applyAlignment="1">
      <alignment horizontal="left" vertical="top" wrapText="1"/>
    </xf>
    <xf numFmtId="0" fontId="16" fillId="0" borderId="14" xfId="15" applyFont="1" applyFill="1" applyBorder="1"/>
    <xf numFmtId="0" fontId="15" fillId="0" borderId="13" xfId="15" applyFont="1" applyFill="1" applyBorder="1" applyAlignment="1">
      <alignment horizontal="center" vertical="center" wrapText="1"/>
    </xf>
    <xf numFmtId="164" fontId="15" fillId="0" borderId="14" xfId="2" applyFont="1" applyFill="1" applyBorder="1" applyAlignment="1">
      <alignment horizontal="center" vertical="center" wrapText="1"/>
    </xf>
    <xf numFmtId="0" fontId="15" fillId="0" borderId="0" xfId="6" applyNumberFormat="1" applyFont="1" applyFill="1" applyBorder="1" applyAlignment="1">
      <alignment horizontal="center" vertical="center" wrapText="1"/>
    </xf>
    <xf numFmtId="0" fontId="15" fillId="0" borderId="13" xfId="31" applyNumberFormat="1" applyFont="1" applyFill="1" applyBorder="1" applyAlignment="1">
      <alignment horizontal="center" vertical="center" wrapText="1"/>
    </xf>
    <xf numFmtId="0" fontId="15" fillId="0" borderId="14" xfId="30" applyFont="1" applyFill="1" applyBorder="1" applyAlignment="1">
      <alignment horizontal="left" vertical="top"/>
    </xf>
    <xf numFmtId="0" fontId="15" fillId="0" borderId="0" xfId="6" applyFont="1" applyFill="1" applyBorder="1" applyAlignment="1">
      <alignment horizontal="center" wrapText="1"/>
    </xf>
    <xf numFmtId="0" fontId="15" fillId="0" borderId="14" xfId="30" applyFont="1" applyFill="1" applyBorder="1" applyAlignment="1">
      <alignment vertical="center" wrapText="1"/>
    </xf>
    <xf numFmtId="0" fontId="19" fillId="0" borderId="14" xfId="30" applyFont="1" applyFill="1" applyBorder="1" applyAlignment="1">
      <alignment horizontal="left" vertical="center" wrapText="1"/>
    </xf>
    <xf numFmtId="0" fontId="15" fillId="0" borderId="13" xfId="15" applyFont="1" applyFill="1" applyBorder="1" applyAlignment="1" applyProtection="1">
      <alignment horizontal="center" vertical="center"/>
    </xf>
    <xf numFmtId="164" fontId="15" fillId="0" borderId="13" xfId="2" applyFont="1" applyFill="1" applyBorder="1" applyAlignment="1">
      <alignment horizontal="center" vertical="center"/>
    </xf>
    <xf numFmtId="164" fontId="15" fillId="0" borderId="0" xfId="6" applyNumberFormat="1" applyFont="1" applyFill="1" applyBorder="1" applyAlignment="1">
      <alignment horizontal="center" vertical="center" wrapText="1"/>
    </xf>
    <xf numFmtId="165" fontId="15" fillId="0" borderId="13" xfId="30" applyNumberFormat="1" applyFont="1" applyFill="1" applyBorder="1" applyAlignment="1">
      <alignment horizontal="center" vertical="center"/>
    </xf>
    <xf numFmtId="0" fontId="19" fillId="0" borderId="14" xfId="30" applyFont="1" applyFill="1" applyBorder="1" applyAlignment="1">
      <alignment horizontal="left" vertical="center"/>
    </xf>
    <xf numFmtId="0" fontId="15" fillId="0" borderId="0" xfId="6" applyFont="1" applyFill="1" applyBorder="1" applyAlignment="1">
      <alignment horizontal="center" vertical="center"/>
    </xf>
    <xf numFmtId="0" fontId="15" fillId="0" borderId="0" xfId="6" applyFont="1" applyFill="1" applyBorder="1"/>
    <xf numFmtId="164" fontId="15" fillId="0" borderId="0" xfId="6" applyNumberFormat="1" applyFont="1" applyFill="1" applyBorder="1"/>
    <xf numFmtId="0" fontId="59" fillId="0" borderId="14" xfId="30" applyFont="1" applyFill="1" applyBorder="1" applyAlignment="1">
      <alignment horizontal="left" vertical="top" wrapText="1"/>
    </xf>
    <xf numFmtId="165" fontId="59" fillId="0" borderId="13" xfId="30" applyNumberFormat="1" applyFont="1" applyFill="1" applyBorder="1" applyAlignment="1">
      <alignment horizontal="center" vertical="center" wrapText="1"/>
    </xf>
    <xf numFmtId="0" fontId="59" fillId="0" borderId="13" xfId="15" applyFont="1" applyFill="1" applyBorder="1" applyAlignment="1" applyProtection="1">
      <alignment horizontal="center" vertical="center" wrapText="1"/>
    </xf>
    <xf numFmtId="164" fontId="59" fillId="0" borderId="13" xfId="2" applyFont="1" applyFill="1" applyBorder="1" applyAlignment="1">
      <alignment horizontal="center" vertical="center" wrapText="1"/>
    </xf>
    <xf numFmtId="43" fontId="59" fillId="0" borderId="13" xfId="31" applyNumberFormat="1" applyFont="1" applyFill="1" applyBorder="1" applyAlignment="1">
      <alignment horizontal="center" vertical="top" wrapText="1"/>
    </xf>
    <xf numFmtId="0" fontId="63" fillId="0" borderId="14" xfId="30" applyFont="1" applyFill="1" applyBorder="1" applyAlignment="1">
      <alignment horizontal="left" vertical="top" wrapText="1"/>
    </xf>
    <xf numFmtId="165" fontId="63" fillId="0" borderId="13" xfId="30" applyNumberFormat="1" applyFont="1" applyFill="1" applyBorder="1" applyAlignment="1">
      <alignment horizontal="center" vertical="center" wrapText="1"/>
    </xf>
    <xf numFmtId="0" fontId="15" fillId="0" borderId="0" xfId="6" applyFont="1" applyFill="1" applyAlignment="1">
      <alignment wrapText="1"/>
    </xf>
    <xf numFmtId="164" fontId="15" fillId="0" borderId="0" xfId="6" applyNumberFormat="1" applyFont="1" applyFill="1" applyAlignment="1">
      <alignment wrapText="1"/>
    </xf>
    <xf numFmtId="0" fontId="16" fillId="0" borderId="14" xfId="15" applyFont="1" applyFill="1" applyBorder="1" applyAlignment="1">
      <alignment wrapText="1"/>
    </xf>
    <xf numFmtId="0" fontId="15" fillId="2" borderId="0" xfId="6" applyFont="1" applyFill="1" applyAlignment="1">
      <alignment horizontal="center" vertical="center" wrapText="1"/>
    </xf>
    <xf numFmtId="0" fontId="15" fillId="2" borderId="0" xfId="6" applyFont="1" applyFill="1" applyAlignment="1">
      <alignment wrapText="1"/>
    </xf>
    <xf numFmtId="164" fontId="15" fillId="2" borderId="0" xfId="6" applyNumberFormat="1" applyFont="1" applyFill="1" applyAlignment="1">
      <alignment wrapText="1"/>
    </xf>
    <xf numFmtId="2" fontId="15" fillId="2" borderId="0" xfId="30" applyNumberFormat="1" applyFont="1" applyFill="1" applyBorder="1" applyAlignment="1">
      <alignment horizontal="center" wrapText="1"/>
    </xf>
    <xf numFmtId="0" fontId="15" fillId="0" borderId="13" xfId="32" applyFont="1" applyFill="1" applyBorder="1" applyAlignment="1">
      <alignment horizontal="center" vertical="center" wrapText="1"/>
    </xf>
    <xf numFmtId="164" fontId="64" fillId="0" borderId="13" xfId="33" applyFont="1" applyFill="1" applyBorder="1" applyAlignment="1">
      <alignment horizontal="right" vertical="center" wrapText="1"/>
    </xf>
    <xf numFmtId="0" fontId="59" fillId="0" borderId="0" xfId="6" applyFont="1" applyFill="1" applyAlignment="1">
      <alignment horizontal="center" vertical="center" wrapText="1"/>
    </xf>
    <xf numFmtId="0" fontId="59" fillId="0" borderId="0" xfId="6" applyFont="1" applyFill="1" applyAlignment="1">
      <alignment wrapText="1"/>
    </xf>
    <xf numFmtId="164" fontId="59" fillId="0" borderId="0" xfId="6" applyNumberFormat="1" applyFont="1" applyFill="1" applyAlignment="1">
      <alignment wrapText="1"/>
    </xf>
    <xf numFmtId="2" fontId="59" fillId="0" borderId="0" xfId="30" applyNumberFormat="1" applyFont="1" applyFill="1" applyBorder="1" applyAlignment="1">
      <alignment horizontal="center" wrapText="1"/>
    </xf>
    <xf numFmtId="43" fontId="59" fillId="0" borderId="13" xfId="31" applyNumberFormat="1" applyFont="1" applyFill="1" applyBorder="1" applyAlignment="1">
      <alignment horizontal="center" vertical="center" wrapText="1"/>
    </xf>
    <xf numFmtId="0" fontId="15" fillId="0" borderId="14" xfId="15" applyFont="1" applyFill="1" applyBorder="1" applyAlignment="1">
      <alignment horizontal="left" vertical="top" wrapText="1"/>
    </xf>
    <xf numFmtId="165" fontId="15" fillId="0" borderId="13" xfId="15" applyNumberFormat="1" applyFont="1" applyFill="1" applyBorder="1" applyAlignment="1">
      <alignment horizontal="center" vertical="center"/>
    </xf>
    <xf numFmtId="0" fontId="15" fillId="0" borderId="13" xfId="15" applyFont="1" applyFill="1" applyBorder="1" applyAlignment="1">
      <alignment horizontal="center" vertical="center"/>
    </xf>
    <xf numFmtId="0" fontId="15" fillId="0" borderId="13" xfId="15" applyFont="1" applyFill="1" applyBorder="1" applyAlignment="1">
      <alignment vertical="center"/>
    </xf>
    <xf numFmtId="0" fontId="15" fillId="0" borderId="0" xfId="15" applyFont="1" applyFill="1"/>
    <xf numFmtId="0" fontId="15" fillId="0" borderId="0" xfId="6" applyFont="1" applyFill="1" applyAlignment="1">
      <alignment horizontal="center" vertical="center"/>
    </xf>
    <xf numFmtId="0" fontId="15" fillId="0" borderId="0" xfId="6" applyFont="1" applyFill="1"/>
    <xf numFmtId="164" fontId="15" fillId="0" borderId="0" xfId="6" applyNumberFormat="1" applyFont="1" applyFill="1"/>
    <xf numFmtId="1" fontId="15" fillId="0" borderId="12" xfId="6" applyNumberFormat="1" applyFont="1" applyFill="1" applyBorder="1" applyAlignment="1">
      <alignment horizontal="center" vertical="center"/>
    </xf>
    <xf numFmtId="0" fontId="23" fillId="0" borderId="26" xfId="15" applyFont="1" applyFill="1" applyBorder="1" applyAlignment="1">
      <alignment horizontal="center" vertical="center"/>
    </xf>
    <xf numFmtId="165" fontId="15" fillId="0" borderId="12" xfId="2" applyNumberFormat="1" applyFont="1" applyFill="1" applyBorder="1" applyAlignment="1" applyProtection="1">
      <alignment horizontal="center" vertical="center" wrapText="1"/>
    </xf>
    <xf numFmtId="0" fontId="16" fillId="0" borderId="12" xfId="15" applyFont="1" applyFill="1" applyBorder="1" applyAlignment="1" applyProtection="1">
      <alignment horizontal="center" vertical="center" wrapText="1"/>
    </xf>
    <xf numFmtId="164" fontId="16" fillId="0" borderId="12" xfId="2" applyNumberFormat="1" applyFont="1" applyFill="1" applyBorder="1" applyAlignment="1" applyProtection="1">
      <alignment horizontal="right" vertical="center"/>
      <protection locked="0"/>
    </xf>
    <xf numFmtId="43" fontId="15" fillId="0" borderId="42" xfId="31" applyNumberFormat="1" applyFont="1" applyFill="1" applyBorder="1" applyAlignment="1">
      <alignment horizontal="center" vertical="top" wrapText="1"/>
    </xf>
    <xf numFmtId="0" fontId="23" fillId="0" borderId="0" xfId="15" applyFont="1" applyFill="1" applyBorder="1" applyAlignment="1">
      <alignment horizontal="center" vertical="center"/>
    </xf>
    <xf numFmtId="165" fontId="15" fillId="0" borderId="0" xfId="2" applyNumberFormat="1" applyFont="1" applyFill="1" applyBorder="1" applyAlignment="1" applyProtection="1">
      <alignment horizontal="center" vertical="center" wrapText="1"/>
    </xf>
    <xf numFmtId="0" fontId="16" fillId="0" borderId="0" xfId="15" applyFont="1" applyFill="1" applyBorder="1" applyAlignment="1" applyProtection="1">
      <alignment horizontal="center" vertical="center" wrapText="1"/>
    </xf>
    <xf numFmtId="164" fontId="16" fillId="0" borderId="0" xfId="2" applyNumberFormat="1" applyFont="1" applyFill="1" applyBorder="1" applyAlignment="1" applyProtection="1">
      <alignment horizontal="right" vertical="center"/>
      <protection locked="0"/>
    </xf>
    <xf numFmtId="165" fontId="15" fillId="0" borderId="0" xfId="30" applyNumberFormat="1" applyFont="1" applyFill="1" applyBorder="1" applyAlignment="1">
      <alignment horizontal="center" vertical="center" wrapText="1"/>
    </xf>
    <xf numFmtId="0" fontId="15" fillId="0" borderId="0" xfId="15" applyFont="1" applyFill="1" applyBorder="1" applyAlignment="1" applyProtection="1">
      <alignment horizontal="center" vertical="center" wrapText="1"/>
    </xf>
    <xf numFmtId="164" fontId="15" fillId="0" borderId="0" xfId="2" applyFont="1" applyFill="1" applyBorder="1" applyAlignment="1">
      <alignment horizontal="center" vertical="center" wrapText="1"/>
    </xf>
    <xf numFmtId="0" fontId="16" fillId="0" borderId="0" xfId="15" applyFont="1" applyFill="1" applyBorder="1" applyAlignment="1">
      <alignment vertical="top"/>
    </xf>
    <xf numFmtId="1" fontId="15" fillId="0" borderId="0" xfId="15" applyNumberFormat="1" applyFont="1" applyFill="1" applyBorder="1" applyAlignment="1">
      <alignment horizontal="center"/>
    </xf>
    <xf numFmtId="0" fontId="16" fillId="0" borderId="0" xfId="15" applyFont="1" applyFill="1" applyBorder="1" applyAlignment="1">
      <alignment horizontal="justify" vertical="center"/>
    </xf>
    <xf numFmtId="165" fontId="15" fillId="0" borderId="0" xfId="15" applyNumberFormat="1" applyFont="1" applyFill="1" applyBorder="1" applyAlignment="1">
      <alignment horizontal="center"/>
    </xf>
    <xf numFmtId="2" fontId="15" fillId="0" borderId="0" xfId="15" applyNumberFormat="1" applyFont="1" applyFill="1" applyBorder="1" applyAlignment="1">
      <alignment horizontal="center"/>
    </xf>
    <xf numFmtId="164" fontId="15" fillId="0" borderId="0" xfId="2" applyFont="1" applyFill="1" applyBorder="1"/>
    <xf numFmtId="0" fontId="16" fillId="0" borderId="0" xfId="15" applyFont="1" applyFill="1" applyBorder="1" applyAlignment="1">
      <alignment horizontal="left" vertical="top" wrapText="1"/>
    </xf>
    <xf numFmtId="0" fontId="15" fillId="0" borderId="0" xfId="15" applyFont="1" applyFill="1" applyBorder="1" applyAlignment="1">
      <alignment horizontal="right"/>
    </xf>
    <xf numFmtId="0" fontId="15" fillId="0" borderId="0" xfId="15" applyFont="1" applyFill="1" applyBorder="1"/>
    <xf numFmtId="0" fontId="16" fillId="0" borderId="0" xfId="15" applyFont="1" applyFill="1" applyBorder="1"/>
    <xf numFmtId="165" fontId="15" fillId="0" borderId="0" xfId="2" applyNumberFormat="1" applyFont="1" applyFill="1" applyBorder="1" applyAlignment="1">
      <alignment horizontal="center" vertical="center" wrapText="1"/>
    </xf>
    <xf numFmtId="1" fontId="15" fillId="0" borderId="0" xfId="32" applyNumberFormat="1" applyFont="1" applyFill="1" applyBorder="1" applyAlignment="1">
      <alignment horizontal="center" vertical="center" wrapText="1"/>
    </xf>
    <xf numFmtId="0" fontId="15" fillId="0" borderId="0" xfId="32" applyFont="1" applyFill="1" applyBorder="1" applyAlignment="1">
      <alignment horizontal="left" vertical="center" wrapText="1"/>
    </xf>
    <xf numFmtId="0" fontId="15" fillId="0" borderId="0" xfId="32" applyFont="1" applyFill="1" applyBorder="1" applyAlignment="1">
      <alignment horizontal="center" vertical="center" wrapText="1"/>
    </xf>
    <xf numFmtId="164" fontId="15" fillId="0" borderId="0" xfId="33" applyFont="1" applyFill="1" applyBorder="1" applyAlignment="1">
      <alignment horizontal="center" vertical="center" wrapText="1"/>
    </xf>
    <xf numFmtId="4" fontId="15" fillId="0" borderId="0" xfId="2" applyNumberFormat="1" applyFont="1" applyFill="1" applyBorder="1" applyAlignment="1">
      <alignment horizontal="right" vertical="top" wrapText="1"/>
    </xf>
    <xf numFmtId="0" fontId="15" fillId="0" borderId="24" xfId="0" applyFont="1" applyFill="1" applyBorder="1" applyAlignment="1">
      <alignment horizontal="left"/>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0" borderId="13" xfId="29" applyFont="1" applyFill="1" applyBorder="1" applyAlignment="1">
      <alignment horizontal="center" vertical="center"/>
    </xf>
    <xf numFmtId="0" fontId="33" fillId="0" borderId="0" xfId="0" applyFont="1" applyFill="1" applyAlignment="1">
      <alignment horizontal="left"/>
    </xf>
    <xf numFmtId="0" fontId="56" fillId="0" borderId="0" xfId="0" applyFont="1" applyFill="1"/>
    <xf numFmtId="0" fontId="16" fillId="0" borderId="12" xfId="32" applyFont="1" applyFill="1" applyBorder="1" applyAlignment="1">
      <alignment horizontal="center" vertical="center"/>
    </xf>
    <xf numFmtId="164" fontId="16" fillId="0" borderId="26" xfId="2" applyFont="1" applyFill="1" applyBorder="1" applyAlignment="1">
      <alignment horizontal="center" vertical="center"/>
    </xf>
    <xf numFmtId="164" fontId="16" fillId="0" borderId="26" xfId="33" applyFont="1" applyFill="1" applyBorder="1" applyAlignment="1">
      <alignment horizontal="center" vertical="center" wrapText="1"/>
    </xf>
    <xf numFmtId="0" fontId="15" fillId="0" borderId="0" xfId="6" applyFont="1" applyFill="1" applyAlignment="1">
      <alignment vertical="center"/>
    </xf>
    <xf numFmtId="0" fontId="16" fillId="0" borderId="14" xfId="32" applyFont="1" applyFill="1" applyBorder="1" applyAlignment="1">
      <alignment horizontal="center" vertical="center"/>
    </xf>
    <xf numFmtId="0" fontId="16" fillId="0" borderId="13" xfId="32" applyFont="1" applyFill="1" applyBorder="1" applyAlignment="1">
      <alignment horizontal="center" vertical="center"/>
    </xf>
    <xf numFmtId="164" fontId="16" fillId="0" borderId="14" xfId="2" applyFont="1" applyFill="1" applyBorder="1" applyAlignment="1">
      <alignment horizontal="center" vertical="center"/>
    </xf>
    <xf numFmtId="164" fontId="16" fillId="0" borderId="14" xfId="33" applyFont="1" applyFill="1" applyBorder="1" applyAlignment="1">
      <alignment horizontal="center" vertical="center" wrapText="1"/>
    </xf>
    <xf numFmtId="0" fontId="19" fillId="0" borderId="13" xfId="0" applyFont="1" applyFill="1" applyBorder="1" applyAlignment="1">
      <alignment vertical="center" wrapText="1"/>
    </xf>
    <xf numFmtId="0" fontId="16" fillId="0" borderId="14" xfId="30" applyFont="1" applyFill="1" applyBorder="1" applyAlignment="1">
      <alignment horizontal="center" vertical="center"/>
    </xf>
    <xf numFmtId="0" fontId="16" fillId="0" borderId="13" xfId="6" applyFont="1" applyFill="1" applyBorder="1" applyAlignment="1">
      <alignment horizontal="justify" vertical="top" wrapText="1"/>
    </xf>
    <xf numFmtId="164" fontId="15" fillId="0" borderId="14" xfId="2" applyFont="1" applyFill="1" applyBorder="1" applyAlignment="1">
      <alignment horizontal="center" vertical="top"/>
    </xf>
    <xf numFmtId="164" fontId="15" fillId="0" borderId="13" xfId="2" applyFont="1" applyFill="1" applyBorder="1" applyAlignment="1">
      <alignment horizontal="center" vertical="top"/>
    </xf>
    <xf numFmtId="43" fontId="15" fillId="0" borderId="13" xfId="31" applyNumberFormat="1" applyFont="1" applyFill="1" applyBorder="1" applyAlignment="1">
      <alignment horizontal="center" vertical="top"/>
    </xf>
    <xf numFmtId="164" fontId="15" fillId="0" borderId="13" xfId="2" applyFont="1" applyFill="1" applyBorder="1" applyAlignment="1">
      <alignment horizontal="right" vertical="center"/>
    </xf>
    <xf numFmtId="164" fontId="15" fillId="0" borderId="14" xfId="2" applyFont="1" applyFill="1" applyBorder="1" applyAlignment="1">
      <alignment horizontal="center" vertical="center"/>
    </xf>
    <xf numFmtId="43" fontId="65" fillId="0" borderId="13" xfId="31" applyNumberFormat="1" applyFont="1" applyFill="1" applyBorder="1" applyAlignment="1">
      <alignment horizontal="center" vertical="top"/>
    </xf>
    <xf numFmtId="0" fontId="15" fillId="0" borderId="13" xfId="30" applyFont="1" applyFill="1" applyBorder="1" applyAlignment="1">
      <alignment horizontal="center" vertical="top"/>
    </xf>
    <xf numFmtId="164" fontId="15" fillId="0" borderId="13" xfId="30" applyNumberFormat="1" applyFont="1" applyFill="1" applyBorder="1" applyAlignment="1">
      <alignment horizontal="right" vertical="center" wrapText="1"/>
    </xf>
    <xf numFmtId="0" fontId="15" fillId="0" borderId="13" xfId="0" applyFont="1" applyFill="1" applyBorder="1" applyAlignment="1">
      <alignment horizontal="center" vertical="center"/>
    </xf>
    <xf numFmtId="0" fontId="15" fillId="0" borderId="0" xfId="0" applyFont="1" applyFill="1"/>
    <xf numFmtId="164" fontId="15" fillId="0" borderId="0" xfId="30" applyNumberFormat="1" applyFont="1" applyFill="1" applyBorder="1" applyAlignment="1">
      <alignment horizontal="right" vertical="center" wrapText="1"/>
    </xf>
    <xf numFmtId="0" fontId="15" fillId="0" borderId="13" xfId="6" applyFont="1" applyFill="1" applyBorder="1" applyAlignment="1">
      <alignment horizontal="left" vertical="center" wrapText="1"/>
    </xf>
    <xf numFmtId="0" fontId="15" fillId="0" borderId="13" xfId="0" applyFont="1" applyFill="1" applyBorder="1" applyAlignment="1">
      <alignment horizontal="center" vertical="center" wrapText="1"/>
    </xf>
    <xf numFmtId="164" fontId="15" fillId="0" borderId="0" xfId="2" applyFont="1" applyFill="1" applyAlignment="1">
      <alignment horizontal="center" vertical="center" wrapText="1"/>
    </xf>
    <xf numFmtId="1" fontId="15" fillId="0" borderId="14" xfId="30" applyNumberFormat="1" applyFont="1" applyFill="1" applyBorder="1" applyAlignment="1">
      <alignment horizontal="center" vertical="center" wrapText="1"/>
    </xf>
    <xf numFmtId="0" fontId="15" fillId="0" borderId="14" xfId="30" applyFont="1" applyFill="1" applyBorder="1" applyAlignment="1">
      <alignment horizontal="center" vertical="center" wrapText="1"/>
    </xf>
    <xf numFmtId="0" fontId="15" fillId="0" borderId="13" xfId="6" applyFont="1" applyFill="1" applyBorder="1" applyAlignment="1">
      <alignment horizontal="justify" vertical="top" wrapText="1"/>
    </xf>
    <xf numFmtId="0" fontId="15" fillId="0" borderId="13" xfId="6" applyFont="1" applyFill="1" applyBorder="1" applyAlignment="1">
      <alignment horizontal="justify" vertical="top"/>
    </xf>
    <xf numFmtId="164" fontId="15" fillId="0" borderId="0" xfId="30" applyNumberFormat="1" applyFont="1" applyFill="1" applyAlignment="1">
      <alignment horizontal="center" vertical="top" wrapText="1"/>
    </xf>
    <xf numFmtId="164" fontId="15" fillId="0" borderId="14" xfId="2" applyFont="1" applyFill="1" applyBorder="1" applyAlignment="1">
      <alignment horizontal="center" vertical="top" wrapText="1"/>
    </xf>
    <xf numFmtId="164" fontId="15" fillId="0" borderId="0" xfId="30" applyNumberFormat="1" applyFont="1" applyFill="1" applyBorder="1" applyAlignment="1">
      <alignment horizontal="center" vertical="top" wrapText="1"/>
    </xf>
    <xf numFmtId="0" fontId="15" fillId="0" borderId="82" xfId="30" applyFont="1" applyFill="1" applyBorder="1" applyAlignment="1">
      <alignment horizontal="center" vertical="center" wrapText="1"/>
    </xf>
    <xf numFmtId="0" fontId="15" fillId="0" borderId="33" xfId="6" applyFont="1" applyFill="1" applyBorder="1" applyAlignment="1">
      <alignment horizontal="left" vertical="top" wrapText="1"/>
    </xf>
    <xf numFmtId="164" fontId="15" fillId="0" borderId="83" xfId="30" applyNumberFormat="1" applyFont="1" applyFill="1" applyBorder="1" applyAlignment="1">
      <alignment horizontal="center" vertical="top" wrapText="1"/>
    </xf>
    <xf numFmtId="164" fontId="15" fillId="0" borderId="82" xfId="2" applyFont="1" applyFill="1" applyBorder="1" applyAlignment="1">
      <alignment horizontal="center" vertical="top" wrapText="1"/>
    </xf>
    <xf numFmtId="43" fontId="15" fillId="0" borderId="33" xfId="31" applyNumberFormat="1" applyFont="1" applyFill="1" applyBorder="1" applyAlignment="1">
      <alignment horizontal="center" vertical="top" wrapText="1"/>
    </xf>
    <xf numFmtId="0" fontId="15" fillId="0" borderId="32" xfId="6" applyFont="1" applyFill="1" applyBorder="1" applyAlignment="1">
      <alignment horizontal="left" vertical="top" wrapText="1"/>
    </xf>
    <xf numFmtId="0" fontId="15" fillId="0" borderId="32" xfId="0" applyFont="1" applyFill="1" applyBorder="1" applyAlignment="1">
      <alignment horizontal="center" vertical="top"/>
    </xf>
    <xf numFmtId="164" fontId="15" fillId="0" borderId="77" xfId="2" applyFont="1" applyFill="1" applyBorder="1" applyAlignment="1">
      <alignment horizontal="center" vertical="top" wrapText="1"/>
    </xf>
    <xf numFmtId="43" fontId="15" fillId="0" borderId="32" xfId="31" applyNumberFormat="1" applyFont="1" applyFill="1" applyBorder="1" applyAlignment="1">
      <alignment horizontal="center" vertical="top" wrapText="1"/>
    </xf>
    <xf numFmtId="49" fontId="15" fillId="0" borderId="13" xfId="0" applyNumberFormat="1" applyFont="1" applyFill="1" applyBorder="1" applyAlignment="1">
      <alignment horizontal="center" vertical="center" wrapText="1"/>
    </xf>
    <xf numFmtId="0" fontId="24" fillId="0" borderId="13" xfId="6" applyFont="1" applyFill="1" applyBorder="1" applyAlignment="1">
      <alignment horizontal="left" vertical="top" wrapText="1"/>
    </xf>
    <xf numFmtId="4" fontId="15" fillId="0" borderId="13" xfId="2" applyNumberFormat="1" applyFont="1" applyFill="1" applyBorder="1" applyAlignment="1">
      <alignment horizontal="center" vertical="center" wrapText="1"/>
    </xf>
    <xf numFmtId="1" fontId="15" fillId="0" borderId="13" xfId="2" applyNumberFormat="1" applyFont="1" applyFill="1" applyBorder="1" applyAlignment="1">
      <alignment horizontal="center" vertical="center" wrapText="1"/>
    </xf>
    <xf numFmtId="1" fontId="15" fillId="0" borderId="13" xfId="0" applyNumberFormat="1" applyFont="1" applyFill="1" applyBorder="1" applyAlignment="1">
      <alignment horizontal="center" vertical="center" wrapText="1"/>
    </xf>
    <xf numFmtId="1" fontId="15" fillId="0" borderId="14" xfId="0" applyNumberFormat="1" applyFont="1" applyFill="1" applyBorder="1" applyAlignment="1">
      <alignment horizontal="center" vertical="center" wrapText="1"/>
    </xf>
    <xf numFmtId="4" fontId="15" fillId="0" borderId="14" xfId="2" applyNumberFormat="1" applyFont="1" applyFill="1" applyBorder="1" applyAlignment="1">
      <alignment horizontal="center" vertical="center" wrapText="1"/>
    </xf>
    <xf numFmtId="49" fontId="15" fillId="0" borderId="14" xfId="0" applyNumberFormat="1" applyFont="1" applyFill="1" applyBorder="1" applyAlignment="1">
      <alignment horizontal="center" vertical="center" wrapText="1"/>
    </xf>
    <xf numFmtId="4" fontId="15" fillId="0" borderId="0" xfId="2" applyNumberFormat="1" applyFont="1" applyFill="1" applyBorder="1" applyAlignment="1">
      <alignment horizontal="center" vertical="center" wrapText="1"/>
    </xf>
    <xf numFmtId="164" fontId="15" fillId="0" borderId="13" xfId="30" applyNumberFormat="1" applyFont="1" applyFill="1" applyBorder="1" applyAlignment="1">
      <alignment horizontal="center" vertical="center" wrapText="1"/>
    </xf>
    <xf numFmtId="164" fontId="15" fillId="0" borderId="0" xfId="30" applyNumberFormat="1" applyFont="1" applyFill="1" applyBorder="1" applyAlignment="1">
      <alignment horizontal="center" vertical="center" wrapText="1"/>
    </xf>
    <xf numFmtId="0" fontId="15" fillId="0" borderId="13" xfId="0" applyFont="1" applyFill="1" applyBorder="1" applyAlignment="1" applyProtection="1">
      <alignment horizontal="center" vertical="center"/>
    </xf>
    <xf numFmtId="43" fontId="15" fillId="0" borderId="24" xfId="31" applyNumberFormat="1" applyFont="1" applyFill="1" applyBorder="1" applyAlignment="1">
      <alignment horizontal="center" vertical="center" wrapText="1"/>
    </xf>
    <xf numFmtId="43" fontId="15" fillId="0" borderId="0" xfId="31" applyNumberFormat="1" applyFont="1" applyFill="1" applyAlignment="1">
      <alignment horizontal="center" vertical="top" wrapText="1"/>
    </xf>
    <xf numFmtId="0" fontId="15" fillId="0" borderId="0" xfId="34" applyFont="1" applyFill="1"/>
    <xf numFmtId="0" fontId="16" fillId="0" borderId="13" xfId="30" applyFont="1" applyFill="1" applyBorder="1" applyAlignment="1">
      <alignment horizontal="left" vertical="top" wrapText="1"/>
    </xf>
    <xf numFmtId="0" fontId="15" fillId="0" borderId="13" xfId="30" applyFont="1" applyFill="1" applyBorder="1" applyAlignment="1">
      <alignment horizontal="left" vertical="top"/>
    </xf>
    <xf numFmtId="2" fontId="15" fillId="0" borderId="0" xfId="30" applyNumberFormat="1" applyFont="1" applyFill="1" applyAlignment="1">
      <alignment horizontal="center" wrapText="1"/>
    </xf>
    <xf numFmtId="0" fontId="13" fillId="0" borderId="0" xfId="34" applyFont="1" applyFill="1" applyBorder="1"/>
    <xf numFmtId="4" fontId="13" fillId="0" borderId="13" xfId="35" applyNumberFormat="1" applyFont="1" applyFill="1" applyBorder="1" applyAlignment="1" applyProtection="1">
      <alignment horizontal="right" vertical="center"/>
      <protection locked="0"/>
    </xf>
    <xf numFmtId="0" fontId="13" fillId="0" borderId="0" xfId="34" applyFont="1" applyFill="1"/>
    <xf numFmtId="0" fontId="15" fillId="0" borderId="13" xfId="30" applyFont="1" applyFill="1" applyBorder="1" applyAlignment="1">
      <alignment vertical="top" wrapText="1"/>
    </xf>
    <xf numFmtId="1" fontId="15" fillId="0" borderId="0" xfId="30" applyNumberFormat="1" applyFont="1" applyFill="1" applyBorder="1" applyAlignment="1">
      <alignment horizontal="center" vertical="center" wrapText="1"/>
    </xf>
    <xf numFmtId="0" fontId="23" fillId="0" borderId="12" xfId="35" applyFont="1" applyFill="1" applyBorder="1" applyAlignment="1" applyProtection="1">
      <alignment horizontal="center" vertical="top"/>
      <protection locked="0"/>
    </xf>
    <xf numFmtId="0" fontId="16" fillId="0" borderId="12" xfId="35" applyFont="1" applyFill="1" applyBorder="1" applyAlignment="1" applyProtection="1">
      <alignment horizontal="center" vertical="center" wrapText="1"/>
      <protection locked="0"/>
    </xf>
    <xf numFmtId="0" fontId="16" fillId="0" borderId="12" xfId="35" applyFont="1" applyFill="1" applyBorder="1" applyAlignment="1" applyProtection="1">
      <alignment horizontal="center" vertical="center"/>
      <protection locked="0"/>
    </xf>
    <xf numFmtId="0" fontId="16" fillId="0" borderId="26" xfId="35" applyFont="1" applyFill="1" applyBorder="1" applyAlignment="1" applyProtection="1">
      <alignment horizontal="right" vertical="center"/>
      <protection locked="0"/>
    </xf>
    <xf numFmtId="4" fontId="15" fillId="0" borderId="12" xfId="35" applyNumberFormat="1" applyFont="1" applyFill="1" applyBorder="1" applyAlignment="1" applyProtection="1">
      <alignment horizontal="right" vertical="center"/>
      <protection locked="0"/>
    </xf>
    <xf numFmtId="0" fontId="13" fillId="0" borderId="0" xfId="0" applyFont="1" applyFill="1"/>
    <xf numFmtId="0" fontId="15" fillId="0" borderId="76" xfId="32" applyFont="1" applyFill="1" applyBorder="1" applyAlignment="1">
      <alignment horizontal="left" vertical="center" wrapText="1"/>
    </xf>
    <xf numFmtId="165" fontId="15" fillId="0" borderId="76" xfId="2" applyNumberFormat="1" applyFont="1" applyFill="1" applyBorder="1" applyAlignment="1">
      <alignment horizontal="center" vertical="center" wrapText="1"/>
    </xf>
    <xf numFmtId="0" fontId="15" fillId="0" borderId="76" xfId="32" applyFont="1" applyFill="1" applyBorder="1" applyAlignment="1">
      <alignment horizontal="center" vertical="center" wrapText="1"/>
    </xf>
    <xf numFmtId="164" fontId="15" fillId="0" borderId="76" xfId="33" applyFont="1" applyFill="1" applyBorder="1" applyAlignment="1">
      <alignment horizontal="center" vertical="center" wrapText="1"/>
    </xf>
    <xf numFmtId="0" fontId="16" fillId="0" borderId="0" xfId="6" applyFont="1" applyFill="1" applyBorder="1" applyAlignment="1">
      <alignment horizontal="left" vertical="top" wrapText="1"/>
    </xf>
    <xf numFmtId="1" fontId="15" fillId="0" borderId="0" xfId="2" applyNumberFormat="1" applyFont="1" applyFill="1" applyBorder="1" applyAlignment="1">
      <alignment horizontal="center" vertical="center" wrapText="1"/>
    </xf>
    <xf numFmtId="0" fontId="15" fillId="0" borderId="0" xfId="6" applyFont="1" applyFill="1" applyBorder="1" applyAlignment="1">
      <alignment horizontal="left" vertical="top" wrapText="1"/>
    </xf>
    <xf numFmtId="4" fontId="15" fillId="0" borderId="0" xfId="6" applyNumberFormat="1" applyFont="1" applyFill="1" applyBorder="1" applyAlignment="1">
      <alignment wrapText="1"/>
    </xf>
    <xf numFmtId="0" fontId="13" fillId="0" borderId="0" xfId="0" applyFont="1" applyFill="1" applyAlignment="1">
      <alignment wrapText="1"/>
    </xf>
    <xf numFmtId="0" fontId="15" fillId="0" borderId="0" xfId="30" applyFont="1" applyFill="1" applyAlignment="1">
      <alignment horizontal="center" vertical="center" wrapText="1"/>
    </xf>
    <xf numFmtId="0" fontId="15" fillId="0" borderId="0" xfId="30" applyFont="1" applyFill="1" applyAlignment="1">
      <alignment horizontal="justify" vertical="top" wrapText="1"/>
    </xf>
    <xf numFmtId="0" fontId="15" fillId="0" borderId="0" xfId="0" applyFont="1" applyFill="1" applyAlignment="1">
      <alignment horizontal="center" vertical="top"/>
    </xf>
    <xf numFmtId="164" fontId="15" fillId="0" borderId="0" xfId="2" applyFont="1" applyFill="1" applyAlignment="1">
      <alignment horizontal="center" vertical="top" wrapText="1"/>
    </xf>
    <xf numFmtId="0" fontId="15" fillId="0" borderId="0" xfId="32" applyFont="1" applyFill="1" applyAlignment="1">
      <alignment horizontal="center" vertical="center"/>
    </xf>
    <xf numFmtId="0" fontId="15" fillId="0" borderId="0" xfId="32" applyFont="1" applyFill="1" applyAlignment="1">
      <alignment horizontal="justify" vertical="top"/>
    </xf>
    <xf numFmtId="164" fontId="15" fillId="0" borderId="0" xfId="2" applyFont="1" applyFill="1" applyAlignment="1">
      <alignment horizontal="center" vertical="top"/>
    </xf>
    <xf numFmtId="0" fontId="15" fillId="0" borderId="0" xfId="32" applyFont="1" applyFill="1" applyAlignment="1">
      <alignment horizontal="center" vertical="top"/>
    </xf>
    <xf numFmtId="164" fontId="15" fillId="0" borderId="0" xfId="33" applyFont="1" applyFill="1" applyAlignment="1">
      <alignment horizontal="center" vertical="top"/>
    </xf>
    <xf numFmtId="4" fontId="15" fillId="0" borderId="0" xfId="2" applyNumberFormat="1" applyFont="1" applyFill="1" applyAlignment="1">
      <alignment horizontal="right" vertical="top"/>
    </xf>
    <xf numFmtId="0" fontId="15" fillId="0" borderId="0" xfId="0" applyFont="1" applyFill="1" applyAlignment="1">
      <alignment horizontal="left"/>
    </xf>
    <xf numFmtId="0" fontId="33" fillId="0" borderId="0" xfId="0" applyFont="1" applyFill="1"/>
    <xf numFmtId="164" fontId="16" fillId="0" borderId="12" xfId="2" applyFont="1" applyFill="1" applyBorder="1" applyAlignment="1">
      <alignment horizontal="center" vertical="center" wrapText="1"/>
    </xf>
    <xf numFmtId="0" fontId="16" fillId="0" borderId="14" xfId="32" applyFont="1" applyFill="1" applyBorder="1" applyAlignment="1">
      <alignment horizontal="center" vertical="center" wrapText="1"/>
    </xf>
    <xf numFmtId="1" fontId="16" fillId="0" borderId="13" xfId="30" applyNumberFormat="1" applyFont="1" applyFill="1" applyBorder="1" applyAlignment="1">
      <alignment horizontal="center" vertical="top" wrapText="1"/>
    </xf>
    <xf numFmtId="0" fontId="15" fillId="0" borderId="13" xfId="32" applyFont="1" applyFill="1" applyBorder="1" applyAlignment="1">
      <alignment horizontal="left" vertical="top" wrapText="1"/>
    </xf>
    <xf numFmtId="165" fontId="15" fillId="0" borderId="0" xfId="2" applyNumberFormat="1" applyFont="1" applyFill="1" applyBorder="1" applyAlignment="1">
      <alignment horizontal="center" vertical="top" wrapText="1"/>
    </xf>
    <xf numFmtId="164" fontId="15" fillId="0" borderId="13" xfId="2" applyFont="1" applyFill="1" applyBorder="1" applyAlignment="1" applyProtection="1">
      <alignment horizontal="center" vertical="top" wrapText="1"/>
    </xf>
    <xf numFmtId="164" fontId="15" fillId="0" borderId="0" xfId="2" applyFont="1" applyFill="1" applyBorder="1" applyAlignment="1">
      <alignment horizontal="center" vertical="top" wrapText="1"/>
    </xf>
    <xf numFmtId="0" fontId="15" fillId="0" borderId="0" xfId="6" applyFont="1" applyFill="1" applyAlignment="1">
      <alignment horizontal="center" vertical="top" wrapText="1"/>
    </xf>
    <xf numFmtId="0" fontId="15" fillId="0" borderId="0" xfId="6" applyFont="1" applyFill="1" applyBorder="1" applyAlignment="1">
      <alignment vertical="top" wrapText="1"/>
    </xf>
    <xf numFmtId="0" fontId="15" fillId="0" borderId="0" xfId="6" applyFont="1" applyFill="1" applyAlignment="1">
      <alignment vertical="top" wrapText="1"/>
    </xf>
    <xf numFmtId="1" fontId="16" fillId="0" borderId="13" xfId="30" applyNumberFormat="1" applyFont="1" applyFill="1" applyBorder="1" applyAlignment="1">
      <alignment horizontal="center" vertical="center" wrapText="1"/>
    </xf>
    <xf numFmtId="0" fontId="16" fillId="0" borderId="13" xfId="32" applyFont="1" applyFill="1" applyBorder="1" applyAlignment="1">
      <alignment horizontal="left" vertical="center" wrapText="1"/>
    </xf>
    <xf numFmtId="43" fontId="15" fillId="0" borderId="24" xfId="31" applyNumberFormat="1" applyFont="1" applyFill="1" applyBorder="1" applyAlignment="1">
      <alignment horizontal="center" vertical="top" wrapText="1"/>
    </xf>
    <xf numFmtId="0" fontId="15" fillId="0" borderId="14" xfId="0" applyFont="1" applyFill="1" applyBorder="1" applyAlignment="1" applyProtection="1">
      <alignment horizontal="center" vertical="center" wrapText="1"/>
    </xf>
    <xf numFmtId="0" fontId="19" fillId="0" borderId="13" xfId="6" applyFont="1" applyFill="1" applyBorder="1" applyAlignment="1">
      <alignment horizontal="left" vertical="top" wrapText="1"/>
    </xf>
    <xf numFmtId="0" fontId="15" fillId="0" borderId="14" xfId="0" applyFont="1" applyFill="1" applyBorder="1" applyAlignment="1">
      <alignment horizontal="center" vertical="center" wrapText="1"/>
    </xf>
    <xf numFmtId="2" fontId="15" fillId="0" borderId="13" xfId="32" applyNumberFormat="1" applyFont="1" applyFill="1" applyBorder="1" applyAlignment="1">
      <alignment horizontal="center" vertical="center"/>
    </xf>
    <xf numFmtId="0" fontId="15" fillId="0" borderId="13" xfId="0" applyFont="1" applyFill="1" applyBorder="1"/>
    <xf numFmtId="1" fontId="15" fillId="0" borderId="13" xfId="2" applyNumberFormat="1" applyFont="1" applyFill="1" applyBorder="1" applyAlignment="1">
      <alignment horizontal="right" vertical="center"/>
    </xf>
    <xf numFmtId="164" fontId="16" fillId="0" borderId="24" xfId="2" applyFont="1" applyFill="1" applyBorder="1" applyAlignment="1">
      <alignment horizontal="center" vertical="center" wrapText="1"/>
    </xf>
    <xf numFmtId="4" fontId="16" fillId="0" borderId="13" xfId="2" applyNumberFormat="1" applyFont="1" applyFill="1" applyBorder="1" applyAlignment="1">
      <alignment horizontal="right" vertical="center" wrapText="1"/>
    </xf>
    <xf numFmtId="0" fontId="60" fillId="0" borderId="0" xfId="6" applyFont="1" applyFill="1" applyAlignment="1">
      <alignment vertical="center"/>
    </xf>
    <xf numFmtId="0" fontId="60" fillId="0" borderId="0" xfId="6" applyFont="1" applyFill="1" applyBorder="1" applyAlignment="1">
      <alignment vertical="center"/>
    </xf>
    <xf numFmtId="0" fontId="15" fillId="0" borderId="0" xfId="0" applyFont="1" applyFill="1" applyBorder="1" applyAlignment="1" applyProtection="1">
      <alignment horizontal="center" vertical="center"/>
    </xf>
    <xf numFmtId="0" fontId="15" fillId="0" borderId="24" xfId="6" applyFont="1" applyFill="1" applyBorder="1" applyAlignment="1">
      <alignment horizontal="left" vertical="top" wrapText="1"/>
    </xf>
    <xf numFmtId="165" fontId="15" fillId="0" borderId="13" xfId="30" applyNumberFormat="1" applyFont="1" applyFill="1" applyBorder="1" applyAlignment="1">
      <alignment horizontal="right" vertical="center" wrapText="1"/>
    </xf>
    <xf numFmtId="165" fontId="15" fillId="0" borderId="0" xfId="30" applyNumberFormat="1" applyFont="1" applyFill="1" applyBorder="1" applyAlignment="1">
      <alignment horizontal="right" vertical="center" wrapText="1"/>
    </xf>
    <xf numFmtId="164" fontId="15" fillId="0" borderId="24" xfId="2" applyFont="1" applyFill="1" applyBorder="1" applyAlignment="1">
      <alignment horizontal="center" vertical="center" wrapText="1"/>
    </xf>
    <xf numFmtId="0" fontId="15" fillId="0" borderId="24" xfId="0" applyFont="1" applyFill="1" applyBorder="1"/>
    <xf numFmtId="0" fontId="16" fillId="0" borderId="13" xfId="0" applyFont="1" applyFill="1" applyBorder="1" applyAlignment="1" applyProtection="1">
      <alignment horizontal="left" vertical="top"/>
    </xf>
    <xf numFmtId="165" fontId="33" fillId="0" borderId="0" xfId="2" applyNumberFormat="1" applyFont="1" applyFill="1" applyBorder="1" applyAlignment="1" applyProtection="1">
      <alignment horizontal="center" vertical="center"/>
    </xf>
    <xf numFmtId="0" fontId="33" fillId="0" borderId="13" xfId="18" applyFont="1" applyFill="1" applyBorder="1" applyAlignment="1" applyProtection="1">
      <alignment horizontal="center" vertical="center"/>
    </xf>
    <xf numFmtId="164" fontId="15" fillId="0" borderId="13" xfId="2" applyFont="1" applyFill="1" applyBorder="1" applyAlignment="1">
      <alignment vertical="center" wrapText="1"/>
    </xf>
    <xf numFmtId="43" fontId="15" fillId="0" borderId="13" xfId="31" applyNumberFormat="1" applyFont="1" applyFill="1" applyBorder="1" applyAlignment="1">
      <alignment vertical="center" wrapText="1"/>
    </xf>
    <xf numFmtId="164" fontId="15" fillId="0" borderId="0" xfId="2" applyFont="1" applyFill="1" applyBorder="1" applyAlignment="1">
      <alignment vertical="center" wrapText="1"/>
    </xf>
    <xf numFmtId="0" fontId="13" fillId="0" borderId="0" xfId="0" applyFont="1" applyFill="1" applyBorder="1" applyAlignment="1">
      <alignment vertical="center"/>
    </xf>
    <xf numFmtId="0" fontId="13" fillId="0" borderId="0" xfId="0" applyFont="1" applyFill="1" applyAlignment="1">
      <alignment vertical="center"/>
    </xf>
    <xf numFmtId="164" fontId="15" fillId="0" borderId="0" xfId="6" applyNumberFormat="1" applyFont="1" applyFill="1" applyAlignment="1">
      <alignment vertical="center"/>
    </xf>
    <xf numFmtId="2" fontId="15" fillId="0" borderId="0" xfId="30" applyNumberFormat="1" applyFont="1" applyFill="1" applyBorder="1" applyAlignment="1">
      <alignment vertical="center" wrapText="1"/>
    </xf>
    <xf numFmtId="0" fontId="15" fillId="0" borderId="13" xfId="6" applyFont="1" applyFill="1" applyBorder="1" applyAlignment="1">
      <alignment horizontal="center" wrapText="1"/>
    </xf>
    <xf numFmtId="165" fontId="15" fillId="0" borderId="13" xfId="0" applyNumberFormat="1" applyFont="1" applyFill="1" applyBorder="1" applyAlignment="1">
      <alignment horizontal="center" vertical="center"/>
    </xf>
    <xf numFmtId="43" fontId="15" fillId="0" borderId="24" xfId="31" applyNumberFormat="1" applyFont="1" applyFill="1" applyBorder="1" applyAlignment="1">
      <alignment vertical="center" wrapText="1"/>
    </xf>
    <xf numFmtId="0" fontId="15" fillId="0" borderId="0" xfId="0" applyFont="1" applyFill="1" applyBorder="1"/>
    <xf numFmtId="0" fontId="15" fillId="0" borderId="13" xfId="0" applyFont="1" applyFill="1" applyBorder="1" applyAlignment="1">
      <alignment vertical="center" wrapText="1"/>
    </xf>
    <xf numFmtId="0" fontId="15" fillId="0" borderId="0" xfId="0" applyFont="1" applyFill="1" applyAlignment="1">
      <alignment vertical="center"/>
    </xf>
    <xf numFmtId="0" fontId="15" fillId="0" borderId="0" xfId="0" applyFont="1" applyFill="1" applyBorder="1" applyAlignment="1">
      <alignment vertical="center"/>
    </xf>
    <xf numFmtId="0" fontId="15" fillId="0" borderId="13" xfId="0" applyFont="1" applyFill="1" applyBorder="1" applyAlignment="1">
      <alignment horizontal="justify" vertical="center" wrapText="1"/>
    </xf>
    <xf numFmtId="0" fontId="15" fillId="0" borderId="13" xfId="0" applyFont="1" applyFill="1" applyBorder="1" applyAlignment="1">
      <alignment horizontal="left" vertical="center" wrapText="1"/>
    </xf>
    <xf numFmtId="164" fontId="15" fillId="0" borderId="13" xfId="2" applyFont="1" applyFill="1" applyBorder="1" applyAlignment="1">
      <alignment horizontal="left" vertical="center" wrapText="1"/>
    </xf>
    <xf numFmtId="0" fontId="15" fillId="0" borderId="0" xfId="0" applyFont="1" applyFill="1" applyAlignment="1">
      <alignment horizontal="left" vertical="center"/>
    </xf>
    <xf numFmtId="164" fontId="15" fillId="0" borderId="13" xfId="2" applyFont="1" applyFill="1" applyBorder="1" applyAlignment="1">
      <alignment vertical="center"/>
    </xf>
    <xf numFmtId="165" fontId="15" fillId="0" borderId="13" xfId="0" applyNumberFormat="1" applyFont="1" applyFill="1" applyBorder="1" applyAlignment="1">
      <alignment vertical="center"/>
    </xf>
    <xf numFmtId="0" fontId="15" fillId="0" borderId="13" xfId="0" applyFont="1" applyFill="1" applyBorder="1" applyAlignment="1">
      <alignment vertical="center"/>
    </xf>
    <xf numFmtId="0" fontId="15" fillId="0" borderId="0" xfId="0" applyFont="1" applyFill="1" applyBorder="1" applyAlignment="1">
      <alignment horizontal="center" vertical="center" wrapText="1"/>
    </xf>
    <xf numFmtId="164" fontId="15" fillId="0" borderId="13" xfId="2" applyFont="1" applyFill="1" applyBorder="1"/>
    <xf numFmtId="0" fontId="15" fillId="0" borderId="13" xfId="6" applyFont="1" applyFill="1" applyBorder="1"/>
    <xf numFmtId="164" fontId="0" fillId="0" borderId="13" xfId="2" applyFont="1" applyFill="1" applyBorder="1" applyAlignment="1">
      <alignment horizontal="center" vertical="center"/>
    </xf>
    <xf numFmtId="0" fontId="66" fillId="0" borderId="0" xfId="0" applyFont="1" applyFill="1"/>
    <xf numFmtId="0" fontId="0" fillId="0" borderId="13" xfId="0" applyFont="1" applyFill="1" applyBorder="1" applyAlignment="1">
      <alignment horizontal="center" vertical="center"/>
    </xf>
    <xf numFmtId="2" fontId="15" fillId="0" borderId="13" xfId="30" applyNumberFormat="1" applyFont="1" applyFill="1" applyBorder="1" applyAlignment="1">
      <alignment horizontal="right" vertical="center" wrapText="1"/>
    </xf>
    <xf numFmtId="4" fontId="31" fillId="0" borderId="13" xfId="0" applyNumberFormat="1" applyFont="1" applyFill="1" applyBorder="1" applyAlignment="1">
      <alignment horizontal="center" vertical="center"/>
    </xf>
    <xf numFmtId="1" fontId="59" fillId="0" borderId="13" xfId="6" applyNumberFormat="1" applyFont="1" applyFill="1" applyBorder="1" applyAlignment="1">
      <alignment horizontal="center" vertical="center"/>
    </xf>
    <xf numFmtId="2" fontId="59" fillId="0" borderId="13" xfId="30" applyNumberFormat="1" applyFont="1" applyFill="1" applyBorder="1" applyAlignment="1">
      <alignment horizontal="right" vertical="center" wrapText="1"/>
    </xf>
    <xf numFmtId="164" fontId="67" fillId="0" borderId="13" xfId="2" applyFont="1" applyFill="1" applyBorder="1" applyAlignment="1">
      <alignment horizontal="center" vertical="center"/>
    </xf>
    <xf numFmtId="4" fontId="29" fillId="0" borderId="13" xfId="0" applyNumberFormat="1" applyFont="1" applyFill="1" applyBorder="1" applyAlignment="1">
      <alignment horizontal="center" vertical="center"/>
    </xf>
    <xf numFmtId="0" fontId="68" fillId="0" borderId="0" xfId="0" applyFont="1" applyFill="1"/>
    <xf numFmtId="1" fontId="25" fillId="0" borderId="12" xfId="6" applyNumberFormat="1" applyFont="1" applyFill="1" applyBorder="1" applyAlignment="1">
      <alignment horizontal="center" vertical="center"/>
    </xf>
    <xf numFmtId="0" fontId="26" fillId="0" borderId="26" xfId="0" applyFont="1" applyFill="1" applyBorder="1" applyAlignment="1">
      <alignment horizontal="center" vertical="center"/>
    </xf>
    <xf numFmtId="0" fontId="26" fillId="0" borderId="12" xfId="0" applyFont="1" applyFill="1" applyBorder="1" applyAlignment="1" applyProtection="1">
      <alignment horizontal="center" vertical="center" wrapText="1"/>
    </xf>
    <xf numFmtId="164" fontId="26" fillId="0" borderId="12" xfId="2" applyFont="1" applyFill="1" applyBorder="1" applyAlignment="1" applyProtection="1">
      <alignment horizontal="right" vertical="center"/>
      <protection locked="0"/>
    </xf>
    <xf numFmtId="43" fontId="25" fillId="0" borderId="42" xfId="31" applyNumberFormat="1" applyFont="1" applyFill="1" applyBorder="1" applyAlignment="1">
      <alignment horizontal="center" vertical="center" wrapText="1"/>
    </xf>
    <xf numFmtId="0" fontId="25" fillId="0" borderId="0" xfId="6" applyFont="1" applyFill="1"/>
    <xf numFmtId="164" fontId="25" fillId="0" borderId="0" xfId="6" applyNumberFormat="1" applyFont="1" applyFill="1"/>
    <xf numFmtId="2" fontId="25" fillId="0" borderId="0" xfId="30" applyNumberFormat="1" applyFont="1" applyFill="1" applyBorder="1" applyAlignment="1">
      <alignment horizontal="center" wrapText="1"/>
    </xf>
    <xf numFmtId="0" fontId="26" fillId="0" borderId="0" xfId="0" applyFont="1" applyFill="1" applyBorder="1" applyAlignment="1">
      <alignment horizontal="center" vertical="center"/>
    </xf>
    <xf numFmtId="0" fontId="26" fillId="0" borderId="0" xfId="0" applyFont="1" applyFill="1" applyBorder="1" applyAlignment="1" applyProtection="1">
      <alignment horizontal="center" vertical="center" wrapText="1"/>
    </xf>
    <xf numFmtId="164" fontId="26" fillId="0" borderId="0" xfId="2" applyFont="1" applyFill="1" applyBorder="1" applyAlignment="1" applyProtection="1">
      <alignment horizontal="right" vertical="center"/>
      <protection locked="0"/>
    </xf>
    <xf numFmtId="43" fontId="25" fillId="0" borderId="0" xfId="31" applyNumberFormat="1" applyFont="1" applyFill="1" applyBorder="1" applyAlignment="1">
      <alignment horizontal="center" vertical="center" wrapText="1"/>
    </xf>
    <xf numFmtId="0" fontId="26" fillId="0" borderId="0" xfId="0" applyFont="1" applyFill="1" applyBorder="1" applyAlignment="1">
      <alignment horizontal="left" vertical="center" wrapText="1"/>
    </xf>
    <xf numFmtId="2" fontId="15" fillId="0" borderId="0" xfId="0" applyNumberFormat="1" applyFont="1" applyFill="1" applyBorder="1" applyAlignment="1">
      <alignment horizontal="center"/>
    </xf>
    <xf numFmtId="164" fontId="59" fillId="0" borderId="0" xfId="2" applyFont="1" applyFill="1" applyBorder="1"/>
    <xf numFmtId="0" fontId="16" fillId="0" borderId="0" xfId="6" applyFont="1" applyFill="1" applyBorder="1" applyAlignment="1">
      <alignment horizontal="left" vertical="center" wrapText="1"/>
    </xf>
    <xf numFmtId="0" fontId="16" fillId="0" borderId="0" xfId="0" applyFont="1" applyFill="1" applyBorder="1"/>
    <xf numFmtId="0" fontId="16" fillId="0" borderId="0" xfId="6" applyFont="1" applyBorder="1" applyAlignment="1">
      <alignment horizontal="left" vertical="top" wrapText="1"/>
    </xf>
    <xf numFmtId="0" fontId="16" fillId="0" borderId="0" xfId="0" applyFont="1" applyFill="1" applyBorder="1" applyAlignment="1">
      <alignment vertical="top" wrapText="1"/>
    </xf>
    <xf numFmtId="164" fontId="16" fillId="0" borderId="0" xfId="2" applyFont="1" applyFill="1" applyBorder="1" applyAlignment="1">
      <alignment vertical="center" wrapText="1"/>
    </xf>
    <xf numFmtId="0" fontId="16" fillId="0" borderId="0" xfId="0" applyFont="1" applyFill="1" applyBorder="1" applyAlignment="1">
      <alignment horizontal="justify" vertical="center"/>
    </xf>
    <xf numFmtId="164" fontId="16" fillId="0" borderId="0" xfId="2" applyFont="1" applyFill="1" applyBorder="1" applyAlignment="1">
      <alignment vertical="top" wrapText="1"/>
    </xf>
    <xf numFmtId="0" fontId="15" fillId="0" borderId="0" xfId="0" applyFont="1" applyFill="1" applyBorder="1" applyAlignment="1">
      <alignment vertical="top" wrapText="1"/>
    </xf>
    <xf numFmtId="2" fontId="15" fillId="0" borderId="0" xfId="0" applyNumberFormat="1" applyFont="1" applyFill="1" applyAlignment="1">
      <alignment horizontal="center"/>
    </xf>
    <xf numFmtId="164" fontId="15" fillId="0" borderId="0" xfId="2" applyFont="1" applyFill="1"/>
    <xf numFmtId="4" fontId="15" fillId="0" borderId="0" xfId="2" applyNumberFormat="1" applyFont="1" applyFill="1" applyBorder="1" applyAlignment="1">
      <alignment horizontal="right" vertical="center" wrapText="1"/>
    </xf>
    <xf numFmtId="0" fontId="16" fillId="0" borderId="14" xfId="32" applyFont="1" applyFill="1" applyBorder="1" applyAlignment="1">
      <alignment horizontal="left" vertical="center" wrapText="1"/>
    </xf>
    <xf numFmtId="0" fontId="15" fillId="0" borderId="0" xfId="32" applyFont="1" applyFill="1" applyBorder="1" applyAlignment="1">
      <alignment horizontal="left" vertical="top" wrapText="1"/>
    </xf>
    <xf numFmtId="0" fontId="59" fillId="0" borderId="0" xfId="0" applyFont="1" applyFill="1"/>
    <xf numFmtId="165" fontId="16" fillId="0" borderId="68" xfId="2" applyNumberFormat="1" applyFont="1" applyFill="1" applyBorder="1" applyAlignment="1">
      <alignment horizontal="center" vertical="center" wrapText="1"/>
    </xf>
    <xf numFmtId="164" fontId="16" fillId="0" borderId="68" xfId="33" applyFont="1" applyFill="1" applyBorder="1" applyAlignment="1">
      <alignment horizontal="center" vertical="center" wrapText="1"/>
    </xf>
    <xf numFmtId="165" fontId="16" fillId="0" borderId="0" xfId="2" applyNumberFormat="1" applyFont="1" applyFill="1" applyBorder="1" applyAlignment="1">
      <alignment horizontal="center" vertical="center" wrapText="1"/>
    </xf>
    <xf numFmtId="164" fontId="16" fillId="0" borderId="0" xfId="33" applyFont="1" applyFill="1" applyBorder="1" applyAlignment="1">
      <alignment horizontal="center" vertical="center" wrapText="1"/>
    </xf>
    <xf numFmtId="0" fontId="19" fillId="0" borderId="13" xfId="0" applyFont="1" applyFill="1" applyBorder="1" applyAlignment="1">
      <alignment vertical="center"/>
    </xf>
    <xf numFmtId="0" fontId="25" fillId="0" borderId="13" xfId="0" applyFont="1" applyFill="1" applyBorder="1" applyAlignment="1">
      <alignment vertical="center"/>
    </xf>
    <xf numFmtId="0" fontId="25" fillId="0" borderId="13" xfId="0" applyFont="1" applyFill="1" applyBorder="1" applyAlignment="1">
      <alignment horizontal="justify" vertical="center" wrapText="1"/>
    </xf>
    <xf numFmtId="0" fontId="25" fillId="0" borderId="13" xfId="0" applyFont="1" applyFill="1" applyBorder="1" applyAlignment="1">
      <alignment horizontal="left" vertical="center" wrapText="1"/>
    </xf>
    <xf numFmtId="0" fontId="25" fillId="0" borderId="13" xfId="0" applyFont="1" applyFill="1" applyBorder="1" applyAlignment="1">
      <alignment horizontal="justify" vertical="center"/>
    </xf>
    <xf numFmtId="0" fontId="26" fillId="0" borderId="13" xfId="0" applyFont="1" applyFill="1" applyBorder="1" applyAlignment="1">
      <alignment vertical="center"/>
    </xf>
    <xf numFmtId="0" fontId="71" fillId="0" borderId="13" xfId="0" applyFont="1" applyFill="1" applyBorder="1" applyAlignment="1">
      <alignment vertical="center"/>
    </xf>
    <xf numFmtId="0" fontId="25" fillId="0" borderId="13" xfId="0" applyFont="1" applyFill="1" applyBorder="1" applyAlignment="1">
      <alignment horizontal="left" vertical="center"/>
    </xf>
    <xf numFmtId="0" fontId="16" fillId="0" borderId="33" xfId="32" applyFont="1" applyFill="1" applyBorder="1" applyAlignment="1">
      <alignment horizontal="center" vertical="center" wrapText="1"/>
    </xf>
    <xf numFmtId="165" fontId="16" fillId="0" borderId="83" xfId="2" applyNumberFormat="1" applyFont="1" applyFill="1" applyBorder="1" applyAlignment="1">
      <alignment horizontal="center" vertical="center" wrapText="1"/>
    </xf>
    <xf numFmtId="164" fontId="16" fillId="0" borderId="83" xfId="33" applyFont="1" applyFill="1" applyBorder="1" applyAlignment="1">
      <alignment horizontal="center" vertical="center" wrapText="1"/>
    </xf>
    <xf numFmtId="4" fontId="16" fillId="0" borderId="33" xfId="2" applyNumberFormat="1" applyFont="1" applyFill="1" applyBorder="1" applyAlignment="1">
      <alignment horizontal="center" vertical="center" wrapText="1"/>
    </xf>
    <xf numFmtId="164" fontId="25" fillId="0" borderId="0" xfId="2" applyFont="1" applyFill="1" applyBorder="1" applyAlignment="1">
      <alignment vertical="center" wrapText="1"/>
    </xf>
    <xf numFmtId="0" fontId="25" fillId="0" borderId="0" xfId="0" applyFont="1" applyFill="1" applyBorder="1" applyAlignment="1">
      <alignment vertical="center"/>
    </xf>
    <xf numFmtId="0" fontId="25" fillId="0" borderId="0" xfId="0" applyFont="1" applyFill="1" applyAlignment="1">
      <alignment vertical="center"/>
    </xf>
    <xf numFmtId="164" fontId="25" fillId="0" borderId="0" xfId="6" applyNumberFormat="1" applyFont="1" applyFill="1" applyAlignment="1">
      <alignment vertical="center"/>
    </xf>
    <xf numFmtId="2" fontId="25" fillId="0" borderId="0" xfId="30" applyNumberFormat="1" applyFont="1" applyFill="1" applyBorder="1" applyAlignment="1">
      <alignment vertical="center" wrapText="1"/>
    </xf>
    <xf numFmtId="0" fontId="25" fillId="0" borderId="0" xfId="6" applyFont="1" applyFill="1" applyAlignment="1">
      <alignment vertical="center"/>
    </xf>
    <xf numFmtId="0" fontId="15" fillId="0" borderId="13" xfId="6" applyFont="1" applyFill="1" applyBorder="1" applyAlignment="1">
      <alignment wrapText="1"/>
    </xf>
    <xf numFmtId="165" fontId="15" fillId="0" borderId="0" xfId="0" applyNumberFormat="1" applyFont="1" applyFill="1" applyBorder="1" applyAlignment="1">
      <alignment horizontal="center" vertical="center"/>
    </xf>
    <xf numFmtId="0" fontId="25" fillId="0" borderId="13" xfId="0" applyFont="1" applyFill="1" applyBorder="1" applyAlignment="1">
      <alignment horizontal="center" vertical="center" wrapText="1"/>
    </xf>
    <xf numFmtId="0" fontId="25" fillId="0" borderId="13" xfId="6" applyFont="1" applyFill="1" applyBorder="1" applyAlignment="1">
      <alignment horizontal="left" vertical="top" wrapText="1"/>
    </xf>
    <xf numFmtId="4" fontId="25" fillId="0" borderId="13" xfId="0" applyNumberFormat="1" applyFont="1" applyFill="1" applyBorder="1" applyAlignment="1">
      <alignment horizontal="center" vertical="center" wrapText="1"/>
    </xf>
    <xf numFmtId="0" fontId="25" fillId="0" borderId="0" xfId="0" applyFont="1" applyFill="1"/>
    <xf numFmtId="0" fontId="25" fillId="0" borderId="0" xfId="0" applyFont="1" applyFill="1" applyBorder="1"/>
    <xf numFmtId="0" fontId="15" fillId="0" borderId="14" xfId="0" applyFont="1" applyFill="1" applyBorder="1" applyAlignment="1" applyProtection="1">
      <alignment horizontal="center" vertical="center"/>
    </xf>
    <xf numFmtId="0" fontId="25" fillId="0" borderId="33" xfId="0" applyFont="1" applyFill="1" applyBorder="1" applyAlignment="1">
      <alignment horizontal="center" vertical="center" wrapText="1"/>
    </xf>
    <xf numFmtId="165" fontId="15" fillId="0" borderId="83" xfId="30" applyNumberFormat="1" applyFont="1" applyFill="1" applyBorder="1" applyAlignment="1">
      <alignment horizontal="center" vertical="center" wrapText="1"/>
    </xf>
    <xf numFmtId="164" fontId="15" fillId="0" borderId="33" xfId="2" applyFont="1" applyFill="1" applyBorder="1" applyAlignment="1">
      <alignment horizontal="center" vertical="center" wrapText="1"/>
    </xf>
    <xf numFmtId="43" fontId="15" fillId="0" borderId="33" xfId="31" applyNumberFormat="1" applyFont="1" applyFill="1" applyBorder="1" applyAlignment="1">
      <alignment horizontal="center" vertical="center" wrapText="1"/>
    </xf>
    <xf numFmtId="0" fontId="25" fillId="0" borderId="32" xfId="0" applyFont="1" applyFill="1" applyBorder="1" applyAlignment="1">
      <alignment horizontal="center" vertical="center" wrapText="1"/>
    </xf>
    <xf numFmtId="165" fontId="15" fillId="0" borderId="32" xfId="0" applyNumberFormat="1" applyFont="1" applyFill="1" applyBorder="1" applyAlignment="1">
      <alignment horizontal="center" vertical="center"/>
    </xf>
    <xf numFmtId="0" fontId="25" fillId="0" borderId="32" xfId="0" applyFont="1" applyFill="1" applyBorder="1" applyAlignment="1" applyProtection="1">
      <alignment horizontal="center" vertical="center" wrapText="1"/>
    </xf>
    <xf numFmtId="4" fontId="25" fillId="0" borderId="32" xfId="0" applyNumberFormat="1" applyFont="1" applyFill="1" applyBorder="1" applyAlignment="1">
      <alignment horizontal="center" vertical="center" wrapText="1"/>
    </xf>
    <xf numFmtId="0" fontId="25" fillId="0" borderId="13" xfId="0" applyFont="1" applyFill="1" applyBorder="1" applyAlignment="1" applyProtection="1">
      <alignment horizontal="center" vertical="center" wrapText="1"/>
    </xf>
    <xf numFmtId="164" fontId="25" fillId="0" borderId="0" xfId="2" applyFont="1" applyFill="1" applyBorder="1" applyAlignment="1">
      <alignment horizontal="center" vertical="top" wrapText="1"/>
    </xf>
    <xf numFmtId="164" fontId="25" fillId="0" borderId="0" xfId="30" applyNumberFormat="1" applyFont="1" applyFill="1" applyBorder="1" applyAlignment="1">
      <alignment horizontal="center" vertical="center" wrapText="1"/>
    </xf>
    <xf numFmtId="0" fontId="25" fillId="0" borderId="0" xfId="0" applyFont="1" applyFill="1" applyBorder="1" applyAlignment="1" applyProtection="1">
      <alignment horizontal="center" vertical="center" wrapText="1"/>
    </xf>
    <xf numFmtId="0" fontId="25" fillId="0" borderId="0" xfId="6" applyFont="1" applyFill="1" applyAlignment="1">
      <alignment horizontal="center" vertical="center" wrapText="1"/>
    </xf>
    <xf numFmtId="0" fontId="25" fillId="0" borderId="0" xfId="6" applyFont="1" applyFill="1" applyAlignment="1">
      <alignment wrapText="1"/>
    </xf>
    <xf numFmtId="164" fontId="25" fillId="0" borderId="0" xfId="6" applyNumberFormat="1" applyFont="1" applyFill="1" applyAlignment="1">
      <alignment wrapText="1"/>
    </xf>
    <xf numFmtId="0" fontId="25" fillId="0" borderId="13" xfId="0" applyFont="1" applyFill="1" applyBorder="1" applyAlignment="1">
      <alignment vertical="center" wrapText="1"/>
    </xf>
    <xf numFmtId="164" fontId="25" fillId="0" borderId="13" xfId="2" applyFont="1" applyFill="1" applyBorder="1" applyAlignment="1">
      <alignment vertical="center"/>
    </xf>
    <xf numFmtId="164" fontId="25" fillId="0" borderId="13" xfId="2" applyFont="1" applyFill="1" applyBorder="1" applyAlignment="1">
      <alignment horizontal="center" vertical="center" wrapText="1"/>
    </xf>
    <xf numFmtId="43" fontId="25" fillId="0" borderId="13" xfId="31" applyNumberFormat="1" applyFont="1" applyFill="1" applyBorder="1" applyAlignment="1">
      <alignment horizontal="center" vertical="top" wrapText="1"/>
    </xf>
    <xf numFmtId="165" fontId="15" fillId="0" borderId="24" xfId="30" applyNumberFormat="1" applyFont="1" applyFill="1" applyBorder="1" applyAlignment="1">
      <alignment horizontal="center" vertical="center" wrapText="1"/>
    </xf>
    <xf numFmtId="0" fontId="25" fillId="0" borderId="13" xfId="0" applyFont="1" applyFill="1" applyBorder="1" applyAlignment="1" applyProtection="1">
      <alignment horizontal="center" vertical="center"/>
    </xf>
    <xf numFmtId="164" fontId="25" fillId="0" borderId="13" xfId="2" applyFont="1" applyFill="1" applyBorder="1" applyAlignment="1">
      <alignment vertical="center" wrapText="1"/>
    </xf>
    <xf numFmtId="43" fontId="25" fillId="0" borderId="13" xfId="31" applyNumberFormat="1" applyFont="1" applyFill="1" applyBorder="1" applyAlignment="1">
      <alignment vertical="center" wrapText="1"/>
    </xf>
    <xf numFmtId="43" fontId="25" fillId="0" borderId="0" xfId="31" applyNumberFormat="1" applyFont="1" applyFill="1" applyBorder="1" applyAlignment="1">
      <alignment vertical="center" wrapText="1"/>
    </xf>
    <xf numFmtId="164" fontId="25" fillId="0" borderId="0" xfId="2" applyFont="1" applyFill="1" applyBorder="1" applyAlignment="1">
      <alignment vertical="center"/>
    </xf>
    <xf numFmtId="165" fontId="15" fillId="0" borderId="0" xfId="2" applyNumberFormat="1" applyFont="1" applyFill="1" applyBorder="1" applyAlignment="1">
      <alignment horizontal="center" vertical="center"/>
    </xf>
    <xf numFmtId="0" fontId="25" fillId="0" borderId="13" xfId="32" applyFont="1" applyFill="1" applyBorder="1" applyAlignment="1">
      <alignment horizontal="center" vertical="center"/>
    </xf>
    <xf numFmtId="164" fontId="25" fillId="0" borderId="0" xfId="2" applyFont="1" applyFill="1" applyBorder="1" applyAlignment="1">
      <alignment horizontal="left" vertical="center" wrapText="1"/>
    </xf>
    <xf numFmtId="3" fontId="25" fillId="0" borderId="13" xfId="6" applyNumberFormat="1" applyFont="1" applyFill="1" applyBorder="1" applyAlignment="1">
      <alignment horizontal="center" vertical="center"/>
    </xf>
    <xf numFmtId="176" fontId="25" fillId="0" borderId="13" xfId="36" applyFont="1" applyFill="1" applyBorder="1" applyAlignment="1" applyProtection="1">
      <alignment horizontal="left" vertical="center"/>
    </xf>
    <xf numFmtId="43" fontId="25" fillId="0" borderId="24" xfId="31" applyNumberFormat="1" applyFont="1" applyFill="1" applyBorder="1" applyAlignment="1">
      <alignment vertical="center" wrapText="1"/>
    </xf>
    <xf numFmtId="0" fontId="16" fillId="0" borderId="12" xfId="0" applyFont="1" applyFill="1" applyBorder="1" applyAlignment="1">
      <alignment horizontal="center" vertical="center"/>
    </xf>
    <xf numFmtId="165" fontId="15" fillId="0" borderId="68" xfId="2" applyNumberFormat="1" applyFont="1" applyFill="1" applyBorder="1" applyAlignment="1" applyProtection="1">
      <alignment horizontal="center" vertical="center" wrapText="1"/>
    </xf>
    <xf numFmtId="0" fontId="16" fillId="0" borderId="12" xfId="0" applyFont="1" applyFill="1" applyBorder="1" applyAlignment="1" applyProtection="1">
      <alignment horizontal="center" vertical="center" wrapText="1"/>
    </xf>
    <xf numFmtId="164" fontId="16" fillId="0" borderId="68" xfId="2" applyNumberFormat="1" applyFont="1" applyFill="1" applyBorder="1" applyAlignment="1" applyProtection="1">
      <alignment horizontal="right" vertical="center"/>
      <protection locked="0"/>
    </xf>
    <xf numFmtId="0" fontId="25" fillId="0" borderId="0" xfId="0" applyFont="1" applyFill="1" applyBorder="1" applyAlignment="1">
      <alignment horizontal="left" vertical="center" wrapText="1"/>
    </xf>
    <xf numFmtId="0" fontId="25" fillId="0" borderId="0" xfId="0" applyFont="1" applyFill="1" applyBorder="1" applyAlignment="1">
      <alignment horizontal="left" vertical="center"/>
    </xf>
    <xf numFmtId="1" fontId="15" fillId="0" borderId="0" xfId="0" applyNumberFormat="1" applyFont="1" applyFill="1" applyAlignment="1">
      <alignment horizontal="center"/>
    </xf>
    <xf numFmtId="165" fontId="15" fillId="0" borderId="0" xfId="0" applyNumberFormat="1" applyFont="1" applyFill="1" applyBorder="1" applyAlignment="1">
      <alignment horizontal="center"/>
    </xf>
    <xf numFmtId="0" fontId="16" fillId="0" borderId="0" xfId="0" applyFont="1" applyFill="1" applyBorder="1" applyAlignment="1">
      <alignment horizontal="left" vertical="top" wrapText="1"/>
    </xf>
    <xf numFmtId="0" fontId="15" fillId="0" borderId="0" xfId="0" applyFont="1" applyFill="1" applyBorder="1" applyAlignment="1">
      <alignment horizontal="justify" vertical="center"/>
    </xf>
    <xf numFmtId="165" fontId="15" fillId="0" borderId="0" xfId="0" applyNumberFormat="1" applyFont="1" applyFill="1" applyAlignment="1">
      <alignment horizontal="center"/>
    </xf>
    <xf numFmtId="0" fontId="69" fillId="0" borderId="0" xfId="0" applyFont="1" applyFill="1" applyAlignment="1">
      <alignment horizontal="right"/>
    </xf>
    <xf numFmtId="4" fontId="69" fillId="0" borderId="0" xfId="2" applyNumberFormat="1" applyFont="1" applyFill="1" applyBorder="1" applyAlignment="1">
      <alignment horizontal="right" vertical="top" wrapText="1"/>
    </xf>
    <xf numFmtId="1" fontId="18" fillId="0" borderId="77" xfId="15" applyNumberFormat="1" applyFont="1" applyBorder="1" applyAlignment="1">
      <alignment vertical="center"/>
    </xf>
    <xf numFmtId="1" fontId="18" fillId="0" borderId="76" xfId="15" applyNumberFormat="1" applyFont="1" applyBorder="1" applyAlignment="1">
      <alignment vertical="center"/>
    </xf>
    <xf numFmtId="165" fontId="15" fillId="0" borderId="76" xfId="15" applyNumberFormat="1" applyFont="1" applyFill="1" applyBorder="1" applyAlignment="1">
      <alignment horizontal="left"/>
    </xf>
    <xf numFmtId="2" fontId="15" fillId="0" borderId="76" xfId="15" applyNumberFormat="1" applyFont="1" applyFill="1" applyBorder="1" applyAlignment="1">
      <alignment horizontal="left"/>
    </xf>
    <xf numFmtId="0" fontId="15" fillId="0" borderId="76" xfId="15" applyFont="1" applyFill="1" applyBorder="1" applyAlignment="1">
      <alignment horizontal="left" vertical="center"/>
    </xf>
    <xf numFmtId="0" fontId="15" fillId="0" borderId="41" xfId="15" applyFont="1" applyFill="1" applyBorder="1" applyAlignment="1">
      <alignment horizontal="left"/>
    </xf>
    <xf numFmtId="1" fontId="18" fillId="0" borderId="14" xfId="15" applyNumberFormat="1" applyFont="1" applyBorder="1" applyAlignment="1">
      <alignment vertical="center"/>
    </xf>
    <xf numFmtId="1" fontId="18" fillId="0" borderId="0" xfId="15" applyNumberFormat="1" applyFont="1" applyFill="1" applyBorder="1" applyAlignment="1">
      <alignment vertical="center"/>
    </xf>
    <xf numFmtId="165" fontId="15" fillId="0" borderId="0" xfId="15" applyNumberFormat="1" applyFont="1" applyFill="1" applyBorder="1" applyAlignment="1">
      <alignment horizontal="left"/>
    </xf>
    <xf numFmtId="2" fontId="15" fillId="0" borderId="0" xfId="15" applyNumberFormat="1" applyFont="1" applyFill="1" applyBorder="1" applyAlignment="1"/>
    <xf numFmtId="0" fontId="15" fillId="0" borderId="24" xfId="15" applyFont="1" applyFill="1" applyBorder="1" applyAlignment="1">
      <alignment horizontal="left"/>
    </xf>
    <xf numFmtId="1" fontId="18" fillId="0" borderId="14" xfId="15" applyNumberFormat="1" applyFont="1" applyFill="1" applyBorder="1" applyAlignment="1">
      <alignment horizontal="left" vertical="center"/>
    </xf>
    <xf numFmtId="2" fontId="15" fillId="0" borderId="0" xfId="15" applyNumberFormat="1" applyFont="1" applyFill="1" applyBorder="1" applyAlignment="1">
      <alignment horizontal="left"/>
    </xf>
    <xf numFmtId="0" fontId="15" fillId="0" borderId="0" xfId="15" applyFont="1" applyFill="1" applyBorder="1" applyAlignment="1">
      <alignment horizontal="left" vertical="center"/>
    </xf>
    <xf numFmtId="1" fontId="16" fillId="0" borderId="33" xfId="15" applyNumberFormat="1" applyFont="1" applyFill="1" applyBorder="1" applyAlignment="1">
      <alignment horizontal="center" vertical="top" wrapText="1"/>
    </xf>
    <xf numFmtId="0" fontId="15" fillId="0" borderId="83" xfId="15" applyFont="1" applyFill="1" applyBorder="1" applyAlignment="1">
      <alignment vertical="top" wrapText="1"/>
    </xf>
    <xf numFmtId="165" fontId="15" fillId="0" borderId="33" xfId="2" applyNumberFormat="1" applyFont="1" applyFill="1" applyBorder="1" applyAlignment="1">
      <alignment horizontal="center" vertical="center" wrapText="1"/>
    </xf>
    <xf numFmtId="1" fontId="16" fillId="0" borderId="32" xfId="15" applyNumberFormat="1" applyFont="1" applyFill="1" applyBorder="1" applyAlignment="1">
      <alignment horizontal="center" vertical="top" wrapText="1"/>
    </xf>
    <xf numFmtId="0" fontId="15" fillId="0" borderId="76" xfId="15" applyFont="1" applyFill="1" applyBorder="1" applyAlignment="1">
      <alignment vertical="top" wrapText="1"/>
    </xf>
    <xf numFmtId="165" fontId="15" fillId="0" borderId="32" xfId="2" applyNumberFormat="1" applyFont="1" applyFill="1" applyBorder="1" applyAlignment="1">
      <alignment horizontal="center" vertical="center" wrapText="1"/>
    </xf>
    <xf numFmtId="164" fontId="15" fillId="0" borderId="32" xfId="2" applyFont="1" applyFill="1" applyBorder="1" applyAlignment="1">
      <alignment horizontal="center" vertical="center" wrapText="1"/>
    </xf>
    <xf numFmtId="43" fontId="15" fillId="0" borderId="32" xfId="31" applyNumberFormat="1" applyFont="1" applyFill="1" applyBorder="1" applyAlignment="1">
      <alignment horizontal="center" vertical="center" wrapText="1"/>
    </xf>
    <xf numFmtId="1" fontId="15" fillId="0" borderId="33" xfId="15" applyNumberFormat="1" applyFont="1" applyFill="1" applyBorder="1" applyAlignment="1">
      <alignment horizontal="center" wrapText="1"/>
    </xf>
    <xf numFmtId="0" fontId="16" fillId="0" borderId="83" xfId="15" applyFont="1" applyFill="1" applyBorder="1" applyAlignment="1">
      <alignment vertical="center" wrapText="1"/>
    </xf>
    <xf numFmtId="165" fontId="15" fillId="0" borderId="33" xfId="30" applyNumberFormat="1" applyFont="1" applyFill="1" applyBorder="1" applyAlignment="1">
      <alignment horizontal="center" vertical="center" wrapText="1"/>
    </xf>
    <xf numFmtId="0" fontId="15" fillId="0" borderId="33" xfId="15" applyFont="1" applyFill="1" applyBorder="1" applyAlignment="1" applyProtection="1">
      <alignment horizontal="center" vertical="center" wrapText="1"/>
    </xf>
    <xf numFmtId="1" fontId="15" fillId="0" borderId="32" xfId="15" applyNumberFormat="1" applyFont="1" applyFill="1" applyBorder="1" applyAlignment="1">
      <alignment horizontal="center" wrapText="1"/>
    </xf>
    <xf numFmtId="0" fontId="16" fillId="0" borderId="76" xfId="15" applyFont="1" applyFill="1" applyBorder="1" applyAlignment="1">
      <alignment vertical="center" wrapText="1"/>
    </xf>
    <xf numFmtId="165" fontId="15" fillId="0" borderId="32" xfId="30" applyNumberFormat="1" applyFont="1" applyFill="1" applyBorder="1" applyAlignment="1">
      <alignment horizontal="center" vertical="center" wrapText="1"/>
    </xf>
    <xf numFmtId="0" fontId="15" fillId="0" borderId="32" xfId="15" applyFont="1" applyFill="1" applyBorder="1" applyAlignment="1" applyProtection="1">
      <alignment horizontal="center" vertical="center" wrapText="1"/>
    </xf>
    <xf numFmtId="1" fontId="15" fillId="0" borderId="33" xfId="30" applyNumberFormat="1" applyFont="1" applyFill="1" applyBorder="1" applyAlignment="1">
      <alignment horizontal="center" vertical="center" wrapText="1"/>
    </xf>
    <xf numFmtId="0" fontId="15" fillId="0" borderId="82" xfId="6" applyFont="1" applyFill="1" applyBorder="1" applyAlignment="1">
      <alignment horizontal="left" vertical="center" wrapText="1"/>
    </xf>
    <xf numFmtId="1" fontId="15" fillId="0" borderId="32" xfId="30" applyNumberFormat="1" applyFont="1" applyFill="1" applyBorder="1" applyAlignment="1">
      <alignment horizontal="center" vertical="center" wrapText="1"/>
    </xf>
    <xf numFmtId="0" fontId="15" fillId="0" borderId="77" xfId="6" applyFont="1" applyFill="1" applyBorder="1" applyAlignment="1">
      <alignment horizontal="left" vertical="center" wrapText="1"/>
    </xf>
    <xf numFmtId="1" fontId="15" fillId="0" borderId="33" xfId="6" applyNumberFormat="1" applyFont="1" applyFill="1" applyBorder="1" applyAlignment="1">
      <alignment horizontal="center" vertical="center"/>
    </xf>
    <xf numFmtId="0" fontId="15" fillId="0" borderId="82" xfId="15" applyFont="1" applyFill="1" applyBorder="1" applyAlignment="1">
      <alignment vertical="center" wrapText="1"/>
    </xf>
    <xf numFmtId="1" fontId="15" fillId="0" borderId="32" xfId="6" applyNumberFormat="1" applyFont="1" applyFill="1" applyBorder="1" applyAlignment="1">
      <alignment horizontal="center" vertical="center"/>
    </xf>
    <xf numFmtId="0" fontId="16" fillId="0" borderId="77" xfId="30" applyFont="1" applyFill="1" applyBorder="1" applyAlignment="1">
      <alignment horizontal="left" vertical="top" wrapText="1"/>
    </xf>
    <xf numFmtId="0" fontId="15" fillId="0" borderId="82" xfId="15" applyFont="1" applyFill="1" applyBorder="1"/>
    <xf numFmtId="0" fontId="15" fillId="0" borderId="77" xfId="15" applyFont="1" applyFill="1" applyBorder="1"/>
    <xf numFmtId="0" fontId="15" fillId="0" borderId="82" xfId="30" applyFont="1" applyFill="1" applyBorder="1" applyAlignment="1">
      <alignment vertical="center" wrapText="1"/>
    </xf>
    <xf numFmtId="0" fontId="19" fillId="0" borderId="77" xfId="30" applyFont="1" applyFill="1" applyBorder="1" applyAlignment="1">
      <alignment horizontal="left" vertical="center" wrapText="1"/>
    </xf>
    <xf numFmtId="0" fontId="15" fillId="0" borderId="77" xfId="30" applyFont="1" applyFill="1" applyBorder="1" applyAlignment="1">
      <alignment horizontal="left" vertical="top" wrapText="1"/>
    </xf>
    <xf numFmtId="0" fontId="59" fillId="0" borderId="82" xfId="30" applyFont="1" applyFill="1" applyBorder="1" applyAlignment="1">
      <alignment horizontal="left" vertical="top" wrapText="1"/>
    </xf>
    <xf numFmtId="165" fontId="59" fillId="0" borderId="33" xfId="30" applyNumberFormat="1" applyFont="1" applyFill="1" applyBorder="1" applyAlignment="1">
      <alignment horizontal="center" vertical="center" wrapText="1"/>
    </xf>
    <xf numFmtId="0" fontId="59" fillId="0" borderId="33" xfId="15" applyFont="1" applyFill="1" applyBorder="1" applyAlignment="1" applyProtection="1">
      <alignment horizontal="center" vertical="center" wrapText="1"/>
    </xf>
    <xf numFmtId="164" fontId="59" fillId="0" borderId="33" xfId="2" applyFont="1" applyFill="1" applyBorder="1" applyAlignment="1">
      <alignment horizontal="center" vertical="center" wrapText="1"/>
    </xf>
    <xf numFmtId="43" fontId="59" fillId="0" borderId="33" xfId="31" applyNumberFormat="1" applyFont="1" applyFill="1" applyBorder="1" applyAlignment="1">
      <alignment horizontal="center" vertical="top" wrapText="1"/>
    </xf>
    <xf numFmtId="4" fontId="15" fillId="3" borderId="33" xfId="0" applyNumberFormat="1" applyFont="1" applyFill="1" applyBorder="1" applyAlignment="1">
      <alignment horizontal="justify" vertical="top" wrapText="1"/>
    </xf>
    <xf numFmtId="4" fontId="15" fillId="3" borderId="33" xfId="0" applyNumberFormat="1" applyFont="1" applyFill="1" applyBorder="1" applyAlignment="1">
      <alignment horizontal="center" vertical="center" wrapText="1"/>
    </xf>
    <xf numFmtId="164" fontId="15" fillId="3" borderId="33" xfId="29" applyFont="1" applyFill="1" applyBorder="1" applyAlignment="1">
      <alignment horizontal="center" vertical="center"/>
    </xf>
    <xf numFmtId="0" fontId="15" fillId="0" borderId="33" xfId="32" applyFont="1" applyFill="1" applyBorder="1" applyAlignment="1">
      <alignment horizontal="center" vertical="center" wrapText="1"/>
    </xf>
    <xf numFmtId="164" fontId="59" fillId="0" borderId="32" xfId="2" applyFont="1" applyFill="1" applyBorder="1" applyAlignment="1">
      <alignment horizontal="center" vertical="center" wrapText="1"/>
    </xf>
    <xf numFmtId="43" fontId="59" fillId="0" borderId="32" xfId="31" applyNumberFormat="1" applyFont="1" applyFill="1" applyBorder="1" applyAlignment="1">
      <alignment horizontal="center" vertical="center" wrapText="1"/>
    </xf>
    <xf numFmtId="43" fontId="15" fillId="0" borderId="12" xfId="31" applyNumberFormat="1" applyFont="1" applyFill="1" applyBorder="1" applyAlignment="1">
      <alignment horizontal="center" vertical="top" wrapText="1"/>
    </xf>
    <xf numFmtId="1" fontId="15" fillId="0" borderId="77" xfId="6" applyNumberFormat="1" applyFont="1" applyFill="1" applyBorder="1" applyAlignment="1">
      <alignment horizontal="center" vertical="center"/>
    </xf>
    <xf numFmtId="0" fontId="23" fillId="0" borderId="76" xfId="15" applyFont="1" applyFill="1" applyBorder="1" applyAlignment="1">
      <alignment horizontal="center" vertical="center"/>
    </xf>
    <xf numFmtId="165" fontId="15" fillId="0" borderId="76" xfId="2" applyNumberFormat="1" applyFont="1" applyFill="1" applyBorder="1" applyAlignment="1" applyProtection="1">
      <alignment horizontal="center" vertical="center" wrapText="1"/>
    </xf>
    <xf numFmtId="0" fontId="16" fillId="0" borderId="76" xfId="15" applyFont="1" applyFill="1" applyBorder="1" applyAlignment="1" applyProtection="1">
      <alignment horizontal="center" vertical="center" wrapText="1"/>
    </xf>
    <xf numFmtId="164" fontId="16" fillId="0" borderId="76" xfId="2" applyNumberFormat="1" applyFont="1" applyFill="1" applyBorder="1" applyAlignment="1" applyProtection="1">
      <alignment horizontal="right" vertical="center"/>
      <protection locked="0"/>
    </xf>
    <xf numFmtId="43" fontId="15" fillId="0" borderId="41" xfId="31" applyNumberFormat="1" applyFont="1" applyFill="1" applyBorder="1" applyAlignment="1">
      <alignment horizontal="center" vertical="top" wrapText="1"/>
    </xf>
    <xf numFmtId="1" fontId="15" fillId="0" borderId="14" xfId="6" applyNumberFormat="1" applyFont="1" applyFill="1" applyBorder="1" applyAlignment="1">
      <alignment horizontal="center" vertical="center"/>
    </xf>
    <xf numFmtId="1" fontId="15" fillId="0" borderId="14" xfId="15" applyNumberFormat="1" applyFont="1" applyFill="1" applyBorder="1" applyAlignment="1">
      <alignment horizontal="center" wrapText="1"/>
    </xf>
    <xf numFmtId="1" fontId="15" fillId="0" borderId="14" xfId="15" applyNumberFormat="1" applyFont="1" applyFill="1" applyBorder="1" applyAlignment="1">
      <alignment horizontal="center"/>
    </xf>
    <xf numFmtId="164" fontId="15" fillId="0" borderId="24" xfId="2" applyFont="1" applyFill="1" applyBorder="1" applyAlignment="1">
      <alignment horizontal="right"/>
    </xf>
    <xf numFmtId="0" fontId="15" fillId="0" borderId="24" xfId="15" applyFont="1" applyFill="1" applyBorder="1" applyAlignment="1">
      <alignment horizontal="right"/>
    </xf>
    <xf numFmtId="0" fontId="15" fillId="0" borderId="24" xfId="15" applyFont="1" applyFill="1" applyBorder="1"/>
    <xf numFmtId="1" fontId="15" fillId="0" borderId="82" xfId="15" applyNumberFormat="1" applyFont="1" applyFill="1" applyBorder="1" applyAlignment="1">
      <alignment horizontal="center"/>
    </xf>
    <xf numFmtId="0" fontId="16" fillId="0" borderId="83" xfId="15" applyFont="1" applyFill="1" applyBorder="1"/>
    <xf numFmtId="165" fontId="15" fillId="0" borderId="83" xfId="15" applyNumberFormat="1" applyFont="1" applyFill="1" applyBorder="1" applyAlignment="1">
      <alignment horizontal="center"/>
    </xf>
    <xf numFmtId="2" fontId="15" fillId="0" borderId="83" xfId="15" applyNumberFormat="1" applyFont="1" applyFill="1" applyBorder="1" applyAlignment="1">
      <alignment horizontal="center"/>
    </xf>
    <xf numFmtId="164" fontId="15" fillId="0" borderId="83" xfId="2" applyFont="1" applyFill="1" applyBorder="1"/>
    <xf numFmtId="0" fontId="15" fillId="0" borderId="71" xfId="15" applyFont="1" applyFill="1" applyBorder="1" applyAlignment="1">
      <alignment horizontal="right"/>
    </xf>
    <xf numFmtId="164" fontId="15" fillId="0" borderId="13" xfId="30" applyNumberFormat="1" applyFont="1" applyFill="1" applyBorder="1" applyAlignment="1">
      <alignment horizontal="center" vertical="top" wrapText="1"/>
    </xf>
    <xf numFmtId="1" fontId="18" fillId="0" borderId="77" xfId="0" applyNumberFormat="1" applyFont="1" applyFill="1" applyBorder="1" applyAlignment="1">
      <alignment vertical="center"/>
    </xf>
    <xf numFmtId="1" fontId="18" fillId="0" borderId="76" xfId="0" applyNumberFormat="1" applyFont="1" applyFill="1" applyBorder="1" applyAlignment="1">
      <alignment vertical="center"/>
    </xf>
    <xf numFmtId="165" fontId="33" fillId="0" borderId="76" xfId="0" applyNumberFormat="1" applyFont="1" applyFill="1" applyBorder="1" applyAlignment="1">
      <alignment horizontal="left" wrapText="1"/>
    </xf>
    <xf numFmtId="2" fontId="33" fillId="0" borderId="76" xfId="0" applyNumberFormat="1" applyFont="1" applyFill="1" applyBorder="1" applyAlignment="1">
      <alignment horizontal="left"/>
    </xf>
    <xf numFmtId="0" fontId="33" fillId="0" borderId="76" xfId="0" applyFont="1" applyFill="1" applyBorder="1" applyAlignment="1">
      <alignment horizontal="left" vertical="center"/>
    </xf>
    <xf numFmtId="0" fontId="33" fillId="0" borderId="41" xfId="0" applyFont="1" applyFill="1" applyBorder="1" applyAlignment="1">
      <alignment horizontal="left"/>
    </xf>
    <xf numFmtId="1" fontId="18" fillId="0" borderId="14" xfId="0" applyNumberFormat="1" applyFont="1" applyBorder="1" applyAlignment="1">
      <alignment vertical="center"/>
    </xf>
    <xf numFmtId="1" fontId="18" fillId="0" borderId="0" xfId="0" applyNumberFormat="1" applyFont="1" applyFill="1" applyBorder="1" applyAlignment="1">
      <alignment vertical="center"/>
    </xf>
    <xf numFmtId="165" fontId="33" fillId="0" borderId="0" xfId="0" applyNumberFormat="1" applyFont="1" applyFill="1" applyBorder="1" applyAlignment="1">
      <alignment horizontal="left"/>
    </xf>
    <xf numFmtId="2" fontId="33" fillId="0" borderId="0" xfId="0" applyNumberFormat="1" applyFont="1" applyFill="1" applyBorder="1" applyAlignment="1"/>
    <xf numFmtId="0" fontId="33" fillId="0" borderId="24" xfId="0" applyFont="1" applyFill="1" applyBorder="1" applyAlignment="1">
      <alignment horizontal="left"/>
    </xf>
    <xf numFmtId="175" fontId="19" fillId="0" borderId="14" xfId="0" applyNumberFormat="1" applyFont="1" applyFill="1" applyBorder="1" applyAlignment="1">
      <alignment vertical="center"/>
    </xf>
    <xf numFmtId="0" fontId="16" fillId="0" borderId="0" xfId="32" applyFont="1" applyFill="1" applyBorder="1" applyAlignment="1">
      <alignment horizontal="left" vertical="top" wrapText="1"/>
    </xf>
    <xf numFmtId="0" fontId="56" fillId="0" borderId="0" xfId="0" applyFont="1" applyFill="1" applyBorder="1" applyAlignment="1">
      <alignment horizontal="right" vertical="center"/>
    </xf>
    <xf numFmtId="0" fontId="56" fillId="0" borderId="0" xfId="0" applyFont="1" applyFill="1" applyBorder="1"/>
    <xf numFmtId="0" fontId="56" fillId="0" borderId="0" xfId="0" applyFont="1" applyFill="1" applyBorder="1" applyAlignment="1">
      <alignment vertical="center"/>
    </xf>
    <xf numFmtId="0" fontId="56" fillId="0" borderId="24" xfId="0" applyFont="1" applyFill="1" applyBorder="1"/>
    <xf numFmtId="0" fontId="15" fillId="0" borderId="77" xfId="30" applyFont="1" applyFill="1" applyBorder="1" applyAlignment="1">
      <alignment horizontal="center" vertical="center" wrapText="1"/>
    </xf>
    <xf numFmtId="0" fontId="15" fillId="0" borderId="32" xfId="6" applyFont="1" applyFill="1" applyBorder="1" applyAlignment="1">
      <alignment horizontal="justify" vertical="top" wrapText="1"/>
    </xf>
    <xf numFmtId="164" fontId="15" fillId="0" borderId="76" xfId="30" applyNumberFormat="1" applyFont="1" applyFill="1" applyBorder="1" applyAlignment="1">
      <alignment horizontal="center" vertical="top" wrapText="1"/>
    </xf>
    <xf numFmtId="1" fontId="15" fillId="0" borderId="82" xfId="0" applyNumberFormat="1" applyFont="1" applyFill="1" applyBorder="1" applyAlignment="1">
      <alignment horizontal="center" vertical="center" wrapText="1"/>
    </xf>
    <xf numFmtId="4" fontId="15" fillId="0" borderId="82" xfId="2" applyNumberFormat="1" applyFont="1" applyFill="1" applyBorder="1" applyAlignment="1">
      <alignment horizontal="center" vertical="center" wrapText="1"/>
    </xf>
    <xf numFmtId="1" fontId="15" fillId="0" borderId="33" xfId="2" applyNumberFormat="1" applyFont="1" applyFill="1" applyBorder="1" applyAlignment="1">
      <alignment horizontal="center" vertical="center" wrapText="1"/>
    </xf>
    <xf numFmtId="164" fontId="15" fillId="0" borderId="83" xfId="2" applyFont="1" applyFill="1" applyBorder="1" applyAlignment="1">
      <alignment horizontal="center" vertical="center" wrapText="1"/>
    </xf>
    <xf numFmtId="0" fontId="16" fillId="0" borderId="77" xfId="30" applyFont="1" applyFill="1" applyBorder="1" applyAlignment="1">
      <alignment horizontal="center" vertical="center"/>
    </xf>
    <xf numFmtId="0" fontId="16" fillId="0" borderId="32" xfId="6" applyFont="1" applyFill="1" applyBorder="1" applyAlignment="1">
      <alignment horizontal="justify" vertical="top" wrapText="1"/>
    </xf>
    <xf numFmtId="164" fontId="15" fillId="0" borderId="77" xfId="2" applyFont="1" applyFill="1" applyBorder="1" applyAlignment="1">
      <alignment horizontal="center" vertical="top"/>
    </xf>
    <xf numFmtId="164" fontId="15" fillId="0" borderId="32" xfId="2" applyFont="1" applyFill="1" applyBorder="1" applyAlignment="1">
      <alignment horizontal="center" vertical="top"/>
    </xf>
    <xf numFmtId="43" fontId="15" fillId="0" borderId="32" xfId="31" applyNumberFormat="1" applyFont="1" applyFill="1" applyBorder="1" applyAlignment="1">
      <alignment horizontal="center" vertical="top"/>
    </xf>
    <xf numFmtId="165" fontId="15" fillId="0" borderId="83" xfId="2" applyNumberFormat="1" applyFont="1" applyFill="1" applyBorder="1" applyAlignment="1">
      <alignment horizontal="center" vertical="center" wrapText="1"/>
    </xf>
    <xf numFmtId="0" fontId="15" fillId="0" borderId="33" xfId="0" applyFont="1" applyFill="1" applyBorder="1" applyAlignment="1">
      <alignment horizontal="center" vertical="center"/>
    </xf>
    <xf numFmtId="164" fontId="15" fillId="0" borderId="82" xfId="2" applyFont="1" applyFill="1" applyBorder="1" applyAlignment="1">
      <alignment horizontal="center" vertical="center" wrapText="1"/>
    </xf>
    <xf numFmtId="165" fontId="15" fillId="0" borderId="76" xfId="30" applyNumberFormat="1" applyFont="1" applyFill="1" applyBorder="1" applyAlignment="1">
      <alignment horizontal="center" vertical="center" wrapText="1"/>
    </xf>
    <xf numFmtId="164" fontId="15" fillId="0" borderId="32" xfId="30" applyNumberFormat="1" applyFont="1" applyFill="1" applyBorder="1" applyAlignment="1">
      <alignment horizontal="center" vertical="center" wrapText="1"/>
    </xf>
    <xf numFmtId="164" fontId="15" fillId="0" borderId="77" xfId="2" applyFont="1" applyFill="1" applyBorder="1" applyAlignment="1">
      <alignment horizontal="center" vertical="center" wrapText="1"/>
    </xf>
    <xf numFmtId="4" fontId="15" fillId="0" borderId="41" xfId="2" applyNumberFormat="1" applyFont="1" applyFill="1" applyBorder="1" applyAlignment="1">
      <alignment horizontal="right" vertical="center" wrapText="1"/>
    </xf>
    <xf numFmtId="0" fontId="23" fillId="0" borderId="14" xfId="35" applyFont="1" applyFill="1" applyBorder="1" applyAlignment="1" applyProtection="1">
      <alignment horizontal="centerContinuous" vertical="top"/>
      <protection locked="0"/>
    </xf>
    <xf numFmtId="0" fontId="23" fillId="0" borderId="0" xfId="35" applyFont="1" applyFill="1" applyBorder="1" applyAlignment="1" applyProtection="1">
      <alignment horizontal="left" vertical="center" wrapText="1"/>
      <protection locked="0"/>
    </xf>
    <xf numFmtId="1" fontId="23" fillId="0" borderId="0" xfId="35" applyNumberFormat="1" applyFont="1" applyFill="1" applyBorder="1" applyAlignment="1" applyProtection="1">
      <alignment horizontal="center" vertical="center"/>
      <protection locked="0"/>
    </xf>
    <xf numFmtId="0" fontId="23" fillId="0" borderId="0" xfId="35" applyFont="1" applyFill="1" applyBorder="1" applyAlignment="1" applyProtection="1">
      <alignment horizontal="center" vertical="center"/>
      <protection locked="0"/>
    </xf>
    <xf numFmtId="4" fontId="23" fillId="0" borderId="0" xfId="35" applyNumberFormat="1" applyFont="1" applyFill="1" applyBorder="1" applyAlignment="1" applyProtection="1">
      <alignment horizontal="right" vertical="center"/>
      <protection locked="0"/>
    </xf>
    <xf numFmtId="4" fontId="13" fillId="0" borderId="24" xfId="35" applyNumberFormat="1" applyFont="1" applyFill="1" applyBorder="1" applyAlignment="1" applyProtection="1">
      <alignment horizontal="right" vertical="center"/>
      <protection locked="0"/>
    </xf>
    <xf numFmtId="0" fontId="13" fillId="0" borderId="14" xfId="35" applyFont="1" applyFill="1" applyBorder="1" applyAlignment="1" applyProtection="1">
      <alignment horizontal="centerContinuous" vertical="top" wrapText="1"/>
      <protection locked="0"/>
    </xf>
    <xf numFmtId="0" fontId="16" fillId="0" borderId="0" xfId="0" applyFont="1" applyFill="1" applyBorder="1" applyAlignment="1">
      <alignment vertical="top"/>
    </xf>
    <xf numFmtId="4" fontId="15" fillId="0" borderId="0" xfId="35" applyNumberFormat="1" applyFont="1" applyFill="1" applyBorder="1" applyAlignment="1" applyProtection="1">
      <alignment horizontal="right" vertical="center" wrapText="1"/>
      <protection locked="0"/>
    </xf>
    <xf numFmtId="4" fontId="13" fillId="0" borderId="24" xfId="35" applyNumberFormat="1" applyFont="1" applyFill="1" applyBorder="1" applyAlignment="1" applyProtection="1">
      <alignment horizontal="right" vertical="center" wrapText="1"/>
      <protection locked="0"/>
    </xf>
    <xf numFmtId="0" fontId="13" fillId="0" borderId="82" xfId="35" applyFont="1" applyFill="1" applyBorder="1" applyAlignment="1" applyProtection="1">
      <alignment horizontal="centerContinuous" vertical="top" wrapText="1"/>
      <protection locked="0"/>
    </xf>
    <xf numFmtId="0" fontId="16" fillId="0" borderId="83" xfId="0" applyFont="1" applyFill="1" applyBorder="1" applyAlignment="1">
      <alignment horizontal="left" vertical="top" wrapText="1"/>
    </xf>
    <xf numFmtId="4" fontId="15" fillId="0" borderId="83" xfId="35" applyNumberFormat="1" applyFont="1" applyFill="1" applyBorder="1" applyAlignment="1" applyProtection="1">
      <alignment horizontal="right" vertical="center" wrapText="1"/>
      <protection locked="0"/>
    </xf>
    <xf numFmtId="4" fontId="13" fillId="0" borderId="71" xfId="35" applyNumberFormat="1" applyFont="1" applyFill="1" applyBorder="1" applyAlignment="1" applyProtection="1">
      <alignment horizontal="right" vertical="center" wrapText="1"/>
      <protection locked="0"/>
    </xf>
    <xf numFmtId="0" fontId="13" fillId="0" borderId="77" xfId="35" applyFont="1" applyFill="1" applyBorder="1" applyAlignment="1" applyProtection="1">
      <alignment horizontal="centerContinuous" vertical="top"/>
      <protection locked="0"/>
    </xf>
    <xf numFmtId="0" fontId="16" fillId="0" borderId="76" xfId="0" applyFont="1" applyFill="1" applyBorder="1" applyAlignment="1">
      <alignment vertical="top" wrapText="1"/>
    </xf>
    <xf numFmtId="4" fontId="15" fillId="0" borderId="76" xfId="35" applyNumberFormat="1" applyFont="1" applyFill="1" applyBorder="1" applyAlignment="1" applyProtection="1">
      <alignment horizontal="right" vertical="center"/>
      <protection locked="0"/>
    </xf>
    <xf numFmtId="4" fontId="13" fillId="0" borderId="41" xfId="35" applyNumberFormat="1" applyFont="1" applyFill="1" applyBorder="1" applyAlignment="1" applyProtection="1">
      <alignment horizontal="right" vertical="center"/>
      <protection locked="0"/>
    </xf>
    <xf numFmtId="0" fontId="13" fillId="0" borderId="14" xfId="35" applyFont="1" applyFill="1" applyBorder="1" applyAlignment="1" applyProtection="1">
      <alignment horizontal="centerContinuous" vertical="top"/>
      <protection locked="0"/>
    </xf>
    <xf numFmtId="4" fontId="15" fillId="0" borderId="0" xfId="35" applyNumberFormat="1" applyFont="1" applyFill="1" applyBorder="1" applyAlignment="1" applyProtection="1">
      <alignment horizontal="right" vertical="center"/>
      <protection locked="0"/>
    </xf>
    <xf numFmtId="3" fontId="15" fillId="0" borderId="0" xfId="35" applyNumberFormat="1" applyFont="1" applyFill="1" applyBorder="1" applyAlignment="1" applyProtection="1">
      <alignment horizontal="center" vertical="center"/>
      <protection locked="0"/>
    </xf>
    <xf numFmtId="0" fontId="23" fillId="0" borderId="0" xfId="0" applyFont="1" applyFill="1" applyBorder="1"/>
    <xf numFmtId="3" fontId="13" fillId="0" borderId="0" xfId="35" applyNumberFormat="1" applyFont="1" applyFill="1" applyBorder="1" applyAlignment="1" applyProtection="1">
      <alignment horizontal="center" vertical="center"/>
      <protection locked="0"/>
    </xf>
    <xf numFmtId="0" fontId="13" fillId="0" borderId="0" xfId="0" applyFont="1" applyFill="1" applyBorder="1"/>
    <xf numFmtId="4" fontId="13" fillId="0" borderId="0" xfId="35" applyNumberFormat="1" applyFont="1" applyFill="1" applyBorder="1" applyAlignment="1" applyProtection="1">
      <alignment horizontal="right" vertical="center"/>
      <protection locked="0"/>
    </xf>
    <xf numFmtId="0" fontId="13" fillId="0" borderId="82" xfId="35" applyFont="1" applyFill="1" applyBorder="1" applyAlignment="1" applyProtection="1">
      <alignment horizontal="centerContinuous" vertical="top"/>
      <protection locked="0"/>
    </xf>
    <xf numFmtId="0" fontId="16" fillId="0" borderId="83" xfId="0" applyFont="1" applyFill="1" applyBorder="1"/>
    <xf numFmtId="3" fontId="13" fillId="0" borderId="83" xfId="35" applyNumberFormat="1" applyFont="1" applyFill="1" applyBorder="1" applyAlignment="1" applyProtection="1">
      <alignment horizontal="center" vertical="center"/>
      <protection locked="0"/>
    </xf>
    <xf numFmtId="0" fontId="13" fillId="0" borderId="83" xfId="0" applyFont="1" applyFill="1" applyBorder="1"/>
    <xf numFmtId="4" fontId="13" fillId="0" borderId="83" xfId="35" applyNumberFormat="1" applyFont="1" applyFill="1" applyBorder="1" applyAlignment="1" applyProtection="1">
      <alignment horizontal="right" vertical="center"/>
      <protection locked="0"/>
    </xf>
    <xf numFmtId="4" fontId="13" fillId="0" borderId="71" xfId="35" applyNumberFormat="1" applyFont="1" applyFill="1" applyBorder="1" applyAlignment="1" applyProtection="1">
      <alignment horizontal="right" vertical="center"/>
      <protection locked="0"/>
    </xf>
    <xf numFmtId="1" fontId="15" fillId="0" borderId="14" xfId="2" applyNumberFormat="1" applyFont="1" applyFill="1" applyBorder="1" applyAlignment="1">
      <alignment horizontal="right" vertical="center"/>
    </xf>
    <xf numFmtId="4" fontId="16" fillId="0" borderId="24" xfId="2" applyNumberFormat="1" applyFont="1" applyFill="1" applyBorder="1" applyAlignment="1">
      <alignment horizontal="right" vertical="center" wrapText="1"/>
    </xf>
    <xf numFmtId="165" fontId="15" fillId="0" borderId="76" xfId="0" applyNumberFormat="1" applyFont="1" applyFill="1" applyBorder="1" applyAlignment="1">
      <alignment horizontal="left"/>
    </xf>
    <xf numFmtId="2" fontId="15" fillId="0" borderId="76" xfId="0" applyNumberFormat="1" applyFont="1" applyFill="1" applyBorder="1" applyAlignment="1">
      <alignment horizontal="left"/>
    </xf>
    <xf numFmtId="164" fontId="15" fillId="0" borderId="76" xfId="2" applyFont="1" applyFill="1" applyBorder="1" applyAlignment="1">
      <alignment horizontal="left" vertical="center"/>
    </xf>
    <xf numFmtId="0" fontId="15" fillId="0" borderId="41" xfId="0" applyFont="1" applyFill="1" applyBorder="1" applyAlignment="1">
      <alignment horizontal="left"/>
    </xf>
    <xf numFmtId="1" fontId="19" fillId="0" borderId="14" xfId="0" applyNumberFormat="1" applyFont="1" applyBorder="1" applyAlignment="1">
      <alignment vertical="center"/>
    </xf>
    <xf numFmtId="165" fontId="15" fillId="0" borderId="0" xfId="0" applyNumberFormat="1" applyFont="1" applyFill="1" applyBorder="1" applyAlignment="1">
      <alignment horizontal="left"/>
    </xf>
    <xf numFmtId="2" fontId="15" fillId="0" borderId="0" xfId="0" applyNumberFormat="1" applyFont="1" applyFill="1" applyBorder="1" applyAlignment="1">
      <alignment horizontal="left"/>
    </xf>
    <xf numFmtId="164" fontId="15" fillId="0" borderId="0" xfId="2" applyFont="1" applyFill="1" applyBorder="1" applyAlignment="1">
      <alignment horizontal="left" vertical="center"/>
    </xf>
    <xf numFmtId="175" fontId="18" fillId="0" borderId="14" xfId="0" applyNumberFormat="1" applyFont="1" applyFill="1" applyBorder="1" applyAlignment="1">
      <alignment horizontal="center" vertical="center"/>
    </xf>
    <xf numFmtId="1" fontId="33" fillId="0" borderId="0" xfId="0" applyNumberFormat="1" applyFont="1" applyFill="1" applyBorder="1" applyAlignment="1">
      <alignment horizontal="center"/>
    </xf>
    <xf numFmtId="2" fontId="33" fillId="0" borderId="0" xfId="0" applyNumberFormat="1" applyFont="1" applyFill="1" applyBorder="1" applyAlignment="1">
      <alignment horizontal="center"/>
    </xf>
    <xf numFmtId="164" fontId="33" fillId="0" borderId="0" xfId="2" applyFont="1" applyFill="1" applyBorder="1" applyAlignment="1">
      <alignment vertical="center"/>
    </xf>
    <xf numFmtId="0" fontId="33" fillId="0" borderId="24" xfId="0" applyFont="1" applyFill="1" applyBorder="1" applyAlignment="1">
      <alignment vertical="center"/>
    </xf>
    <xf numFmtId="0" fontId="15" fillId="0" borderId="33" xfId="6" applyFont="1" applyFill="1" applyBorder="1" applyAlignment="1">
      <alignment horizontal="left" vertical="center" wrapText="1"/>
    </xf>
    <xf numFmtId="0" fontId="15" fillId="0" borderId="33" xfId="0" applyFont="1" applyFill="1" applyBorder="1" applyAlignment="1" applyProtection="1">
      <alignment horizontal="center" vertical="center" wrapText="1"/>
    </xf>
    <xf numFmtId="0" fontId="15" fillId="0" borderId="32" xfId="6" applyFont="1" applyFill="1" applyBorder="1" applyAlignment="1">
      <alignment horizontal="left" vertical="center" wrapText="1"/>
    </xf>
    <xf numFmtId="0" fontId="15" fillId="0" borderId="32" xfId="0" applyFont="1" applyFill="1" applyBorder="1" applyAlignment="1" applyProtection="1">
      <alignment horizontal="center" vertical="center" wrapText="1"/>
    </xf>
    <xf numFmtId="0" fontId="15" fillId="0" borderId="33" xfId="30" applyFont="1" applyFill="1" applyBorder="1" applyAlignment="1">
      <alignment horizontal="left" vertical="top" wrapText="1"/>
    </xf>
    <xf numFmtId="43" fontId="15" fillId="0" borderId="71" xfId="31" applyNumberFormat="1" applyFont="1" applyFill="1" applyBorder="1" applyAlignment="1">
      <alignment horizontal="center" vertical="top" wrapText="1"/>
    </xf>
    <xf numFmtId="0" fontId="15" fillId="0" borderId="32" xfId="0" applyFont="1" applyFill="1" applyBorder="1" applyAlignment="1">
      <alignment vertical="center" wrapText="1"/>
    </xf>
    <xf numFmtId="0" fontId="15" fillId="0" borderId="32" xfId="0" applyFont="1" applyFill="1" applyBorder="1" applyAlignment="1">
      <alignment horizontal="center" vertical="center" wrapText="1"/>
    </xf>
    <xf numFmtId="43" fontId="15" fillId="0" borderId="41" xfId="31" applyNumberFormat="1" applyFont="1" applyFill="1" applyBorder="1" applyAlignment="1">
      <alignment vertical="center" wrapText="1"/>
    </xf>
    <xf numFmtId="0" fontId="15" fillId="0" borderId="33" xfId="0" applyFont="1" applyFill="1" applyBorder="1" applyAlignment="1">
      <alignment horizontal="left" vertical="center" wrapText="1"/>
    </xf>
    <xf numFmtId="165" fontId="15" fillId="0" borderId="33" xfId="0" applyNumberFormat="1" applyFont="1" applyFill="1" applyBorder="1" applyAlignment="1">
      <alignment horizontal="center" vertical="center"/>
    </xf>
    <xf numFmtId="0" fontId="15" fillId="0" borderId="33" xfId="0" applyFont="1" applyFill="1" applyBorder="1" applyAlignment="1">
      <alignment horizontal="center" vertical="center" wrapText="1"/>
    </xf>
    <xf numFmtId="164" fontId="15" fillId="0" borderId="33" xfId="2" applyFont="1" applyFill="1" applyBorder="1" applyAlignment="1">
      <alignment horizontal="left" vertical="center" wrapText="1"/>
    </xf>
    <xf numFmtId="43" fontId="15" fillId="0" borderId="71" xfId="31" applyNumberFormat="1" applyFont="1" applyFill="1" applyBorder="1" applyAlignment="1">
      <alignment vertical="center" wrapText="1"/>
    </xf>
    <xf numFmtId="0" fontId="15" fillId="0" borderId="32" xfId="0" applyFont="1" applyFill="1" applyBorder="1" applyAlignment="1">
      <alignment horizontal="center" vertical="center"/>
    </xf>
    <xf numFmtId="164" fontId="15" fillId="0" borderId="32" xfId="2" applyFont="1" applyFill="1" applyBorder="1" applyAlignment="1">
      <alignment vertical="center"/>
    </xf>
    <xf numFmtId="1" fontId="25" fillId="0" borderId="14" xfId="6" applyNumberFormat="1" applyFont="1" applyFill="1" applyBorder="1" applyAlignment="1">
      <alignment horizontal="center" vertical="center"/>
    </xf>
    <xf numFmtId="43" fontId="25" fillId="0" borderId="24" xfId="31" applyNumberFormat="1" applyFont="1" applyFill="1" applyBorder="1" applyAlignment="1">
      <alignment horizontal="center" vertical="center" wrapText="1"/>
    </xf>
    <xf numFmtId="0" fontId="15" fillId="0" borderId="24" xfId="0" applyFont="1" applyFill="1" applyBorder="1" applyAlignment="1">
      <alignment horizontal="right" vertical="center"/>
    </xf>
    <xf numFmtId="1" fontId="15" fillId="0" borderId="82" xfId="6" applyNumberFormat="1" applyFont="1" applyFill="1" applyBorder="1" applyAlignment="1">
      <alignment horizontal="center" vertical="center"/>
    </xf>
    <xf numFmtId="0" fontId="16" fillId="0" borderId="83" xfId="6" applyFont="1" applyFill="1" applyBorder="1" applyAlignment="1">
      <alignment horizontal="left" vertical="center" wrapText="1"/>
    </xf>
    <xf numFmtId="0" fontId="15" fillId="0" borderId="83" xfId="0" applyFont="1" applyFill="1" applyBorder="1" applyAlignment="1">
      <alignment horizontal="center"/>
    </xf>
    <xf numFmtId="2" fontId="15" fillId="0" borderId="83" xfId="0" applyNumberFormat="1" applyFont="1" applyFill="1" applyBorder="1" applyAlignment="1">
      <alignment horizontal="center"/>
    </xf>
    <xf numFmtId="0" fontId="15" fillId="0" borderId="71" xfId="0" applyFont="1" applyFill="1" applyBorder="1" applyAlignment="1">
      <alignment horizontal="right" vertical="center"/>
    </xf>
    <xf numFmtId="0" fontId="16" fillId="0" borderId="76" xfId="0" applyFont="1" applyFill="1" applyBorder="1"/>
    <xf numFmtId="0" fontId="15" fillId="0" borderId="76" xfId="0" applyFont="1" applyFill="1" applyBorder="1" applyAlignment="1">
      <alignment horizontal="center"/>
    </xf>
    <xf numFmtId="2" fontId="15" fillId="0" borderId="76" xfId="0" applyNumberFormat="1" applyFont="1" applyFill="1" applyBorder="1" applyAlignment="1">
      <alignment horizontal="center"/>
    </xf>
    <xf numFmtId="164" fontId="15" fillId="0" borderId="76" xfId="2" applyFont="1" applyFill="1" applyBorder="1"/>
    <xf numFmtId="0" fontId="15" fillId="0" borderId="41" xfId="0" applyFont="1" applyFill="1" applyBorder="1" applyAlignment="1">
      <alignment horizontal="right" vertical="center"/>
    </xf>
    <xf numFmtId="0" fontId="16" fillId="0" borderId="24" xfId="0" applyFont="1" applyFill="1" applyBorder="1" applyAlignment="1">
      <alignment vertical="center" wrapText="1"/>
    </xf>
    <xf numFmtId="164" fontId="15" fillId="0" borderId="24" xfId="2" applyFont="1" applyFill="1" applyBorder="1" applyAlignment="1">
      <alignment horizontal="right" vertical="center"/>
    </xf>
    <xf numFmtId="0" fontId="16" fillId="0" borderId="24" xfId="0" applyFont="1" applyFill="1" applyBorder="1" applyAlignment="1">
      <alignment vertical="top" wrapText="1"/>
    </xf>
    <xf numFmtId="0" fontId="15" fillId="0" borderId="24" xfId="0" applyFont="1" applyFill="1" applyBorder="1" applyAlignment="1">
      <alignment vertical="center" wrapText="1"/>
    </xf>
    <xf numFmtId="0" fontId="15" fillId="0" borderId="24" xfId="0" applyFont="1" applyFill="1" applyBorder="1" applyAlignment="1">
      <alignment vertical="center"/>
    </xf>
    <xf numFmtId="0" fontId="25" fillId="0" borderId="13" xfId="30" applyFont="1" applyFill="1" applyBorder="1" applyAlignment="1">
      <alignment horizontal="center" vertical="center" wrapText="1"/>
    </xf>
    <xf numFmtId="0" fontId="26" fillId="0" borderId="13" xfId="0" applyFont="1" applyFill="1" applyBorder="1" applyAlignment="1" applyProtection="1">
      <alignment horizontal="left" vertical="center" wrapText="1"/>
    </xf>
    <xf numFmtId="165" fontId="15" fillId="0" borderId="0" xfId="2" applyNumberFormat="1" applyFont="1" applyFill="1" applyBorder="1" applyAlignment="1" applyProtection="1">
      <alignment horizontal="center" vertical="center"/>
    </xf>
    <xf numFmtId="0" fontId="25" fillId="0" borderId="13" xfId="18" applyFont="1" applyFill="1" applyBorder="1" applyAlignment="1" applyProtection="1">
      <alignment horizontal="center" vertical="center"/>
    </xf>
    <xf numFmtId="1" fontId="19" fillId="0" borderId="77" xfId="0" applyNumberFormat="1" applyFont="1" applyFill="1" applyBorder="1" applyAlignment="1">
      <alignment vertical="center"/>
    </xf>
    <xf numFmtId="1" fontId="19" fillId="0" borderId="76" xfId="0" applyNumberFormat="1" applyFont="1" applyFill="1" applyBorder="1" applyAlignment="1">
      <alignment vertical="center"/>
    </xf>
    <xf numFmtId="0" fontId="15" fillId="0" borderId="76" xfId="0" applyFont="1" applyFill="1" applyBorder="1" applyAlignment="1">
      <alignment horizontal="left" vertical="center"/>
    </xf>
    <xf numFmtId="0" fontId="69" fillId="0" borderId="41" xfId="0" applyFont="1" applyFill="1" applyBorder="1" applyAlignment="1">
      <alignment horizontal="left"/>
    </xf>
    <xf numFmtId="1" fontId="19" fillId="0" borderId="0" xfId="0" applyNumberFormat="1" applyFont="1" applyFill="1" applyBorder="1" applyAlignment="1">
      <alignment vertical="center"/>
    </xf>
    <xf numFmtId="2" fontId="15" fillId="0" borderId="0" xfId="0" applyNumberFormat="1" applyFont="1" applyFill="1" applyBorder="1" applyAlignment="1"/>
    <xf numFmtId="0" fontId="69" fillId="0" borderId="24" xfId="0" applyFont="1" applyFill="1" applyBorder="1" applyAlignment="1">
      <alignment horizontal="left"/>
    </xf>
    <xf numFmtId="175" fontId="70" fillId="0" borderId="14" xfId="0" applyNumberFormat="1" applyFont="1" applyFill="1" applyBorder="1" applyAlignment="1">
      <alignment vertical="center"/>
    </xf>
    <xf numFmtId="0" fontId="16" fillId="0" borderId="33" xfId="32" applyFont="1" applyFill="1" applyBorder="1" applyAlignment="1">
      <alignment horizontal="left" vertical="center" wrapText="1"/>
    </xf>
    <xf numFmtId="0" fontId="16" fillId="0" borderId="32" xfId="32" applyFont="1" applyFill="1" applyBorder="1" applyAlignment="1">
      <alignment horizontal="center" vertical="center" wrapText="1"/>
    </xf>
    <xf numFmtId="0" fontId="16" fillId="0" borderId="32" xfId="32" applyFont="1" applyFill="1" applyBorder="1" applyAlignment="1">
      <alignment horizontal="left" vertical="center" wrapText="1"/>
    </xf>
    <xf numFmtId="165" fontId="16" fillId="0" borderId="76" xfId="2" applyNumberFormat="1" applyFont="1" applyFill="1" applyBorder="1" applyAlignment="1">
      <alignment horizontal="center" vertical="center" wrapText="1"/>
    </xf>
    <xf numFmtId="164" fontId="16" fillId="0" borderId="76" xfId="33" applyFont="1" applyFill="1" applyBorder="1" applyAlignment="1">
      <alignment horizontal="center" vertical="center" wrapText="1"/>
    </xf>
    <xf numFmtId="4" fontId="16" fillId="0" borderId="32" xfId="2" applyNumberFormat="1" applyFont="1" applyFill="1" applyBorder="1" applyAlignment="1">
      <alignment horizontal="center" vertical="center" wrapText="1"/>
    </xf>
    <xf numFmtId="0" fontId="25" fillId="0" borderId="33" xfId="6" applyFont="1" applyFill="1" applyBorder="1" applyAlignment="1">
      <alignment horizontal="left" vertical="top" wrapText="1"/>
    </xf>
    <xf numFmtId="0" fontId="25" fillId="0" borderId="33" xfId="0" applyFont="1" applyFill="1" applyBorder="1" applyAlignment="1" applyProtection="1">
      <alignment horizontal="center" vertical="center" wrapText="1"/>
    </xf>
    <xf numFmtId="4" fontId="25" fillId="0" borderId="33" xfId="0" applyNumberFormat="1" applyFont="1" applyFill="1" applyBorder="1" applyAlignment="1">
      <alignment horizontal="center" vertical="center" wrapText="1"/>
    </xf>
    <xf numFmtId="0" fontId="15" fillId="0" borderId="32" xfId="30" applyFont="1" applyFill="1" applyBorder="1" applyAlignment="1">
      <alignment horizontal="left" vertical="top" wrapText="1"/>
    </xf>
    <xf numFmtId="43" fontId="15" fillId="0" borderId="32" xfId="31" applyNumberFormat="1" applyFont="1" applyFill="1" applyBorder="1" applyAlignment="1">
      <alignment vertical="center" wrapText="1"/>
    </xf>
    <xf numFmtId="1" fontId="15" fillId="0" borderId="14" xfId="32" applyNumberFormat="1" applyFont="1" applyFill="1" applyBorder="1" applyAlignment="1">
      <alignment horizontal="center" vertical="center" wrapText="1"/>
    </xf>
    <xf numFmtId="4" fontId="15" fillId="0" borderId="24" xfId="2" applyNumberFormat="1" applyFont="1" applyFill="1" applyBorder="1" applyAlignment="1">
      <alignment horizontal="right" vertical="top" wrapText="1"/>
    </xf>
    <xf numFmtId="1" fontId="15" fillId="0" borderId="14" xfId="0" applyNumberFormat="1" applyFont="1" applyFill="1" applyBorder="1" applyAlignment="1">
      <alignment horizontal="center"/>
    </xf>
    <xf numFmtId="164" fontId="69" fillId="0" borderId="24" xfId="2" applyFont="1" applyFill="1" applyBorder="1" applyAlignment="1">
      <alignment horizontal="right"/>
    </xf>
    <xf numFmtId="0" fontId="69" fillId="0" borderId="24" xfId="0" applyFont="1" applyFill="1" applyBorder="1" applyAlignment="1">
      <alignment horizontal="right"/>
    </xf>
    <xf numFmtId="1" fontId="15" fillId="0" borderId="82" xfId="0" applyNumberFormat="1" applyFont="1" applyFill="1" applyBorder="1" applyAlignment="1">
      <alignment horizontal="center"/>
    </xf>
    <xf numFmtId="165" fontId="15" fillId="0" borderId="83" xfId="0" applyNumberFormat="1" applyFont="1" applyFill="1" applyBorder="1" applyAlignment="1">
      <alignment horizontal="center"/>
    </xf>
    <xf numFmtId="0" fontId="69" fillId="0" borderId="71" xfId="0" applyFont="1" applyFill="1" applyBorder="1" applyAlignment="1">
      <alignment horizontal="right"/>
    </xf>
    <xf numFmtId="1" fontId="15" fillId="0" borderId="77" xfId="0" applyNumberFormat="1" applyFont="1" applyFill="1" applyBorder="1" applyAlignment="1">
      <alignment horizontal="center"/>
    </xf>
    <xf numFmtId="165" fontId="15" fillId="0" borderId="76" xfId="0" applyNumberFormat="1" applyFont="1" applyFill="1" applyBorder="1" applyAlignment="1">
      <alignment horizontal="center"/>
    </xf>
    <xf numFmtId="0" fontId="69" fillId="0" borderId="41" xfId="0" applyFont="1" applyFill="1" applyBorder="1" applyAlignment="1">
      <alignment horizontal="right"/>
    </xf>
    <xf numFmtId="0" fontId="69" fillId="0" borderId="24" xfId="0" applyFont="1" applyFill="1" applyBorder="1"/>
    <xf numFmtId="164" fontId="15" fillId="3" borderId="13" xfId="2" applyFont="1" applyFill="1" applyBorder="1" applyAlignment="1">
      <alignment horizontal="center" vertical="center" wrapText="1"/>
    </xf>
    <xf numFmtId="164" fontId="25" fillId="3" borderId="32" xfId="2" applyFont="1" applyFill="1" applyBorder="1" applyAlignment="1">
      <alignment horizontal="center" vertical="center" wrapText="1"/>
    </xf>
    <xf numFmtId="4" fontId="19" fillId="3" borderId="85" xfId="0" applyNumberFormat="1" applyFont="1" applyFill="1" applyBorder="1" applyAlignment="1">
      <alignment horizontal="justify" vertical="top" wrapText="1"/>
    </xf>
    <xf numFmtId="164" fontId="15" fillId="3" borderId="85" xfId="1" applyFont="1" applyFill="1" applyBorder="1" applyAlignment="1">
      <alignment horizontal="center" vertical="center" wrapText="1"/>
    </xf>
    <xf numFmtId="4" fontId="15" fillId="3" borderId="85" xfId="0" applyNumberFormat="1" applyFont="1" applyFill="1" applyBorder="1" applyAlignment="1">
      <alignment horizontal="center" vertical="center"/>
    </xf>
    <xf numFmtId="4" fontId="19" fillId="3" borderId="86" xfId="0" applyNumberFormat="1" applyFont="1" applyFill="1" applyBorder="1" applyAlignment="1">
      <alignment horizontal="justify" vertical="top" wrapText="1"/>
    </xf>
    <xf numFmtId="164" fontId="15" fillId="3" borderId="86" xfId="1" applyFont="1" applyFill="1" applyBorder="1" applyAlignment="1">
      <alignment horizontal="center" vertical="center" wrapText="1"/>
    </xf>
    <xf numFmtId="4" fontId="15" fillId="3" borderId="86" xfId="0" applyNumberFormat="1" applyFont="1" applyFill="1" applyBorder="1" applyAlignment="1">
      <alignment horizontal="center" vertical="center"/>
    </xf>
    <xf numFmtId="4" fontId="16" fillId="3" borderId="13" xfId="0" applyNumberFormat="1" applyFont="1" applyFill="1" applyBorder="1" applyAlignment="1">
      <alignment horizontal="justify" vertical="top" wrapText="1"/>
    </xf>
    <xf numFmtId="164" fontId="15" fillId="3" borderId="13" xfId="1" applyFont="1" applyFill="1" applyBorder="1" applyAlignment="1">
      <alignment horizontal="center" vertical="center" wrapText="1"/>
    </xf>
    <xf numFmtId="4" fontId="16" fillId="3" borderId="13" xfId="0" applyNumberFormat="1" applyFont="1" applyFill="1" applyBorder="1" applyAlignment="1">
      <alignment horizontal="left" vertical="top" wrapText="1"/>
    </xf>
    <xf numFmtId="0" fontId="15" fillId="3" borderId="13" xfId="18" applyFont="1" applyFill="1" applyBorder="1" applyAlignment="1" applyProtection="1">
      <alignment vertical="center" wrapText="1"/>
    </xf>
    <xf numFmtId="164" fontId="15" fillId="3" borderId="13" xfId="1" applyFont="1" applyFill="1" applyBorder="1" applyAlignment="1">
      <alignment vertical="center"/>
    </xf>
    <xf numFmtId="4" fontId="16" fillId="3" borderId="14" xfId="0" applyNumberFormat="1" applyFont="1" applyFill="1" applyBorder="1" applyAlignment="1">
      <alignment vertical="top" wrapText="1"/>
    </xf>
    <xf numFmtId="4" fontId="15" fillId="3" borderId="13" xfId="0" applyNumberFormat="1" applyFont="1" applyFill="1" applyBorder="1" applyAlignment="1">
      <alignment wrapText="1"/>
    </xf>
    <xf numFmtId="2" fontId="15" fillId="3" borderId="13" xfId="4" applyNumberFormat="1" applyFont="1" applyFill="1" applyBorder="1" applyAlignment="1">
      <alignment horizontal="left" vertical="center" wrapText="1"/>
    </xf>
    <xf numFmtId="4" fontId="15" fillId="3" borderId="13" xfId="28" applyNumberFormat="1" applyFont="1" applyFill="1" applyBorder="1" applyAlignment="1">
      <alignment horizontal="center" vertical="center"/>
    </xf>
    <xf numFmtId="4" fontId="16" fillId="3" borderId="83" xfId="28" applyNumberFormat="1" applyFont="1" applyFill="1" applyBorder="1" applyAlignment="1">
      <alignment vertical="center"/>
    </xf>
    <xf numFmtId="0" fontId="16" fillId="3" borderId="83" xfId="28" applyFont="1" applyFill="1" applyBorder="1" applyAlignment="1">
      <alignment vertical="center"/>
    </xf>
    <xf numFmtId="164" fontId="15" fillId="3" borderId="83" xfId="1" applyFont="1" applyFill="1" applyBorder="1" applyAlignment="1">
      <alignment vertical="center"/>
    </xf>
    <xf numFmtId="4" fontId="16" fillId="3" borderId="0" xfId="28" applyNumberFormat="1" applyFont="1" applyFill="1" applyBorder="1" applyAlignment="1">
      <alignment vertical="center"/>
    </xf>
    <xf numFmtId="0" fontId="16" fillId="3" borderId="0" xfId="28" applyFont="1" applyFill="1" applyBorder="1" applyAlignment="1">
      <alignment vertical="center"/>
    </xf>
    <xf numFmtId="164" fontId="15" fillId="3" borderId="0" xfId="1" applyFont="1" applyFill="1" applyBorder="1" applyAlignment="1">
      <alignment vertical="center"/>
    </xf>
    <xf numFmtId="0" fontId="15" fillId="3" borderId="0" xfId="28" applyFont="1" applyFill="1" applyBorder="1" applyAlignment="1">
      <alignment vertical="center"/>
    </xf>
    <xf numFmtId="4" fontId="15" fillId="3" borderId="0" xfId="0" applyNumberFormat="1" applyFont="1" applyFill="1" applyBorder="1" applyAlignment="1">
      <alignment horizontal="center" vertical="top"/>
    </xf>
    <xf numFmtId="4" fontId="15" fillId="3" borderId="0" xfId="0" applyNumberFormat="1" applyFont="1" applyFill="1" applyBorder="1" applyAlignment="1">
      <alignment horizontal="justify" vertical="top"/>
    </xf>
    <xf numFmtId="164" fontId="15" fillId="3" borderId="0" xfId="1" applyFont="1" applyFill="1" applyBorder="1" applyAlignment="1">
      <alignment horizontal="center" vertical="center"/>
    </xf>
    <xf numFmtId="4" fontId="15" fillId="3" borderId="0" xfId="0" applyNumberFormat="1" applyFont="1" applyFill="1" applyBorder="1" applyAlignment="1">
      <alignment horizontal="center" vertical="center"/>
    </xf>
    <xf numFmtId="2" fontId="19" fillId="3" borderId="13" xfId="4" applyNumberFormat="1" applyFont="1" applyFill="1" applyBorder="1" applyAlignment="1">
      <alignment horizontal="left" vertical="center" wrapText="1"/>
    </xf>
    <xf numFmtId="4" fontId="15" fillId="0" borderId="36" xfId="0" applyNumberFormat="1" applyFont="1" applyBorder="1" applyAlignment="1">
      <alignment horizontal="center" vertical="center"/>
    </xf>
    <xf numFmtId="4" fontId="15" fillId="0" borderId="69" xfId="0" applyNumberFormat="1" applyFont="1" applyFill="1" applyBorder="1" applyAlignment="1">
      <alignment horizontal="right" vertical="top"/>
    </xf>
    <xf numFmtId="4" fontId="15" fillId="0" borderId="11" xfId="0" applyNumberFormat="1" applyFont="1" applyBorder="1" applyAlignment="1">
      <alignment horizontal="center" vertical="center"/>
    </xf>
    <xf numFmtId="4" fontId="15" fillId="0" borderId="15" xfId="0" applyNumberFormat="1" applyFont="1" applyFill="1" applyBorder="1" applyAlignment="1">
      <alignment horizontal="right" vertical="top"/>
    </xf>
    <xf numFmtId="4" fontId="15" fillId="0" borderId="11" xfId="0" applyNumberFormat="1" applyFont="1" applyBorder="1" applyAlignment="1">
      <alignment horizontal="center" vertical="top"/>
    </xf>
    <xf numFmtId="4" fontId="15" fillId="3" borderId="11" xfId="0" applyNumberFormat="1" applyFont="1" applyFill="1" applyBorder="1" applyAlignment="1">
      <alignment horizontal="center" vertical="top"/>
    </xf>
    <xf numFmtId="4" fontId="15" fillId="3" borderId="15" xfId="0" applyNumberFormat="1" applyFont="1" applyFill="1" applyBorder="1" applyAlignment="1">
      <alignment horizontal="right" vertical="top"/>
    </xf>
    <xf numFmtId="4" fontId="15" fillId="0" borderId="27" xfId="0" applyNumberFormat="1" applyFont="1" applyBorder="1" applyAlignment="1">
      <alignment horizontal="center" vertical="top"/>
    </xf>
    <xf numFmtId="4" fontId="15" fillId="0" borderId="31" xfId="0" applyNumberFormat="1" applyFont="1" applyFill="1" applyBorder="1" applyAlignment="1">
      <alignment horizontal="right" vertical="top"/>
    </xf>
    <xf numFmtId="4" fontId="15" fillId="0" borderId="36" xfId="0" applyNumberFormat="1" applyFont="1" applyBorder="1" applyAlignment="1">
      <alignment horizontal="center" vertical="top"/>
    </xf>
    <xf numFmtId="4" fontId="15" fillId="3" borderId="13" xfId="0" applyNumberFormat="1" applyFont="1" applyFill="1" applyBorder="1" applyAlignment="1">
      <alignment horizontal="left" wrapText="1"/>
    </xf>
    <xf numFmtId="4" fontId="15" fillId="3" borderId="29" xfId="0" applyNumberFormat="1" applyFont="1" applyFill="1" applyBorder="1" applyAlignment="1">
      <alignment horizontal="justify" vertical="top" wrapText="1"/>
    </xf>
    <xf numFmtId="4" fontId="15" fillId="3" borderId="31" xfId="0" applyNumberFormat="1" applyFont="1" applyFill="1" applyBorder="1" applyAlignment="1">
      <alignment horizontal="right" vertical="top"/>
    </xf>
    <xf numFmtId="4" fontId="15" fillId="3" borderId="27" xfId="0" applyNumberFormat="1" applyFont="1" applyFill="1" applyBorder="1" applyAlignment="1">
      <alignment horizontal="center" vertical="top"/>
    </xf>
    <xf numFmtId="4" fontId="15" fillId="3" borderId="36" xfId="0" applyNumberFormat="1" applyFont="1" applyFill="1" applyBorder="1" applyAlignment="1">
      <alignment horizontal="center" vertical="top"/>
    </xf>
    <xf numFmtId="4" fontId="15" fillId="3" borderId="37" xfId="0" applyNumberFormat="1" applyFont="1" applyFill="1" applyBorder="1" applyAlignment="1">
      <alignment horizontal="right" vertical="top" wrapText="1"/>
    </xf>
    <xf numFmtId="4" fontId="15" fillId="3" borderId="37" xfId="0" applyNumberFormat="1" applyFont="1" applyFill="1" applyBorder="1" applyAlignment="1">
      <alignment horizontal="center" vertical="top"/>
    </xf>
    <xf numFmtId="4" fontId="15" fillId="3" borderId="69" xfId="0" applyNumberFormat="1" applyFont="1" applyFill="1" applyBorder="1" applyAlignment="1">
      <alignment horizontal="right" vertical="top"/>
    </xf>
    <xf numFmtId="4" fontId="16" fillId="0" borderId="8" xfId="0" applyNumberFormat="1" applyFont="1" applyFill="1" applyBorder="1" applyAlignment="1">
      <alignment horizontal="left" vertical="center" wrapText="1"/>
    </xf>
    <xf numFmtId="2" fontId="15" fillId="0" borderId="8" xfId="0" applyNumberFormat="1" applyFont="1" applyFill="1" applyBorder="1" applyAlignment="1">
      <alignment horizontal="center" vertical="center"/>
    </xf>
    <xf numFmtId="4" fontId="15" fillId="0" borderId="88" xfId="0" applyNumberFormat="1" applyFont="1" applyBorder="1" applyAlignment="1">
      <alignment horizontal="center" vertical="center"/>
    </xf>
    <xf numFmtId="4" fontId="15" fillId="0" borderId="89" xfId="0" applyNumberFormat="1" applyFont="1" applyFill="1" applyBorder="1" applyAlignment="1">
      <alignment horizontal="center" vertical="center"/>
    </xf>
    <xf numFmtId="4" fontId="15" fillId="0" borderId="90" xfId="0" applyNumberFormat="1" applyFont="1" applyBorder="1" applyAlignment="1">
      <alignment horizontal="center" vertical="center"/>
    </xf>
    <xf numFmtId="4" fontId="15" fillId="0" borderId="91" xfId="0" applyNumberFormat="1" applyFont="1" applyFill="1" applyBorder="1" applyAlignment="1">
      <alignment horizontal="center" vertical="center"/>
    </xf>
    <xf numFmtId="4" fontId="15" fillId="0" borderId="27" xfId="0" applyNumberFormat="1" applyFont="1" applyBorder="1" applyAlignment="1">
      <alignment horizontal="center" vertical="center"/>
    </xf>
    <xf numFmtId="4" fontId="15" fillId="0" borderId="31" xfId="0" applyNumberFormat="1" applyFont="1" applyFill="1" applyBorder="1" applyAlignment="1">
      <alignment horizontal="center" vertical="center"/>
    </xf>
    <xf numFmtId="4" fontId="15" fillId="0" borderId="69" xfId="0" applyNumberFormat="1" applyFont="1" applyFill="1" applyBorder="1" applyAlignment="1">
      <alignment horizontal="center" vertical="center"/>
    </xf>
    <xf numFmtId="164" fontId="15" fillId="3" borderId="37" xfId="1" applyFont="1" applyFill="1" applyBorder="1" applyAlignment="1">
      <alignment horizontal="center" vertical="center"/>
    </xf>
    <xf numFmtId="4" fontId="15" fillId="3" borderId="15" xfId="0" applyNumberFormat="1" applyFont="1" applyFill="1" applyBorder="1" applyAlignment="1">
      <alignment horizontal="center" vertical="center"/>
    </xf>
    <xf numFmtId="4" fontId="15" fillId="3" borderId="11" xfId="0" applyNumberFormat="1" applyFont="1" applyFill="1" applyBorder="1" applyAlignment="1">
      <alignment horizontal="center" vertical="center"/>
    </xf>
    <xf numFmtId="4" fontId="15" fillId="2" borderId="11" xfId="0" applyNumberFormat="1" applyFont="1" applyFill="1" applyBorder="1" applyAlignment="1">
      <alignment horizontal="center" vertical="center"/>
    </xf>
    <xf numFmtId="4" fontId="15" fillId="2" borderId="15" xfId="0" applyNumberFormat="1" applyFont="1" applyFill="1" applyBorder="1" applyAlignment="1">
      <alignment horizontal="center" vertical="center"/>
    </xf>
    <xf numFmtId="4" fontId="15" fillId="3" borderId="27" xfId="0" applyNumberFormat="1" applyFont="1" applyFill="1" applyBorder="1" applyAlignment="1">
      <alignment horizontal="center" vertical="center"/>
    </xf>
    <xf numFmtId="4" fontId="33" fillId="3" borderId="29" xfId="0" applyNumberFormat="1" applyFont="1" applyFill="1" applyBorder="1" applyAlignment="1">
      <alignment horizontal="justify" vertical="center" wrapText="1"/>
    </xf>
    <xf numFmtId="4" fontId="33" fillId="3" borderId="29" xfId="0" applyNumberFormat="1" applyFont="1" applyFill="1" applyBorder="1" applyAlignment="1">
      <alignment horizontal="center" vertical="center" wrapText="1"/>
    </xf>
    <xf numFmtId="4" fontId="15" fillId="3" borderId="29" xfId="0" applyNumberFormat="1" applyFont="1" applyFill="1" applyBorder="1" applyAlignment="1">
      <alignment horizontal="center" vertical="center"/>
    </xf>
    <xf numFmtId="164" fontId="15" fillId="3" borderId="29" xfId="1" applyFont="1" applyFill="1" applyBorder="1" applyAlignment="1">
      <alignment horizontal="center" vertical="center"/>
    </xf>
    <xf numFmtId="4" fontId="15" fillId="3" borderId="31" xfId="0" applyNumberFormat="1" applyFont="1" applyFill="1" applyBorder="1" applyAlignment="1">
      <alignment horizontal="center" vertical="center"/>
    </xf>
    <xf numFmtId="4" fontId="15" fillId="3" borderId="36" xfId="0" applyNumberFormat="1" applyFont="1" applyFill="1" applyBorder="1" applyAlignment="1">
      <alignment horizontal="center" vertical="center"/>
    </xf>
    <xf numFmtId="4" fontId="18" fillId="3" borderId="37" xfId="0" applyNumberFormat="1" applyFont="1" applyFill="1" applyBorder="1" applyAlignment="1">
      <alignment horizontal="justify" vertical="center" wrapText="1"/>
    </xf>
    <xf numFmtId="4" fontId="33" fillId="3" borderId="37" xfId="0" applyNumberFormat="1" applyFont="1" applyFill="1" applyBorder="1" applyAlignment="1">
      <alignment horizontal="center" vertical="center" wrapText="1"/>
    </xf>
    <xf numFmtId="4" fontId="15" fillId="3" borderId="37" xfId="0" applyNumberFormat="1" applyFont="1" applyFill="1" applyBorder="1" applyAlignment="1">
      <alignment horizontal="center" vertical="center"/>
    </xf>
    <xf numFmtId="4" fontId="15" fillId="3" borderId="69" xfId="0" applyNumberFormat="1" applyFont="1" applyFill="1" applyBorder="1" applyAlignment="1">
      <alignment horizontal="center" vertical="center"/>
    </xf>
    <xf numFmtId="4" fontId="15" fillId="0" borderId="87" xfId="0" applyNumberFormat="1" applyFont="1" applyFill="1" applyBorder="1" applyAlignment="1">
      <alignment horizontal="center" vertical="center"/>
    </xf>
    <xf numFmtId="2" fontId="16" fillId="0" borderId="8" xfId="0" applyNumberFormat="1" applyFont="1" applyFill="1" applyBorder="1" applyAlignment="1">
      <alignment horizontal="center" vertical="center"/>
    </xf>
    <xf numFmtId="0" fontId="16" fillId="0" borderId="9" xfId="0" applyFont="1" applyFill="1" applyBorder="1" applyAlignment="1">
      <alignment horizontal="center" vertical="center"/>
    </xf>
    <xf numFmtId="164" fontId="16" fillId="0" borderId="10" xfId="2" applyFont="1" applyFill="1" applyBorder="1" applyAlignment="1">
      <alignment horizontal="center" vertical="center"/>
    </xf>
    <xf numFmtId="4" fontId="15" fillId="0" borderId="11" xfId="0" applyNumberFormat="1" applyFont="1" applyFill="1" applyBorder="1" applyAlignment="1">
      <alignment horizontal="center" vertical="top"/>
    </xf>
    <xf numFmtId="4" fontId="16" fillId="0" borderId="11" xfId="0" applyNumberFormat="1" applyFont="1" applyBorder="1" applyAlignment="1">
      <alignment horizontal="center" vertical="top"/>
    </xf>
    <xf numFmtId="4" fontId="15" fillId="0" borderId="15" xfId="0" applyNumberFormat="1" applyFont="1" applyFill="1" applyBorder="1" applyAlignment="1">
      <alignment vertical="center"/>
    </xf>
    <xf numFmtId="4" fontId="15" fillId="0" borderId="37" xfId="0" applyNumberFormat="1" applyFont="1" applyFill="1" applyBorder="1" applyAlignment="1">
      <alignment horizontal="justify" vertical="top" wrapText="1"/>
    </xf>
    <xf numFmtId="43" fontId="15" fillId="0" borderId="15" xfId="31" applyNumberFormat="1" applyFont="1" applyFill="1" applyBorder="1" applyAlignment="1">
      <alignment horizontal="center" vertical="center" wrapText="1"/>
    </xf>
    <xf numFmtId="4" fontId="15" fillId="0" borderId="70" xfId="0" applyNumberFormat="1" applyFont="1" applyBorder="1" applyAlignment="1">
      <alignment horizontal="center" vertical="center"/>
    </xf>
    <xf numFmtId="4" fontId="16" fillId="0" borderId="70" xfId="0" applyNumberFormat="1" applyFont="1" applyFill="1" applyBorder="1" applyAlignment="1">
      <alignment horizontal="center" vertical="center"/>
    </xf>
    <xf numFmtId="2" fontId="16" fillId="3" borderId="6" xfId="0" applyNumberFormat="1" applyFont="1" applyFill="1" applyBorder="1" applyAlignment="1">
      <alignment horizontal="center"/>
    </xf>
    <xf numFmtId="2" fontId="16" fillId="3" borderId="7" xfId="0" applyNumberFormat="1" applyFont="1" applyFill="1" applyBorder="1" applyAlignment="1">
      <alignment horizontal="center"/>
    </xf>
    <xf numFmtId="164" fontId="16" fillId="3" borderId="8" xfId="1" applyFont="1" applyFill="1" applyBorder="1" applyAlignment="1">
      <alignment horizontal="center" vertical="center"/>
    </xf>
    <xf numFmtId="0" fontId="16" fillId="3" borderId="9" xfId="0" applyFont="1" applyFill="1" applyBorder="1" applyAlignment="1">
      <alignment horizontal="center" vertical="center"/>
    </xf>
    <xf numFmtId="4" fontId="15" fillId="3" borderId="88" xfId="0" applyNumberFormat="1" applyFont="1" applyFill="1" applyBorder="1" applyAlignment="1">
      <alignment horizontal="center" vertical="top"/>
    </xf>
    <xf numFmtId="4" fontId="15" fillId="3" borderId="89" xfId="0" applyNumberFormat="1" applyFont="1" applyFill="1" applyBorder="1" applyAlignment="1">
      <alignment horizontal="center" vertical="center"/>
    </xf>
    <xf numFmtId="4" fontId="15" fillId="3" borderId="90" xfId="0" applyNumberFormat="1" applyFont="1" applyFill="1" applyBorder="1" applyAlignment="1">
      <alignment horizontal="center" vertical="top"/>
    </xf>
    <xf numFmtId="4" fontId="15" fillId="3" borderId="91" xfId="0" applyNumberFormat="1" applyFont="1" applyFill="1" applyBorder="1" applyAlignment="1">
      <alignment horizontal="center" vertical="center"/>
    </xf>
    <xf numFmtId="43" fontId="60" fillId="3" borderId="24" xfId="0" applyNumberFormat="1" applyFont="1" applyFill="1" applyBorder="1" applyAlignment="1">
      <alignment horizontal="center" vertical="center"/>
    </xf>
    <xf numFmtId="4" fontId="16" fillId="3" borderId="36" xfId="0" applyNumberFormat="1" applyFont="1" applyFill="1" applyBorder="1" applyAlignment="1">
      <alignment horizontal="center" vertical="top"/>
    </xf>
    <xf numFmtId="4" fontId="16" fillId="3" borderId="11" xfId="0" applyNumberFormat="1" applyFont="1" applyFill="1" applyBorder="1" applyAlignment="1">
      <alignment horizontal="center" vertical="top"/>
    </xf>
    <xf numFmtId="164" fontId="15" fillId="3" borderId="15" xfId="2" applyFont="1" applyFill="1" applyBorder="1" applyAlignment="1">
      <alignment vertical="center"/>
    </xf>
    <xf numFmtId="164" fontId="15" fillId="3" borderId="15" xfId="1" applyFont="1" applyFill="1" applyBorder="1" applyAlignment="1">
      <alignment horizontal="right" vertical="center"/>
    </xf>
    <xf numFmtId="4" fontId="16" fillId="3" borderId="27" xfId="0" applyNumberFormat="1" applyFont="1" applyFill="1" applyBorder="1" applyAlignment="1">
      <alignment horizontal="center" vertical="top"/>
    </xf>
    <xf numFmtId="2" fontId="15" fillId="3" borderId="29" xfId="4" applyNumberFormat="1" applyFont="1" applyFill="1" applyBorder="1" applyAlignment="1">
      <alignment horizontal="left" vertical="center" wrapText="1"/>
    </xf>
    <xf numFmtId="4" fontId="15" fillId="3" borderId="29" xfId="28" applyNumberFormat="1" applyFont="1" applyFill="1" applyBorder="1" applyAlignment="1">
      <alignment horizontal="center" vertical="center"/>
    </xf>
    <xf numFmtId="164" fontId="15" fillId="3" borderId="31" xfId="1" applyFont="1" applyFill="1" applyBorder="1" applyAlignment="1">
      <alignment horizontal="right" vertical="center"/>
    </xf>
    <xf numFmtId="2" fontId="15" fillId="3" borderId="37" xfId="4" applyNumberFormat="1" applyFont="1" applyFill="1" applyBorder="1" applyAlignment="1">
      <alignment horizontal="left" vertical="center" wrapText="1"/>
    </xf>
    <xf numFmtId="4" fontId="15" fillId="3" borderId="37" xfId="28" applyNumberFormat="1" applyFont="1" applyFill="1" applyBorder="1" applyAlignment="1">
      <alignment horizontal="center" vertical="center"/>
    </xf>
    <xf numFmtId="164" fontId="15" fillId="3" borderId="69" xfId="1" applyFont="1" applyFill="1" applyBorder="1" applyAlignment="1">
      <alignment horizontal="right" vertical="center"/>
    </xf>
    <xf numFmtId="4" fontId="15" fillId="3" borderId="70" xfId="0" applyNumberFormat="1" applyFont="1" applyFill="1" applyBorder="1" applyAlignment="1">
      <alignment horizontal="center" vertical="center"/>
    </xf>
    <xf numFmtId="4" fontId="16" fillId="3" borderId="70" xfId="0" applyNumberFormat="1" applyFont="1" applyFill="1" applyBorder="1" applyAlignment="1">
      <alignment horizontal="center" vertical="center"/>
    </xf>
    <xf numFmtId="164" fontId="15" fillId="0" borderId="36" xfId="1" applyFont="1" applyFill="1" applyBorder="1" applyAlignment="1">
      <alignment horizontal="center" vertical="top"/>
    </xf>
    <xf numFmtId="0" fontId="15" fillId="0" borderId="69" xfId="0" applyFont="1" applyFill="1" applyBorder="1" applyAlignment="1">
      <alignment horizontal="center"/>
    </xf>
    <xf numFmtId="164" fontId="16" fillId="0" borderId="11" xfId="1" applyFont="1" applyFill="1" applyBorder="1" applyAlignment="1">
      <alignment horizontal="center" vertical="top"/>
    </xf>
    <xf numFmtId="164" fontId="15" fillId="0" borderId="11" xfId="1" applyFont="1" applyFill="1" applyBorder="1" applyAlignment="1">
      <alignment horizontal="center" vertical="top"/>
    </xf>
    <xf numFmtId="164" fontId="15" fillId="0" borderId="24" xfId="1" applyFont="1" applyFill="1" applyBorder="1" applyAlignment="1">
      <alignment horizontal="right" vertical="justify"/>
    </xf>
    <xf numFmtId="164" fontId="16" fillId="0" borderId="94" xfId="1" applyFont="1" applyFill="1" applyBorder="1" applyAlignment="1">
      <alignment horizontal="center" vertical="top"/>
    </xf>
    <xf numFmtId="164" fontId="15" fillId="0" borderId="95" xfId="3" applyFont="1" applyFill="1" applyBorder="1" applyAlignment="1">
      <alignment horizontal="right" vertical="justify"/>
    </xf>
    <xf numFmtId="0" fontId="16" fillId="0" borderId="8" xfId="0" applyFont="1" applyFill="1" applyBorder="1" applyAlignment="1">
      <alignment horizontal="center"/>
    </xf>
    <xf numFmtId="4" fontId="16" fillId="0" borderId="11" xfId="0" applyNumberFormat="1" applyFont="1" applyBorder="1" applyAlignment="1">
      <alignment horizontal="center" vertical="center"/>
    </xf>
    <xf numFmtId="0" fontId="60" fillId="2" borderId="12" xfId="12" applyFont="1" applyFill="1" applyBorder="1"/>
    <xf numFmtId="0" fontId="60" fillId="2" borderId="0" xfId="12" applyFont="1" applyFill="1" applyBorder="1"/>
    <xf numFmtId="43" fontId="60" fillId="2" borderId="0" xfId="12" applyNumberFormat="1" applyFont="1" applyFill="1"/>
    <xf numFmtId="0" fontId="60" fillId="2" borderId="0" xfId="12" applyFont="1" applyFill="1"/>
    <xf numFmtId="164" fontId="60" fillId="3" borderId="12" xfId="2" applyNumberFormat="1" applyFont="1" applyFill="1" applyBorder="1"/>
    <xf numFmtId="0" fontId="60" fillId="3" borderId="12" xfId="12" applyFont="1" applyFill="1" applyBorder="1"/>
    <xf numFmtId="166" fontId="60" fillId="3" borderId="12" xfId="2" applyNumberFormat="1" applyFont="1" applyFill="1" applyBorder="1"/>
    <xf numFmtId="164" fontId="60" fillId="3" borderId="12" xfId="2" applyFont="1" applyFill="1" applyBorder="1"/>
    <xf numFmtId="177" fontId="60" fillId="0" borderId="0" xfId="12" applyNumberFormat="1" applyFont="1" applyBorder="1"/>
    <xf numFmtId="43" fontId="60" fillId="0" borderId="0" xfId="12" applyNumberFormat="1" applyFont="1" applyBorder="1"/>
    <xf numFmtId="4" fontId="16" fillId="0" borderId="10" xfId="0" applyNumberFormat="1" applyFont="1" applyFill="1" applyBorder="1" applyAlignment="1">
      <alignment horizontal="center" vertical="center"/>
    </xf>
    <xf numFmtId="2" fontId="16" fillId="0" borderId="36" xfId="0" applyNumberFormat="1" applyFont="1" applyFill="1" applyBorder="1" applyAlignment="1">
      <alignment horizontal="center"/>
    </xf>
    <xf numFmtId="4" fontId="15" fillId="0" borderId="96" xfId="0" applyNumberFormat="1" applyFont="1" applyBorder="1" applyAlignment="1">
      <alignment horizontal="center" vertical="center"/>
    </xf>
    <xf numFmtId="4" fontId="16" fillId="0" borderId="96" xfId="0" applyNumberFormat="1" applyFont="1" applyFill="1" applyBorder="1" applyAlignment="1">
      <alignment horizontal="right" vertical="top"/>
    </xf>
    <xf numFmtId="164" fontId="60" fillId="0" borderId="0" xfId="12" applyNumberFormat="1" applyFont="1" applyBorder="1"/>
    <xf numFmtId="4" fontId="16" fillId="0" borderId="14" xfId="0" applyNumberFormat="1" applyFont="1" applyFill="1" applyBorder="1" applyAlignment="1">
      <alignment horizontal="justify" vertical="top" wrapText="1"/>
    </xf>
    <xf numFmtId="164" fontId="13" fillId="3" borderId="24" xfId="2" applyFont="1" applyFill="1" applyBorder="1" applyAlignment="1">
      <alignment vertical="center"/>
    </xf>
    <xf numFmtId="0" fontId="13" fillId="3" borderId="12" xfId="0" applyFont="1" applyFill="1" applyBorder="1" applyAlignment="1">
      <alignment horizontal="justify" vertical="top"/>
    </xf>
    <xf numFmtId="164" fontId="13" fillId="3" borderId="12" xfId="2" applyFont="1" applyFill="1" applyBorder="1" applyAlignment="1"/>
    <xf numFmtId="4" fontId="19" fillId="3" borderId="8" xfId="0" applyNumberFormat="1" applyFont="1" applyFill="1" applyBorder="1" applyAlignment="1">
      <alignment horizontal="right" vertical="center" wrapText="1"/>
    </xf>
    <xf numFmtId="4" fontId="15" fillId="2" borderId="11" xfId="0" applyNumberFormat="1" applyFont="1" applyFill="1" applyBorder="1" applyAlignment="1">
      <alignment horizontal="center" vertical="top"/>
    </xf>
    <xf numFmtId="4" fontId="15" fillId="2" borderId="13" xfId="0" applyNumberFormat="1" applyFont="1" applyFill="1" applyBorder="1" applyAlignment="1">
      <alignment horizontal="right" vertical="top" wrapText="1"/>
    </xf>
    <xf numFmtId="4" fontId="15" fillId="2" borderId="13" xfId="0" applyNumberFormat="1" applyFont="1" applyFill="1" applyBorder="1" applyAlignment="1">
      <alignment horizontal="center" vertical="top"/>
    </xf>
    <xf numFmtId="164" fontId="15" fillId="2" borderId="13" xfId="1" applyFont="1" applyFill="1" applyBorder="1" applyAlignment="1">
      <alignment horizontal="right" vertical="top"/>
    </xf>
    <xf numFmtId="4" fontId="15" fillId="2" borderId="15" xfId="0" applyNumberFormat="1" applyFont="1" applyFill="1" applyBorder="1" applyAlignment="1">
      <alignment horizontal="right" vertical="top"/>
    </xf>
    <xf numFmtId="4" fontId="15" fillId="2" borderId="13" xfId="0" applyNumberFormat="1" applyFont="1" applyFill="1" applyBorder="1" applyAlignment="1">
      <alignment horizontal="justify" vertical="top" wrapText="1"/>
    </xf>
    <xf numFmtId="2" fontId="16" fillId="3" borderId="8" xfId="0" applyNumberFormat="1" applyFont="1" applyFill="1" applyBorder="1" applyAlignment="1">
      <alignment horizontal="center"/>
    </xf>
    <xf numFmtId="0" fontId="16" fillId="3" borderId="9" xfId="0" applyFont="1" applyFill="1" applyBorder="1" applyAlignment="1">
      <alignment horizontal="center"/>
    </xf>
    <xf numFmtId="164" fontId="16" fillId="3" borderId="8" xfId="1" applyFont="1" applyFill="1" applyBorder="1" applyAlignment="1">
      <alignment horizontal="center"/>
    </xf>
    <xf numFmtId="164" fontId="16" fillId="3" borderId="10" xfId="2" applyFont="1" applyFill="1" applyBorder="1" applyAlignment="1">
      <alignment horizontal="center"/>
    </xf>
    <xf numFmtId="164" fontId="16" fillId="3" borderId="0" xfId="2" applyFont="1" applyFill="1" applyBorder="1" applyAlignment="1">
      <alignment horizontal="center"/>
    </xf>
    <xf numFmtId="4" fontId="18" fillId="3" borderId="37" xfId="0" applyNumberFormat="1" applyFont="1" applyFill="1" applyBorder="1" applyAlignment="1">
      <alignment horizontal="right" vertical="center" wrapText="1"/>
    </xf>
    <xf numFmtId="4" fontId="19" fillId="3" borderId="13" xfId="0" applyNumberFormat="1" applyFont="1" applyFill="1" applyBorder="1" applyAlignment="1">
      <alignment horizontal="justify" vertical="center" wrapText="1"/>
    </xf>
    <xf numFmtId="4" fontId="19" fillId="3" borderId="13" xfId="0" applyNumberFormat="1" applyFont="1" applyFill="1" applyBorder="1" applyAlignment="1">
      <alignment horizontal="right" vertical="center" wrapText="1"/>
    </xf>
    <xf numFmtId="4" fontId="16" fillId="3" borderId="13" xfId="0" applyNumberFormat="1" applyFont="1" applyFill="1" applyBorder="1" applyAlignment="1">
      <alignment horizontal="left" vertical="center" wrapText="1"/>
    </xf>
    <xf numFmtId="4" fontId="16" fillId="3" borderId="13" xfId="0" applyNumberFormat="1" applyFont="1" applyFill="1" applyBorder="1" applyAlignment="1">
      <alignment horizontal="justify" vertical="center" wrapText="1"/>
    </xf>
    <xf numFmtId="4" fontId="16" fillId="3" borderId="13" xfId="0" applyNumberFormat="1" applyFont="1" applyFill="1" applyBorder="1" applyAlignment="1">
      <alignment horizontal="right" vertical="center" wrapText="1"/>
    </xf>
    <xf numFmtId="4" fontId="15" fillId="3" borderId="29" xfId="0" applyNumberFormat="1" applyFont="1" applyFill="1" applyBorder="1" applyAlignment="1">
      <alignment horizontal="right" vertical="top" wrapText="1"/>
    </xf>
    <xf numFmtId="4" fontId="15" fillId="3" borderId="29" xfId="0" applyNumberFormat="1" applyFont="1" applyFill="1" applyBorder="1" applyAlignment="1">
      <alignment horizontal="center" vertical="top"/>
    </xf>
    <xf numFmtId="4" fontId="15" fillId="3" borderId="37" xfId="0" applyNumberFormat="1" applyFont="1" applyFill="1" applyBorder="1" applyAlignment="1">
      <alignment horizontal="left" wrapText="1"/>
    </xf>
    <xf numFmtId="4" fontId="16" fillId="3" borderId="37" xfId="0" applyNumberFormat="1" applyFont="1" applyFill="1" applyBorder="1" applyAlignment="1">
      <alignment horizontal="justify" vertical="top" wrapText="1"/>
    </xf>
    <xf numFmtId="4" fontId="15" fillId="3" borderId="6" xfId="0" applyNumberFormat="1" applyFont="1" applyFill="1" applyBorder="1" applyAlignment="1">
      <alignment horizontal="center" vertical="center"/>
    </xf>
    <xf numFmtId="4" fontId="16" fillId="3" borderId="8" xfId="0" applyNumberFormat="1" applyFont="1" applyFill="1" applyBorder="1" applyAlignment="1">
      <alignment horizontal="justify" vertical="center" wrapText="1"/>
    </xf>
    <xf numFmtId="4" fontId="15" fillId="3" borderId="8" xfId="0" applyNumberFormat="1" applyFont="1" applyFill="1" applyBorder="1" applyAlignment="1">
      <alignment horizontal="center" vertical="top"/>
    </xf>
    <xf numFmtId="4" fontId="16" fillId="3" borderId="10" xfId="0" applyNumberFormat="1" applyFont="1" applyFill="1" applyBorder="1" applyAlignment="1">
      <alignment horizontal="right" vertical="top"/>
    </xf>
    <xf numFmtId="4" fontId="16" fillId="3" borderId="0" xfId="0" applyNumberFormat="1" applyFont="1" applyFill="1" applyBorder="1" applyAlignment="1">
      <alignment horizontal="right" vertical="top"/>
    </xf>
    <xf numFmtId="164" fontId="15" fillId="3" borderId="0" xfId="1" applyFont="1" applyFill="1" applyBorder="1" applyAlignment="1">
      <alignment horizontal="right" vertical="top"/>
    </xf>
    <xf numFmtId="4" fontId="19" fillId="2" borderId="13" xfId="0" applyNumberFormat="1" applyFont="1" applyFill="1" applyBorder="1" applyAlignment="1">
      <alignment horizontal="justify" vertical="center" wrapText="1"/>
    </xf>
    <xf numFmtId="4" fontId="15" fillId="2" borderId="13" xfId="0" applyNumberFormat="1" applyFont="1" applyFill="1" applyBorder="1" applyAlignment="1">
      <alignment horizontal="right" vertical="center" wrapText="1"/>
    </xf>
    <xf numFmtId="4" fontId="15" fillId="2" borderId="0" xfId="0" applyNumberFormat="1" applyFont="1" applyFill="1" applyBorder="1" applyAlignment="1">
      <alignment horizontal="right" vertical="top"/>
    </xf>
    <xf numFmtId="4" fontId="15" fillId="2" borderId="13" xfId="0" applyNumberFormat="1" applyFont="1" applyFill="1" applyBorder="1" applyAlignment="1">
      <alignment horizontal="justify" vertical="center" wrapText="1"/>
    </xf>
    <xf numFmtId="4" fontId="16" fillId="2" borderId="11" xfId="0" applyNumberFormat="1" applyFont="1" applyFill="1" applyBorder="1" applyAlignment="1">
      <alignment horizontal="center" vertical="center"/>
    </xf>
    <xf numFmtId="4" fontId="16" fillId="2" borderId="13" xfId="0" applyNumberFormat="1" applyFont="1" applyFill="1" applyBorder="1" applyAlignment="1">
      <alignment horizontal="justify" vertical="center" wrapText="1"/>
    </xf>
    <xf numFmtId="4" fontId="16" fillId="2" borderId="13" xfId="0" applyNumberFormat="1" applyFont="1" applyFill="1" applyBorder="1" applyAlignment="1">
      <alignment horizontal="right" vertical="center" wrapText="1"/>
    </xf>
    <xf numFmtId="4" fontId="15" fillId="2" borderId="0" xfId="0" applyNumberFormat="1" applyFont="1" applyFill="1" applyBorder="1" applyAlignment="1">
      <alignment vertical="top"/>
    </xf>
    <xf numFmtId="4" fontId="13" fillId="2" borderId="13" xfId="0" applyNumberFormat="1" applyFont="1" applyFill="1" applyBorder="1" applyAlignment="1">
      <alignment horizontal="justify" vertical="center" wrapText="1"/>
    </xf>
    <xf numFmtId="2" fontId="16" fillId="2" borderId="6" xfId="0" applyNumberFormat="1" applyFont="1" applyFill="1" applyBorder="1" applyAlignment="1">
      <alignment horizontal="center"/>
    </xf>
    <xf numFmtId="2" fontId="16" fillId="2" borderId="8" xfId="0" applyNumberFormat="1" applyFont="1" applyFill="1" applyBorder="1" applyAlignment="1"/>
    <xf numFmtId="2" fontId="16" fillId="2" borderId="8" xfId="0" applyNumberFormat="1" applyFont="1" applyFill="1" applyBorder="1" applyAlignment="1">
      <alignment horizontal="center"/>
    </xf>
    <xf numFmtId="0" fontId="16" fillId="2" borderId="8" xfId="0" applyFont="1" applyFill="1" applyBorder="1" applyAlignment="1">
      <alignment horizontal="center"/>
    </xf>
    <xf numFmtId="164" fontId="16" fillId="2" borderId="8" xfId="1" applyFont="1" applyFill="1" applyBorder="1" applyAlignment="1">
      <alignment horizontal="center"/>
    </xf>
    <xf numFmtId="164" fontId="16" fillId="2" borderId="10" xfId="2" applyFont="1" applyFill="1" applyBorder="1" applyAlignment="1">
      <alignment horizontal="center"/>
    </xf>
    <xf numFmtId="4" fontId="19" fillId="2" borderId="13" xfId="0" applyNumberFormat="1" applyFont="1" applyFill="1" applyBorder="1" applyAlignment="1">
      <alignment vertical="center" wrapText="1"/>
    </xf>
    <xf numFmtId="4" fontId="19" fillId="2" borderId="13" xfId="0" applyNumberFormat="1" applyFont="1" applyFill="1" applyBorder="1" applyAlignment="1">
      <alignment horizontal="right" vertical="center" wrapText="1"/>
    </xf>
    <xf numFmtId="4" fontId="15" fillId="2" borderId="13" xfId="0" applyNumberFormat="1" applyFont="1" applyFill="1" applyBorder="1" applyAlignment="1">
      <alignment vertical="center"/>
    </xf>
    <xf numFmtId="4" fontId="15" fillId="2" borderId="13" xfId="0" applyNumberFormat="1" applyFont="1" applyFill="1" applyBorder="1" applyAlignment="1">
      <alignment vertical="center" wrapText="1"/>
    </xf>
    <xf numFmtId="4" fontId="16" fillId="2" borderId="13" xfId="0" applyNumberFormat="1" applyFont="1" applyFill="1" applyBorder="1" applyAlignment="1">
      <alignment vertical="center" wrapText="1"/>
    </xf>
    <xf numFmtId="4" fontId="15" fillId="2" borderId="13" xfId="0" applyNumberFormat="1" applyFont="1" applyFill="1" applyBorder="1" applyAlignment="1">
      <alignment vertical="top" wrapText="1"/>
    </xf>
    <xf numFmtId="4" fontId="15" fillId="2" borderId="27" xfId="0" applyNumberFormat="1" applyFont="1" applyFill="1" applyBorder="1" applyAlignment="1">
      <alignment horizontal="center" vertical="center"/>
    </xf>
    <xf numFmtId="4" fontId="15" fillId="2" borderId="29" xfId="0" applyNumberFormat="1" applyFont="1" applyFill="1" applyBorder="1" applyAlignment="1">
      <alignment horizontal="left" wrapText="1"/>
    </xf>
    <xf numFmtId="4" fontId="19" fillId="2" borderId="29" xfId="0" applyNumberFormat="1" applyFont="1" applyFill="1" applyBorder="1" applyAlignment="1">
      <alignment horizontal="right" vertical="center" wrapText="1"/>
    </xf>
    <xf numFmtId="4" fontId="15" fillId="2" borderId="29" xfId="0" applyNumberFormat="1" applyFont="1" applyFill="1" applyBorder="1" applyAlignment="1">
      <alignment horizontal="center" vertical="top"/>
    </xf>
    <xf numFmtId="164" fontId="15" fillId="2" borderId="29" xfId="1" applyFont="1" applyFill="1" applyBorder="1" applyAlignment="1">
      <alignment horizontal="right" vertical="top"/>
    </xf>
    <xf numFmtId="4" fontId="15" fillId="2" borderId="31" xfId="0" applyNumberFormat="1" applyFont="1" applyFill="1" applyBorder="1" applyAlignment="1">
      <alignment horizontal="right" vertical="top"/>
    </xf>
    <xf numFmtId="4" fontId="15" fillId="2" borderId="36" xfId="0" applyNumberFormat="1" applyFont="1" applyFill="1" applyBorder="1" applyAlignment="1">
      <alignment horizontal="center" vertical="center"/>
    </xf>
    <xf numFmtId="4" fontId="15" fillId="2" borderId="37" xfId="0" applyNumberFormat="1" applyFont="1" applyFill="1" applyBorder="1" applyAlignment="1">
      <alignment vertical="center"/>
    </xf>
    <xf numFmtId="4" fontId="19" fillId="2" borderId="37" xfId="0" applyNumberFormat="1" applyFont="1" applyFill="1" applyBorder="1" applyAlignment="1">
      <alignment horizontal="right" vertical="center" wrapText="1"/>
    </xf>
    <xf numFmtId="4" fontId="15" fillId="2" borderId="37" xfId="0" applyNumberFormat="1" applyFont="1" applyFill="1" applyBorder="1" applyAlignment="1">
      <alignment horizontal="center" vertical="top"/>
    </xf>
    <xf numFmtId="164" fontId="15" fillId="2" borderId="37" xfId="1" applyFont="1" applyFill="1" applyBorder="1" applyAlignment="1">
      <alignment horizontal="right" vertical="top"/>
    </xf>
    <xf numFmtId="4" fontId="15" fillId="2" borderId="69" xfId="0" applyNumberFormat="1" applyFont="1" applyFill="1" applyBorder="1" applyAlignment="1">
      <alignment horizontal="right" vertical="top"/>
    </xf>
    <xf numFmtId="4" fontId="15" fillId="2" borderId="29" xfId="0" applyNumberFormat="1" applyFont="1" applyFill="1" applyBorder="1" applyAlignment="1">
      <alignment vertical="center" wrapText="1"/>
    </xf>
    <xf numFmtId="4" fontId="15" fillId="2" borderId="37" xfId="0" applyNumberFormat="1" applyFont="1" applyFill="1" applyBorder="1" applyAlignment="1">
      <alignment vertical="top" wrapText="1"/>
    </xf>
    <xf numFmtId="4" fontId="19" fillId="2" borderId="29" xfId="0" applyNumberFormat="1" applyFont="1" applyFill="1" applyBorder="1" applyAlignment="1">
      <alignment vertical="center" wrapText="1"/>
    </xf>
    <xf numFmtId="4" fontId="15" fillId="2" borderId="36" xfId="0" applyNumberFormat="1" applyFont="1" applyFill="1" applyBorder="1" applyAlignment="1">
      <alignment horizontal="center" vertical="top"/>
    </xf>
    <xf numFmtId="4" fontId="15" fillId="2" borderId="37" xfId="0" applyNumberFormat="1" applyFont="1" applyFill="1" applyBorder="1" applyAlignment="1">
      <alignment vertical="center" wrapText="1"/>
    </xf>
    <xf numFmtId="0" fontId="15" fillId="2" borderId="13" xfId="0" applyFont="1" applyFill="1" applyBorder="1" applyAlignment="1">
      <alignment vertical="justify"/>
    </xf>
    <xf numFmtId="39" fontId="15" fillId="2" borderId="12" xfId="2" applyNumberFormat="1" applyFont="1" applyFill="1" applyBorder="1" applyAlignment="1"/>
    <xf numFmtId="0" fontId="19" fillId="2" borderId="13" xfId="0" applyFont="1" applyFill="1" applyBorder="1" applyAlignment="1">
      <alignment vertical="justify"/>
    </xf>
    <xf numFmtId="0" fontId="15" fillId="2" borderId="13" xfId="0" applyFont="1" applyFill="1" applyBorder="1" applyAlignment="1">
      <alignment vertical="justify" wrapText="1"/>
    </xf>
    <xf numFmtId="4" fontId="15" fillId="2" borderId="13" xfId="0" applyNumberFormat="1" applyFont="1" applyFill="1" applyBorder="1" applyAlignment="1">
      <alignment horizontal="left" vertical="center" wrapText="1"/>
    </xf>
    <xf numFmtId="164" fontId="15" fillId="2" borderId="13" xfId="1" applyFont="1" applyFill="1" applyBorder="1" applyAlignment="1">
      <alignment horizontal="left" vertical="top" wrapText="1"/>
    </xf>
    <xf numFmtId="0" fontId="15" fillId="2" borderId="13" xfId="0" applyFont="1" applyFill="1" applyBorder="1" applyAlignment="1">
      <alignment vertical="center" wrapText="1"/>
    </xf>
    <xf numFmtId="4" fontId="19" fillId="2" borderId="13" xfId="0" applyNumberFormat="1" applyFont="1" applyFill="1" applyBorder="1" applyAlignment="1">
      <alignment vertical="top" wrapText="1"/>
    </xf>
    <xf numFmtId="4" fontId="16" fillId="2" borderId="13" xfId="0" applyNumberFormat="1" applyFont="1" applyFill="1" applyBorder="1" applyAlignment="1">
      <alignment horizontal="center" vertical="top"/>
    </xf>
    <xf numFmtId="164" fontId="16" fillId="2" borderId="13" xfId="1" applyFont="1" applyFill="1" applyBorder="1" applyAlignment="1">
      <alignment horizontal="right" vertical="top"/>
    </xf>
    <xf numFmtId="4" fontId="16" fillId="2" borderId="15" xfId="0" applyNumberFormat="1" applyFont="1" applyFill="1" applyBorder="1" applyAlignment="1">
      <alignment horizontal="right" vertical="top"/>
    </xf>
    <xf numFmtId="4" fontId="16" fillId="2" borderId="0" xfId="0" applyNumberFormat="1" applyFont="1" applyFill="1" applyBorder="1" applyAlignment="1">
      <alignment vertical="center"/>
    </xf>
    <xf numFmtId="4" fontId="16" fillId="2" borderId="27" xfId="0" applyNumberFormat="1" applyFont="1" applyFill="1" applyBorder="1" applyAlignment="1">
      <alignment horizontal="center" vertical="center"/>
    </xf>
    <xf numFmtId="4" fontId="16" fillId="2" borderId="29" xfId="0" applyNumberFormat="1" applyFont="1" applyFill="1" applyBorder="1" applyAlignment="1">
      <alignment horizontal="center" vertical="top"/>
    </xf>
    <xf numFmtId="164" fontId="16" fillId="2" borderId="29" xfId="1" applyFont="1" applyFill="1" applyBorder="1" applyAlignment="1">
      <alignment horizontal="right" vertical="top"/>
    </xf>
    <xf numFmtId="4" fontId="16" fillId="2" borderId="31" xfId="0" applyNumberFormat="1" applyFont="1" applyFill="1" applyBorder="1" applyAlignment="1">
      <alignment horizontal="right" vertical="top"/>
    </xf>
    <xf numFmtId="4" fontId="16" fillId="2" borderId="36" xfId="0" applyNumberFormat="1" applyFont="1" applyFill="1" applyBorder="1" applyAlignment="1">
      <alignment horizontal="center" vertical="center"/>
    </xf>
    <xf numFmtId="4" fontId="16" fillId="2" borderId="37" xfId="0" applyNumberFormat="1" applyFont="1" applyFill="1" applyBorder="1" applyAlignment="1">
      <alignment horizontal="center" vertical="top"/>
    </xf>
    <xf numFmtId="164" fontId="16" fillId="2" borderId="37" xfId="1" applyFont="1" applyFill="1" applyBorder="1" applyAlignment="1">
      <alignment horizontal="right" vertical="top"/>
    </xf>
    <xf numFmtId="4" fontId="16" fillId="2" borderId="69" xfId="0" applyNumberFormat="1" applyFont="1" applyFill="1" applyBorder="1" applyAlignment="1">
      <alignment horizontal="right" vertical="top"/>
    </xf>
    <xf numFmtId="4" fontId="15" fillId="2" borderId="6" xfId="0" applyNumberFormat="1" applyFont="1" applyFill="1" applyBorder="1" applyAlignment="1">
      <alignment horizontal="center" vertical="center"/>
    </xf>
    <xf numFmtId="4" fontId="16" fillId="2" borderId="8" xfId="0" applyNumberFormat="1" applyFont="1" applyFill="1" applyBorder="1" applyAlignment="1">
      <alignment vertical="center" wrapText="1"/>
    </xf>
    <xf numFmtId="4" fontId="19" fillId="2" borderId="8" xfId="0" applyNumberFormat="1" applyFont="1" applyFill="1" applyBorder="1" applyAlignment="1">
      <alignment horizontal="right" vertical="center" wrapText="1"/>
    </xf>
    <xf numFmtId="4" fontId="15" fillId="2" borderId="8" xfId="0" applyNumberFormat="1" applyFont="1" applyFill="1" applyBorder="1" applyAlignment="1">
      <alignment horizontal="center" vertical="top"/>
    </xf>
    <xf numFmtId="164" fontId="15" fillId="2" borderId="8" xfId="1" applyFont="1" applyFill="1" applyBorder="1" applyAlignment="1">
      <alignment horizontal="right" vertical="top"/>
    </xf>
    <xf numFmtId="4" fontId="16" fillId="2" borderId="10" xfId="0" applyNumberFormat="1" applyFont="1" applyFill="1" applyBorder="1" applyAlignment="1">
      <alignment horizontal="right" vertical="top"/>
    </xf>
    <xf numFmtId="4" fontId="15" fillId="2" borderId="0" xfId="0" applyNumberFormat="1" applyFont="1" applyFill="1" applyBorder="1" applyAlignment="1">
      <alignment horizontal="center" vertical="top"/>
    </xf>
    <xf numFmtId="164" fontId="15" fillId="2" borderId="0" xfId="1" applyFont="1" applyFill="1" applyBorder="1" applyAlignment="1">
      <alignment horizontal="right" vertical="top"/>
    </xf>
    <xf numFmtId="4" fontId="18" fillId="2" borderId="13" xfId="0" applyNumberFormat="1" applyFont="1" applyFill="1" applyBorder="1" applyAlignment="1">
      <alignment horizontal="justify" vertical="center" wrapText="1"/>
    </xf>
    <xf numFmtId="4" fontId="18" fillId="2" borderId="13" xfId="0" applyNumberFormat="1" applyFont="1" applyFill="1" applyBorder="1" applyAlignment="1">
      <alignment horizontal="right" vertical="center" wrapText="1"/>
    </xf>
    <xf numFmtId="4" fontId="15" fillId="2" borderId="0" xfId="0" applyNumberFormat="1" applyFont="1" applyFill="1" applyBorder="1" applyAlignment="1">
      <alignment horizontal="justify" vertical="top"/>
    </xf>
    <xf numFmtId="4" fontId="23" fillId="2" borderId="37" xfId="0" applyNumberFormat="1" applyFont="1" applyFill="1" applyBorder="1" applyAlignment="1">
      <alignment horizontal="justify" vertical="center" wrapText="1"/>
    </xf>
    <xf numFmtId="0" fontId="33" fillId="0" borderId="27" xfId="0" applyFont="1" applyFill="1" applyBorder="1" applyAlignment="1">
      <alignment horizontal="center" vertical="center" wrapText="1"/>
    </xf>
    <xf numFmtId="0" fontId="32" fillId="0" borderId="35" xfId="0" applyFont="1" applyBorder="1" applyAlignment="1">
      <alignment horizontal="left" vertical="center"/>
    </xf>
    <xf numFmtId="164" fontId="32" fillId="0" borderId="31" xfId="1" applyFont="1" applyFill="1" applyBorder="1" applyAlignment="1">
      <alignment vertical="center" wrapText="1"/>
    </xf>
    <xf numFmtId="0" fontId="33" fillId="0" borderId="4" xfId="0" applyFont="1" applyFill="1" applyBorder="1" applyAlignment="1">
      <alignment horizontal="center" vertical="center" wrapText="1"/>
    </xf>
    <xf numFmtId="164" fontId="32" fillId="0" borderId="5" xfId="1" applyFont="1" applyFill="1" applyBorder="1" applyAlignment="1">
      <alignment vertical="center" wrapText="1"/>
    </xf>
    <xf numFmtId="43" fontId="13" fillId="0" borderId="0" xfId="15" applyNumberFormat="1" applyFont="1" applyAlignment="1">
      <alignment horizontal="center"/>
    </xf>
    <xf numFmtId="0" fontId="12" fillId="0" borderId="0" xfId="6"/>
    <xf numFmtId="164" fontId="77" fillId="0" borderId="87" xfId="37" applyNumberFormat="1" applyFont="1" applyBorder="1"/>
    <xf numFmtId="164" fontId="76" fillId="0" borderId="87" xfId="37" applyNumberFormat="1" applyFont="1" applyBorder="1" applyAlignment="1">
      <alignment horizontal="center"/>
    </xf>
    <xf numFmtId="164" fontId="77" fillId="0" borderId="72" xfId="37" applyNumberFormat="1" applyFont="1" applyBorder="1"/>
    <xf numFmtId="164" fontId="77" fillId="0" borderId="72" xfId="37" applyNumberFormat="1" applyFont="1" applyBorder="1" applyAlignment="1">
      <alignment horizontal="left"/>
    </xf>
    <xf numFmtId="164" fontId="77" fillId="0" borderId="72" xfId="37" applyNumberFormat="1" applyFont="1" applyBorder="1" applyAlignment="1">
      <alignment horizontal="center"/>
    </xf>
    <xf numFmtId="164" fontId="76" fillId="0" borderId="72" xfId="37" applyNumberFormat="1" applyFont="1" applyBorder="1"/>
    <xf numFmtId="164" fontId="77" fillId="5" borderId="72" xfId="37" applyNumberFormat="1" applyFont="1" applyFill="1" applyBorder="1"/>
    <xf numFmtId="164" fontId="77" fillId="5" borderId="72" xfId="37" applyNumberFormat="1" applyFont="1" applyFill="1" applyBorder="1" applyAlignment="1">
      <alignment horizontal="center"/>
    </xf>
    <xf numFmtId="164" fontId="76" fillId="0" borderId="72" xfId="37" applyNumberFormat="1" applyFont="1" applyBorder="1" applyAlignment="1">
      <alignment horizontal="center"/>
    </xf>
    <xf numFmtId="164" fontId="76" fillId="6" borderId="92" xfId="37" applyNumberFormat="1" applyFont="1" applyFill="1" applyBorder="1" applyAlignment="1">
      <alignment horizontal="center"/>
    </xf>
    <xf numFmtId="164" fontId="76" fillId="6" borderId="0" xfId="37" applyNumberFormat="1" applyFont="1" applyFill="1" applyBorder="1" applyAlignment="1">
      <alignment horizontal="center"/>
    </xf>
    <xf numFmtId="164" fontId="77" fillId="7" borderId="72" xfId="37" applyNumberFormat="1" applyFont="1" applyFill="1" applyBorder="1"/>
    <xf numFmtId="164" fontId="77" fillId="7" borderId="72" xfId="37" applyNumberFormat="1" applyFont="1" applyFill="1" applyBorder="1" applyAlignment="1">
      <alignment horizontal="center"/>
    </xf>
    <xf numFmtId="164" fontId="79" fillId="0" borderId="72" xfId="37" applyNumberFormat="1" applyFont="1" applyBorder="1"/>
    <xf numFmtId="164" fontId="77" fillId="0" borderId="72" xfId="37" applyNumberFormat="1" applyFont="1" applyFill="1" applyBorder="1"/>
    <xf numFmtId="164" fontId="77" fillId="0" borderId="72" xfId="37" applyNumberFormat="1" applyFont="1" applyFill="1" applyBorder="1" applyAlignment="1">
      <alignment horizontal="center"/>
    </xf>
    <xf numFmtId="164" fontId="77" fillId="0" borderId="72" xfId="37" applyNumberFormat="1" applyFont="1" applyBorder="1" applyAlignment="1">
      <alignment wrapText="1"/>
    </xf>
    <xf numFmtId="164" fontId="77" fillId="0" borderId="0" xfId="37" applyNumberFormat="1" applyFont="1" applyAlignment="1">
      <alignment horizontal="left"/>
    </xf>
    <xf numFmtId="164" fontId="77" fillId="0" borderId="0" xfId="37" applyNumberFormat="1" applyFont="1" applyAlignment="1">
      <alignment horizontal="center"/>
    </xf>
    <xf numFmtId="164" fontId="77" fillId="0" borderId="12" xfId="37" applyNumberFormat="1" applyFont="1" applyBorder="1"/>
    <xf numFmtId="164" fontId="76" fillId="0" borderId="12" xfId="37" applyNumberFormat="1" applyFont="1" applyBorder="1" applyAlignment="1">
      <alignment horizontal="center"/>
    </xf>
    <xf numFmtId="164" fontId="77" fillId="0" borderId="13" xfId="37" applyNumberFormat="1" applyFont="1" applyBorder="1"/>
    <xf numFmtId="164" fontId="77" fillId="0" borderId="13" xfId="37" applyNumberFormat="1" applyFont="1" applyBorder="1" applyAlignment="1">
      <alignment horizontal="left"/>
    </xf>
    <xf numFmtId="164" fontId="77" fillId="0" borderId="13" xfId="37" applyNumberFormat="1" applyFont="1" applyBorder="1" applyAlignment="1">
      <alignment horizontal="center"/>
    </xf>
    <xf numFmtId="164" fontId="77" fillId="0" borderId="13" xfId="37" applyNumberFormat="1" applyFont="1" applyFill="1" applyBorder="1"/>
    <xf numFmtId="164" fontId="77" fillId="0" borderId="13" xfId="37" applyNumberFormat="1" applyFont="1" applyFill="1" applyBorder="1" applyAlignment="1">
      <alignment horizontal="center"/>
    </xf>
    <xf numFmtId="164" fontId="77" fillId="0" borderId="13" xfId="37" applyNumberFormat="1" applyFont="1" applyBorder="1" applyAlignment="1">
      <alignment wrapText="1"/>
    </xf>
    <xf numFmtId="164" fontId="77" fillId="0" borderId="12" xfId="37" applyNumberFormat="1" applyFont="1" applyBorder="1" applyAlignment="1">
      <alignment horizontal="center"/>
    </xf>
    <xf numFmtId="164" fontId="77" fillId="7" borderId="72" xfId="37" applyNumberFormat="1" applyFont="1" applyFill="1" applyBorder="1" applyAlignment="1">
      <alignment wrapText="1"/>
    </xf>
    <xf numFmtId="164" fontId="77" fillId="7" borderId="72" xfId="37" applyNumberFormat="1" applyFont="1" applyFill="1" applyBorder="1" applyAlignment="1">
      <alignment horizontal="left"/>
    </xf>
    <xf numFmtId="164" fontId="76" fillId="0" borderId="0" xfId="37" applyNumberFormat="1" applyFont="1" applyAlignment="1">
      <alignment horizontal="center"/>
    </xf>
    <xf numFmtId="164" fontId="76" fillId="6" borderId="17" xfId="37" applyNumberFormat="1" applyFont="1" applyFill="1" applyBorder="1" applyAlignment="1">
      <alignment horizontal="center"/>
    </xf>
    <xf numFmtId="164" fontId="76" fillId="6" borderId="20" xfId="37" applyNumberFormat="1" applyFont="1" applyFill="1" applyBorder="1" applyAlignment="1">
      <alignment horizontal="center"/>
    </xf>
    <xf numFmtId="164" fontId="76" fillId="0" borderId="35" xfId="37" applyNumberFormat="1" applyFont="1" applyBorder="1" applyAlignment="1">
      <alignment horizontal="center"/>
    </xf>
    <xf numFmtId="164" fontId="77" fillId="0" borderId="35" xfId="37" applyNumberFormat="1" applyFont="1" applyBorder="1" applyAlignment="1">
      <alignment horizontal="center"/>
    </xf>
    <xf numFmtId="164" fontId="76" fillId="0" borderId="96" xfId="37" applyNumberFormat="1" applyFont="1" applyBorder="1" applyAlignment="1">
      <alignment horizontal="center"/>
    </xf>
    <xf numFmtId="0" fontId="12" fillId="0" borderId="0" xfId="6" applyAlignment="1">
      <alignment horizontal="center"/>
    </xf>
    <xf numFmtId="164" fontId="76" fillId="6" borderId="40" xfId="37" applyNumberFormat="1" applyFont="1" applyFill="1" applyBorder="1" applyAlignment="1">
      <alignment horizontal="center"/>
    </xf>
    <xf numFmtId="164" fontId="77" fillId="0" borderId="0" xfId="37" applyNumberFormat="1" applyFont="1"/>
    <xf numFmtId="43" fontId="12" fillId="0" borderId="0" xfId="6" applyNumberFormat="1"/>
    <xf numFmtId="0" fontId="12" fillId="0" borderId="12" xfId="6" applyFont="1" applyBorder="1" applyAlignment="1">
      <alignment horizontal="center"/>
    </xf>
    <xf numFmtId="164" fontId="0" fillId="0" borderId="12" xfId="2" applyFont="1" applyBorder="1" applyAlignment="1">
      <alignment horizontal="center"/>
    </xf>
    <xf numFmtId="164" fontId="31" fillId="0" borderId="42" xfId="2" applyFont="1" applyBorder="1" applyAlignment="1">
      <alignment horizontal="center"/>
    </xf>
    <xf numFmtId="164" fontId="0" fillId="0" borderId="33" xfId="2" applyFont="1" applyBorder="1" applyAlignment="1">
      <alignment horizontal="center"/>
    </xf>
    <xf numFmtId="164" fontId="31" fillId="0" borderId="12" xfId="2" applyFont="1" applyBorder="1" applyAlignment="1">
      <alignment horizontal="center"/>
    </xf>
    <xf numFmtId="164" fontId="77" fillId="0" borderId="72" xfId="37" applyNumberFormat="1" applyFont="1" applyFill="1" applyBorder="1" applyAlignment="1">
      <alignment wrapText="1"/>
    </xf>
    <xf numFmtId="164" fontId="77" fillId="0" borderId="72" xfId="37" applyNumberFormat="1" applyFont="1" applyFill="1" applyBorder="1" applyAlignment="1">
      <alignment horizontal="left"/>
    </xf>
    <xf numFmtId="164" fontId="77" fillId="0" borderId="0" xfId="39" applyFont="1"/>
    <xf numFmtId="164" fontId="12" fillId="0" borderId="0" xfId="6" applyNumberFormat="1"/>
    <xf numFmtId="164" fontId="76" fillId="0" borderId="72" xfId="37" applyNumberFormat="1" applyFont="1" applyFill="1" applyBorder="1"/>
    <xf numFmtId="164" fontId="76" fillId="6" borderId="83" xfId="37" applyNumberFormat="1" applyFont="1" applyFill="1" applyBorder="1" applyAlignment="1">
      <alignment horizontal="center"/>
    </xf>
    <xf numFmtId="164" fontId="77" fillId="8" borderId="72" xfId="37" applyNumberFormat="1" applyFont="1" applyFill="1" applyBorder="1"/>
    <xf numFmtId="164" fontId="77" fillId="8" borderId="72" xfId="37" applyNumberFormat="1" applyFont="1" applyFill="1" applyBorder="1" applyAlignment="1">
      <alignment horizontal="center"/>
    </xf>
    <xf numFmtId="164" fontId="77" fillId="8" borderId="72" xfId="37" applyNumberFormat="1" applyFont="1" applyFill="1" applyBorder="1" applyAlignment="1">
      <alignment wrapText="1"/>
    </xf>
    <xf numFmtId="164" fontId="77" fillId="0" borderId="0" xfId="37" applyNumberFormat="1" applyFont="1" applyFill="1"/>
    <xf numFmtId="0" fontId="12" fillId="0" borderId="0" xfId="6" applyFill="1"/>
    <xf numFmtId="164" fontId="77" fillId="7" borderId="0" xfId="37" applyNumberFormat="1" applyFont="1" applyFill="1"/>
    <xf numFmtId="164" fontId="0" fillId="0" borderId="0" xfId="2" applyFont="1" applyAlignment="1">
      <alignment horizontal="center"/>
    </xf>
    <xf numFmtId="0" fontId="12" fillId="0" borderId="0" xfId="6" applyFont="1"/>
    <xf numFmtId="164" fontId="76" fillId="6" borderId="98" xfId="37" applyNumberFormat="1" applyFont="1" applyFill="1" applyBorder="1" applyAlignment="1">
      <alignment horizontal="center"/>
    </xf>
    <xf numFmtId="43" fontId="76" fillId="6" borderId="98" xfId="40" applyNumberFormat="1" applyFont="1" applyFill="1" applyBorder="1"/>
    <xf numFmtId="0" fontId="2" fillId="0" borderId="0" xfId="34"/>
    <xf numFmtId="164" fontId="76" fillId="0" borderId="12" xfId="37" applyNumberFormat="1" applyFont="1" applyBorder="1" applyAlignment="1">
      <alignment horizontal="center" vertical="center"/>
    </xf>
    <xf numFmtId="164" fontId="77" fillId="0" borderId="57" xfId="37" applyNumberFormat="1" applyFont="1" applyBorder="1"/>
    <xf numFmtId="164" fontId="77" fillId="0" borderId="57" xfId="37" applyNumberFormat="1" applyFont="1" applyBorder="1" applyAlignment="1">
      <alignment horizontal="left" vertical="center"/>
    </xf>
    <xf numFmtId="164" fontId="77" fillId="0" borderId="59" xfId="37" applyNumberFormat="1" applyFont="1" applyBorder="1"/>
    <xf numFmtId="164" fontId="77" fillId="0" borderId="59" xfId="37" applyNumberFormat="1" applyFont="1" applyBorder="1" applyAlignment="1">
      <alignment horizontal="left" vertical="center"/>
    </xf>
    <xf numFmtId="164" fontId="76" fillId="0" borderId="59" xfId="37" applyNumberFormat="1" applyFont="1" applyBorder="1"/>
    <xf numFmtId="164" fontId="77" fillId="0" borderId="86" xfId="37" applyNumberFormat="1" applyFont="1" applyBorder="1"/>
    <xf numFmtId="164" fontId="76" fillId="0" borderId="12" xfId="37" applyNumberFormat="1" applyFont="1" applyBorder="1"/>
    <xf numFmtId="164" fontId="76" fillId="0" borderId="13" xfId="37" applyNumberFormat="1" applyFont="1" applyBorder="1"/>
    <xf numFmtId="164" fontId="77" fillId="0" borderId="86" xfId="37" applyNumberFormat="1" applyFont="1" applyBorder="1" applyAlignment="1">
      <alignment horizontal="left" vertical="center"/>
    </xf>
    <xf numFmtId="164" fontId="77" fillId="0" borderId="67" xfId="37" applyNumberFormat="1" applyFont="1" applyBorder="1"/>
    <xf numFmtId="164" fontId="77" fillId="0" borderId="67" xfId="37" applyNumberFormat="1" applyFont="1" applyBorder="1" applyAlignment="1">
      <alignment horizontal="left" vertical="center"/>
    </xf>
    <xf numFmtId="164" fontId="76" fillId="0" borderId="99" xfId="37" applyNumberFormat="1" applyFont="1" applyBorder="1"/>
    <xf numFmtId="164" fontId="77" fillId="0" borderId="0" xfId="37" applyNumberFormat="1" applyFont="1" applyAlignment="1">
      <alignment horizontal="left" vertical="center"/>
    </xf>
    <xf numFmtId="164" fontId="2" fillId="0" borderId="0" xfId="34" applyNumberFormat="1"/>
    <xf numFmtId="164" fontId="76" fillId="0" borderId="72" xfId="37" applyNumberFormat="1" applyFont="1" applyBorder="1" applyAlignment="1">
      <alignment horizontal="left"/>
    </xf>
    <xf numFmtId="164" fontId="76" fillId="6" borderId="55" xfId="37" applyNumberFormat="1" applyFont="1" applyFill="1" applyBorder="1" applyAlignment="1">
      <alignment horizontal="center"/>
    </xf>
    <xf numFmtId="164" fontId="76" fillId="6" borderId="87" xfId="37" applyNumberFormat="1" applyFont="1" applyFill="1" applyBorder="1" applyAlignment="1">
      <alignment horizontal="center"/>
    </xf>
    <xf numFmtId="164" fontId="76" fillId="0" borderId="72" xfId="37" applyNumberFormat="1" applyFont="1" applyBorder="1" applyAlignment="1">
      <alignment wrapText="1"/>
    </xf>
    <xf numFmtId="164" fontId="80" fillId="0" borderId="0" xfId="34" applyNumberFormat="1" applyFont="1"/>
    <xf numFmtId="164" fontId="76" fillId="6" borderId="53" xfId="37" applyNumberFormat="1" applyFont="1" applyFill="1" applyBorder="1" applyAlignment="1">
      <alignment horizontal="center"/>
    </xf>
    <xf numFmtId="164" fontId="76" fillId="5" borderId="72" xfId="37" applyNumberFormat="1" applyFont="1" applyFill="1" applyBorder="1" applyAlignment="1">
      <alignment horizontal="center"/>
    </xf>
    <xf numFmtId="164" fontId="76" fillId="6" borderId="54" xfId="37" applyNumberFormat="1" applyFont="1" applyFill="1" applyBorder="1" applyAlignment="1">
      <alignment horizontal="center"/>
    </xf>
    <xf numFmtId="164" fontId="76" fillId="6" borderId="68" xfId="37" applyNumberFormat="1" applyFont="1" applyFill="1" applyBorder="1" applyAlignment="1">
      <alignment horizontal="center"/>
    </xf>
    <xf numFmtId="164" fontId="76" fillId="0" borderId="26" xfId="37" applyNumberFormat="1" applyFont="1" applyBorder="1" applyAlignment="1">
      <alignment horizontal="center"/>
    </xf>
    <xf numFmtId="164" fontId="76" fillId="6" borderId="16" xfId="37" applyNumberFormat="1" applyFont="1" applyFill="1" applyBorder="1" applyAlignment="1">
      <alignment horizontal="center"/>
    </xf>
    <xf numFmtId="164" fontId="16" fillId="0" borderId="9" xfId="1" applyFont="1" applyFill="1" applyBorder="1" applyAlignment="1">
      <alignment horizontal="center"/>
    </xf>
    <xf numFmtId="164" fontId="15" fillId="0" borderId="97" xfId="1" applyFont="1" applyFill="1" applyBorder="1" applyAlignment="1">
      <alignment horizontal="center"/>
    </xf>
    <xf numFmtId="164" fontId="15" fillId="0" borderId="14" xfId="1" applyFont="1" applyFill="1" applyBorder="1" applyAlignment="1">
      <alignment horizontal="right"/>
    </xf>
    <xf numFmtId="164" fontId="15" fillId="0" borderId="14" xfId="1" applyFont="1" applyFill="1" applyBorder="1" applyAlignment="1">
      <alignment horizontal="right" vertical="justify"/>
    </xf>
    <xf numFmtId="164" fontId="15" fillId="0" borderId="14" xfId="1" applyFont="1" applyFill="1" applyBorder="1" applyAlignment="1">
      <alignment horizontal="right" vertical="center"/>
    </xf>
    <xf numFmtId="164" fontId="15" fillId="0" borderId="77" xfId="1" applyFont="1" applyFill="1" applyBorder="1" applyAlignment="1">
      <alignment horizontal="right" vertical="justify"/>
    </xf>
    <xf numFmtId="164" fontId="15" fillId="0" borderId="14" xfId="1" applyFont="1" applyFill="1" applyBorder="1" applyAlignment="1">
      <alignment horizontal="right" vertical="top"/>
    </xf>
    <xf numFmtId="164" fontId="15" fillId="2" borderId="14" xfId="1" applyFont="1" applyFill="1" applyBorder="1" applyAlignment="1">
      <alignment horizontal="right" vertical="top"/>
    </xf>
    <xf numFmtId="164" fontId="15" fillId="0" borderId="30" xfId="1" applyFont="1" applyFill="1" applyBorder="1" applyAlignment="1">
      <alignment horizontal="right" vertical="top"/>
    </xf>
    <xf numFmtId="164" fontId="15" fillId="2" borderId="97" xfId="1" applyFont="1" applyFill="1" applyBorder="1" applyAlignment="1">
      <alignment horizontal="right" vertical="top"/>
    </xf>
    <xf numFmtId="164" fontId="15" fillId="3" borderId="14" xfId="1" applyFont="1" applyFill="1" applyBorder="1" applyAlignment="1">
      <alignment horizontal="right" vertical="top"/>
    </xf>
    <xf numFmtId="164" fontId="15" fillId="0" borderId="9" xfId="1" applyFont="1" applyFill="1" applyBorder="1" applyAlignment="1">
      <alignment horizontal="right" vertical="top"/>
    </xf>
    <xf numFmtId="164" fontId="15" fillId="0" borderId="97" xfId="1" applyFont="1" applyFill="1" applyBorder="1" applyAlignment="1">
      <alignment horizontal="right" vertical="top"/>
    </xf>
    <xf numFmtId="4" fontId="15" fillId="0" borderId="14" xfId="0" applyNumberFormat="1" applyFont="1" applyFill="1" applyBorder="1" applyAlignment="1">
      <alignment horizontal="center" vertical="top"/>
    </xf>
    <xf numFmtId="164" fontId="16" fillId="3" borderId="9" xfId="1" applyFont="1" applyFill="1" applyBorder="1" applyAlignment="1">
      <alignment horizontal="center"/>
    </xf>
    <xf numFmtId="164" fontId="15" fillId="3" borderId="97" xfId="1" applyFont="1" applyFill="1" applyBorder="1" applyAlignment="1">
      <alignment horizontal="right" vertical="top"/>
    </xf>
    <xf numFmtId="164" fontId="15" fillId="3" borderId="30" xfId="1" applyFont="1" applyFill="1" applyBorder="1" applyAlignment="1">
      <alignment horizontal="right" vertical="top"/>
    </xf>
    <xf numFmtId="4" fontId="15" fillId="3" borderId="14" xfId="0" applyNumberFormat="1" applyFont="1" applyFill="1" applyBorder="1" applyAlignment="1">
      <alignment horizontal="right" vertical="top"/>
    </xf>
    <xf numFmtId="164" fontId="15" fillId="3" borderId="9" xfId="1" applyFont="1" applyFill="1" applyBorder="1" applyAlignment="1">
      <alignment horizontal="right" vertical="top"/>
    </xf>
    <xf numFmtId="164" fontId="15" fillId="0" borderId="100" xfId="1" applyFont="1" applyFill="1" applyBorder="1" applyAlignment="1">
      <alignment horizontal="center" vertical="center"/>
    </xf>
    <xf numFmtId="164" fontId="15" fillId="0" borderId="101" xfId="1" applyFont="1" applyFill="1" applyBorder="1" applyAlignment="1">
      <alignment horizontal="center" vertical="center"/>
    </xf>
    <xf numFmtId="164" fontId="15" fillId="0" borderId="14" xfId="1" applyFont="1" applyFill="1" applyBorder="1" applyAlignment="1">
      <alignment horizontal="center" vertical="center"/>
    </xf>
    <xf numFmtId="164" fontId="15" fillId="0" borderId="30" xfId="1" applyFont="1" applyFill="1" applyBorder="1" applyAlignment="1">
      <alignment horizontal="center" vertical="center"/>
    </xf>
    <xf numFmtId="164" fontId="15" fillId="3" borderId="14" xfId="1" applyFont="1" applyFill="1" applyBorder="1" applyAlignment="1">
      <alignment horizontal="center" vertical="center"/>
    </xf>
    <xf numFmtId="164" fontId="15" fillId="2" borderId="14" xfId="1" applyFont="1" applyFill="1" applyBorder="1" applyAlignment="1">
      <alignment horizontal="center" vertical="center"/>
    </xf>
    <xf numFmtId="164" fontId="15" fillId="3" borderId="30" xfId="1" applyFont="1" applyFill="1" applyBorder="1" applyAlignment="1">
      <alignment horizontal="center" vertical="center"/>
    </xf>
    <xf numFmtId="164" fontId="15" fillId="3" borderId="97" xfId="1" applyFont="1" applyFill="1" applyBorder="1" applyAlignment="1">
      <alignment horizontal="center" vertical="center"/>
    </xf>
    <xf numFmtId="164" fontId="15" fillId="0" borderId="97" xfId="29" applyFont="1" applyFill="1" applyBorder="1" applyAlignment="1">
      <alignment horizontal="center" vertical="center"/>
    </xf>
    <xf numFmtId="164" fontId="15" fillId="0" borderId="14" xfId="29" applyFont="1" applyFill="1" applyBorder="1" applyAlignment="1">
      <alignment horizontal="center" vertical="center"/>
    </xf>
    <xf numFmtId="164" fontId="15" fillId="0" borderId="14" xfId="29" applyFont="1" applyFill="1" applyBorder="1" applyAlignment="1">
      <alignment vertical="center"/>
    </xf>
    <xf numFmtId="164" fontId="15" fillId="3" borderId="14" xfId="29" applyFont="1" applyFill="1" applyBorder="1" applyAlignment="1">
      <alignment horizontal="center" vertical="center"/>
    </xf>
    <xf numFmtId="164" fontId="15" fillId="3" borderId="100" xfId="1" applyFont="1" applyFill="1" applyBorder="1" applyAlignment="1">
      <alignment horizontal="center" vertical="center"/>
    </xf>
    <xf numFmtId="164" fontId="15" fillId="3" borderId="101" xfId="1" applyFont="1" applyFill="1" applyBorder="1" applyAlignment="1">
      <alignment horizontal="center" vertical="center"/>
    </xf>
    <xf numFmtId="164" fontId="15" fillId="3" borderId="14" xfId="2" applyFont="1" applyFill="1" applyBorder="1" applyAlignment="1">
      <alignment vertical="center"/>
    </xf>
    <xf numFmtId="164" fontId="15" fillId="3" borderId="14" xfId="1" applyFont="1" applyFill="1" applyBorder="1" applyAlignment="1">
      <alignment vertical="center"/>
    </xf>
    <xf numFmtId="164" fontId="15" fillId="3" borderId="30" xfId="1" applyFont="1" applyFill="1" applyBorder="1" applyAlignment="1">
      <alignment vertical="center"/>
    </xf>
    <xf numFmtId="164" fontId="15" fillId="3" borderId="97" xfId="1" applyFont="1" applyFill="1" applyBorder="1" applyAlignment="1">
      <alignment vertical="center"/>
    </xf>
    <xf numFmtId="4" fontId="16" fillId="0" borderId="40" xfId="0" applyNumberFormat="1" applyFont="1" applyFill="1" applyBorder="1" applyAlignment="1">
      <alignment horizontal="left" vertical="center" wrapText="1"/>
    </xf>
    <xf numFmtId="4" fontId="15" fillId="0" borderId="0" xfId="0" applyNumberFormat="1" applyFont="1" applyFill="1" applyBorder="1" applyAlignment="1">
      <alignment horizontal="right" vertical="center"/>
    </xf>
    <xf numFmtId="4" fontId="15" fillId="0" borderId="29" xfId="0" applyNumberFormat="1" applyFont="1" applyFill="1" applyBorder="1" applyAlignment="1">
      <alignment horizontal="right" vertical="center" wrapText="1"/>
    </xf>
    <xf numFmtId="4" fontId="15" fillId="2" borderId="37" xfId="0" applyNumberFormat="1" applyFont="1" applyFill="1" applyBorder="1" applyAlignment="1">
      <alignment horizontal="right" vertical="center" wrapText="1"/>
    </xf>
    <xf numFmtId="4" fontId="15" fillId="2" borderId="37" xfId="0" applyNumberFormat="1" applyFont="1" applyFill="1" applyBorder="1" applyAlignment="1">
      <alignment horizontal="center" vertical="center"/>
    </xf>
    <xf numFmtId="4" fontId="15" fillId="0" borderId="8" xfId="0" applyNumberFormat="1" applyFont="1" applyFill="1" applyBorder="1" applyAlignment="1">
      <alignment horizontal="center" vertical="center"/>
    </xf>
    <xf numFmtId="164" fontId="15" fillId="0" borderId="9" xfId="1" applyFont="1" applyFill="1" applyBorder="1" applyAlignment="1">
      <alignment horizontal="right" vertical="center"/>
    </xf>
    <xf numFmtId="4" fontId="16" fillId="0" borderId="10" xfId="0" applyNumberFormat="1" applyFont="1" applyFill="1" applyBorder="1" applyAlignment="1">
      <alignment horizontal="right" vertical="center"/>
    </xf>
    <xf numFmtId="4" fontId="16" fillId="0" borderId="0" xfId="0" applyNumberFormat="1" applyFont="1" applyFill="1" applyBorder="1" applyAlignment="1">
      <alignment horizontal="right" vertical="center"/>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4" fontId="15" fillId="0" borderId="15" xfId="0" applyNumberFormat="1" applyFont="1" applyFill="1" applyBorder="1" applyAlignment="1">
      <alignment horizontal="center" vertical="center"/>
    </xf>
    <xf numFmtId="0" fontId="82" fillId="0" borderId="0" xfId="6" applyFont="1"/>
    <xf numFmtId="0" fontId="82" fillId="0" borderId="0" xfId="6" applyFont="1" applyAlignment="1">
      <alignment horizontal="center"/>
    </xf>
    <xf numFmtId="164" fontId="83" fillId="0" borderId="87" xfId="37" applyNumberFormat="1" applyFont="1" applyBorder="1"/>
    <xf numFmtId="164" fontId="81" fillId="0" borderId="87" xfId="37" applyNumberFormat="1" applyFont="1" applyBorder="1" applyAlignment="1">
      <alignment horizontal="center"/>
    </xf>
    <xf numFmtId="164" fontId="83" fillId="0" borderId="72" xfId="37" applyNumberFormat="1" applyFont="1" applyBorder="1"/>
    <xf numFmtId="164" fontId="83" fillId="0" borderId="72" xfId="37" applyNumberFormat="1" applyFont="1" applyBorder="1" applyAlignment="1">
      <alignment horizontal="left"/>
    </xf>
    <xf numFmtId="164" fontId="83" fillId="0" borderId="72" xfId="37" applyNumberFormat="1" applyFont="1" applyBorder="1" applyAlignment="1">
      <alignment horizontal="center"/>
    </xf>
    <xf numFmtId="164" fontId="81" fillId="0" borderId="72" xfId="37" applyNumberFormat="1" applyFont="1" applyBorder="1"/>
    <xf numFmtId="164" fontId="83" fillId="0" borderId="72" xfId="37" applyNumberFormat="1" applyFont="1" applyFill="1" applyBorder="1"/>
    <xf numFmtId="164" fontId="83" fillId="0" borderId="72" xfId="37" applyNumberFormat="1" applyFont="1" applyFill="1" applyBorder="1" applyAlignment="1">
      <alignment horizontal="center"/>
    </xf>
    <xf numFmtId="164" fontId="83" fillId="0" borderId="72" xfId="37" applyNumberFormat="1" applyFont="1" applyFill="1" applyBorder="1" applyAlignment="1">
      <alignment wrapText="1"/>
    </xf>
    <xf numFmtId="164" fontId="83" fillId="0" borderId="72" xfId="37" applyNumberFormat="1" applyFont="1" applyFill="1" applyBorder="1" applyAlignment="1">
      <alignment horizontal="left"/>
    </xf>
    <xf numFmtId="164" fontId="83" fillId="0" borderId="72" xfId="37" applyNumberFormat="1" applyFont="1" applyBorder="1" applyAlignment="1">
      <alignment wrapText="1"/>
    </xf>
    <xf numFmtId="164" fontId="83" fillId="5" borderId="72" xfId="37" applyNumberFormat="1" applyFont="1" applyFill="1" applyBorder="1"/>
    <xf numFmtId="164" fontId="83" fillId="5" borderId="72" xfId="37" applyNumberFormat="1" applyFont="1" applyFill="1" applyBorder="1" applyAlignment="1">
      <alignment horizontal="center"/>
    </xf>
    <xf numFmtId="164" fontId="81" fillId="5" borderId="72" xfId="37" applyNumberFormat="1" applyFont="1" applyFill="1" applyBorder="1" applyAlignment="1">
      <alignment horizontal="center"/>
    </xf>
    <xf numFmtId="164" fontId="81" fillId="0" borderId="72" xfId="37" applyNumberFormat="1" applyFont="1" applyBorder="1" applyAlignment="1">
      <alignment horizontal="center"/>
    </xf>
    <xf numFmtId="164" fontId="81" fillId="6" borderId="53" xfId="37" applyNumberFormat="1" applyFont="1" applyFill="1" applyBorder="1" applyAlignment="1">
      <alignment horizontal="center"/>
    </xf>
    <xf numFmtId="164" fontId="81" fillId="6" borderId="68" xfId="37" applyNumberFormat="1" applyFont="1" applyFill="1" applyBorder="1" applyAlignment="1">
      <alignment horizontal="center"/>
    </xf>
    <xf numFmtId="0" fontId="77" fillId="0" borderId="102" xfId="37" applyFont="1" applyBorder="1"/>
    <xf numFmtId="0" fontId="77" fillId="0" borderId="103" xfId="37" applyFont="1" applyBorder="1"/>
    <xf numFmtId="0" fontId="77" fillId="0" borderId="103" xfId="37" applyFont="1" applyBorder="1" applyAlignment="1">
      <alignment horizontal="center" vertical="center"/>
    </xf>
    <xf numFmtId="0" fontId="77" fillId="0" borderId="104" xfId="37" applyFont="1" applyBorder="1" applyAlignment="1">
      <alignment horizontal="center" vertical="center"/>
    </xf>
    <xf numFmtId="0" fontId="77" fillId="0" borderId="105" xfId="37" applyFont="1" applyBorder="1"/>
    <xf numFmtId="178" fontId="77" fillId="0" borderId="106" xfId="37" applyNumberFormat="1" applyFont="1" applyBorder="1"/>
    <xf numFmtId="0" fontId="77" fillId="0" borderId="0" xfId="37" applyFont="1"/>
    <xf numFmtId="0" fontId="77" fillId="0" borderId="0" xfId="37" applyFont="1" applyAlignment="1">
      <alignment horizontal="center"/>
    </xf>
    <xf numFmtId="0" fontId="2" fillId="0" borderId="0" xfId="37"/>
    <xf numFmtId="0" fontId="77" fillId="0" borderId="0" xfId="37" applyFont="1" applyAlignment="1">
      <alignment horizontal="center" vertical="center"/>
    </xf>
    <xf numFmtId="0" fontId="77" fillId="0" borderId="107" xfId="37" applyFont="1" applyBorder="1" applyAlignment="1">
      <alignment horizontal="center" vertical="center"/>
    </xf>
    <xf numFmtId="0" fontId="77" fillId="0" borderId="108" xfId="37" applyFont="1" applyBorder="1"/>
    <xf numFmtId="0" fontId="77" fillId="0" borderId="109" xfId="37" applyFont="1" applyBorder="1"/>
    <xf numFmtId="0" fontId="77" fillId="0" borderId="109" xfId="37" applyFont="1" applyBorder="1" applyAlignment="1">
      <alignment horizontal="center" vertical="center"/>
    </xf>
    <xf numFmtId="0" fontId="77" fillId="0" borderId="110" xfId="37" applyFont="1" applyBorder="1" applyAlignment="1">
      <alignment horizontal="center" vertical="center"/>
    </xf>
    <xf numFmtId="0" fontId="76" fillId="0" borderId="111" xfId="37" applyFont="1" applyBorder="1" applyAlignment="1">
      <alignment horizontal="center" vertical="center"/>
    </xf>
    <xf numFmtId="0" fontId="76" fillId="0" borderId="111" xfId="37" applyFont="1" applyBorder="1" applyAlignment="1">
      <alignment horizontal="center" vertical="center" wrapText="1"/>
    </xf>
    <xf numFmtId="0" fontId="77" fillId="0" borderId="112" xfId="37" applyFont="1" applyBorder="1"/>
    <xf numFmtId="0" fontId="77" fillId="0" borderId="112" xfId="37" applyFont="1" applyBorder="1" applyAlignment="1">
      <alignment horizontal="center" vertical="center"/>
    </xf>
    <xf numFmtId="178" fontId="77" fillId="0" borderId="112" xfId="37" applyNumberFormat="1" applyFont="1" applyBorder="1" applyAlignment="1">
      <alignment horizontal="center" vertical="center"/>
    </xf>
    <xf numFmtId="0" fontId="77" fillId="0" borderId="106" xfId="37" applyFont="1" applyBorder="1"/>
    <xf numFmtId="0" fontId="77" fillId="0" borderId="113" xfId="37" applyFont="1" applyBorder="1"/>
    <xf numFmtId="0" fontId="76" fillId="9" borderId="113" xfId="37" applyFont="1" applyFill="1" applyBorder="1" applyAlignment="1">
      <alignment horizontal="center"/>
    </xf>
    <xf numFmtId="0" fontId="77" fillId="0" borderId="113" xfId="37" applyFont="1" applyBorder="1" applyAlignment="1">
      <alignment horizontal="center" vertical="center"/>
    </xf>
    <xf numFmtId="178" fontId="77" fillId="0" borderId="113" xfId="37" applyNumberFormat="1" applyFont="1" applyBorder="1" applyAlignment="1">
      <alignment horizontal="center" vertical="center"/>
    </xf>
    <xf numFmtId="0" fontId="77" fillId="0" borderId="113" xfId="37" applyFont="1" applyFill="1" applyBorder="1"/>
    <xf numFmtId="0" fontId="76" fillId="0" borderId="113" xfId="37" applyFont="1" applyFill="1" applyBorder="1" applyAlignment="1">
      <alignment horizontal="left"/>
    </xf>
    <xf numFmtId="0" fontId="77" fillId="0" borderId="113" xfId="37" applyFont="1" applyFill="1" applyBorder="1" applyAlignment="1">
      <alignment horizontal="center" vertical="center"/>
    </xf>
    <xf numFmtId="178" fontId="77" fillId="0" borderId="113" xfId="37" applyNumberFormat="1" applyFont="1" applyFill="1" applyBorder="1" applyAlignment="1">
      <alignment horizontal="center" vertical="center"/>
    </xf>
    <xf numFmtId="178" fontId="77" fillId="7" borderId="106" xfId="37" applyNumberFormat="1" applyFont="1" applyFill="1" applyBorder="1"/>
    <xf numFmtId="0" fontId="77" fillId="7" borderId="0" xfId="37" applyFont="1" applyFill="1"/>
    <xf numFmtId="0" fontId="77" fillId="7" borderId="0" xfId="37" applyFont="1" applyFill="1" applyAlignment="1">
      <alignment horizontal="center"/>
    </xf>
    <xf numFmtId="0" fontId="2" fillId="7" borderId="0" xfId="37" applyFill="1"/>
    <xf numFmtId="0" fontId="77" fillId="0" borderId="113" xfId="37" applyFont="1" applyFill="1" applyBorder="1" applyAlignment="1">
      <alignment horizontal="left"/>
    </xf>
    <xf numFmtId="0" fontId="77" fillId="0" borderId="113" xfId="37" applyFont="1" applyFill="1" applyBorder="1" applyAlignment="1">
      <alignment horizontal="left" indent="1"/>
    </xf>
    <xf numFmtId="0" fontId="77" fillId="0" borderId="113" xfId="37" applyFont="1" applyBorder="1" applyAlignment="1">
      <alignment horizontal="left" indent="1"/>
    </xf>
    <xf numFmtId="0" fontId="77" fillId="0" borderId="113" xfId="37" applyFont="1" applyBorder="1" applyAlignment="1"/>
    <xf numFmtId="178" fontId="77" fillId="0" borderId="0" xfId="37" applyNumberFormat="1" applyFont="1" applyFill="1" applyBorder="1" applyAlignment="1">
      <alignment horizontal="center" vertical="center"/>
    </xf>
    <xf numFmtId="178" fontId="77" fillId="0" borderId="0" xfId="37" applyNumberFormat="1" applyFont="1" applyBorder="1" applyAlignment="1">
      <alignment horizontal="center" vertical="center"/>
    </xf>
    <xf numFmtId="0" fontId="76" fillId="0" borderId="113" xfId="37" applyFont="1" applyFill="1" applyBorder="1" applyAlignment="1"/>
    <xf numFmtId="0" fontId="2" fillId="0" borderId="0" xfId="37" applyFill="1"/>
    <xf numFmtId="0" fontId="77" fillId="0" borderId="113" xfId="37" applyFont="1" applyFill="1" applyBorder="1" applyAlignment="1"/>
    <xf numFmtId="178" fontId="76" fillId="0" borderId="113" xfId="37" applyNumberFormat="1" applyFont="1" applyFill="1" applyBorder="1" applyAlignment="1">
      <alignment horizontal="center" vertical="center"/>
    </xf>
    <xf numFmtId="0" fontId="76" fillId="0" borderId="113" xfId="37" applyFont="1" applyFill="1" applyBorder="1"/>
    <xf numFmtId="164" fontId="77" fillId="0" borderId="72" xfId="37" applyNumberFormat="1" applyFont="1" applyFill="1" applyBorder="1" applyAlignment="1"/>
    <xf numFmtId="178" fontId="77" fillId="0" borderId="106" xfId="37" applyNumberFormat="1" applyFont="1" applyFill="1" applyBorder="1"/>
    <xf numFmtId="0" fontId="77" fillId="0" borderId="0" xfId="37" applyFont="1" applyFill="1"/>
    <xf numFmtId="0" fontId="77" fillId="0" borderId="0" xfId="37" applyFont="1" applyFill="1" applyAlignment="1">
      <alignment horizontal="center"/>
    </xf>
    <xf numFmtId="164" fontId="79" fillId="0" borderId="72" xfId="37" applyNumberFormat="1" applyFont="1" applyFill="1" applyBorder="1" applyAlignment="1"/>
    <xf numFmtId="164" fontId="77" fillId="0" borderId="0" xfId="37" applyNumberFormat="1" applyFont="1" applyFill="1" applyBorder="1" applyAlignment="1"/>
    <xf numFmtId="164" fontId="77" fillId="0" borderId="0" xfId="37" applyNumberFormat="1" applyFont="1" applyFill="1" applyBorder="1" applyAlignment="1">
      <alignment horizontal="center"/>
    </xf>
    <xf numFmtId="0" fontId="76" fillId="7" borderId="113" xfId="37" applyFont="1" applyFill="1" applyBorder="1" applyAlignment="1"/>
    <xf numFmtId="0" fontId="77" fillId="7" borderId="113" xfId="37" applyFont="1" applyFill="1" applyBorder="1" applyAlignment="1">
      <alignment horizontal="center" vertical="center"/>
    </xf>
    <xf numFmtId="178" fontId="77" fillId="7" borderId="113" xfId="37" applyNumberFormat="1" applyFont="1" applyFill="1" applyBorder="1" applyAlignment="1">
      <alignment horizontal="center" vertical="center"/>
    </xf>
    <xf numFmtId="0" fontId="77" fillId="7" borderId="113" xfId="37" applyFont="1" applyFill="1" applyBorder="1" applyAlignment="1"/>
    <xf numFmtId="0" fontId="76" fillId="0" borderId="113" xfId="37" applyFont="1" applyBorder="1" applyAlignment="1"/>
    <xf numFmtId="0" fontId="77" fillId="0" borderId="12" xfId="37" applyFont="1" applyBorder="1"/>
    <xf numFmtId="0" fontId="76" fillId="0" borderId="12" xfId="37" applyFont="1" applyBorder="1" applyAlignment="1">
      <alignment horizontal="center"/>
    </xf>
    <xf numFmtId="0" fontId="76" fillId="0" borderId="12" xfId="37" applyFont="1" applyBorder="1"/>
    <xf numFmtId="0" fontId="77" fillId="0" borderId="12" xfId="37" applyFont="1" applyBorder="1" applyAlignment="1">
      <alignment horizontal="center"/>
    </xf>
    <xf numFmtId="4" fontId="16" fillId="0" borderId="12" xfId="41" applyNumberFormat="1" applyFont="1" applyBorder="1" applyAlignment="1">
      <alignment vertical="center"/>
    </xf>
    <xf numFmtId="0" fontId="77" fillId="10" borderId="113" xfId="37" applyFont="1" applyFill="1" applyBorder="1" applyAlignment="1">
      <alignment horizontal="left" indent="1"/>
    </xf>
    <xf numFmtId="0" fontId="77" fillId="10" borderId="113" xfId="37" applyFont="1" applyFill="1" applyBorder="1" applyAlignment="1">
      <alignment horizontal="center" vertical="center"/>
    </xf>
    <xf numFmtId="178" fontId="77" fillId="10" borderId="113" xfId="37" applyNumberFormat="1" applyFont="1" applyFill="1" applyBorder="1" applyAlignment="1">
      <alignment horizontal="center" vertical="center"/>
    </xf>
    <xf numFmtId="164" fontId="76" fillId="0" borderId="12" xfId="39" applyFont="1" applyBorder="1" applyAlignment="1">
      <alignment horizontal="center"/>
    </xf>
    <xf numFmtId="0" fontId="76" fillId="0" borderId="113" xfId="37" applyFont="1" applyBorder="1" applyAlignment="1">
      <alignment horizontal="left"/>
    </xf>
    <xf numFmtId="178" fontId="77" fillId="0" borderId="0" xfId="37" applyNumberFormat="1" applyFont="1" applyAlignment="1">
      <alignment horizontal="center"/>
    </xf>
    <xf numFmtId="0" fontId="77" fillId="10" borderId="113" xfId="37" applyFont="1" applyFill="1" applyBorder="1"/>
    <xf numFmtId="0" fontId="77" fillId="10" borderId="113" xfId="37" applyFont="1" applyFill="1" applyBorder="1" applyAlignment="1"/>
    <xf numFmtId="0" fontId="77" fillId="0" borderId="113" xfId="37" applyFont="1" applyBorder="1" applyAlignment="1">
      <alignment horizontal="left"/>
    </xf>
    <xf numFmtId="0" fontId="77" fillId="0" borderId="72" xfId="37" applyFont="1" applyBorder="1" applyAlignment="1">
      <alignment horizontal="left"/>
    </xf>
    <xf numFmtId="0" fontId="77" fillId="0" borderId="114" xfId="37" applyFont="1" applyBorder="1" applyAlignment="1">
      <alignment horizontal="left"/>
    </xf>
    <xf numFmtId="0" fontId="77" fillId="0" borderId="114" xfId="37" applyFont="1" applyBorder="1" applyAlignment="1">
      <alignment horizontal="center"/>
    </xf>
    <xf numFmtId="0" fontId="76" fillId="0" borderId="114" xfId="37" applyFont="1" applyBorder="1" applyAlignment="1">
      <alignment horizontal="center"/>
    </xf>
    <xf numFmtId="0" fontId="77" fillId="0" borderId="114" xfId="37" applyFont="1" applyBorder="1"/>
    <xf numFmtId="0" fontId="77" fillId="0" borderId="115" xfId="37" applyFont="1" applyBorder="1" applyAlignment="1">
      <alignment horizontal="left"/>
    </xf>
    <xf numFmtId="0" fontId="77" fillId="0" borderId="115" xfId="37" applyFont="1" applyBorder="1" applyAlignment="1">
      <alignment horizontal="center"/>
    </xf>
    <xf numFmtId="0" fontId="76" fillId="0" borderId="115" xfId="37" applyFont="1" applyBorder="1" applyAlignment="1">
      <alignment horizontal="center"/>
    </xf>
    <xf numFmtId="0" fontId="77" fillId="0" borderId="115" xfId="37" applyFont="1" applyBorder="1"/>
    <xf numFmtId="0" fontId="77" fillId="7" borderId="113" xfId="37" applyFont="1" applyFill="1" applyBorder="1"/>
    <xf numFmtId="0" fontId="77" fillId="7" borderId="113" xfId="37" applyFont="1" applyFill="1" applyBorder="1" applyAlignment="1">
      <alignment horizontal="left"/>
    </xf>
    <xf numFmtId="164" fontId="77" fillId="7" borderId="72" xfId="37" applyNumberFormat="1" applyFont="1" applyFill="1" applyBorder="1" applyAlignment="1">
      <alignment horizontal="left" wrapText="1"/>
    </xf>
    <xf numFmtId="178" fontId="77" fillId="7" borderId="0" xfId="37" applyNumberFormat="1" applyFont="1" applyFill="1" applyAlignment="1">
      <alignment horizontal="center"/>
    </xf>
    <xf numFmtId="164" fontId="77" fillId="0" borderId="0" xfId="37" applyNumberFormat="1" applyFont="1" applyBorder="1" applyAlignment="1">
      <alignment wrapText="1"/>
    </xf>
    <xf numFmtId="178" fontId="77" fillId="0" borderId="0" xfId="37" applyNumberFormat="1" applyFont="1" applyFill="1" applyAlignment="1">
      <alignment horizontal="center"/>
    </xf>
    <xf numFmtId="0" fontId="77" fillId="7" borderId="0" xfId="37" applyFont="1" applyFill="1" applyBorder="1" applyAlignment="1">
      <alignment horizontal="left"/>
    </xf>
    <xf numFmtId="0" fontId="2" fillId="0" borderId="116" xfId="37" applyFill="1" applyBorder="1"/>
    <xf numFmtId="0" fontId="2" fillId="0" borderId="72" xfId="37" applyFill="1" applyBorder="1"/>
    <xf numFmtId="0" fontId="2" fillId="7" borderId="5" xfId="37" applyFill="1" applyBorder="1"/>
    <xf numFmtId="0" fontId="2" fillId="0" borderId="5" xfId="37" applyBorder="1"/>
    <xf numFmtId="0" fontId="2" fillId="0" borderId="4" xfId="37" applyBorder="1"/>
    <xf numFmtId="0" fontId="2" fillId="0" borderId="72" xfId="37" applyBorder="1"/>
    <xf numFmtId="0" fontId="2" fillId="7" borderId="0" xfId="37" applyFill="1" applyAlignment="1">
      <alignment horizontal="center"/>
    </xf>
    <xf numFmtId="0" fontId="2" fillId="0" borderId="0" xfId="37" applyAlignment="1">
      <alignment horizontal="center"/>
    </xf>
    <xf numFmtId="0" fontId="77" fillId="0" borderId="113" xfId="37" applyFont="1" applyBorder="1" applyAlignment="1">
      <alignment horizontal="center"/>
    </xf>
    <xf numFmtId="178" fontId="77" fillId="0" borderId="0" xfId="37" applyNumberFormat="1" applyFont="1" applyAlignment="1">
      <alignment horizontal="center" vertical="center"/>
    </xf>
    <xf numFmtId="164" fontId="12" fillId="0" borderId="0" xfId="39" applyFont="1"/>
    <xf numFmtId="164" fontId="77" fillId="0" borderId="57" xfId="39" applyFont="1" applyBorder="1"/>
    <xf numFmtId="166" fontId="77" fillId="0" borderId="59" xfId="39" applyNumberFormat="1" applyFont="1" applyBorder="1"/>
    <xf numFmtId="164" fontId="77" fillId="0" borderId="59" xfId="39" applyFont="1" applyBorder="1"/>
    <xf numFmtId="166" fontId="77" fillId="0" borderId="59" xfId="39" applyNumberFormat="1" applyFont="1" applyFill="1" applyBorder="1"/>
    <xf numFmtId="164" fontId="77" fillId="0" borderId="59" xfId="39" applyFont="1" applyFill="1" applyBorder="1"/>
    <xf numFmtId="164" fontId="77" fillId="0" borderId="86" xfId="39" applyFont="1" applyFill="1" applyBorder="1"/>
    <xf numFmtId="164" fontId="77" fillId="0" borderId="67" xfId="39" applyFont="1" applyFill="1" applyBorder="1"/>
    <xf numFmtId="164" fontId="77" fillId="0" borderId="0" xfId="39" applyFont="1" applyFill="1"/>
    <xf numFmtId="164" fontId="76" fillId="0" borderId="99" xfId="39" applyFont="1" applyFill="1" applyBorder="1"/>
    <xf numFmtId="164" fontId="76" fillId="0" borderId="42" xfId="39" applyFont="1" applyFill="1" applyBorder="1"/>
    <xf numFmtId="164" fontId="77" fillId="0" borderId="57" xfId="39" applyFont="1" applyFill="1" applyBorder="1"/>
    <xf numFmtId="164" fontId="15" fillId="3" borderId="118" xfId="2" applyFont="1" applyFill="1" applyBorder="1" applyAlignment="1">
      <alignment vertical="center"/>
    </xf>
    <xf numFmtId="0" fontId="13" fillId="3" borderId="118" xfId="18" applyFont="1" applyFill="1" applyBorder="1" applyAlignment="1" applyProtection="1">
      <alignment horizontal="left" vertical="center" wrapText="1"/>
    </xf>
    <xf numFmtId="164" fontId="13" fillId="3" borderId="119" xfId="2" applyFont="1" applyFill="1" applyBorder="1" applyAlignment="1">
      <alignment vertical="center"/>
    </xf>
    <xf numFmtId="164" fontId="13" fillId="3" borderId="118" xfId="2" applyFont="1" applyFill="1" applyBorder="1" applyAlignment="1">
      <alignment vertical="center"/>
    </xf>
    <xf numFmtId="4" fontId="15" fillId="0" borderId="118" xfId="0" applyNumberFormat="1" applyFont="1" applyFill="1" applyBorder="1" applyAlignment="1">
      <alignment horizontal="right" vertical="center" wrapText="1"/>
    </xf>
    <xf numFmtId="4" fontId="15" fillId="0" borderId="15" xfId="0" applyNumberFormat="1" applyFont="1" applyFill="1" applyBorder="1" applyAlignment="1">
      <alignment horizontal="right" vertical="center"/>
    </xf>
    <xf numFmtId="164" fontId="81" fillId="0" borderId="87" xfId="37" applyNumberFormat="1" applyFont="1" applyBorder="1" applyAlignment="1">
      <alignment horizontal="center" vertical="center"/>
    </xf>
    <xf numFmtId="164" fontId="83" fillId="0" borderId="72" xfId="37" applyNumberFormat="1" applyFont="1" applyBorder="1" applyAlignment="1">
      <alignment horizontal="center" vertical="center"/>
    </xf>
    <xf numFmtId="164" fontId="88" fillId="0" borderId="72" xfId="37" applyNumberFormat="1" applyFont="1" applyBorder="1"/>
    <xf numFmtId="164" fontId="83" fillId="0" borderId="55" xfId="37" applyNumberFormat="1" applyFont="1" applyBorder="1" applyAlignment="1">
      <alignment horizontal="center"/>
    </xf>
    <xf numFmtId="164" fontId="81" fillId="0" borderId="72" xfId="37" applyNumberFormat="1" applyFont="1" applyBorder="1" applyAlignment="1">
      <alignment horizontal="center" vertical="center"/>
    </xf>
    <xf numFmtId="164" fontId="81" fillId="0" borderId="72" xfId="37" applyNumberFormat="1" applyFont="1" applyFill="1" applyBorder="1"/>
    <xf numFmtId="164" fontId="81" fillId="6" borderId="16" xfId="37" applyNumberFormat="1" applyFont="1" applyFill="1" applyBorder="1" applyAlignment="1">
      <alignment horizontal="center"/>
    </xf>
    <xf numFmtId="164" fontId="81" fillId="6" borderId="83" xfId="37" applyNumberFormat="1" applyFont="1" applyFill="1" applyBorder="1" applyAlignment="1">
      <alignment horizontal="center"/>
    </xf>
    <xf numFmtId="0" fontId="90" fillId="0" borderId="0" xfId="6" applyFont="1"/>
    <xf numFmtId="0" fontId="90" fillId="0" borderId="0" xfId="6" applyFont="1" applyAlignment="1">
      <alignment horizontal="center"/>
    </xf>
    <xf numFmtId="164" fontId="92" fillId="0" borderId="87" xfId="37" applyNumberFormat="1" applyFont="1" applyBorder="1"/>
    <xf numFmtId="164" fontId="91" fillId="0" borderId="87" xfId="37" applyNumberFormat="1" applyFont="1" applyBorder="1" applyAlignment="1">
      <alignment horizontal="center"/>
    </xf>
    <xf numFmtId="164" fontId="92" fillId="0" borderId="72" xfId="37" applyNumberFormat="1" applyFont="1" applyBorder="1"/>
    <xf numFmtId="164" fontId="91" fillId="0" borderId="72" xfId="37" applyNumberFormat="1" applyFont="1" applyBorder="1"/>
    <xf numFmtId="164" fontId="92" fillId="0" borderId="72" xfId="37" applyNumberFormat="1" applyFont="1" applyBorder="1" applyAlignment="1">
      <alignment horizontal="center"/>
    </xf>
    <xf numFmtId="164" fontId="92" fillId="0" borderId="72" xfId="37" applyNumberFormat="1" applyFont="1" applyBorder="1" applyAlignment="1">
      <alignment horizontal="left"/>
    </xf>
    <xf numFmtId="164" fontId="92" fillId="5" borderId="72" xfId="37" applyNumberFormat="1" applyFont="1" applyFill="1" applyBorder="1"/>
    <xf numFmtId="164" fontId="92" fillId="5" borderId="72" xfId="37" applyNumberFormat="1" applyFont="1" applyFill="1" applyBorder="1" applyAlignment="1">
      <alignment horizontal="center"/>
    </xf>
    <xf numFmtId="164" fontId="91" fillId="5" borderId="72" xfId="37" applyNumberFormat="1" applyFont="1" applyFill="1" applyBorder="1" applyAlignment="1">
      <alignment horizontal="center"/>
    </xf>
    <xf numFmtId="164" fontId="92" fillId="0" borderId="72" xfId="37" applyNumberFormat="1" applyFont="1" applyBorder="1" applyAlignment="1">
      <alignment wrapText="1"/>
    </xf>
    <xf numFmtId="164" fontId="91" fillId="0" borderId="72" xfId="37" applyNumberFormat="1" applyFont="1" applyBorder="1" applyAlignment="1">
      <alignment horizontal="center"/>
    </xf>
    <xf numFmtId="164" fontId="91" fillId="6" borderId="53" xfId="37" applyNumberFormat="1" applyFont="1" applyFill="1" applyBorder="1" applyAlignment="1">
      <alignment horizontal="center"/>
    </xf>
    <xf numFmtId="164" fontId="92" fillId="0" borderId="72" xfId="37" applyNumberFormat="1" applyFont="1" applyFill="1" applyBorder="1"/>
    <xf numFmtId="164" fontId="92" fillId="0" borderId="72" xfId="37" applyNumberFormat="1" applyFont="1" applyFill="1" applyBorder="1" applyAlignment="1">
      <alignment horizontal="left"/>
    </xf>
    <xf numFmtId="164" fontId="92" fillId="0" borderId="72" xfId="37" applyNumberFormat="1" applyFont="1" applyFill="1" applyBorder="1" applyAlignment="1">
      <alignment horizontal="center"/>
    </xf>
    <xf numFmtId="0" fontId="13" fillId="0" borderId="12" xfId="0" applyFont="1" applyFill="1" applyBorder="1" applyAlignment="1">
      <alignment horizontal="justify" vertical="center"/>
    </xf>
    <xf numFmtId="164" fontId="13" fillId="0" borderId="12" xfId="2" applyFont="1" applyFill="1" applyBorder="1" applyAlignment="1">
      <alignment vertical="center"/>
    </xf>
    <xf numFmtId="164" fontId="83" fillId="7" borderId="72" xfId="37" applyNumberFormat="1" applyFont="1" applyFill="1" applyBorder="1"/>
    <xf numFmtId="164" fontId="83" fillId="7" borderId="72" xfId="37" applyNumberFormat="1" applyFont="1" applyFill="1" applyBorder="1" applyAlignment="1">
      <alignment horizontal="center"/>
    </xf>
    <xf numFmtId="164" fontId="81" fillId="6" borderId="54" xfId="37" applyNumberFormat="1" applyFont="1" applyFill="1" applyBorder="1" applyAlignment="1">
      <alignment horizontal="center"/>
    </xf>
    <xf numFmtId="164" fontId="76" fillId="6" borderId="4" xfId="37" applyNumberFormat="1" applyFont="1" applyFill="1" applyBorder="1" applyAlignment="1">
      <alignment horizontal="center"/>
    </xf>
    <xf numFmtId="164" fontId="76" fillId="6" borderId="5" xfId="37" applyNumberFormat="1" applyFont="1" applyFill="1" applyBorder="1" applyAlignment="1">
      <alignment horizontal="center"/>
    </xf>
    <xf numFmtId="4" fontId="15" fillId="0" borderId="121" xfId="0" applyNumberFormat="1" applyFont="1" applyFill="1" applyBorder="1" applyAlignment="1">
      <alignment horizontal="right" vertical="center" wrapText="1"/>
    </xf>
    <xf numFmtId="4" fontId="15" fillId="3" borderId="120" xfId="0" applyNumberFormat="1" applyFont="1" applyFill="1" applyBorder="1" applyAlignment="1">
      <alignment horizontal="center" vertical="top"/>
    </xf>
    <xf numFmtId="4" fontId="15" fillId="3" borderId="118" xfId="0" applyNumberFormat="1" applyFont="1" applyFill="1" applyBorder="1" applyAlignment="1">
      <alignment horizontal="justify" vertical="top" wrapText="1"/>
    </xf>
    <xf numFmtId="4" fontId="15" fillId="3" borderId="118" xfId="0" applyNumberFormat="1" applyFont="1" applyFill="1" applyBorder="1" applyAlignment="1">
      <alignment horizontal="right" vertical="top" wrapText="1"/>
    </xf>
    <xf numFmtId="4" fontId="15" fillId="3" borderId="118" xfId="0" applyNumberFormat="1" applyFont="1" applyFill="1" applyBorder="1" applyAlignment="1">
      <alignment horizontal="center" vertical="top"/>
    </xf>
    <xf numFmtId="4" fontId="15" fillId="3" borderId="122" xfId="0" applyNumberFormat="1" applyFont="1" applyFill="1" applyBorder="1" applyAlignment="1">
      <alignment horizontal="center" vertical="top"/>
    </xf>
    <xf numFmtId="4" fontId="15" fillId="3" borderId="117" xfId="0" applyNumberFormat="1" applyFont="1" applyFill="1" applyBorder="1" applyAlignment="1">
      <alignment horizontal="justify" vertical="top" wrapText="1"/>
    </xf>
    <xf numFmtId="4" fontId="15" fillId="3" borderId="117" xfId="0" applyNumberFormat="1" applyFont="1" applyFill="1" applyBorder="1" applyAlignment="1">
      <alignment horizontal="right" vertical="top" wrapText="1"/>
    </xf>
    <xf numFmtId="4" fontId="15" fillId="3" borderId="117" xfId="0" applyNumberFormat="1" applyFont="1" applyFill="1" applyBorder="1" applyAlignment="1">
      <alignment horizontal="center" vertical="top"/>
    </xf>
    <xf numFmtId="0" fontId="82" fillId="0" borderId="0" xfId="6" applyFont="1" applyFill="1"/>
    <xf numFmtId="0" fontId="15" fillId="3" borderId="13" xfId="0" applyFont="1" applyFill="1" applyBorder="1" applyAlignment="1" applyProtection="1">
      <alignment horizontal="center" vertical="center" wrapText="1"/>
    </xf>
    <xf numFmtId="164" fontId="15" fillId="3" borderId="14" xfId="2" applyFont="1" applyFill="1" applyBorder="1" applyAlignment="1">
      <alignment horizontal="center" vertical="center" wrapText="1"/>
    </xf>
    <xf numFmtId="43" fontId="15" fillId="3" borderId="15" xfId="31" applyNumberFormat="1" applyFont="1" applyFill="1" applyBorder="1" applyAlignment="1">
      <alignment horizontal="center" vertical="center" wrapText="1"/>
    </xf>
    <xf numFmtId="164" fontId="83" fillId="7" borderId="72" xfId="37" applyNumberFormat="1" applyFont="1" applyFill="1" applyBorder="1" applyAlignment="1">
      <alignment horizontal="left"/>
    </xf>
    <xf numFmtId="0" fontId="82" fillId="3" borderId="0" xfId="6" applyFont="1" applyFill="1"/>
    <xf numFmtId="0" fontId="82" fillId="3" borderId="0" xfId="6" applyFont="1" applyFill="1" applyAlignment="1">
      <alignment horizontal="center"/>
    </xf>
    <xf numFmtId="2" fontId="16" fillId="0" borderId="6" xfId="0" applyNumberFormat="1" applyFont="1" applyFill="1" applyBorder="1" applyAlignment="1">
      <alignment horizontal="center" vertical="center"/>
    </xf>
    <xf numFmtId="2" fontId="16" fillId="0" borderId="7" xfId="0" applyNumberFormat="1" applyFont="1" applyFill="1" applyBorder="1" applyAlignment="1">
      <alignment horizontal="center" vertical="center"/>
    </xf>
    <xf numFmtId="164" fontId="15" fillId="0" borderId="97" xfId="1" applyFont="1" applyFill="1" applyBorder="1" applyAlignment="1">
      <alignment horizontal="right" vertical="center"/>
    </xf>
    <xf numFmtId="4" fontId="15" fillId="0" borderId="69" xfId="0" applyNumberFormat="1" applyFont="1" applyFill="1" applyBorder="1" applyAlignment="1">
      <alignment horizontal="right" vertical="center"/>
    </xf>
    <xf numFmtId="4" fontId="15" fillId="3" borderId="13" xfId="0" applyNumberFormat="1" applyFont="1" applyFill="1" applyBorder="1" applyAlignment="1">
      <alignment horizontal="justify" vertical="center" wrapText="1"/>
    </xf>
    <xf numFmtId="4" fontId="15" fillId="3" borderId="13" xfId="0" applyNumberFormat="1" applyFont="1" applyFill="1" applyBorder="1" applyAlignment="1">
      <alignment horizontal="right" vertical="center" wrapText="1"/>
    </xf>
    <xf numFmtId="0" fontId="13" fillId="0" borderId="13" xfId="0" applyFont="1" applyFill="1" applyBorder="1" applyAlignment="1">
      <alignment horizontal="justify" vertical="center"/>
    </xf>
    <xf numFmtId="0" fontId="16" fillId="0" borderId="13" xfId="0" applyFont="1" applyFill="1" applyBorder="1" applyAlignment="1">
      <alignment horizontal="justify" vertical="center"/>
    </xf>
    <xf numFmtId="4" fontId="15" fillId="0" borderId="29" xfId="0" applyNumberFormat="1" applyFont="1" applyFill="1" applyBorder="1" applyAlignment="1">
      <alignment horizontal="justify" vertical="center" wrapText="1"/>
    </xf>
    <xf numFmtId="164" fontId="15" fillId="0" borderId="30" xfId="1" applyFont="1" applyFill="1" applyBorder="1" applyAlignment="1">
      <alignment horizontal="right" vertical="center"/>
    </xf>
    <xf numFmtId="4" fontId="15" fillId="0" borderId="31" xfId="0" applyNumberFormat="1" applyFont="1" applyFill="1" applyBorder="1" applyAlignment="1">
      <alignment horizontal="right" vertical="center"/>
    </xf>
    <xf numFmtId="4" fontId="15" fillId="0" borderId="37" xfId="0" applyNumberFormat="1" applyFont="1" applyFill="1" applyBorder="1" applyAlignment="1">
      <alignment horizontal="left" vertical="center" wrapText="1"/>
    </xf>
    <xf numFmtId="4" fontId="15" fillId="0" borderId="37" xfId="0" applyNumberFormat="1" applyFont="1" applyFill="1" applyBorder="1" applyAlignment="1">
      <alignment horizontal="right" vertical="center" wrapText="1"/>
    </xf>
    <xf numFmtId="4" fontId="15" fillId="0" borderId="0" xfId="0" applyNumberFormat="1" applyFont="1" applyBorder="1" applyAlignment="1">
      <alignment horizontal="justify" vertical="center"/>
    </xf>
    <xf numFmtId="4" fontId="15" fillId="0" borderId="0" xfId="0" applyNumberFormat="1" applyFont="1" applyBorder="1" applyAlignment="1">
      <alignment horizontal="right" vertical="center"/>
    </xf>
    <xf numFmtId="164" fontId="15" fillId="0" borderId="0" xfId="1" applyFont="1" applyBorder="1" applyAlignment="1">
      <alignment horizontal="right" vertical="center"/>
    </xf>
    <xf numFmtId="164" fontId="15" fillId="0" borderId="11" xfId="1" applyFont="1" applyFill="1" applyBorder="1" applyAlignment="1">
      <alignment horizontal="center" vertical="center"/>
    </xf>
    <xf numFmtId="2" fontId="15" fillId="0" borderId="13" xfId="2" applyNumberFormat="1" applyFont="1" applyFill="1" applyBorder="1" applyAlignment="1">
      <alignment horizontal="right" vertical="center"/>
    </xf>
    <xf numFmtId="164" fontId="15" fillId="0" borderId="15" xfId="3" applyFont="1" applyFill="1" applyBorder="1" applyAlignment="1">
      <alignment horizontal="center" vertical="center" wrapText="1"/>
    </xf>
    <xf numFmtId="0" fontId="16" fillId="0" borderId="8" xfId="0" applyFont="1" applyFill="1" applyBorder="1" applyAlignment="1">
      <alignment horizontal="center" vertical="center"/>
    </xf>
    <xf numFmtId="4" fontId="23" fillId="3" borderId="19" xfId="2" applyNumberFormat="1" applyFont="1" applyFill="1" applyBorder="1" applyAlignment="1">
      <alignment horizontal="center" vertical="center"/>
    </xf>
    <xf numFmtId="164" fontId="15" fillId="0" borderId="15" xfId="3" applyFont="1" applyFill="1" applyBorder="1" applyAlignment="1">
      <alignment horizontal="center" vertical="center"/>
    </xf>
    <xf numFmtId="4" fontId="23" fillId="11" borderId="19" xfId="2" applyNumberFormat="1" applyFont="1" applyFill="1" applyBorder="1" applyAlignment="1">
      <alignment horizontal="center" vertical="center"/>
    </xf>
    <xf numFmtId="164" fontId="15" fillId="11" borderId="37" xfId="1" applyFont="1" applyFill="1" applyBorder="1" applyAlignment="1">
      <alignment horizontal="center"/>
    </xf>
    <xf numFmtId="164" fontId="15" fillId="11" borderId="97" xfId="1" applyFont="1" applyFill="1" applyBorder="1" applyAlignment="1">
      <alignment horizontal="center"/>
    </xf>
    <xf numFmtId="164" fontId="15" fillId="11" borderId="13" xfId="1" applyFont="1" applyFill="1" applyBorder="1" applyAlignment="1">
      <alignment horizontal="right"/>
    </xf>
    <xf numFmtId="164" fontId="15" fillId="11" borderId="14" xfId="1" applyFont="1" applyFill="1" applyBorder="1" applyAlignment="1">
      <alignment horizontal="right"/>
    </xf>
    <xf numFmtId="164" fontId="15" fillId="11" borderId="13" xfId="1" applyFont="1" applyFill="1" applyBorder="1" applyAlignment="1">
      <alignment horizontal="right" vertical="justify"/>
    </xf>
    <xf numFmtId="164" fontId="15" fillId="11" borderId="14" xfId="1" applyFont="1" applyFill="1" applyBorder="1" applyAlignment="1">
      <alignment horizontal="right" vertical="justify"/>
    </xf>
    <xf numFmtId="164" fontId="15" fillId="11" borderId="37" xfId="1" applyFont="1" applyFill="1" applyBorder="1" applyAlignment="1">
      <alignment horizontal="right" vertical="center"/>
    </xf>
    <xf numFmtId="164" fontId="15" fillId="11" borderId="14" xfId="1" applyFont="1" applyFill="1" applyBorder="1" applyAlignment="1">
      <alignment horizontal="right" vertical="center"/>
    </xf>
    <xf numFmtId="164" fontId="15" fillId="11" borderId="13" xfId="1" applyFont="1" applyFill="1" applyBorder="1" applyAlignment="1">
      <alignment horizontal="right" vertical="center"/>
    </xf>
    <xf numFmtId="164" fontId="15" fillId="11" borderId="32" xfId="1" applyFont="1" applyFill="1" applyBorder="1" applyAlignment="1">
      <alignment horizontal="right" vertical="justify"/>
    </xf>
    <xf numFmtId="164" fontId="15" fillId="11" borderId="77" xfId="1" applyFont="1" applyFill="1" applyBorder="1" applyAlignment="1">
      <alignment horizontal="right" vertical="justify"/>
    </xf>
    <xf numFmtId="4" fontId="15" fillId="11" borderId="118" xfId="0" applyNumberFormat="1" applyFont="1" applyFill="1" applyBorder="1" applyAlignment="1">
      <alignment horizontal="right" vertical="center" wrapText="1"/>
    </xf>
    <xf numFmtId="164" fontId="15" fillId="11" borderId="0" xfId="1" applyFont="1" applyFill="1" applyBorder="1" applyAlignment="1">
      <alignment horizontal="center"/>
    </xf>
    <xf numFmtId="164" fontId="15" fillId="11" borderId="0" xfId="1" applyFont="1" applyFill="1" applyBorder="1" applyAlignment="1">
      <alignment horizontal="right" vertical="top"/>
    </xf>
    <xf numFmtId="164" fontId="15" fillId="11" borderId="85" xfId="1" applyFont="1" applyFill="1" applyBorder="1" applyAlignment="1">
      <alignment horizontal="center" vertical="center"/>
    </xf>
    <xf numFmtId="164" fontId="15" fillId="11" borderId="100" xfId="1" applyFont="1" applyFill="1" applyBorder="1" applyAlignment="1">
      <alignment horizontal="center" vertical="center"/>
    </xf>
    <xf numFmtId="164" fontId="15" fillId="11" borderId="86" xfId="1" applyFont="1" applyFill="1" applyBorder="1" applyAlignment="1">
      <alignment horizontal="center" vertical="center"/>
    </xf>
    <xf numFmtId="164" fontId="15" fillId="11" borderId="101" xfId="1" applyFont="1" applyFill="1" applyBorder="1" applyAlignment="1">
      <alignment horizontal="center" vertical="center"/>
    </xf>
    <xf numFmtId="164" fontId="15" fillId="11" borderId="13" xfId="1" applyFont="1" applyFill="1" applyBorder="1" applyAlignment="1">
      <alignment horizontal="center" vertical="center"/>
    </xf>
    <xf numFmtId="164" fontId="15" fillId="11" borderId="14" xfId="1" applyFont="1" applyFill="1" applyBorder="1" applyAlignment="1">
      <alignment horizontal="center" vertical="center"/>
    </xf>
    <xf numFmtId="4" fontId="15" fillId="11" borderId="13" xfId="0" applyNumberFormat="1" applyFont="1" applyFill="1" applyBorder="1" applyAlignment="1">
      <alignment horizontal="right" vertical="center" wrapText="1"/>
    </xf>
    <xf numFmtId="164" fontId="15" fillId="11" borderId="13" xfId="2" applyFont="1" applyFill="1" applyBorder="1" applyAlignment="1">
      <alignment vertical="center"/>
    </xf>
    <xf numFmtId="164" fontId="15" fillId="11" borderId="14" xfId="2" applyFont="1" applyFill="1" applyBorder="1" applyAlignment="1">
      <alignment vertical="center"/>
    </xf>
    <xf numFmtId="164" fontId="15" fillId="11" borderId="13" xfId="1" applyFont="1" applyFill="1" applyBorder="1" applyAlignment="1">
      <alignment vertical="center"/>
    </xf>
    <xf numFmtId="164" fontId="15" fillId="11" borderId="14" xfId="1" applyFont="1" applyFill="1" applyBorder="1" applyAlignment="1">
      <alignment vertical="center"/>
    </xf>
    <xf numFmtId="164" fontId="15" fillId="11" borderId="29" xfId="1" applyFont="1" applyFill="1" applyBorder="1" applyAlignment="1">
      <alignment vertical="center"/>
    </xf>
    <xf numFmtId="164" fontId="15" fillId="11" borderId="30" xfId="1" applyFont="1" applyFill="1" applyBorder="1" applyAlignment="1">
      <alignment vertical="center"/>
    </xf>
    <xf numFmtId="164" fontId="15" fillId="11" borderId="37" xfId="1" applyFont="1" applyFill="1" applyBorder="1" applyAlignment="1">
      <alignment vertical="center"/>
    </xf>
    <xf numFmtId="164" fontId="15" fillId="11" borderId="97" xfId="1" applyFont="1" applyFill="1" applyBorder="1" applyAlignment="1">
      <alignment vertical="center"/>
    </xf>
    <xf numFmtId="164" fontId="15" fillId="11" borderId="0" xfId="1" applyFont="1" applyFill="1" applyBorder="1" applyAlignment="1">
      <alignment horizontal="center" vertical="center"/>
    </xf>
    <xf numFmtId="0" fontId="15" fillId="0" borderId="0" xfId="0" applyFont="1" applyFill="1" applyBorder="1" applyAlignment="1">
      <alignment wrapText="1"/>
    </xf>
    <xf numFmtId="0" fontId="15" fillId="0" borderId="0" xfId="0" applyFont="1" applyFill="1" applyBorder="1" applyAlignment="1">
      <alignment horizontal="left" vertical="top" wrapText="1"/>
    </xf>
    <xf numFmtId="0" fontId="15" fillId="0" borderId="0" xfId="0" applyFont="1" applyFill="1" applyBorder="1" applyAlignment="1">
      <alignment horizontal="left" vertical="center" wrapText="1"/>
    </xf>
    <xf numFmtId="0" fontId="15" fillId="0" borderId="0" xfId="0" applyFont="1" applyFill="1" applyBorder="1" applyAlignment="1">
      <alignment horizontal="left"/>
    </xf>
    <xf numFmtId="4" fontId="32" fillId="0" borderId="2" xfId="0" applyNumberFormat="1" applyFont="1" applyBorder="1" applyAlignment="1">
      <alignment horizontal="center" wrapText="1"/>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4" fontId="15" fillId="0" borderId="15" xfId="0" applyNumberFormat="1" applyFont="1" applyFill="1" applyBorder="1" applyAlignment="1">
      <alignment horizontal="center" vertical="center"/>
    </xf>
    <xf numFmtId="164" fontId="15" fillId="0" borderId="13" xfId="1" applyFont="1" applyFill="1" applyBorder="1" applyAlignment="1">
      <alignment horizontal="center" vertical="center"/>
    </xf>
    <xf numFmtId="4" fontId="16" fillId="0" borderId="44" xfId="0" applyNumberFormat="1" applyFont="1" applyFill="1" applyBorder="1" applyAlignment="1">
      <alignment horizontal="left" vertical="center" wrapText="1"/>
    </xf>
    <xf numFmtId="164" fontId="15" fillId="11" borderId="97" xfId="1" applyFont="1" applyFill="1" applyBorder="1" applyAlignment="1">
      <alignment horizontal="right" vertical="center"/>
    </xf>
    <xf numFmtId="164" fontId="15" fillId="11" borderId="29" xfId="1" applyFont="1" applyFill="1" applyBorder="1" applyAlignment="1">
      <alignment horizontal="right" vertical="center"/>
    </xf>
    <xf numFmtId="164" fontId="15" fillId="11" borderId="30" xfId="1" applyFont="1" applyFill="1" applyBorder="1" applyAlignment="1">
      <alignment horizontal="right" vertical="center"/>
    </xf>
    <xf numFmtId="164" fontId="15" fillId="11" borderId="8" xfId="1" applyFont="1" applyFill="1" applyBorder="1" applyAlignment="1">
      <alignment horizontal="right" vertical="center"/>
    </xf>
    <xf numFmtId="164" fontId="15" fillId="11" borderId="9" xfId="1" applyFont="1" applyFill="1" applyBorder="1" applyAlignment="1">
      <alignment horizontal="right" vertical="center"/>
    </xf>
    <xf numFmtId="164" fontId="15" fillId="11" borderId="0" xfId="1" applyFont="1" applyFill="1" applyBorder="1" applyAlignment="1">
      <alignment horizontal="right" vertical="center"/>
    </xf>
    <xf numFmtId="164" fontId="15" fillId="11" borderId="37" xfId="1" applyFont="1" applyFill="1" applyBorder="1" applyAlignment="1">
      <alignment horizontal="right" vertical="top"/>
    </xf>
    <xf numFmtId="164" fontId="15" fillId="11" borderId="97" xfId="1" applyFont="1" applyFill="1" applyBorder="1" applyAlignment="1">
      <alignment horizontal="right" vertical="top"/>
    </xf>
    <xf numFmtId="164" fontId="15" fillId="11" borderId="13" xfId="1" applyFont="1" applyFill="1" applyBorder="1" applyAlignment="1">
      <alignment horizontal="right" vertical="top"/>
    </xf>
    <xf numFmtId="164" fontId="15" fillId="11" borderId="14" xfId="1" applyFont="1" applyFill="1" applyBorder="1" applyAlignment="1">
      <alignment horizontal="right" vertical="top"/>
    </xf>
    <xf numFmtId="164" fontId="15" fillId="11" borderId="29" xfId="1" applyFont="1" applyFill="1" applyBorder="1" applyAlignment="1">
      <alignment horizontal="right" vertical="top"/>
    </xf>
    <xf numFmtId="164" fontId="15" fillId="11" borderId="30" xfId="1" applyFont="1" applyFill="1" applyBorder="1" applyAlignment="1">
      <alignment horizontal="right" vertical="top"/>
    </xf>
    <xf numFmtId="4" fontId="15" fillId="11" borderId="13" xfId="0" applyNumberFormat="1" applyFont="1" applyFill="1" applyBorder="1" applyAlignment="1">
      <alignment horizontal="center" vertical="top"/>
    </xf>
    <xf numFmtId="4" fontId="15" fillId="11" borderId="14" xfId="0" applyNumberFormat="1" applyFont="1" applyFill="1" applyBorder="1" applyAlignment="1">
      <alignment horizontal="center" vertical="top"/>
    </xf>
    <xf numFmtId="164" fontId="15" fillId="11" borderId="8" xfId="1" applyFont="1" applyFill="1" applyBorder="1" applyAlignment="1">
      <alignment horizontal="right" vertical="top"/>
    </xf>
    <xf numFmtId="164" fontId="15" fillId="11" borderId="9" xfId="1" applyFont="1" applyFill="1" applyBorder="1" applyAlignment="1">
      <alignment horizontal="right" vertical="top"/>
    </xf>
    <xf numFmtId="4" fontId="15" fillId="11" borderId="37" xfId="0" applyNumberFormat="1" applyFont="1" applyFill="1" applyBorder="1" applyAlignment="1">
      <alignment horizontal="center" vertical="top"/>
    </xf>
    <xf numFmtId="4" fontId="15" fillId="11" borderId="13" xfId="0" applyNumberFormat="1" applyFont="1" applyFill="1" applyBorder="1" applyAlignment="1">
      <alignment horizontal="center" vertical="center"/>
    </xf>
    <xf numFmtId="4" fontId="15" fillId="11" borderId="8" xfId="0" applyNumberFormat="1" applyFont="1" applyFill="1" applyBorder="1" applyAlignment="1">
      <alignment horizontal="center" vertical="top"/>
    </xf>
    <xf numFmtId="4" fontId="15" fillId="11" borderId="0" xfId="0" applyNumberFormat="1" applyFont="1" applyFill="1" applyBorder="1" applyAlignment="1">
      <alignment horizontal="center" vertical="top"/>
    </xf>
    <xf numFmtId="164" fontId="16" fillId="11" borderId="8" xfId="1" applyFont="1" applyFill="1" applyBorder="1" applyAlignment="1">
      <alignment horizontal="center"/>
    </xf>
    <xf numFmtId="164" fontId="16" fillId="11" borderId="9" xfId="1" applyFont="1" applyFill="1" applyBorder="1" applyAlignment="1">
      <alignment horizontal="center"/>
    </xf>
    <xf numFmtId="164" fontId="13" fillId="11" borderId="13" xfId="2" applyFont="1" applyFill="1" applyBorder="1" applyAlignment="1">
      <alignment vertical="center"/>
    </xf>
    <xf numFmtId="164" fontId="13" fillId="11" borderId="118" xfId="2" applyFont="1" applyFill="1" applyBorder="1" applyAlignment="1">
      <alignment vertical="center"/>
    </xf>
    <xf numFmtId="164" fontId="13" fillId="11" borderId="0" xfId="2" applyFont="1" applyFill="1" applyAlignment="1">
      <alignment vertical="center"/>
    </xf>
    <xf numFmtId="164" fontId="13" fillId="11" borderId="0" xfId="2" applyFont="1" applyFill="1" applyBorder="1" applyAlignment="1">
      <alignment vertical="center"/>
    </xf>
    <xf numFmtId="164" fontId="15" fillId="11" borderId="118" xfId="1" applyFont="1" applyFill="1" applyBorder="1" applyAlignment="1">
      <alignment horizontal="right" vertical="top"/>
    </xf>
    <xf numFmtId="4" fontId="15" fillId="11" borderId="121" xfId="0" applyNumberFormat="1" applyFont="1" applyFill="1" applyBorder="1" applyAlignment="1">
      <alignment horizontal="right" vertical="center" wrapText="1"/>
    </xf>
    <xf numFmtId="164" fontId="15" fillId="11" borderId="117" xfId="1" applyFont="1" applyFill="1" applyBorder="1" applyAlignment="1">
      <alignment horizontal="right" vertical="top"/>
    </xf>
    <xf numFmtId="4" fontId="15" fillId="11" borderId="13" xfId="0" applyNumberFormat="1" applyFont="1" applyFill="1" applyBorder="1" applyAlignment="1">
      <alignment horizontal="right" vertical="top"/>
    </xf>
    <xf numFmtId="4" fontId="15" fillId="11" borderId="14" xfId="0" applyNumberFormat="1" applyFont="1" applyFill="1" applyBorder="1" applyAlignment="1">
      <alignment horizontal="right" vertical="top"/>
    </xf>
    <xf numFmtId="164" fontId="15" fillId="11" borderId="37" xfId="29" applyFont="1" applyFill="1" applyBorder="1" applyAlignment="1">
      <alignment horizontal="center" vertical="center"/>
    </xf>
    <xf numFmtId="164" fontId="15" fillId="11" borderId="97" xfId="29" applyFont="1" applyFill="1" applyBorder="1" applyAlignment="1">
      <alignment horizontal="center" vertical="center"/>
    </xf>
    <xf numFmtId="164" fontId="15" fillId="11" borderId="13" xfId="29" applyFont="1" applyFill="1" applyBorder="1" applyAlignment="1">
      <alignment horizontal="center" vertical="center"/>
    </xf>
    <xf numFmtId="164" fontId="15" fillId="11" borderId="14" xfId="29" applyFont="1" applyFill="1" applyBorder="1" applyAlignment="1">
      <alignment horizontal="center" vertical="center"/>
    </xf>
    <xf numFmtId="164" fontId="15" fillId="11" borderId="13" xfId="29" applyFont="1" applyFill="1" applyBorder="1" applyAlignment="1">
      <alignment horizontal="center" vertical="center"/>
    </xf>
    <xf numFmtId="164" fontId="15" fillId="11" borderId="13" xfId="29" applyFont="1" applyFill="1" applyBorder="1" applyAlignment="1">
      <alignment vertical="center"/>
    </xf>
    <xf numFmtId="164" fontId="15" fillId="11" borderId="14" xfId="29" applyFont="1" applyFill="1" applyBorder="1" applyAlignment="1">
      <alignment vertical="center"/>
    </xf>
    <xf numFmtId="164" fontId="15" fillId="11" borderId="13" xfId="2" applyFont="1" applyFill="1" applyBorder="1" applyAlignment="1">
      <alignment horizontal="center" vertical="center" wrapText="1"/>
    </xf>
    <xf numFmtId="164" fontId="15" fillId="11" borderId="14" xfId="2" applyFont="1" applyFill="1" applyBorder="1" applyAlignment="1">
      <alignment horizontal="center" vertical="center" wrapText="1"/>
    </xf>
    <xf numFmtId="164" fontId="15" fillId="11" borderId="0" xfId="29" applyFont="1" applyFill="1" applyBorder="1" applyAlignment="1">
      <alignment horizontal="center" vertical="center"/>
    </xf>
    <xf numFmtId="4" fontId="15" fillId="0" borderId="15" xfId="0" applyNumberFormat="1" applyFont="1" applyFill="1" applyBorder="1" applyAlignment="1">
      <alignment horizontal="right" vertical="center" wrapText="1"/>
    </xf>
    <xf numFmtId="4" fontId="23" fillId="11" borderId="87" xfId="2" applyNumberFormat="1" applyFont="1" applyFill="1" applyBorder="1" applyAlignment="1">
      <alignment horizontal="center" vertical="center"/>
    </xf>
    <xf numFmtId="4" fontId="23" fillId="11" borderId="43" xfId="2" applyNumberFormat="1" applyFont="1" applyFill="1" applyBorder="1" applyAlignment="1">
      <alignment horizontal="center" vertical="center"/>
    </xf>
    <xf numFmtId="4" fontId="23" fillId="3" borderId="43" xfId="2" applyNumberFormat="1" applyFont="1" applyFill="1" applyBorder="1" applyAlignment="1">
      <alignment horizontal="center" vertical="center"/>
    </xf>
    <xf numFmtId="4" fontId="15" fillId="0" borderId="123" xfId="0" applyNumberFormat="1" applyFont="1" applyFill="1" applyBorder="1" applyAlignment="1">
      <alignment horizontal="right" vertical="center" wrapText="1"/>
    </xf>
    <xf numFmtId="4" fontId="15" fillId="0" borderId="124" xfId="0" applyNumberFormat="1" applyFont="1" applyFill="1" applyBorder="1" applyAlignment="1">
      <alignment horizontal="right" vertical="center" wrapText="1"/>
    </xf>
    <xf numFmtId="4" fontId="15" fillId="3" borderId="125" xfId="0" applyNumberFormat="1" applyFont="1" applyFill="1" applyBorder="1" applyAlignment="1">
      <alignment horizontal="center" vertical="top"/>
    </xf>
    <xf numFmtId="4" fontId="15" fillId="3" borderId="126" xfId="0" applyNumberFormat="1" applyFont="1" applyFill="1" applyBorder="1" applyAlignment="1">
      <alignment horizontal="justify" vertical="top" wrapText="1"/>
    </xf>
    <xf numFmtId="4" fontId="15" fillId="3" borderId="126" xfId="0" applyNumberFormat="1" applyFont="1" applyFill="1" applyBorder="1" applyAlignment="1">
      <alignment horizontal="right" vertical="top" wrapText="1"/>
    </xf>
    <xf numFmtId="4" fontId="15" fillId="3" borderId="126" xfId="0" applyNumberFormat="1" applyFont="1" applyFill="1" applyBorder="1" applyAlignment="1">
      <alignment horizontal="center" vertical="top"/>
    </xf>
    <xf numFmtId="164" fontId="15" fillId="11" borderId="126" xfId="1" applyFont="1" applyFill="1" applyBorder="1" applyAlignment="1">
      <alignment horizontal="right" vertical="top"/>
    </xf>
    <xf numFmtId="4" fontId="15" fillId="11" borderId="127" xfId="0" applyNumberFormat="1" applyFont="1" applyFill="1" applyBorder="1" applyAlignment="1">
      <alignment horizontal="right" vertical="center" wrapText="1"/>
    </xf>
    <xf numFmtId="4" fontId="15" fillId="0" borderId="127" xfId="0" applyNumberFormat="1" applyFont="1" applyFill="1" applyBorder="1" applyAlignment="1">
      <alignment horizontal="right" vertical="center" wrapText="1"/>
    </xf>
    <xf numFmtId="4" fontId="15" fillId="0" borderId="128" xfId="0" applyNumberFormat="1" applyFont="1" applyFill="1" applyBorder="1" applyAlignment="1">
      <alignment horizontal="right" vertical="center" wrapText="1"/>
    </xf>
    <xf numFmtId="4" fontId="23" fillId="3" borderId="87" xfId="2" applyNumberFormat="1" applyFont="1" applyFill="1" applyBorder="1" applyAlignment="1">
      <alignment horizontal="center" vertical="center"/>
    </xf>
    <xf numFmtId="164" fontId="32" fillId="0" borderId="31" xfId="1" applyFont="1" applyFill="1" applyBorder="1" applyAlignment="1">
      <alignment horizontal="center"/>
    </xf>
    <xf numFmtId="164" fontId="16" fillId="0" borderId="6" xfId="1" applyFont="1" applyFill="1" applyBorder="1" applyAlignment="1">
      <alignment horizontal="center" vertical="center"/>
    </xf>
    <xf numFmtId="2" fontId="16" fillId="0" borderId="8" xfId="0" applyNumberFormat="1" applyFont="1" applyFill="1" applyBorder="1" applyAlignment="1">
      <alignment horizontal="center" vertical="center" wrapText="1"/>
    </xf>
    <xf numFmtId="4" fontId="23" fillId="11" borderId="8" xfId="2" applyNumberFormat="1" applyFont="1" applyFill="1" applyBorder="1" applyAlignment="1">
      <alignment horizontal="center" vertical="center"/>
    </xf>
    <xf numFmtId="4" fontId="23" fillId="3" borderId="8" xfId="2" applyNumberFormat="1" applyFont="1" applyFill="1" applyBorder="1" applyAlignment="1">
      <alignment horizontal="center" vertical="center"/>
    </xf>
    <xf numFmtId="164" fontId="15" fillId="0" borderId="6" xfId="1" applyFont="1" applyFill="1" applyBorder="1" applyAlignment="1">
      <alignment horizontal="center" vertical="center"/>
    </xf>
    <xf numFmtId="0" fontId="16" fillId="0" borderId="8" xfId="0" applyFont="1" applyFill="1" applyBorder="1" applyAlignment="1">
      <alignment horizontal="left" vertical="center" wrapText="1"/>
    </xf>
    <xf numFmtId="0" fontId="16" fillId="0" borderId="8" xfId="0" applyFont="1" applyFill="1" applyBorder="1" applyAlignment="1">
      <alignment horizontal="center" vertical="center" wrapText="1"/>
    </xf>
    <xf numFmtId="2" fontId="15" fillId="0" borderId="8" xfId="2" applyNumberFormat="1" applyFont="1" applyFill="1" applyBorder="1" applyAlignment="1">
      <alignment horizontal="right" vertical="center"/>
    </xf>
    <xf numFmtId="0" fontId="15" fillId="0" borderId="8" xfId="0" applyFont="1" applyFill="1" applyBorder="1" applyAlignment="1">
      <alignment horizontal="center" vertical="center"/>
    </xf>
    <xf numFmtId="164" fontId="16" fillId="0" borderId="10" xfId="3" applyFont="1" applyFill="1" applyBorder="1" applyAlignment="1">
      <alignment horizontal="right" vertical="center"/>
    </xf>
    <xf numFmtId="4" fontId="15" fillId="11" borderId="37" xfId="0" applyNumberFormat="1" applyFont="1" applyFill="1" applyBorder="1" applyAlignment="1">
      <alignment horizontal="right" vertical="center" wrapText="1"/>
    </xf>
    <xf numFmtId="4" fontId="15" fillId="0" borderId="69" xfId="0" applyNumberFormat="1" applyFont="1" applyFill="1" applyBorder="1" applyAlignment="1">
      <alignment horizontal="right" vertical="center" wrapText="1"/>
    </xf>
    <xf numFmtId="4" fontId="15" fillId="3" borderId="129" xfId="0" applyNumberFormat="1" applyFont="1" applyFill="1" applyBorder="1" applyAlignment="1">
      <alignment horizontal="center" vertical="top"/>
    </xf>
    <xf numFmtId="4" fontId="15" fillId="3" borderId="130" xfId="0" applyNumberFormat="1" applyFont="1" applyFill="1" applyBorder="1" applyAlignment="1">
      <alignment horizontal="justify" vertical="top" wrapText="1"/>
    </xf>
    <xf numFmtId="4" fontId="15" fillId="3" borderId="130" xfId="0" applyNumberFormat="1" applyFont="1" applyFill="1" applyBorder="1" applyAlignment="1">
      <alignment horizontal="right" vertical="top" wrapText="1"/>
    </xf>
    <xf numFmtId="4" fontId="15" fillId="3" borderId="130" xfId="0" applyNumberFormat="1" applyFont="1" applyFill="1" applyBorder="1" applyAlignment="1">
      <alignment horizontal="center" vertical="top"/>
    </xf>
    <xf numFmtId="164" fontId="15" fillId="11" borderId="130" xfId="1" applyFont="1" applyFill="1" applyBorder="1" applyAlignment="1">
      <alignment horizontal="right" vertical="top"/>
    </xf>
    <xf numFmtId="164" fontId="15" fillId="11" borderId="131" xfId="1" applyFont="1" applyFill="1" applyBorder="1" applyAlignment="1">
      <alignment horizontal="right" vertical="top"/>
    </xf>
    <xf numFmtId="164" fontId="15" fillId="3" borderId="131" xfId="1" applyFont="1" applyFill="1" applyBorder="1" applyAlignment="1">
      <alignment horizontal="right" vertical="top"/>
    </xf>
    <xf numFmtId="4" fontId="15" fillId="3" borderId="132" xfId="0" applyNumberFormat="1" applyFont="1" applyFill="1" applyBorder="1" applyAlignment="1">
      <alignment horizontal="right" vertical="top"/>
    </xf>
    <xf numFmtId="4" fontId="15" fillId="3" borderId="133" xfId="0" applyNumberFormat="1" applyFont="1" applyFill="1" applyBorder="1" applyAlignment="1">
      <alignment horizontal="center" vertical="top"/>
    </xf>
    <xf numFmtId="4" fontId="15" fillId="3" borderId="134" xfId="0" applyNumberFormat="1" applyFont="1" applyFill="1" applyBorder="1" applyAlignment="1">
      <alignment horizontal="left" wrapText="1"/>
    </xf>
    <xf numFmtId="4" fontId="15" fillId="3" borderId="134" xfId="0" applyNumberFormat="1" applyFont="1" applyFill="1" applyBorder="1" applyAlignment="1">
      <alignment horizontal="right" vertical="top" wrapText="1"/>
    </xf>
    <xf numFmtId="4" fontId="15" fillId="3" borderId="134" xfId="0" applyNumberFormat="1" applyFont="1" applyFill="1" applyBorder="1" applyAlignment="1">
      <alignment horizontal="center" vertical="top"/>
    </xf>
    <xf numFmtId="164" fontId="15" fillId="11" borderId="134" xfId="1" applyFont="1" applyFill="1" applyBorder="1" applyAlignment="1">
      <alignment horizontal="right" vertical="top"/>
    </xf>
    <xf numFmtId="164" fontId="15" fillId="11" borderId="135" xfId="1" applyFont="1" applyFill="1" applyBorder="1" applyAlignment="1">
      <alignment horizontal="right" vertical="top"/>
    </xf>
    <xf numFmtId="164" fontId="15" fillId="3" borderId="135" xfId="1" applyFont="1" applyFill="1" applyBorder="1" applyAlignment="1">
      <alignment horizontal="right" vertical="top"/>
    </xf>
    <xf numFmtId="4" fontId="15" fillId="3" borderId="136" xfId="0" applyNumberFormat="1" applyFont="1" applyFill="1" applyBorder="1" applyAlignment="1">
      <alignment horizontal="right" vertical="top"/>
    </xf>
    <xf numFmtId="164" fontId="15" fillId="11" borderId="137" xfId="1" applyFont="1" applyFill="1" applyBorder="1" applyAlignment="1">
      <alignment horizontal="right" vertical="top"/>
    </xf>
    <xf numFmtId="4" fontId="15" fillId="3" borderId="138" xfId="0" applyNumberFormat="1" applyFont="1" applyFill="1" applyBorder="1" applyAlignment="1">
      <alignment horizontal="center" vertical="top"/>
    </xf>
    <xf numFmtId="4" fontId="15" fillId="3" borderId="139" xfId="0" applyNumberFormat="1" applyFont="1" applyFill="1" applyBorder="1" applyAlignment="1">
      <alignment horizontal="justify" vertical="top" wrapText="1"/>
    </xf>
    <xf numFmtId="4" fontId="15" fillId="3" borderId="139" xfId="0" applyNumberFormat="1" applyFont="1" applyFill="1" applyBorder="1" applyAlignment="1">
      <alignment horizontal="right" vertical="top" wrapText="1"/>
    </xf>
    <xf numFmtId="4" fontId="15" fillId="3" borderId="139" xfId="0" applyNumberFormat="1" applyFont="1" applyFill="1" applyBorder="1" applyAlignment="1">
      <alignment horizontal="center" vertical="top"/>
    </xf>
    <xf numFmtId="164" fontId="15" fillId="11" borderId="139" xfId="1" applyFont="1" applyFill="1" applyBorder="1" applyAlignment="1">
      <alignment horizontal="right" vertical="top"/>
    </xf>
    <xf numFmtId="4" fontId="15" fillId="11" borderId="140" xfId="0" applyNumberFormat="1" applyFont="1" applyFill="1" applyBorder="1" applyAlignment="1">
      <alignment horizontal="right" vertical="center" wrapText="1"/>
    </xf>
    <xf numFmtId="4" fontId="15" fillId="0" borderId="140" xfId="0" applyNumberFormat="1" applyFont="1" applyFill="1" applyBorder="1" applyAlignment="1">
      <alignment horizontal="right" vertical="center" wrapText="1"/>
    </xf>
    <xf numFmtId="4" fontId="15" fillId="0" borderId="141" xfId="0" applyNumberFormat="1" applyFont="1" applyFill="1" applyBorder="1" applyAlignment="1">
      <alignment horizontal="right" vertical="center" wrapText="1"/>
    </xf>
    <xf numFmtId="4" fontId="15" fillId="3" borderId="142" xfId="0" applyNumberFormat="1" applyFont="1" applyFill="1" applyBorder="1" applyAlignment="1">
      <alignment horizontal="center" vertical="top"/>
    </xf>
    <xf numFmtId="4" fontId="15" fillId="3" borderId="143" xfId="0" applyNumberFormat="1" applyFont="1" applyFill="1" applyBorder="1" applyAlignment="1">
      <alignment horizontal="justify" vertical="top" wrapText="1"/>
    </xf>
    <xf numFmtId="4" fontId="15" fillId="3" borderId="143" xfId="0" applyNumberFormat="1" applyFont="1" applyFill="1" applyBorder="1" applyAlignment="1">
      <alignment horizontal="right" vertical="top" wrapText="1"/>
    </xf>
    <xf numFmtId="4" fontId="15" fillId="3" borderId="143" xfId="0" applyNumberFormat="1" applyFont="1" applyFill="1" applyBorder="1" applyAlignment="1">
      <alignment horizontal="center" vertical="top"/>
    </xf>
    <xf numFmtId="164" fontId="15" fillId="11" borderId="143" xfId="1" applyFont="1" applyFill="1" applyBorder="1" applyAlignment="1">
      <alignment horizontal="right" vertical="top"/>
    </xf>
    <xf numFmtId="164" fontId="15" fillId="11" borderId="144" xfId="1" applyFont="1" applyFill="1" applyBorder="1" applyAlignment="1">
      <alignment horizontal="right" vertical="top"/>
    </xf>
    <xf numFmtId="164" fontId="15" fillId="3" borderId="144" xfId="1" applyFont="1" applyFill="1" applyBorder="1" applyAlignment="1">
      <alignment horizontal="right" vertical="top"/>
    </xf>
    <xf numFmtId="4" fontId="15" fillId="3" borderId="145" xfId="0" applyNumberFormat="1" applyFont="1" applyFill="1" applyBorder="1" applyAlignment="1">
      <alignment horizontal="right" vertical="top"/>
    </xf>
    <xf numFmtId="4" fontId="16" fillId="3" borderId="134" xfId="0" applyNumberFormat="1" applyFont="1" applyFill="1" applyBorder="1" applyAlignment="1">
      <alignment horizontal="justify" vertical="top" wrapText="1"/>
    </xf>
    <xf numFmtId="4" fontId="16" fillId="3" borderId="130" xfId="0" applyNumberFormat="1" applyFont="1" applyFill="1" applyBorder="1" applyAlignment="1">
      <alignment horizontal="justify" vertical="top" wrapText="1"/>
    </xf>
    <xf numFmtId="4" fontId="15" fillId="3" borderId="143" xfId="0" applyNumberFormat="1" applyFont="1" applyFill="1" applyBorder="1" applyAlignment="1">
      <alignment horizontal="left" wrapText="1"/>
    </xf>
    <xf numFmtId="4" fontId="15" fillId="3" borderId="143" xfId="0" applyNumberFormat="1" applyFont="1" applyFill="1" applyBorder="1" applyAlignment="1">
      <alignment horizontal="left" vertical="top" wrapText="1"/>
    </xf>
    <xf numFmtId="164" fontId="15" fillId="3" borderId="143" xfId="1" applyFont="1" applyFill="1" applyBorder="1" applyAlignment="1">
      <alignment horizontal="right" vertical="top"/>
    </xf>
    <xf numFmtId="4" fontId="15" fillId="11" borderId="143" xfId="0" applyNumberFormat="1" applyFont="1" applyFill="1" applyBorder="1" applyAlignment="1">
      <alignment horizontal="right" vertical="top"/>
    </xf>
    <xf numFmtId="4" fontId="15" fillId="11" borderId="144" xfId="0" applyNumberFormat="1" applyFont="1" applyFill="1" applyBorder="1" applyAlignment="1">
      <alignment horizontal="right" vertical="top"/>
    </xf>
    <xf numFmtId="4" fontId="15" fillId="3" borderId="144" xfId="0" applyNumberFormat="1" applyFont="1" applyFill="1" applyBorder="1" applyAlignment="1">
      <alignment horizontal="right" vertical="top"/>
    </xf>
    <xf numFmtId="4" fontId="15" fillId="3" borderId="134" xfId="0" applyNumberFormat="1" applyFont="1" applyFill="1" applyBorder="1" applyAlignment="1">
      <alignment horizontal="left" vertical="top" wrapText="1"/>
    </xf>
    <xf numFmtId="4" fontId="15" fillId="0" borderId="133" xfId="0" applyNumberFormat="1" applyFont="1" applyBorder="1" applyAlignment="1">
      <alignment horizontal="center" vertical="center"/>
    </xf>
    <xf numFmtId="4" fontId="18" fillId="0" borderId="134" xfId="0" applyNumberFormat="1" applyFont="1" applyFill="1" applyBorder="1" applyAlignment="1">
      <alignment horizontal="justify" vertical="center" wrapText="1"/>
    </xf>
    <xf numFmtId="4" fontId="33" fillId="0" borderId="134" xfId="0" applyNumberFormat="1" applyFont="1" applyFill="1" applyBorder="1" applyAlignment="1">
      <alignment horizontal="center" vertical="center" wrapText="1"/>
    </xf>
    <xf numFmtId="4" fontId="15" fillId="0" borderId="134" xfId="0" applyNumberFormat="1" applyFont="1" applyFill="1" applyBorder="1" applyAlignment="1">
      <alignment horizontal="center" vertical="center"/>
    </xf>
    <xf numFmtId="164" fontId="15" fillId="0" borderId="134" xfId="1" applyFont="1" applyFill="1" applyBorder="1" applyAlignment="1">
      <alignment horizontal="center" vertical="center"/>
    </xf>
    <xf numFmtId="164" fontId="15" fillId="0" borderId="135" xfId="1" applyFont="1" applyFill="1" applyBorder="1" applyAlignment="1">
      <alignment horizontal="center" vertical="center"/>
    </xf>
    <xf numFmtId="4" fontId="15" fillId="0" borderId="136" xfId="0" applyNumberFormat="1" applyFont="1" applyFill="1" applyBorder="1" applyAlignment="1">
      <alignment horizontal="center" vertical="center"/>
    </xf>
    <xf numFmtId="4" fontId="15" fillId="0" borderId="129" xfId="0" applyNumberFormat="1" applyFont="1" applyBorder="1" applyAlignment="1">
      <alignment horizontal="center" vertical="center"/>
    </xf>
    <xf numFmtId="4" fontId="33" fillId="0" borderId="130" xfId="0" applyNumberFormat="1" applyFont="1" applyFill="1" applyBorder="1" applyAlignment="1">
      <alignment horizontal="justify" vertical="center" wrapText="1"/>
    </xf>
    <xf numFmtId="4" fontId="33" fillId="0" borderId="130" xfId="0" applyNumberFormat="1" applyFont="1" applyFill="1" applyBorder="1" applyAlignment="1">
      <alignment horizontal="center" vertical="center" wrapText="1"/>
    </xf>
    <xf numFmtId="4" fontId="15" fillId="0" borderId="130" xfId="0" applyNumberFormat="1" applyFont="1" applyFill="1" applyBorder="1" applyAlignment="1">
      <alignment horizontal="center" vertical="center"/>
    </xf>
    <xf numFmtId="164" fontId="15" fillId="0" borderId="130" xfId="1" applyFont="1" applyFill="1" applyBorder="1" applyAlignment="1">
      <alignment horizontal="center" vertical="center"/>
    </xf>
    <xf numFmtId="164" fontId="15" fillId="0" borderId="131" xfId="1" applyFont="1" applyFill="1" applyBorder="1" applyAlignment="1">
      <alignment horizontal="center" vertical="center"/>
    </xf>
    <xf numFmtId="4" fontId="15" fillId="0" borderId="132" xfId="0" applyNumberFormat="1" applyFont="1" applyFill="1" applyBorder="1" applyAlignment="1">
      <alignment horizontal="center" vertical="center"/>
    </xf>
    <xf numFmtId="4" fontId="33" fillId="0" borderId="134" xfId="0" applyNumberFormat="1" applyFont="1" applyFill="1" applyBorder="1" applyAlignment="1">
      <alignment horizontal="justify" vertical="center" wrapText="1"/>
    </xf>
    <xf numFmtId="4" fontId="32" fillId="0" borderId="130" xfId="0" applyNumberFormat="1" applyFont="1" applyFill="1" applyBorder="1" applyAlignment="1">
      <alignment horizontal="justify" vertical="center" wrapText="1"/>
    </xf>
    <xf numFmtId="4" fontId="32" fillId="0" borderId="134" xfId="0" applyNumberFormat="1" applyFont="1" applyFill="1" applyBorder="1" applyAlignment="1">
      <alignment horizontal="justify" vertical="center" wrapText="1"/>
    </xf>
    <xf numFmtId="4" fontId="16" fillId="0" borderId="93" xfId="0" applyNumberFormat="1" applyFont="1" applyFill="1" applyBorder="1" applyAlignment="1">
      <alignment horizontal="left" vertical="center" wrapText="1"/>
    </xf>
    <xf numFmtId="4" fontId="19" fillId="0" borderId="146" xfId="0" applyNumberFormat="1" applyFont="1" applyFill="1" applyBorder="1" applyAlignment="1">
      <alignment horizontal="center" vertical="center" wrapText="1"/>
    </xf>
    <xf numFmtId="4" fontId="15" fillId="0" borderId="146" xfId="0" applyNumberFormat="1" applyFont="1" applyFill="1" applyBorder="1" applyAlignment="1">
      <alignment horizontal="center" vertical="center"/>
    </xf>
    <xf numFmtId="164" fontId="15" fillId="11" borderId="146" xfId="29" applyFont="1" applyFill="1" applyBorder="1" applyAlignment="1">
      <alignment horizontal="center" vertical="center"/>
    </xf>
    <xf numFmtId="164" fontId="15" fillId="0" borderId="92" xfId="29" applyFont="1" applyFill="1" applyBorder="1" applyAlignment="1">
      <alignment horizontal="center" vertical="center"/>
    </xf>
    <xf numFmtId="4" fontId="15" fillId="0" borderId="129" xfId="0" applyNumberFormat="1" applyFont="1" applyBorder="1" applyAlignment="1">
      <alignment horizontal="center" vertical="top"/>
    </xf>
    <xf numFmtId="4" fontId="19" fillId="0" borderId="130" xfId="0" applyNumberFormat="1" applyFont="1" applyFill="1" applyBorder="1" applyAlignment="1">
      <alignment horizontal="justify" vertical="top" wrapText="1"/>
    </xf>
    <xf numFmtId="4" fontId="15" fillId="0" borderId="130" xfId="0" applyNumberFormat="1" applyFont="1" applyFill="1" applyBorder="1" applyAlignment="1">
      <alignment horizontal="center" vertical="center" wrapText="1"/>
    </xf>
    <xf numFmtId="164" fontId="15" fillId="11" borderId="130" xfId="29" applyFont="1" applyFill="1" applyBorder="1" applyAlignment="1">
      <alignment horizontal="center" vertical="center"/>
    </xf>
    <xf numFmtId="164" fontId="15" fillId="11" borderId="131" xfId="29" applyFont="1" applyFill="1" applyBorder="1" applyAlignment="1">
      <alignment horizontal="center" vertical="center"/>
    </xf>
    <xf numFmtId="164" fontId="15" fillId="0" borderId="131" xfId="29" applyFont="1" applyFill="1" applyBorder="1" applyAlignment="1">
      <alignment horizontal="center" vertical="center"/>
    </xf>
    <xf numFmtId="4" fontId="15" fillId="0" borderId="133" xfId="0" applyNumberFormat="1" applyFont="1" applyBorder="1" applyAlignment="1">
      <alignment horizontal="center" vertical="top"/>
    </xf>
    <xf numFmtId="0" fontId="15" fillId="0" borderId="135" xfId="30" applyFont="1" applyFill="1" applyBorder="1" applyAlignment="1">
      <alignment horizontal="left" vertical="top" wrapText="1"/>
    </xf>
    <xf numFmtId="4" fontId="15" fillId="0" borderId="134" xfId="0" applyNumberFormat="1" applyFont="1" applyFill="1" applyBorder="1" applyAlignment="1">
      <alignment horizontal="center" vertical="center" wrapText="1"/>
    </xf>
    <xf numFmtId="164" fontId="15" fillId="11" borderId="134" xfId="29" applyFont="1" applyFill="1" applyBorder="1" applyAlignment="1">
      <alignment horizontal="center" vertical="center"/>
    </xf>
    <xf numFmtId="4" fontId="15" fillId="11" borderId="134" xfId="0" applyNumberFormat="1" applyFont="1" applyFill="1" applyBorder="1" applyAlignment="1">
      <alignment horizontal="right" vertical="center" wrapText="1"/>
    </xf>
    <xf numFmtId="4" fontId="15" fillId="0" borderId="134" xfId="0" applyNumberFormat="1" applyFont="1" applyFill="1" applyBorder="1" applyAlignment="1">
      <alignment horizontal="right" vertical="center" wrapText="1"/>
    </xf>
    <xf numFmtId="4" fontId="15" fillId="0" borderId="136" xfId="0" applyNumberFormat="1" applyFont="1" applyFill="1" applyBorder="1" applyAlignment="1">
      <alignment horizontal="right" vertical="center" wrapText="1"/>
    </xf>
    <xf numFmtId="4" fontId="15" fillId="0" borderId="130" xfId="0" applyNumberFormat="1" applyFont="1" applyFill="1" applyBorder="1" applyAlignment="1">
      <alignment horizontal="justify" vertical="top" wrapText="1"/>
    </xf>
    <xf numFmtId="4" fontId="15" fillId="0" borderId="135" xfId="0" applyNumberFormat="1" applyFont="1" applyFill="1" applyBorder="1" applyAlignment="1">
      <alignment horizontal="justify" vertical="top" wrapText="1"/>
    </xf>
    <xf numFmtId="164" fontId="15" fillId="11" borderId="135" xfId="29" applyFont="1" applyFill="1" applyBorder="1" applyAlignment="1">
      <alignment horizontal="center" vertical="center"/>
    </xf>
    <xf numFmtId="164" fontId="15" fillId="0" borderId="135" xfId="29" applyFont="1" applyFill="1" applyBorder="1" applyAlignment="1">
      <alignment horizontal="center" vertical="center"/>
    </xf>
    <xf numFmtId="4" fontId="15" fillId="11" borderId="147" xfId="0" applyNumberFormat="1" applyFont="1" applyFill="1" applyBorder="1" applyAlignment="1">
      <alignment horizontal="right" vertical="center" wrapText="1"/>
    </xf>
    <xf numFmtId="4" fontId="15" fillId="0" borderId="147" xfId="0" applyNumberFormat="1" applyFont="1" applyFill="1" applyBorder="1" applyAlignment="1">
      <alignment horizontal="right" vertical="center" wrapText="1"/>
    </xf>
    <xf numFmtId="4" fontId="15" fillId="0" borderId="148" xfId="0" applyNumberFormat="1" applyFont="1" applyFill="1" applyBorder="1" applyAlignment="1">
      <alignment horizontal="right" vertical="center" wrapText="1"/>
    </xf>
    <xf numFmtId="4" fontId="15" fillId="0" borderId="130" xfId="0" applyNumberFormat="1" applyFont="1" applyFill="1" applyBorder="1" applyAlignment="1">
      <alignment horizontal="left" vertical="top" wrapText="1"/>
    </xf>
    <xf numFmtId="4" fontId="16" fillId="0" borderId="134" xfId="0" applyNumberFormat="1" applyFont="1" applyFill="1" applyBorder="1" applyAlignment="1">
      <alignment horizontal="left" vertical="top" wrapText="1"/>
    </xf>
    <xf numFmtId="0" fontId="31" fillId="0" borderId="130" xfId="0" applyFont="1" applyFill="1" applyBorder="1" applyAlignment="1">
      <alignment horizontal="left" vertical="top" wrapText="1"/>
    </xf>
    <xf numFmtId="0" fontId="31" fillId="0" borderId="134" xfId="0" applyFont="1" applyFill="1" applyBorder="1" applyAlignment="1">
      <alignment horizontal="left" vertical="top" wrapText="1"/>
    </xf>
    <xf numFmtId="0" fontId="35" fillId="0" borderId="130" xfId="14" applyNumberFormat="1" applyFont="1" applyFill="1" applyBorder="1" applyAlignment="1" applyProtection="1">
      <alignment horizontal="left" vertical="center" wrapText="1"/>
      <protection locked="0"/>
    </xf>
    <xf numFmtId="0" fontId="35" fillId="0" borderId="134" xfId="14" applyNumberFormat="1" applyFont="1" applyFill="1" applyBorder="1" applyAlignment="1" applyProtection="1">
      <alignment horizontal="left" vertical="center" wrapText="1"/>
      <protection locked="0"/>
    </xf>
    <xf numFmtId="0" fontId="31" fillId="0" borderId="130" xfId="6" applyFont="1" applyFill="1" applyBorder="1" applyAlignment="1">
      <alignment horizontal="left" vertical="top" wrapText="1"/>
    </xf>
    <xf numFmtId="0" fontId="31" fillId="0" borderId="134" xfId="6" applyFont="1" applyFill="1" applyBorder="1" applyAlignment="1">
      <alignment horizontal="left" vertical="top" wrapText="1"/>
    </xf>
    <xf numFmtId="4" fontId="16" fillId="3" borderId="93" xfId="0" applyNumberFormat="1" applyFont="1" applyFill="1" applyBorder="1" applyAlignment="1">
      <alignment horizontal="justify" vertical="center" wrapText="1"/>
    </xf>
    <xf numFmtId="164" fontId="19" fillId="3" borderId="146" xfId="1" applyFont="1" applyFill="1" applyBorder="1" applyAlignment="1">
      <alignment horizontal="center" vertical="center" wrapText="1"/>
    </xf>
    <xf numFmtId="4" fontId="15" fillId="3" borderId="146" xfId="0" applyNumberFormat="1" applyFont="1" applyFill="1" applyBorder="1" applyAlignment="1">
      <alignment horizontal="center" vertical="center"/>
    </xf>
    <xf numFmtId="164" fontId="15" fillId="11" borderId="146" xfId="1" applyFont="1" applyFill="1" applyBorder="1" applyAlignment="1">
      <alignment horizontal="center" vertical="center"/>
    </xf>
    <xf numFmtId="164" fontId="15" fillId="3" borderId="92" xfId="1" applyFont="1" applyFill="1" applyBorder="1" applyAlignment="1">
      <alignment horizontal="center" vertical="center"/>
    </xf>
    <xf numFmtId="4" fontId="16" fillId="3" borderId="129" xfId="0" applyNumberFormat="1" applyFont="1" applyFill="1" applyBorder="1" applyAlignment="1">
      <alignment horizontal="center" vertical="top"/>
    </xf>
    <xf numFmtId="2" fontId="15" fillId="3" borderId="130" xfId="4" applyNumberFormat="1" applyFont="1" applyFill="1" applyBorder="1" applyAlignment="1">
      <alignment horizontal="left" vertical="center" wrapText="1"/>
    </xf>
    <xf numFmtId="164" fontId="15" fillId="3" borderId="130" xfId="1" applyFont="1" applyFill="1" applyBorder="1" applyAlignment="1">
      <alignment horizontal="center" vertical="center"/>
    </xf>
    <xf numFmtId="4" fontId="15" fillId="3" borderId="130" xfId="28" applyNumberFormat="1" applyFont="1" applyFill="1" applyBorder="1" applyAlignment="1">
      <alignment horizontal="center" vertical="center"/>
    </xf>
    <xf numFmtId="164" fontId="15" fillId="11" borderId="130" xfId="1" applyFont="1" applyFill="1" applyBorder="1" applyAlignment="1">
      <alignment vertical="center"/>
    </xf>
    <xf numFmtId="164" fontId="15" fillId="11" borderId="131" xfId="1" applyFont="1" applyFill="1" applyBorder="1" applyAlignment="1">
      <alignment vertical="center"/>
    </xf>
    <xf numFmtId="164" fontId="15" fillId="3" borderId="131" xfId="1" applyFont="1" applyFill="1" applyBorder="1" applyAlignment="1">
      <alignment vertical="center"/>
    </xf>
    <xf numFmtId="164" fontId="15" fillId="3" borderId="132" xfId="1" applyFont="1" applyFill="1" applyBorder="1" applyAlignment="1">
      <alignment horizontal="right" vertical="center"/>
    </xf>
    <xf numFmtId="4" fontId="16" fillId="3" borderId="133" xfId="0" applyNumberFormat="1" applyFont="1" applyFill="1" applyBorder="1" applyAlignment="1">
      <alignment horizontal="center" vertical="top"/>
    </xf>
    <xf numFmtId="2" fontId="15" fillId="3" borderId="134" xfId="4" applyNumberFormat="1" applyFont="1" applyFill="1" applyBorder="1" applyAlignment="1">
      <alignment horizontal="left" vertical="center" wrapText="1"/>
    </xf>
    <xf numFmtId="164" fontId="15" fillId="3" borderId="134" xfId="1" applyFont="1" applyFill="1" applyBorder="1" applyAlignment="1">
      <alignment horizontal="center" vertical="center"/>
    </xf>
    <xf numFmtId="4" fontId="15" fillId="3" borderId="134" xfId="28" applyNumberFormat="1" applyFont="1" applyFill="1" applyBorder="1" applyAlignment="1">
      <alignment horizontal="center" vertical="center"/>
    </xf>
    <xf numFmtId="164" fontId="15" fillId="11" borderId="134" xfId="1" applyFont="1" applyFill="1" applyBorder="1" applyAlignment="1">
      <alignment vertical="center"/>
    </xf>
    <xf numFmtId="164" fontId="15" fillId="11" borderId="135" xfId="1" applyFont="1" applyFill="1" applyBorder="1" applyAlignment="1">
      <alignment vertical="center"/>
    </xf>
    <xf numFmtId="164" fontId="15" fillId="3" borderId="135" xfId="1" applyFont="1" applyFill="1" applyBorder="1" applyAlignment="1">
      <alignment vertical="center"/>
    </xf>
    <xf numFmtId="164" fontId="15" fillId="3" borderId="136" xfId="1" applyFont="1" applyFill="1" applyBorder="1" applyAlignment="1">
      <alignment horizontal="right" vertical="center"/>
    </xf>
    <xf numFmtId="164" fontId="15" fillId="3" borderId="130" xfId="1" applyFont="1" applyFill="1" applyBorder="1" applyAlignment="1">
      <alignment horizontal="center" vertical="center" wrapText="1"/>
    </xf>
    <xf numFmtId="4" fontId="15" fillId="3" borderId="130" xfId="0" applyNumberFormat="1" applyFont="1" applyFill="1" applyBorder="1" applyAlignment="1">
      <alignment horizontal="center" vertical="center"/>
    </xf>
    <xf numFmtId="164" fontId="15" fillId="11" borderId="130" xfId="1" applyFont="1" applyFill="1" applyBorder="1" applyAlignment="1">
      <alignment horizontal="center" vertical="center"/>
    </xf>
    <xf numFmtId="164" fontId="15" fillId="11" borderId="131" xfId="1" applyFont="1" applyFill="1" applyBorder="1" applyAlignment="1">
      <alignment horizontal="center" vertical="center"/>
    </xf>
    <xf numFmtId="164" fontId="15" fillId="3" borderId="131" xfId="1" applyFont="1" applyFill="1" applyBorder="1" applyAlignment="1">
      <alignment horizontal="center" vertical="center"/>
    </xf>
    <xf numFmtId="4" fontId="15" fillId="3" borderId="132" xfId="0" applyNumberFormat="1" applyFont="1" applyFill="1" applyBorder="1" applyAlignment="1">
      <alignment horizontal="center" vertical="center"/>
    </xf>
    <xf numFmtId="4" fontId="16" fillId="3" borderId="142" xfId="0" applyNumberFormat="1" applyFont="1" applyFill="1" applyBorder="1" applyAlignment="1">
      <alignment horizontal="center" vertical="top"/>
    </xf>
    <xf numFmtId="0" fontId="16" fillId="3" borderId="143" xfId="0" applyFont="1" applyFill="1" applyBorder="1" applyAlignment="1">
      <alignment vertical="center"/>
    </xf>
    <xf numFmtId="164" fontId="15" fillId="3" borderId="143" xfId="1" applyFont="1" applyFill="1" applyBorder="1" applyAlignment="1">
      <alignment horizontal="center" vertical="center" wrapText="1"/>
    </xf>
    <xf numFmtId="4" fontId="15" fillId="3" borderId="143" xfId="0" applyNumberFormat="1" applyFont="1" applyFill="1" applyBorder="1" applyAlignment="1">
      <alignment horizontal="center" vertical="center"/>
    </xf>
    <xf numFmtId="164" fontId="15" fillId="11" borderId="143" xfId="1" applyFont="1" applyFill="1" applyBorder="1" applyAlignment="1">
      <alignment horizontal="center" vertical="center"/>
    </xf>
    <xf numFmtId="164" fontId="15" fillId="3" borderId="143" xfId="1" applyFont="1" applyFill="1" applyBorder="1" applyAlignment="1">
      <alignment horizontal="center" vertical="center"/>
    </xf>
    <xf numFmtId="4" fontId="15" fillId="3" borderId="145" xfId="0" applyNumberFormat="1" applyFont="1" applyFill="1" applyBorder="1" applyAlignment="1">
      <alignment horizontal="center" vertical="center"/>
    </xf>
    <xf numFmtId="4" fontId="15" fillId="3" borderId="149" xfId="0" applyNumberFormat="1" applyFont="1" applyFill="1" applyBorder="1" applyAlignment="1">
      <alignment vertical="top" wrapText="1"/>
    </xf>
    <xf numFmtId="4" fontId="16" fillId="3" borderId="143" xfId="0" applyNumberFormat="1" applyFont="1" applyFill="1" applyBorder="1" applyAlignment="1">
      <alignment horizontal="left" vertical="top" wrapText="1"/>
    </xf>
    <xf numFmtId="4" fontId="19" fillId="3" borderId="134" xfId="0" applyNumberFormat="1" applyFont="1" applyFill="1" applyBorder="1" applyAlignment="1">
      <alignment horizontal="justify" vertical="top" wrapText="1"/>
    </xf>
    <xf numFmtId="164" fontId="15" fillId="3" borderId="134" xfId="1" applyFont="1" applyFill="1" applyBorder="1" applyAlignment="1">
      <alignment horizontal="center" vertical="center" wrapText="1"/>
    </xf>
    <xf numFmtId="4" fontId="15" fillId="3" borderId="134" xfId="0" applyNumberFormat="1" applyFont="1" applyFill="1" applyBorder="1" applyAlignment="1">
      <alignment horizontal="center" vertical="center"/>
    </xf>
    <xf numFmtId="164" fontId="15" fillId="11" borderId="134" xfId="1" applyFont="1" applyFill="1" applyBorder="1" applyAlignment="1">
      <alignment horizontal="center" vertical="center"/>
    </xf>
    <xf numFmtId="164" fontId="15" fillId="11" borderId="135" xfId="1" applyFont="1" applyFill="1" applyBorder="1" applyAlignment="1">
      <alignment horizontal="center" vertical="center"/>
    </xf>
    <xf numFmtId="164" fontId="15" fillId="3" borderId="135" xfId="1" applyFont="1" applyFill="1" applyBorder="1" applyAlignment="1">
      <alignment horizontal="center" vertical="center"/>
    </xf>
    <xf numFmtId="4" fontId="15" fillId="3" borderId="136" xfId="0" applyNumberFormat="1" applyFont="1" applyFill="1" applyBorder="1" applyAlignment="1">
      <alignment horizontal="center" vertical="center"/>
    </xf>
    <xf numFmtId="164" fontId="32" fillId="3" borderId="37" xfId="2" applyFont="1" applyFill="1" applyBorder="1" applyAlignment="1">
      <alignment vertical="top"/>
    </xf>
    <xf numFmtId="0" fontId="24" fillId="3" borderId="37" xfId="18" applyFont="1" applyFill="1" applyBorder="1" applyAlignment="1" applyProtection="1">
      <alignment horizontal="left" vertical="center"/>
    </xf>
    <xf numFmtId="164" fontId="13" fillId="3" borderId="37" xfId="2" applyFont="1" applyFill="1" applyBorder="1" applyAlignment="1">
      <alignment vertical="center"/>
    </xf>
    <xf numFmtId="164" fontId="13" fillId="11" borderId="37" xfId="2" applyFont="1" applyFill="1" applyBorder="1" applyAlignment="1">
      <alignment vertical="center"/>
    </xf>
    <xf numFmtId="0" fontId="42" fillId="3" borderId="33" xfId="18" applyFont="1" applyFill="1" applyBorder="1" applyAlignment="1" applyProtection="1">
      <alignment horizontal="left" vertical="top"/>
    </xf>
    <xf numFmtId="164" fontId="13" fillId="3" borderId="71" xfId="2" applyFont="1" applyFill="1" applyBorder="1" applyAlignment="1" applyProtection="1">
      <alignment horizontal="center" vertical="center"/>
    </xf>
    <xf numFmtId="0" fontId="13" fillId="3" borderId="33" xfId="15" applyFont="1" applyFill="1" applyBorder="1" applyAlignment="1">
      <alignment horizontal="center" vertical="center"/>
    </xf>
    <xf numFmtId="164" fontId="42" fillId="11" borderId="33" xfId="2" applyFont="1" applyFill="1" applyBorder="1" applyAlignment="1">
      <alignment vertical="center"/>
    </xf>
    <xf numFmtId="164" fontId="42" fillId="3" borderId="33" xfId="2" applyFont="1" applyFill="1" applyBorder="1" applyAlignment="1">
      <alignment vertical="center"/>
    </xf>
    <xf numFmtId="164" fontId="13" fillId="3" borderId="19" xfId="2" applyFont="1" applyFill="1" applyBorder="1" applyAlignment="1">
      <alignment horizontal="center" vertical="center" wrapText="1"/>
    </xf>
    <xf numFmtId="0" fontId="23" fillId="3" borderId="19" xfId="15" applyFont="1" applyFill="1" applyBorder="1" applyAlignment="1">
      <alignment horizontal="center" vertical="center" wrapText="1"/>
    </xf>
    <xf numFmtId="164" fontId="23" fillId="3" borderId="19" xfId="2" applyFont="1" applyFill="1" applyBorder="1" applyAlignment="1">
      <alignment horizontal="center" vertical="center" wrapText="1"/>
    </xf>
    <xf numFmtId="0" fontId="23" fillId="3" borderId="19" xfId="15" applyFont="1" applyFill="1" applyBorder="1" applyAlignment="1">
      <alignment horizontal="center" vertical="center"/>
    </xf>
    <xf numFmtId="164" fontId="33" fillId="3" borderId="82" xfId="2" applyFont="1" applyFill="1" applyBorder="1" applyAlignment="1">
      <alignment vertical="center"/>
    </xf>
    <xf numFmtId="167" fontId="32" fillId="3" borderId="83" xfId="2" applyNumberFormat="1" applyFont="1" applyFill="1" applyBorder="1" applyAlignment="1">
      <alignment vertical="center" wrapText="1"/>
    </xf>
    <xf numFmtId="164" fontId="32" fillId="3" borderId="83" xfId="2" applyFont="1" applyFill="1" applyBorder="1" applyAlignment="1">
      <alignment vertical="center"/>
    </xf>
    <xf numFmtId="0" fontId="33" fillId="3" borderId="83" xfId="15" applyFont="1" applyFill="1" applyBorder="1" applyAlignment="1">
      <alignment horizontal="center" vertical="center"/>
    </xf>
    <xf numFmtId="164" fontId="33" fillId="11" borderId="83" xfId="2" applyFont="1" applyFill="1" applyBorder="1" applyAlignment="1">
      <alignment horizontal="center" vertical="center"/>
    </xf>
    <xf numFmtId="164" fontId="33" fillId="3" borderId="71" xfId="2" applyFont="1" applyFill="1" applyBorder="1" applyAlignment="1">
      <alignment horizontal="center" vertical="center"/>
    </xf>
    <xf numFmtId="164" fontId="32" fillId="3" borderId="33" xfId="2" applyFont="1" applyFill="1" applyBorder="1" applyAlignment="1">
      <alignment horizontal="right" vertical="center"/>
    </xf>
    <xf numFmtId="164" fontId="15" fillId="0" borderId="129" xfId="1" applyFont="1" applyFill="1" applyBorder="1" applyAlignment="1">
      <alignment horizontal="center" vertical="top"/>
    </xf>
    <xf numFmtId="0" fontId="15" fillId="0" borderId="130" xfId="0" applyFont="1" applyFill="1" applyBorder="1" applyAlignment="1">
      <alignment horizontal="left" vertical="top"/>
    </xf>
    <xf numFmtId="0" fontId="15" fillId="0" borderId="130" xfId="0" applyFont="1" applyFill="1" applyBorder="1" applyAlignment="1">
      <alignment horizontal="center" vertical="top"/>
    </xf>
    <xf numFmtId="2" fontId="15" fillId="0" borderId="130" xfId="2" applyNumberFormat="1" applyFont="1" applyFill="1" applyBorder="1" applyAlignment="1">
      <alignment horizontal="right" vertical="justify"/>
    </xf>
    <xf numFmtId="0" fontId="15" fillId="0" borderId="130" xfId="0" applyFont="1" applyFill="1" applyBorder="1" applyAlignment="1">
      <alignment horizontal="center" vertical="justify"/>
    </xf>
    <xf numFmtId="164" fontId="15" fillId="11" borderId="130" xfId="1" applyFont="1" applyFill="1" applyBorder="1" applyAlignment="1">
      <alignment horizontal="right" vertical="justify"/>
    </xf>
    <xf numFmtId="164" fontId="15" fillId="11" borderId="131" xfId="1" applyFont="1" applyFill="1" applyBorder="1" applyAlignment="1">
      <alignment horizontal="right" vertical="justify"/>
    </xf>
    <xf numFmtId="164" fontId="15" fillId="0" borderId="131" xfId="1" applyFont="1" applyFill="1" applyBorder="1" applyAlignment="1">
      <alignment horizontal="right" vertical="justify"/>
    </xf>
    <xf numFmtId="164" fontId="15" fillId="0" borderId="132" xfId="3" applyFont="1" applyFill="1" applyBorder="1" applyAlignment="1">
      <alignment horizontal="right" vertical="justify"/>
    </xf>
    <xf numFmtId="164" fontId="15" fillId="0" borderId="133" xfId="1" applyFont="1" applyFill="1" applyBorder="1" applyAlignment="1">
      <alignment horizontal="center" vertical="center"/>
    </xf>
    <xf numFmtId="0" fontId="15" fillId="0" borderId="134" xfId="0" applyFont="1" applyFill="1" applyBorder="1" applyAlignment="1">
      <alignment horizontal="left" vertical="center" wrapText="1"/>
    </xf>
    <xf numFmtId="0" fontId="15" fillId="0" borderId="134" xfId="0" applyFont="1" applyFill="1" applyBorder="1" applyAlignment="1">
      <alignment horizontal="center" vertical="center" wrapText="1"/>
    </xf>
    <xf numFmtId="2" fontId="15" fillId="0" borderId="134" xfId="2" applyNumberFormat="1" applyFont="1" applyFill="1" applyBorder="1" applyAlignment="1">
      <alignment horizontal="right" vertical="center"/>
    </xf>
    <xf numFmtId="0" fontId="15" fillId="0" borderId="134" xfId="0" applyFont="1" applyFill="1" applyBorder="1" applyAlignment="1">
      <alignment horizontal="center" vertical="center"/>
    </xf>
    <xf numFmtId="164" fontId="15" fillId="11" borderId="134" xfId="1" applyFont="1" applyFill="1" applyBorder="1" applyAlignment="1">
      <alignment horizontal="right" vertical="center"/>
    </xf>
    <xf numFmtId="164" fontId="15" fillId="11" borderId="135" xfId="1" applyFont="1" applyFill="1" applyBorder="1" applyAlignment="1">
      <alignment horizontal="right" vertical="center"/>
    </xf>
    <xf numFmtId="164" fontId="15" fillId="0" borderId="135" xfId="1" applyFont="1" applyFill="1" applyBorder="1" applyAlignment="1">
      <alignment horizontal="right" vertical="center"/>
    </xf>
    <xf numFmtId="164" fontId="15" fillId="0" borderId="136" xfId="3" applyFont="1" applyFill="1" applyBorder="1" applyAlignment="1">
      <alignment horizontal="center" vertical="center"/>
    </xf>
    <xf numFmtId="0" fontId="15" fillId="0" borderId="130" xfId="0" applyFont="1" applyFill="1" applyBorder="1" applyAlignment="1">
      <alignment horizontal="left" vertical="top" wrapText="1"/>
    </xf>
    <xf numFmtId="0" fontId="15" fillId="0" borderId="130" xfId="0" applyFont="1" applyFill="1" applyBorder="1" applyAlignment="1">
      <alignment horizontal="center" vertical="top" wrapText="1"/>
    </xf>
    <xf numFmtId="164" fontId="15" fillId="0" borderId="142" xfId="1" applyFont="1" applyFill="1" applyBorder="1" applyAlignment="1">
      <alignment horizontal="center" vertical="top"/>
    </xf>
    <xf numFmtId="0" fontId="15" fillId="0" borderId="143" xfId="0" applyFont="1" applyFill="1" applyBorder="1" applyAlignment="1">
      <alignment horizontal="left" vertical="top" wrapText="1"/>
    </xf>
    <xf numFmtId="0" fontId="15" fillId="0" borderId="143" xfId="0" applyFont="1" applyFill="1" applyBorder="1" applyAlignment="1">
      <alignment horizontal="center" vertical="top" wrapText="1"/>
    </xf>
    <xf numFmtId="2" fontId="15" fillId="0" borderId="143" xfId="2" applyNumberFormat="1" applyFont="1" applyFill="1" applyBorder="1" applyAlignment="1">
      <alignment horizontal="right" vertical="justify"/>
    </xf>
    <xf numFmtId="0" fontId="15" fillId="0" borderId="143" xfId="0" applyFont="1" applyFill="1" applyBorder="1" applyAlignment="1">
      <alignment horizontal="center" vertical="justify"/>
    </xf>
    <xf numFmtId="164" fontId="15" fillId="11" borderId="143" xfId="1" applyFont="1" applyFill="1" applyBorder="1" applyAlignment="1">
      <alignment horizontal="right" vertical="justify"/>
    </xf>
    <xf numFmtId="164" fontId="15" fillId="0" borderId="143" xfId="1" applyFont="1" applyFill="1" applyBorder="1" applyAlignment="1">
      <alignment horizontal="right" vertical="justify"/>
    </xf>
    <xf numFmtId="164" fontId="15" fillId="0" borderId="145" xfId="3" applyFont="1" applyFill="1" applyBorder="1" applyAlignment="1">
      <alignment horizontal="right" vertical="justify"/>
    </xf>
    <xf numFmtId="164" fontId="16" fillId="0" borderId="142" xfId="1" applyFont="1" applyFill="1" applyBorder="1" applyAlignment="1">
      <alignment horizontal="center" vertical="top"/>
    </xf>
    <xf numFmtId="0" fontId="19" fillId="0" borderId="143" xfId="0" applyFont="1" applyFill="1" applyBorder="1" applyAlignment="1">
      <alignment horizontal="left" vertical="top" wrapText="1"/>
    </xf>
    <xf numFmtId="0" fontId="19" fillId="0" borderId="143" xfId="0" applyFont="1" applyFill="1" applyBorder="1" applyAlignment="1">
      <alignment horizontal="center" vertical="top" wrapText="1"/>
    </xf>
    <xf numFmtId="0" fontId="15" fillId="0" borderId="143" xfId="0" applyFont="1" applyFill="1" applyBorder="1" applyAlignment="1">
      <alignment vertical="top" wrapText="1"/>
    </xf>
    <xf numFmtId="164" fontId="16" fillId="0" borderId="133" xfId="1" applyFont="1" applyFill="1" applyBorder="1" applyAlignment="1">
      <alignment horizontal="center" vertical="top"/>
    </xf>
    <xf numFmtId="0" fontId="19" fillId="0" borderId="134" xfId="0" applyFont="1" applyFill="1" applyBorder="1" applyAlignment="1">
      <alignment horizontal="left" vertical="top" wrapText="1"/>
    </xf>
    <xf numFmtId="0" fontId="19" fillId="0" borderId="134" xfId="0" applyFont="1" applyFill="1" applyBorder="1" applyAlignment="1">
      <alignment horizontal="center" vertical="top" wrapText="1"/>
    </xf>
    <xf numFmtId="2" fontId="15" fillId="0" borderId="134" xfId="2" applyNumberFormat="1" applyFont="1" applyFill="1" applyBorder="1" applyAlignment="1">
      <alignment horizontal="right" vertical="justify"/>
    </xf>
    <xf numFmtId="0" fontId="15" fillId="0" borderId="134" xfId="0" applyFont="1" applyFill="1" applyBorder="1" applyAlignment="1">
      <alignment horizontal="center" vertical="justify"/>
    </xf>
    <xf numFmtId="164" fontId="15" fillId="11" borderId="134" xfId="1" applyFont="1" applyFill="1" applyBorder="1" applyAlignment="1">
      <alignment horizontal="right" vertical="justify"/>
    </xf>
    <xf numFmtId="164" fontId="15" fillId="11" borderId="135" xfId="1" applyFont="1" applyFill="1" applyBorder="1" applyAlignment="1">
      <alignment horizontal="right" vertical="justify"/>
    </xf>
    <xf numFmtId="164" fontId="15" fillId="0" borderId="135" xfId="1" applyFont="1" applyFill="1" applyBorder="1" applyAlignment="1">
      <alignment horizontal="right" vertical="justify"/>
    </xf>
    <xf numFmtId="164" fontId="15" fillId="0" borderId="136" xfId="3" applyFont="1" applyFill="1" applyBorder="1" applyAlignment="1">
      <alignment horizontal="right" vertical="justify"/>
    </xf>
    <xf numFmtId="164" fontId="15" fillId="0" borderId="130" xfId="1" applyFont="1" applyFill="1" applyBorder="1" applyAlignment="1">
      <alignment horizontal="right" vertical="justify"/>
    </xf>
    <xf numFmtId="164" fontId="15" fillId="0" borderId="132" xfId="3" applyFont="1" applyFill="1" applyBorder="1" applyAlignment="1">
      <alignment horizontal="center" vertical="center" wrapText="1"/>
    </xf>
    <xf numFmtId="164" fontId="15" fillId="0" borderId="133" xfId="1" applyFont="1" applyFill="1" applyBorder="1" applyAlignment="1">
      <alignment horizontal="center" vertical="top"/>
    </xf>
    <xf numFmtId="0" fontId="15" fillId="0" borderId="134" xfId="0" applyFont="1" applyFill="1" applyBorder="1" applyAlignment="1">
      <alignment horizontal="left" vertical="top"/>
    </xf>
    <xf numFmtId="0" fontId="15" fillId="0" borderId="134" xfId="0" applyFont="1" applyFill="1" applyBorder="1" applyAlignment="1">
      <alignment horizontal="center" vertical="top"/>
    </xf>
    <xf numFmtId="0" fontId="13" fillId="0" borderId="1" xfId="15" applyNumberFormat="1" applyFont="1" applyBorder="1" applyAlignment="1">
      <alignment horizontal="center"/>
    </xf>
    <xf numFmtId="0" fontId="13" fillId="0" borderId="2" xfId="15" applyNumberFormat="1" applyFont="1" applyBorder="1" applyAlignment="1">
      <alignment horizontal="center"/>
    </xf>
    <xf numFmtId="1" fontId="13" fillId="0" borderId="2" xfId="15" applyNumberFormat="1" applyFont="1" applyBorder="1" applyAlignment="1">
      <alignment horizontal="right"/>
    </xf>
    <xf numFmtId="1" fontId="13" fillId="0" borderId="3" xfId="15" applyNumberFormat="1" applyFont="1" applyFill="1" applyBorder="1" applyAlignment="1">
      <alignment horizontal="left"/>
    </xf>
    <xf numFmtId="0" fontId="13" fillId="0" borderId="4" xfId="15" applyNumberFormat="1" applyFont="1" applyBorder="1" applyAlignment="1">
      <alignment horizontal="center"/>
    </xf>
    <xf numFmtId="1" fontId="13" fillId="0" borderId="5" xfId="15" applyNumberFormat="1" applyFont="1" applyFill="1" applyBorder="1" applyAlignment="1">
      <alignment horizontal="left"/>
    </xf>
    <xf numFmtId="0" fontId="53" fillId="0" borderId="4" xfId="15" applyNumberFormat="1" applyFont="1" applyBorder="1" applyAlignment="1"/>
    <xf numFmtId="0" fontId="53" fillId="0" borderId="5" xfId="15" applyNumberFormat="1" applyFont="1" applyBorder="1" applyAlignment="1"/>
    <xf numFmtId="0" fontId="53" fillId="0" borderId="4" xfId="15" applyNumberFormat="1" applyFont="1" applyBorder="1" applyAlignment="1">
      <alignment horizontal="center"/>
    </xf>
    <xf numFmtId="0" fontId="53" fillId="0" borderId="5" xfId="15" applyNumberFormat="1" applyFont="1" applyBorder="1" applyAlignment="1">
      <alignment horizontal="center"/>
    </xf>
    <xf numFmtId="0" fontId="55" fillId="0" borderId="4" xfId="15" applyNumberFormat="1" applyFont="1" applyBorder="1" applyAlignment="1">
      <alignment horizontal="center"/>
    </xf>
    <xf numFmtId="0" fontId="55" fillId="0" borderId="0" xfId="15" applyNumberFormat="1" applyFont="1" applyBorder="1" applyAlignment="1">
      <alignment horizontal="center"/>
    </xf>
    <xf numFmtId="0" fontId="55" fillId="0" borderId="5" xfId="15" applyNumberFormat="1" applyFont="1" applyBorder="1" applyAlignment="1">
      <alignment horizontal="center"/>
    </xf>
    <xf numFmtId="0" fontId="56" fillId="0" borderId="4" xfId="15" applyNumberFormat="1" applyFont="1" applyBorder="1" applyAlignment="1">
      <alignment wrapText="1"/>
    </xf>
    <xf numFmtId="0" fontId="56" fillId="0" borderId="5" xfId="15" applyNumberFormat="1" applyFont="1" applyBorder="1" applyAlignment="1">
      <alignment wrapText="1"/>
    </xf>
    <xf numFmtId="0" fontId="13" fillId="0" borderId="5" xfId="15" applyNumberFormat="1" applyFont="1" applyBorder="1" applyAlignment="1">
      <alignment horizontal="center"/>
    </xf>
    <xf numFmtId="0" fontId="13" fillId="0" borderId="39" xfId="15" applyNumberFormat="1" applyFont="1" applyBorder="1" applyAlignment="1">
      <alignment horizontal="center"/>
    </xf>
    <xf numFmtId="0" fontId="13" fillId="0" borderId="35" xfId="15" applyNumberFormat="1" applyFont="1" applyBorder="1" applyAlignment="1">
      <alignment horizontal="center"/>
    </xf>
    <xf numFmtId="1" fontId="13" fillId="0" borderId="35" xfId="15" applyNumberFormat="1" applyFont="1" applyBorder="1" applyAlignment="1">
      <alignment horizontal="right"/>
    </xf>
    <xf numFmtId="1" fontId="13" fillId="0" borderId="40" xfId="15" applyNumberFormat="1" applyFont="1" applyFill="1" applyBorder="1" applyAlignment="1">
      <alignment horizontal="left"/>
    </xf>
    <xf numFmtId="164" fontId="32" fillId="0" borderId="2" xfId="1" applyFont="1" applyBorder="1" applyAlignment="1">
      <alignment horizontal="center" wrapText="1"/>
    </xf>
    <xf numFmtId="164" fontId="32" fillId="0" borderId="3" xfId="1" applyFont="1" applyBorder="1" applyAlignment="1">
      <alignment horizontal="center" wrapText="1"/>
    </xf>
    <xf numFmtId="172" fontId="32" fillId="0" borderId="5" xfId="21" applyNumberFormat="1" applyFont="1" applyBorder="1" applyAlignment="1">
      <alignment horizontal="center" vertical="center" wrapText="1"/>
    </xf>
    <xf numFmtId="172" fontId="32" fillId="0" borderId="5" xfId="21" applyNumberFormat="1" applyFont="1" applyFill="1" applyBorder="1" applyAlignment="1">
      <alignment horizontal="center"/>
    </xf>
    <xf numFmtId="172" fontId="13" fillId="0" borderId="5" xfId="21" applyNumberFormat="1" applyFont="1" applyFill="1" applyBorder="1" applyAlignment="1"/>
    <xf numFmtId="172" fontId="33" fillId="0" borderId="5" xfId="21" applyNumberFormat="1" applyFont="1" applyFill="1" applyBorder="1" applyAlignment="1">
      <alignment vertical="center"/>
    </xf>
    <xf numFmtId="172" fontId="13" fillId="0" borderId="5" xfId="21" applyNumberFormat="1" applyFont="1" applyFill="1" applyBorder="1" applyAlignment="1">
      <alignment vertical="center"/>
    </xf>
    <xf numFmtId="172" fontId="32" fillId="0" borderId="5" xfId="21" applyNumberFormat="1" applyFont="1" applyFill="1" applyBorder="1" applyAlignment="1">
      <alignment vertical="center"/>
    </xf>
    <xf numFmtId="164" fontId="13" fillId="0" borderId="5" xfId="1" applyFont="1" applyFill="1" applyBorder="1" applyAlignment="1">
      <alignment vertical="center"/>
    </xf>
    <xf numFmtId="172" fontId="32" fillId="0" borderId="5" xfId="21" applyNumberFormat="1" applyFont="1" applyFill="1" applyBorder="1" applyAlignment="1">
      <alignment vertical="center" wrapText="1"/>
    </xf>
    <xf numFmtId="172" fontId="13" fillId="0" borderId="5" xfId="21" applyNumberFormat="1" applyFont="1" applyFill="1" applyBorder="1" applyAlignment="1">
      <alignment vertical="center" wrapText="1"/>
    </xf>
    <xf numFmtId="172" fontId="33" fillId="0" borderId="5" xfId="21" applyNumberFormat="1" applyFont="1" applyFill="1" applyBorder="1" applyAlignment="1">
      <alignment wrapText="1"/>
    </xf>
    <xf numFmtId="172" fontId="13" fillId="0" borderId="5" xfId="21" applyNumberFormat="1" applyFont="1" applyFill="1" applyBorder="1" applyAlignment="1">
      <alignment wrapText="1"/>
    </xf>
    <xf numFmtId="172" fontId="32" fillId="0" borderId="5" xfId="21" applyNumberFormat="1" applyFont="1" applyFill="1" applyBorder="1" applyAlignment="1">
      <alignment wrapText="1"/>
    </xf>
    <xf numFmtId="172" fontId="33" fillId="0" borderId="5" xfId="21" applyNumberFormat="1" applyFont="1" applyFill="1" applyBorder="1" applyAlignment="1">
      <alignment horizontal="left" vertical="top" wrapText="1"/>
    </xf>
    <xf numFmtId="172" fontId="15" fillId="0" borderId="5" xfId="21" applyNumberFormat="1" applyFont="1" applyFill="1" applyBorder="1" applyAlignment="1">
      <alignment horizontal="left" vertical="center" wrapText="1"/>
    </xf>
    <xf numFmtId="172" fontId="15" fillId="0" borderId="5" xfId="21" applyNumberFormat="1" applyFont="1" applyFill="1" applyBorder="1" applyAlignment="1">
      <alignment horizontal="left"/>
    </xf>
    <xf numFmtId="0" fontId="15" fillId="0" borderId="4" xfId="0" applyFont="1" applyFill="1" applyBorder="1" applyAlignment="1">
      <alignment wrapText="1"/>
    </xf>
    <xf numFmtId="172" fontId="15" fillId="0" borderId="5" xfId="21" applyNumberFormat="1" applyFont="1" applyFill="1" applyBorder="1" applyAlignment="1">
      <alignment wrapText="1"/>
    </xf>
    <xf numFmtId="0" fontId="15" fillId="0" borderId="4" xfId="0" applyFont="1" applyFill="1" applyBorder="1" applyAlignment="1">
      <alignment horizontal="center" vertical="top" wrapText="1"/>
    </xf>
    <xf numFmtId="172" fontId="16" fillId="0" borderId="5" xfId="21" applyNumberFormat="1" applyFont="1" applyFill="1" applyBorder="1" applyAlignment="1">
      <alignment wrapText="1"/>
    </xf>
    <xf numFmtId="172" fontId="15" fillId="0" borderId="5" xfId="21" applyNumberFormat="1" applyFont="1" applyFill="1" applyBorder="1" applyAlignment="1">
      <alignment horizontal="left" vertical="top" wrapText="1"/>
    </xf>
    <xf numFmtId="0" fontId="15" fillId="0" borderId="4" xfId="0" applyFont="1" applyFill="1" applyBorder="1" applyAlignment="1">
      <alignment horizontal="left" vertical="top" wrapText="1"/>
    </xf>
    <xf numFmtId="164" fontId="15" fillId="0" borderId="5" xfId="1" applyFont="1" applyFill="1" applyBorder="1" applyAlignment="1">
      <alignment horizontal="left" vertical="top" wrapText="1"/>
    </xf>
    <xf numFmtId="0" fontId="15" fillId="0" borderId="39" xfId="0" applyFont="1" applyFill="1" applyBorder="1" applyAlignment="1">
      <alignment horizontal="left" vertical="top" wrapText="1"/>
    </xf>
    <xf numFmtId="0" fontId="15" fillId="0" borderId="35" xfId="0" applyFont="1" applyFill="1" applyBorder="1" applyAlignment="1">
      <alignment horizontal="left" vertical="top" wrapText="1"/>
    </xf>
    <xf numFmtId="164" fontId="15" fillId="0" borderId="35" xfId="1" applyFont="1" applyFill="1" applyBorder="1" applyAlignment="1">
      <alignment horizontal="left" vertical="top" wrapText="1"/>
    </xf>
    <xf numFmtId="164" fontId="15" fillId="0" borderId="40" xfId="1" applyFont="1" applyFill="1" applyBorder="1" applyAlignment="1">
      <alignment horizontal="left" vertical="top" wrapText="1"/>
    </xf>
    <xf numFmtId="4" fontId="15" fillId="0" borderId="43" xfId="0" applyNumberFormat="1" applyFont="1" applyBorder="1" applyAlignment="1">
      <alignment horizontal="center" vertical="center"/>
    </xf>
    <xf numFmtId="4" fontId="15" fillId="0" borderId="44" xfId="0" applyNumberFormat="1" applyFont="1" applyFill="1" applyBorder="1" applyAlignment="1">
      <alignment horizontal="center" vertical="center" wrapText="1"/>
    </xf>
    <xf numFmtId="4" fontId="15" fillId="0" borderId="44" xfId="0" applyNumberFormat="1" applyFont="1" applyFill="1" applyBorder="1" applyAlignment="1">
      <alignment horizontal="center" vertical="center"/>
    </xf>
    <xf numFmtId="164" fontId="15" fillId="0" borderId="44" xfId="1" applyFont="1" applyFill="1" applyBorder="1" applyAlignment="1">
      <alignment horizontal="center" vertical="center"/>
    </xf>
    <xf numFmtId="164" fontId="15" fillId="0" borderId="45" xfId="1" applyFont="1" applyFill="1" applyBorder="1" applyAlignment="1">
      <alignment horizontal="center" vertical="center"/>
    </xf>
    <xf numFmtId="2" fontId="47" fillId="0" borderId="37" xfId="22" applyNumberFormat="1" applyFont="1" applyBorder="1" applyAlignment="1">
      <alignment horizontal="center" vertical="center" wrapText="1"/>
    </xf>
    <xf numFmtId="2" fontId="47" fillId="0" borderId="13" xfId="22" applyNumberFormat="1" applyFont="1" applyBorder="1" applyAlignment="1">
      <alignment horizontal="center" vertical="center" wrapText="1"/>
    </xf>
    <xf numFmtId="2" fontId="47" fillId="0" borderId="33" xfId="22" applyNumberFormat="1" applyFont="1" applyBorder="1" applyAlignment="1">
      <alignment horizontal="center" vertical="center" wrapText="1"/>
    </xf>
    <xf numFmtId="1" fontId="47" fillId="0" borderId="32" xfId="22" applyNumberFormat="1" applyFont="1" applyBorder="1" applyAlignment="1">
      <alignment horizontal="center" vertical="center"/>
    </xf>
    <xf numFmtId="1" fontId="47" fillId="0" borderId="33" xfId="22" applyNumberFormat="1" applyFont="1" applyBorder="1" applyAlignment="1">
      <alignment horizontal="center" vertical="center"/>
    </xf>
    <xf numFmtId="4" fontId="46" fillId="0" borderId="68" xfId="22" applyNumberFormat="1" applyFont="1" applyFill="1" applyBorder="1" applyAlignment="1">
      <alignment horizontal="center" vertical="center"/>
    </xf>
    <xf numFmtId="168" fontId="46" fillId="0" borderId="0" xfId="22" applyNumberFormat="1" applyFont="1" applyBorder="1" applyAlignment="1">
      <alignment horizontal="center" vertical="center" wrapText="1"/>
    </xf>
    <xf numFmtId="0" fontId="47" fillId="0" borderId="37" xfId="22" applyFont="1" applyBorder="1" applyAlignment="1">
      <alignment horizontal="center" vertical="center" wrapText="1"/>
    </xf>
    <xf numFmtId="0" fontId="47" fillId="0" borderId="13" xfId="22" applyFont="1" applyBorder="1" applyAlignment="1">
      <alignment horizontal="center" vertical="center" wrapText="1"/>
    </xf>
    <xf numFmtId="0" fontId="47" fillId="0" borderId="33" xfId="22" applyFont="1" applyBorder="1" applyAlignment="1">
      <alignment horizontal="center" vertical="center" wrapText="1"/>
    </xf>
    <xf numFmtId="1" fontId="47" fillId="0" borderId="37" xfId="22" applyNumberFormat="1" applyFont="1" applyBorder="1" applyAlignment="1">
      <alignment horizontal="center" vertical="center" wrapText="1"/>
    </xf>
    <xf numFmtId="1" fontId="47" fillId="0" borderId="13" xfId="22" applyNumberFormat="1" applyFont="1" applyBorder="1" applyAlignment="1">
      <alignment horizontal="center" vertical="center" wrapText="1"/>
    </xf>
    <xf numFmtId="1" fontId="47" fillId="0" borderId="33" xfId="22" applyNumberFormat="1" applyFont="1" applyBorder="1" applyAlignment="1">
      <alignment horizontal="center" vertical="center" wrapText="1"/>
    </xf>
    <xf numFmtId="0" fontId="47" fillId="0" borderId="37" xfId="22" applyFont="1" applyFill="1" applyBorder="1" applyAlignment="1">
      <alignment horizontal="center" vertical="center" wrapText="1"/>
    </xf>
    <xf numFmtId="168" fontId="47" fillId="0" borderId="32" xfId="22" applyNumberFormat="1" applyFont="1" applyBorder="1" applyAlignment="1">
      <alignment horizontal="center" vertical="center" wrapText="1"/>
    </xf>
    <xf numFmtId="168" fontId="47" fillId="0" borderId="33" xfId="22" applyNumberFormat="1" applyFont="1" applyBorder="1" applyAlignment="1">
      <alignment horizontal="center" vertical="center" wrapText="1"/>
    </xf>
    <xf numFmtId="1" fontId="47" fillId="0" borderId="77" xfId="22" applyNumberFormat="1" applyFont="1" applyBorder="1" applyAlignment="1">
      <alignment horizontal="center" vertical="center"/>
    </xf>
    <xf numFmtId="1" fontId="47" fillId="0" borderId="82" xfId="22" applyNumberFormat="1" applyFont="1" applyBorder="1" applyAlignment="1">
      <alignment horizontal="center" vertical="center"/>
    </xf>
    <xf numFmtId="1" fontId="47" fillId="0" borderId="76" xfId="22" applyNumberFormat="1" applyFont="1" applyBorder="1" applyAlignment="1">
      <alignment horizontal="center" vertical="center"/>
    </xf>
    <xf numFmtId="1" fontId="47" fillId="0" borderId="83" xfId="22" applyNumberFormat="1" applyFont="1" applyBorder="1" applyAlignment="1">
      <alignment horizontal="center" vertical="center"/>
    </xf>
    <xf numFmtId="0" fontId="47" fillId="0" borderId="79" xfId="22" applyFont="1" applyBorder="1" applyAlignment="1">
      <alignment horizontal="center" vertical="center"/>
    </xf>
    <xf numFmtId="0" fontId="47" fillId="0" borderId="80" xfId="22" applyFont="1" applyBorder="1" applyAlignment="1">
      <alignment horizontal="center" vertical="center"/>
    </xf>
    <xf numFmtId="0" fontId="47" fillId="0" borderId="81" xfId="22" applyFont="1" applyBorder="1" applyAlignment="1">
      <alignment horizontal="center" vertical="center"/>
    </xf>
    <xf numFmtId="1" fontId="47" fillId="0" borderId="41" xfId="22" applyNumberFormat="1" applyFont="1" applyBorder="1" applyAlignment="1">
      <alignment horizontal="center" vertical="center"/>
    </xf>
    <xf numFmtId="1" fontId="47" fillId="0" borderId="71" xfId="22" applyNumberFormat="1" applyFont="1" applyBorder="1" applyAlignment="1">
      <alignment horizontal="center" vertical="center"/>
    </xf>
    <xf numFmtId="0" fontId="47" fillId="0" borderId="68" xfId="22" applyFont="1" applyFill="1" applyBorder="1" applyAlignment="1">
      <alignment horizontal="center" vertical="center" wrapText="1"/>
    </xf>
    <xf numFmtId="0" fontId="47" fillId="0" borderId="25" xfId="22" applyFont="1" applyFill="1" applyBorder="1" applyAlignment="1">
      <alignment horizontal="center" vertical="center" wrapText="1"/>
    </xf>
    <xf numFmtId="168" fontId="47" fillId="0" borderId="76" xfId="22" applyNumberFormat="1" applyFont="1" applyFill="1" applyBorder="1" applyAlignment="1">
      <alignment horizontal="left" vertical="center"/>
    </xf>
    <xf numFmtId="168" fontId="47" fillId="0" borderId="0" xfId="22" applyNumberFormat="1" applyFont="1" applyFill="1" applyBorder="1" applyAlignment="1">
      <alignment horizontal="left" vertical="center" wrapText="1"/>
    </xf>
    <xf numFmtId="170" fontId="47" fillId="0" borderId="0" xfId="22" applyNumberFormat="1" applyFont="1" applyFill="1" applyBorder="1" applyAlignment="1">
      <alignment horizontal="center" vertical="center"/>
    </xf>
    <xf numFmtId="168" fontId="47" fillId="0" borderId="0" xfId="22" applyNumberFormat="1" applyFont="1" applyFill="1" applyBorder="1" applyAlignment="1">
      <alignment horizontal="left" vertical="center"/>
    </xf>
    <xf numFmtId="0" fontId="47" fillId="0" borderId="78" xfId="22" applyFont="1" applyBorder="1" applyAlignment="1">
      <alignment horizontal="center" vertical="center" wrapText="1"/>
    </xf>
    <xf numFmtId="0" fontId="47" fillId="0" borderId="24" xfId="22" applyFont="1" applyBorder="1" applyAlignment="1">
      <alignment horizontal="center" vertical="center" wrapText="1"/>
    </xf>
    <xf numFmtId="0" fontId="47" fillId="0" borderId="71" xfId="22" applyFont="1" applyBorder="1" applyAlignment="1">
      <alignment horizontal="center" vertical="center" wrapText="1"/>
    </xf>
    <xf numFmtId="0" fontId="12" fillId="0" borderId="8" xfId="12" applyBorder="1" applyAlignment="1">
      <alignment horizontal="center"/>
    </xf>
    <xf numFmtId="4" fontId="30" fillId="0" borderId="54" xfId="0" applyNumberFormat="1" applyFont="1" applyFill="1" applyBorder="1" applyAlignment="1">
      <alignment horizontal="left" vertical="center"/>
    </xf>
    <xf numFmtId="4" fontId="30" fillId="0" borderId="68" xfId="0" applyNumberFormat="1" applyFont="1" applyFill="1" applyBorder="1" applyAlignment="1">
      <alignment horizontal="left" vertical="center"/>
    </xf>
    <xf numFmtId="4" fontId="30" fillId="0" borderId="25" xfId="0" applyNumberFormat="1" applyFont="1" applyFill="1" applyBorder="1" applyAlignment="1">
      <alignment horizontal="left" vertical="center"/>
    </xf>
    <xf numFmtId="0" fontId="57" fillId="0" borderId="4" xfId="15" applyNumberFormat="1" applyFont="1" applyBorder="1" applyAlignment="1">
      <alignment horizontal="center" vertical="center" wrapText="1"/>
    </xf>
    <xf numFmtId="0" fontId="57" fillId="0" borderId="0" xfId="15" applyNumberFormat="1" applyFont="1" applyBorder="1" applyAlignment="1">
      <alignment horizontal="center" vertical="center" wrapText="1"/>
    </xf>
    <xf numFmtId="0" fontId="57" fillId="0" borderId="5" xfId="15" applyNumberFormat="1" applyFont="1" applyBorder="1" applyAlignment="1">
      <alignment horizontal="center" vertical="center" wrapText="1"/>
    </xf>
    <xf numFmtId="0" fontId="53" fillId="0" borderId="4" xfId="15" applyNumberFormat="1" applyFont="1" applyBorder="1" applyAlignment="1">
      <alignment horizontal="center" vertical="center" wrapText="1"/>
    </xf>
    <xf numFmtId="0" fontId="53" fillId="0" borderId="0" xfId="15" applyNumberFormat="1" applyFont="1" applyBorder="1" applyAlignment="1">
      <alignment horizontal="center" vertical="center" wrapText="1"/>
    </xf>
    <xf numFmtId="0" fontId="53" fillId="0" borderId="5" xfId="15" applyNumberFormat="1" applyFont="1" applyBorder="1" applyAlignment="1">
      <alignment horizontal="center" vertical="center" wrapText="1"/>
    </xf>
    <xf numFmtId="4" fontId="32" fillId="0" borderId="1" xfId="0" applyNumberFormat="1" applyFont="1" applyBorder="1" applyAlignment="1">
      <alignment horizontal="center" vertical="center" wrapText="1"/>
    </xf>
    <xf numFmtId="4" fontId="32" fillId="0" borderId="2" xfId="0" applyNumberFormat="1" applyFont="1" applyBorder="1" applyAlignment="1">
      <alignment horizontal="center" vertical="center" wrapText="1"/>
    </xf>
    <xf numFmtId="4" fontId="32" fillId="0" borderId="3" xfId="0" applyNumberFormat="1" applyFont="1" applyBorder="1" applyAlignment="1">
      <alignment horizontal="center" vertical="center" wrapText="1"/>
    </xf>
    <xf numFmtId="0" fontId="33" fillId="0" borderId="1" xfId="0" applyFont="1" applyFill="1" applyBorder="1" applyAlignment="1">
      <alignment horizontal="left" vertical="top" wrapText="1"/>
    </xf>
    <xf numFmtId="0" fontId="33" fillId="0" borderId="2" xfId="0" applyFont="1" applyFill="1" applyBorder="1" applyAlignment="1">
      <alignment horizontal="left" vertical="top" wrapText="1"/>
    </xf>
    <xf numFmtId="0" fontId="15" fillId="0" borderId="4"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4" xfId="0" applyFont="1" applyFill="1" applyBorder="1" applyAlignment="1">
      <alignment horizontal="left"/>
    </xf>
    <xf numFmtId="0" fontId="15" fillId="0" borderId="0" xfId="0" applyFont="1" applyFill="1" applyBorder="1" applyAlignment="1">
      <alignment horizontal="left"/>
    </xf>
    <xf numFmtId="0" fontId="15" fillId="0" borderId="4" xfId="0" applyFont="1" applyFill="1" applyBorder="1" applyAlignment="1">
      <alignment horizontal="left" vertical="top" wrapText="1"/>
    </xf>
    <xf numFmtId="0" fontId="15" fillId="0" borderId="0" xfId="0" applyFont="1" applyFill="1" applyBorder="1" applyAlignment="1">
      <alignment horizontal="left" vertical="top" wrapText="1"/>
    </xf>
    <xf numFmtId="0" fontId="15" fillId="0" borderId="0" xfId="0" applyFont="1" applyFill="1" applyBorder="1" applyAlignment="1">
      <alignment wrapText="1"/>
    </xf>
    <xf numFmtId="0" fontId="15" fillId="0" borderId="0" xfId="0" applyFont="1" applyFill="1" applyBorder="1" applyAlignment="1">
      <alignment horizontal="left" wrapText="1"/>
    </xf>
    <xf numFmtId="4" fontId="32" fillId="0" borderId="43" xfId="0" applyNumberFormat="1" applyFont="1" applyBorder="1" applyAlignment="1">
      <alignment horizontal="center" vertical="center" wrapText="1"/>
    </xf>
    <xf numFmtId="4" fontId="32" fillId="0" borderId="44" xfId="0" applyNumberFormat="1" applyFont="1" applyBorder="1" applyAlignment="1">
      <alignment horizontal="center" vertical="center" wrapText="1"/>
    </xf>
    <xf numFmtId="4" fontId="32" fillId="0" borderId="45" xfId="0" applyNumberFormat="1" applyFont="1" applyBorder="1" applyAlignment="1">
      <alignment horizontal="center" vertical="center" wrapText="1"/>
    </xf>
    <xf numFmtId="0" fontId="56" fillId="0" borderId="39" xfId="0" applyFont="1" applyBorder="1" applyAlignment="1">
      <alignment horizontal="left" vertical="top" wrapText="1"/>
    </xf>
    <xf numFmtId="0" fontId="56" fillId="0" borderId="35" xfId="0" applyFont="1" applyBorder="1" applyAlignment="1">
      <alignment horizontal="left" vertical="top" wrapText="1"/>
    </xf>
    <xf numFmtId="0" fontId="56" fillId="0" borderId="40" xfId="0" applyFont="1" applyBorder="1" applyAlignment="1">
      <alignment horizontal="left" vertical="top" wrapText="1"/>
    </xf>
    <xf numFmtId="2" fontId="18" fillId="0" borderId="4" xfId="0" applyNumberFormat="1" applyFont="1" applyFill="1" applyBorder="1" applyAlignment="1">
      <alignment horizontal="center"/>
    </xf>
    <xf numFmtId="2" fontId="18" fillId="0" borderId="0" xfId="0" applyNumberFormat="1" applyFont="1" applyFill="1" applyBorder="1" applyAlignment="1">
      <alignment horizontal="center"/>
    </xf>
    <xf numFmtId="2" fontId="18" fillId="0" borderId="5" xfId="0" applyNumberFormat="1" applyFont="1" applyFill="1" applyBorder="1" applyAlignment="1">
      <alignment horizontal="center"/>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11" borderId="13" xfId="29" applyFont="1" applyFill="1" applyBorder="1" applyAlignment="1">
      <alignment horizontal="center" vertical="center"/>
    </xf>
    <xf numFmtId="4" fontId="15" fillId="0" borderId="15" xfId="0" applyNumberFormat="1" applyFont="1" applyFill="1" applyBorder="1" applyAlignment="1">
      <alignment horizontal="center" vertical="center"/>
    </xf>
    <xf numFmtId="4" fontId="16" fillId="0" borderId="43" xfId="0" applyNumberFormat="1" applyFont="1" applyFill="1" applyBorder="1" applyAlignment="1">
      <alignment horizontal="left" vertical="center" wrapText="1"/>
    </xf>
    <xf numFmtId="4" fontId="16" fillId="0" borderId="44" xfId="0" applyNumberFormat="1" applyFont="1" applyFill="1" applyBorder="1" applyAlignment="1">
      <alignment horizontal="left" vertical="center" wrapText="1"/>
    </xf>
    <xf numFmtId="4" fontId="16" fillId="0" borderId="45" xfId="0" applyNumberFormat="1" applyFont="1" applyFill="1" applyBorder="1" applyAlignment="1">
      <alignment horizontal="left" vertical="center" wrapText="1"/>
    </xf>
    <xf numFmtId="0" fontId="84" fillId="0" borderId="105" xfId="37" applyFont="1" applyBorder="1" applyAlignment="1">
      <alignment horizontal="center"/>
    </xf>
    <xf numFmtId="0" fontId="2" fillId="0" borderId="0" xfId="37"/>
    <xf numFmtId="0" fontId="85" fillId="0" borderId="107" xfId="37" applyFont="1" applyBorder="1"/>
    <xf numFmtId="164" fontId="76" fillId="6" borderId="53" xfId="37" applyNumberFormat="1" applyFont="1" applyFill="1" applyBorder="1" applyAlignment="1">
      <alignment horizontal="center"/>
    </xf>
    <xf numFmtId="164" fontId="76" fillId="0" borderId="1" xfId="37" applyNumberFormat="1" applyFont="1" applyBorder="1" applyAlignment="1">
      <alignment horizontal="left"/>
    </xf>
    <xf numFmtId="164" fontId="76" fillId="0" borderId="2" xfId="37" applyNumberFormat="1" applyFont="1" applyBorder="1" applyAlignment="1">
      <alignment horizontal="left"/>
    </xf>
    <xf numFmtId="164" fontId="76" fillId="0" borderId="3" xfId="37" applyNumberFormat="1" applyFont="1" applyBorder="1" applyAlignment="1">
      <alignment horizontal="left"/>
    </xf>
    <xf numFmtId="164" fontId="76" fillId="0" borderId="39" xfId="37" applyNumberFormat="1" applyFont="1" applyBorder="1" applyAlignment="1">
      <alignment horizontal="left"/>
    </xf>
    <xf numFmtId="164" fontId="76" fillId="0" borderId="35" xfId="37" applyNumberFormat="1" applyFont="1" applyBorder="1" applyAlignment="1">
      <alignment horizontal="left"/>
    </xf>
    <xf numFmtId="164" fontId="76" fillId="0" borderId="40" xfId="37" applyNumberFormat="1" applyFont="1" applyBorder="1" applyAlignment="1">
      <alignment horizontal="left"/>
    </xf>
    <xf numFmtId="164" fontId="76" fillId="5" borderId="72" xfId="37" applyNumberFormat="1" applyFont="1" applyFill="1" applyBorder="1" applyAlignment="1">
      <alignment horizontal="center"/>
    </xf>
    <xf numFmtId="0" fontId="75" fillId="4" borderId="0" xfId="6" applyFont="1" applyFill="1" applyAlignment="1">
      <alignment horizontal="center"/>
    </xf>
    <xf numFmtId="164" fontId="76" fillId="6" borderId="70" xfId="37" applyNumberFormat="1" applyFont="1" applyFill="1" applyBorder="1" applyAlignment="1">
      <alignment horizontal="center"/>
    </xf>
    <xf numFmtId="164" fontId="76" fillId="0" borderId="83" xfId="37" applyNumberFormat="1" applyFont="1" applyBorder="1" applyAlignment="1">
      <alignment horizontal="left"/>
    </xf>
    <xf numFmtId="164" fontId="76" fillId="0" borderId="26" xfId="37" applyNumberFormat="1" applyFont="1" applyBorder="1" applyAlignment="1">
      <alignment horizontal="center"/>
    </xf>
    <xf numFmtId="164" fontId="76" fillId="0" borderId="68" xfId="37" applyNumberFormat="1" applyFont="1" applyBorder="1" applyAlignment="1">
      <alignment horizontal="center"/>
    </xf>
    <xf numFmtId="164" fontId="76" fillId="0" borderId="25" xfId="37" applyNumberFormat="1" applyFont="1" applyBorder="1" applyAlignment="1">
      <alignment horizontal="center"/>
    </xf>
    <xf numFmtId="164" fontId="76" fillId="6" borderId="18" xfId="37" applyNumberFormat="1" applyFont="1" applyFill="1" applyBorder="1" applyAlignment="1">
      <alignment horizontal="center"/>
    </xf>
    <xf numFmtId="164" fontId="76" fillId="6" borderId="19" xfId="37" applyNumberFormat="1" applyFont="1" applyFill="1" applyBorder="1" applyAlignment="1">
      <alignment horizontal="center"/>
    </xf>
    <xf numFmtId="164" fontId="76" fillId="6" borderId="16" xfId="37" applyNumberFormat="1" applyFont="1" applyFill="1" applyBorder="1" applyAlignment="1">
      <alignment horizontal="center"/>
    </xf>
    <xf numFmtId="164" fontId="76" fillId="6" borderId="12" xfId="37" applyNumberFormat="1" applyFont="1" applyFill="1" applyBorder="1" applyAlignment="1">
      <alignment horizontal="center"/>
    </xf>
    <xf numFmtId="164" fontId="77" fillId="0" borderId="96" xfId="37" applyNumberFormat="1" applyFont="1" applyBorder="1" applyAlignment="1">
      <alignment horizontal="center"/>
    </xf>
    <xf numFmtId="164" fontId="81" fillId="6" borderId="54" xfId="37" applyNumberFormat="1" applyFont="1" applyFill="1" applyBorder="1" applyAlignment="1">
      <alignment horizontal="center"/>
    </xf>
    <xf numFmtId="164" fontId="81" fillId="6" borderId="68" xfId="37" applyNumberFormat="1" applyFont="1" applyFill="1" applyBorder="1" applyAlignment="1">
      <alignment horizontal="center"/>
    </xf>
    <xf numFmtId="164" fontId="81" fillId="6" borderId="46" xfId="37" applyNumberFormat="1" applyFont="1" applyFill="1" applyBorder="1" applyAlignment="1">
      <alignment horizontal="center"/>
    </xf>
    <xf numFmtId="0" fontId="89" fillId="4" borderId="0" xfId="6" applyFont="1" applyFill="1" applyAlignment="1">
      <alignment horizontal="center"/>
    </xf>
    <xf numFmtId="164" fontId="91" fillId="0" borderId="1" xfId="37" applyNumberFormat="1" applyFont="1" applyBorder="1" applyAlignment="1">
      <alignment horizontal="left"/>
    </xf>
    <xf numFmtId="164" fontId="91" fillId="0" borderId="2" xfId="37" applyNumberFormat="1" applyFont="1" applyBorder="1" applyAlignment="1">
      <alignment horizontal="left"/>
    </xf>
    <xf numFmtId="164" fontId="91" fillId="0" borderId="3" xfId="37" applyNumberFormat="1" applyFont="1" applyBorder="1" applyAlignment="1">
      <alignment horizontal="left"/>
    </xf>
    <xf numFmtId="164" fontId="91" fillId="0" borderId="39" xfId="37" applyNumberFormat="1" applyFont="1" applyBorder="1" applyAlignment="1">
      <alignment horizontal="left"/>
    </xf>
    <xf numFmtId="164" fontId="91" fillId="0" borderId="35" xfId="37" applyNumberFormat="1" applyFont="1" applyBorder="1" applyAlignment="1">
      <alignment horizontal="left"/>
    </xf>
    <xf numFmtId="164" fontId="91" fillId="0" borderId="40" xfId="37" applyNumberFormat="1" applyFont="1" applyBorder="1" applyAlignment="1">
      <alignment horizontal="left"/>
    </xf>
    <xf numFmtId="164" fontId="91" fillId="5" borderId="72" xfId="37" applyNumberFormat="1" applyFont="1" applyFill="1" applyBorder="1" applyAlignment="1">
      <alignment horizontal="center"/>
    </xf>
    <xf numFmtId="0" fontId="87" fillId="4" borderId="0" xfId="6" applyFont="1" applyFill="1" applyAlignment="1">
      <alignment horizontal="center"/>
    </xf>
    <xf numFmtId="164" fontId="81" fillId="0" borderId="1" xfId="37" applyNumberFormat="1" applyFont="1" applyBorder="1" applyAlignment="1">
      <alignment horizontal="left"/>
    </xf>
    <xf numFmtId="164" fontId="81" fillId="0" borderId="2" xfId="37" applyNumberFormat="1" applyFont="1" applyBorder="1" applyAlignment="1">
      <alignment horizontal="left"/>
    </xf>
    <xf numFmtId="164" fontId="81" fillId="0" borderId="3" xfId="37" applyNumberFormat="1" applyFont="1" applyBorder="1" applyAlignment="1">
      <alignment horizontal="left"/>
    </xf>
    <xf numFmtId="164" fontId="81" fillId="0" borderId="39" xfId="37" applyNumberFormat="1" applyFont="1" applyBorder="1" applyAlignment="1">
      <alignment horizontal="left"/>
    </xf>
    <xf numFmtId="164" fontId="81" fillId="0" borderId="35" xfId="37" applyNumberFormat="1" applyFont="1" applyBorder="1" applyAlignment="1">
      <alignment horizontal="left"/>
    </xf>
    <xf numFmtId="164" fontId="81" fillId="0" borderId="40" xfId="37" applyNumberFormat="1" applyFont="1" applyBorder="1" applyAlignment="1">
      <alignment horizontal="left"/>
    </xf>
    <xf numFmtId="164" fontId="81" fillId="5" borderId="4" xfId="37" applyNumberFormat="1" applyFont="1" applyFill="1" applyBorder="1" applyAlignment="1">
      <alignment horizontal="center"/>
    </xf>
    <xf numFmtId="164" fontId="81" fillId="5" borderId="0" xfId="37" applyNumberFormat="1" applyFont="1" applyFill="1" applyAlignment="1">
      <alignment horizontal="center"/>
    </xf>
    <xf numFmtId="164" fontId="81" fillId="5" borderId="5" xfId="37" applyNumberFormat="1" applyFont="1" applyFill="1" applyBorder="1" applyAlignment="1">
      <alignment horizontal="center"/>
    </xf>
    <xf numFmtId="164" fontId="81" fillId="5" borderId="72" xfId="37" applyNumberFormat="1" applyFont="1" applyFill="1" applyBorder="1" applyAlignment="1">
      <alignment horizontal="center"/>
    </xf>
    <xf numFmtId="164" fontId="81" fillId="6" borderId="53" xfId="37" applyNumberFormat="1" applyFont="1" applyFill="1" applyBorder="1" applyAlignment="1">
      <alignment horizontal="center"/>
    </xf>
    <xf numFmtId="164" fontId="91" fillId="6" borderId="53" xfId="37" applyNumberFormat="1" applyFont="1" applyFill="1" applyBorder="1" applyAlignment="1">
      <alignment horizontal="center"/>
    </xf>
    <xf numFmtId="164" fontId="81" fillId="5" borderId="0" xfId="37" applyNumberFormat="1" applyFont="1" applyFill="1" applyBorder="1" applyAlignment="1">
      <alignment horizontal="center"/>
    </xf>
    <xf numFmtId="0" fontId="75" fillId="5" borderId="0" xfId="6" applyFont="1" applyFill="1" applyAlignment="1">
      <alignment horizontal="center"/>
    </xf>
    <xf numFmtId="0" fontId="75" fillId="0" borderId="0" xfId="6" applyFont="1" applyAlignment="1">
      <alignment horizontal="center"/>
    </xf>
    <xf numFmtId="0" fontId="15" fillId="0" borderId="14" xfId="0" applyFont="1" applyFill="1" applyBorder="1" applyAlignment="1">
      <alignment horizontal="left" wrapText="1"/>
    </xf>
    <xf numFmtId="0" fontId="15" fillId="0" borderId="24" xfId="0" applyFont="1" applyFill="1" applyBorder="1" applyAlignment="1">
      <alignment horizontal="left" wrapText="1"/>
    </xf>
    <xf numFmtId="0" fontId="15" fillId="0" borderId="14" xfId="0" applyFont="1" applyFill="1" applyBorder="1" applyAlignment="1">
      <alignment horizontal="left" vertical="center" wrapText="1"/>
    </xf>
    <xf numFmtId="0" fontId="15" fillId="0" borderId="24" xfId="0" applyFont="1" applyFill="1" applyBorder="1" applyAlignment="1">
      <alignment horizontal="left" vertical="center" wrapText="1"/>
    </xf>
    <xf numFmtId="0" fontId="15" fillId="0" borderId="14" xfId="0" applyFont="1" applyFill="1" applyBorder="1" applyAlignment="1">
      <alignment horizontal="left" vertical="top" wrapText="1"/>
    </xf>
    <xf numFmtId="0" fontId="15" fillId="0" borderId="24" xfId="0" applyFont="1" applyFill="1" applyBorder="1" applyAlignment="1">
      <alignment horizontal="left" vertical="top" wrapText="1"/>
    </xf>
    <xf numFmtId="0" fontId="15" fillId="0" borderId="82" xfId="0" applyFont="1" applyFill="1" applyBorder="1" applyAlignment="1">
      <alignment horizontal="left" vertical="top" wrapText="1"/>
    </xf>
    <xf numFmtId="0" fontId="15" fillId="0" borderId="83" xfId="0" applyFont="1" applyFill="1" applyBorder="1" applyAlignment="1">
      <alignment horizontal="left" vertical="top" wrapText="1"/>
    </xf>
    <xf numFmtId="0" fontId="15" fillId="0" borderId="71" xfId="0" applyFont="1" applyFill="1" applyBorder="1" applyAlignment="1">
      <alignment horizontal="left" vertical="top" wrapText="1"/>
    </xf>
    <xf numFmtId="0" fontId="15" fillId="0" borderId="14" xfId="0" applyFont="1" applyFill="1" applyBorder="1" applyAlignment="1">
      <alignment wrapText="1"/>
    </xf>
    <xf numFmtId="0" fontId="15" fillId="0" borderId="24" xfId="0" applyFont="1" applyFill="1" applyBorder="1" applyAlignment="1">
      <alignment wrapText="1"/>
    </xf>
    <xf numFmtId="4" fontId="32" fillId="0" borderId="1" xfId="0" applyNumberFormat="1" applyFont="1" applyBorder="1" applyAlignment="1">
      <alignment horizontal="center" wrapText="1"/>
    </xf>
    <xf numFmtId="4" fontId="32" fillId="0" borderId="2" xfId="0" applyNumberFormat="1" applyFont="1" applyBorder="1" applyAlignment="1">
      <alignment horizontal="center" wrapText="1"/>
    </xf>
    <xf numFmtId="4" fontId="32" fillId="0" borderId="3" xfId="0" applyNumberFormat="1" applyFont="1" applyBorder="1" applyAlignment="1">
      <alignment horizontal="center" wrapText="1"/>
    </xf>
    <xf numFmtId="0" fontId="33" fillId="0" borderId="77" xfId="0" applyFont="1" applyFill="1" applyBorder="1" applyAlignment="1">
      <alignment horizontal="left" vertical="top" wrapText="1"/>
    </xf>
    <xf numFmtId="0" fontId="33" fillId="0" borderId="76" xfId="0" applyFont="1" applyFill="1" applyBorder="1" applyAlignment="1">
      <alignment horizontal="left" vertical="top" wrapText="1"/>
    </xf>
    <xf numFmtId="0" fontId="33" fillId="0" borderId="41" xfId="0" applyFont="1" applyFill="1" applyBorder="1" applyAlignment="1">
      <alignment horizontal="left" vertical="top" wrapText="1"/>
    </xf>
    <xf numFmtId="0" fontId="15" fillId="0" borderId="14" xfId="0" applyFont="1" applyFill="1" applyBorder="1" applyAlignment="1">
      <alignment horizontal="left"/>
    </xf>
    <xf numFmtId="0" fontId="15" fillId="0" borderId="24" xfId="0" applyFont="1" applyFill="1" applyBorder="1" applyAlignment="1">
      <alignment horizontal="left"/>
    </xf>
    <xf numFmtId="0" fontId="19" fillId="0" borderId="1" xfId="0" applyFont="1" applyFill="1" applyBorder="1" applyAlignment="1">
      <alignment horizontal="center" vertical="top" wrapText="1"/>
    </xf>
    <xf numFmtId="0" fontId="19" fillId="0" borderId="2" xfId="0" applyFont="1" applyFill="1" applyBorder="1" applyAlignment="1">
      <alignment horizontal="center" vertical="top" wrapText="1"/>
    </xf>
    <xf numFmtId="0" fontId="19" fillId="0" borderId="3" xfId="0" applyFont="1" applyFill="1" applyBorder="1" applyAlignment="1">
      <alignment horizontal="center" vertical="top" wrapText="1"/>
    </xf>
    <xf numFmtId="0" fontId="15" fillId="0" borderId="39" xfId="0" applyFont="1" applyFill="1" applyBorder="1" applyAlignment="1">
      <alignment horizontal="center" vertical="top"/>
    </xf>
    <xf numFmtId="0" fontId="15" fillId="0" borderId="35" xfId="0" applyFont="1" applyFill="1" applyBorder="1" applyAlignment="1">
      <alignment horizontal="center" vertical="top"/>
    </xf>
    <xf numFmtId="0" fontId="15" fillId="0" borderId="40" xfId="0" applyFont="1" applyFill="1" applyBorder="1" applyAlignment="1">
      <alignment horizontal="center" vertical="top"/>
    </xf>
    <xf numFmtId="0" fontId="60" fillId="0" borderId="8" xfId="12" applyFont="1" applyBorder="1" applyAlignment="1">
      <alignment horizontal="center"/>
    </xf>
    <xf numFmtId="0" fontId="19" fillId="0" borderId="1" xfId="15" applyFont="1" applyFill="1" applyBorder="1" applyAlignment="1">
      <alignment horizontal="center" vertical="top" wrapText="1"/>
    </xf>
    <xf numFmtId="0" fontId="19" fillId="0" borderId="2" xfId="15" applyFont="1" applyFill="1" applyBorder="1" applyAlignment="1">
      <alignment horizontal="center" vertical="top" wrapText="1"/>
    </xf>
    <xf numFmtId="0" fontId="19" fillId="0" borderId="3" xfId="15" applyFont="1" applyFill="1" applyBorder="1" applyAlignment="1">
      <alignment horizontal="center" vertical="top" wrapText="1"/>
    </xf>
    <xf numFmtId="0" fontId="15" fillId="0" borderId="39" xfId="15" applyFont="1" applyFill="1" applyBorder="1" applyAlignment="1">
      <alignment horizontal="center" vertical="top"/>
    </xf>
    <xf numFmtId="0" fontId="15" fillId="0" borderId="35" xfId="15" applyFont="1" applyFill="1" applyBorder="1" applyAlignment="1">
      <alignment horizontal="center" vertical="top"/>
    </xf>
    <xf numFmtId="0" fontId="15" fillId="0" borderId="40" xfId="15" applyFont="1" applyFill="1" applyBorder="1" applyAlignment="1">
      <alignment horizontal="center" vertical="top"/>
    </xf>
    <xf numFmtId="2" fontId="24" fillId="0" borderId="43" xfId="15" applyNumberFormat="1" applyFont="1" applyFill="1" applyBorder="1" applyAlignment="1">
      <alignment horizontal="center"/>
    </xf>
    <xf numFmtId="2" fontId="24" fillId="0" borderId="44" xfId="15" applyNumberFormat="1" applyFont="1" applyFill="1" applyBorder="1" applyAlignment="1">
      <alignment horizontal="center"/>
    </xf>
    <xf numFmtId="2" fontId="24" fillId="0" borderId="45" xfId="15" applyNumberFormat="1" applyFont="1" applyFill="1" applyBorder="1" applyAlignment="1">
      <alignment horizontal="center"/>
    </xf>
    <xf numFmtId="0" fontId="24" fillId="0" borderId="1" xfId="15" applyFont="1" applyFill="1" applyBorder="1" applyAlignment="1">
      <alignment horizontal="center" vertical="top" wrapText="1"/>
    </xf>
    <xf numFmtId="0" fontId="24" fillId="0" borderId="2" xfId="15" applyFont="1" applyFill="1" applyBorder="1" applyAlignment="1">
      <alignment horizontal="center" vertical="top" wrapText="1"/>
    </xf>
    <xf numFmtId="0" fontId="24" fillId="0" borderId="3" xfId="15" applyFont="1" applyFill="1" applyBorder="1" applyAlignment="1">
      <alignment horizontal="center" vertical="top" wrapText="1"/>
    </xf>
    <xf numFmtId="1" fontId="18" fillId="0" borderId="14" xfId="15" applyNumberFormat="1" applyFont="1" applyBorder="1" applyAlignment="1">
      <alignment horizontal="left" vertical="center"/>
    </xf>
    <xf numFmtId="1" fontId="18" fillId="0" borderId="0" xfId="15" applyNumberFormat="1" applyFont="1" applyBorder="1" applyAlignment="1">
      <alignment horizontal="left" vertical="center"/>
    </xf>
    <xf numFmtId="164" fontId="15" fillId="0" borderId="13" xfId="1" applyFont="1" applyFill="1" applyBorder="1" applyAlignment="1">
      <alignment horizontal="center" vertical="center"/>
    </xf>
    <xf numFmtId="2" fontId="24" fillId="0" borderId="43" xfId="0" applyNumberFormat="1" applyFont="1" applyFill="1" applyBorder="1" applyAlignment="1">
      <alignment horizontal="center"/>
    </xf>
    <xf numFmtId="2" fontId="24" fillId="0" borderId="44" xfId="0" applyNumberFormat="1" applyFont="1" applyFill="1" applyBorder="1" applyAlignment="1">
      <alignment horizontal="center"/>
    </xf>
    <xf numFmtId="2" fontId="24" fillId="0" borderId="45" xfId="0" applyNumberFormat="1" applyFont="1" applyFill="1" applyBorder="1" applyAlignment="1">
      <alignment horizontal="center"/>
    </xf>
    <xf numFmtId="0" fontId="24" fillId="0" borderId="1" xfId="0" applyFont="1" applyFill="1" applyBorder="1" applyAlignment="1">
      <alignment horizontal="center" vertical="top" wrapText="1"/>
    </xf>
    <xf numFmtId="0" fontId="24" fillId="0" borderId="2" xfId="0" applyFont="1" applyFill="1" applyBorder="1" applyAlignment="1">
      <alignment horizontal="center" vertical="top" wrapText="1"/>
    </xf>
    <xf numFmtId="0" fontId="24" fillId="0" borderId="3" xfId="0" applyFont="1" applyFill="1" applyBorder="1" applyAlignment="1">
      <alignment horizontal="center" vertical="top" wrapText="1"/>
    </xf>
    <xf numFmtId="1" fontId="18" fillId="0" borderId="14" xfId="0" applyNumberFormat="1" applyFont="1" applyFill="1" applyBorder="1" applyAlignment="1">
      <alignment horizontal="left" vertical="center"/>
    </xf>
    <xf numFmtId="1" fontId="18" fillId="0" borderId="0" xfId="0" applyNumberFormat="1" applyFont="1" applyFill="1" applyBorder="1" applyAlignment="1">
      <alignment horizontal="left" vertical="center"/>
    </xf>
    <xf numFmtId="1" fontId="18" fillId="0" borderId="77" xfId="0" applyNumberFormat="1" applyFont="1" applyFill="1" applyBorder="1" applyAlignment="1">
      <alignment horizontal="left" vertical="center"/>
    </xf>
    <xf numFmtId="1" fontId="18" fillId="0" borderId="76" xfId="0" applyNumberFormat="1" applyFont="1" applyFill="1" applyBorder="1" applyAlignment="1">
      <alignment horizontal="left" vertical="center"/>
    </xf>
    <xf numFmtId="1" fontId="19" fillId="0" borderId="14"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0" fontId="16" fillId="0" borderId="0" xfId="0" applyFont="1" applyFill="1" applyBorder="1" applyAlignment="1">
      <alignment horizontal="left" vertical="center" wrapText="1"/>
    </xf>
  </cellXfs>
  <cellStyles count="42">
    <cellStyle name="•W_Electrical" xfId="14" xr:uid="{00000000-0005-0000-0000-000000000000}"/>
    <cellStyle name="•W_Electrical 2" xfId="35" xr:uid="{00000000-0005-0000-0000-000001000000}"/>
    <cellStyle name="Comma" xfId="1" builtinId="3"/>
    <cellStyle name="Comma 2" xfId="2" xr:uid="{00000000-0005-0000-0000-000003000000}"/>
    <cellStyle name="Comma 2 2" xfId="3" xr:uid="{00000000-0005-0000-0000-000004000000}"/>
    <cellStyle name="Comma 2 2 2" xfId="5" xr:uid="{00000000-0005-0000-0000-000005000000}"/>
    <cellStyle name="Comma 2 2 2 67 2" xfId="25" xr:uid="{00000000-0005-0000-0000-000006000000}"/>
    <cellStyle name="Comma 3" xfId="7" xr:uid="{00000000-0005-0000-0000-000007000000}"/>
    <cellStyle name="Comma 3 2" xfId="40" xr:uid="{34C82E4C-E3B1-4EEF-A08C-7226FCA7FDE2}"/>
    <cellStyle name="Comma 4" xfId="11" xr:uid="{00000000-0005-0000-0000-000008000000}"/>
    <cellStyle name="Comma 5" xfId="16" xr:uid="{00000000-0005-0000-0000-000009000000}"/>
    <cellStyle name="Comma 5 2" xfId="39" xr:uid="{9A1791F2-18F7-4138-8E0B-C37A9888CDCB}"/>
    <cellStyle name="Comma 6" xfId="23" xr:uid="{00000000-0005-0000-0000-00000A000000}"/>
    <cellStyle name="Comma 7" xfId="29" xr:uid="{00000000-0005-0000-0000-00000B000000}"/>
    <cellStyle name="Comma 8" xfId="20" xr:uid="{00000000-0005-0000-0000-00000C000000}"/>
    <cellStyle name="Comma 8 2" xfId="27" xr:uid="{00000000-0005-0000-0000-00000D000000}"/>
    <cellStyle name="Comma 9" xfId="38" xr:uid="{8652357C-A0B4-468F-8475-667BDE54A69E}"/>
    <cellStyle name="Comma_29.8.06 Proposed Ambalanthoto-price 7" xfId="31" xr:uid="{00000000-0005-0000-0000-00000E000000}"/>
    <cellStyle name="Comma_Balapitiya B.O.Q, 3 ,27--07 - 2006  Orginal" xfId="33" xr:uid="{00000000-0005-0000-0000-00000F000000}"/>
    <cellStyle name="Normal" xfId="0" builtinId="0"/>
    <cellStyle name="Normal 10" xfId="15" xr:uid="{00000000-0005-0000-0000-000011000000}"/>
    <cellStyle name="Normal 12" xfId="19" xr:uid="{00000000-0005-0000-0000-000012000000}"/>
    <cellStyle name="Normal 12 2" xfId="26" xr:uid="{00000000-0005-0000-0000-000013000000}"/>
    <cellStyle name="Normal 18" xfId="34" xr:uid="{00000000-0005-0000-0000-000014000000}"/>
    <cellStyle name="Normal 2" xfId="4" xr:uid="{00000000-0005-0000-0000-000015000000}"/>
    <cellStyle name="Normal 2 2" xfId="9" xr:uid="{00000000-0005-0000-0000-000016000000}"/>
    <cellStyle name="Normal 2 2 2" xfId="6" xr:uid="{00000000-0005-0000-0000-000017000000}"/>
    <cellStyle name="Normal 2 3" xfId="17" xr:uid="{00000000-0005-0000-0000-000018000000}"/>
    <cellStyle name="Normal 3" xfId="22" xr:uid="{00000000-0005-0000-0000-000019000000}"/>
    <cellStyle name="Normal 3 3" xfId="37" xr:uid="{14A55452-B978-48B8-BBF2-A70FDFCB3371}"/>
    <cellStyle name="Normal 5" xfId="41" xr:uid="{7A46E867-6CE8-4F08-842B-C1756E1766B8}"/>
    <cellStyle name="Normal 7" xfId="12" xr:uid="{00000000-0005-0000-0000-00001A000000}"/>
    <cellStyle name="Normal_29.8.06 Proposed Ambalanthoto-price" xfId="30" xr:uid="{00000000-0005-0000-0000-00001B000000}"/>
    <cellStyle name="Normal_Balapitiya B.O.Q, 3 ,27--07 - 2006  Orginal" xfId="32" xr:uid="{00000000-0005-0000-0000-00001C000000}"/>
    <cellStyle name="Normal_BOC-E" xfId="13" xr:uid="{00000000-0005-0000-0000-00001D000000}"/>
    <cellStyle name="Normal_BOQ for MR &amp; Mrs  Breakout" xfId="18" xr:uid="{00000000-0005-0000-0000-00001E000000}"/>
    <cellStyle name="Normal_KUMARA (2)" xfId="36" xr:uid="{00000000-0005-0000-0000-00001F000000}"/>
    <cellStyle name="Normal_My one" xfId="28" xr:uid="{00000000-0005-0000-0000-000020000000}"/>
    <cellStyle name="Normal_UFL (2)" xfId="24" xr:uid="{00000000-0005-0000-0000-000021000000}"/>
    <cellStyle name="Percent" xfId="21" builtinId="5"/>
    <cellStyle name="Percent 2" xfId="8" xr:uid="{00000000-0005-0000-0000-000023000000}"/>
    <cellStyle name="Percent 3" xfId="10" xr:uid="{00000000-0005-0000-0000-000024000000}"/>
  </cellStyles>
  <dxfs count="2">
    <dxf>
      <font>
        <b/>
        <i val="0"/>
        <condense val="0"/>
        <extend val="0"/>
        <color indexed="10"/>
      </font>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1.xml"/><Relationship Id="rId63" Type="http://schemas.openxmlformats.org/officeDocument/2006/relationships/externalLink" Target="externalLinks/externalLink17.xml"/><Relationship Id="rId68" Type="http://schemas.openxmlformats.org/officeDocument/2006/relationships/externalLink" Target="externalLinks/externalLink22.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7.xml"/><Relationship Id="rId58" Type="http://schemas.openxmlformats.org/officeDocument/2006/relationships/externalLink" Target="externalLinks/externalLink12.xml"/><Relationship Id="rId66" Type="http://schemas.openxmlformats.org/officeDocument/2006/relationships/externalLink" Target="externalLinks/externalLink20.xml"/><Relationship Id="rId5" Type="http://schemas.openxmlformats.org/officeDocument/2006/relationships/worksheet" Target="worksheets/sheet5.xml"/><Relationship Id="rId61" Type="http://schemas.openxmlformats.org/officeDocument/2006/relationships/externalLink" Target="externalLinks/externalLink1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externalLink" Target="externalLinks/externalLink10.xml"/><Relationship Id="rId64" Type="http://schemas.openxmlformats.org/officeDocument/2006/relationships/externalLink" Target="externalLinks/externalLink18.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5.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3.xml"/><Relationship Id="rId67" Type="http://schemas.openxmlformats.org/officeDocument/2006/relationships/externalLink" Target="externalLinks/externalLink2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8.xml"/><Relationship Id="rId62" Type="http://schemas.openxmlformats.org/officeDocument/2006/relationships/externalLink" Target="externalLinks/externalLink16.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externalLink" Target="externalLinks/externalLink1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6.xml"/><Relationship Id="rId60" Type="http://schemas.openxmlformats.org/officeDocument/2006/relationships/externalLink" Target="externalLinks/externalLink14.xml"/><Relationship Id="rId65"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4.xml"/><Relationship Id="rId55" Type="http://schemas.openxmlformats.org/officeDocument/2006/relationships/externalLink" Target="externalLinks/externalLink9.xml"/></Relationships>
</file>

<file path=xl/drawings/drawing1.xml><?xml version="1.0" encoding="utf-8"?>
<xdr:wsDr xmlns:xdr="http://schemas.openxmlformats.org/drawingml/2006/spreadsheetDrawing" xmlns:a="http://schemas.openxmlformats.org/drawingml/2006/main">
  <xdr:twoCellAnchor>
    <xdr:from>
      <xdr:col>16</xdr:col>
      <xdr:colOff>0</xdr:colOff>
      <xdr:row>16</xdr:row>
      <xdr:rowOff>171450</xdr:rowOff>
    </xdr:from>
    <xdr:to>
      <xdr:col>25</xdr:col>
      <xdr:colOff>419100</xdr:colOff>
      <xdr:row>16</xdr:row>
      <xdr:rowOff>171450</xdr:rowOff>
    </xdr:to>
    <xdr:sp macro="" textlink="">
      <xdr:nvSpPr>
        <xdr:cNvPr id="2" name="Line 3393">
          <a:extLst>
            <a:ext uri="{FF2B5EF4-FFF2-40B4-BE49-F238E27FC236}">
              <a16:creationId xmlns:a16="http://schemas.microsoft.com/office/drawing/2014/main" id="{00000000-0008-0000-0000-000002000000}"/>
            </a:ext>
          </a:extLst>
        </xdr:cNvPr>
        <xdr:cNvSpPr>
          <a:spLocks noChangeShapeType="1"/>
        </xdr:cNvSpPr>
      </xdr:nvSpPr>
      <xdr:spPr bwMode="auto">
        <a:xfrm>
          <a:off x="9791700" y="3897630"/>
          <a:ext cx="627888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26</xdr:col>
      <xdr:colOff>0</xdr:colOff>
      <xdr:row>4</xdr:row>
      <xdr:rowOff>0</xdr:rowOff>
    </xdr:from>
    <xdr:to>
      <xdr:col>26</xdr:col>
      <xdr:colOff>0</xdr:colOff>
      <xdr:row>7</xdr:row>
      <xdr:rowOff>0</xdr:rowOff>
    </xdr:to>
    <xdr:cxnSp macro="">
      <xdr:nvCxnSpPr>
        <xdr:cNvPr id="3" name="Straight Connector 3">
          <a:extLst>
            <a:ext uri="{FF2B5EF4-FFF2-40B4-BE49-F238E27FC236}">
              <a16:creationId xmlns:a16="http://schemas.microsoft.com/office/drawing/2014/main" id="{00000000-0008-0000-0000-000003000000}"/>
            </a:ext>
          </a:extLst>
        </xdr:cNvPr>
        <xdr:cNvCxnSpPr>
          <a:cxnSpLocks noChangeShapeType="1"/>
        </xdr:cNvCxnSpPr>
      </xdr:nvCxnSpPr>
      <xdr:spPr bwMode="auto">
        <a:xfrm rot="5400000">
          <a:off x="16177260" y="1371600"/>
          <a:ext cx="74676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lgn="ctr">
              <a:solidFill>
                <a:srgbClr val="000000"/>
              </a:solidFill>
              <a:round/>
              <a:headEnd/>
              <a:tailEnd/>
            </a14:hiddenLine>
          </a:ext>
        </a:extLst>
      </xdr:spPr>
    </xdr:cxnSp>
    <xdr:clientData/>
  </xdr:twoCellAnchor>
  <xdr:twoCellAnchor>
    <xdr:from>
      <xdr:col>26</xdr:col>
      <xdr:colOff>0</xdr:colOff>
      <xdr:row>4</xdr:row>
      <xdr:rowOff>0</xdr:rowOff>
    </xdr:from>
    <xdr:to>
      <xdr:col>26</xdr:col>
      <xdr:colOff>0</xdr:colOff>
      <xdr:row>7</xdr:row>
      <xdr:rowOff>0</xdr:rowOff>
    </xdr:to>
    <xdr:cxnSp macro="">
      <xdr:nvCxnSpPr>
        <xdr:cNvPr id="4" name="Straight Connector 4">
          <a:extLst>
            <a:ext uri="{FF2B5EF4-FFF2-40B4-BE49-F238E27FC236}">
              <a16:creationId xmlns:a16="http://schemas.microsoft.com/office/drawing/2014/main" id="{00000000-0008-0000-0000-000004000000}"/>
            </a:ext>
          </a:extLst>
        </xdr:cNvPr>
        <xdr:cNvCxnSpPr>
          <a:cxnSpLocks noChangeShapeType="1"/>
        </xdr:cNvCxnSpPr>
      </xdr:nvCxnSpPr>
      <xdr:spPr bwMode="auto">
        <a:xfrm rot="5400000">
          <a:off x="16177260" y="1371600"/>
          <a:ext cx="74676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lgn="ctr">
              <a:solidFill>
                <a:srgbClr val="000000"/>
              </a:solidFill>
              <a:round/>
              <a:headEnd/>
              <a:tailEnd/>
            </a14:hiddenLine>
          </a:ext>
        </a:extLst>
      </xdr:spPr>
    </xdr:cxnSp>
    <xdr:clientData/>
  </xdr:twoCellAnchor>
  <xdr:twoCellAnchor>
    <xdr:from>
      <xdr:col>16</xdr:col>
      <xdr:colOff>0</xdr:colOff>
      <xdr:row>25</xdr:row>
      <xdr:rowOff>171450</xdr:rowOff>
    </xdr:from>
    <xdr:to>
      <xdr:col>25</xdr:col>
      <xdr:colOff>419100</xdr:colOff>
      <xdr:row>25</xdr:row>
      <xdr:rowOff>171450</xdr:rowOff>
    </xdr:to>
    <xdr:sp macro="" textlink="">
      <xdr:nvSpPr>
        <xdr:cNvPr id="6" name="Line 3393">
          <a:extLst>
            <a:ext uri="{FF2B5EF4-FFF2-40B4-BE49-F238E27FC236}">
              <a16:creationId xmlns:a16="http://schemas.microsoft.com/office/drawing/2014/main" id="{00000000-0008-0000-0000-000006000000}"/>
            </a:ext>
          </a:extLst>
        </xdr:cNvPr>
        <xdr:cNvSpPr>
          <a:spLocks noChangeShapeType="1"/>
        </xdr:cNvSpPr>
      </xdr:nvSpPr>
      <xdr:spPr bwMode="auto">
        <a:xfrm>
          <a:off x="9789459" y="3497356"/>
          <a:ext cx="6273053"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34</xdr:row>
      <xdr:rowOff>171450</xdr:rowOff>
    </xdr:from>
    <xdr:to>
      <xdr:col>25</xdr:col>
      <xdr:colOff>419100</xdr:colOff>
      <xdr:row>34</xdr:row>
      <xdr:rowOff>171450</xdr:rowOff>
    </xdr:to>
    <xdr:sp macro="" textlink="">
      <xdr:nvSpPr>
        <xdr:cNvPr id="7" name="Line 3393">
          <a:extLst>
            <a:ext uri="{FF2B5EF4-FFF2-40B4-BE49-F238E27FC236}">
              <a16:creationId xmlns:a16="http://schemas.microsoft.com/office/drawing/2014/main" id="{00000000-0008-0000-0000-000007000000}"/>
            </a:ext>
          </a:extLst>
        </xdr:cNvPr>
        <xdr:cNvSpPr>
          <a:spLocks noChangeShapeType="1"/>
        </xdr:cNvSpPr>
      </xdr:nvSpPr>
      <xdr:spPr bwMode="auto">
        <a:xfrm>
          <a:off x="9789459" y="5469591"/>
          <a:ext cx="6273053"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42</xdr:row>
      <xdr:rowOff>171450</xdr:rowOff>
    </xdr:from>
    <xdr:to>
      <xdr:col>25</xdr:col>
      <xdr:colOff>419100</xdr:colOff>
      <xdr:row>42</xdr:row>
      <xdr:rowOff>171450</xdr:rowOff>
    </xdr:to>
    <xdr:sp macro="" textlink="">
      <xdr:nvSpPr>
        <xdr:cNvPr id="8" name="Line 3393">
          <a:extLst>
            <a:ext uri="{FF2B5EF4-FFF2-40B4-BE49-F238E27FC236}">
              <a16:creationId xmlns:a16="http://schemas.microsoft.com/office/drawing/2014/main" id="{00000000-0008-0000-0000-000008000000}"/>
            </a:ext>
          </a:extLst>
        </xdr:cNvPr>
        <xdr:cNvSpPr>
          <a:spLocks noChangeShapeType="1"/>
        </xdr:cNvSpPr>
      </xdr:nvSpPr>
      <xdr:spPr bwMode="auto">
        <a:xfrm>
          <a:off x="9861176" y="5469591"/>
          <a:ext cx="6273053"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55</xdr:row>
      <xdr:rowOff>171450</xdr:rowOff>
    </xdr:from>
    <xdr:to>
      <xdr:col>25</xdr:col>
      <xdr:colOff>419100</xdr:colOff>
      <xdr:row>55</xdr:row>
      <xdr:rowOff>171450</xdr:rowOff>
    </xdr:to>
    <xdr:sp macro="" textlink="">
      <xdr:nvSpPr>
        <xdr:cNvPr id="9" name="Line 3393">
          <a:extLst>
            <a:ext uri="{FF2B5EF4-FFF2-40B4-BE49-F238E27FC236}">
              <a16:creationId xmlns:a16="http://schemas.microsoft.com/office/drawing/2014/main" id="{00000000-0008-0000-0000-000009000000}"/>
            </a:ext>
          </a:extLst>
        </xdr:cNvPr>
        <xdr:cNvSpPr>
          <a:spLocks noChangeShapeType="1"/>
        </xdr:cNvSpPr>
      </xdr:nvSpPr>
      <xdr:spPr bwMode="auto">
        <a:xfrm>
          <a:off x="9861176" y="9019615"/>
          <a:ext cx="6273053"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67</xdr:row>
      <xdr:rowOff>171450</xdr:rowOff>
    </xdr:from>
    <xdr:to>
      <xdr:col>25</xdr:col>
      <xdr:colOff>419100</xdr:colOff>
      <xdr:row>67</xdr:row>
      <xdr:rowOff>171450</xdr:rowOff>
    </xdr:to>
    <xdr:sp macro="" textlink="">
      <xdr:nvSpPr>
        <xdr:cNvPr id="10" name="Line 3393">
          <a:extLst>
            <a:ext uri="{FF2B5EF4-FFF2-40B4-BE49-F238E27FC236}">
              <a16:creationId xmlns:a16="http://schemas.microsoft.com/office/drawing/2014/main" id="{00000000-0008-0000-0000-00000A000000}"/>
            </a:ext>
          </a:extLst>
        </xdr:cNvPr>
        <xdr:cNvSpPr>
          <a:spLocks noChangeShapeType="1"/>
        </xdr:cNvSpPr>
      </xdr:nvSpPr>
      <xdr:spPr bwMode="auto">
        <a:xfrm>
          <a:off x="9861176" y="9019615"/>
          <a:ext cx="6273053"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76</xdr:row>
      <xdr:rowOff>171450</xdr:rowOff>
    </xdr:from>
    <xdr:to>
      <xdr:col>25</xdr:col>
      <xdr:colOff>419100</xdr:colOff>
      <xdr:row>76</xdr:row>
      <xdr:rowOff>171450</xdr:rowOff>
    </xdr:to>
    <xdr:sp macro="" textlink="">
      <xdr:nvSpPr>
        <xdr:cNvPr id="11" name="Line 3393">
          <a:extLst>
            <a:ext uri="{FF2B5EF4-FFF2-40B4-BE49-F238E27FC236}">
              <a16:creationId xmlns:a16="http://schemas.microsoft.com/office/drawing/2014/main" id="{00000000-0008-0000-0000-00000B000000}"/>
            </a:ext>
          </a:extLst>
        </xdr:cNvPr>
        <xdr:cNvSpPr>
          <a:spLocks noChangeShapeType="1"/>
        </xdr:cNvSpPr>
      </xdr:nvSpPr>
      <xdr:spPr bwMode="auto">
        <a:xfrm>
          <a:off x="9861176" y="9019615"/>
          <a:ext cx="6273053"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85</xdr:row>
      <xdr:rowOff>171450</xdr:rowOff>
    </xdr:from>
    <xdr:to>
      <xdr:col>25</xdr:col>
      <xdr:colOff>419100</xdr:colOff>
      <xdr:row>85</xdr:row>
      <xdr:rowOff>171450</xdr:rowOff>
    </xdr:to>
    <xdr:sp macro="" textlink="">
      <xdr:nvSpPr>
        <xdr:cNvPr id="12" name="Line 3393">
          <a:extLst>
            <a:ext uri="{FF2B5EF4-FFF2-40B4-BE49-F238E27FC236}">
              <a16:creationId xmlns:a16="http://schemas.microsoft.com/office/drawing/2014/main" id="{00000000-0008-0000-0000-00000C000000}"/>
            </a:ext>
          </a:extLst>
        </xdr:cNvPr>
        <xdr:cNvSpPr>
          <a:spLocks noChangeShapeType="1"/>
        </xdr:cNvSpPr>
      </xdr:nvSpPr>
      <xdr:spPr bwMode="auto">
        <a:xfrm>
          <a:off x="9861176" y="15922438"/>
          <a:ext cx="6273053"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97</xdr:row>
      <xdr:rowOff>171450</xdr:rowOff>
    </xdr:from>
    <xdr:to>
      <xdr:col>25</xdr:col>
      <xdr:colOff>419100</xdr:colOff>
      <xdr:row>97</xdr:row>
      <xdr:rowOff>171450</xdr:rowOff>
    </xdr:to>
    <xdr:sp macro="" textlink="">
      <xdr:nvSpPr>
        <xdr:cNvPr id="16" name="Line 3393">
          <a:extLst>
            <a:ext uri="{FF2B5EF4-FFF2-40B4-BE49-F238E27FC236}">
              <a16:creationId xmlns:a16="http://schemas.microsoft.com/office/drawing/2014/main" id="{00000000-0008-0000-0000-000010000000}"/>
            </a:ext>
          </a:extLst>
        </xdr:cNvPr>
        <xdr:cNvSpPr>
          <a:spLocks noChangeShapeType="1"/>
        </xdr:cNvSpPr>
      </xdr:nvSpPr>
      <xdr:spPr bwMode="auto">
        <a:xfrm>
          <a:off x="9861176" y="5469591"/>
          <a:ext cx="6273053"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106</xdr:row>
      <xdr:rowOff>171450</xdr:rowOff>
    </xdr:from>
    <xdr:to>
      <xdr:col>25</xdr:col>
      <xdr:colOff>419100</xdr:colOff>
      <xdr:row>106</xdr:row>
      <xdr:rowOff>171450</xdr:rowOff>
    </xdr:to>
    <xdr:sp macro="" textlink="">
      <xdr:nvSpPr>
        <xdr:cNvPr id="17" name="Line 3393">
          <a:extLst>
            <a:ext uri="{FF2B5EF4-FFF2-40B4-BE49-F238E27FC236}">
              <a16:creationId xmlns:a16="http://schemas.microsoft.com/office/drawing/2014/main" id="{00000000-0008-0000-0000-000011000000}"/>
            </a:ext>
          </a:extLst>
        </xdr:cNvPr>
        <xdr:cNvSpPr>
          <a:spLocks noChangeShapeType="1"/>
        </xdr:cNvSpPr>
      </xdr:nvSpPr>
      <xdr:spPr bwMode="auto">
        <a:xfrm>
          <a:off x="9861176" y="7244603"/>
          <a:ext cx="6273053"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114</xdr:row>
      <xdr:rowOff>171450</xdr:rowOff>
    </xdr:from>
    <xdr:to>
      <xdr:col>25</xdr:col>
      <xdr:colOff>419100</xdr:colOff>
      <xdr:row>114</xdr:row>
      <xdr:rowOff>171450</xdr:rowOff>
    </xdr:to>
    <xdr:sp macro="" textlink="">
      <xdr:nvSpPr>
        <xdr:cNvPr id="18" name="Line 3393">
          <a:extLst>
            <a:ext uri="{FF2B5EF4-FFF2-40B4-BE49-F238E27FC236}">
              <a16:creationId xmlns:a16="http://schemas.microsoft.com/office/drawing/2014/main" id="{00000000-0008-0000-0000-000012000000}"/>
            </a:ext>
          </a:extLst>
        </xdr:cNvPr>
        <xdr:cNvSpPr>
          <a:spLocks noChangeShapeType="1"/>
        </xdr:cNvSpPr>
      </xdr:nvSpPr>
      <xdr:spPr bwMode="auto">
        <a:xfrm>
          <a:off x="9861176" y="9019615"/>
          <a:ext cx="6308912"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122</xdr:row>
      <xdr:rowOff>171450</xdr:rowOff>
    </xdr:from>
    <xdr:to>
      <xdr:col>25</xdr:col>
      <xdr:colOff>419100</xdr:colOff>
      <xdr:row>122</xdr:row>
      <xdr:rowOff>171450</xdr:rowOff>
    </xdr:to>
    <xdr:sp macro="" textlink="">
      <xdr:nvSpPr>
        <xdr:cNvPr id="19" name="Line 3393">
          <a:extLst>
            <a:ext uri="{FF2B5EF4-FFF2-40B4-BE49-F238E27FC236}">
              <a16:creationId xmlns:a16="http://schemas.microsoft.com/office/drawing/2014/main" id="{00000000-0008-0000-0000-000013000000}"/>
            </a:ext>
          </a:extLst>
        </xdr:cNvPr>
        <xdr:cNvSpPr>
          <a:spLocks noChangeShapeType="1"/>
        </xdr:cNvSpPr>
      </xdr:nvSpPr>
      <xdr:spPr bwMode="auto">
        <a:xfrm>
          <a:off x="9861176" y="11583521"/>
          <a:ext cx="6308912"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twoCellAnchor>
    <xdr:from>
      <xdr:col>16</xdr:col>
      <xdr:colOff>0</xdr:colOff>
      <xdr:row>130</xdr:row>
      <xdr:rowOff>171450</xdr:rowOff>
    </xdr:from>
    <xdr:to>
      <xdr:col>25</xdr:col>
      <xdr:colOff>419100</xdr:colOff>
      <xdr:row>130</xdr:row>
      <xdr:rowOff>171450</xdr:rowOff>
    </xdr:to>
    <xdr:sp macro="" textlink="">
      <xdr:nvSpPr>
        <xdr:cNvPr id="20" name="Line 3393">
          <a:extLst>
            <a:ext uri="{FF2B5EF4-FFF2-40B4-BE49-F238E27FC236}">
              <a16:creationId xmlns:a16="http://schemas.microsoft.com/office/drawing/2014/main" id="{00000000-0008-0000-0000-000014000000}"/>
            </a:ext>
          </a:extLst>
        </xdr:cNvPr>
        <xdr:cNvSpPr>
          <a:spLocks noChangeShapeType="1"/>
        </xdr:cNvSpPr>
      </xdr:nvSpPr>
      <xdr:spPr bwMode="auto">
        <a:xfrm>
          <a:off x="9861176" y="15922438"/>
          <a:ext cx="6308912"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type="triangle" w="med" len="med"/>
              <a:tailEnd type="triangle" w="med" len="me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ngana/VFORM/Union%20Bank/BOQ%20-%20Yogu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madura\Desktop\Keenk2n\Users\UDAYA\AppData\Local\Temp\RATES%20-%2020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kr\AFPS\Commercials\AFPs\D327\D327-afp%20blank.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eptune\eme_tenders\Users\prashaant_s\Documents\Projects\Movenpick\Load%20Calc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Downloads/Weerakoon/Maldives%20-%20Semi%20Water%20Banglow/Semi%20W%20Banglow-BoQ.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Rangana\VFORM\Union%20Bank\BOQ%20-%20Yogur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Access\Projects\UK\BOM%20-%20Uswetakeiyawa.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nts%20and%20Settings\Saumya\Desktop\Kelaniya%20University%20Hostels%20Project\Kelaniya%20University%20Project\ukslboyhostel\BOM%20-%20Schoo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Ongoing%20Projects\KIRIELLA\BOQ\BBS\Level%20L7\IT%20slabs\ATR-SPLL-ST-DWG-IT-L7-1043\Shapooji%20Pallonji%20Lanka\BBS%20formate\Users\Sivaprasad\AppData\Local\Temp\Temp1_BBS_Format_2003.zip\My%20Documents\Barsched%208666.xlt"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Nuwan12/Desktop/Mr.%20Godfrey/Tender/Evaluation/Negotiate%20N&amp;A/N&amp;A%20new%20blan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Documents%20and%20Settings\Nuwan12\Desktop\Mr.%20Godfrey\Tender\Evaluation\Negotiate%20N&amp;A\N&amp;A%20new%20blank.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Drive\&#160;\Drive\Aurum\Final%20Aurum%20BOQ\PROJECTS%20ON%20kanthi\Benedic\B.O.Q\PROJECTs\projects%20kanthi\Personal\UVA%20BSR%202009%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Users\User\Downloads\Weerakoon\Maldives%20-%20Semi%20Water%20Banglow\Semi%20W%20Banglow-BoQ.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Hasitha\IPA\3%20months%20IPA\All%20to%20gether%20-%20IPA%205%20Final\M.sheets\New%20folder\05.0%20Administration\05.1%20DCA\DCA%20Standard%20Forms\Variation%20Formats\Revised%20Template-flower%20centr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User/Downloads/Users/User/Downloads/Weerakoon/Maldives%20-%20Semi%20Water%20Banglow/Semi%20W%20Banglow-BoQ.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ocuments%20and%20Settings\Nuwan12\Desktop\Mr.%20Godfrey\Tender\Evaluation\Negotiate%20N&amp;A\N&amp;A%20new%20blank.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Rangana\VFORM\Union%20Bank\BOQ%20-%20Yogu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CHATHURANGA\BOQ\Dodangoda%20Pradeshiya%20Sabhawa\revised%20%20pile%20BOQ%20-%20kalutara%20projec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CHATHURANGA\BOQ\Dodangoda%20Pradeshiya%20Sabhawa\Proposed%20new%20shopping%20complex%20with%20multi%20functional%20hall%20at%20dodangod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HB%20User/Downloads/RBD%20(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llo%20Builders/Nalin%20-QS/Estimates/Mrs.Deshani%20%20BOQ%20%20-%20Proposed%20Villa%20%20at%20Galle/BOQ/Rate%20Breakdowns%20-%20Mrs.Deshani%20at%20Gal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Basis"/>
      <sheetName val="Notes"/>
      <sheetName val="TAS"/>
      <sheetName val="icmal"/>
      <sheetName val="#REF"/>
      <sheetName val="SubmitCal"/>
      <sheetName val="Option"/>
      <sheetName val="Cash2"/>
      <sheetName val="Z"/>
      <sheetName val="Raw Data"/>
      <sheetName val="Penthouse Apartment"/>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StattCo yCharges"/>
      <sheetName val="GFA_HQ_Building"/>
      <sheetName val="GFA_Conference"/>
      <sheetName val="Su}}ary"/>
      <sheetName val="Lab Cum Hist"/>
      <sheetName val="D-623D"/>
      <sheetName val="ancillary"/>
      <sheetName val="Graph Data (DO NOT PRINT)"/>
      <sheetName val="1"/>
      <sheetName val="LABOUR HISTOGRAM"/>
      <sheetName val="CT Thang Mo"/>
      <sheetName val="BOQ"/>
      <sheetName val="Bill No. 2"/>
      <sheetName val="budget summary (2)"/>
      <sheetName val="Budget Analysis Summary"/>
      <sheetName val="Projet, methodes &amp; couts"/>
      <sheetName val="Macro1"/>
      <sheetName val="Planning"/>
      <sheetName val="TAHRIR"/>
      <sheetName val="Bases"/>
      <sheetName val="Risques majeurs &amp; Frais Ind."/>
      <sheetName val="Bouclage"/>
      <sheetName val="AREG_05"/>
      <sheetName val="Sheet2"/>
      <sheetName val="Customize Your Invoice"/>
      <sheetName val="B"/>
      <sheetName val="HVAC BoQ"/>
      <sheetName val="PriceSummary"/>
      <sheetName val="企业表一"/>
      <sheetName val="M-5C"/>
      <sheetName val="M-5A"/>
      <sheetName val=""/>
      <sheetName val="改加胶玻璃、室外栏杆"/>
      <sheetName val="LEVEL SHEET"/>
      <sheetName val="SPT vs PHI"/>
      <sheetName val="CASHFLOWS"/>
      <sheetName val="Sheet1"/>
      <sheetName val="FOL - Bar"/>
      <sheetName val="CT  PL"/>
      <sheetName val="Top sheet"/>
      <sheetName val="BQ_External"/>
      <sheetName val="Bill_1"/>
      <sheetName val="Bill_2"/>
      <sheetName val="Bill_3"/>
      <sheetName val="Bill_4"/>
      <sheetName val="Bill_5"/>
      <sheetName val="Bill_6"/>
      <sheetName val="Bill_7"/>
      <sheetName val="HQ-TO"/>
      <sheetName val="Body Sheet"/>
      <sheetName val="1.0 Executive Summary"/>
      <sheetName val="intr stool brkup"/>
      <sheetName val="ConferenceCentre_x0000_옰ʒ䄂ʒ鵠ʐ䄂ʒ閐̐䄂ʒ蕈̐"/>
      <sheetName val="Budget"/>
      <sheetName val="LABOUR_HISTOGRAM"/>
      <sheetName val="JAS"/>
      <sheetName val="Rate analysis"/>
      <sheetName val="ANNEXURE-A"/>
      <sheetName val="COC"/>
      <sheetName val="Data"/>
      <sheetName val="Tender Summary"/>
      <sheetName val="Insurance Ext"/>
      <sheetName val="Prelims"/>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2 Div 14 "/>
      <sheetName val="SHOPLIST.xls"/>
      <sheetName val="List"/>
      <sheetName val="Sheet3"/>
      <sheetName val="Bill 2"/>
      <sheetName val="Ap A"/>
      <sheetName val="Currencies"/>
      <sheetName val="POWER"/>
      <sheetName val="MTP"/>
      <sheetName val="LABOUR_HISTOGRAM1"/>
      <sheetName val="Geneí¬_x0008_i_x0000__x0000__x0014__x0000_0."/>
      <sheetName val="70_x0000_,/0_x0000_s«_x0008_i_x0000_Æø_x0003_í¬_x0008_i_x0000_"/>
      <sheetName val="Inputs"/>
      <sheetName val="기계내역서"/>
      <sheetName val="Tender_Summary"/>
      <sheetName val="Insurance_Ext"/>
      <sheetName val="SAP"/>
      <sheetName val="Bill 1"/>
      <sheetName val="Bill 3"/>
      <sheetName val="Bill 4"/>
      <sheetName val="Bill 5"/>
      <sheetName val="Bill 6"/>
      <sheetName val="Bill 7"/>
      <sheetName val="ACT_SPS"/>
      <sheetName val="SPSF"/>
      <sheetName val="Invoice Summary"/>
      <sheetName val="Civil Boq"/>
      <sheetName val="RA-markate"/>
      <sheetName val="BOQ_Direct_selling cost"/>
      <sheetName val="concrete"/>
      <sheetName val="beam-reinft-IIInd floor"/>
      <sheetName val="Customize_Your_Invoice"/>
      <sheetName val="HVAC_BoQ"/>
      <sheetName val="Wall"/>
      <sheetName val="PROJECT BRIEF"/>
      <sheetName val="DATAS"/>
      <sheetName val="Rate_Analysis"/>
      <sheetName val="Dubai golf"/>
      <sheetName val="공종별_집계금액"/>
      <sheetName val="beam-reinft-machine rm"/>
      <sheetName val="girder"/>
      <sheetName val="Rocker"/>
      <sheetName val="98Price"/>
      <sheetName val="_x0000__x0000__x0000__x0000__x0000__x0000__x0000__x0000_"/>
      <sheetName val="POWER ASSUMPTIONS"/>
      <sheetName val="sal"/>
      <sheetName val="ABSTRACT"/>
      <sheetName val="DETAILED  BOQ"/>
      <sheetName val="M-Book for Conc"/>
      <sheetName val="M-Book for FW"/>
      <sheetName val="Vehicles"/>
      <sheetName val="C (3)"/>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마산월령동골조물량변경"/>
      <sheetName val="Softscape Buildup"/>
      <sheetName val="Mat'l Rate"/>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Eq. Mobilization"/>
      <sheetName val="77S(O)"/>
      <sheetName val="PointNo.5"/>
      <sheetName val="11-hsd"/>
      <sheetName val="13-septic"/>
      <sheetName val="7-ug"/>
      <sheetName val="2-utility"/>
      <sheetName val="18-misc"/>
      <sheetName val="5-pipe"/>
      <sheetName val="MOS"/>
      <sheetName val="PA- Consutant "/>
      <sheetName val="upa"/>
      <sheetName val="B185-B-2"/>
      <sheetName val="B185-B-3"/>
      <sheetName val="B185-B-4"/>
      <sheetName val="B185-B-5"/>
      <sheetName val="B185-B-6"/>
      <sheetName val="B185-B-7"/>
      <sheetName val="B185-B-8"/>
      <sheetName val="B185-B-9.1"/>
      <sheetName val="B185-B-9.2"/>
      <sheetName val="d-safe DELUXE"/>
      <sheetName val="BILL COV"/>
      <sheetName val="Ra  stair"/>
      <sheetName val="GFA_HQ_Building6"/>
      <sheetName val="Geneí¬_x0008_i"/>
      <sheetName val="70"/>
      <sheetName val="WITHOUT C&amp;I PROFIT (3)"/>
      <sheetName val="Bill_21"/>
      <sheetName val="2_Div_14_"/>
      <sheetName val="Ap_A"/>
      <sheetName val="SHOPLIST_xls"/>
      <sheetName val="Geneí¬i0_"/>
      <sheetName val="70,/0s«iÆøí¬i"/>
      <sheetName val="Invoice_Summary"/>
      <sheetName val="PROJECT_BRIEF"/>
      <sheetName val="Activity List"/>
      <sheetName val="VCH-SLC"/>
      <sheetName val="Item- Compact"/>
      <sheetName val="Supplier"/>
      <sheetName val="Design"/>
      <sheetName val="Annex"/>
      <sheetName val="factors"/>
      <sheetName val="P4-B"/>
      <sheetName val="Break_Up"/>
      <sheetName val="RESULT"/>
      <sheetName val="IO LIST"/>
      <sheetName val="Formulas"/>
      <sheetName val="Material "/>
      <sheetName val="Quote Sheet"/>
      <sheetName val="foot-slab reinft"/>
      <sheetName val="Materials Cost(PCC)"/>
      <sheetName val="India F&amp;S Template"/>
      <sheetName val="CODE"/>
      <sheetName val="HIRED LABOUR CODE"/>
      <sheetName val="P&amp;L-BDMC"/>
      <sheetName val="PRECAST lightconc-II"/>
      <sheetName val="col-reinft1"/>
      <sheetName val="Voucher"/>
      <sheetName val="final abstract"/>
      <sheetName val="BLK2"/>
      <sheetName val="BLK3"/>
      <sheetName val="E &amp; R"/>
      <sheetName val="radar"/>
      <sheetName val="UG"/>
      <sheetName val="Detail"/>
      <sheetName val="p&amp;m"/>
      <sheetName val="250mm"/>
      <sheetName val="200mm"/>
      <sheetName val="160mm"/>
      <sheetName val="FITTINGS"/>
      <sheetName val="VALVE CHAMBERS"/>
      <sheetName val="Fire Hydrants"/>
      <sheetName val="B.GATE VALVE"/>
      <sheetName val="Sub G1 Fire"/>
      <sheetName val="Sub G12 Fire"/>
      <sheetName val="Bill_11"/>
      <sheetName val="Bill_31"/>
      <sheetName val="Bill_41"/>
      <sheetName val="Bill_51"/>
      <sheetName val="Bill_61"/>
      <sheetName val="Bill_71"/>
      <sheetName val="PROJECT_BRIEF1"/>
      <sheetName val="Bill_22"/>
      <sheetName val="C_(3)1"/>
      <sheetName val="Ap_A1"/>
      <sheetName val="2_Div_14_1"/>
      <sheetName val="Dubai_golf"/>
      <sheetName val="beam-reinft-IIInd_floor"/>
      <sheetName val="POWER_ASSUMPTIONS"/>
      <sheetName val="beam-reinft-machine_rm"/>
      <sheetName val="C_(3)"/>
      <sheetName val="갑지"/>
      <sheetName val="Day work"/>
      <sheetName val="CERTIFICATE"/>
      <sheetName val="Data_Summary"/>
      <sheetName val="GFA_HQ_Building7"/>
      <sheetName val="GFA_Conference6"/>
      <sheetName val="BQ_External6"/>
      <sheetName val="Projet,_methodes_&amp;_couts4"/>
      <sheetName val="Risques_majeurs_&amp;_Frais_Ind_4"/>
      <sheetName val="Penthouse_Apartment5"/>
      <sheetName val="LABOUR_HISTOGRAM6"/>
      <sheetName val="StattCo_yCharges5"/>
      <sheetName val="Chiet_tinh_dz225"/>
      <sheetName val="Chiet_tinh_dz355"/>
      <sheetName val="Raw_Data5"/>
      <sheetName val="CT_Thang_Mo5"/>
      <sheetName val="LEVEL_SHEET5"/>
      <sheetName val="SPT_vs_PHI5"/>
      <sheetName val="@risk_rents_and_incentives5"/>
      <sheetName val="Car_park_lease5"/>
      <sheetName val="Net_rent_analysis5"/>
      <sheetName val="Poz-1_5"/>
      <sheetName val="Lab_Cum_Hist5"/>
      <sheetName val="Graph_Data_(DO_NOT_PRINT)5"/>
      <sheetName val="Bill_No__25"/>
      <sheetName val="budget_summary_(2)4"/>
      <sheetName val="Budget_Analysis_Summary4"/>
      <sheetName val="Customize_Your_Invoice5"/>
      <sheetName val="HVAC_BoQ5"/>
      <sheetName val="FOL_-_Bar5"/>
      <sheetName val="Tender_Summary5"/>
      <sheetName val="Insurance_Ext5"/>
      <sheetName val="CT__PL4"/>
      <sheetName val="intr_stool_brkup4"/>
      <sheetName val="Top_sheet4"/>
      <sheetName val="Rate_analysis4"/>
      <sheetName val="PROJECT_BRIEF2"/>
      <sheetName val="Body_Sheet4"/>
      <sheetName val="1_0_Executive_Summary4"/>
      <sheetName val="Bill_23"/>
      <sheetName val="C_(3)2"/>
      <sheetName val="Ap_A2"/>
      <sheetName val="2_Div_14_2"/>
      <sheetName val="Bill_12"/>
      <sheetName val="Bill_32"/>
      <sheetName val="Bill_42"/>
      <sheetName val="Bill_52"/>
      <sheetName val="Bill_62"/>
      <sheetName val="Bill_72"/>
      <sheetName val="SHOPLIST_xls1"/>
      <sheetName val="Dubai_golf1"/>
      <sheetName val="Invoice_Summary1"/>
      <sheetName val="beam-reinft-IIInd_floor1"/>
      <sheetName val="POWER_ASSUMPTIONS1"/>
      <sheetName val="beam-reinft-machine_rm1"/>
      <sheetName val="Civil_Boq"/>
      <sheetName val="WITHOUT_C&amp;I_PROFIT_(3)"/>
      <sheetName val="Activity_List"/>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Working for RCC"/>
      <sheetName val="Geneí¬i"/>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ropdown"/>
      <sheetName val="Elemental Buildup"/>
      <sheetName val="Toolbox"/>
      <sheetName val="INSTR"/>
      <sheetName val="ConferenceCentre?옰ʒ䄂ʒ鵠ʐ䄂ʒ閐̐䄂ʒ蕈̐"/>
      <sheetName val="COLUMN"/>
      <sheetName val="w't table"/>
      <sheetName val="cp-e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CHART OF ACCOUNTS"/>
      <sheetName val="15-MECH"/>
      <sheetName val="Material List "/>
      <sheetName val="E-Bill No.6 A-O"/>
      <sheetName val="GFA_HQ_Building9"/>
      <sheetName val="GFA_Conference8"/>
      <sheetName val="BQ_External8"/>
      <sheetName val="Graph_Data_(DO_NOT_PRINT)7"/>
      <sheetName val="Penthouse_Apartment7"/>
      <sheetName val="Chiet_tinh_dz227"/>
      <sheetName val="Chiet_tinh_dz357"/>
      <sheetName val="StattCo_yCharges7"/>
      <sheetName val="Raw_Data7"/>
      <sheetName val="LABOUR_HISTOGRAM8"/>
      <sheetName val="@risk_rents_and_incentives7"/>
      <sheetName val="Car_park_lease7"/>
      <sheetName val="Net_rent_analysis7"/>
      <sheetName val="Poz-1_7"/>
      <sheetName val="CT_Thang_Mo7"/>
      <sheetName val="Lab_Cum_Hist7"/>
      <sheetName val="LEVEL_SHEET7"/>
      <sheetName val="Bill_No__27"/>
      <sheetName val="Tender_Summary7"/>
      <sheetName val="Insurance_Ext7"/>
      <sheetName val="FOL_-_Bar7"/>
      <sheetName val="SPT_vs_PHI7"/>
      <sheetName val="Customize_Your_Invoice7"/>
      <sheetName val="HVAC_BoQ7"/>
      <sheetName val="budget_summary_(2)6"/>
      <sheetName val="Budget_Analysis_Summary6"/>
      <sheetName val="Body_Sheet6"/>
      <sheetName val="1_0_Executive_Summary6"/>
      <sheetName val="Projet,_methodes_&amp;_couts6"/>
      <sheetName val="Risques_majeurs_&amp;_Frais_Ind_6"/>
      <sheetName val="Top_sheet6"/>
      <sheetName val="CT__PL6"/>
      <sheetName val="intr_stool_brkup6"/>
      <sheetName val="Rate_analysis6"/>
      <sheetName val="Day_work"/>
      <sheetName val="BILL_COV"/>
      <sheetName val="GFA_HQ_Building10"/>
      <sheetName val="GFA_Conference9"/>
      <sheetName val="BQ_External9"/>
      <sheetName val="Graph_Data_(DO_NOT_PRINT)8"/>
      <sheetName val="Penthouse_Apartment8"/>
      <sheetName val="Chiet_tinh_dz228"/>
      <sheetName val="Chiet_tinh_dz358"/>
      <sheetName val="StattCo_yCharges8"/>
      <sheetName val="Raw_Data8"/>
      <sheetName val="LABOUR_HISTOGRAM9"/>
      <sheetName val="@risk_rents_and_incentives8"/>
      <sheetName val="Car_park_lease8"/>
      <sheetName val="Net_rent_analysis8"/>
      <sheetName val="Poz-1_8"/>
      <sheetName val="CT_Thang_Mo8"/>
      <sheetName val="Lab_Cum_Hist8"/>
      <sheetName val="LEVEL_SHEET8"/>
      <sheetName val="Bill_No__28"/>
      <sheetName val="Tender_Summary8"/>
      <sheetName val="Insurance_Ext8"/>
      <sheetName val="FOL_-_Bar8"/>
      <sheetName val="SPT_vs_PHI8"/>
      <sheetName val="Customize_Your_Invoice8"/>
      <sheetName val="HVAC_BoQ8"/>
      <sheetName val="budget_summary_(2)7"/>
      <sheetName val="Budget_Analysis_Summary7"/>
      <sheetName val="Body_Sheet7"/>
      <sheetName val="1_0_Executive_Summary7"/>
      <sheetName val="Projet,_methodes_&amp;_couts7"/>
      <sheetName val="Risques_majeurs_&amp;_Frais_Ind_7"/>
      <sheetName val="Top_sheet7"/>
      <sheetName val="CT__PL7"/>
      <sheetName val="intr_stool_brkup7"/>
      <sheetName val="Rate_analysis7"/>
      <sheetName val="Dubai_golf3"/>
      <sheetName val="SHOPLIST_xls3"/>
      <sheetName val="Bill_14"/>
      <sheetName val="Bill_34"/>
      <sheetName val="Bill_44"/>
      <sheetName val="Bill_54"/>
      <sheetName val="Bill_64"/>
      <sheetName val="Bill_74"/>
      <sheetName val="beam-reinft-IIInd_floor3"/>
      <sheetName val="Invoice_Summary3"/>
      <sheetName val="POWER_ASSUMPTIONS3"/>
      <sheetName val="beam-reinft-machine_rm3"/>
      <sheetName val="Day_work1"/>
      <sheetName val="BILL_COV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房屋及建筑物"/>
      <sheetName val="XL4Poppy"/>
      <sheetName val="Ap_A4"/>
      <sheetName val="2_Div_14_4"/>
      <sheetName val="PROJECT_BRIEF4"/>
      <sheetName val="Bill_25"/>
      <sheetName val="C_(3)4"/>
      <sheetName val="Civil_Boq2"/>
      <sheetName val="WITHOUT_C&amp;I_PROFIT_(3)2"/>
      <sheetName val="Activity_List2"/>
      <sheetName val="Softscape_Buildup2"/>
      <sheetName val="Mat'l_Rate2"/>
      <sheetName val="Ra__stair"/>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Ra__stair1"/>
      <sheetName val="B03"/>
      <sheetName val="B09.1"/>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PMWeb data"/>
      <sheetName val="PMWeb_data"/>
      <sheetName val="SS_MH"/>
      <sheetName val="SS MH"/>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2.2)Revised Cash Flow"/>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Gra¦_x0004_)"/>
      <sheetName val="/VW"/>
      <sheetName val="ConferenceCentre_x005f_x0000_옰ʒ䄂ʒ鵠ʐ䄂ʒ"/>
      <sheetName val="Geneí¬_x005f_x0008_i_x005f_x0000__x005f_x0000__x0"/>
      <sheetName val="70_x005f_x0000_,_0_x005f_x0000_s«_x005f_x0008_i_x"/>
      <sheetName val="Geneí¬_x005f_x0008_i"/>
      <sheetName val="입찰내역 발주처 양식"/>
      <sheetName val="Day_work2"/>
      <sheetName val="Gra¦)VW_U"/>
      <sheetName val="/VWVU))tÏØ0  "/>
      <sheetName val="/VWVU))tÏØ0__"/>
      <sheetName val="LIST DO NOT REMOVE"/>
      <sheetName val="Index List"/>
      <sheetName val="Type List"/>
      <sheetName val="File Types"/>
      <sheetName val="Chiet t"/>
      <sheetName val="Staffing and Rates IA"/>
      <sheetName val="SStaff-Sept2013"/>
      <sheetName val="Summary of Work"/>
      <sheetName val="_x005f_x0000__x005f_x0000__x005f_x0000__x005f_x0000__x0"/>
      <sheetName val="Staff Acco."/>
      <sheetName val="TBAL9697 -group wise  sdpl"/>
      <sheetName val="2_2)Revised_Cash_Flow"/>
      <sheetName val="Lists"/>
      <sheetName val="escalation"/>
      <sheetName val="ANAL"/>
      <sheetName val="Quantity"/>
      <sheetName val="??-BLDG"/>
      <sheetName val="PNT-QUOT-#3"/>
      <sheetName val="COAT&amp;WRAP-QIOT-#3"/>
      <sheetName val="ml"/>
      <sheetName val="Employee List"/>
      <sheetName val="SIEMENS"/>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B6.2 "/>
      <sheetName val="PointNo_5"/>
      <sheetName val="Elemental_Buildup"/>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SITE WORK"/>
      <sheetName val="Sub_G1_Five"/>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70_x005f_x0000_,/0_x005f_x0000_s«_x005f_x0008_i_x"/>
      <sheetName val="Back up"/>
      <sheetName val="PT 141- Site A Landscape"/>
      <sheetName val="XV10017"/>
      <sheetName val="Geneí¬ i_x0000__x0000_ _x0000_0."/>
      <sheetName val="70_x0000_,/0_x0000_s« i_x0000_Æø í¬ i_x0000_"/>
      <sheetName val="Summary_of_Work"/>
      <sheetName val="Employee_List"/>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Duct Accesories"/>
      <sheetName val="COSTING"/>
      <sheetName val="PRJDATA"/>
      <sheetName val="Master"/>
      <sheetName val="合成単価作成表-BLDG"/>
      <sheetName val="BASE_APR17_HISTOGRAMS"/>
      <sheetName val="PRECAST_lightconc-II"/>
      <sheetName val="final_abstract"/>
      <sheetName val="MA"/>
      <sheetName val="Rebars"/>
      <sheetName val="Mall waterproofing"/>
      <sheetName val="MSCP waterproofing"/>
      <sheetName val="-----------------"/>
      <sheetName val="70,_0s«iÆøí¬i"/>
      <sheetName val="ConferenceCentre_옰ʒ䄂ʒ鵠ʐ䄂ʒ閐̐䄂ʒ蕈̐"/>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 ??? ??"/>
      <sheetName val="200205C"/>
      <sheetName val="Headings"/>
      <sheetName val="References"/>
      <sheetName val="Map"/>
      <sheetName val="Labour &amp; Plant"/>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SHOPLIST.xls][SHOPLIST.xls]70_x0000_"/>
      <sheetName val="[SHOPLIST.xls][SHOPLIST.xls]70,"/>
      <sheetName val="GPL Revenu Update"/>
      <sheetName val="DO NOT TOUCH"/>
      <sheetName val="Work Type"/>
      <sheetName val="Common Variables"/>
      <sheetName val="Rate_analysis10"/>
      <sheetName val="Staff_Acco_"/>
      <sheetName val="TBAL9697_-group_wise__sdpl"/>
      <sheetName val="[SHOPLIST.xls]70_x0000_,/0_x0000_s«_x0008_i_x0000_Æø_x0003_í¬"/>
      <sheetName val="[SHOPLIST.xls]70,/0s«iÆøí¬i"/>
      <sheetName val="ConferenceCentre?옰ʒ䄂ʒ鵠ʐ䄂ʒ閐̐脭め_x0005__x0000_"/>
      <sheetName val="UOM"/>
      <sheetName val="PROJECT BRIEF(EX.NEW)"/>
      <sheetName val="TESİSAT"/>
      <sheetName val="Definitions"/>
      <sheetName val="MEP"/>
      <sheetName val="IRR"/>
      <sheetName val="[SHOPLIST.xls]70_x0000_,/0_x0000_s« i_x0000_Æø í¬"/>
      <sheetName val="Selections"/>
      <sheetName val="Sheet7"/>
      <sheetName val="AREA OF APPLICATION"/>
      <sheetName val="Steel"/>
      <sheetName val="PE"/>
      <sheetName val="Coding"/>
      <sheetName val="Рабочий_лист"/>
      <sheetName val="LIST_DO_NOT_REMOVE1"/>
      <sheetName val="Project_Cost_Breakdown"/>
      <sheetName val="B6_2_1"/>
      <sheetName val="Annex_1_Sect_3a"/>
      <sheetName val="Annex_1_Sect_3a_1"/>
      <sheetName val="Annex_1_Sect_3b"/>
      <sheetName val="Annex_1_Sect_3c"/>
      <sheetName val="HOURLY_RATES"/>
      <sheetName val="Item-_Compact"/>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isk Breakdown Structure"/>
      <sheetName val="Header"/>
      <sheetName val="Lookup"/>
      <sheetName val="PTS-1"/>
      <sheetName val="Geneí¬ i"/>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PNTEXT"/>
      <sheetName val="steel total"/>
      <sheetName val="ELE BOQ"/>
      <sheetName val="Materials_Cost(PCC)5"/>
      <sheetName val="India_F&amp;S_Template5"/>
      <sheetName val="IO_LIST5"/>
      <sheetName val="Material_5"/>
      <sheetName val="Quote_Sheet5"/>
      <sheetName val="BOQ_Direct_selling_cost5"/>
      <sheetName val="PRECAST_lightconc-II5"/>
      <sheetName val="final_abstract5"/>
      <sheetName val="Labour_&amp;_Plant"/>
      <sheetName val="Geneí¬i___0_"/>
      <sheetName val="70_,_0_s«i_Æøí¬i_"/>
      <sheetName val="Ave_wtd_rates"/>
      <sheetName val="Debits_as_on_12_04_08"/>
      <sheetName val="STAFFSCHED_"/>
      <sheetName val="TRIAL_BALANCE"/>
      <sheetName val="[SHOPLIST_xls][SHOPLIST_xls]70"/>
      <sheetName val="[SHOPLIST_xls][SHOPLIST_xls]70,"/>
      <sheetName val="Common_Variables"/>
      <sheetName val="[SHOPLIST_xls]70,/0s«iÆøí¬"/>
      <sheetName val="[SHOPLIST_xls]70,/0s«iÆøí¬i"/>
      <sheetName val="GPL_Revenu_Update"/>
      <sheetName val="DO_NOT_TOUCH"/>
      <sheetName val="Work_Type"/>
      <sheetName val="ConferenceCentre?옰ʒ䄂ʒ鵠ʐ䄂ʒ閐̐脭め"/>
      <sheetName val="PROJECT_BRIEF(EX_NEW)"/>
      <sheetName val="ￒlￒmￒnￒaￒSￒmￒaￒy"/>
      <sheetName val="CostPlan"/>
      <sheetName val="Database"/>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Risk_Breakdown_Structure"/>
      <sheetName val="AREA_OF_APPLICATION"/>
      <sheetName val="Z- GENERAL PRICE SUMMARY"/>
      <sheetName val="INDEX"/>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1-G1"/>
      <sheetName val="instructions"/>
      <sheetName val="Summ"/>
      <sheetName val="Architect"/>
      <sheetName val="Resumo Empreitadas"/>
      <sheetName val="Payment"/>
      <sheetName val="Inpu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gen"/>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BaseWeight"/>
      <sheetName val="VIABILITY"/>
      <sheetName val="calculation_LC"/>
      <sheetName val="금융비용"/>
      <sheetName val="Home"/>
      <sheetName val="Floor Box "/>
      <sheetName val="PPA Summary"/>
      <sheetName val="Interior"/>
      <sheetName val="Mix Design"/>
      <sheetName val="std-rates"/>
      <sheetName val="[SHOPLIST.xls]/VW"/>
      <sheetName val="[SHOPLIST.xls]/VWVU))tÏØ0  "/>
      <sheetName val="[SHOPLIST.xls]/VWVU))tÏØ0__"/>
      <sheetName val="Vendors"/>
      <sheetName val="analysis"/>
      <sheetName val="Equipment Rates"/>
      <sheetName val="Food"/>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Z-_GENERAL_PRICE_SUMMARY"/>
      <sheetName val="Resumo_Empreitadas"/>
      <sheetName val="PPA_Summary"/>
      <sheetName val="Mix_Design"/>
      <sheetName val="%_prog_figs_-u5_and_total"/>
      <sheetName val="Gra¦)_x0"/>
      <sheetName val="_VWVU)_x"/>
      <sheetName val="_VWVU))tÏØ0__1"/>
      <sheetName val="Floor_Box_"/>
      <sheetName val="Cashflow projection"/>
      <sheetName val="dv_info"/>
      <sheetName val="Floor_Box_1"/>
      <sheetName val="[SHOPLIST.xls]/VW_x0000_VU_x0000_)_x0000__x0000__x0000_)_x0000__x0000__x0000_"/>
      <sheetName val="[SHOPLIST.xls][SHOPLIST.xls][SH"/>
      <sheetName val="FORM5"/>
      <sheetName val="E H - H. W.P."/>
      <sheetName val="E. H. Treatment for pile cap"/>
      <sheetName val="SRC-B3U2"/>
      <sheetName val="Equip"/>
      <sheetName val="[SHOPLIST.xls][SHOPLIST.xls]70_"/>
      <sheetName val="Internet"/>
      <sheetName val="superseded"/>
      <sheetName val="Confidential"/>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AC"/>
      <sheetName val="C1ㅇ"/>
      <sheetName val="Dash board"/>
      <sheetName val="ACC"/>
      <sheetName val="70,"/>
      <sheetName val="ConferenceCentre?옰ʒ䄂ʒ鵠ʐ䄂ʒ閐̐脭め_x0005_"/>
      <sheetName val="[SHOPLIST.xls]70"/>
      <sheetName val="[SHOPLIST.xls]70,"/>
      <sheetName val="Rates"/>
      <sheetName val="Final"/>
      <sheetName val="Base BM-rebar"/>
      <sheetName val="Materials "/>
      <sheetName val="Labour"/>
      <sheetName val="MAchinery(R1)"/>
      <sheetName val="Site Dev BOQ"/>
      <sheetName val="Labour Costs"/>
      <sheetName val="opstat"/>
      <sheetName val="costs"/>
      <sheetName val="Data Sheet"/>
      <sheetName val="allowances"/>
      <sheetName val="tender allowances"/>
      <sheetName val=" Summary BKG 034"/>
      <sheetName val="BILL 3R"/>
      <sheetName val="anti-termite"/>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Projects"/>
      <sheetName val="1.2 Staff Schedule"/>
      <sheetName val="Bill.10"/>
      <sheetName val="[SHOPLIST.xls]/VWVU))tÏØ0__1"/>
      <sheetName val="[SHOPLIST.xls]/VWVU))tÏØ0__2"/>
      <sheetName val="[SHOPLIST.xls]/VWVU))tÏØ0__3"/>
      <sheetName val="[SHOPLIST.xls]70,/0s«_iÆø_í¬_i"/>
      <sheetName val="[SHOPLIST.xls]70?,/0?s«i?Æøí¬i?"/>
      <sheetName val="CSC"/>
      <sheetName val="BLOCK-A (MEA.SHEET)"/>
      <sheetName val="1_2_Staff_Schedule"/>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Equipment_Rates"/>
      <sheetName val="Cashflow_projection"/>
      <sheetName val="[SHOPLIST_xls][SHOPLIST_xls]70_"/>
      <sheetName val="[SHOPLIST_xls]/VWVU))"/>
      <sheetName val="E_H_-_H__W_P_"/>
      <sheetName val="E__H__Treatment_for_pile_cap"/>
      <sheetName val="[SHOPLIST_xls][SHOPLIST_xls][SH"/>
      <sheetName val="Site_Dev_BOQ"/>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Dropdowns"/>
      <sheetName val="Attach 4-18"/>
      <sheetName val="TTL"/>
      <sheetName val="做法表"/>
      <sheetName val="_SHOPLIST.xls_70"/>
      <sheetName val="_SHOPLIST.xls_70,_0s«iÆøí¬i"/>
      <sheetName val="door"/>
      <sheetName val="window"/>
      <sheetName val="Material&amp;equipment"/>
      <sheetName val="A1-Continuous"/>
      <sheetName val="sheet6"/>
      <sheetName val="Ewaan Show Kitchen (2)"/>
      <sheetName val="Cash Flow Working"/>
      <sheetName val="MN T.B."/>
      <sheetName val="COMPLEXALL"/>
      <sheetName val="AREAS"/>
      <sheetName val="Labour Rate "/>
      <sheetName val="(M+L)"/>
      <sheetName val="Names&amp;Cases"/>
      <sheetName val="Data I (2)"/>
      <sheetName val="rEFERENCES "/>
      <sheetName val="DIV2"/>
      <sheetName val="DIV3"/>
      <sheetName val="DIV4"/>
      <sheetName val="DIV7"/>
      <sheetName val="DIV9"/>
      <sheetName val="KAP-2_C1_ALBAHA_GRID_POINT_NGL"/>
      <sheetName val="SO"/>
      <sheetName val="Qtys ZamZam (Del. before)"/>
      <sheetName val="Qtys Relocation (Del before)"/>
      <sheetName val=" Qtys Sub &amp; Tents (Del. before)"/>
      <sheetName val="Qtys  Signages (Del. before)"/>
      <sheetName val="Qtys Temporary Passages (Del)"/>
      <sheetName val=" Qtys Ser. Rooms (Del before)"/>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Hic_150EOffice"/>
      <sheetName val="Results"/>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DATI_CONS"/>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Config-C"/>
      <sheetName val="Service"/>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Balance Sheet"/>
      <sheetName val="Flight-1"/>
      <sheetName val="Estimation"/>
      <sheetName val="Finansal tamamlanma Eğrisi"/>
      <sheetName val="2 Plex"/>
      <sheetName val="Sheet1 (2)"/>
      <sheetName val="4 Plex"/>
      <sheetName val="6 Plex "/>
      <sheetName val="Detailed Summary"/>
      <sheetName val="Sheet1 (3)"/>
      <sheetName val="Sheet1 (4)"/>
      <sheetName val="Print"/>
      <sheetName val="May 05"/>
      <sheetName val="April 05"/>
      <sheetName val="Aug 05"/>
      <sheetName val="July 05"/>
      <sheetName val="June 05"/>
      <sheetName val="Nov 05"/>
      <sheetName val="Oct 05"/>
      <sheetName val="Sep 05"/>
      <sheetName val="工程量"/>
      <sheetName val="11"/>
      <sheetName val="Div.07 Thermal &amp; Moisture"/>
      <sheetName val="[SHOPLIST.xls][SHOPLIST.xls]/VW"/>
      <sheetName val="Calculations"/>
      <sheetName val="Bill-1"/>
      <sheetName val="precast RC element"/>
      <sheetName val="pile Fabrication"/>
      <sheetName val="BHANDUP"/>
      <sheetName val="AOP Summary-2"/>
      <sheetName val="02"/>
      <sheetName val="03"/>
      <sheetName val="04"/>
      <sheetName val="01"/>
      <sheetName val="钢筋"/>
      <sheetName val="PLT-SUM"/>
      <sheetName val="Data Validation"/>
      <sheetName val="TOSHIBA-Structure"/>
      <sheetName val="NKC6"/>
      <sheetName val="Div26 - Elect"/>
      <sheetName val="CHUNG CU CARRILON"/>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Tables"/>
      <sheetName val="PRL"/>
      <sheetName val="PB"/>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4"/>
      <sheetName val="LANGUAGE"/>
      <sheetName val="Dropdown List"/>
      <sheetName val="GS"/>
      <sheetName val="1 - Main Building"/>
      <sheetName val="1 - Summary"/>
      <sheetName val="2 - Landscaping Works"/>
      <sheetName val="2 - Summary"/>
      <sheetName val="4 - Bldg Infra"/>
      <sheetName val="4 - Summary"/>
      <sheetName val="New Bld"/>
      <sheetName val="HB CEC schd 4.2"/>
      <sheetName val="HB CEC schd 4.3"/>
      <sheetName val="HB CEC schd 5.2"/>
      <sheetName val="HB CEC schd 6.2"/>
      <sheetName val="HB CEC schd 7.2"/>
      <sheetName val="HB CEC schd 9.2"/>
      <sheetName val="Doha Farm"/>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heet Index"/>
      <sheetName val="4"/>
      <sheetName val="Core Data"/>
      <sheetName val="Qty-UG"/>
      <sheetName val="Summary "/>
      <sheetName val="B04-A - DIA SUDEER"/>
      <sheetName val="04D - Tanmyat"/>
      <sheetName val="13- B04-B &amp; C"/>
      <sheetName val=" SITE 09 B04-B&amp;C-AFAQ"/>
      <sheetName val="Trade Summary"/>
      <sheetName val="Report"/>
      <sheetName val="PROCTOR"/>
      <sheetName val="Status Summary"/>
      <sheetName val="Estimate for approval"/>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HWDG"/>
      <sheetName val="Rate_analysis15"/>
      <sheetName val="Finansal_tamamlanma_Eğrisi"/>
      <sheetName val="Balance_Sheet"/>
      <sheetName val="2_Plex"/>
      <sheetName val="Sheet1_(2)"/>
      <sheetName val="4_Plex"/>
      <sheetName val="6_Plex_"/>
      <sheetName val="Detailed_Summary"/>
      <sheetName val="Sheet1_(3)"/>
      <sheetName val="Sheet1_(4)"/>
      <sheetName val="KP1590_E"/>
      <sheetName val="Model"/>
      <sheetName val="CONSTRUCTION COMPONENT"/>
      <sheetName val="ce"/>
      <sheetName val="[SHOPLIST.xls]/VWVU))tÏØ0__5"/>
      <sheetName val="[SHOPLIST.xls]/VWVU))tÏØ0__6"/>
      <sheetName val="[SHOPLIST.xls]/VWVU))tÏØ0__7"/>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Cost_any"/>
      <sheetName val="Set"/>
      <sheetName val="L3-WBS Mapping"/>
      <sheetName val="BAFO CCL Submission"/>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_for_approval"/>
      <sheetName val="PDT(L)1"/>
      <sheetName val="ARBQ"/>
      <sheetName val="CIF COST ITEM"/>
      <sheetName val="Rates for public areas"/>
      <sheetName val="Abs PMRL"/>
      <sheetName val="slipsumpR"/>
      <sheetName val="Specialist"/>
      <sheetName val="Manpower"/>
      <sheetName val="Deliverables"/>
      <sheetName val="[SHOPLIST.xls][SH"/>
      <sheetName val="[SHOPLIST.xls]70_"/>
      <sheetName val="70,/0s«iÆøí¬i1"/>
      <sheetName val="70,/0s«_iÆø_í¬"/>
      <sheetName val="70,/0s«iÆøí¬i2"/>
      <sheetName val="70,/0s«iÆøí¬i3"/>
      <sheetName val="New_Bld"/>
      <sheetName val="DDL"/>
      <sheetName val="SCHEDULE"/>
      <sheetName val="Recon Template"/>
      <sheetName val="공문"/>
      <sheetName val="[SHOPLIST.xls]/VWVU))tÏØ0__8"/>
      <sheetName val="[SHOPLIST.xls]/VWVU))tÏØ0__9"/>
      <sheetName val="Master data"/>
      <sheetName val="Build-up"/>
      <sheetName val="P1926-H2B Pkg 2A&amp;2B"/>
      <sheetName val="P1940-H2B Pkg 1 Guestrooms"/>
      <sheetName val="P1929-DHCT"/>
      <sheetName val="税费"/>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Laundry"/>
      <sheetName val="Comp equip"/>
      <sheetName val="Section_by_layers_old"/>
      <sheetName val="Steel-Circular"/>
      <sheetName val="Backup"/>
      <sheetName val="piedathot"/>
      <sheetName val="projcasflo"/>
      <sheetName val="supdata"/>
      <sheetName val="devbud"/>
      <sheetName val="[SHOPLIST.xls]70_x0000_,/0_x0000_s«_x0008_i_x"/>
      <sheetName val="Pivots"/>
      <sheetName val="Basic Rate"/>
      <sheetName val="MASTER_RATE ANALYSIS"/>
      <sheetName val="BQLIST"/>
      <sheetName val="Det_Des"/>
      <sheetName val="DRUM"/>
      <sheetName val="P-Sum-Cab"/>
      <sheetName val="S"/>
      <sheetName val="EE-PROP"/>
      <sheetName val="MAIN SUMMARY"/>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B2-DV No.02"/>
      <sheetName val="BOQ.1.92"/>
      <sheetName val="T&amp;M"/>
      <sheetName val="Other Cost Norms"/>
      <sheetName val="집계표"/>
      <sheetName val="개시대사 (2)"/>
      <sheetName val="Sheet_Index"/>
      <sheetName val="[SHOPLIST.xls]/VWVU))tÏØ0__10"/>
      <sheetName val="[SHOPLIST.xls]/VWVU))tÏØ0__11"/>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electrical"/>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ICM"/>
      <sheetName val="[SHOPLIST_xls]/VWVU))tÏØ0  "/>
      <sheetName val="Staff"/>
      <sheetName val="Staff OLD "/>
      <sheetName val="Account Codes"/>
      <sheetName val="[SHOPLIST_xls][SH"/>
      <sheetName val="Portfolio List"/>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gii"/>
      <sheetName val="CPA33-34"/>
      <sheetName val="Indices"/>
      <sheetName val="conc-foot-gradeslab"/>
      <sheetName val="المعادلات"/>
      <sheetName val="[SHOPLIST.xls]70,/0s«iÆøí¬"/>
      <sheetName val="L (4)"/>
      <sheetName val="Initial Data"/>
      <sheetName val="Package Status"/>
      <sheetName val="3"/>
      <sheetName val="SLHW"/>
      <sheetName val="Process"/>
      <sheetName val="Refinery"/>
      <sheetName val="Fructose"/>
      <sheetName val="Utilities"/>
      <sheetName val="Pipesizes"/>
      <sheetName val="TBEAM"/>
      <sheetName val="Appendix-A -GRAND SUMMARY"/>
      <sheetName val="D9 (New Rate)"/>
      <sheetName val="Validation"/>
      <sheetName val=" Estimate  "/>
      <sheetName val="Equip."/>
      <sheetName val="Book1"/>
      <sheetName val="6.2 Floor Finishes"/>
      <sheetName val="Grand Summary "/>
      <sheetName val="Bill No.01 - GI "/>
      <sheetName val="combined "/>
      <sheetName val="summary-Optional "/>
      <sheetName val="B14.02 "/>
      <sheetName val="B21"/>
      <sheetName val="B22"/>
      <sheetName val="B27"/>
      <sheetName val="Prov.Sum "/>
      <sheetName val="Ref Arch"/>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Cumulative Rail "/>
      <sheetName val="WATER DUCT - IC 21"/>
      <sheetName val="Ledger"/>
      <sheetName val="Data "/>
      <sheetName val="[SHOPLIST.xls]70___0_s__i_____2"/>
      <sheetName val="[SHOPLIST.xls]_VW__VU_________2"/>
      <sheetName val="[SHOPLIST.xls]_VW__VU_________3"/>
      <sheetName val="Asset Desc"/>
      <sheetName val="[SHOPLIST_xls][SHOPLIST_xls]/VW"/>
      <sheetName val="[SHOPLIST.xls]70,/0s«i_x"/>
      <sheetName val="MATERIALS"/>
      <sheetName val="Gene��_x0008_i_x0000__x0000__x0014__x0000_0."/>
      <sheetName val="70_x0000_,/0_x0000_s�_x0008_i_x0000_��_x0003_��_x0008_i_x0000_"/>
      <sheetName val="Top_sh_x0000__x0000__x0001_Ԁ"/>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Core_Data"/>
      <sheetName val="BOQ_1_92"/>
      <sheetName val="CIF_COST_ITEM"/>
      <sheetName val="Rates_for_public_areas"/>
      <sheetName val="[SHOPLIST_xls]/VWVU))tÏØ0__62"/>
      <sheetName val="[SHOPLIST_xls]/VWVU))tÏØ0__63"/>
      <sheetName val="Abs_PMRL"/>
      <sheetName val="Recon_Template"/>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P1926-H2B_Pkg_2A&amp;2B"/>
      <sheetName val="P1940-H2B_Pkg_1_Guestrooms"/>
      <sheetName val="B2-DV_No_02"/>
      <sheetName val="[SHOPLIST_xls]70,/0s«i_x"/>
      <sheetName val="Ref_Arch"/>
      <sheetName val="Data_"/>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WIP"/>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BoQ-22-8-2019"/>
      <sheetName val="Tech"/>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VWVU))"/>
      <sheetName val="701"/>
      <sheetName val="70,1"/>
      <sheetName val="[SHOPLIST_xls][S1"/>
      <sheetName val="702"/>
      <sheetName val="70,2"/>
      <sheetName val="[SHOPLIST_xls][S2"/>
      <sheetName val="National"/>
      <sheetName val="Top_s灨ὔ밀ὔ턀"/>
      <sheetName val="Top_s๨ꫝ_x0000__x0000_퀀"/>
      <sheetName val="IO"/>
      <sheetName val="FAL intern"/>
      <sheetName val="Weekly"/>
      <sheetName val="S-Curve Update"/>
      <sheetName val="Electrical_database"/>
      <sheetName val="Wordsdata"/>
      <sheetName val="TABLO-3"/>
      <sheetName val="Transport"/>
      <sheetName val="Indirect"/>
      <sheetName val="Comp_equip"/>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BQMPALOC"/>
      <sheetName val="COLUMNS"/>
      <sheetName val="VESSELS "/>
      <sheetName val="[SHOPLIST.xls][SHOPLIST.xls]70?"/>
      <sheetName val="Drop down"/>
      <sheetName val="BORDGC"/>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SH"/>
      <sheetName val="70_"/>
      <sheetName val="703"/>
      <sheetName val="70,/0s«iÆøí¬i4"/>
      <sheetName val="[SHOPLIST.xls]/VW"/>
      <sheetName val="70,/0s«iÆøí¬i5"/>
      <sheetName val="Micro"/>
      <sheetName val="Detail Pag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8.0 Programme"/>
      <sheetName val="FLOOR AND CEILING"/>
      <sheetName val="area comp 2011 01 18 (2)"/>
      <sheetName val="Bill3-Basement"/>
      <sheetName val="drop down lists"/>
      <sheetName val="PH 5"/>
      <sheetName val="BM"/>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SHOPLIST.xls]7_2"/>
      <sheetName val="[SHOPLIST.xls][SHOPLIST.xls]7_3"/>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Démol."/>
      <sheetName val="Ravalement"/>
      <sheetName val="GAE8'97"/>
      <sheetName val="Overall"/>
      <sheetName val="Gene��_x0008_i"/>
      <sheetName val="Top_sh"/>
      <sheetName val="ورقة2"/>
      <sheetName val="LTR-2"/>
      <sheetName val="[SHOPLIST.xls]70_x005f_x0000___0_x0_2"/>
      <sheetName val="[SHOPLIST.xls]70___0_s__i_____3"/>
      <sheetName val="[SHOPLIST.xls]70___0_s__i_____4"/>
      <sheetName val="[SHOPLIST.xls][SHOPLIST.xls]7_4"/>
      <sheetName val="[SHOPLIST.xls][SHOPLIST_xls]7_2"/>
      <sheetName val="[SHOPLIST.xls][SHOPLIST_xls]7_3"/>
      <sheetName val="[SHOPLIST.xls][SHOPLIST.xls]__2"/>
      <sheetName val="[SHOPLIST.xls][SHOPLIST_xls]7_4"/>
      <sheetName val="[SHOPLIST.xls][SHOPLIST_xls]7_5"/>
      <sheetName val="[SHOPLIST.xls][SHOPLIST.xls]__3"/>
      <sheetName val="[SHOPLIST.xls][SHOPLIST.xls]__4"/>
      <sheetName val="[SHOPLIST.xls][SHOPLIST.xls]__5"/>
      <sheetName val="[SHOPLIST.xls][SHOPLIST.xls]__6"/>
      <sheetName val="[SHOPLIST.xls][SHOPLIST.xls]__7"/>
      <sheetName val="[SHOPLIST.xls][SHOPLIST.xls]__8"/>
      <sheetName val="[SHOPLIST.xls][SHOPLIST.xls]7_5"/>
      <sheetName val="[SHOPLIST.xls][SHOPLIST.xls]7_6"/>
      <sheetName val="[SHOPLIST.xls][SHOPLIST.xls]__9"/>
      <sheetName val="[SHOPLIST.xls][SHOPLIST_xls]7_6"/>
      <sheetName val="[SHOPLIST.xls][SHOPLIST_xls]7_7"/>
      <sheetName val="[SHOPLIST.xls][SHOPLIST_xls]7_8"/>
      <sheetName val="[SHOPLIST.xls][SHOPLIST.xls]_10"/>
      <sheetName val="[SHOPLIST.xls][SHOPLIST.xls]_11"/>
      <sheetName val="[SHOPLIST.xls][SHOPLIST.xls]_12"/>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3"/>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xls]7_7"/>
      <sheetName val="[SHOPLIST.xls][SHOPLIST.xls]_14"/>
      <sheetName val="[SHOPLIST.xls][SHOPLIST.xls]_15"/>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VWVU))"/>
      <sheetName val="[SHOPLIST.xls]_SHOPLIST_xls_103"/>
      <sheetName val="intr_stool_brkup_x0000_"/>
      <sheetName val="Landscape No.1"/>
      <sheetName val="MEP No.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ConferenceCentre_옰ʒ䄂ʒ鵠ʐ䄂ʒ閐̐脭め_x0005_"/>
      <sheetName val="예가표"/>
      <sheetName val="Trade_Summary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SHOPLIST_xls]/VWVU))tÏØ0__72"/>
      <sheetName val="[SHOPLIST_xls][SHOPLIST_xls]/V1"/>
      <sheetName val="[SHOPLIST_xls][SH1"/>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Item List OLD"/>
      <sheetName val="KEYFIGURES"/>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Bill 3 Boutique"/>
      <sheetName val="BREAKDOWN"/>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omp_equip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_Estimate__"/>
      <sheetName val="Equip_"/>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SHOPLIST_xls]70_x005f_x0000_,/0_x000"/>
      <sheetName val="SI_22"/>
      <sheetName val="TO_List"/>
      <sheetName val="CCTV_DATA"/>
      <sheetName val="_boaboard_(1)"/>
      <sheetName val="Gene��i0_"/>
      <sheetName val="70,/0s�i����i"/>
      <sheetName val="Top_shԀ"/>
      <sheetName val="Detail_Page"/>
      <sheetName val="Cost Heaࡤing"/>
      <sheetName val="Income Statement"/>
      <sheetName val="FAL_intern"/>
      <sheetName val="SI_221"/>
      <sheetName val="TO_List1"/>
      <sheetName val="CCTV_DATA1"/>
      <sheetName val="FAL_intern1"/>
      <sheetName val="SI_222"/>
      <sheetName val="TO_List2"/>
      <sheetName val="CCTV_DATA2"/>
      <sheetName val="FAL_intern2"/>
      <sheetName val="Kur"/>
      <sheetName val="HAKEDİŞ "/>
      <sheetName val="keşif özeti"/>
      <sheetName val="Katsayılar"/>
      <sheetName val="[SHOPLIST.xls]70,/0s«iÆøí¬i4"/>
      <sheetName val="[SHOPLIST.xls]70,/0s«iÆøí¬i5"/>
      <sheetName val="[SHOPLIST.xls]/VWVU))tÏØ0__21"/>
      <sheetName val="[SHOPLIST.xls]/VWVU))tÏØ0__20"/>
      <sheetName val="[SHOPLIST.xls]70,/0s�i����i"/>
      <sheetName val="[SHOPLIST.xls]/VWVU))tÏØ0__23"/>
      <sheetName val="[SHOPLIST.xls]/VWVU))tÏØ0__22"/>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Calendar"/>
      <sheetName val="Sheet9"/>
      <sheetName val="Materials Cost"/>
      <sheetName val="djfx"/>
      <sheetName val="FEVA"/>
      <sheetName val="HO Costs"/>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Product Sheet40"/>
      <sheetName val="HSBC"/>
      <sheetName val="REBAR"/>
      <sheetName val="Cost Summary"/>
      <sheetName val="Cost Summary SD"/>
      <sheetName val="Schedule S-Curve Revision#3"/>
      <sheetName val="2.223M_due to adj profit"/>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SHOPLIST_xls]70,/0s«_iÆø_í¬1"/>
      <sheetName val="[SHOPLIST_xls]70,/0s«iÆøí¬i21"/>
      <sheetName val="[SHOPLIST_xls]70,/0s«iÆøí¬i31"/>
      <sheetName val="[SHOPLIST_xls]70,/0s«_iÆø_í¬2"/>
      <sheetName val="[SHOPLIST_xls]70,/0s«iÆøí¬i22"/>
      <sheetName val="[SHOPLIST_xls]70,/0s«iÆøí¬i32"/>
      <sheetName val="[SHOPLIST_xls]70,/0s«i_x1"/>
      <sheetName val="foot-slab_rein_x0000__x0000_"/>
      <sheetName val="foot-slab_reinø_x0006_"/>
      <sheetName val="foot-slab_reinÝ¥"/>
      <sheetName val="foot-slab_reinP"/>
      <sheetName val="SUM-AIR-Submit"/>
      <sheetName val="Schedules PL"/>
      <sheetName val="Schedules BS"/>
      <sheetName val="Summary-margin calc"/>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_x0000_,/0_x000"/>
      <sheetName val="B.Room W.Done Progress"/>
      <sheetName val="SUMMARY (ROOM)"/>
      <sheetName val="W.D Prgress Public area"/>
      <sheetName val="SUMMARY Public"/>
      <sheetName val="Comparision"/>
      <sheetName val="Cost Rates"/>
      <sheetName val="LOOKUP(MM)"/>
      <sheetName val="간접비내역-1"/>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Total PrC-Goldi"/>
      <sheetName val="วัดใต้"/>
      <sheetName val="B-2"/>
      <sheetName val="total"/>
      <sheetName val="Price List"/>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inter"/>
      <sheetName val="1-Summary"/>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GRAPH_DATA"/>
      <sheetName val=" N Finansal Eğri"/>
      <sheetName val="MSH51C"/>
      <sheetName val="hiddenSheet"/>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Detail_Page1"/>
      <sheetName val="Non-Positioin Summary"/>
      <sheetName val="Mnhr Book Updated 11.10.2018"/>
      <sheetName val="プロジェクト概要"/>
      <sheetName val="foot-slab_rein"/>
      <sheetName val="STOCKWTG"/>
      <sheetName val="POLY"/>
      <sheetName val="Advance Recovery"/>
      <sheetName val="SC Cost FEB 03"/>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DVM Sizing Calculator- 10 ips "/>
      <sheetName val="BT3-Package 05"/>
      <sheetName val="BOQ-Civil"/>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BULD_3"/>
      <sheetName val="BLOCK_K"/>
      <sheetName val="제출내역_(2)"/>
      <sheetName val="satış planı (2)"/>
      <sheetName val="Tahsilat"/>
      <sheetName val="REQ_REMARKS"/>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oW_Assess_Blank_Form"/>
      <sheetName val="VO_Breakdown"/>
      <sheetName val="Measurement_Sheet"/>
      <sheetName val="Schedule_of_Drawings"/>
      <sheetName val="SI_Schedule"/>
      <sheetName val="ContraCharge_Schedule"/>
      <sheetName val="[SHOPLIST_xls][SHOPLIST_xls]70?"/>
      <sheetName val="Spacing_of_Delineators"/>
      <sheetName val="SoW_Assess_Blank_Form1"/>
      <sheetName val="VO_Breakdown1"/>
      <sheetName val="Measurement_Sheet1"/>
      <sheetName val="Schedule_of_Drawings1"/>
      <sheetName val="SI_Schedule1"/>
      <sheetName val="ContraCharge_Schedule1"/>
      <sheetName val="VESSELS_1"/>
      <sheetName val="Mp-team 1"/>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Item_List_OLD"/>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P-Ins_&amp;_Bonds1"/>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URA-C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1 Summary"/>
      <sheetName val="co-no.2"/>
      <sheetName val="Lstsub"/>
      <sheetName val="Arch"/>
      <sheetName val="DB"/>
      <sheetName val="DIRLBR"/>
      <sheetName val="2.0 Cover Sum"/>
      <sheetName val="G29A"/>
      <sheetName val="PRO_DCI"/>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Fdat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footing for SP"/>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Sheet"/>
      <sheetName val="14267"/>
      <sheetName val="shuttering"/>
      <sheetName val="CFS3"/>
      <sheetName val="Structured Cabling"/>
      <sheetName val="IS"/>
      <sheetName val="Configurations"/>
      <sheetName val="Technical"/>
      <sheetName val="BUR"/>
      <sheetName val="FSA"/>
      <sheetName val="Services_InitialEst_UtilityServ"/>
      <sheetName val="70_x005f_x0000_,/0_x005f_x0000_"/>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ll BGL List"/>
      <sheetName val="Budget Config"/>
      <sheetName val="All Department List"/>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辽电初设_XLS_定额"/>
      <sheetName val="Msw-study"/>
      <sheetName val="BF2001"/>
      <sheetName val="شهادة الدفع"/>
      <sheetName val="Lucas1"/>
      <sheetName val="Lucas2"/>
      <sheetName val="Lucas4"/>
      <sheetName val="Lucas3"/>
      <sheetName val="Dropdown Lists"/>
      <sheetName val="Matl"/>
      <sheetName val="h-013211-2"/>
      <sheetName val="12. Ins &amp; Bonds"/>
      <sheetName val="3. Staff Facilities"/>
      <sheetName val="11. Clients Requirements"/>
      <sheetName val="Legal Risk Analysis"/>
      <sheetName val="Utility Summary"/>
      <sheetName val="Dropdown Attributes"/>
      <sheetName val="DCF_5"/>
      <sheetName val="US Ship Repair Industry Growth"/>
      <sheetName val="Market Overview"/>
      <sheetName val="US Shipyard Repair Output"/>
      <sheetName val="Charts"/>
      <sheetName val="LBO"/>
      <sheetName val="Summary Financials"/>
      <sheetName val="PLUMBING WORK ADDITIONS"/>
      <sheetName val="MPC"/>
      <sheetName val="[SHOPLIST_xls]70,/0s«_iÆø_í¬3"/>
      <sheetName val="[SHOPLIST_xls]70,/0s«iÆøí¬i23"/>
      <sheetName val="[SHOPLIST_xls]70,/0s«iÆøí¬i33"/>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calcul"/>
      <sheetName val="eval"/>
      <sheetName val=" Est "/>
      <sheetName val="B100-Cable Rack"/>
      <sheetName val="4.1 G Ammount"/>
      <sheetName val="Costcal"/>
      <sheetName val="1-Excavation"/>
      <sheetName val="2-Substructure"/>
      <sheetName val="3-Concrete"/>
      <sheetName val="4-Masonry"/>
      <sheetName val="5-Thermal &amp; Moisture"/>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24"/>
      <sheetName val="[SHOPLIST_xls]70___0_s__i____26"/>
      <sheetName val="[SHOPLIST_xls]70,/0s�i����i"/>
      <sheetName val="bkg"/>
      <sheetName val="cbrd460"/>
      <sheetName val="bcl"/>
      <sheetName val="Front Sheet"/>
      <sheetName val="Indirect Costs"/>
      <sheetName val="sc"/>
      <sheetName val="Attachment 1"/>
      <sheetName val="[SHOPLIST.xls]/VWVU))tÏØ0__61"/>
      <sheetName val="[SHOPLIST.xls]/VWVU))tÏØ0__71"/>
      <sheetName val="foot-slab_rein_x000c__x0002_"/>
      <sheetName val="PROGRAM"/>
      <sheetName val="Staffing Plan"/>
      <sheetName val="PASARELA"/>
      <sheetName val="DESCRIPTIONS"/>
      <sheetName val="2.2 STAFF Scedule"/>
      <sheetName val="Gra¦_x005f_x0004_)"/>
      <sheetName val="Geneí¬_x005f_x0008_i??_x005f_x0014_?0."/>
      <sheetName val="Geneí¬_x005f_x0008_i___x005f_x0014__0."/>
      <sheetName val="BoatTMP"/>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IPL_SCHEDULE"/>
      <sheetName val="HAKEDİŞ_"/>
      <sheetName val="keşif_özeti"/>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Cost_Rates"/>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2_0_Cover_Sum"/>
      <sheetName val="Macro_custom_function"/>
      <sheetName val="_N_Finansal_Eğri"/>
      <sheetName val="EST"/>
      <sheetName val="Income_Statement1"/>
      <sheetName val="BT3-Package_05"/>
      <sheetName val="Cost_Any."/>
      <sheetName val="CAUSTIC"/>
      <sheetName val="pri-com"/>
      <sheetName val="Detail In Door Stad"/>
      <sheetName val="8. Cover"/>
      <sheetName val="GEN-TEC-02"/>
      <sheetName val="EPI Directo"/>
      <sheetName val="INSTRUCTIVO"/>
      <sheetName val="0-Datos de la Obra"/>
      <sheetName val="Gastos Generales"/>
      <sheetName val="1.1. Manpower(Data Ref)"/>
      <sheetName val="Total  Amount"/>
      <sheetName val="PMP"/>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1. Scenario Manager"/>
      <sheetName val="Joseph_Record4"/>
      <sheetName val="_boaboard_(1)3"/>
      <sheetName val="#3E1_GCR"/>
      <sheetName val="BOQ LT"/>
      <sheetName val="BP"/>
      <sheetName val="Abstract-2"/>
      <sheetName val="Shor &amp; Shuter"/>
      <sheetName val="nVisio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ConferenceCentre______________2"/>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2.0 Section 2 Cover"/>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ection(0)Preliminaries"/>
      <sheetName val="Section(1)Demolition"/>
      <sheetName val="Section(2)Exca "/>
      <sheetName val="Back"/>
      <sheetName val="jobhis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sheetData sheetId="518"/>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sheetData sheetId="541"/>
      <sheetData sheetId="542"/>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refreshError="1"/>
      <sheetData sheetId="904"/>
      <sheetData sheetId="905"/>
      <sheetData sheetId="906"/>
      <sheetData sheetId="907"/>
      <sheetData sheetId="908"/>
      <sheetData sheetId="909"/>
      <sheetData sheetId="910"/>
      <sheetData sheetId="911"/>
      <sheetData sheetId="912" refreshError="1"/>
      <sheetData sheetId="913" refreshError="1"/>
      <sheetData sheetId="914" refreshError="1"/>
      <sheetData sheetId="915" refreshError="1"/>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refreshError="1"/>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sheetData sheetId="1066"/>
      <sheetData sheetId="1067" refreshError="1"/>
      <sheetData sheetId="1068" refreshError="1"/>
      <sheetData sheetId="1069" refreshError="1"/>
      <sheetData sheetId="1070" refreshError="1"/>
      <sheetData sheetId="1071" refreshError="1"/>
      <sheetData sheetId="1072"/>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sheetData sheetId="1086"/>
      <sheetData sheetId="1087"/>
      <sheetData sheetId="1088"/>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refreshError="1"/>
      <sheetData sheetId="1098" refreshError="1"/>
      <sheetData sheetId="1099" refreshError="1"/>
      <sheetData sheetId="1100" refreshError="1"/>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refreshError="1"/>
      <sheetData sheetId="1129"/>
      <sheetData sheetId="1130"/>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refreshError="1"/>
      <sheetData sheetId="1305" refreshError="1"/>
      <sheetData sheetId="1306" refreshError="1"/>
      <sheetData sheetId="1307" refreshError="1"/>
      <sheetData sheetId="1308" refreshError="1"/>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sheetData sheetId="1345"/>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refreshError="1"/>
      <sheetData sheetId="1370" refreshError="1"/>
      <sheetData sheetId="1371" refreshError="1"/>
      <sheetData sheetId="1372" refreshError="1"/>
      <sheetData sheetId="1373" refreshError="1"/>
      <sheetData sheetId="1374" refreshError="1"/>
      <sheetData sheetId="1375"/>
      <sheetData sheetId="1376"/>
      <sheetData sheetId="1377"/>
      <sheetData sheetId="1378" refreshError="1"/>
      <sheetData sheetId="1379"/>
      <sheetData sheetId="1380"/>
      <sheetData sheetId="1381"/>
      <sheetData sheetId="1382" refreshError="1"/>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sheetData sheetId="1717"/>
      <sheetData sheetId="1718"/>
      <sheetData sheetId="1719"/>
      <sheetData sheetId="1720"/>
      <sheetData sheetId="1721" refreshError="1"/>
      <sheetData sheetId="1722"/>
      <sheetData sheetId="1723"/>
      <sheetData sheetId="1724"/>
      <sheetData sheetId="1725" refreshError="1"/>
      <sheetData sheetId="1726" refreshError="1"/>
      <sheetData sheetId="1727" refreshError="1"/>
      <sheetData sheetId="1728" refreshError="1"/>
      <sheetData sheetId="1729" refreshError="1"/>
      <sheetData sheetId="1730" refreshError="1"/>
      <sheetData sheetId="1731" refreshError="1"/>
      <sheetData sheetId="1732"/>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sheetData sheetId="1747" refreshError="1"/>
      <sheetData sheetId="1748" refreshError="1"/>
      <sheetData sheetId="1749" refreshError="1"/>
      <sheetData sheetId="1750" refreshError="1"/>
      <sheetData sheetId="1751" refreshError="1"/>
      <sheetData sheetId="1752"/>
      <sheetData sheetId="1753" refreshError="1"/>
      <sheetData sheetId="1754" refreshError="1"/>
      <sheetData sheetId="1755"/>
      <sheetData sheetId="1756"/>
      <sheetData sheetId="1757"/>
      <sheetData sheetId="1758" refreshError="1"/>
      <sheetData sheetId="1759" refreshError="1"/>
      <sheetData sheetId="1760" refreshError="1"/>
      <sheetData sheetId="1761" refreshError="1"/>
      <sheetData sheetId="1762"/>
      <sheetData sheetId="1763"/>
      <sheetData sheetId="1764" refreshError="1"/>
      <sheetData sheetId="1765"/>
      <sheetData sheetId="1766"/>
      <sheetData sheetId="1767"/>
      <sheetData sheetId="1768"/>
      <sheetData sheetId="1769"/>
      <sheetData sheetId="1770"/>
      <sheetData sheetId="1771"/>
      <sheetData sheetId="1772"/>
      <sheetData sheetId="1773"/>
      <sheetData sheetId="1774"/>
      <sheetData sheetId="1775" refreshError="1"/>
      <sheetData sheetId="1776"/>
      <sheetData sheetId="1777"/>
      <sheetData sheetId="1778" refreshError="1"/>
      <sheetData sheetId="1779" refreshError="1"/>
      <sheetData sheetId="1780"/>
      <sheetData sheetId="1781"/>
      <sheetData sheetId="1782"/>
      <sheetData sheetId="1783" refreshError="1"/>
      <sheetData sheetId="1784" refreshError="1"/>
      <sheetData sheetId="1785" refreshError="1"/>
      <sheetData sheetId="1786" refreshError="1"/>
      <sheetData sheetId="1787" refreshError="1"/>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refreshError="1"/>
      <sheetData sheetId="2069" refreshError="1"/>
      <sheetData sheetId="2070" refreshError="1"/>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refreshError="1"/>
      <sheetData sheetId="2333" refreshError="1"/>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refreshError="1"/>
      <sheetData sheetId="2618" refreshError="1"/>
      <sheetData sheetId="2619" refreshError="1"/>
      <sheetData sheetId="2620" refreshError="1"/>
      <sheetData sheetId="2621" refreshError="1"/>
      <sheetData sheetId="2622" refreshError="1"/>
      <sheetData sheetId="2623" refreshError="1"/>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refreshError="1"/>
      <sheetData sheetId="2896"/>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sheetData sheetId="2921"/>
      <sheetData sheetId="2922" refreshError="1"/>
      <sheetData sheetId="2923" refreshError="1"/>
      <sheetData sheetId="2924" refreshError="1"/>
      <sheetData sheetId="2925" refreshError="1"/>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refreshError="1"/>
      <sheetData sheetId="3207" refreshError="1"/>
      <sheetData sheetId="3208"/>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refreshError="1"/>
      <sheetData sheetId="3224" refreshError="1"/>
      <sheetData sheetId="3225"/>
      <sheetData sheetId="3226"/>
      <sheetData sheetId="3227"/>
      <sheetData sheetId="3228"/>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sheetData sheetId="3253"/>
      <sheetData sheetId="3254"/>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sheetData sheetId="3302"/>
      <sheetData sheetId="3303"/>
      <sheetData sheetId="3304"/>
      <sheetData sheetId="3305"/>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refreshError="1"/>
      <sheetData sheetId="4326" refreshError="1"/>
      <sheetData sheetId="4327" refreshError="1"/>
      <sheetData sheetId="4328" refreshError="1"/>
      <sheetData sheetId="4329" refreshError="1"/>
      <sheetData sheetId="4330" refreshError="1"/>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sheetData sheetId="4457"/>
      <sheetData sheetId="4458"/>
      <sheetData sheetId="4459" refreshError="1"/>
      <sheetData sheetId="4460" refreshError="1"/>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refreshError="1"/>
      <sheetData sheetId="4745"/>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refreshError="1"/>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sheetData sheetId="7015"/>
      <sheetData sheetId="7016"/>
      <sheetData sheetId="7017"/>
      <sheetData sheetId="7018"/>
      <sheetData sheetId="7019"/>
      <sheetData sheetId="7020"/>
      <sheetData sheetId="7021"/>
      <sheetData sheetId="7022"/>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sheetData sheetId="7421" refreshError="1"/>
      <sheetData sheetId="7422"/>
      <sheetData sheetId="7423" refreshError="1"/>
      <sheetData sheetId="7424"/>
      <sheetData sheetId="7425"/>
      <sheetData sheetId="7426"/>
      <sheetData sheetId="7427"/>
      <sheetData sheetId="7428"/>
      <sheetData sheetId="7429"/>
      <sheetData sheetId="7430"/>
      <sheetData sheetId="7431" refreshError="1"/>
      <sheetData sheetId="7432" refreshError="1"/>
      <sheetData sheetId="7433" refreshError="1"/>
      <sheetData sheetId="7434"/>
      <sheetData sheetId="7435"/>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sheetData sheetId="7454"/>
      <sheetData sheetId="7455"/>
      <sheetData sheetId="7456"/>
      <sheetData sheetId="7457"/>
      <sheetData sheetId="7458" refreshError="1"/>
      <sheetData sheetId="7459" refreshError="1"/>
      <sheetData sheetId="7460" refreshError="1"/>
      <sheetData sheetId="7461" refreshError="1"/>
      <sheetData sheetId="7462" refreshError="1"/>
      <sheetData sheetId="7463" refreshError="1"/>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refreshError="1"/>
      <sheetData sheetId="7503"/>
      <sheetData sheetId="7504"/>
      <sheetData sheetId="7505"/>
      <sheetData sheetId="7506"/>
      <sheetData sheetId="7507"/>
      <sheetData sheetId="7508"/>
      <sheetData sheetId="7509"/>
      <sheetData sheetId="7510"/>
      <sheetData sheetId="7511"/>
      <sheetData sheetId="7512"/>
      <sheetData sheetId="7513" refreshError="1"/>
      <sheetData sheetId="7514" refreshError="1"/>
      <sheetData sheetId="7515" refreshError="1"/>
      <sheetData sheetId="7516"/>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sheetData sheetId="7576"/>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refreshError="1"/>
      <sheetData sheetId="7626" refreshError="1"/>
      <sheetData sheetId="7627" refreshError="1"/>
      <sheetData sheetId="7628" refreshError="1"/>
      <sheetData sheetId="7629" refreshError="1"/>
      <sheetData sheetId="7630" refreshError="1"/>
      <sheetData sheetId="7631"/>
      <sheetData sheetId="7632"/>
      <sheetData sheetId="7633"/>
      <sheetData sheetId="7634" refreshError="1"/>
      <sheetData sheetId="7635" refreshError="1"/>
      <sheetData sheetId="7636" refreshError="1"/>
      <sheetData sheetId="7637" refreshError="1"/>
      <sheetData sheetId="7638" refreshError="1"/>
      <sheetData sheetId="7639" refreshError="1"/>
      <sheetData sheetId="7640"/>
      <sheetData sheetId="7641" refreshError="1"/>
      <sheetData sheetId="7642" refreshError="1"/>
      <sheetData sheetId="7643" refreshError="1"/>
      <sheetData sheetId="7644" refreshError="1"/>
      <sheetData sheetId="7645"/>
      <sheetData sheetId="7646"/>
      <sheetData sheetId="7647" refreshError="1"/>
      <sheetData sheetId="7648" refreshError="1"/>
      <sheetData sheetId="7649"/>
      <sheetData sheetId="7650"/>
      <sheetData sheetId="7651"/>
      <sheetData sheetId="7652"/>
      <sheetData sheetId="7653" refreshError="1"/>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refreshError="1"/>
      <sheetData sheetId="7670"/>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sheetData sheetId="7701"/>
      <sheetData sheetId="7702"/>
      <sheetData sheetId="7703"/>
      <sheetData sheetId="7704" refreshError="1"/>
      <sheetData sheetId="7705" refreshError="1"/>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refreshError="1"/>
      <sheetData sheetId="7736"/>
      <sheetData sheetId="7737" refreshError="1"/>
      <sheetData sheetId="7738" refreshError="1"/>
      <sheetData sheetId="7739" refreshError="1"/>
      <sheetData sheetId="7740" refreshError="1"/>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refreshError="1"/>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refreshError="1"/>
      <sheetData sheetId="7859"/>
      <sheetData sheetId="7860"/>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refreshError="1"/>
      <sheetData sheetId="7916" refreshError="1"/>
      <sheetData sheetId="7917" refreshError="1"/>
      <sheetData sheetId="7918" refreshError="1"/>
      <sheetData sheetId="7919" refreshError="1"/>
      <sheetData sheetId="7920"/>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sheetData sheetId="7940"/>
      <sheetData sheetId="7941"/>
      <sheetData sheetId="7942"/>
      <sheetData sheetId="7943"/>
      <sheetData sheetId="7944"/>
      <sheetData sheetId="7945"/>
      <sheetData sheetId="7946"/>
      <sheetData sheetId="7947"/>
      <sheetData sheetId="7948" refreshError="1"/>
      <sheetData sheetId="7949" refreshError="1"/>
      <sheetData sheetId="7950"/>
      <sheetData sheetId="7951"/>
      <sheetData sheetId="7952"/>
      <sheetData sheetId="7953"/>
      <sheetData sheetId="7954"/>
      <sheetData sheetId="7955"/>
      <sheetData sheetId="7956"/>
      <sheetData sheetId="7957"/>
      <sheetData sheetId="7958"/>
      <sheetData sheetId="7959"/>
      <sheetData sheetId="7960"/>
      <sheetData sheetId="7961" refreshError="1"/>
      <sheetData sheetId="7962" refreshError="1"/>
      <sheetData sheetId="7963"/>
      <sheetData sheetId="7964" refreshError="1"/>
      <sheetData sheetId="7965" refreshError="1"/>
      <sheetData sheetId="7966" refreshError="1"/>
      <sheetData sheetId="7967" refreshError="1"/>
      <sheetData sheetId="7968"/>
      <sheetData sheetId="7969" refreshError="1"/>
      <sheetData sheetId="7970"/>
      <sheetData sheetId="7971"/>
      <sheetData sheetId="7972" refreshError="1"/>
      <sheetData sheetId="7973" refreshError="1"/>
      <sheetData sheetId="7974" refreshError="1"/>
      <sheetData sheetId="7975" refreshError="1"/>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refreshError="1"/>
      <sheetData sheetId="8341"/>
      <sheetData sheetId="8342"/>
      <sheetData sheetId="8343"/>
      <sheetData sheetId="8344"/>
      <sheetData sheetId="8345"/>
      <sheetData sheetId="8346"/>
      <sheetData sheetId="8347"/>
      <sheetData sheetId="8348"/>
      <sheetData sheetId="8349"/>
      <sheetData sheetId="8350"/>
      <sheetData sheetId="8351"/>
      <sheetData sheetId="8352" refreshError="1"/>
      <sheetData sheetId="8353" refreshError="1"/>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refreshError="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refreshError="1"/>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sheetData sheetId="8544"/>
      <sheetData sheetId="8545"/>
      <sheetData sheetId="8546"/>
      <sheetData sheetId="8547"/>
      <sheetData sheetId="8548"/>
      <sheetData sheetId="8549"/>
      <sheetData sheetId="8550"/>
      <sheetData sheetId="8551"/>
      <sheetData sheetId="8552"/>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sheetData sheetId="8572"/>
      <sheetData sheetId="8573" refreshError="1"/>
      <sheetData sheetId="8574" refreshError="1"/>
      <sheetData sheetId="8575" refreshError="1"/>
      <sheetData sheetId="8576" refreshError="1"/>
      <sheetData sheetId="8577" refreshError="1"/>
      <sheetData sheetId="8578" refreshError="1"/>
      <sheetData sheetId="8579" refreshError="1"/>
      <sheetData sheetId="8580"/>
      <sheetData sheetId="8581"/>
      <sheetData sheetId="8582"/>
      <sheetData sheetId="8583"/>
      <sheetData sheetId="8584" refreshError="1"/>
      <sheetData sheetId="8585" refreshError="1"/>
      <sheetData sheetId="8586" refreshError="1"/>
      <sheetData sheetId="8587" refreshError="1"/>
      <sheetData sheetId="8588"/>
      <sheetData sheetId="8589"/>
      <sheetData sheetId="8590"/>
      <sheetData sheetId="8591"/>
      <sheetData sheetId="8592"/>
      <sheetData sheetId="8593"/>
      <sheetData sheetId="8594"/>
      <sheetData sheetId="8595"/>
      <sheetData sheetId="8596"/>
      <sheetData sheetId="8597"/>
      <sheetData sheetId="8598" refreshError="1"/>
      <sheetData sheetId="8599" refreshError="1"/>
      <sheetData sheetId="8600" refreshError="1"/>
      <sheetData sheetId="8601" refreshError="1"/>
      <sheetData sheetId="8602" refreshError="1"/>
      <sheetData sheetId="8603" refreshError="1"/>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sheetData sheetId="8657"/>
      <sheetData sheetId="8658"/>
      <sheetData sheetId="8659"/>
      <sheetData sheetId="8660"/>
      <sheetData sheetId="8661"/>
      <sheetData sheetId="8662"/>
      <sheetData sheetId="8663"/>
      <sheetData sheetId="8664"/>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sheetData sheetId="8749" refreshError="1"/>
      <sheetData sheetId="8750" refreshError="1"/>
      <sheetData sheetId="8751" refreshError="1"/>
      <sheetData sheetId="8752" refreshError="1"/>
      <sheetData sheetId="8753"/>
      <sheetData sheetId="8754"/>
      <sheetData sheetId="8755" refreshError="1"/>
      <sheetData sheetId="8756" refreshError="1"/>
      <sheetData sheetId="8757" refreshError="1"/>
      <sheetData sheetId="8758" refreshError="1"/>
      <sheetData sheetId="8759"/>
      <sheetData sheetId="8760"/>
      <sheetData sheetId="8761"/>
      <sheetData sheetId="8762"/>
      <sheetData sheetId="8763"/>
      <sheetData sheetId="8764"/>
      <sheetData sheetId="8765"/>
      <sheetData sheetId="8766"/>
      <sheetData sheetId="8767" refreshError="1"/>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refreshError="1"/>
      <sheetData sheetId="8792" refreshError="1"/>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refreshError="1"/>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sheetData sheetId="8902" refreshError="1"/>
      <sheetData sheetId="8903" refreshError="1"/>
      <sheetData sheetId="8904"/>
      <sheetData sheetId="8905"/>
      <sheetData sheetId="8906"/>
      <sheetData sheetId="8907"/>
      <sheetData sheetId="8908"/>
      <sheetData sheetId="8909"/>
      <sheetData sheetId="8910"/>
      <sheetData sheetId="8911" refreshError="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refreshError="1"/>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refreshError="1"/>
      <sheetData sheetId="9034" refreshError="1"/>
      <sheetData sheetId="9035"/>
      <sheetData sheetId="9036"/>
      <sheetData sheetId="9037"/>
      <sheetData sheetId="9038"/>
      <sheetData sheetId="9039" refreshError="1"/>
      <sheetData sheetId="9040" refreshError="1"/>
      <sheetData sheetId="9041" refreshError="1"/>
      <sheetData sheetId="9042" refreshError="1"/>
      <sheetData sheetId="9043"/>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sheetData sheetId="9055"/>
      <sheetData sheetId="9056"/>
      <sheetData sheetId="9057"/>
      <sheetData sheetId="9058"/>
      <sheetData sheetId="9059"/>
      <sheetData sheetId="9060"/>
      <sheetData sheetId="9061"/>
      <sheetData sheetId="9062" refreshError="1"/>
      <sheetData sheetId="9063" refreshError="1"/>
      <sheetData sheetId="9064" refreshError="1"/>
      <sheetData sheetId="9065" refreshError="1"/>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refreshError="1"/>
      <sheetData sheetId="9087" refreshError="1"/>
      <sheetData sheetId="9088" refreshError="1"/>
      <sheetData sheetId="9089" refreshError="1"/>
      <sheetData sheetId="9090" refreshError="1"/>
      <sheetData sheetId="9091" refreshError="1"/>
      <sheetData sheetId="9092"/>
      <sheetData sheetId="9093"/>
      <sheetData sheetId="9094" refreshError="1"/>
      <sheetData sheetId="9095" refreshError="1"/>
      <sheetData sheetId="9096"/>
      <sheetData sheetId="9097"/>
      <sheetData sheetId="9098"/>
      <sheetData sheetId="9099"/>
      <sheetData sheetId="9100" refreshError="1"/>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efreshError="1"/>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refreshError="1"/>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refreshError="1"/>
      <sheetData sheetId="9204" refreshError="1"/>
      <sheetData sheetId="9205"/>
      <sheetData sheetId="9206"/>
      <sheetData sheetId="9207"/>
      <sheetData sheetId="9208"/>
      <sheetData sheetId="9209"/>
      <sheetData sheetId="9210" refreshError="1"/>
      <sheetData sheetId="9211"/>
      <sheetData sheetId="9212"/>
      <sheetData sheetId="9213"/>
      <sheetData sheetId="9214"/>
      <sheetData sheetId="9215" refreshError="1"/>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sheetData sheetId="9243"/>
      <sheetData sheetId="9244" refreshError="1"/>
      <sheetData sheetId="9245" refreshError="1"/>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refreshError="1"/>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refreshError="1"/>
      <sheetData sheetId="9354" refreshError="1"/>
      <sheetData sheetId="9355"/>
      <sheetData sheetId="9356" refreshError="1"/>
      <sheetData sheetId="9357" refreshError="1"/>
      <sheetData sheetId="9358"/>
      <sheetData sheetId="9359" refreshError="1"/>
      <sheetData sheetId="9360" refreshError="1"/>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refreshError="1"/>
      <sheetData sheetId="9948" refreshError="1"/>
      <sheetData sheetId="9949" refreshError="1"/>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sheetData sheetId="9982" refreshError="1"/>
      <sheetData sheetId="9983" refreshError="1"/>
      <sheetData sheetId="9984" refreshError="1"/>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sheetData sheetId="10071"/>
      <sheetData sheetId="10072"/>
      <sheetData sheetId="10073"/>
      <sheetData sheetId="10074"/>
      <sheetData sheetId="10075"/>
      <sheetData sheetId="10076"/>
      <sheetData sheetId="10077"/>
      <sheetData sheetId="10078"/>
      <sheetData sheetId="10079"/>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refreshError="1"/>
      <sheetData sheetId="10380" refreshError="1"/>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refreshError="1"/>
      <sheetData sheetId="11442"/>
      <sheetData sheetId="11443"/>
      <sheetData sheetId="11444"/>
      <sheetData sheetId="11445"/>
      <sheetData sheetId="11446"/>
      <sheetData sheetId="11447"/>
      <sheetData sheetId="11448"/>
      <sheetData sheetId="11449"/>
      <sheetData sheetId="11450"/>
      <sheetData sheetId="11451" refreshError="1"/>
      <sheetData sheetId="11452"/>
      <sheetData sheetId="11453"/>
      <sheetData sheetId="11454"/>
      <sheetData sheetId="11455"/>
      <sheetData sheetId="11456"/>
      <sheetData sheetId="11457"/>
      <sheetData sheetId="11458"/>
      <sheetData sheetId="11459"/>
      <sheetData sheetId="11460"/>
      <sheetData sheetId="11461"/>
      <sheetData sheetId="11462" refreshError="1"/>
      <sheetData sheetId="11463" refreshError="1"/>
      <sheetData sheetId="11464" refreshError="1"/>
      <sheetData sheetId="11465" refreshError="1"/>
      <sheetData sheetId="11466" refreshError="1"/>
      <sheetData sheetId="11467" refreshError="1"/>
      <sheetData sheetId="11468"/>
      <sheetData sheetId="11469"/>
      <sheetData sheetId="11470"/>
      <sheetData sheetId="11471"/>
      <sheetData sheetId="11472"/>
      <sheetData sheetId="11473"/>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sheetData sheetId="11486"/>
      <sheetData sheetId="11487"/>
      <sheetData sheetId="11488"/>
      <sheetData sheetId="11489"/>
      <sheetData sheetId="11490"/>
      <sheetData sheetId="11491" refreshError="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refreshError="1"/>
      <sheetData sheetId="11559"/>
      <sheetData sheetId="11560"/>
      <sheetData sheetId="11561" refreshError="1"/>
      <sheetData sheetId="11562" refreshError="1"/>
      <sheetData sheetId="11563" refreshError="1"/>
      <sheetData sheetId="11564" refreshError="1"/>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refreshError="1"/>
      <sheetData sheetId="11578"/>
      <sheetData sheetId="11579"/>
      <sheetData sheetId="11580"/>
      <sheetData sheetId="11581"/>
      <sheetData sheetId="11582"/>
      <sheetData sheetId="11583"/>
      <sheetData sheetId="11584"/>
      <sheetData sheetId="11585"/>
      <sheetData sheetId="11586"/>
      <sheetData sheetId="11587"/>
      <sheetData sheetId="11588" refreshError="1"/>
      <sheetData sheetId="11589"/>
      <sheetData sheetId="11590"/>
      <sheetData sheetId="11591" refreshError="1"/>
      <sheetData sheetId="11592"/>
      <sheetData sheetId="11593" refreshError="1"/>
      <sheetData sheetId="11594" refreshError="1"/>
      <sheetData sheetId="11595" refreshError="1"/>
      <sheetData sheetId="11596" refreshError="1"/>
      <sheetData sheetId="11597"/>
      <sheetData sheetId="11598"/>
      <sheetData sheetId="11599"/>
      <sheetData sheetId="11600"/>
      <sheetData sheetId="11601"/>
      <sheetData sheetId="11602"/>
      <sheetData sheetId="11603"/>
      <sheetData sheetId="11604"/>
      <sheetData sheetId="11605" refreshError="1"/>
      <sheetData sheetId="11606" refreshError="1"/>
      <sheetData sheetId="11607" refreshError="1"/>
      <sheetData sheetId="11608" refreshError="1"/>
      <sheetData sheetId="11609" refreshError="1"/>
      <sheetData sheetId="11610" refreshError="1"/>
      <sheetData sheetId="11611"/>
      <sheetData sheetId="11612" refreshError="1"/>
      <sheetData sheetId="11613" refreshError="1"/>
      <sheetData sheetId="11614" refreshError="1"/>
      <sheetData sheetId="11615" refreshError="1"/>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refreshError="1"/>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refreshError="1"/>
      <sheetData sheetId="11760" refreshError="1"/>
      <sheetData sheetId="11761" refreshError="1"/>
      <sheetData sheetId="11762" refreshError="1"/>
      <sheetData sheetId="11763"/>
      <sheetData sheetId="11764"/>
      <sheetData sheetId="11765"/>
      <sheetData sheetId="11766"/>
      <sheetData sheetId="11767"/>
      <sheetData sheetId="11768"/>
      <sheetData sheetId="11769"/>
      <sheetData sheetId="11770"/>
      <sheetData sheetId="11771"/>
      <sheetData sheetId="11772" refreshError="1"/>
      <sheetData sheetId="11773" refreshError="1"/>
      <sheetData sheetId="11774" refreshError="1"/>
      <sheetData sheetId="11775" refreshError="1"/>
      <sheetData sheetId="11776" refreshError="1"/>
      <sheetData sheetId="11777" refreshError="1"/>
      <sheetData sheetId="11778"/>
      <sheetData sheetId="11779"/>
      <sheetData sheetId="11780" refreshError="1"/>
      <sheetData sheetId="11781" refreshError="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efreshError="1"/>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sheetData sheetId="11950"/>
      <sheetData sheetId="11951"/>
      <sheetData sheetId="11952"/>
      <sheetData sheetId="11953"/>
      <sheetData sheetId="11954"/>
      <sheetData sheetId="11955"/>
      <sheetData sheetId="11956"/>
      <sheetData sheetId="11957"/>
      <sheetData sheetId="11958"/>
      <sheetData sheetId="11959"/>
      <sheetData sheetId="11960" refreshError="1"/>
      <sheetData sheetId="11961" refreshError="1"/>
      <sheetData sheetId="11962" refreshError="1"/>
      <sheetData sheetId="11963" refreshError="1"/>
      <sheetData sheetId="11964"/>
      <sheetData sheetId="11965"/>
      <sheetData sheetId="11966" refreshError="1"/>
      <sheetData sheetId="11967" refreshError="1"/>
      <sheetData sheetId="11968" refreshError="1"/>
      <sheetData sheetId="11969" refreshError="1"/>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sheetData sheetId="12886"/>
      <sheetData sheetId="12887"/>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sheetData sheetId="12898"/>
      <sheetData sheetId="12899"/>
      <sheetData sheetId="12900"/>
      <sheetData sheetId="1290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sheetData sheetId="13025" refreshError="1"/>
      <sheetData sheetId="13026" refreshError="1"/>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refreshError="1"/>
      <sheetData sheetId="13089"/>
      <sheetData sheetId="13090" refreshError="1"/>
      <sheetData sheetId="13091" refreshError="1"/>
      <sheetData sheetId="13092"/>
      <sheetData sheetId="13093"/>
      <sheetData sheetId="13094"/>
      <sheetData sheetId="13095"/>
      <sheetData sheetId="13096"/>
      <sheetData sheetId="13097"/>
      <sheetData sheetId="13098"/>
      <sheetData sheetId="13099"/>
      <sheetData sheetId="13100"/>
      <sheetData sheetId="13101"/>
      <sheetData sheetId="13102" refreshError="1"/>
      <sheetData sheetId="13103"/>
      <sheetData sheetId="13104"/>
      <sheetData sheetId="13105"/>
      <sheetData sheetId="13106" refreshError="1"/>
      <sheetData sheetId="13107"/>
      <sheetData sheetId="13108"/>
      <sheetData sheetId="13109"/>
      <sheetData sheetId="13110"/>
      <sheetData sheetId="13111"/>
      <sheetData sheetId="13112"/>
      <sheetData sheetId="13113"/>
      <sheetData sheetId="13114"/>
      <sheetData sheetId="13115"/>
      <sheetData sheetId="13116"/>
      <sheetData sheetId="13117"/>
      <sheetData sheetId="13118" refreshError="1"/>
      <sheetData sheetId="13119" refreshError="1"/>
      <sheetData sheetId="13120" refreshError="1"/>
      <sheetData sheetId="13121" refreshError="1"/>
      <sheetData sheetId="13122" refreshError="1"/>
      <sheetData sheetId="13123" refreshError="1"/>
      <sheetData sheetId="13124"/>
      <sheetData sheetId="13125"/>
      <sheetData sheetId="13126"/>
      <sheetData sheetId="13127"/>
      <sheetData sheetId="13128" refreshError="1"/>
      <sheetData sheetId="13129" refreshError="1"/>
      <sheetData sheetId="13130"/>
      <sheetData sheetId="13131"/>
      <sheetData sheetId="13132"/>
      <sheetData sheetId="13133" refreshError="1"/>
      <sheetData sheetId="13134" refreshError="1"/>
      <sheetData sheetId="13135" refreshError="1"/>
      <sheetData sheetId="13136" refreshError="1"/>
      <sheetData sheetId="13137"/>
      <sheetData sheetId="13138"/>
      <sheetData sheetId="13139"/>
      <sheetData sheetId="13140"/>
      <sheetData sheetId="13141"/>
      <sheetData sheetId="13142"/>
      <sheetData sheetId="13143"/>
      <sheetData sheetId="13144" refreshError="1"/>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refreshError="1"/>
      <sheetData sheetId="13160" refreshError="1"/>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refreshError="1"/>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refreshError="1"/>
      <sheetData sheetId="13188" refreshError="1"/>
      <sheetData sheetId="13189" refreshError="1"/>
      <sheetData sheetId="13190" refreshError="1"/>
      <sheetData sheetId="13191" refreshError="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refreshError="1"/>
      <sheetData sheetId="13268"/>
      <sheetData sheetId="13269" refreshError="1"/>
      <sheetData sheetId="13270" refreshError="1"/>
      <sheetData sheetId="13271"/>
      <sheetData sheetId="13272" refreshError="1"/>
      <sheetData sheetId="13273" refreshError="1"/>
      <sheetData sheetId="13274"/>
      <sheetData sheetId="13275"/>
      <sheetData sheetId="13276"/>
      <sheetData sheetId="13277"/>
      <sheetData sheetId="13278"/>
      <sheetData sheetId="13279"/>
      <sheetData sheetId="13280"/>
      <sheetData sheetId="13281"/>
      <sheetData sheetId="13282"/>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refreshError="1"/>
      <sheetData sheetId="13313" refreshError="1"/>
      <sheetData sheetId="13314" refreshError="1"/>
      <sheetData sheetId="13315" refreshError="1"/>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refreshError="1"/>
      <sheetData sheetId="13346"/>
      <sheetData sheetId="13347" refreshError="1"/>
      <sheetData sheetId="13348"/>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sheetData sheetId="14070" refreshError="1"/>
      <sheetData sheetId="14071"/>
      <sheetData sheetId="14072"/>
      <sheetData sheetId="14073"/>
      <sheetData sheetId="14074" refreshError="1"/>
      <sheetData sheetId="14075" refreshError="1"/>
      <sheetData sheetId="14076" refreshError="1"/>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refreshError="1"/>
      <sheetData sheetId="14323"/>
      <sheetData sheetId="14324"/>
      <sheetData sheetId="14325" refreshError="1"/>
      <sheetData sheetId="14326" refreshError="1"/>
      <sheetData sheetId="14327" refreshError="1"/>
      <sheetData sheetId="14328" refreshError="1"/>
      <sheetData sheetId="14329" refreshError="1"/>
      <sheetData sheetId="14330" refreshError="1"/>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refreshError="1"/>
      <sheetData sheetId="14350" refreshError="1"/>
      <sheetData sheetId="14351" refreshError="1"/>
      <sheetData sheetId="14352" refreshError="1"/>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refreshError="1"/>
      <sheetData sheetId="14377" refreshError="1"/>
      <sheetData sheetId="14378" refreshError="1"/>
      <sheetData sheetId="14379" refreshError="1"/>
      <sheetData sheetId="14380" refreshError="1"/>
      <sheetData sheetId="14381" refreshError="1"/>
      <sheetData sheetId="14382"/>
      <sheetData sheetId="14383" refreshError="1"/>
      <sheetData sheetId="14384" refreshError="1"/>
      <sheetData sheetId="14385"/>
      <sheetData sheetId="14386"/>
      <sheetData sheetId="14387"/>
      <sheetData sheetId="14388"/>
      <sheetData sheetId="14389"/>
      <sheetData sheetId="14390"/>
      <sheetData sheetId="14391"/>
      <sheetData sheetId="14392"/>
      <sheetData sheetId="14393"/>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sheetData sheetId="15485"/>
      <sheetData sheetId="15486"/>
      <sheetData sheetId="15487"/>
      <sheetData sheetId="15488"/>
      <sheetData sheetId="15489"/>
      <sheetData sheetId="15490"/>
      <sheetData sheetId="15491"/>
      <sheetData sheetId="15492"/>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refreshError="1"/>
      <sheetData sheetId="15627" refreshError="1"/>
      <sheetData sheetId="15628" refreshError="1"/>
      <sheetData sheetId="15629"/>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sheetData sheetId="15697"/>
      <sheetData sheetId="15698"/>
      <sheetData sheetId="15699"/>
      <sheetData sheetId="15700"/>
      <sheetData sheetId="15701"/>
      <sheetData sheetId="15702"/>
      <sheetData sheetId="15703"/>
      <sheetData sheetId="15704"/>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sheetData sheetId="16001"/>
      <sheetData sheetId="16002"/>
      <sheetData sheetId="16003"/>
      <sheetData sheetId="16004"/>
      <sheetData sheetId="16005" refreshError="1"/>
      <sheetData sheetId="16006"/>
      <sheetData sheetId="16007"/>
      <sheetData sheetId="16008"/>
      <sheetData sheetId="16009" refreshError="1"/>
      <sheetData sheetId="16010" refreshError="1"/>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refreshError="1"/>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refreshError="1"/>
      <sheetData sheetId="16119" refreshError="1"/>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sheetData sheetId="16291"/>
      <sheetData sheetId="16292"/>
      <sheetData sheetId="16293"/>
      <sheetData sheetId="16294" refreshError="1"/>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refreshError="1"/>
      <sheetData sheetId="16322" refreshError="1"/>
      <sheetData sheetId="16323"/>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sheetData sheetId="16342" refreshError="1"/>
      <sheetData sheetId="16343" refreshError="1"/>
      <sheetData sheetId="16344"/>
      <sheetData sheetId="16345"/>
      <sheetData sheetId="16346" refreshError="1"/>
      <sheetData sheetId="16347" refreshError="1"/>
      <sheetData sheetId="16348" refreshError="1"/>
      <sheetData sheetId="16349"/>
      <sheetData sheetId="16350" refreshError="1"/>
      <sheetData sheetId="16351"/>
      <sheetData sheetId="16352"/>
      <sheetData sheetId="16353" refreshError="1"/>
      <sheetData sheetId="16354"/>
      <sheetData sheetId="16355"/>
      <sheetData sheetId="16356"/>
      <sheetData sheetId="16357"/>
      <sheetData sheetId="16358"/>
      <sheetData sheetId="16359"/>
      <sheetData sheetId="16360"/>
      <sheetData sheetId="16361"/>
      <sheetData sheetId="16362"/>
      <sheetData sheetId="16363"/>
      <sheetData sheetId="16364" refreshError="1"/>
      <sheetData sheetId="16365" refreshError="1"/>
      <sheetData sheetId="16366" refreshError="1"/>
      <sheetData sheetId="16367" refreshError="1"/>
      <sheetData sheetId="16368" refreshError="1"/>
      <sheetData sheetId="16369" refreshError="1"/>
      <sheetData sheetId="16370"/>
      <sheetData sheetId="16371" refreshError="1"/>
      <sheetData sheetId="16372" refreshError="1"/>
      <sheetData sheetId="16373" refreshError="1"/>
      <sheetData sheetId="16374" refreshError="1"/>
      <sheetData sheetId="16375" refreshError="1"/>
      <sheetData sheetId="16376"/>
      <sheetData sheetId="16377"/>
      <sheetData sheetId="16378"/>
      <sheetData sheetId="16379"/>
      <sheetData sheetId="16380" refreshError="1"/>
      <sheetData sheetId="16381"/>
      <sheetData sheetId="16382"/>
      <sheetData sheetId="16383" refreshError="1"/>
      <sheetData sheetId="16384" refreshError="1"/>
      <sheetData sheetId="16385" refreshError="1"/>
      <sheetData sheetId="16386" refreshError="1"/>
      <sheetData sheetId="16387"/>
      <sheetData sheetId="16388"/>
      <sheetData sheetId="16389"/>
      <sheetData sheetId="16390"/>
      <sheetData sheetId="16391"/>
      <sheetData sheetId="16392"/>
      <sheetData sheetId="16393"/>
      <sheetData sheetId="16394" refreshError="1"/>
      <sheetData sheetId="16395" refreshError="1"/>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refreshError="1"/>
      <sheetData sheetId="16467"/>
      <sheetData sheetId="16468" refreshError="1"/>
      <sheetData sheetId="16469"/>
      <sheetData sheetId="16470"/>
      <sheetData sheetId="16471"/>
      <sheetData sheetId="16472" refreshError="1"/>
      <sheetData sheetId="16473" refreshError="1"/>
      <sheetData sheetId="16474"/>
      <sheetData sheetId="16475"/>
      <sheetData sheetId="16476"/>
      <sheetData sheetId="16477"/>
      <sheetData sheetId="16478"/>
      <sheetData sheetId="16479"/>
      <sheetData sheetId="16480"/>
      <sheetData sheetId="16481"/>
      <sheetData sheetId="16482"/>
      <sheetData sheetId="16483"/>
      <sheetData sheetId="16484" refreshError="1"/>
      <sheetData sheetId="16485"/>
      <sheetData sheetId="16486"/>
      <sheetData sheetId="16487"/>
      <sheetData sheetId="16488"/>
      <sheetData sheetId="16489" refreshError="1"/>
      <sheetData sheetId="16490"/>
      <sheetData sheetId="16491"/>
      <sheetData sheetId="16492" refreshError="1"/>
      <sheetData sheetId="16493" refreshError="1"/>
      <sheetData sheetId="16494" refreshError="1"/>
      <sheetData sheetId="16495" refreshError="1"/>
      <sheetData sheetId="16496"/>
      <sheetData sheetId="16497"/>
      <sheetData sheetId="16498"/>
      <sheetData sheetId="16499"/>
      <sheetData sheetId="16500"/>
      <sheetData sheetId="16501"/>
      <sheetData sheetId="16502"/>
      <sheetData sheetId="16503" refreshError="1"/>
      <sheetData sheetId="16504" refreshError="1"/>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refreshError="1"/>
      <sheetData sheetId="16576" refreshError="1"/>
      <sheetData sheetId="16577" refreshError="1"/>
      <sheetData sheetId="16578" refreshError="1"/>
      <sheetData sheetId="16579" refreshError="1"/>
      <sheetData sheetId="16580" refreshError="1"/>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refreshError="1"/>
      <sheetData sheetId="16739"/>
      <sheetData sheetId="16740"/>
      <sheetData sheetId="16741"/>
      <sheetData sheetId="16742"/>
      <sheetData sheetId="16743"/>
      <sheetData sheetId="16744"/>
      <sheetData sheetId="16745" refreshError="1"/>
      <sheetData sheetId="16746" refreshError="1"/>
      <sheetData sheetId="16747" refreshError="1"/>
      <sheetData sheetId="16748"/>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sheetData sheetId="16824"/>
      <sheetData sheetId="16825"/>
      <sheetData sheetId="16826"/>
      <sheetData sheetId="16827"/>
      <sheetData sheetId="16828"/>
      <sheetData sheetId="16829"/>
      <sheetData sheetId="16830" refreshError="1"/>
      <sheetData sheetId="16831" refreshError="1"/>
      <sheetData sheetId="16832" refreshError="1"/>
      <sheetData sheetId="16833" refreshError="1"/>
      <sheetData sheetId="16834"/>
      <sheetData sheetId="16835"/>
      <sheetData sheetId="16836" refreshError="1"/>
      <sheetData sheetId="16837" refreshError="1"/>
      <sheetData sheetId="16838" refreshError="1"/>
      <sheetData sheetId="16839" refreshError="1"/>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sheetData sheetId="16906"/>
      <sheetData sheetId="16907" refreshError="1"/>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refreshError="1"/>
      <sheetData sheetId="16933" refreshError="1"/>
      <sheetData sheetId="16934" refreshError="1"/>
      <sheetData sheetId="16935" refreshError="1"/>
      <sheetData sheetId="16936" refreshError="1"/>
      <sheetData sheetId="16937" refreshError="1"/>
      <sheetData sheetId="16938"/>
      <sheetData sheetId="16939"/>
      <sheetData sheetId="16940"/>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sheetData sheetId="16949" refreshError="1"/>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refreshError="1"/>
      <sheetData sheetId="17032" refreshError="1"/>
      <sheetData sheetId="17033" refreshError="1"/>
      <sheetData sheetId="17034" refreshError="1"/>
      <sheetData sheetId="17035" refreshError="1"/>
      <sheetData sheetId="17036" refreshError="1"/>
      <sheetData sheetId="17037"/>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sheetData sheetId="17064"/>
      <sheetData sheetId="17065"/>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sheetData sheetId="17780"/>
      <sheetData sheetId="17781"/>
      <sheetData sheetId="17782"/>
      <sheetData sheetId="17783"/>
      <sheetData sheetId="17784"/>
      <sheetData sheetId="17785"/>
      <sheetData sheetId="17786"/>
      <sheetData sheetId="17787"/>
      <sheetData sheetId="17788"/>
      <sheetData sheetId="17789"/>
      <sheetData sheetId="17790"/>
      <sheetData sheetId="17791"/>
      <sheetData sheetId="17792"/>
      <sheetData sheetId="17793"/>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refreshError="1"/>
      <sheetData sheetId="17884"/>
      <sheetData sheetId="17885"/>
      <sheetData sheetId="17886"/>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sheetData sheetId="17907"/>
      <sheetData sheetId="17908"/>
      <sheetData sheetId="17909"/>
      <sheetData sheetId="17910"/>
      <sheetData sheetId="17911"/>
      <sheetData sheetId="17912"/>
      <sheetData sheetId="17913"/>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refreshError="1"/>
      <sheetData sheetId="19368" refreshError="1"/>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refreshError="1"/>
      <sheetData sheetId="19799"/>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sheetData sheetId="19824"/>
      <sheetData sheetId="19825"/>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sheetData sheetId="19920" refreshError="1"/>
      <sheetData sheetId="19921" refreshError="1"/>
      <sheetData sheetId="19922" refreshError="1"/>
      <sheetData sheetId="19923" refreshError="1"/>
      <sheetData sheetId="19924" refreshError="1"/>
      <sheetData sheetId="19925" refreshError="1"/>
      <sheetData sheetId="19926"/>
      <sheetData sheetId="19927"/>
      <sheetData sheetId="19928"/>
      <sheetData sheetId="19929" refreshError="1"/>
      <sheetData sheetId="19930" refreshError="1"/>
      <sheetData sheetId="19931" refreshError="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refreshError="1"/>
      <sheetData sheetId="19958"/>
      <sheetData sheetId="19959"/>
      <sheetData sheetId="19960"/>
      <sheetData sheetId="19961"/>
      <sheetData sheetId="19962"/>
      <sheetData sheetId="19963"/>
      <sheetData sheetId="19964"/>
      <sheetData sheetId="19965"/>
      <sheetData sheetId="19966"/>
      <sheetData sheetId="19967"/>
      <sheetData sheetId="19968" refreshError="1"/>
      <sheetData sheetId="19969"/>
      <sheetData sheetId="19970"/>
      <sheetData sheetId="19971"/>
      <sheetData sheetId="19972"/>
      <sheetData sheetId="19973"/>
      <sheetData sheetId="19974"/>
      <sheetData sheetId="19975"/>
      <sheetData sheetId="19976"/>
      <sheetData sheetId="19977"/>
      <sheetData sheetId="19978"/>
      <sheetData sheetId="19979" refreshError="1"/>
      <sheetData sheetId="19980" refreshError="1"/>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refreshError="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refreshError="1"/>
      <sheetData sheetId="20066"/>
      <sheetData sheetId="20067"/>
      <sheetData sheetId="20068"/>
      <sheetData sheetId="20069" refreshError="1"/>
      <sheetData sheetId="20070" refreshError="1"/>
      <sheetData sheetId="20071" refreshError="1"/>
      <sheetData sheetId="20072" refreshError="1"/>
      <sheetData sheetId="20073" refreshError="1"/>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sheetData sheetId="20189"/>
      <sheetData sheetId="20190"/>
      <sheetData sheetId="20191" refreshError="1"/>
      <sheetData sheetId="20192" refreshError="1"/>
      <sheetData sheetId="20193" refreshError="1"/>
      <sheetData sheetId="20194" refreshError="1"/>
      <sheetData sheetId="20195" refreshError="1"/>
      <sheetData sheetId="20196" refreshError="1"/>
      <sheetData sheetId="20197"/>
      <sheetData sheetId="20198"/>
      <sheetData sheetId="20199"/>
      <sheetData sheetId="20200"/>
      <sheetData sheetId="20201" refreshError="1"/>
      <sheetData sheetId="20202"/>
      <sheetData sheetId="20203"/>
      <sheetData sheetId="20204"/>
      <sheetData sheetId="20205"/>
      <sheetData sheetId="20206" refreshError="1"/>
      <sheetData sheetId="20207"/>
      <sheetData sheetId="20208" refreshError="1"/>
      <sheetData sheetId="20209"/>
      <sheetData sheetId="20210" refreshError="1"/>
      <sheetData sheetId="20211"/>
      <sheetData sheetId="20212"/>
      <sheetData sheetId="20213" refreshError="1"/>
      <sheetData sheetId="20214"/>
      <sheetData sheetId="20215"/>
      <sheetData sheetId="20216"/>
      <sheetData sheetId="20217"/>
      <sheetData sheetId="20218"/>
      <sheetData sheetId="20219"/>
      <sheetData sheetId="20220" refreshError="1"/>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refreshError="1"/>
      <sheetData sheetId="20235" refreshError="1"/>
      <sheetData sheetId="20236"/>
      <sheetData sheetId="20237"/>
      <sheetData sheetId="20238"/>
      <sheetData sheetId="20239"/>
      <sheetData sheetId="20240" refreshError="1"/>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refreshError="1"/>
      <sheetData sheetId="20263"/>
      <sheetData sheetId="20264"/>
      <sheetData sheetId="20265"/>
      <sheetData sheetId="20266"/>
      <sheetData sheetId="20267"/>
      <sheetData sheetId="20268"/>
      <sheetData sheetId="20269"/>
      <sheetData sheetId="20270"/>
      <sheetData sheetId="20271" refreshError="1"/>
      <sheetData sheetId="20272"/>
      <sheetData sheetId="20273"/>
      <sheetData sheetId="20274"/>
      <sheetData sheetId="20275"/>
      <sheetData sheetId="20276"/>
      <sheetData sheetId="20277"/>
      <sheetData sheetId="20278"/>
      <sheetData sheetId="20279"/>
      <sheetData sheetId="20280"/>
      <sheetData sheetId="20281" refreshError="1"/>
      <sheetData sheetId="20282"/>
      <sheetData sheetId="20283"/>
      <sheetData sheetId="20284"/>
      <sheetData sheetId="20285"/>
      <sheetData sheetId="20286"/>
      <sheetData sheetId="20287"/>
      <sheetData sheetId="20288"/>
      <sheetData sheetId="20289"/>
      <sheetData sheetId="20290"/>
      <sheetData sheetId="20291"/>
      <sheetData sheetId="20292" refreshError="1"/>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refreshError="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refreshError="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refreshError="1"/>
      <sheetData sheetId="20345" refreshError="1"/>
      <sheetData sheetId="20346" refreshError="1"/>
      <sheetData sheetId="20347" refreshError="1"/>
      <sheetData sheetId="20348"/>
      <sheetData sheetId="20349"/>
      <sheetData sheetId="20350"/>
      <sheetData sheetId="20351"/>
      <sheetData sheetId="20352" refreshError="1"/>
      <sheetData sheetId="20353" refreshError="1"/>
      <sheetData sheetId="20354" refreshError="1"/>
      <sheetData sheetId="20355"/>
      <sheetData sheetId="20356"/>
      <sheetData sheetId="20357"/>
      <sheetData sheetId="20358"/>
      <sheetData sheetId="20359"/>
      <sheetData sheetId="20360"/>
      <sheetData sheetId="20361"/>
      <sheetData sheetId="20362"/>
      <sheetData sheetId="20363"/>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refreshError="1"/>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refreshError="1"/>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refreshError="1"/>
      <sheetData sheetId="20539" refreshError="1"/>
      <sheetData sheetId="20540"/>
      <sheetData sheetId="20541" refreshError="1"/>
      <sheetData sheetId="20542" refreshError="1"/>
      <sheetData sheetId="20543" refreshError="1"/>
      <sheetData sheetId="20544"/>
      <sheetData sheetId="20545"/>
      <sheetData sheetId="20546"/>
      <sheetData sheetId="20547"/>
      <sheetData sheetId="20548"/>
      <sheetData sheetId="20549"/>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refreshError="1"/>
      <sheetData sheetId="20641" refreshError="1"/>
      <sheetData sheetId="20642" refreshError="1"/>
      <sheetData sheetId="20643" refreshError="1"/>
      <sheetData sheetId="20644" refreshError="1"/>
      <sheetData sheetId="20645" refreshError="1"/>
      <sheetData sheetId="20646"/>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sheetData sheetId="20656"/>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refreshError="1"/>
      <sheetData sheetId="20719" refreshError="1"/>
      <sheetData sheetId="20720" refreshError="1"/>
      <sheetData sheetId="20721"/>
      <sheetData sheetId="20722"/>
      <sheetData sheetId="20723"/>
      <sheetData sheetId="20724" refreshError="1"/>
      <sheetData sheetId="20725"/>
      <sheetData sheetId="20726" refreshError="1"/>
      <sheetData sheetId="20727" refreshError="1"/>
      <sheetData sheetId="20728"/>
      <sheetData sheetId="20729"/>
      <sheetData sheetId="20730"/>
      <sheetData sheetId="20731"/>
      <sheetData sheetId="20732"/>
      <sheetData sheetId="20733"/>
      <sheetData sheetId="20734" refreshError="1"/>
      <sheetData sheetId="20735" refreshError="1"/>
      <sheetData sheetId="20736"/>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refreshError="1"/>
      <sheetData sheetId="21031" refreshError="1"/>
      <sheetData sheetId="21032" refreshError="1"/>
      <sheetData sheetId="21033" refreshError="1"/>
      <sheetData sheetId="21034"/>
      <sheetData sheetId="21035"/>
      <sheetData sheetId="21036" refreshError="1"/>
      <sheetData sheetId="21037" refreshError="1"/>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refreshError="1"/>
      <sheetData sheetId="21054" refreshError="1"/>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refreshError="1"/>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refreshError="1"/>
      <sheetData sheetId="21147" refreshError="1"/>
      <sheetData sheetId="21148" refreshError="1"/>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refreshError="1"/>
      <sheetData sheetId="21304"/>
      <sheetData sheetId="21305"/>
      <sheetData sheetId="21306"/>
      <sheetData sheetId="21307"/>
      <sheetData sheetId="21308"/>
      <sheetData sheetId="21309"/>
      <sheetData sheetId="21310"/>
      <sheetData sheetId="21311"/>
      <sheetData sheetId="21312"/>
      <sheetData sheetId="21313"/>
      <sheetData sheetId="21314"/>
      <sheetData sheetId="21315" refreshError="1"/>
      <sheetData sheetId="21316"/>
      <sheetData sheetId="21317"/>
      <sheetData sheetId="21318"/>
      <sheetData sheetId="21319"/>
      <sheetData sheetId="21320"/>
      <sheetData sheetId="21321" refreshError="1"/>
      <sheetData sheetId="21322" refreshError="1"/>
      <sheetData sheetId="21323" refreshError="1"/>
      <sheetData sheetId="21324" refreshError="1"/>
      <sheetData sheetId="21325" refreshError="1"/>
      <sheetData sheetId="21326"/>
      <sheetData sheetId="21327"/>
      <sheetData sheetId="21328"/>
      <sheetData sheetId="21329"/>
      <sheetData sheetId="21330"/>
      <sheetData sheetId="21331"/>
      <sheetData sheetId="21332"/>
      <sheetData sheetId="21333"/>
      <sheetData sheetId="21334" refreshError="1"/>
      <sheetData sheetId="21335" refreshError="1"/>
      <sheetData sheetId="21336" refreshError="1"/>
      <sheetData sheetId="21337" refreshError="1"/>
      <sheetData sheetId="21338"/>
      <sheetData sheetId="21339"/>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sheetData sheetId="21414"/>
      <sheetData sheetId="21415" refreshError="1"/>
      <sheetData sheetId="21416"/>
      <sheetData sheetId="21417" refreshError="1"/>
      <sheetData sheetId="21418"/>
      <sheetData sheetId="21419"/>
      <sheetData sheetId="21420"/>
      <sheetData sheetId="21421"/>
      <sheetData sheetId="21422"/>
      <sheetData sheetId="21423"/>
      <sheetData sheetId="21424"/>
      <sheetData sheetId="21425"/>
      <sheetData sheetId="21426"/>
      <sheetData sheetId="21427"/>
      <sheetData sheetId="21428"/>
      <sheetData sheetId="21429" refreshError="1"/>
      <sheetData sheetId="21430"/>
      <sheetData sheetId="21431"/>
      <sheetData sheetId="21432"/>
      <sheetData sheetId="21433"/>
      <sheetData sheetId="21434" refreshError="1"/>
      <sheetData sheetId="21435"/>
      <sheetData sheetId="21436"/>
      <sheetData sheetId="21437"/>
      <sheetData sheetId="21438"/>
      <sheetData sheetId="21439"/>
      <sheetData sheetId="21440"/>
      <sheetData sheetId="21441"/>
      <sheetData sheetId="21442"/>
      <sheetData sheetId="21443"/>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sheetData sheetId="21452"/>
      <sheetData sheetId="21453"/>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sheetData sheetId="21528" refreshError="1"/>
      <sheetData sheetId="21529"/>
      <sheetData sheetId="21530" refreshError="1"/>
      <sheetData sheetId="21531"/>
      <sheetData sheetId="21532"/>
      <sheetData sheetId="21533"/>
      <sheetData sheetId="21534"/>
      <sheetData sheetId="21535"/>
      <sheetData sheetId="21536"/>
      <sheetData sheetId="21537"/>
      <sheetData sheetId="21538"/>
      <sheetData sheetId="21539"/>
      <sheetData sheetId="21540"/>
      <sheetData sheetId="21541"/>
      <sheetData sheetId="21542" refreshError="1"/>
      <sheetData sheetId="21543"/>
      <sheetData sheetId="21544"/>
      <sheetData sheetId="21545"/>
      <sheetData sheetId="21546"/>
      <sheetData sheetId="21547" refreshError="1"/>
      <sheetData sheetId="21548"/>
      <sheetData sheetId="21549"/>
      <sheetData sheetId="21550"/>
      <sheetData sheetId="21551"/>
      <sheetData sheetId="21552"/>
      <sheetData sheetId="21553"/>
      <sheetData sheetId="21554"/>
      <sheetData sheetId="21555"/>
      <sheetData sheetId="21556"/>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sheetData sheetId="21565"/>
      <sheetData sheetId="21566"/>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sheetData sheetId="21641" refreshError="1"/>
      <sheetData sheetId="21642"/>
      <sheetData sheetId="21643" refreshError="1"/>
      <sheetData sheetId="21644"/>
      <sheetData sheetId="21645"/>
      <sheetData sheetId="21646"/>
      <sheetData sheetId="21647"/>
      <sheetData sheetId="21648"/>
      <sheetData sheetId="21649"/>
      <sheetData sheetId="21650"/>
      <sheetData sheetId="21651"/>
      <sheetData sheetId="21652"/>
      <sheetData sheetId="21653"/>
      <sheetData sheetId="21654"/>
      <sheetData sheetId="21655" refreshError="1"/>
      <sheetData sheetId="21656"/>
      <sheetData sheetId="21657"/>
      <sheetData sheetId="21658"/>
      <sheetData sheetId="21659"/>
      <sheetData sheetId="21660" refreshError="1"/>
      <sheetData sheetId="21661"/>
      <sheetData sheetId="21662"/>
      <sheetData sheetId="21663"/>
      <sheetData sheetId="21664"/>
      <sheetData sheetId="21665"/>
      <sheetData sheetId="21666"/>
      <sheetData sheetId="21667"/>
      <sheetData sheetId="21668"/>
      <sheetData sheetId="21669"/>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sheetData sheetId="21678"/>
      <sheetData sheetId="21679"/>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sheetData sheetId="21754" refreshError="1"/>
      <sheetData sheetId="21755" refreshError="1"/>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refreshError="1"/>
      <sheetData sheetId="21786" refreshError="1"/>
      <sheetData sheetId="21787" refreshError="1"/>
      <sheetData sheetId="21788"/>
      <sheetData sheetId="21789"/>
      <sheetData sheetId="21790"/>
      <sheetData sheetId="21791"/>
      <sheetData sheetId="21792" refreshError="1"/>
      <sheetData sheetId="21793" refreshError="1"/>
      <sheetData sheetId="21794" refreshError="1"/>
      <sheetData sheetId="21795"/>
      <sheetData sheetId="21796" refreshError="1"/>
      <sheetData sheetId="21797" refreshError="1"/>
      <sheetData sheetId="21798" refreshError="1"/>
      <sheetData sheetId="21799" refreshError="1"/>
      <sheetData sheetId="21800" refreshError="1"/>
      <sheetData sheetId="21801" refreshError="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sheetData sheetId="21822"/>
      <sheetData sheetId="21823"/>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sheetData sheetId="21898"/>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sheetData sheetId="21907"/>
      <sheetData sheetId="21908" refreshError="1"/>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refreshError="1"/>
      <sheetData sheetId="21925" refreshError="1"/>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refreshError="1"/>
      <sheetData sheetId="22015" refreshError="1"/>
      <sheetData sheetId="22016" refreshError="1"/>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refreshError="1"/>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refreshError="1"/>
      <sheetData sheetId="22112"/>
      <sheetData sheetId="22113"/>
      <sheetData sheetId="22114" refreshError="1"/>
      <sheetData sheetId="22115" refreshError="1"/>
      <sheetData sheetId="22116" refreshError="1"/>
      <sheetData sheetId="22117" refreshError="1"/>
      <sheetData sheetId="22118" refreshError="1"/>
      <sheetData sheetId="22119" refreshError="1"/>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refreshError="1"/>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 val="PLT-S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ANALISYS"/>
      <sheetName val="mat."/>
      <sheetName val="dem"/>
      <sheetName val="exc"/>
      <sheetName val="con"/>
      <sheetName val="bk.wk"/>
      <sheetName val="mason"/>
      <sheetName val="pavi"/>
      <sheetName val="roof"/>
      <sheetName val="carp"/>
      <sheetName val="iron"/>
      <sheetName val="brass"/>
      <sheetName val="plast"/>
      <sheetName val="tink"/>
      <sheetName val="glaz"/>
      <sheetName val="paint"/>
      <sheetName val="plum"/>
      <sheetName val="drain"/>
      <sheetName val="alumi"/>
      <sheetName val="elect"/>
      <sheetName val="mis"/>
      <sheetName val="ANALISY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P"/>
      <sheetName val="CW Summary"/>
      <sheetName val="Bill 3 - Site Works"/>
      <sheetName val="Bill 4 - Mntc Shed"/>
      <sheetName val="Bill 5 - Magic planet"/>
      <sheetName val="Bill 6 - Mall Enh"/>
      <sheetName val="Bill 7 - Anchor store"/>
      <sheetName val="V.O Log"/>
      <sheetName val="MoS- Summary"/>
      <sheetName val="Mat'ls Unfixed - Elec"/>
      <sheetName val="Sheet1"/>
      <sheetName val="FitOutConfCentre"/>
      <sheetName val="CW_Summary"/>
      <sheetName val="Bill_3_-_Site_Works"/>
      <sheetName val="Bill_4_-_Mntc_Shed"/>
      <sheetName val="Bill_5_-_Magic_planet"/>
      <sheetName val="Bill_6_-_Mall_Enh"/>
      <sheetName val="Bill_7_-_Anchor_store"/>
      <sheetName val="V_O_Log"/>
      <sheetName val="MoS-_Summary"/>
      <sheetName val="Mat'ls_Unfixed_-_Elec"/>
      <sheetName val="3"/>
      <sheetName val="CW_Summary1"/>
      <sheetName val="Bill_3_-_Site_Works1"/>
      <sheetName val="Bill_4_-_Mntc_Shed1"/>
      <sheetName val="Bill_5_-_Magic_planet1"/>
      <sheetName val="Bill_6_-_Mall_Enh1"/>
      <sheetName val="Bill_7_-_Anchor_store1"/>
      <sheetName val="V_O_Log1"/>
      <sheetName val="MoS-_Summary1"/>
      <sheetName val="Mat'ls_Unfixed_-_Elec1"/>
      <sheetName val="CW_Summary4"/>
      <sheetName val="Bill_3_-_Site_Works4"/>
      <sheetName val="Bill_4_-_Mntc_Shed4"/>
      <sheetName val="Bill_5_-_Magic_planet4"/>
      <sheetName val="Bill_6_-_Mall_Enh4"/>
      <sheetName val="Bill_7_-_Anchor_store4"/>
      <sheetName val="V_O_Log4"/>
      <sheetName val="MoS-_Summary4"/>
      <sheetName val="Mat'ls_Unfixed_-_Elec4"/>
      <sheetName val="CW_Summary2"/>
      <sheetName val="Bill_3_-_Site_Works2"/>
      <sheetName val="Bill_4_-_Mntc_Shed2"/>
      <sheetName val="Bill_5_-_Magic_planet2"/>
      <sheetName val="Bill_6_-_Mall_Enh2"/>
      <sheetName val="Bill_7_-_Anchor_store2"/>
      <sheetName val="V_O_Log2"/>
      <sheetName val="MoS-_Summary2"/>
      <sheetName val="Mat'ls_Unfixed_-_Elec2"/>
      <sheetName val="CW_Summary3"/>
      <sheetName val="Bill_3_-_Site_Works3"/>
      <sheetName val="Bill_4_-_Mntc_Shed3"/>
      <sheetName val="Bill_5_-_Magic_planet3"/>
      <sheetName val="Bill_6_-_Mall_Enh3"/>
      <sheetName val="Bill_7_-_Anchor_store3"/>
      <sheetName val="V_O_Log3"/>
      <sheetName val="MoS-_Summary3"/>
      <sheetName val="Mat'ls_Unfixed_-_Elec3"/>
      <sheetName val="CW_Summary5"/>
      <sheetName val="Bill_3_-_Site_Works5"/>
      <sheetName val="Bill_4_-_Mntc_Shed5"/>
      <sheetName val="Bill_5_-_Magic_planet5"/>
      <sheetName val="Bill_6_-_Mall_Enh5"/>
      <sheetName val="Bill_7_-_Anchor_store5"/>
      <sheetName val="V_O_Log5"/>
      <sheetName val="MoS-_Summary5"/>
      <sheetName val="Mat'ls_Unfixed_-_Elec5"/>
      <sheetName val="B-2"/>
      <sheetName val="Detail"/>
      <sheetName val="Structure working"/>
      <sheetName val="p&amp;m"/>
      <sheetName val="PRECAST lightconc-II"/>
      <sheetName val="Stru lintel"/>
      <sheetName val="LEVEL SHEET"/>
      <sheetName val="RCC,Ret. Wall"/>
      <sheetName val="Super"/>
      <sheetName val="PDA2"/>
      <sheetName val="Rate Analysis"/>
      <sheetName val="Cash2"/>
      <sheetName val="Z"/>
      <sheetName val="Calendar"/>
      <sheetName val="#REF"/>
      <sheetName val="1-G1"/>
      <sheetName val="10.Linkway"/>
      <sheetName val="11.Bus Shelter-Bay"/>
      <sheetName val="Design"/>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om Type"/>
      <sheetName val="Basement2 DB"/>
      <sheetName val="Basement1 DB"/>
      <sheetName val="GF DB"/>
      <sheetName val="1F DB"/>
      <sheetName val="2F DB"/>
      <sheetName val="3F DB"/>
      <sheetName val="4F DB"/>
      <sheetName val="5F DB"/>
      <sheetName val="6-15,18-21F DB"/>
      <sheetName val="16F, 17F DB"/>
      <sheetName val="22F DB"/>
      <sheetName val="23F DB"/>
      <sheetName val="24F DB"/>
      <sheetName val="TX"/>
      <sheetName val="Light Fitting"/>
      <sheetName val="CIDSE"/>
      <sheetName val="GS"/>
      <sheetName val="FitOutConfCentre"/>
      <sheetName val="Schedules"/>
      <sheetName val="Room_Type"/>
      <sheetName val="Basement2_DB"/>
      <sheetName val="Basement1_DB"/>
      <sheetName val="GF_DB"/>
      <sheetName val="1F_DB"/>
      <sheetName val="2F_DB"/>
      <sheetName val="3F_DB"/>
      <sheetName val="4F_DB"/>
      <sheetName val="5F_DB"/>
      <sheetName val="6-15,18-21F_DB"/>
      <sheetName val="16F,_17F_DB"/>
      <sheetName val="22F_DB"/>
      <sheetName val="23F_DB"/>
      <sheetName val="24F_DB"/>
      <sheetName val="Light_Fitting"/>
      <sheetName val="INDEX"/>
      <sheetName val="CONSTANT"/>
      <sheetName val="MixBed"/>
      <sheetName val="JOB COSTING SHEET HVAC"/>
      <sheetName val="Material Prices"/>
      <sheetName val="Kaatsu H.A.M.T.T.C.-7 jan 10"/>
      <sheetName val="BREAKDOWN"/>
      <sheetName val="inWords"/>
      <sheetName val="balan1"/>
      <sheetName val="MCB"/>
      <sheetName val="Electrical"/>
      <sheetName val="Sheet1"/>
      <sheetName val="Factors"/>
      <sheetName val="Bill 5 - Carpark"/>
      <sheetName val="Cost Factor Sheet"/>
      <sheetName val="Load Sch, Cable Sel &amp; Qty"/>
      <sheetName val="Factor Sheet"/>
      <sheetName val="Price Sheet"/>
      <sheetName val="Cost Sheet"/>
      <sheetName val="B-2"/>
      <sheetName val="Bill 3 - Site Works"/>
      <sheetName val="Cover"/>
      <sheetName val="RATE"/>
      <sheetName val="Room_Type1"/>
      <sheetName val="Basement2_DB1"/>
      <sheetName val="Basement1_DB1"/>
      <sheetName val="GF_DB1"/>
      <sheetName val="1F_DB1"/>
      <sheetName val="2F_DB1"/>
      <sheetName val="3F_DB1"/>
      <sheetName val="4F_DB1"/>
      <sheetName val="5F_DB1"/>
      <sheetName val="6-15,18-21F_DB1"/>
      <sheetName val="16F,_17F_DB1"/>
      <sheetName val="22F_DB1"/>
      <sheetName val="23F_DB1"/>
      <sheetName val="24F_DB1"/>
      <sheetName val="Light_Fitting1"/>
      <sheetName val="JOB_COSTING_SHEET_HVAC"/>
      <sheetName val="Kaatsu_H_A_M_T_T_C_-7_jan_10"/>
      <sheetName val="Material_Prices"/>
      <sheetName val="Sheet2"/>
      <sheetName val="Markups"/>
      <sheetName val="M - S"/>
      <sheetName val="Summary"/>
      <sheetName val="Ragama"/>
      <sheetName val="CASH"/>
    </sheetNames>
    <sheetDataSet>
      <sheetData sheetId="0"/>
      <sheetData sheetId="1">
        <row r="2">
          <cell r="M2">
            <v>0.85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row r="2">
          <cell r="M2">
            <v>0.85</v>
          </cell>
        </row>
      </sheetData>
      <sheetData sheetId="22">
        <row r="2">
          <cell r="M2">
            <v>0.85</v>
          </cell>
        </row>
      </sheetData>
      <sheetData sheetId="23">
        <row r="2">
          <cell r="M2">
            <v>0.85</v>
          </cell>
        </row>
      </sheetData>
      <sheetData sheetId="24">
        <row r="2">
          <cell r="M2">
            <v>0.85</v>
          </cell>
        </row>
      </sheetData>
      <sheetData sheetId="25">
        <row r="2">
          <cell r="M2">
            <v>0.85</v>
          </cell>
        </row>
      </sheetData>
      <sheetData sheetId="26">
        <row r="2">
          <cell r="M2">
            <v>0.85</v>
          </cell>
        </row>
      </sheetData>
      <sheetData sheetId="27">
        <row r="2">
          <cell r="M2">
            <v>0.85</v>
          </cell>
        </row>
      </sheetData>
      <sheetData sheetId="28">
        <row r="2">
          <cell r="M2">
            <v>0.85</v>
          </cell>
        </row>
      </sheetData>
      <sheetData sheetId="29">
        <row r="2">
          <cell r="M2">
            <v>0.85</v>
          </cell>
        </row>
      </sheetData>
      <sheetData sheetId="30">
        <row r="2">
          <cell r="M2">
            <v>0.85</v>
          </cell>
        </row>
      </sheetData>
      <sheetData sheetId="31">
        <row r="2">
          <cell r="M2">
            <v>0.85</v>
          </cell>
        </row>
      </sheetData>
      <sheetData sheetId="32">
        <row r="2">
          <cell r="M2">
            <v>0.85</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ow r="2">
          <cell r="M2">
            <v>0.85</v>
          </cell>
        </row>
      </sheetData>
      <sheetData sheetId="59">
        <row r="2">
          <cell r="M2">
            <v>0.85</v>
          </cell>
        </row>
      </sheetData>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 val="B-3.2 EB"/>
      <sheetName val="Tb"/>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s>
    <sheetDataSet>
      <sheetData sheetId="0"/>
      <sheetData sheetId="1"/>
      <sheetData sheetId="2"/>
      <sheetData sheetId="3"/>
      <sheetData sheetId="4"/>
      <sheetData sheetId="5"/>
      <sheetData sheetId="6"/>
      <sheetData sheetId="7"/>
      <sheetData sheetId="8"/>
      <sheetData sheetId="9"/>
      <sheetData sheetId="10">
        <row r="5">
          <cell r="A5" t="str">
            <v>ITEM</v>
          </cell>
          <cell r="B5" t="str">
            <v>DESCRIPTION</v>
          </cell>
          <cell r="C5" t="str">
            <v>UNIT</v>
          </cell>
          <cell r="D5" t="str">
            <v>MARKETPRICE</v>
          </cell>
          <cell r="E5" t="str">
            <v>TRANSPORTCOST</v>
          </cell>
          <cell r="F5" t="str">
            <v>PROPOSEDRATE</v>
          </cell>
        </row>
        <row r="6">
          <cell r="A6">
            <v>0</v>
          </cell>
          <cell r="B6" t="str">
            <v>LABOUR</v>
          </cell>
          <cell r="C6">
            <v>0</v>
          </cell>
          <cell r="D6">
            <v>0</v>
          </cell>
          <cell r="E6">
            <v>0</v>
          </cell>
          <cell r="F6">
            <v>0</v>
          </cell>
        </row>
        <row r="7">
          <cell r="A7">
            <v>101</v>
          </cell>
          <cell r="B7" t="str">
            <v>Skilled Labour</v>
          </cell>
          <cell r="C7" t="str">
            <v>day</v>
          </cell>
          <cell r="D7">
            <v>1200</v>
          </cell>
          <cell r="E7">
            <v>0</v>
          </cell>
          <cell r="F7">
            <v>1200</v>
          </cell>
        </row>
        <row r="8">
          <cell r="A8">
            <v>102</v>
          </cell>
          <cell r="B8" t="str">
            <v>Semiskilled Labour</v>
          </cell>
          <cell r="C8" t="str">
            <v>day</v>
          </cell>
          <cell r="D8">
            <v>1000</v>
          </cell>
          <cell r="E8">
            <v>0</v>
          </cell>
          <cell r="F8">
            <v>1000</v>
          </cell>
        </row>
        <row r="9">
          <cell r="A9">
            <v>103</v>
          </cell>
          <cell r="B9" t="str">
            <v>Unskilled Labour</v>
          </cell>
          <cell r="C9" t="str">
            <v>day</v>
          </cell>
          <cell r="D9">
            <v>800</v>
          </cell>
          <cell r="E9">
            <v>0</v>
          </cell>
          <cell r="F9">
            <v>800</v>
          </cell>
        </row>
        <row r="10">
          <cell r="A10">
            <v>104</v>
          </cell>
          <cell r="B10" t="str">
            <v>Mason</v>
          </cell>
          <cell r="C10" t="str">
            <v>day</v>
          </cell>
          <cell r="D10">
            <v>1200</v>
          </cell>
          <cell r="E10">
            <v>0</v>
          </cell>
          <cell r="F10">
            <v>1200</v>
          </cell>
        </row>
        <row r="11">
          <cell r="A11">
            <v>105</v>
          </cell>
          <cell r="B11" t="str">
            <v>Carpenter</v>
          </cell>
          <cell r="C11" t="str">
            <v>day</v>
          </cell>
          <cell r="D11">
            <v>1200</v>
          </cell>
          <cell r="E11">
            <v>0</v>
          </cell>
          <cell r="F11">
            <v>1200</v>
          </cell>
        </row>
        <row r="12">
          <cell r="A12">
            <v>106</v>
          </cell>
          <cell r="B12" t="str">
            <v>Plumber</v>
          </cell>
          <cell r="C12" t="str">
            <v>day</v>
          </cell>
          <cell r="D12">
            <v>1200</v>
          </cell>
          <cell r="E12">
            <v>0</v>
          </cell>
          <cell r="F12">
            <v>1200</v>
          </cell>
        </row>
        <row r="13">
          <cell r="A13">
            <v>107</v>
          </cell>
          <cell r="B13" t="str">
            <v>Painter</v>
          </cell>
          <cell r="C13" t="str">
            <v>day</v>
          </cell>
          <cell r="D13">
            <v>1200</v>
          </cell>
          <cell r="E13">
            <v>0</v>
          </cell>
          <cell r="F13">
            <v>1200</v>
          </cell>
        </row>
        <row r="14">
          <cell r="A14">
            <v>108</v>
          </cell>
          <cell r="B14" t="str">
            <v>Welder</v>
          </cell>
          <cell r="C14" t="str">
            <v>day</v>
          </cell>
          <cell r="D14">
            <v>1200</v>
          </cell>
          <cell r="E14">
            <v>0</v>
          </cell>
          <cell r="F14">
            <v>1200</v>
          </cell>
        </row>
        <row r="15">
          <cell r="A15">
            <v>109</v>
          </cell>
          <cell r="B15" t="str">
            <v>Bar Bender</v>
          </cell>
          <cell r="C15" t="str">
            <v>day</v>
          </cell>
          <cell r="D15">
            <v>1200</v>
          </cell>
          <cell r="E15">
            <v>0</v>
          </cell>
          <cell r="F15">
            <v>1200</v>
          </cell>
        </row>
        <row r="16">
          <cell r="A16">
            <v>0</v>
          </cell>
          <cell r="B16" t="str">
            <v>MACHINES</v>
          </cell>
          <cell r="C16">
            <v>0</v>
          </cell>
          <cell r="D16">
            <v>0</v>
          </cell>
          <cell r="E16">
            <v>0</v>
          </cell>
          <cell r="F16">
            <v>0</v>
          </cell>
        </row>
        <row r="17">
          <cell r="A17">
            <v>201</v>
          </cell>
          <cell r="B17" t="str">
            <v>Concrete Mixer</v>
          </cell>
          <cell r="C17" t="str">
            <v>day</v>
          </cell>
          <cell r="D17">
            <v>4500</v>
          </cell>
          <cell r="E17">
            <v>0</v>
          </cell>
          <cell r="F17">
            <v>4500</v>
          </cell>
        </row>
        <row r="18">
          <cell r="A18">
            <v>202</v>
          </cell>
          <cell r="B18" t="str">
            <v>Pocker vibrator</v>
          </cell>
          <cell r="C18" t="str">
            <v>day</v>
          </cell>
          <cell r="D18">
            <v>2000</v>
          </cell>
          <cell r="E18">
            <v>0</v>
          </cell>
          <cell r="F18">
            <v>2000</v>
          </cell>
        </row>
        <row r="19">
          <cell r="A19">
            <v>203</v>
          </cell>
          <cell r="B19" t="str">
            <v xml:space="preserve">   Vibrating roller (one ton)</v>
          </cell>
          <cell r="C19" t="str">
            <v>day</v>
          </cell>
          <cell r="D19">
            <v>4500</v>
          </cell>
          <cell r="E19">
            <v>0</v>
          </cell>
          <cell r="F19">
            <v>4500</v>
          </cell>
        </row>
        <row r="20">
          <cell r="A20">
            <v>204</v>
          </cell>
          <cell r="B20" t="str">
            <v xml:space="preserve">    Tractor</v>
          </cell>
          <cell r="C20" t="str">
            <v>day</v>
          </cell>
          <cell r="D20">
            <v>5000</v>
          </cell>
          <cell r="E20">
            <v>0</v>
          </cell>
          <cell r="F20">
            <v>5000</v>
          </cell>
        </row>
        <row r="21">
          <cell r="A21">
            <v>0</v>
          </cell>
          <cell r="B21">
            <v>0</v>
          </cell>
          <cell r="C21">
            <v>0</v>
          </cell>
          <cell r="D21">
            <v>0</v>
          </cell>
          <cell r="E21">
            <v>0</v>
          </cell>
          <cell r="F21">
            <v>0</v>
          </cell>
        </row>
        <row r="22">
          <cell r="A22">
            <v>0</v>
          </cell>
          <cell r="B22" t="str">
            <v>MATERIALS</v>
          </cell>
          <cell r="C22">
            <v>0</v>
          </cell>
          <cell r="D22">
            <v>0</v>
          </cell>
          <cell r="E22">
            <v>0</v>
          </cell>
          <cell r="F22">
            <v>0</v>
          </cell>
        </row>
        <row r="23">
          <cell r="A23">
            <v>0</v>
          </cell>
          <cell r="B23" t="str">
            <v>Earth Work</v>
          </cell>
          <cell r="C23">
            <v>0</v>
          </cell>
          <cell r="D23">
            <v>0</v>
          </cell>
          <cell r="E23">
            <v>0</v>
          </cell>
          <cell r="F23">
            <v>0</v>
          </cell>
        </row>
        <row r="24">
          <cell r="A24">
            <v>301</v>
          </cell>
          <cell r="B24" t="str">
            <v>Baskets</v>
          </cell>
          <cell r="C24" t="str">
            <v>Nr</v>
          </cell>
          <cell r="D24">
            <v>350</v>
          </cell>
          <cell r="E24">
            <v>0</v>
          </cell>
          <cell r="F24">
            <v>350</v>
          </cell>
        </row>
        <row r="25">
          <cell r="A25">
            <v>302</v>
          </cell>
          <cell r="B25" t="str">
            <v>Gravel</v>
          </cell>
          <cell r="C25" t="str">
            <v>m3</v>
          </cell>
          <cell r="D25">
            <v>265</v>
          </cell>
          <cell r="E25">
            <v>0</v>
          </cell>
          <cell r="F25">
            <v>265</v>
          </cell>
        </row>
        <row r="26">
          <cell r="A26">
            <v>303</v>
          </cell>
          <cell r="B26" t="str">
            <v>Earth</v>
          </cell>
          <cell r="C26" t="str">
            <v>m3</v>
          </cell>
          <cell r="D26">
            <v>124</v>
          </cell>
          <cell r="E26">
            <v>0</v>
          </cell>
          <cell r="F26">
            <v>124</v>
          </cell>
        </row>
        <row r="27">
          <cell r="A27">
            <v>304</v>
          </cell>
          <cell r="B27" t="str">
            <v>Blasting powder</v>
          </cell>
          <cell r="C27" t="str">
            <v>kg</v>
          </cell>
          <cell r="D27">
            <v>650</v>
          </cell>
          <cell r="E27">
            <v>6.5</v>
          </cell>
          <cell r="F27">
            <v>657</v>
          </cell>
        </row>
        <row r="28">
          <cell r="A28">
            <v>305</v>
          </cell>
          <cell r="B28" t="str">
            <v>Safety fuse</v>
          </cell>
          <cell r="C28" t="str">
            <v>m</v>
          </cell>
          <cell r="D28">
            <v>42.5</v>
          </cell>
          <cell r="E28">
            <v>0.43</v>
          </cell>
          <cell r="F28">
            <v>43</v>
          </cell>
        </row>
        <row r="29">
          <cell r="A29">
            <v>306</v>
          </cell>
          <cell r="B29" t="str">
            <v>Detonators</v>
          </cell>
          <cell r="C29" t="str">
            <v>Nr</v>
          </cell>
          <cell r="D29">
            <v>30.8</v>
          </cell>
          <cell r="E29">
            <v>0.31</v>
          </cell>
          <cell r="F29">
            <v>31</v>
          </cell>
        </row>
        <row r="30">
          <cell r="A30">
            <v>0</v>
          </cell>
          <cell r="B30" t="str">
            <v>Concrete Work</v>
          </cell>
          <cell r="C30">
            <v>0</v>
          </cell>
          <cell r="D30">
            <v>0</v>
          </cell>
          <cell r="E30">
            <v>0</v>
          </cell>
          <cell r="F30">
            <v>0</v>
          </cell>
        </row>
        <row r="31">
          <cell r="A31">
            <v>401</v>
          </cell>
          <cell r="B31" t="str">
            <v>Sand</v>
          </cell>
          <cell r="C31" t="str">
            <v>m3</v>
          </cell>
          <cell r="D31">
            <v>2826</v>
          </cell>
          <cell r="E31">
            <v>0</v>
          </cell>
          <cell r="F31">
            <v>2826</v>
          </cell>
        </row>
        <row r="32">
          <cell r="A32">
            <v>402</v>
          </cell>
          <cell r="B32" t="str">
            <v>Cement</v>
          </cell>
          <cell r="C32" t="str">
            <v>bag</v>
          </cell>
          <cell r="D32">
            <v>810</v>
          </cell>
          <cell r="E32">
            <v>0</v>
          </cell>
          <cell r="F32">
            <v>810</v>
          </cell>
        </row>
        <row r="33">
          <cell r="A33">
            <v>403</v>
          </cell>
          <cell r="B33" t="str">
            <v>Metal 50mm</v>
          </cell>
          <cell r="C33" t="str">
            <v>m3</v>
          </cell>
          <cell r="D33">
            <v>1770</v>
          </cell>
          <cell r="E33">
            <v>0</v>
          </cell>
          <cell r="F33">
            <v>1770</v>
          </cell>
        </row>
        <row r="34">
          <cell r="A34">
            <v>404</v>
          </cell>
          <cell r="B34" t="str">
            <v>Metal 38mm</v>
          </cell>
          <cell r="C34" t="str">
            <v>m3</v>
          </cell>
          <cell r="D34">
            <v>1838</v>
          </cell>
          <cell r="E34">
            <v>0</v>
          </cell>
          <cell r="F34">
            <v>1838</v>
          </cell>
        </row>
        <row r="35">
          <cell r="A35">
            <v>405</v>
          </cell>
          <cell r="B35" t="str">
            <v>Metal 25mm</v>
          </cell>
          <cell r="C35" t="str">
            <v>m3</v>
          </cell>
          <cell r="D35">
            <v>1945</v>
          </cell>
          <cell r="E35">
            <v>0</v>
          </cell>
          <cell r="F35">
            <v>1945</v>
          </cell>
        </row>
        <row r="36">
          <cell r="A36">
            <v>406</v>
          </cell>
          <cell r="B36" t="str">
            <v>Metal 20mm</v>
          </cell>
          <cell r="C36" t="str">
            <v>m3</v>
          </cell>
          <cell r="D36">
            <v>2050</v>
          </cell>
          <cell r="E36">
            <v>0</v>
          </cell>
          <cell r="F36">
            <v>2050</v>
          </cell>
        </row>
        <row r="37">
          <cell r="A37">
            <v>407</v>
          </cell>
          <cell r="B37" t="str">
            <v>Metal 12.5mm</v>
          </cell>
          <cell r="C37" t="str">
            <v>m3</v>
          </cell>
          <cell r="D37">
            <v>1485</v>
          </cell>
          <cell r="E37">
            <v>0</v>
          </cell>
          <cell r="F37">
            <v>1485</v>
          </cell>
        </row>
        <row r="38">
          <cell r="A38">
            <v>0</v>
          </cell>
          <cell r="B38" t="str">
            <v>Formwork</v>
          </cell>
          <cell r="C38">
            <v>0</v>
          </cell>
          <cell r="D38">
            <v>0</v>
          </cell>
          <cell r="E38">
            <v>0</v>
          </cell>
          <cell r="F38">
            <v>0</v>
          </cell>
        </row>
        <row r="39">
          <cell r="A39">
            <v>501</v>
          </cell>
          <cell r="B39" t="str">
            <v>Shuttering planks - 25mm thick</v>
          </cell>
          <cell r="C39" t="str">
            <v>m2</v>
          </cell>
          <cell r="D39">
            <v>444</v>
          </cell>
          <cell r="E39">
            <v>4.4400000000000004</v>
          </cell>
          <cell r="F39">
            <v>448.5</v>
          </cell>
        </row>
        <row r="40">
          <cell r="A40">
            <v>502</v>
          </cell>
          <cell r="B40" t="str">
            <v>Plywood sheets - 20mm thick</v>
          </cell>
          <cell r="C40" t="str">
            <v>m2</v>
          </cell>
          <cell r="D40">
            <v>1043</v>
          </cell>
          <cell r="E40">
            <v>10.43</v>
          </cell>
          <cell r="F40">
            <v>1053.5</v>
          </cell>
        </row>
        <row r="41">
          <cell r="A41">
            <v>503</v>
          </cell>
          <cell r="B41" t="str">
            <v>Round timber 3m</v>
          </cell>
          <cell r="C41" t="str">
            <v>Nr</v>
          </cell>
          <cell r="D41">
            <v>60</v>
          </cell>
          <cell r="E41">
            <v>0.6</v>
          </cell>
          <cell r="F41">
            <v>60.5</v>
          </cell>
        </row>
        <row r="42">
          <cell r="A42">
            <v>504</v>
          </cell>
          <cell r="B42" t="str">
            <v>Bamboo 3m</v>
          </cell>
          <cell r="C42" t="str">
            <v>Nr</v>
          </cell>
          <cell r="D42">
            <v>60</v>
          </cell>
          <cell r="E42">
            <v>0.6</v>
          </cell>
          <cell r="F42">
            <v>60.6</v>
          </cell>
        </row>
        <row r="43">
          <cell r="A43">
            <v>505</v>
          </cell>
          <cell r="B43" t="str">
            <v>100mmx50mm class II timber</v>
          </cell>
          <cell r="C43" t="str">
            <v>m</v>
          </cell>
          <cell r="D43">
            <v>193.2</v>
          </cell>
          <cell r="E43">
            <v>1.93</v>
          </cell>
          <cell r="F43">
            <v>195</v>
          </cell>
        </row>
        <row r="44">
          <cell r="A44">
            <v>506</v>
          </cell>
          <cell r="B44" t="str">
            <v>50mmx50mm class II timber</v>
          </cell>
          <cell r="C44" t="str">
            <v>m</v>
          </cell>
          <cell r="D44">
            <v>109</v>
          </cell>
          <cell r="E44">
            <v>1.0900000000000001</v>
          </cell>
          <cell r="F44">
            <v>110</v>
          </cell>
        </row>
        <row r="45">
          <cell r="A45">
            <v>507</v>
          </cell>
          <cell r="B45" t="str">
            <v>Nail</v>
          </cell>
          <cell r="C45" t="str">
            <v>kg</v>
          </cell>
          <cell r="D45">
            <v>125</v>
          </cell>
          <cell r="E45">
            <v>1.25</v>
          </cell>
          <cell r="F45">
            <v>126.5</v>
          </cell>
        </row>
        <row r="46">
          <cell r="A46">
            <v>508</v>
          </cell>
          <cell r="B46" t="str">
            <v>Mould oil</v>
          </cell>
          <cell r="C46" t="str">
            <v>l</v>
          </cell>
          <cell r="D46">
            <v>89</v>
          </cell>
          <cell r="E46">
            <v>0.89</v>
          </cell>
          <cell r="F46">
            <v>90</v>
          </cell>
        </row>
        <row r="47">
          <cell r="A47">
            <v>509</v>
          </cell>
          <cell r="B47" t="str">
            <v>10mm dia. 450mm bolts</v>
          </cell>
          <cell r="C47" t="str">
            <v>Nr</v>
          </cell>
          <cell r="D47">
            <v>68</v>
          </cell>
          <cell r="E47">
            <v>0.68</v>
          </cell>
          <cell r="F47">
            <v>69</v>
          </cell>
        </row>
        <row r="48">
          <cell r="A48">
            <v>0</v>
          </cell>
          <cell r="B48" t="str">
            <v>Reinforcement</v>
          </cell>
          <cell r="C48">
            <v>0</v>
          </cell>
          <cell r="D48">
            <v>0</v>
          </cell>
          <cell r="E48">
            <v>0</v>
          </cell>
          <cell r="F48">
            <v>0</v>
          </cell>
        </row>
        <row r="49">
          <cell r="A49">
            <v>601</v>
          </cell>
          <cell r="B49" t="str">
            <v>Steel  MS - 6mm</v>
          </cell>
          <cell r="C49" t="str">
            <v>kg</v>
          </cell>
          <cell r="D49">
            <v>78.400000000000006</v>
          </cell>
          <cell r="E49">
            <v>1.57</v>
          </cell>
          <cell r="F49">
            <v>80</v>
          </cell>
        </row>
        <row r="50">
          <cell r="A50">
            <v>602</v>
          </cell>
          <cell r="B50" t="str">
            <v>Steel  MS - &gt;6mm</v>
          </cell>
          <cell r="C50" t="str">
            <v>kg</v>
          </cell>
          <cell r="D50">
            <v>113</v>
          </cell>
          <cell r="E50">
            <v>2.2599999999999998</v>
          </cell>
          <cell r="F50">
            <v>115.5</v>
          </cell>
        </row>
        <row r="51">
          <cell r="A51">
            <v>603</v>
          </cell>
          <cell r="B51" t="str">
            <v>Steel  TS</v>
          </cell>
          <cell r="C51" t="str">
            <v>kg</v>
          </cell>
          <cell r="D51">
            <v>112</v>
          </cell>
          <cell r="E51">
            <v>2.2400000000000002</v>
          </cell>
          <cell r="F51">
            <v>114</v>
          </cell>
        </row>
        <row r="52">
          <cell r="A52">
            <v>604</v>
          </cell>
          <cell r="B52" t="str">
            <v>Binding wire</v>
          </cell>
          <cell r="C52" t="str">
            <v>kg</v>
          </cell>
          <cell r="D52">
            <v>130</v>
          </cell>
          <cell r="E52">
            <v>2.6</v>
          </cell>
          <cell r="F52">
            <v>132</v>
          </cell>
        </row>
        <row r="53">
          <cell r="A53">
            <v>0</v>
          </cell>
          <cell r="B53" t="str">
            <v>Brick Work</v>
          </cell>
          <cell r="C53">
            <v>0</v>
          </cell>
          <cell r="D53">
            <v>0</v>
          </cell>
          <cell r="E53">
            <v>0</v>
          </cell>
          <cell r="F53">
            <v>0</v>
          </cell>
        </row>
        <row r="54">
          <cell r="A54">
            <v>701</v>
          </cell>
          <cell r="B54" t="str">
            <v>Bricks 220x105x65mm</v>
          </cell>
          <cell r="C54" t="str">
            <v>Nr</v>
          </cell>
          <cell r="D54">
            <v>4.5</v>
          </cell>
          <cell r="E54">
            <v>0</v>
          </cell>
          <cell r="F54">
            <v>4.5</v>
          </cell>
        </row>
        <row r="55">
          <cell r="A55">
            <v>702</v>
          </cell>
          <cell r="B55" t="str">
            <v>Wire cut bricks</v>
          </cell>
          <cell r="C55" t="str">
            <v>Nr</v>
          </cell>
          <cell r="D55">
            <v>18</v>
          </cell>
          <cell r="E55">
            <v>0</v>
          </cell>
          <cell r="F55">
            <v>18</v>
          </cell>
        </row>
        <row r="56">
          <cell r="A56">
            <v>703</v>
          </cell>
          <cell r="B56" t="str">
            <v>Batik bricks</v>
          </cell>
          <cell r="C56" t="str">
            <v>Nr</v>
          </cell>
          <cell r="D56">
            <v>22</v>
          </cell>
          <cell r="E56">
            <v>0</v>
          </cell>
          <cell r="F56">
            <v>22</v>
          </cell>
        </row>
        <row r="57">
          <cell r="A57">
            <v>704</v>
          </cell>
          <cell r="B57" t="str">
            <v>Bricks 220x105x100mm</v>
          </cell>
          <cell r="C57" t="str">
            <v>Nr</v>
          </cell>
          <cell r="D57">
            <v>10</v>
          </cell>
          <cell r="E57">
            <v>0</v>
          </cell>
          <cell r="F57">
            <v>10</v>
          </cell>
        </row>
        <row r="58">
          <cell r="A58">
            <v>705</v>
          </cell>
          <cell r="B58" t="str">
            <v>Bricks 220x150x100mm</v>
          </cell>
          <cell r="C58" t="str">
            <v>Nr</v>
          </cell>
          <cell r="D58">
            <v>12.5</v>
          </cell>
          <cell r="E58">
            <v>0</v>
          </cell>
          <cell r="F58">
            <v>12.5</v>
          </cell>
        </row>
        <row r="59">
          <cell r="A59">
            <v>0</v>
          </cell>
          <cell r="B59" t="str">
            <v>Masonry</v>
          </cell>
          <cell r="C59">
            <v>0</v>
          </cell>
          <cell r="D59">
            <v>0</v>
          </cell>
          <cell r="E59">
            <v>0</v>
          </cell>
          <cell r="F59">
            <v>0</v>
          </cell>
        </row>
        <row r="60">
          <cell r="A60">
            <v>801</v>
          </cell>
          <cell r="B60" t="str">
            <v>150x225mm rubble</v>
          </cell>
          <cell r="C60" t="str">
            <v>m3</v>
          </cell>
          <cell r="D60">
            <v>700</v>
          </cell>
          <cell r="E60">
            <v>0</v>
          </cell>
          <cell r="F60">
            <v>700</v>
          </cell>
        </row>
        <row r="61">
          <cell r="A61">
            <v>802</v>
          </cell>
          <cell r="B61" t="str">
            <v>DPC Tar</v>
          </cell>
          <cell r="C61" t="str">
            <v>l</v>
          </cell>
          <cell r="D61">
            <v>96</v>
          </cell>
          <cell r="E61">
            <v>0.96</v>
          </cell>
          <cell r="F61">
            <v>97</v>
          </cell>
        </row>
        <row r="62">
          <cell r="A62">
            <v>0</v>
          </cell>
          <cell r="B62" t="str">
            <v>Pavior</v>
          </cell>
          <cell r="C62">
            <v>0</v>
          </cell>
          <cell r="D62">
            <v>0</v>
          </cell>
          <cell r="E62">
            <v>0</v>
          </cell>
          <cell r="F62">
            <v>0</v>
          </cell>
        </row>
        <row r="63">
          <cell r="A63">
            <v>901</v>
          </cell>
          <cell r="B63" t="str">
            <v>Antitermite treatment - Sub contractors rate</v>
          </cell>
          <cell r="C63" t="str">
            <v>m2</v>
          </cell>
          <cell r="D63">
            <v>269</v>
          </cell>
          <cell r="E63">
            <v>0</v>
          </cell>
          <cell r="F63">
            <v>269</v>
          </cell>
        </row>
        <row r="64">
          <cell r="A64">
            <v>902</v>
          </cell>
          <cell r="B64" t="str">
            <v>Water proofing - Sub contractors rate</v>
          </cell>
          <cell r="C64" t="str">
            <v>m2</v>
          </cell>
          <cell r="D64">
            <v>1126</v>
          </cell>
          <cell r="E64">
            <v>0</v>
          </cell>
          <cell r="F64">
            <v>1126</v>
          </cell>
        </row>
        <row r="65">
          <cell r="A65">
            <v>903</v>
          </cell>
          <cell r="B65" t="str">
            <v>Gauge 1000 polythene</v>
          </cell>
          <cell r="C65" t="str">
            <v>m2</v>
          </cell>
          <cell r="D65">
            <v>66</v>
          </cell>
          <cell r="E65">
            <v>0.66</v>
          </cell>
          <cell r="F65">
            <v>66.66</v>
          </cell>
        </row>
        <row r="66">
          <cell r="A66">
            <v>904</v>
          </cell>
          <cell r="B66" t="str">
            <v>Crystaline waterproofing material (XYPEX concentrate)</v>
          </cell>
          <cell r="C66" t="str">
            <v>kg</v>
          </cell>
          <cell r="D66">
            <v>1065</v>
          </cell>
          <cell r="E66">
            <v>0</v>
          </cell>
          <cell r="F66">
            <v>1065</v>
          </cell>
        </row>
        <row r="67">
          <cell r="A67">
            <v>0</v>
          </cell>
          <cell r="B67" t="str">
            <v>Tiller</v>
          </cell>
          <cell r="C67">
            <v>0</v>
          </cell>
          <cell r="D67">
            <v>0</v>
          </cell>
          <cell r="E67">
            <v>0</v>
          </cell>
          <cell r="F67">
            <v>0</v>
          </cell>
        </row>
        <row r="68">
          <cell r="A68">
            <v>1001</v>
          </cell>
          <cell r="B68" t="str">
            <v>100x100 glazed wall tiles</v>
          </cell>
          <cell r="C68" t="str">
            <v>Nr</v>
          </cell>
          <cell r="D68">
            <v>14</v>
          </cell>
          <cell r="E68">
            <v>0.14000000000000001</v>
          </cell>
          <cell r="F68">
            <v>14.5</v>
          </cell>
        </row>
        <row r="69">
          <cell r="A69">
            <v>1002</v>
          </cell>
          <cell r="B69" t="str">
            <v>150x150 glazed wall tiles</v>
          </cell>
          <cell r="C69" t="str">
            <v>Nr</v>
          </cell>
          <cell r="D69">
            <v>26</v>
          </cell>
          <cell r="E69">
            <v>0.26</v>
          </cell>
          <cell r="F69">
            <v>26.5</v>
          </cell>
        </row>
        <row r="70">
          <cell r="A70">
            <v>1003</v>
          </cell>
          <cell r="B70" t="str">
            <v>200x300 glazed wall tiles</v>
          </cell>
          <cell r="C70" t="str">
            <v>Nr</v>
          </cell>
          <cell r="D70">
            <v>80</v>
          </cell>
          <cell r="E70">
            <v>0.8</v>
          </cell>
          <cell r="F70">
            <v>81</v>
          </cell>
        </row>
        <row r="71">
          <cell r="A71">
            <v>1004</v>
          </cell>
          <cell r="B71" t="str">
            <v>300x400 glazed wall tiles</v>
          </cell>
          <cell r="C71" t="str">
            <v>Nr</v>
          </cell>
          <cell r="D71">
            <v>196</v>
          </cell>
          <cell r="E71">
            <v>1.96</v>
          </cell>
          <cell r="F71">
            <v>198</v>
          </cell>
        </row>
        <row r="72">
          <cell r="A72">
            <v>1005</v>
          </cell>
          <cell r="B72" t="str">
            <v>200x200 non skid floor tiles</v>
          </cell>
          <cell r="C72" t="str">
            <v>Nr</v>
          </cell>
          <cell r="D72">
            <v>63</v>
          </cell>
          <cell r="E72">
            <v>0.63</v>
          </cell>
          <cell r="F72">
            <v>63.63</v>
          </cell>
        </row>
        <row r="73">
          <cell r="A73">
            <v>1006</v>
          </cell>
          <cell r="B73" t="str">
            <v>300x300 non skid floor tiles</v>
          </cell>
          <cell r="C73" t="str">
            <v>Nr</v>
          </cell>
          <cell r="D73">
            <v>165</v>
          </cell>
          <cell r="E73">
            <v>1.65</v>
          </cell>
          <cell r="F73">
            <v>134</v>
          </cell>
        </row>
        <row r="74">
          <cell r="A74">
            <v>1007</v>
          </cell>
          <cell r="B74" t="str">
            <v>450x450 non skid floor tiles</v>
          </cell>
          <cell r="C74" t="str">
            <v>Nr</v>
          </cell>
          <cell r="D74">
            <v>294</v>
          </cell>
          <cell r="E74">
            <v>2.94</v>
          </cell>
          <cell r="F74">
            <v>297</v>
          </cell>
        </row>
        <row r="75">
          <cell r="A75">
            <v>1008</v>
          </cell>
          <cell r="B75" t="str">
            <v>200x200 non skid floor tiles - Homogeneous</v>
          </cell>
          <cell r="C75" t="str">
            <v>Nr</v>
          </cell>
          <cell r="D75">
            <v>74</v>
          </cell>
          <cell r="E75">
            <v>0.74</v>
          </cell>
          <cell r="F75">
            <v>75</v>
          </cell>
        </row>
        <row r="76">
          <cell r="A76">
            <v>1009</v>
          </cell>
          <cell r="B76" t="str">
            <v>300x300 non skid floor tiles - Homogeneous</v>
          </cell>
          <cell r="C76" t="str">
            <v>Nr</v>
          </cell>
          <cell r="D76">
            <v>297</v>
          </cell>
          <cell r="E76">
            <v>2.97</v>
          </cell>
          <cell r="F76">
            <v>146.5</v>
          </cell>
        </row>
        <row r="77">
          <cell r="A77">
            <v>1010</v>
          </cell>
          <cell r="B77" t="str">
            <v>400x400 non skid floor tiles - Homogeneous</v>
          </cell>
          <cell r="C77" t="str">
            <v>Nr</v>
          </cell>
          <cell r="D77">
            <v>475</v>
          </cell>
          <cell r="E77">
            <v>4.75</v>
          </cell>
          <cell r="F77">
            <v>283</v>
          </cell>
        </row>
        <row r="78">
          <cell r="A78">
            <v>1011</v>
          </cell>
          <cell r="B78" t="str">
            <v>PVC tile beading</v>
          </cell>
          <cell r="C78" t="str">
            <v>m</v>
          </cell>
          <cell r="D78">
            <v>35</v>
          </cell>
          <cell r="E78">
            <v>0.35</v>
          </cell>
          <cell r="F78">
            <v>35.5</v>
          </cell>
        </row>
        <row r="79">
          <cell r="A79">
            <v>1012</v>
          </cell>
          <cell r="B79" t="str">
            <v>Stainless steel tile beading</v>
          </cell>
          <cell r="C79" t="str">
            <v>m</v>
          </cell>
          <cell r="D79">
            <v>0</v>
          </cell>
          <cell r="E79">
            <v>0</v>
          </cell>
          <cell r="F79">
            <v>0</v>
          </cell>
        </row>
        <row r="80">
          <cell r="A80">
            <v>1013</v>
          </cell>
          <cell r="B80" t="str">
            <v>non skid homogenous floor tiles quality 3</v>
          </cell>
          <cell r="C80" t="str">
            <v>m2</v>
          </cell>
          <cell r="D80">
            <v>1500</v>
          </cell>
          <cell r="E80">
            <v>15</v>
          </cell>
          <cell r="F80">
            <v>1515</v>
          </cell>
        </row>
        <row r="81">
          <cell r="A81">
            <v>1014</v>
          </cell>
          <cell r="B81" t="str">
            <v>non skid homogenous floor tiles quality 2</v>
          </cell>
          <cell r="C81" t="str">
            <v>m2</v>
          </cell>
          <cell r="D81">
            <v>1850</v>
          </cell>
          <cell r="E81">
            <v>18.5</v>
          </cell>
          <cell r="F81">
            <v>1868.5</v>
          </cell>
        </row>
        <row r="82">
          <cell r="A82">
            <v>1015</v>
          </cell>
          <cell r="B82" t="str">
            <v xml:space="preserve">non skid homogenous floor tiles quality 1 </v>
          </cell>
          <cell r="C82" t="str">
            <v>m2</v>
          </cell>
          <cell r="D82">
            <v>2425</v>
          </cell>
          <cell r="E82">
            <v>24.25</v>
          </cell>
          <cell r="F82">
            <v>2449.25</v>
          </cell>
        </row>
        <row r="83">
          <cell r="A83">
            <v>1016</v>
          </cell>
          <cell r="B83" t="str">
            <v>glazed wall tiles quality 1</v>
          </cell>
          <cell r="C83" t="str">
            <v>m2</v>
          </cell>
          <cell r="D83">
            <v>1500</v>
          </cell>
          <cell r="E83">
            <v>15</v>
          </cell>
          <cell r="F83">
            <v>1515</v>
          </cell>
        </row>
        <row r="84">
          <cell r="A84">
            <v>1017</v>
          </cell>
          <cell r="B84" t="str">
            <v xml:space="preserve">100mm high Timber Skirting </v>
          </cell>
          <cell r="C84" t="str">
            <v>m</v>
          </cell>
          <cell r="D84">
            <v>214</v>
          </cell>
          <cell r="E84">
            <v>2.14</v>
          </cell>
          <cell r="F84">
            <v>216.14</v>
          </cell>
        </row>
        <row r="85">
          <cell r="A85">
            <v>1018</v>
          </cell>
          <cell r="B85" t="str">
            <v>600x600 non skid floor tiles - Homogeneous</v>
          </cell>
          <cell r="C85" t="str">
            <v>m2</v>
          </cell>
          <cell r="D85">
            <v>790</v>
          </cell>
          <cell r="E85">
            <v>7.9</v>
          </cell>
          <cell r="F85">
            <v>797.9</v>
          </cell>
        </row>
        <row r="86">
          <cell r="A86">
            <v>1019</v>
          </cell>
          <cell r="B86" t="str">
            <v>600x300 non skid floor tiles - Homogeneous</v>
          </cell>
          <cell r="C86" t="str">
            <v>m2</v>
          </cell>
          <cell r="D86">
            <v>790</v>
          </cell>
          <cell r="E86">
            <v>7.9</v>
          </cell>
          <cell r="F86">
            <v>797.9</v>
          </cell>
        </row>
        <row r="87">
          <cell r="A87">
            <v>0</v>
          </cell>
          <cell r="B87">
            <v>0</v>
          </cell>
          <cell r="C87">
            <v>0</v>
          </cell>
          <cell r="D87">
            <v>0</v>
          </cell>
          <cell r="E87">
            <v>0</v>
          </cell>
          <cell r="F87">
            <v>0</v>
          </cell>
        </row>
        <row r="88">
          <cell r="A88">
            <v>0</v>
          </cell>
          <cell r="B88" t="str">
            <v>Roofer</v>
          </cell>
          <cell r="C88">
            <v>0</v>
          </cell>
          <cell r="D88">
            <v>0</v>
          </cell>
          <cell r="E88">
            <v>0</v>
          </cell>
          <cell r="F88">
            <v>0</v>
          </cell>
        </row>
        <row r="89">
          <cell r="A89">
            <v>1101</v>
          </cell>
          <cell r="B89" t="str">
            <v>Special class timber</v>
          </cell>
          <cell r="C89" t="str">
            <v>m3</v>
          </cell>
          <cell r="D89">
            <v>75987</v>
          </cell>
          <cell r="E89">
            <v>759.87</v>
          </cell>
          <cell r="F89">
            <v>76747</v>
          </cell>
        </row>
        <row r="90">
          <cell r="A90">
            <v>1102</v>
          </cell>
          <cell r="B90" t="str">
            <v>50mmx25mm special class timber</v>
          </cell>
          <cell r="C90" t="str">
            <v>m</v>
          </cell>
          <cell r="D90">
            <v>65.599999999999994</v>
          </cell>
          <cell r="E90">
            <v>0.66</v>
          </cell>
          <cell r="F90">
            <v>66.5</v>
          </cell>
        </row>
        <row r="91">
          <cell r="A91">
            <v>1103</v>
          </cell>
          <cell r="B91" t="str">
            <v>50mmx50mm special class timber</v>
          </cell>
          <cell r="C91" t="str">
            <v>m</v>
          </cell>
          <cell r="D91">
            <v>136.19999999999999</v>
          </cell>
          <cell r="E91">
            <v>1.36</v>
          </cell>
          <cell r="F91">
            <v>137.5</v>
          </cell>
        </row>
        <row r="92">
          <cell r="A92">
            <v>1104</v>
          </cell>
          <cell r="B92" t="str">
            <v>100mmx50mm special class timber</v>
          </cell>
          <cell r="C92" t="str">
            <v>m</v>
          </cell>
          <cell r="D92">
            <v>385.5</v>
          </cell>
          <cell r="E92">
            <v>3.86</v>
          </cell>
          <cell r="F92">
            <v>389.5</v>
          </cell>
        </row>
        <row r="93">
          <cell r="A93">
            <v>1105</v>
          </cell>
          <cell r="B93" t="str">
            <v>100mmx75mm special class timber</v>
          </cell>
          <cell r="C93" t="str">
            <v>m</v>
          </cell>
          <cell r="D93">
            <v>587</v>
          </cell>
          <cell r="E93">
            <v>5.87</v>
          </cell>
          <cell r="F93">
            <v>593</v>
          </cell>
        </row>
        <row r="94">
          <cell r="A94">
            <v>1106</v>
          </cell>
          <cell r="B94" t="str">
            <v>125mmx50mm special class timber</v>
          </cell>
          <cell r="C94" t="str">
            <v>m</v>
          </cell>
          <cell r="D94">
            <v>487.8</v>
          </cell>
          <cell r="E94">
            <v>4.88</v>
          </cell>
          <cell r="F94">
            <v>492.5</v>
          </cell>
        </row>
        <row r="95">
          <cell r="A95">
            <v>1107</v>
          </cell>
          <cell r="B95" t="str">
            <v>125mmx75mm special class timber</v>
          </cell>
          <cell r="C95" t="str">
            <v>m</v>
          </cell>
          <cell r="D95">
            <v>742.9</v>
          </cell>
          <cell r="E95">
            <v>7.43</v>
          </cell>
          <cell r="F95">
            <v>750.5</v>
          </cell>
        </row>
        <row r="96">
          <cell r="A96">
            <v>1108</v>
          </cell>
          <cell r="B96" t="str">
            <v>150mmx50mm special class timber</v>
          </cell>
          <cell r="C96" t="str">
            <v>m</v>
          </cell>
          <cell r="D96">
            <v>589.70000000000005</v>
          </cell>
          <cell r="E96">
            <v>5.9</v>
          </cell>
          <cell r="F96">
            <v>595.5</v>
          </cell>
        </row>
        <row r="97">
          <cell r="A97">
            <v>1109</v>
          </cell>
          <cell r="B97" t="str">
            <v>150mmx75mm special class timber</v>
          </cell>
          <cell r="C97" t="str">
            <v>m</v>
          </cell>
          <cell r="D97">
            <v>901.5</v>
          </cell>
          <cell r="E97">
            <v>9.02</v>
          </cell>
          <cell r="F97">
            <v>910.5</v>
          </cell>
        </row>
        <row r="98">
          <cell r="A98">
            <v>1110</v>
          </cell>
          <cell r="B98" t="str">
            <v>Asbestos sheet</v>
          </cell>
          <cell r="C98" t="str">
            <v>m2</v>
          </cell>
          <cell r="D98">
            <v>440</v>
          </cell>
          <cell r="E98">
            <v>4.4000000000000004</v>
          </cell>
          <cell r="F98">
            <v>444.5</v>
          </cell>
        </row>
        <row r="99">
          <cell r="A99">
            <v>1111</v>
          </cell>
          <cell r="B99" t="str">
            <v>Roofing screws 112mm&amp; washer</v>
          </cell>
          <cell r="C99" t="str">
            <v>Nr</v>
          </cell>
          <cell r="D99">
            <v>20</v>
          </cell>
          <cell r="E99">
            <v>0.2</v>
          </cell>
          <cell r="F99">
            <v>20.5</v>
          </cell>
        </row>
        <row r="100">
          <cell r="A100">
            <v>1112</v>
          </cell>
          <cell r="B100" t="str">
            <v>Wood preservative</v>
          </cell>
          <cell r="C100" t="str">
            <v>l</v>
          </cell>
          <cell r="D100">
            <v>325</v>
          </cell>
          <cell r="E100">
            <v>3.25</v>
          </cell>
          <cell r="F100">
            <v>328.5</v>
          </cell>
        </row>
        <row r="101">
          <cell r="A101">
            <v>1113</v>
          </cell>
          <cell r="B101" t="str">
            <v>J bolt and nut</v>
          </cell>
          <cell r="C101" t="str">
            <v>Nr</v>
          </cell>
          <cell r="D101">
            <v>13</v>
          </cell>
          <cell r="E101">
            <v>0.13</v>
          </cell>
          <cell r="F101">
            <v>13.5</v>
          </cell>
        </row>
        <row r="102">
          <cell r="A102">
            <v>1114</v>
          </cell>
          <cell r="B102" t="str">
            <v xml:space="preserve">12mm bolt and nut </v>
          </cell>
          <cell r="C102" t="str">
            <v>Nr</v>
          </cell>
          <cell r="D102">
            <v>16</v>
          </cell>
          <cell r="E102">
            <v>0.16</v>
          </cell>
          <cell r="F102">
            <v>16.5</v>
          </cell>
        </row>
        <row r="103">
          <cell r="A103">
            <v>1115</v>
          </cell>
          <cell r="B103" t="str">
            <v>50x50x5.8mm angle irons</v>
          </cell>
          <cell r="C103" t="str">
            <v>m</v>
          </cell>
          <cell r="D103">
            <v>467</v>
          </cell>
          <cell r="E103">
            <v>4.67</v>
          </cell>
          <cell r="F103">
            <v>471.5</v>
          </cell>
        </row>
        <row r="104">
          <cell r="A104">
            <v>1116</v>
          </cell>
          <cell r="B104" t="str">
            <v>62.5x62.5x5.8mm angle irons</v>
          </cell>
          <cell r="C104" t="str">
            <v>m</v>
          </cell>
          <cell r="D104">
            <v>608</v>
          </cell>
          <cell r="E104">
            <v>6.08</v>
          </cell>
          <cell r="F104">
            <v>614</v>
          </cell>
        </row>
        <row r="105">
          <cell r="A105">
            <v>1117</v>
          </cell>
          <cell r="B105" t="str">
            <v>75x75x5.8mm angle irons</v>
          </cell>
          <cell r="C105" t="str">
            <v>m</v>
          </cell>
          <cell r="D105">
            <v>825</v>
          </cell>
          <cell r="E105">
            <v>8.25</v>
          </cell>
          <cell r="F105">
            <v>833.5</v>
          </cell>
        </row>
        <row r="106">
          <cell r="A106">
            <v>1118</v>
          </cell>
          <cell r="B106" t="str">
            <v>6'-0" asbestos sheets</v>
          </cell>
          <cell r="C106" t="str">
            <v>Nr</v>
          </cell>
          <cell r="D106">
            <v>820</v>
          </cell>
          <cell r="E106">
            <v>8.1999999999999993</v>
          </cell>
          <cell r="F106">
            <v>828</v>
          </cell>
        </row>
        <row r="107">
          <cell r="A107">
            <v>1119</v>
          </cell>
          <cell r="B107" t="str">
            <v>8'-0" asbestos sheets</v>
          </cell>
          <cell r="C107" t="str">
            <v>Nr</v>
          </cell>
          <cell r="D107">
            <v>1150</v>
          </cell>
          <cell r="E107">
            <v>11.5</v>
          </cell>
          <cell r="F107">
            <v>1161.5</v>
          </cell>
        </row>
        <row r="108">
          <cell r="A108">
            <v>1120</v>
          </cell>
          <cell r="B108" t="str">
            <v>10'-0" asbestos sheets</v>
          </cell>
          <cell r="C108" t="str">
            <v>Nr</v>
          </cell>
          <cell r="D108">
            <v>1360</v>
          </cell>
          <cell r="E108">
            <v>13.6</v>
          </cell>
          <cell r="F108">
            <v>1373.5</v>
          </cell>
        </row>
        <row r="109">
          <cell r="A109">
            <v>1121</v>
          </cell>
          <cell r="B109" t="str">
            <v>12'-0" asbestos sheets</v>
          </cell>
          <cell r="C109" t="str">
            <v>Nr</v>
          </cell>
          <cell r="D109">
            <v>1730</v>
          </cell>
          <cell r="E109">
            <v>17.3</v>
          </cell>
          <cell r="F109">
            <v>1747.5</v>
          </cell>
        </row>
        <row r="110">
          <cell r="A110">
            <v>1122</v>
          </cell>
          <cell r="B110" t="str">
            <v>100x50x2mm "C" channels</v>
          </cell>
          <cell r="C110" t="str">
            <v>m</v>
          </cell>
          <cell r="D110">
            <v>355</v>
          </cell>
          <cell r="E110">
            <v>3.55</v>
          </cell>
          <cell r="F110">
            <v>358.5</v>
          </cell>
        </row>
        <row r="111">
          <cell r="A111">
            <v>1123</v>
          </cell>
          <cell r="B111" t="str">
            <v>0.47mm tk. Zn-alum sheets</v>
          </cell>
          <cell r="C111" t="str">
            <v>m2</v>
          </cell>
          <cell r="D111">
            <v>1078</v>
          </cell>
          <cell r="E111">
            <v>10.78</v>
          </cell>
          <cell r="F111">
            <v>1089</v>
          </cell>
        </row>
        <row r="112">
          <cell r="A112">
            <v>1124</v>
          </cell>
          <cell r="B112" t="str">
            <v>Fasteners</v>
          </cell>
          <cell r="C112" t="str">
            <v>Nr</v>
          </cell>
          <cell r="D112">
            <v>9</v>
          </cell>
          <cell r="E112">
            <v>0.09</v>
          </cell>
          <cell r="F112">
            <v>9</v>
          </cell>
        </row>
        <row r="113">
          <cell r="A113">
            <v>1125</v>
          </cell>
          <cell r="B113" t="str">
            <v>Roof tiles</v>
          </cell>
          <cell r="C113" t="str">
            <v>Nr</v>
          </cell>
          <cell r="D113">
            <v>35</v>
          </cell>
          <cell r="E113">
            <v>0.35</v>
          </cell>
          <cell r="F113">
            <v>35.5</v>
          </cell>
        </row>
        <row r="114">
          <cell r="A114">
            <v>1126</v>
          </cell>
          <cell r="B114" t="str">
            <v>Ridge tiles</v>
          </cell>
          <cell r="C114" t="str">
            <v>Nr</v>
          </cell>
          <cell r="D114">
            <v>45</v>
          </cell>
          <cell r="E114">
            <v>0.45</v>
          </cell>
          <cell r="F114">
            <v>45.5</v>
          </cell>
        </row>
        <row r="115">
          <cell r="A115">
            <v>1127</v>
          </cell>
          <cell r="B115" t="str">
            <v>5mm gusset plate</v>
          </cell>
          <cell r="C115" t="str">
            <v>m2</v>
          </cell>
          <cell r="D115">
            <v>4485</v>
          </cell>
          <cell r="E115">
            <v>44.85</v>
          </cell>
          <cell r="F115">
            <v>4530</v>
          </cell>
        </row>
        <row r="116">
          <cell r="A116">
            <v>1128</v>
          </cell>
          <cell r="B116" t="str">
            <v>Zink Alluminium ridge capping  of girth 470mm</v>
          </cell>
          <cell r="C116" t="str">
            <v>m</v>
          </cell>
          <cell r="D116">
            <v>591</v>
          </cell>
          <cell r="E116">
            <v>5.91</v>
          </cell>
          <cell r="F116">
            <v>597</v>
          </cell>
        </row>
        <row r="117">
          <cell r="A117">
            <v>1129</v>
          </cell>
          <cell r="B117" t="str">
            <v>Asbestos ridges</v>
          </cell>
          <cell r="C117" t="str">
            <v>Set</v>
          </cell>
          <cell r="D117">
            <v>600</v>
          </cell>
          <cell r="E117">
            <v>6</v>
          </cell>
          <cell r="F117">
            <v>606</v>
          </cell>
        </row>
        <row r="118">
          <cell r="A118">
            <v>1130</v>
          </cell>
          <cell r="B118" t="str">
            <v>Lime</v>
          </cell>
          <cell r="C118" t="str">
            <v>kg</v>
          </cell>
          <cell r="D118">
            <v>20</v>
          </cell>
          <cell r="E118">
            <v>0.2</v>
          </cell>
          <cell r="F118">
            <v>20.5</v>
          </cell>
        </row>
        <row r="119">
          <cell r="A119">
            <v>1131</v>
          </cell>
          <cell r="B119" t="str">
            <v>Aluminium foil as heat insulation</v>
          </cell>
          <cell r="C119" t="str">
            <v>m2</v>
          </cell>
          <cell r="D119">
            <v>133</v>
          </cell>
          <cell r="E119">
            <v>1.33</v>
          </cell>
          <cell r="F119">
            <v>134.5</v>
          </cell>
        </row>
        <row r="120">
          <cell r="A120">
            <v>1132</v>
          </cell>
          <cell r="B120" t="str">
            <v>Mesh for foil ( 2"x2")</v>
          </cell>
          <cell r="C120" t="str">
            <v>m2</v>
          </cell>
          <cell r="D120">
            <v>454.9</v>
          </cell>
          <cell r="E120">
            <v>4.55</v>
          </cell>
          <cell r="F120">
            <v>459.5</v>
          </cell>
        </row>
        <row r="121">
          <cell r="A121">
            <v>1133</v>
          </cell>
          <cell r="B121" t="str">
            <v>10mm gusset plate</v>
          </cell>
          <cell r="C121" t="str">
            <v>m2</v>
          </cell>
          <cell r="D121">
            <v>8970</v>
          </cell>
          <cell r="E121">
            <v>89.7</v>
          </cell>
          <cell r="F121">
            <v>9059.5</v>
          </cell>
        </row>
        <row r="122">
          <cell r="A122">
            <v>1134</v>
          </cell>
          <cell r="B122" t="str">
            <v>Truss plate, base plate</v>
          </cell>
          <cell r="C122" t="str">
            <v>m2</v>
          </cell>
          <cell r="D122">
            <v>4300</v>
          </cell>
          <cell r="E122">
            <v>43</v>
          </cell>
          <cell r="F122">
            <v>4343</v>
          </cell>
        </row>
        <row r="123">
          <cell r="A123">
            <v>0</v>
          </cell>
          <cell r="B123" t="str">
            <v>Carpenter and Joiner</v>
          </cell>
          <cell r="C123">
            <v>0</v>
          </cell>
          <cell r="D123">
            <v>0</v>
          </cell>
          <cell r="E123">
            <v>0</v>
          </cell>
          <cell r="F123">
            <v>0</v>
          </cell>
        </row>
        <row r="124">
          <cell r="A124">
            <v>1201</v>
          </cell>
          <cell r="B124" t="str">
            <v>31mm planks special class</v>
          </cell>
          <cell r="C124" t="str">
            <v>m2</v>
          </cell>
          <cell r="D124">
            <v>1841</v>
          </cell>
          <cell r="E124">
            <v>18.41</v>
          </cell>
          <cell r="F124">
            <v>1859.5</v>
          </cell>
        </row>
        <row r="125">
          <cell r="A125">
            <v>1202</v>
          </cell>
          <cell r="B125" t="str">
            <v>25mm planks special class</v>
          </cell>
          <cell r="C125" t="str">
            <v>m2</v>
          </cell>
          <cell r="D125">
            <v>1476.66</v>
          </cell>
          <cell r="E125">
            <v>14.77</v>
          </cell>
          <cell r="F125">
            <v>1491.5</v>
          </cell>
        </row>
        <row r="126">
          <cell r="A126">
            <v>1203</v>
          </cell>
          <cell r="B126" t="str">
            <v>20mm planks special class</v>
          </cell>
          <cell r="C126" t="str">
            <v>m2</v>
          </cell>
          <cell r="D126">
            <v>1181.32</v>
          </cell>
          <cell r="E126">
            <v>11.81</v>
          </cell>
          <cell r="F126">
            <v>1193</v>
          </cell>
        </row>
        <row r="127">
          <cell r="A127">
            <v>1204</v>
          </cell>
          <cell r="B127" t="str">
            <v>20mm thick lunumidella timber</v>
          </cell>
          <cell r="C127" t="str">
            <v>m2</v>
          </cell>
          <cell r="D127">
            <v>700</v>
          </cell>
          <cell r="E127">
            <v>7</v>
          </cell>
          <cell r="F127">
            <v>707</v>
          </cell>
        </row>
        <row r="128">
          <cell r="A128">
            <v>1205</v>
          </cell>
          <cell r="B128" t="str">
            <v>50mm iron screws</v>
          </cell>
          <cell r="C128" t="str">
            <v>Nr</v>
          </cell>
          <cell r="D128">
            <v>2</v>
          </cell>
          <cell r="E128">
            <v>0.02</v>
          </cell>
          <cell r="F128">
            <v>2</v>
          </cell>
        </row>
        <row r="129">
          <cell r="A129">
            <v>1206</v>
          </cell>
          <cell r="B129" t="str">
            <v>G.I. clout nails 20mm</v>
          </cell>
          <cell r="C129" t="str">
            <v>kg</v>
          </cell>
          <cell r="D129">
            <v>300</v>
          </cell>
          <cell r="E129">
            <v>3</v>
          </cell>
          <cell r="F129">
            <v>303</v>
          </cell>
        </row>
        <row r="130">
          <cell r="A130">
            <v>1207</v>
          </cell>
          <cell r="B130" t="str">
            <v>Ceiling sheets</v>
          </cell>
          <cell r="C130" t="str">
            <v>m2</v>
          </cell>
          <cell r="D130">
            <v>263</v>
          </cell>
          <cell r="E130">
            <v>2.63</v>
          </cell>
          <cell r="F130">
            <v>265.5</v>
          </cell>
        </row>
        <row r="131">
          <cell r="A131">
            <v>1208</v>
          </cell>
          <cell r="B131"/>
          <cell r="C131" t="str">
            <v>m</v>
          </cell>
          <cell r="D131">
            <v>49</v>
          </cell>
          <cell r="E131">
            <v>0.49</v>
          </cell>
          <cell r="F131">
            <v>49.5</v>
          </cell>
        </row>
        <row r="132">
          <cell r="A132">
            <v>1209</v>
          </cell>
          <cell r="B132" t="str">
            <v>Moldings</v>
          </cell>
          <cell r="C132" t="str">
            <v>m</v>
          </cell>
          <cell r="D132">
            <v>117</v>
          </cell>
          <cell r="E132">
            <v>1.17</v>
          </cell>
          <cell r="F132">
            <v>118.17</v>
          </cell>
        </row>
        <row r="133">
          <cell r="A133">
            <v>1210</v>
          </cell>
          <cell r="B133" t="str">
            <v>Screws 38mm</v>
          </cell>
          <cell r="C133" t="str">
            <v>Nr</v>
          </cell>
          <cell r="D133">
            <v>1.5</v>
          </cell>
          <cell r="E133">
            <v>0.02</v>
          </cell>
          <cell r="F133">
            <v>1.5</v>
          </cell>
        </row>
        <row r="134">
          <cell r="A134">
            <v>1211</v>
          </cell>
          <cell r="B134" t="str">
            <v>Wooden plugs</v>
          </cell>
          <cell r="C134" t="str">
            <v>Nr</v>
          </cell>
          <cell r="D134">
            <v>5</v>
          </cell>
          <cell r="E134">
            <v>0.05</v>
          </cell>
          <cell r="F134">
            <v>5</v>
          </cell>
        </row>
        <row r="135">
          <cell r="A135">
            <v>1212</v>
          </cell>
          <cell r="B135" t="str">
            <v>Primer</v>
          </cell>
          <cell r="C135" t="str">
            <v>l</v>
          </cell>
          <cell r="D135">
            <v>320</v>
          </cell>
          <cell r="E135">
            <v>3.2</v>
          </cell>
          <cell r="F135">
            <v>323</v>
          </cell>
        </row>
        <row r="136">
          <cell r="A136">
            <v>1213</v>
          </cell>
          <cell r="B136" t="str">
            <v>Emulsion paint</v>
          </cell>
          <cell r="C136" t="str">
            <v>l</v>
          </cell>
          <cell r="D136">
            <v>648</v>
          </cell>
          <cell r="E136">
            <v>6.48</v>
          </cell>
          <cell r="F136">
            <v>654.5</v>
          </cell>
        </row>
        <row r="137">
          <cell r="A137">
            <v>1214</v>
          </cell>
          <cell r="B137" t="str">
            <v>100x75 door/ window frame</v>
          </cell>
          <cell r="C137" t="str">
            <v>m3</v>
          </cell>
          <cell r="D137">
            <v>75987</v>
          </cell>
          <cell r="E137">
            <v>759.87</v>
          </cell>
          <cell r="F137">
            <v>76747</v>
          </cell>
        </row>
        <row r="138">
          <cell r="A138">
            <v>1215</v>
          </cell>
          <cell r="B138" t="str">
            <v>38mm brass screws</v>
          </cell>
          <cell r="C138" t="str">
            <v>Nr</v>
          </cell>
          <cell r="D138">
            <v>5.5</v>
          </cell>
          <cell r="E138">
            <v>0.06</v>
          </cell>
          <cell r="F138">
            <v>5.5</v>
          </cell>
        </row>
        <row r="139">
          <cell r="A139">
            <v>1216</v>
          </cell>
          <cell r="B139" t="str">
            <v>25mm brass screws</v>
          </cell>
          <cell r="C139" t="str">
            <v>Nr</v>
          </cell>
          <cell r="D139">
            <v>3.5</v>
          </cell>
          <cell r="E139">
            <v>0.04</v>
          </cell>
          <cell r="F139">
            <v>3.5</v>
          </cell>
        </row>
        <row r="140">
          <cell r="A140">
            <v>1217</v>
          </cell>
          <cell r="B140" t="str">
            <v>Rawl plugs and screws</v>
          </cell>
          <cell r="C140" t="str">
            <v>Nr</v>
          </cell>
          <cell r="D140">
            <v>2</v>
          </cell>
          <cell r="E140">
            <v>0.02</v>
          </cell>
          <cell r="F140">
            <v>2</v>
          </cell>
        </row>
        <row r="141">
          <cell r="A141">
            <v>1218</v>
          </cell>
          <cell r="B141" t="str">
            <v>100mm brass hinges</v>
          </cell>
          <cell r="C141" t="str">
            <v>pair</v>
          </cell>
          <cell r="D141">
            <v>375</v>
          </cell>
          <cell r="E141">
            <v>3.75</v>
          </cell>
          <cell r="F141">
            <v>379</v>
          </cell>
        </row>
        <row r="142">
          <cell r="A142">
            <v>1219</v>
          </cell>
          <cell r="B142" t="str">
            <v>12x12mm fillets</v>
          </cell>
          <cell r="C142" t="str">
            <v>m</v>
          </cell>
          <cell r="D142">
            <v>5.5</v>
          </cell>
          <cell r="E142">
            <v>0.06</v>
          </cell>
          <cell r="F142">
            <v>5.5</v>
          </cell>
        </row>
        <row r="143">
          <cell r="A143">
            <v>1220</v>
          </cell>
          <cell r="B143" t="str">
            <v>300mm skeleton bolts</v>
          </cell>
          <cell r="C143" t="str">
            <v>Nr</v>
          </cell>
          <cell r="D143">
            <v>78</v>
          </cell>
          <cell r="E143">
            <v>0.78</v>
          </cell>
          <cell r="F143">
            <v>79</v>
          </cell>
        </row>
        <row r="144">
          <cell r="A144">
            <v>1221</v>
          </cell>
          <cell r="B144" t="str">
            <v>38x38mm sash bars</v>
          </cell>
          <cell r="C144" t="str">
            <v>m</v>
          </cell>
          <cell r="D144">
            <v>16</v>
          </cell>
          <cell r="E144">
            <v>0.16</v>
          </cell>
          <cell r="F144">
            <v>16.5</v>
          </cell>
        </row>
        <row r="145">
          <cell r="A145">
            <v>1222</v>
          </cell>
          <cell r="B145" t="str">
            <v>150mm barrel bolts</v>
          </cell>
          <cell r="C145" t="str">
            <v>Nr</v>
          </cell>
          <cell r="D145">
            <v>156</v>
          </cell>
          <cell r="E145">
            <v>1.56</v>
          </cell>
          <cell r="F145">
            <v>157.5</v>
          </cell>
        </row>
        <row r="146">
          <cell r="A146">
            <v>1223</v>
          </cell>
          <cell r="B146" t="str">
            <v>Plywood door sash</v>
          </cell>
          <cell r="C146" t="str">
            <v>Nr</v>
          </cell>
          <cell r="D146">
            <v>2200</v>
          </cell>
          <cell r="E146">
            <v>22</v>
          </cell>
          <cell r="F146">
            <v>2222</v>
          </cell>
        </row>
        <row r="147">
          <cell r="A147">
            <v>1224</v>
          </cell>
          <cell r="B147" t="str">
            <v>Holdfasts</v>
          </cell>
          <cell r="C147" t="str">
            <v>Nr</v>
          </cell>
          <cell r="D147">
            <v>75</v>
          </cell>
          <cell r="E147">
            <v>0.75</v>
          </cell>
          <cell r="F147">
            <v>76</v>
          </cell>
        </row>
        <row r="148">
          <cell r="A148">
            <v>1225</v>
          </cell>
          <cell r="B148" t="str">
            <v>PVC door with frame</v>
          </cell>
          <cell r="C148" t="str">
            <v>Nr</v>
          </cell>
          <cell r="D148">
            <v>4650</v>
          </cell>
          <cell r="E148">
            <v>46.5</v>
          </cell>
          <cell r="F148">
            <v>4696.5</v>
          </cell>
        </row>
        <row r="149">
          <cell r="A149">
            <v>1226</v>
          </cell>
          <cell r="B149" t="str">
            <v>3mm glass plain</v>
          </cell>
          <cell r="C149" t="str">
            <v>m2</v>
          </cell>
          <cell r="D149">
            <v>645</v>
          </cell>
          <cell r="E149">
            <v>6.45</v>
          </cell>
          <cell r="F149">
            <v>651.5</v>
          </cell>
        </row>
        <row r="150">
          <cell r="A150">
            <v>1227</v>
          </cell>
          <cell r="B150" t="str">
            <v>Casement stays</v>
          </cell>
          <cell r="C150" t="str">
            <v>Nr</v>
          </cell>
          <cell r="D150">
            <v>200</v>
          </cell>
          <cell r="E150">
            <v>2</v>
          </cell>
          <cell r="F150">
            <v>202</v>
          </cell>
        </row>
        <row r="151">
          <cell r="A151">
            <v>1228</v>
          </cell>
          <cell r="B151" t="str">
            <v>Casement fasteners</v>
          </cell>
          <cell r="C151" t="str">
            <v>Nr</v>
          </cell>
          <cell r="D151">
            <v>200</v>
          </cell>
          <cell r="E151">
            <v>2</v>
          </cell>
          <cell r="F151">
            <v>202</v>
          </cell>
        </row>
        <row r="152">
          <cell r="A152">
            <v>1229</v>
          </cell>
          <cell r="B152" t="str">
            <v>Class 11 Ginisapu planks 25mm thick</v>
          </cell>
          <cell r="C152" t="str">
            <v>m2</v>
          </cell>
          <cell r="D152">
            <v>1385</v>
          </cell>
          <cell r="E152">
            <v>13.85</v>
          </cell>
          <cell r="F152">
            <v>1399</v>
          </cell>
        </row>
        <row r="153">
          <cell r="A153">
            <v>1230</v>
          </cell>
          <cell r="B153" t="str">
            <v>Brass screw</v>
          </cell>
          <cell r="C153" t="str">
            <v>Nr</v>
          </cell>
          <cell r="D153">
            <v>5.5</v>
          </cell>
          <cell r="E153">
            <v>0.06</v>
          </cell>
          <cell r="F153">
            <v>5.5</v>
          </cell>
        </row>
        <row r="154">
          <cell r="A154">
            <v>1231</v>
          </cell>
          <cell r="B154" t="str">
            <v>Lunumidella timber</v>
          </cell>
          <cell r="C154" t="str">
            <v>m2</v>
          </cell>
          <cell r="D154">
            <v>700</v>
          </cell>
          <cell r="E154">
            <v>7</v>
          </cell>
          <cell r="F154">
            <v>707</v>
          </cell>
        </row>
        <row r="155">
          <cell r="A155">
            <v>1232</v>
          </cell>
          <cell r="B155" t="str">
            <v>12 mm thick flywood sheet</v>
          </cell>
          <cell r="C155" t="str">
            <v>m2</v>
          </cell>
          <cell r="D155">
            <v>875</v>
          </cell>
          <cell r="E155">
            <v>8.75</v>
          </cell>
          <cell r="F155">
            <v>884</v>
          </cell>
        </row>
        <row r="156">
          <cell r="A156">
            <v>1233</v>
          </cell>
          <cell r="B156" t="str">
            <v>G.I. clout nails 38mm</v>
          </cell>
          <cell r="C156" t="str">
            <v>Kg</v>
          </cell>
          <cell r="D156">
            <v>336</v>
          </cell>
          <cell r="E156">
            <v>3.36</v>
          </cell>
          <cell r="F156">
            <v>339.5</v>
          </cell>
        </row>
        <row r="157">
          <cell r="A157">
            <v>1234</v>
          </cell>
          <cell r="B157" t="str">
            <v>31mm planks class 1</v>
          </cell>
          <cell r="C157" t="str">
            <v>m2</v>
          </cell>
          <cell r="D157">
            <v>1440</v>
          </cell>
          <cell r="E157">
            <v>14.4</v>
          </cell>
          <cell r="F157">
            <v>1454.5</v>
          </cell>
        </row>
        <row r="158">
          <cell r="A158">
            <v>0</v>
          </cell>
          <cell r="B158" t="str">
            <v>Brass Founder</v>
          </cell>
          <cell r="C158">
            <v>0</v>
          </cell>
          <cell r="D158">
            <v>0</v>
          </cell>
          <cell r="E158">
            <v>0</v>
          </cell>
          <cell r="F158">
            <v>0</v>
          </cell>
        </row>
        <row r="159">
          <cell r="A159">
            <v>1301</v>
          </cell>
          <cell r="B159" t="str">
            <v>Night latch lock</v>
          </cell>
          <cell r="C159" t="str">
            <v>Nr</v>
          </cell>
          <cell r="D159">
            <v>600</v>
          </cell>
          <cell r="E159">
            <v>6</v>
          </cell>
          <cell r="F159">
            <v>606</v>
          </cell>
        </row>
        <row r="160">
          <cell r="A160">
            <v>1302</v>
          </cell>
          <cell r="B160" t="str">
            <v>Mortise Union (English) single lock</v>
          </cell>
          <cell r="C160" t="str">
            <v>Nr</v>
          </cell>
          <cell r="D160">
            <v>0</v>
          </cell>
          <cell r="E160">
            <v>0</v>
          </cell>
          <cell r="F160">
            <v>0</v>
          </cell>
        </row>
        <row r="161">
          <cell r="A161">
            <v>1303</v>
          </cell>
          <cell r="B161" t="str">
            <v>Mortise Union (English) double lock</v>
          </cell>
          <cell r="C161" t="str">
            <v>Nr</v>
          </cell>
          <cell r="D161">
            <v>0</v>
          </cell>
          <cell r="E161">
            <v>0</v>
          </cell>
          <cell r="F161">
            <v>0</v>
          </cell>
        </row>
        <row r="162">
          <cell r="A162">
            <v>1304</v>
          </cell>
          <cell r="B162" t="str">
            <v>Robin ITALY made brass lock</v>
          </cell>
          <cell r="C162" t="str">
            <v>Nr</v>
          </cell>
          <cell r="D162">
            <v>0</v>
          </cell>
          <cell r="E162">
            <v>0</v>
          </cell>
          <cell r="F162">
            <v>0</v>
          </cell>
        </row>
        <row r="163">
          <cell r="A163">
            <v>1305</v>
          </cell>
          <cell r="B163" t="str">
            <v>Fuda lock</v>
          </cell>
          <cell r="C163" t="str">
            <v>Nr</v>
          </cell>
          <cell r="D163">
            <v>0</v>
          </cell>
          <cell r="E163">
            <v>0</v>
          </cell>
          <cell r="F163">
            <v>0</v>
          </cell>
        </row>
        <row r="164">
          <cell r="A164">
            <v>1306</v>
          </cell>
          <cell r="B164" t="str">
            <v>50mm barrel bolt (Brass)</v>
          </cell>
          <cell r="C164" t="str">
            <v>Nr</v>
          </cell>
          <cell r="D164">
            <v>65</v>
          </cell>
          <cell r="E164">
            <v>0.65</v>
          </cell>
          <cell r="F164">
            <v>65.650000000000006</v>
          </cell>
        </row>
        <row r="165">
          <cell r="A165">
            <v>1307</v>
          </cell>
          <cell r="B165" t="str">
            <v>100x100mm butt hinges</v>
          </cell>
          <cell r="C165" t="str">
            <v>Nr</v>
          </cell>
          <cell r="D165">
            <v>300</v>
          </cell>
          <cell r="E165">
            <v>3</v>
          </cell>
          <cell r="F165">
            <v>303</v>
          </cell>
        </row>
        <row r="166">
          <cell r="A166">
            <v>1308</v>
          </cell>
          <cell r="B166" t="str">
            <v>150x100mm butt hinges</v>
          </cell>
          <cell r="C166" t="str">
            <v>Nr</v>
          </cell>
          <cell r="D166">
            <v>475</v>
          </cell>
          <cell r="E166">
            <v>4.75</v>
          </cell>
          <cell r="F166">
            <v>479.75</v>
          </cell>
        </row>
        <row r="167">
          <cell r="A167">
            <v>1309</v>
          </cell>
          <cell r="B167" t="str">
            <v>100mm barrel bolt (Brass)</v>
          </cell>
          <cell r="C167" t="str">
            <v>Nr</v>
          </cell>
          <cell r="D167">
            <v>150</v>
          </cell>
          <cell r="E167">
            <v>1.5</v>
          </cell>
          <cell r="F167">
            <v>151.5</v>
          </cell>
        </row>
        <row r="168">
          <cell r="A168">
            <v>1310</v>
          </cell>
          <cell r="B168" t="str">
            <v>150mm barrel bolt (Brass)</v>
          </cell>
          <cell r="C168" t="str">
            <v>Nr</v>
          </cell>
          <cell r="D168">
            <v>350</v>
          </cell>
          <cell r="E168">
            <v>3.5</v>
          </cell>
          <cell r="F168">
            <v>353.5</v>
          </cell>
        </row>
        <row r="169">
          <cell r="A169">
            <v>0</v>
          </cell>
          <cell r="B169" t="str">
            <v>Iron Monger</v>
          </cell>
          <cell r="C169">
            <v>0</v>
          </cell>
          <cell r="D169">
            <v>0</v>
          </cell>
          <cell r="E169">
            <v>0</v>
          </cell>
          <cell r="F169">
            <v>0</v>
          </cell>
        </row>
        <row r="170">
          <cell r="A170">
            <v>1401</v>
          </cell>
          <cell r="B170" t="str">
            <v>50x50 G.I. welded mesh</v>
          </cell>
          <cell r="C170" t="str">
            <v>m2</v>
          </cell>
          <cell r="D170">
            <v>454</v>
          </cell>
          <cell r="E170">
            <v>4.54</v>
          </cell>
          <cell r="F170">
            <v>458.5</v>
          </cell>
        </row>
        <row r="171">
          <cell r="A171">
            <v>1402</v>
          </cell>
          <cell r="B171" t="str">
            <v>50x12mm beadings</v>
          </cell>
          <cell r="C171" t="str">
            <v>m</v>
          </cell>
          <cell r="D171">
            <v>50</v>
          </cell>
          <cell r="E171">
            <v>0.5</v>
          </cell>
          <cell r="F171">
            <v>50.5</v>
          </cell>
        </row>
        <row r="172">
          <cell r="A172">
            <v>1403</v>
          </cell>
          <cell r="B172" t="str">
            <v>5.5mm MS rods</v>
          </cell>
          <cell r="C172" t="str">
            <v>kg</v>
          </cell>
          <cell r="D172">
            <v>100</v>
          </cell>
          <cell r="E172">
            <v>1</v>
          </cell>
          <cell r="F172">
            <v>101</v>
          </cell>
        </row>
        <row r="173">
          <cell r="A173">
            <v>1404</v>
          </cell>
          <cell r="B173" t="str">
            <v>12x5mm flat iron</v>
          </cell>
          <cell r="C173" t="str">
            <v>m</v>
          </cell>
          <cell r="D173">
            <v>27</v>
          </cell>
          <cell r="E173">
            <v>0.27</v>
          </cell>
          <cell r="F173">
            <v>27.5</v>
          </cell>
        </row>
        <row r="174">
          <cell r="A174">
            <v>1405</v>
          </cell>
          <cell r="B174" t="str">
            <v>25x25x4mm angle iron</v>
          </cell>
          <cell r="C174" t="str">
            <v>m</v>
          </cell>
          <cell r="D174">
            <v>146</v>
          </cell>
          <cell r="E174">
            <v>1.46</v>
          </cell>
          <cell r="F174">
            <v>147.5</v>
          </cell>
        </row>
        <row r="175">
          <cell r="A175">
            <v>1406</v>
          </cell>
          <cell r="B175" t="str">
            <v>100mm safety type Hasp and Staple</v>
          </cell>
          <cell r="C175" t="str">
            <v>Nr</v>
          </cell>
          <cell r="D175">
            <v>150</v>
          </cell>
          <cell r="E175">
            <v>1.5</v>
          </cell>
          <cell r="F175">
            <v>151.5</v>
          </cell>
        </row>
        <row r="176">
          <cell r="A176">
            <v>1407</v>
          </cell>
          <cell r="B176" t="str">
            <v>150mm safety type Hasp and Staple</v>
          </cell>
          <cell r="C176" t="str">
            <v>Nr</v>
          </cell>
          <cell r="D176">
            <v>175</v>
          </cell>
          <cell r="E176">
            <v>1.75</v>
          </cell>
          <cell r="F176">
            <v>177</v>
          </cell>
        </row>
        <row r="177">
          <cell r="A177">
            <v>1408</v>
          </cell>
          <cell r="B177" t="str">
            <v>100x100mm butt hinges</v>
          </cell>
          <cell r="C177" t="str">
            <v>Nr</v>
          </cell>
          <cell r="D177">
            <v>300</v>
          </cell>
          <cell r="E177">
            <v>3</v>
          </cell>
          <cell r="F177">
            <v>303</v>
          </cell>
        </row>
        <row r="178">
          <cell r="A178">
            <v>1409</v>
          </cell>
          <cell r="B178" t="str">
            <v>150x100mm butt hinges</v>
          </cell>
          <cell r="C178" t="str">
            <v>Nr</v>
          </cell>
          <cell r="D178">
            <v>475</v>
          </cell>
          <cell r="E178">
            <v>4.75</v>
          </cell>
          <cell r="F178">
            <v>480</v>
          </cell>
        </row>
        <row r="179">
          <cell r="A179">
            <v>1410</v>
          </cell>
          <cell r="B179" t="str">
            <v>37x37x5.8 mm angle iron</v>
          </cell>
          <cell r="C179" t="str">
            <v>m</v>
          </cell>
          <cell r="D179">
            <v>368</v>
          </cell>
          <cell r="E179">
            <v>3.68</v>
          </cell>
          <cell r="F179">
            <v>371.5</v>
          </cell>
        </row>
        <row r="180">
          <cell r="A180">
            <v>1411</v>
          </cell>
          <cell r="B180" t="str">
            <v>25x25x5 mm angle iron</v>
          </cell>
          <cell r="C180" t="str">
            <v>m</v>
          </cell>
          <cell r="D180">
            <v>187</v>
          </cell>
          <cell r="E180">
            <v>1.87</v>
          </cell>
          <cell r="F180">
            <v>189</v>
          </cell>
        </row>
        <row r="181">
          <cell r="A181">
            <v>1412</v>
          </cell>
          <cell r="B181" t="str">
            <v>25x5mm flat iron</v>
          </cell>
          <cell r="C181" t="str">
            <v>m</v>
          </cell>
          <cell r="D181">
            <v>103</v>
          </cell>
          <cell r="E181">
            <v>1.03</v>
          </cell>
          <cell r="F181">
            <v>104</v>
          </cell>
        </row>
        <row r="182">
          <cell r="A182">
            <v>1413</v>
          </cell>
          <cell r="B182" t="str">
            <v>6mm mild steel hook</v>
          </cell>
          <cell r="C182" t="str">
            <v>Nr</v>
          </cell>
          <cell r="D182">
            <v>50</v>
          </cell>
          <cell r="E182">
            <v>0.5</v>
          </cell>
          <cell r="F182">
            <v>50.5</v>
          </cell>
        </row>
        <row r="183">
          <cell r="A183">
            <v>0</v>
          </cell>
          <cell r="B183" t="str">
            <v>Aluminium Extrusions (Natural Anodized)</v>
          </cell>
          <cell r="C183">
            <v>0</v>
          </cell>
          <cell r="D183">
            <v>0</v>
          </cell>
          <cell r="E183">
            <v>0</v>
          </cell>
          <cell r="F183">
            <v>0</v>
          </cell>
        </row>
        <row r="184">
          <cell r="A184">
            <v>1501</v>
          </cell>
          <cell r="B184" t="str">
            <v>70S-1101-1 (NA)</v>
          </cell>
          <cell r="C184" t="str">
            <v>m</v>
          </cell>
          <cell r="D184">
            <v>450.61</v>
          </cell>
          <cell r="E184">
            <v>4.51</v>
          </cell>
          <cell r="F184">
            <v>455</v>
          </cell>
        </row>
        <row r="185">
          <cell r="A185">
            <v>1502</v>
          </cell>
          <cell r="B185" t="str">
            <v>70S-1001-1 (NA)</v>
          </cell>
          <cell r="C185" t="str">
            <v>m</v>
          </cell>
          <cell r="D185">
            <v>461.07</v>
          </cell>
          <cell r="E185">
            <v>4.6100000000000003</v>
          </cell>
          <cell r="F185">
            <v>465.5</v>
          </cell>
        </row>
        <row r="186">
          <cell r="A186">
            <v>1503</v>
          </cell>
          <cell r="B186" t="str">
            <v>70S-1201-1 (NA)</v>
          </cell>
          <cell r="C186" t="str">
            <v>m</v>
          </cell>
          <cell r="D186">
            <v>375.07</v>
          </cell>
          <cell r="E186">
            <v>3.75</v>
          </cell>
          <cell r="F186">
            <v>378</v>
          </cell>
        </row>
        <row r="187">
          <cell r="A187">
            <v>1504</v>
          </cell>
          <cell r="B187" t="str">
            <v>70S-1604 (NA)</v>
          </cell>
          <cell r="C187" t="str">
            <v>m</v>
          </cell>
          <cell r="D187">
            <v>367.07</v>
          </cell>
          <cell r="E187">
            <v>3.67</v>
          </cell>
          <cell r="F187">
            <v>371</v>
          </cell>
        </row>
        <row r="188">
          <cell r="A188">
            <v>1505</v>
          </cell>
          <cell r="B188" t="str">
            <v>70S-1704 (NA)</v>
          </cell>
          <cell r="C188" t="str">
            <v>m</v>
          </cell>
          <cell r="D188">
            <v>346.61</v>
          </cell>
          <cell r="E188">
            <v>3.47</v>
          </cell>
          <cell r="F188">
            <v>350</v>
          </cell>
        </row>
        <row r="189">
          <cell r="A189">
            <v>1506</v>
          </cell>
          <cell r="B189" t="str">
            <v>70S-1503A (NA)</v>
          </cell>
          <cell r="C189" t="str">
            <v>m</v>
          </cell>
          <cell r="D189">
            <v>433.38</v>
          </cell>
          <cell r="E189">
            <v>4.33</v>
          </cell>
          <cell r="F189">
            <v>438</v>
          </cell>
        </row>
        <row r="190">
          <cell r="A190">
            <v>1507</v>
          </cell>
          <cell r="B190" t="str">
            <v>70S-1401-1 (NA)</v>
          </cell>
          <cell r="C190" t="str">
            <v>m</v>
          </cell>
          <cell r="D190">
            <v>306.76</v>
          </cell>
          <cell r="E190">
            <v>3.07</v>
          </cell>
          <cell r="F190">
            <v>310</v>
          </cell>
        </row>
        <row r="191">
          <cell r="A191">
            <v>1508</v>
          </cell>
          <cell r="B191" t="str">
            <v>70SF-1006 (NA)</v>
          </cell>
          <cell r="C191" t="str">
            <v>m</v>
          </cell>
          <cell r="D191">
            <v>727.23</v>
          </cell>
          <cell r="E191">
            <v>7.27</v>
          </cell>
          <cell r="F191">
            <v>734.5</v>
          </cell>
        </row>
        <row r="192">
          <cell r="A192">
            <v>1509</v>
          </cell>
          <cell r="B192" t="str">
            <v>70SF-1201A (NA)</v>
          </cell>
          <cell r="C192" t="str">
            <v>m</v>
          </cell>
          <cell r="D192">
            <v>254</v>
          </cell>
          <cell r="E192">
            <v>2.54</v>
          </cell>
          <cell r="F192">
            <v>256.5</v>
          </cell>
        </row>
        <row r="193">
          <cell r="A193">
            <v>1510</v>
          </cell>
          <cell r="B193" t="str">
            <v>70SF-1201B (NA)</v>
          </cell>
          <cell r="C193" t="str">
            <v>m</v>
          </cell>
          <cell r="D193">
            <v>254</v>
          </cell>
          <cell r="E193">
            <v>2.54</v>
          </cell>
          <cell r="F193">
            <v>256.5</v>
          </cell>
        </row>
        <row r="194">
          <cell r="A194">
            <v>1511</v>
          </cell>
          <cell r="B194" t="str">
            <v>DG-02 (NA)</v>
          </cell>
          <cell r="C194" t="str">
            <v>m</v>
          </cell>
          <cell r="D194">
            <v>229.18</v>
          </cell>
          <cell r="E194">
            <v>2.29</v>
          </cell>
          <cell r="F194">
            <v>231.5</v>
          </cell>
        </row>
        <row r="195">
          <cell r="A195">
            <v>1512</v>
          </cell>
          <cell r="B195" t="str">
            <v>DG-102 (NA)</v>
          </cell>
          <cell r="C195" t="str">
            <v>m</v>
          </cell>
          <cell r="D195">
            <v>204.91</v>
          </cell>
          <cell r="E195">
            <v>2.0499999999999998</v>
          </cell>
          <cell r="F195">
            <v>207</v>
          </cell>
        </row>
        <row r="196">
          <cell r="A196">
            <v>1513</v>
          </cell>
          <cell r="B196" t="str">
            <v>CA-1001(NA)</v>
          </cell>
          <cell r="C196" t="str">
            <v>m</v>
          </cell>
          <cell r="D196">
            <v>569.01</v>
          </cell>
          <cell r="E196">
            <v>5.69</v>
          </cell>
          <cell r="F196">
            <v>574.5</v>
          </cell>
        </row>
        <row r="197">
          <cell r="A197">
            <v>1514</v>
          </cell>
          <cell r="B197" t="str">
            <v>CA-1002 (NA)</v>
          </cell>
          <cell r="C197" t="str">
            <v>m</v>
          </cell>
          <cell r="D197">
            <v>889.34</v>
          </cell>
          <cell r="E197">
            <v>8.89</v>
          </cell>
          <cell r="F197">
            <v>898</v>
          </cell>
        </row>
        <row r="198">
          <cell r="A198">
            <v>1515</v>
          </cell>
          <cell r="B198" t="str">
            <v>100D-1914 (NA)</v>
          </cell>
          <cell r="C198" t="str">
            <v>m</v>
          </cell>
          <cell r="D198">
            <v>124.61</v>
          </cell>
          <cell r="E198">
            <v>1.25</v>
          </cell>
          <cell r="F198">
            <v>126</v>
          </cell>
        </row>
        <row r="199">
          <cell r="A199">
            <v>1516</v>
          </cell>
          <cell r="B199" t="str">
            <v>CA-1007 (NA)</v>
          </cell>
          <cell r="C199" t="str">
            <v>m</v>
          </cell>
          <cell r="D199">
            <v>255.24</v>
          </cell>
          <cell r="E199">
            <v>2.5499999999999998</v>
          </cell>
          <cell r="F199">
            <v>258</v>
          </cell>
        </row>
        <row r="200">
          <cell r="A200">
            <v>1517</v>
          </cell>
          <cell r="B200" t="str">
            <v>CA-1008 (NA)</v>
          </cell>
          <cell r="C200" t="str">
            <v>m</v>
          </cell>
          <cell r="D200">
            <v>433.28</v>
          </cell>
          <cell r="E200">
            <v>4.33</v>
          </cell>
          <cell r="F200">
            <v>437.5</v>
          </cell>
        </row>
        <row r="201">
          <cell r="A201">
            <v>1518</v>
          </cell>
          <cell r="B201" t="str">
            <v>CA-2005 (NA)</v>
          </cell>
          <cell r="C201" t="str">
            <v>m</v>
          </cell>
          <cell r="D201">
            <v>485.08</v>
          </cell>
          <cell r="E201">
            <v>4.8499999999999996</v>
          </cell>
          <cell r="F201">
            <v>490</v>
          </cell>
        </row>
        <row r="202">
          <cell r="A202">
            <v>1519</v>
          </cell>
          <cell r="B202" t="str">
            <v>A-111 (MF)</v>
          </cell>
          <cell r="C202" t="str">
            <v>m</v>
          </cell>
          <cell r="D202">
            <v>392.87</v>
          </cell>
          <cell r="E202">
            <v>3.93</v>
          </cell>
          <cell r="F202">
            <v>397</v>
          </cell>
        </row>
        <row r="203">
          <cell r="A203">
            <v>1520</v>
          </cell>
          <cell r="B203" t="str">
            <v>DG-01 (NA)</v>
          </cell>
          <cell r="C203" t="str">
            <v>m</v>
          </cell>
          <cell r="D203">
            <v>219.18</v>
          </cell>
          <cell r="E203">
            <v>2.19</v>
          </cell>
          <cell r="F203">
            <v>221.5</v>
          </cell>
        </row>
        <row r="204">
          <cell r="A204">
            <v>1521</v>
          </cell>
          <cell r="B204" t="str">
            <v>DG-101(NA)</v>
          </cell>
          <cell r="C204" t="str">
            <v>m</v>
          </cell>
          <cell r="D204">
            <v>189.01</v>
          </cell>
          <cell r="E204">
            <v>1.89</v>
          </cell>
          <cell r="F204">
            <v>191</v>
          </cell>
        </row>
        <row r="205">
          <cell r="A205">
            <v>1522</v>
          </cell>
          <cell r="B205" t="str">
            <v>CA-2004 (NA)</v>
          </cell>
          <cell r="C205" t="str">
            <v>m</v>
          </cell>
          <cell r="D205">
            <v>332.78</v>
          </cell>
          <cell r="E205">
            <v>3.33</v>
          </cell>
          <cell r="F205">
            <v>336</v>
          </cell>
        </row>
        <row r="206">
          <cell r="A206">
            <v>1523</v>
          </cell>
          <cell r="B206" t="str">
            <v>GL-107 (NA)</v>
          </cell>
          <cell r="C206" t="str">
            <v>m</v>
          </cell>
          <cell r="D206">
            <v>130.82</v>
          </cell>
          <cell r="E206">
            <v>1.31</v>
          </cell>
          <cell r="F206">
            <v>132</v>
          </cell>
        </row>
        <row r="207">
          <cell r="A207">
            <v>1524</v>
          </cell>
          <cell r="B207" t="str">
            <v>CA-1003 (NA)</v>
          </cell>
          <cell r="C207" t="str">
            <v>m</v>
          </cell>
          <cell r="D207">
            <v>352.13</v>
          </cell>
          <cell r="E207">
            <v>3.52</v>
          </cell>
          <cell r="F207">
            <v>355.5</v>
          </cell>
        </row>
        <row r="208">
          <cell r="A208">
            <v>1525</v>
          </cell>
          <cell r="B208" t="str">
            <v>CA-1004 (NA)</v>
          </cell>
          <cell r="C208" t="str">
            <v>m</v>
          </cell>
          <cell r="D208">
            <v>526.39</v>
          </cell>
          <cell r="E208">
            <v>5.26</v>
          </cell>
          <cell r="F208">
            <v>531.5</v>
          </cell>
        </row>
        <row r="209">
          <cell r="A209">
            <v>1526</v>
          </cell>
          <cell r="B209" t="str">
            <v>CA-2006 (NA)</v>
          </cell>
          <cell r="C209" t="str">
            <v>m</v>
          </cell>
          <cell r="D209">
            <v>491.13</v>
          </cell>
          <cell r="E209">
            <v>4.91</v>
          </cell>
          <cell r="F209">
            <v>496</v>
          </cell>
        </row>
        <row r="210">
          <cell r="A210">
            <v>1527</v>
          </cell>
          <cell r="B210" t="str">
            <v>DG-02 (NA)</v>
          </cell>
          <cell r="C210" t="str">
            <v>m</v>
          </cell>
          <cell r="D210">
            <v>229.18</v>
          </cell>
          <cell r="E210">
            <v>2.29</v>
          </cell>
          <cell r="F210">
            <v>231.5</v>
          </cell>
        </row>
        <row r="211">
          <cell r="A211">
            <v>1528</v>
          </cell>
          <cell r="B211" t="str">
            <v>DG-102(NA)</v>
          </cell>
          <cell r="C211" t="str">
            <v>m</v>
          </cell>
          <cell r="D211">
            <v>204.91</v>
          </cell>
          <cell r="E211">
            <v>2.0499999999999998</v>
          </cell>
          <cell r="F211">
            <v>207</v>
          </cell>
        </row>
        <row r="212">
          <cell r="A212">
            <v>1529</v>
          </cell>
          <cell r="B212" t="str">
            <v>CA-1001 (NA)</v>
          </cell>
          <cell r="C212" t="str">
            <v>m</v>
          </cell>
          <cell r="D212">
            <v>569.01</v>
          </cell>
          <cell r="E212">
            <v>5.69</v>
          </cell>
          <cell r="F212">
            <v>574.5</v>
          </cell>
        </row>
        <row r="213">
          <cell r="A213">
            <v>1530</v>
          </cell>
          <cell r="B213" t="str">
            <v>CA-1002 (NA)</v>
          </cell>
          <cell r="C213" t="str">
            <v>m</v>
          </cell>
          <cell r="D213">
            <v>889.34</v>
          </cell>
          <cell r="E213">
            <v>8.89</v>
          </cell>
          <cell r="F213">
            <v>898</v>
          </cell>
        </row>
        <row r="214">
          <cell r="A214">
            <v>1531</v>
          </cell>
          <cell r="B214" t="str">
            <v>100D-3104 (NA)</v>
          </cell>
          <cell r="C214" t="str">
            <v>m</v>
          </cell>
          <cell r="D214">
            <v>602.61</v>
          </cell>
          <cell r="E214">
            <v>6.03</v>
          </cell>
          <cell r="F214">
            <v>608.5</v>
          </cell>
        </row>
        <row r="215">
          <cell r="A215">
            <v>1532</v>
          </cell>
          <cell r="B215" t="str">
            <v>100D-101 (NA)</v>
          </cell>
          <cell r="C215" t="str">
            <v>m</v>
          </cell>
          <cell r="D215">
            <v>823.23</v>
          </cell>
          <cell r="E215">
            <v>8.23</v>
          </cell>
          <cell r="F215">
            <v>831.5</v>
          </cell>
        </row>
        <row r="216">
          <cell r="A216">
            <v>1533</v>
          </cell>
          <cell r="B216" t="str">
            <v>100D-102 (NA)</v>
          </cell>
          <cell r="C216" t="str">
            <v>m</v>
          </cell>
          <cell r="D216">
            <v>862.3</v>
          </cell>
          <cell r="E216">
            <v>8.6199999999999992</v>
          </cell>
          <cell r="F216">
            <v>871</v>
          </cell>
        </row>
        <row r="217">
          <cell r="A217">
            <v>1534</v>
          </cell>
          <cell r="B217" t="str">
            <v>100D-201 (NA)</v>
          </cell>
          <cell r="C217" t="str">
            <v>m</v>
          </cell>
          <cell r="D217">
            <v>796.92</v>
          </cell>
          <cell r="E217">
            <v>7.97</v>
          </cell>
          <cell r="F217">
            <v>805</v>
          </cell>
        </row>
        <row r="218">
          <cell r="A218">
            <v>1535</v>
          </cell>
          <cell r="B218" t="str">
            <v>100D-301 (NA)</v>
          </cell>
          <cell r="C218" t="str">
            <v>m</v>
          </cell>
          <cell r="D218">
            <v>946.61</v>
          </cell>
          <cell r="E218">
            <v>9.4700000000000006</v>
          </cell>
          <cell r="F218">
            <v>956</v>
          </cell>
        </row>
        <row r="219">
          <cell r="A219">
            <v>1536</v>
          </cell>
          <cell r="B219" t="str">
            <v>100D-401 (NA)</v>
          </cell>
          <cell r="C219" t="str">
            <v>m</v>
          </cell>
          <cell r="D219">
            <v>1048.3</v>
          </cell>
          <cell r="E219">
            <v>10.48</v>
          </cell>
          <cell r="F219">
            <v>1059</v>
          </cell>
        </row>
        <row r="220">
          <cell r="A220">
            <v>1537</v>
          </cell>
          <cell r="B220" t="str">
            <v>100D-501 (NA)</v>
          </cell>
          <cell r="C220" t="str">
            <v>m</v>
          </cell>
          <cell r="D220">
            <v>112.15</v>
          </cell>
          <cell r="E220">
            <v>1.1200000000000001</v>
          </cell>
          <cell r="F220">
            <v>113.5</v>
          </cell>
        </row>
        <row r="221">
          <cell r="A221">
            <v>1538</v>
          </cell>
          <cell r="B221" t="str">
            <v>70D-1910 (NA)</v>
          </cell>
          <cell r="C221" t="str">
            <v>m</v>
          </cell>
          <cell r="D221">
            <v>128.30000000000001</v>
          </cell>
          <cell r="E221">
            <v>1.28</v>
          </cell>
          <cell r="F221">
            <v>129.5</v>
          </cell>
        </row>
        <row r="222">
          <cell r="A222">
            <v>1539</v>
          </cell>
          <cell r="B222" t="str">
            <v>100D-3503A (NA)</v>
          </cell>
          <cell r="C222" t="str">
            <v>m</v>
          </cell>
          <cell r="D222">
            <v>596.91999999999996</v>
          </cell>
          <cell r="E222">
            <v>5.97</v>
          </cell>
          <cell r="F222">
            <v>603</v>
          </cell>
        </row>
        <row r="223">
          <cell r="A223">
            <v>1540</v>
          </cell>
          <cell r="B223" t="str">
            <v>100D-3004A (NA)</v>
          </cell>
          <cell r="C223" t="str">
            <v>m</v>
          </cell>
          <cell r="D223">
            <v>704.3</v>
          </cell>
          <cell r="E223">
            <v>7.04</v>
          </cell>
          <cell r="F223">
            <v>711</v>
          </cell>
        </row>
        <row r="224">
          <cell r="A224">
            <v>1541</v>
          </cell>
          <cell r="B224" t="str">
            <v>100D-3207 (NA)</v>
          </cell>
          <cell r="C224" t="str">
            <v>m</v>
          </cell>
          <cell r="D224">
            <v>918.15</v>
          </cell>
          <cell r="E224">
            <v>9.18</v>
          </cell>
          <cell r="F224">
            <v>937.5</v>
          </cell>
        </row>
        <row r="225">
          <cell r="A225">
            <v>1542</v>
          </cell>
          <cell r="B225" t="str">
            <v>100D-3503 (NA)</v>
          </cell>
          <cell r="C225" t="str">
            <v>m</v>
          </cell>
          <cell r="D225">
            <v>651.69000000000005</v>
          </cell>
          <cell r="E225">
            <v>6.52</v>
          </cell>
          <cell r="F225">
            <v>658</v>
          </cell>
        </row>
        <row r="226">
          <cell r="A226">
            <v>1543</v>
          </cell>
          <cell r="B226" t="str">
            <v>100D-1914 (NA)</v>
          </cell>
          <cell r="C226" t="str">
            <v>m</v>
          </cell>
          <cell r="D226">
            <v>124.61</v>
          </cell>
          <cell r="E226">
            <v>1.25</v>
          </cell>
          <cell r="F226">
            <v>126</v>
          </cell>
        </row>
        <row r="227">
          <cell r="A227">
            <v>1544</v>
          </cell>
          <cell r="B227" t="str">
            <v>100D-3203 (NA)</v>
          </cell>
          <cell r="C227" t="str">
            <v>m</v>
          </cell>
          <cell r="D227">
            <v>693.07</v>
          </cell>
          <cell r="E227">
            <v>6.93</v>
          </cell>
          <cell r="F227">
            <v>700</v>
          </cell>
        </row>
        <row r="228">
          <cell r="A228">
            <v>1545</v>
          </cell>
          <cell r="B228" t="str">
            <v>70S-1002-1(NA)</v>
          </cell>
          <cell r="C228" t="str">
            <v>m</v>
          </cell>
          <cell r="D228">
            <v>323.83999999999997</v>
          </cell>
          <cell r="E228">
            <v>3.24</v>
          </cell>
          <cell r="F228">
            <v>327</v>
          </cell>
        </row>
        <row r="229">
          <cell r="A229">
            <v>1546</v>
          </cell>
          <cell r="B229" t="str">
            <v>70S-1102-1 (NA)</v>
          </cell>
          <cell r="C229" t="str">
            <v>m</v>
          </cell>
          <cell r="D229">
            <v>236.92</v>
          </cell>
          <cell r="E229">
            <v>2.37</v>
          </cell>
          <cell r="F229">
            <v>239.5</v>
          </cell>
        </row>
        <row r="230">
          <cell r="A230">
            <v>1547</v>
          </cell>
          <cell r="B230" t="str">
            <v>70S-1202-1(NA)</v>
          </cell>
          <cell r="C230" t="str">
            <v>m</v>
          </cell>
          <cell r="D230">
            <v>236.92</v>
          </cell>
          <cell r="E230">
            <v>2.37</v>
          </cell>
          <cell r="F230">
            <v>239.5</v>
          </cell>
        </row>
        <row r="231">
          <cell r="A231">
            <v>1548</v>
          </cell>
          <cell r="B231" t="str">
            <v>70S-1704A (NA)</v>
          </cell>
          <cell r="C231" t="str">
            <v>m</v>
          </cell>
          <cell r="D231">
            <v>441.38</v>
          </cell>
          <cell r="E231">
            <v>4.41</v>
          </cell>
          <cell r="F231">
            <v>446</v>
          </cell>
        </row>
        <row r="232">
          <cell r="A232">
            <v>1549</v>
          </cell>
          <cell r="B232" t="str">
            <v>70S-1402-1 (NA)</v>
          </cell>
          <cell r="C232" t="str">
            <v>m</v>
          </cell>
          <cell r="D232">
            <v>299.52999999999997</v>
          </cell>
          <cell r="E232">
            <v>3</v>
          </cell>
          <cell r="F232">
            <v>302.5</v>
          </cell>
        </row>
        <row r="233">
          <cell r="A233">
            <v>1550</v>
          </cell>
          <cell r="B233" t="str">
            <v>70S-1801 (NA)</v>
          </cell>
          <cell r="C233" t="str">
            <v>m</v>
          </cell>
          <cell r="D233">
            <v>281.38</v>
          </cell>
          <cell r="E233">
            <v>2.81</v>
          </cell>
          <cell r="F233">
            <v>284</v>
          </cell>
        </row>
        <row r="234">
          <cell r="A234">
            <v>1551</v>
          </cell>
          <cell r="B234" t="str">
            <v>70S-1101-2 (NA)</v>
          </cell>
          <cell r="C234" t="str">
            <v>m</v>
          </cell>
          <cell r="D234">
            <v>466.46</v>
          </cell>
          <cell r="E234">
            <v>4.66</v>
          </cell>
          <cell r="F234">
            <v>471</v>
          </cell>
        </row>
        <row r="235">
          <cell r="A235">
            <v>1552</v>
          </cell>
          <cell r="B235" t="str">
            <v>70S-1001-1 (NA)</v>
          </cell>
          <cell r="C235" t="str">
            <v>m</v>
          </cell>
          <cell r="D235">
            <v>461.07</v>
          </cell>
          <cell r="E235">
            <v>4.6100000000000003</v>
          </cell>
          <cell r="F235">
            <v>465.5</v>
          </cell>
        </row>
        <row r="236">
          <cell r="A236">
            <v>1553</v>
          </cell>
          <cell r="B236" t="str">
            <v>70S-1704A (NA)</v>
          </cell>
          <cell r="C236" t="str">
            <v>m</v>
          </cell>
          <cell r="D236">
            <v>441.38</v>
          </cell>
          <cell r="E236">
            <v>4.41</v>
          </cell>
          <cell r="F236">
            <v>446</v>
          </cell>
        </row>
        <row r="237">
          <cell r="A237">
            <v>1554</v>
          </cell>
          <cell r="B237" t="str">
            <v>70S-1401-1 (NA)</v>
          </cell>
          <cell r="C237" t="str">
            <v>m</v>
          </cell>
          <cell r="D237">
            <v>306.76</v>
          </cell>
          <cell r="E237">
            <v>3.07</v>
          </cell>
          <cell r="F237">
            <v>310</v>
          </cell>
        </row>
        <row r="238">
          <cell r="A238">
            <v>1555</v>
          </cell>
          <cell r="B238" t="str">
            <v>70S-1201-1 (NA)</v>
          </cell>
          <cell r="C238" t="str">
            <v>m</v>
          </cell>
          <cell r="D238">
            <v>375.07</v>
          </cell>
          <cell r="E238">
            <v>3.75</v>
          </cell>
          <cell r="F238">
            <v>379</v>
          </cell>
        </row>
        <row r="239">
          <cell r="A239">
            <v>1556</v>
          </cell>
          <cell r="B239" t="str">
            <v>70S-1604 (NA)</v>
          </cell>
          <cell r="C239" t="str">
            <v>m</v>
          </cell>
          <cell r="D239">
            <v>367.07</v>
          </cell>
          <cell r="E239">
            <v>3.67</v>
          </cell>
          <cell r="F239">
            <v>371</v>
          </cell>
        </row>
        <row r="240">
          <cell r="A240">
            <v>1557</v>
          </cell>
          <cell r="B240" t="str">
            <v>70S-1801 (NA)</v>
          </cell>
          <cell r="C240" t="str">
            <v>m</v>
          </cell>
          <cell r="D240">
            <v>281.38</v>
          </cell>
          <cell r="E240">
            <v>2.81</v>
          </cell>
          <cell r="F240">
            <v>284</v>
          </cell>
        </row>
        <row r="241">
          <cell r="A241">
            <v>1558</v>
          </cell>
          <cell r="B241" t="str">
            <v>PT-5157 (NA)</v>
          </cell>
          <cell r="C241" t="str">
            <v>m</v>
          </cell>
          <cell r="D241">
            <v>306.39</v>
          </cell>
          <cell r="E241">
            <v>3.06</v>
          </cell>
          <cell r="F241">
            <v>309.5</v>
          </cell>
        </row>
        <row r="242">
          <cell r="A242">
            <v>1559</v>
          </cell>
          <cell r="B242" t="str">
            <v>PT-5158 (NA)</v>
          </cell>
          <cell r="C242" t="str">
            <v>m</v>
          </cell>
          <cell r="D242">
            <v>226.72</v>
          </cell>
          <cell r="E242">
            <v>2.27</v>
          </cell>
          <cell r="F242">
            <v>229</v>
          </cell>
        </row>
        <row r="243">
          <cell r="A243">
            <v>1560</v>
          </cell>
          <cell r="B243" t="str">
            <v>PT-5153 (NA)</v>
          </cell>
          <cell r="C243" t="str">
            <v>m</v>
          </cell>
          <cell r="D243">
            <v>82.78</v>
          </cell>
          <cell r="E243">
            <v>0.83</v>
          </cell>
          <cell r="F243">
            <v>83.5</v>
          </cell>
        </row>
        <row r="244">
          <cell r="A244">
            <v>1561</v>
          </cell>
          <cell r="B244" t="str">
            <v>PT-5154 (NA)</v>
          </cell>
          <cell r="C244" t="str">
            <v>m</v>
          </cell>
          <cell r="D244">
            <v>169.34</v>
          </cell>
          <cell r="E244">
            <v>1.69</v>
          </cell>
          <cell r="F244">
            <v>171</v>
          </cell>
        </row>
        <row r="245">
          <cell r="A245">
            <v>1562</v>
          </cell>
          <cell r="B245" t="str">
            <v>A-110A (MF)</v>
          </cell>
          <cell r="C245" t="str">
            <v>m</v>
          </cell>
          <cell r="D245">
            <v>287.37</v>
          </cell>
          <cell r="E245">
            <v>2.87</v>
          </cell>
          <cell r="F245">
            <v>290</v>
          </cell>
        </row>
        <row r="246">
          <cell r="A246">
            <v>0</v>
          </cell>
          <cell r="B246" t="str">
            <v>Aluminium Extrusions (Bronze Anodized)</v>
          </cell>
          <cell r="C246">
            <v>0</v>
          </cell>
          <cell r="D246">
            <v>0</v>
          </cell>
          <cell r="E246">
            <v>0</v>
          </cell>
          <cell r="F246">
            <v>0</v>
          </cell>
        </row>
        <row r="247">
          <cell r="A247">
            <v>1601</v>
          </cell>
          <cell r="B247" t="str">
            <v>70S-1101-1 (BA)</v>
          </cell>
          <cell r="C247" t="str">
            <v>m</v>
          </cell>
          <cell r="D247">
            <v>458.61</v>
          </cell>
          <cell r="E247">
            <v>4.59</v>
          </cell>
          <cell r="F247">
            <v>463</v>
          </cell>
        </row>
        <row r="248">
          <cell r="A248">
            <v>1602</v>
          </cell>
          <cell r="B248" t="str">
            <v>70S-1001-1 (BA)</v>
          </cell>
          <cell r="C248" t="str">
            <v>m</v>
          </cell>
          <cell r="D248">
            <v>469.38</v>
          </cell>
          <cell r="E248">
            <v>4.6900000000000004</v>
          </cell>
          <cell r="F248">
            <v>474</v>
          </cell>
        </row>
        <row r="249">
          <cell r="A249">
            <v>1603</v>
          </cell>
          <cell r="B249" t="str">
            <v>70S-1201-1 (BA)</v>
          </cell>
          <cell r="C249" t="str">
            <v>m</v>
          </cell>
          <cell r="D249">
            <v>382</v>
          </cell>
          <cell r="E249">
            <v>3.82</v>
          </cell>
          <cell r="F249">
            <v>386</v>
          </cell>
        </row>
        <row r="250">
          <cell r="A250">
            <v>1604</v>
          </cell>
          <cell r="B250" t="str">
            <v>70S-1604 (BA)</v>
          </cell>
          <cell r="C250" t="str">
            <v>m</v>
          </cell>
          <cell r="D250">
            <v>373.85</v>
          </cell>
          <cell r="E250">
            <v>3.74</v>
          </cell>
          <cell r="F250">
            <v>377.5</v>
          </cell>
        </row>
        <row r="251">
          <cell r="A251">
            <v>1605</v>
          </cell>
          <cell r="B251" t="str">
            <v>70S-1704 (BA)</v>
          </cell>
          <cell r="C251" t="str">
            <v>m</v>
          </cell>
          <cell r="D251">
            <v>352.77</v>
          </cell>
          <cell r="E251">
            <v>3.53</v>
          </cell>
          <cell r="F251">
            <v>356.5</v>
          </cell>
        </row>
        <row r="252">
          <cell r="A252">
            <v>1606</v>
          </cell>
          <cell r="B252" t="str">
            <v>70S-1503A (BA)</v>
          </cell>
          <cell r="C252" t="str">
            <v>m</v>
          </cell>
          <cell r="D252">
            <v>441.38</v>
          </cell>
          <cell r="E252">
            <v>4.41</v>
          </cell>
          <cell r="F252">
            <v>446</v>
          </cell>
        </row>
        <row r="253">
          <cell r="A253">
            <v>1607</v>
          </cell>
          <cell r="B253" t="str">
            <v>70S-1401-1 (BA)</v>
          </cell>
          <cell r="C253" t="str">
            <v>m</v>
          </cell>
          <cell r="D253">
            <v>312</v>
          </cell>
          <cell r="E253">
            <v>3.12</v>
          </cell>
          <cell r="F253">
            <v>315</v>
          </cell>
        </row>
        <row r="254">
          <cell r="A254">
            <v>1608</v>
          </cell>
          <cell r="B254" t="str">
            <v>70SF-1006 (BA)</v>
          </cell>
          <cell r="C254" t="str">
            <v>m</v>
          </cell>
          <cell r="D254">
            <v>740.46</v>
          </cell>
          <cell r="E254">
            <v>7.4</v>
          </cell>
          <cell r="F254">
            <v>748</v>
          </cell>
        </row>
        <row r="255">
          <cell r="A255">
            <v>1609</v>
          </cell>
          <cell r="B255" t="str">
            <v>70SF-1201A (BA)</v>
          </cell>
          <cell r="C255" t="str">
            <v>m</v>
          </cell>
          <cell r="D255">
            <v>258.14999999999998</v>
          </cell>
          <cell r="E255">
            <v>2.58</v>
          </cell>
          <cell r="F255">
            <v>261</v>
          </cell>
        </row>
        <row r="256">
          <cell r="A256">
            <v>1610</v>
          </cell>
          <cell r="B256" t="str">
            <v>70SF-1201B (BA)</v>
          </cell>
          <cell r="C256" t="str">
            <v>m</v>
          </cell>
          <cell r="D256">
            <v>258.14999999999998</v>
          </cell>
          <cell r="E256">
            <v>2.58</v>
          </cell>
          <cell r="F256">
            <v>260.5</v>
          </cell>
        </row>
        <row r="257">
          <cell r="A257">
            <v>1611</v>
          </cell>
          <cell r="B257" t="str">
            <v>DG-02 (BA)</v>
          </cell>
          <cell r="C257" t="str">
            <v>m</v>
          </cell>
          <cell r="D257">
            <v>233.6</v>
          </cell>
          <cell r="E257">
            <v>2.34</v>
          </cell>
          <cell r="F257">
            <v>236</v>
          </cell>
        </row>
        <row r="258">
          <cell r="A258">
            <v>1612</v>
          </cell>
          <cell r="B258" t="str">
            <v>DG-102 (BA)</v>
          </cell>
          <cell r="C258" t="str">
            <v>m</v>
          </cell>
          <cell r="D258">
            <v>208.52</v>
          </cell>
          <cell r="E258">
            <v>2.09</v>
          </cell>
          <cell r="F258">
            <v>210.5</v>
          </cell>
        </row>
        <row r="259">
          <cell r="A259">
            <v>1613</v>
          </cell>
          <cell r="B259" t="str">
            <v>CA-1001(BA)</v>
          </cell>
          <cell r="C259" t="str">
            <v>m</v>
          </cell>
          <cell r="D259">
            <v>579.51</v>
          </cell>
          <cell r="E259">
            <v>5.8</v>
          </cell>
          <cell r="F259">
            <v>585.5</v>
          </cell>
        </row>
        <row r="260">
          <cell r="A260">
            <v>1614</v>
          </cell>
          <cell r="B260" t="str">
            <v>CA-1002 (BA)</v>
          </cell>
          <cell r="C260" t="str">
            <v>m</v>
          </cell>
          <cell r="D260">
            <v>905.57</v>
          </cell>
          <cell r="E260">
            <v>9.06</v>
          </cell>
          <cell r="F260">
            <v>914.5</v>
          </cell>
        </row>
        <row r="261">
          <cell r="A261">
            <v>1615</v>
          </cell>
          <cell r="B261" t="str">
            <v>100D-1914 (BA)</v>
          </cell>
          <cell r="C261" t="str">
            <v>m</v>
          </cell>
          <cell r="D261">
            <v>127.07</v>
          </cell>
          <cell r="E261">
            <v>1.27</v>
          </cell>
          <cell r="F261">
            <v>128.5</v>
          </cell>
        </row>
        <row r="262">
          <cell r="A262">
            <v>1616</v>
          </cell>
          <cell r="B262" t="str">
            <v>CA-1007 (BA)</v>
          </cell>
          <cell r="C262" t="str">
            <v>m</v>
          </cell>
          <cell r="D262">
            <v>260.32</v>
          </cell>
          <cell r="E262">
            <v>2.6</v>
          </cell>
          <cell r="F262">
            <v>263</v>
          </cell>
        </row>
        <row r="263">
          <cell r="A263">
            <v>1617</v>
          </cell>
          <cell r="B263" t="str">
            <v>CA-1008 (BA)</v>
          </cell>
          <cell r="C263" t="str">
            <v>m</v>
          </cell>
          <cell r="D263">
            <v>441.8</v>
          </cell>
          <cell r="E263">
            <v>4.42</v>
          </cell>
          <cell r="F263">
            <v>446</v>
          </cell>
        </row>
        <row r="264">
          <cell r="A264">
            <v>1618</v>
          </cell>
          <cell r="B264" t="str">
            <v>CA-2005 (BA)</v>
          </cell>
          <cell r="C264" t="str">
            <v>m</v>
          </cell>
          <cell r="D264">
            <v>493.6</v>
          </cell>
          <cell r="E264">
            <v>4.9400000000000004</v>
          </cell>
          <cell r="F264">
            <v>498.5</v>
          </cell>
        </row>
        <row r="265">
          <cell r="A265">
            <v>1619</v>
          </cell>
          <cell r="B265" t="str">
            <v>A-111 (MF)</v>
          </cell>
          <cell r="C265" t="str">
            <v>m</v>
          </cell>
          <cell r="D265">
            <v>392.88</v>
          </cell>
          <cell r="E265">
            <v>3.93</v>
          </cell>
          <cell r="F265">
            <v>397</v>
          </cell>
        </row>
        <row r="266">
          <cell r="A266">
            <v>1620</v>
          </cell>
          <cell r="B266" t="str">
            <v>DG-01 (BA)</v>
          </cell>
          <cell r="C266" t="str">
            <v>m</v>
          </cell>
          <cell r="D266">
            <v>223.44</v>
          </cell>
          <cell r="E266">
            <v>2.23</v>
          </cell>
          <cell r="F266">
            <v>225.5</v>
          </cell>
        </row>
        <row r="267">
          <cell r="A267">
            <v>1621</v>
          </cell>
          <cell r="B267" t="str">
            <v>DG-101(BA)</v>
          </cell>
          <cell r="C267" t="str">
            <v>m</v>
          </cell>
          <cell r="D267">
            <v>192.46</v>
          </cell>
          <cell r="E267">
            <v>1.92</v>
          </cell>
          <cell r="F267">
            <v>194.5</v>
          </cell>
        </row>
        <row r="268">
          <cell r="A268">
            <v>1622</v>
          </cell>
          <cell r="B268" t="str">
            <v>CA-2004 (BA)</v>
          </cell>
          <cell r="C268" t="str">
            <v>m</v>
          </cell>
          <cell r="D268">
            <v>339.01</v>
          </cell>
          <cell r="E268">
            <v>3.39</v>
          </cell>
          <cell r="F268">
            <v>342.5</v>
          </cell>
        </row>
        <row r="269">
          <cell r="A269">
            <v>1623</v>
          </cell>
          <cell r="B269" t="str">
            <v>GL-107 (BA)</v>
          </cell>
          <cell r="C269" t="str">
            <v>m</v>
          </cell>
          <cell r="D269">
            <v>132.94999999999999</v>
          </cell>
          <cell r="E269">
            <v>1.33</v>
          </cell>
          <cell r="F269">
            <v>134.5</v>
          </cell>
        </row>
        <row r="270">
          <cell r="A270">
            <v>1624</v>
          </cell>
          <cell r="B270" t="str">
            <v>CA-1003 (BA)</v>
          </cell>
          <cell r="C270" t="str">
            <v>m</v>
          </cell>
          <cell r="D270">
            <v>358.69</v>
          </cell>
          <cell r="E270">
            <v>3.59</v>
          </cell>
          <cell r="F270">
            <v>362.5</v>
          </cell>
        </row>
        <row r="271">
          <cell r="A271">
            <v>1625</v>
          </cell>
          <cell r="B271" t="str">
            <v>CA-1004 (BA)</v>
          </cell>
          <cell r="C271" t="str">
            <v>m</v>
          </cell>
          <cell r="D271">
            <v>535.9</v>
          </cell>
          <cell r="E271">
            <v>5.36</v>
          </cell>
          <cell r="F271">
            <v>541.5</v>
          </cell>
        </row>
        <row r="272">
          <cell r="A272">
            <v>1626</v>
          </cell>
          <cell r="B272" t="str">
            <v>CA-2006 (BA)</v>
          </cell>
          <cell r="C272" t="str">
            <v>m</v>
          </cell>
          <cell r="D272">
            <v>501.31</v>
          </cell>
          <cell r="E272">
            <v>5.01</v>
          </cell>
          <cell r="F272">
            <v>506.5</v>
          </cell>
        </row>
        <row r="273">
          <cell r="A273">
            <v>1627</v>
          </cell>
          <cell r="B273" t="str">
            <v>DG-02 (BA)</v>
          </cell>
          <cell r="C273" t="str">
            <v>m</v>
          </cell>
          <cell r="D273">
            <v>233.6</v>
          </cell>
          <cell r="E273">
            <v>2.34</v>
          </cell>
          <cell r="F273">
            <v>236</v>
          </cell>
        </row>
        <row r="274">
          <cell r="A274">
            <v>1628</v>
          </cell>
          <cell r="B274" t="str">
            <v>DG-102(BA)</v>
          </cell>
          <cell r="C274" t="str">
            <v>m</v>
          </cell>
          <cell r="D274">
            <v>208.52</v>
          </cell>
          <cell r="E274">
            <v>2.09</v>
          </cell>
          <cell r="F274">
            <v>210.5</v>
          </cell>
        </row>
        <row r="275">
          <cell r="A275">
            <v>1629</v>
          </cell>
          <cell r="B275" t="str">
            <v>CA-1001 (BA)</v>
          </cell>
          <cell r="C275" t="str">
            <v>m</v>
          </cell>
          <cell r="D275">
            <v>579.51</v>
          </cell>
          <cell r="E275">
            <v>5.8</v>
          </cell>
          <cell r="F275">
            <v>585.5</v>
          </cell>
        </row>
        <row r="276">
          <cell r="A276">
            <v>1630</v>
          </cell>
          <cell r="B276" t="str">
            <v>CA-1002 (BA)</v>
          </cell>
          <cell r="C276" t="str">
            <v>m</v>
          </cell>
          <cell r="D276">
            <v>905.57</v>
          </cell>
          <cell r="E276">
            <v>9.06</v>
          </cell>
          <cell r="F276">
            <v>914.5</v>
          </cell>
        </row>
        <row r="277">
          <cell r="A277">
            <v>1631</v>
          </cell>
          <cell r="B277" t="str">
            <v>100D-3104 (BA)</v>
          </cell>
          <cell r="C277" t="str">
            <v>m</v>
          </cell>
          <cell r="D277">
            <v>613.69000000000005</v>
          </cell>
          <cell r="E277">
            <v>6.14</v>
          </cell>
          <cell r="F277">
            <v>620</v>
          </cell>
        </row>
        <row r="278">
          <cell r="A278">
            <v>1632</v>
          </cell>
          <cell r="B278" t="str">
            <v>100D-101 (BA)</v>
          </cell>
          <cell r="C278" t="str">
            <v>m</v>
          </cell>
          <cell r="D278">
            <v>838.31</v>
          </cell>
          <cell r="E278">
            <v>8.3800000000000008</v>
          </cell>
          <cell r="F278">
            <v>846.5</v>
          </cell>
        </row>
        <row r="279">
          <cell r="A279">
            <v>1633</v>
          </cell>
          <cell r="B279" t="str">
            <v>100D-102 (BA)</v>
          </cell>
          <cell r="C279" t="str">
            <v>m</v>
          </cell>
          <cell r="D279">
            <v>877.85</v>
          </cell>
          <cell r="E279">
            <v>8.7799999999999994</v>
          </cell>
          <cell r="F279">
            <v>886.5</v>
          </cell>
        </row>
        <row r="280">
          <cell r="A280">
            <v>1634</v>
          </cell>
          <cell r="B280" t="str">
            <v>100D-201 (BA)</v>
          </cell>
          <cell r="C280" t="str">
            <v>m</v>
          </cell>
          <cell r="D280">
            <v>811.69</v>
          </cell>
          <cell r="E280">
            <v>8.1199999999999992</v>
          </cell>
          <cell r="F280">
            <v>820</v>
          </cell>
        </row>
        <row r="281">
          <cell r="A281">
            <v>1635</v>
          </cell>
          <cell r="B281" t="str">
            <v>100D-301 (BA)</v>
          </cell>
          <cell r="C281" t="str">
            <v>m</v>
          </cell>
          <cell r="D281">
            <v>964</v>
          </cell>
          <cell r="E281">
            <v>9.64</v>
          </cell>
          <cell r="F281">
            <v>973.5</v>
          </cell>
        </row>
        <row r="282">
          <cell r="A282">
            <v>1636</v>
          </cell>
          <cell r="B282" t="str">
            <v>100D-401 (BA)</v>
          </cell>
          <cell r="C282" t="str">
            <v>m</v>
          </cell>
          <cell r="D282">
            <v>1067.69</v>
          </cell>
          <cell r="E282">
            <v>10.68</v>
          </cell>
          <cell r="F282">
            <v>1078.5</v>
          </cell>
        </row>
        <row r="283">
          <cell r="A283">
            <v>1637</v>
          </cell>
          <cell r="B283" t="str">
            <v>100D-501 (BA)</v>
          </cell>
          <cell r="C283" t="str">
            <v>m</v>
          </cell>
          <cell r="D283">
            <v>114.15</v>
          </cell>
          <cell r="E283">
            <v>1.1399999999999999</v>
          </cell>
          <cell r="F283">
            <v>115.5</v>
          </cell>
        </row>
        <row r="284">
          <cell r="A284">
            <v>1638</v>
          </cell>
          <cell r="B284" t="str">
            <v>70D-1910 (BA)</v>
          </cell>
          <cell r="C284" t="str">
            <v>m</v>
          </cell>
          <cell r="D284">
            <v>130.30000000000001</v>
          </cell>
          <cell r="E284">
            <v>1.3</v>
          </cell>
          <cell r="F284">
            <v>131.5</v>
          </cell>
        </row>
        <row r="285">
          <cell r="A285">
            <v>1639</v>
          </cell>
          <cell r="B285" t="str">
            <v>100D-3503A (BA)</v>
          </cell>
          <cell r="C285" t="str">
            <v>m</v>
          </cell>
          <cell r="D285">
            <v>607.69000000000005</v>
          </cell>
          <cell r="E285">
            <v>6.08</v>
          </cell>
          <cell r="F285">
            <v>613.5</v>
          </cell>
        </row>
        <row r="286">
          <cell r="A286">
            <v>1640</v>
          </cell>
          <cell r="B286" t="str">
            <v>100D-3004A (BA)</v>
          </cell>
          <cell r="C286" t="str">
            <v>m</v>
          </cell>
          <cell r="D286">
            <v>717.38</v>
          </cell>
          <cell r="E286">
            <v>7.17</v>
          </cell>
          <cell r="F286">
            <v>724.5</v>
          </cell>
        </row>
        <row r="287">
          <cell r="A287">
            <v>1641</v>
          </cell>
          <cell r="B287" t="str">
            <v>100D-3207 (BA)</v>
          </cell>
          <cell r="C287" t="str">
            <v>m</v>
          </cell>
          <cell r="D287">
            <v>934.92</v>
          </cell>
          <cell r="E287">
            <v>9.35</v>
          </cell>
          <cell r="F287">
            <v>944.5</v>
          </cell>
        </row>
        <row r="288">
          <cell r="A288">
            <v>1642</v>
          </cell>
          <cell r="B288" t="str">
            <v>100D-3503 (BA)</v>
          </cell>
          <cell r="C288" t="str">
            <v>m</v>
          </cell>
          <cell r="D288">
            <v>663.85</v>
          </cell>
          <cell r="E288">
            <v>6.64</v>
          </cell>
          <cell r="F288">
            <v>670.5</v>
          </cell>
        </row>
        <row r="289">
          <cell r="A289">
            <v>1643</v>
          </cell>
          <cell r="B289" t="str">
            <v>100D-1914 (BA)</v>
          </cell>
          <cell r="C289" t="str">
            <v>m</v>
          </cell>
          <cell r="D289">
            <v>127.07</v>
          </cell>
          <cell r="E289">
            <v>1.27</v>
          </cell>
          <cell r="F289">
            <v>128.5</v>
          </cell>
        </row>
        <row r="290">
          <cell r="A290">
            <v>1644</v>
          </cell>
          <cell r="B290" t="str">
            <v>100D-3203 (BA)</v>
          </cell>
          <cell r="C290" t="str">
            <v>m</v>
          </cell>
          <cell r="D290">
            <v>705.53</v>
          </cell>
          <cell r="E290">
            <v>7.06</v>
          </cell>
          <cell r="F290">
            <v>712.5</v>
          </cell>
        </row>
        <row r="291">
          <cell r="A291">
            <v>1645</v>
          </cell>
          <cell r="B291" t="str">
            <v>70S-1002-1(BA)</v>
          </cell>
          <cell r="C291" t="str">
            <v>m</v>
          </cell>
          <cell r="D291">
            <v>329.69</v>
          </cell>
          <cell r="E291">
            <v>3.3</v>
          </cell>
          <cell r="F291">
            <v>333</v>
          </cell>
        </row>
        <row r="292">
          <cell r="A292">
            <v>1646</v>
          </cell>
          <cell r="B292" t="str">
            <v>70S-1102-1 (BA)</v>
          </cell>
          <cell r="C292" t="str">
            <v>m</v>
          </cell>
          <cell r="D292">
            <v>241.23</v>
          </cell>
          <cell r="E292">
            <v>2.41</v>
          </cell>
          <cell r="F292">
            <v>243.5</v>
          </cell>
        </row>
        <row r="293">
          <cell r="A293">
            <v>1647</v>
          </cell>
          <cell r="B293" t="str">
            <v>70S-1202-1(BA)</v>
          </cell>
          <cell r="C293" t="str">
            <v>m</v>
          </cell>
          <cell r="D293">
            <v>241.23</v>
          </cell>
          <cell r="E293">
            <v>2.41</v>
          </cell>
          <cell r="F293">
            <v>243.5</v>
          </cell>
        </row>
        <row r="294">
          <cell r="A294">
            <v>1648</v>
          </cell>
          <cell r="B294" t="str">
            <v>70S-1704A (BA)</v>
          </cell>
          <cell r="C294" t="str">
            <v>m</v>
          </cell>
          <cell r="D294">
            <v>449.54</v>
          </cell>
          <cell r="E294">
            <v>4.5</v>
          </cell>
          <cell r="F294">
            <v>454</v>
          </cell>
        </row>
        <row r="295">
          <cell r="A295">
            <v>1649</v>
          </cell>
          <cell r="B295" t="str">
            <v>70S-1402-1 (BA)</v>
          </cell>
          <cell r="C295" t="str">
            <v>m</v>
          </cell>
          <cell r="D295">
            <v>304.92</v>
          </cell>
          <cell r="E295">
            <v>3.05</v>
          </cell>
          <cell r="F295">
            <v>308</v>
          </cell>
        </row>
        <row r="296">
          <cell r="A296">
            <v>1650</v>
          </cell>
          <cell r="B296" t="str">
            <v>70S-1801 (BA)</v>
          </cell>
          <cell r="C296" t="str">
            <v>m</v>
          </cell>
          <cell r="D296">
            <v>286.45999999999998</v>
          </cell>
          <cell r="E296">
            <v>2.86</v>
          </cell>
          <cell r="F296">
            <v>289.5</v>
          </cell>
        </row>
        <row r="297">
          <cell r="A297">
            <v>1651</v>
          </cell>
          <cell r="B297" t="str">
            <v>70S-1101-2 (BA)</v>
          </cell>
          <cell r="C297" t="str">
            <v>m</v>
          </cell>
          <cell r="D297">
            <v>475.07</v>
          </cell>
          <cell r="E297">
            <v>4.75</v>
          </cell>
          <cell r="F297">
            <v>480</v>
          </cell>
        </row>
        <row r="298">
          <cell r="A298">
            <v>1652</v>
          </cell>
          <cell r="B298" t="str">
            <v>70S-1001-1 (BA)</v>
          </cell>
          <cell r="C298" t="str">
            <v>m</v>
          </cell>
          <cell r="D298">
            <v>469.38</v>
          </cell>
          <cell r="E298">
            <v>4.6900000000000004</v>
          </cell>
          <cell r="F298">
            <v>474</v>
          </cell>
        </row>
        <row r="299">
          <cell r="A299">
            <v>1653</v>
          </cell>
          <cell r="B299" t="str">
            <v>70S-1704A (BA)</v>
          </cell>
          <cell r="C299" t="str">
            <v>m</v>
          </cell>
          <cell r="D299">
            <v>449.54</v>
          </cell>
          <cell r="E299">
            <v>4.5</v>
          </cell>
          <cell r="F299">
            <v>454</v>
          </cell>
        </row>
        <row r="300">
          <cell r="A300">
            <v>1654</v>
          </cell>
          <cell r="B300" t="str">
            <v>70S-1401-1 (BA)</v>
          </cell>
          <cell r="C300" t="str">
            <v>m</v>
          </cell>
          <cell r="D300">
            <v>312</v>
          </cell>
          <cell r="E300">
            <v>3.12</v>
          </cell>
          <cell r="F300">
            <v>315</v>
          </cell>
        </row>
        <row r="301">
          <cell r="A301">
            <v>1655</v>
          </cell>
          <cell r="B301" t="str">
            <v>70S-1201-1 (BA)</v>
          </cell>
          <cell r="C301" t="str">
            <v>m</v>
          </cell>
          <cell r="D301">
            <v>382</v>
          </cell>
          <cell r="E301">
            <v>3.82</v>
          </cell>
          <cell r="F301">
            <v>386</v>
          </cell>
        </row>
        <row r="302">
          <cell r="A302">
            <v>1656</v>
          </cell>
          <cell r="B302" t="str">
            <v>70S-1604 (BA)</v>
          </cell>
          <cell r="C302" t="str">
            <v>m</v>
          </cell>
          <cell r="D302">
            <v>373.85</v>
          </cell>
          <cell r="E302">
            <v>3.74</v>
          </cell>
          <cell r="F302">
            <v>377.5</v>
          </cell>
        </row>
        <row r="303">
          <cell r="A303">
            <v>1657</v>
          </cell>
          <cell r="B303" t="str">
            <v>70S-1801 (BA)</v>
          </cell>
          <cell r="C303" t="str">
            <v>m</v>
          </cell>
          <cell r="D303">
            <v>286.45999999999998</v>
          </cell>
          <cell r="E303">
            <v>2.86</v>
          </cell>
          <cell r="F303">
            <v>289.5</v>
          </cell>
        </row>
        <row r="304">
          <cell r="A304">
            <v>1658</v>
          </cell>
          <cell r="B304" t="str">
            <v>PT-5157 (BA)</v>
          </cell>
          <cell r="C304" t="str">
            <v>m</v>
          </cell>
          <cell r="D304">
            <v>312.45999999999998</v>
          </cell>
          <cell r="E304">
            <v>3.12</v>
          </cell>
          <cell r="F304">
            <v>315.5</v>
          </cell>
        </row>
        <row r="305">
          <cell r="A305">
            <v>1659</v>
          </cell>
          <cell r="B305" t="str">
            <v>PT-5158 (BA)</v>
          </cell>
          <cell r="C305" t="str">
            <v>m</v>
          </cell>
          <cell r="D305">
            <v>230.32</v>
          </cell>
          <cell r="E305">
            <v>2.2999999999999998</v>
          </cell>
          <cell r="F305">
            <v>232.5</v>
          </cell>
        </row>
        <row r="306">
          <cell r="A306">
            <v>1660</v>
          </cell>
          <cell r="B306" t="str">
            <v>PT-5153 (BA)</v>
          </cell>
          <cell r="C306" t="str">
            <v>m</v>
          </cell>
          <cell r="D306">
            <v>84.42</v>
          </cell>
          <cell r="E306">
            <v>0.84</v>
          </cell>
          <cell r="F306">
            <v>85.5</v>
          </cell>
        </row>
        <row r="307">
          <cell r="A307">
            <v>1661</v>
          </cell>
          <cell r="B307" t="str">
            <v>PT-5154 (BA)</v>
          </cell>
          <cell r="C307" t="str">
            <v>m</v>
          </cell>
          <cell r="D307">
            <v>171.97</v>
          </cell>
          <cell r="E307">
            <v>1.72</v>
          </cell>
          <cell r="F307">
            <v>173.5</v>
          </cell>
        </row>
        <row r="308">
          <cell r="A308">
            <v>1662</v>
          </cell>
          <cell r="B308" t="str">
            <v>A-110A (MF)</v>
          </cell>
          <cell r="C308" t="str">
            <v>m</v>
          </cell>
          <cell r="D308">
            <v>257.05</v>
          </cell>
          <cell r="E308">
            <v>2.57</v>
          </cell>
          <cell r="F308">
            <v>259.5</v>
          </cell>
        </row>
        <row r="309">
          <cell r="A309">
            <v>0</v>
          </cell>
          <cell r="B309" t="str">
            <v>Aluminium Extrusions (Powder Coated)</v>
          </cell>
          <cell r="C309">
            <v>0</v>
          </cell>
          <cell r="D309">
            <v>0</v>
          </cell>
          <cell r="E309">
            <v>0</v>
          </cell>
          <cell r="F309">
            <v>0</v>
          </cell>
        </row>
        <row r="310">
          <cell r="A310">
            <v>1701</v>
          </cell>
          <cell r="B310" t="str">
            <v>70S-1101-1 (PC)</v>
          </cell>
          <cell r="C310" t="str">
            <v>m</v>
          </cell>
          <cell r="D310">
            <v>519.38</v>
          </cell>
          <cell r="E310">
            <v>5.19</v>
          </cell>
          <cell r="F310">
            <v>524.5</v>
          </cell>
        </row>
        <row r="311">
          <cell r="A311">
            <v>1702</v>
          </cell>
          <cell r="B311" t="str">
            <v>70S-1001-1 (PC)</v>
          </cell>
          <cell r="C311" t="str">
            <v>m</v>
          </cell>
          <cell r="D311">
            <v>531.23</v>
          </cell>
          <cell r="E311">
            <v>5.31</v>
          </cell>
          <cell r="F311">
            <v>536.5</v>
          </cell>
        </row>
        <row r="312">
          <cell r="A312">
            <v>1703</v>
          </cell>
          <cell r="B312" t="str">
            <v>70S-1201-1 (PC)</v>
          </cell>
          <cell r="C312" t="str">
            <v>m</v>
          </cell>
          <cell r="D312">
            <v>432.15</v>
          </cell>
          <cell r="E312">
            <v>4.32</v>
          </cell>
          <cell r="F312">
            <v>436.5</v>
          </cell>
        </row>
        <row r="313">
          <cell r="A313">
            <v>1704</v>
          </cell>
          <cell r="B313" t="str">
            <v>70S-1604 (PC)</v>
          </cell>
          <cell r="C313" t="str">
            <v>m</v>
          </cell>
          <cell r="D313">
            <v>422.92</v>
          </cell>
          <cell r="E313">
            <v>4.2300000000000004</v>
          </cell>
          <cell r="F313">
            <v>427</v>
          </cell>
        </row>
        <row r="314">
          <cell r="A314">
            <v>1705</v>
          </cell>
          <cell r="B314" t="str">
            <v>70S-1704 (PC)</v>
          </cell>
          <cell r="C314" t="str">
            <v>m</v>
          </cell>
          <cell r="D314">
            <v>399.23</v>
          </cell>
          <cell r="E314">
            <v>3.99</v>
          </cell>
          <cell r="F314">
            <v>403</v>
          </cell>
        </row>
        <row r="315">
          <cell r="A315">
            <v>1706</v>
          </cell>
          <cell r="B315" t="str">
            <v>70S-1503A (PC)</v>
          </cell>
          <cell r="C315" t="str">
            <v>m</v>
          </cell>
          <cell r="D315">
            <v>499.54</v>
          </cell>
          <cell r="E315">
            <v>5</v>
          </cell>
          <cell r="F315">
            <v>504.5</v>
          </cell>
        </row>
        <row r="316">
          <cell r="A316">
            <v>1707</v>
          </cell>
          <cell r="B316" t="str">
            <v>70S-1401-1 (PC)</v>
          </cell>
          <cell r="C316" t="str">
            <v>m</v>
          </cell>
          <cell r="D316">
            <v>353.23</v>
          </cell>
          <cell r="E316">
            <v>3.53</v>
          </cell>
          <cell r="F316">
            <v>357</v>
          </cell>
        </row>
        <row r="317">
          <cell r="A317">
            <v>1708</v>
          </cell>
          <cell r="B317" t="str">
            <v>70SF-1006 (PC)</v>
          </cell>
          <cell r="C317" t="str">
            <v>m</v>
          </cell>
          <cell r="D317">
            <v>838.15</v>
          </cell>
          <cell r="E317">
            <v>8.3800000000000008</v>
          </cell>
          <cell r="F317">
            <v>846.5</v>
          </cell>
        </row>
        <row r="318">
          <cell r="A318">
            <v>1709</v>
          </cell>
          <cell r="B318" t="str">
            <v>70SF-1201A (PC)</v>
          </cell>
          <cell r="C318" t="str">
            <v>m</v>
          </cell>
          <cell r="D318">
            <v>292.61</v>
          </cell>
          <cell r="E318">
            <v>2.93</v>
          </cell>
          <cell r="F318">
            <v>295.5</v>
          </cell>
        </row>
        <row r="319">
          <cell r="A319">
            <v>1710</v>
          </cell>
          <cell r="B319" t="str">
            <v>70SF-1201B (PC)</v>
          </cell>
          <cell r="C319" t="str">
            <v>m</v>
          </cell>
          <cell r="D319">
            <v>292.61</v>
          </cell>
          <cell r="E319">
            <v>2.93</v>
          </cell>
          <cell r="F319">
            <v>295.5</v>
          </cell>
        </row>
        <row r="320">
          <cell r="A320">
            <v>1711</v>
          </cell>
          <cell r="B320" t="str">
            <v>DG-02 (PC)</v>
          </cell>
          <cell r="C320" t="str">
            <v>m</v>
          </cell>
          <cell r="D320">
            <v>264.43</v>
          </cell>
          <cell r="E320">
            <v>2.64</v>
          </cell>
          <cell r="F320">
            <v>267</v>
          </cell>
        </row>
        <row r="321">
          <cell r="A321">
            <v>1712</v>
          </cell>
          <cell r="B321" t="str">
            <v>DG-102 (PC)</v>
          </cell>
          <cell r="C321" t="str">
            <v>m</v>
          </cell>
          <cell r="D321">
            <v>236.06</v>
          </cell>
          <cell r="E321">
            <v>2.36</v>
          </cell>
          <cell r="F321">
            <v>238.5</v>
          </cell>
        </row>
        <row r="322">
          <cell r="A322">
            <v>1713</v>
          </cell>
          <cell r="B322" t="str">
            <v>CA-1001(PC)</v>
          </cell>
          <cell r="C322" t="str">
            <v>m</v>
          </cell>
          <cell r="D322">
            <v>655.57</v>
          </cell>
          <cell r="E322">
            <v>6.56</v>
          </cell>
          <cell r="F322">
            <v>662</v>
          </cell>
        </row>
        <row r="323">
          <cell r="A323">
            <v>1714</v>
          </cell>
          <cell r="B323" t="str">
            <v>CA-1002 (PC)</v>
          </cell>
          <cell r="C323" t="str">
            <v>m</v>
          </cell>
          <cell r="D323">
            <v>1024.92</v>
          </cell>
          <cell r="E323">
            <v>10.25</v>
          </cell>
          <cell r="F323">
            <v>1035</v>
          </cell>
        </row>
        <row r="324">
          <cell r="A324">
            <v>1715</v>
          </cell>
          <cell r="B324" t="str">
            <v>100D-1914 (PC)</v>
          </cell>
          <cell r="C324" t="str">
            <v>m</v>
          </cell>
          <cell r="D324">
            <v>143.84</v>
          </cell>
          <cell r="E324">
            <v>1.44</v>
          </cell>
          <cell r="F324">
            <v>145.5</v>
          </cell>
        </row>
        <row r="325">
          <cell r="A325">
            <v>1716</v>
          </cell>
          <cell r="B325" t="str">
            <v>CA-1007 (PC)</v>
          </cell>
          <cell r="C325" t="str">
            <v>m</v>
          </cell>
          <cell r="D325">
            <v>294.75</v>
          </cell>
          <cell r="E325">
            <v>2.95</v>
          </cell>
          <cell r="F325">
            <v>297.5</v>
          </cell>
        </row>
        <row r="326">
          <cell r="A326">
            <v>1717</v>
          </cell>
          <cell r="B326" t="str">
            <v>CA-1008 (PC)</v>
          </cell>
          <cell r="C326" t="str">
            <v>m</v>
          </cell>
          <cell r="D326">
            <v>500.16</v>
          </cell>
          <cell r="E326">
            <v>5</v>
          </cell>
          <cell r="F326">
            <v>505</v>
          </cell>
        </row>
        <row r="327">
          <cell r="A327">
            <v>1718</v>
          </cell>
          <cell r="B327" t="str">
            <v>CA-2005 (PC)</v>
          </cell>
          <cell r="C327" t="str">
            <v>m</v>
          </cell>
          <cell r="D327">
            <v>558.85</v>
          </cell>
          <cell r="E327">
            <v>5.59</v>
          </cell>
          <cell r="F327">
            <v>564.5</v>
          </cell>
        </row>
        <row r="328">
          <cell r="A328">
            <v>1719</v>
          </cell>
          <cell r="B328" t="str">
            <v>A-111 (MF)</v>
          </cell>
          <cell r="C328" t="str">
            <v>m</v>
          </cell>
          <cell r="D328">
            <v>392.87</v>
          </cell>
          <cell r="E328">
            <v>3.93</v>
          </cell>
          <cell r="F328">
            <v>397</v>
          </cell>
        </row>
        <row r="329">
          <cell r="A329">
            <v>1720</v>
          </cell>
          <cell r="B329" t="str">
            <v>DG-01 (PC)</v>
          </cell>
          <cell r="C329" t="str">
            <v>m</v>
          </cell>
          <cell r="D329">
            <v>252.95</v>
          </cell>
          <cell r="E329">
            <v>2.5299999999999998</v>
          </cell>
          <cell r="F329">
            <v>255.5</v>
          </cell>
        </row>
        <row r="330">
          <cell r="A330">
            <v>1721</v>
          </cell>
          <cell r="B330" t="str">
            <v>DG-101(PC)</v>
          </cell>
          <cell r="C330" t="str">
            <v>m</v>
          </cell>
          <cell r="D330">
            <v>217.54</v>
          </cell>
          <cell r="E330">
            <v>2.1800000000000002</v>
          </cell>
          <cell r="F330">
            <v>219.5</v>
          </cell>
        </row>
        <row r="331">
          <cell r="A331">
            <v>1722</v>
          </cell>
          <cell r="B331" t="str">
            <v>CA-2004 (PC)</v>
          </cell>
          <cell r="C331" t="str">
            <v>m</v>
          </cell>
          <cell r="D331">
            <v>384.26</v>
          </cell>
          <cell r="E331">
            <v>3.84</v>
          </cell>
          <cell r="F331">
            <v>388</v>
          </cell>
        </row>
        <row r="332">
          <cell r="A332">
            <v>1723</v>
          </cell>
          <cell r="B332" t="str">
            <v>GL-107 (PC)</v>
          </cell>
          <cell r="C332" t="str">
            <v>m</v>
          </cell>
          <cell r="D332">
            <v>151.15</v>
          </cell>
          <cell r="E332">
            <v>1.51</v>
          </cell>
          <cell r="F332">
            <v>152.5</v>
          </cell>
        </row>
        <row r="333">
          <cell r="A333">
            <v>1724</v>
          </cell>
          <cell r="B333" t="str">
            <v>CA-1003 (PC)</v>
          </cell>
          <cell r="C333" t="str">
            <v>m</v>
          </cell>
          <cell r="D333">
            <v>405.74</v>
          </cell>
          <cell r="E333">
            <v>4.0599999999999996</v>
          </cell>
          <cell r="F333">
            <v>410</v>
          </cell>
        </row>
        <row r="334">
          <cell r="A334">
            <v>1725</v>
          </cell>
          <cell r="B334" t="str">
            <v>CA-1004 (PC)</v>
          </cell>
          <cell r="C334" t="str">
            <v>m</v>
          </cell>
          <cell r="D334">
            <v>606.72</v>
          </cell>
          <cell r="E334">
            <v>6.07</v>
          </cell>
          <cell r="F334">
            <v>613</v>
          </cell>
        </row>
        <row r="335">
          <cell r="A335">
            <v>1726</v>
          </cell>
          <cell r="B335" t="str">
            <v>CA-2006 (PC)</v>
          </cell>
          <cell r="C335" t="str">
            <v>m</v>
          </cell>
          <cell r="D335">
            <v>567.37</v>
          </cell>
          <cell r="E335">
            <v>5.67</v>
          </cell>
          <cell r="F335">
            <v>573</v>
          </cell>
        </row>
        <row r="336">
          <cell r="A336">
            <v>1727</v>
          </cell>
          <cell r="B336" t="str">
            <v>DG-02 (PC)</v>
          </cell>
          <cell r="C336" t="str">
            <v>m</v>
          </cell>
          <cell r="D336">
            <v>264.43</v>
          </cell>
          <cell r="E336">
            <v>2.64</v>
          </cell>
          <cell r="F336">
            <v>267</v>
          </cell>
        </row>
        <row r="337">
          <cell r="A337">
            <v>1728</v>
          </cell>
          <cell r="B337" t="str">
            <v>DG-102(PC)</v>
          </cell>
          <cell r="C337" t="str">
            <v>m</v>
          </cell>
          <cell r="D337">
            <v>236.06</v>
          </cell>
          <cell r="E337">
            <v>2.36</v>
          </cell>
          <cell r="F337">
            <v>238.5</v>
          </cell>
        </row>
        <row r="338">
          <cell r="A338">
            <v>1729</v>
          </cell>
          <cell r="B338" t="str">
            <v>CA-1001 (PC)</v>
          </cell>
          <cell r="C338" t="str">
            <v>m</v>
          </cell>
          <cell r="D338">
            <v>655.57</v>
          </cell>
          <cell r="E338">
            <v>6.56</v>
          </cell>
          <cell r="F338">
            <v>662</v>
          </cell>
        </row>
        <row r="339">
          <cell r="A339">
            <v>1730</v>
          </cell>
          <cell r="B339" t="str">
            <v>CA-1002 (PC)</v>
          </cell>
          <cell r="C339" t="str">
            <v>m</v>
          </cell>
          <cell r="D339">
            <v>1024.92</v>
          </cell>
          <cell r="E339">
            <v>10.25</v>
          </cell>
          <cell r="F339">
            <v>1035</v>
          </cell>
        </row>
        <row r="340">
          <cell r="A340">
            <v>1731</v>
          </cell>
          <cell r="B340" t="str">
            <v>100D-3104 (PC)</v>
          </cell>
          <cell r="C340" t="str">
            <v>m</v>
          </cell>
          <cell r="D340">
            <v>694.46</v>
          </cell>
          <cell r="E340">
            <v>6.94</v>
          </cell>
          <cell r="F340">
            <v>701.5</v>
          </cell>
        </row>
        <row r="341">
          <cell r="A341">
            <v>1732</v>
          </cell>
          <cell r="B341" t="str">
            <v>100D-101 (PC)</v>
          </cell>
          <cell r="C341" t="str">
            <v>m</v>
          </cell>
          <cell r="D341">
            <v>948.77</v>
          </cell>
          <cell r="E341">
            <v>9.49</v>
          </cell>
          <cell r="F341">
            <v>958.5</v>
          </cell>
        </row>
        <row r="342">
          <cell r="A342">
            <v>1733</v>
          </cell>
          <cell r="B342" t="str">
            <v>100D-102 (PC)</v>
          </cell>
          <cell r="C342" t="str">
            <v>m</v>
          </cell>
          <cell r="D342">
            <v>993.38</v>
          </cell>
          <cell r="E342">
            <v>9.93</v>
          </cell>
          <cell r="F342">
            <v>1003.5</v>
          </cell>
        </row>
        <row r="343">
          <cell r="A343">
            <v>1734</v>
          </cell>
          <cell r="B343" t="str">
            <v>100D-201 (PC)</v>
          </cell>
          <cell r="C343" t="str">
            <v>m</v>
          </cell>
          <cell r="D343">
            <v>918.31</v>
          </cell>
          <cell r="E343">
            <v>9.18</v>
          </cell>
          <cell r="F343">
            <v>927.5</v>
          </cell>
        </row>
        <row r="344">
          <cell r="A344">
            <v>1735</v>
          </cell>
          <cell r="B344" t="str">
            <v>100D-301 (PC)</v>
          </cell>
          <cell r="C344" t="str">
            <v>m</v>
          </cell>
          <cell r="D344">
            <v>1091.08</v>
          </cell>
          <cell r="E344">
            <v>10.91</v>
          </cell>
          <cell r="F344">
            <v>1102</v>
          </cell>
        </row>
        <row r="345">
          <cell r="A345">
            <v>1736</v>
          </cell>
          <cell r="B345" t="str">
            <v>100D-401 (PC)</v>
          </cell>
          <cell r="C345" t="str">
            <v>m</v>
          </cell>
          <cell r="D345">
            <v>1208</v>
          </cell>
          <cell r="E345">
            <v>12.08</v>
          </cell>
          <cell r="F345">
            <v>1220</v>
          </cell>
        </row>
        <row r="346">
          <cell r="A346">
            <v>1737</v>
          </cell>
          <cell r="B346" t="str">
            <v>100D-501 (PC)</v>
          </cell>
          <cell r="C346" t="str">
            <v>m</v>
          </cell>
          <cell r="D346">
            <v>129.08000000000001</v>
          </cell>
          <cell r="E346">
            <v>1.29</v>
          </cell>
          <cell r="F346">
            <v>137.5</v>
          </cell>
        </row>
        <row r="347">
          <cell r="A347">
            <v>1738</v>
          </cell>
          <cell r="B347" t="str">
            <v>70D-1910 (PC)</v>
          </cell>
          <cell r="C347" t="str">
            <v>m</v>
          </cell>
          <cell r="D347">
            <v>147.69</v>
          </cell>
          <cell r="E347">
            <v>1.48</v>
          </cell>
          <cell r="F347">
            <v>149</v>
          </cell>
        </row>
        <row r="348">
          <cell r="A348">
            <v>1739</v>
          </cell>
          <cell r="B348" t="str">
            <v>100D-3503A (PC)</v>
          </cell>
          <cell r="C348" t="str">
            <v>m</v>
          </cell>
          <cell r="D348">
            <v>688</v>
          </cell>
          <cell r="E348">
            <v>6.88</v>
          </cell>
          <cell r="F348">
            <v>695</v>
          </cell>
        </row>
        <row r="349">
          <cell r="A349">
            <v>1740</v>
          </cell>
          <cell r="B349" t="str">
            <v>100D-3004A (PC)</v>
          </cell>
          <cell r="C349" t="str">
            <v>m</v>
          </cell>
          <cell r="D349">
            <v>811.69</v>
          </cell>
          <cell r="E349">
            <v>8.1199999999999992</v>
          </cell>
          <cell r="F349">
            <v>820</v>
          </cell>
        </row>
        <row r="350">
          <cell r="A350">
            <v>1741</v>
          </cell>
          <cell r="B350" t="str">
            <v>100D-3207 (PC)</v>
          </cell>
          <cell r="C350" t="str">
            <v>m</v>
          </cell>
          <cell r="D350">
            <v>1057.8499999999999</v>
          </cell>
          <cell r="E350">
            <v>10.58</v>
          </cell>
          <cell r="F350">
            <v>1068.5</v>
          </cell>
        </row>
        <row r="351">
          <cell r="A351">
            <v>1742</v>
          </cell>
          <cell r="B351" t="str">
            <v>100D-3503 (PC)</v>
          </cell>
          <cell r="C351" t="str">
            <v>m</v>
          </cell>
          <cell r="D351">
            <v>750.92</v>
          </cell>
          <cell r="E351">
            <v>7.51</v>
          </cell>
          <cell r="F351">
            <v>758.5</v>
          </cell>
        </row>
        <row r="352">
          <cell r="A352">
            <v>1743</v>
          </cell>
          <cell r="B352" t="str">
            <v>100D-1914 (PC)</v>
          </cell>
          <cell r="C352" t="str">
            <v>m</v>
          </cell>
          <cell r="D352">
            <v>143.85</v>
          </cell>
          <cell r="E352">
            <v>1.44</v>
          </cell>
          <cell r="F352">
            <v>145.5</v>
          </cell>
        </row>
        <row r="353">
          <cell r="A353">
            <v>1744</v>
          </cell>
          <cell r="B353" t="str">
            <v>100D-3203 (PC)</v>
          </cell>
          <cell r="C353" t="str">
            <v>m</v>
          </cell>
          <cell r="D353">
            <v>798.46</v>
          </cell>
          <cell r="E353">
            <v>7.98</v>
          </cell>
          <cell r="F353">
            <v>806.5</v>
          </cell>
        </row>
        <row r="354">
          <cell r="A354">
            <v>1745</v>
          </cell>
          <cell r="B354" t="str">
            <v>70S-1002-1(PC)</v>
          </cell>
          <cell r="C354" t="str">
            <v>m</v>
          </cell>
          <cell r="D354">
            <v>372.77</v>
          </cell>
          <cell r="E354">
            <v>3.73</v>
          </cell>
          <cell r="F354">
            <v>376.5</v>
          </cell>
        </row>
        <row r="355">
          <cell r="A355">
            <v>1746</v>
          </cell>
          <cell r="B355" t="str">
            <v>70S-1102-1 (PC)</v>
          </cell>
          <cell r="C355" t="str">
            <v>m</v>
          </cell>
          <cell r="D355">
            <v>272.77</v>
          </cell>
          <cell r="E355">
            <v>2.73</v>
          </cell>
          <cell r="F355">
            <v>275.5</v>
          </cell>
        </row>
        <row r="356">
          <cell r="A356">
            <v>1747</v>
          </cell>
          <cell r="B356" t="str">
            <v>70S-1202-1(PC)</v>
          </cell>
          <cell r="C356" t="str">
            <v>m</v>
          </cell>
          <cell r="D356">
            <v>272.77</v>
          </cell>
          <cell r="E356">
            <v>2.73</v>
          </cell>
          <cell r="F356">
            <v>275.5</v>
          </cell>
        </row>
        <row r="357">
          <cell r="A357">
            <v>1748</v>
          </cell>
          <cell r="B357" t="str">
            <v>70S-1704A (PC)</v>
          </cell>
          <cell r="C357" t="str">
            <v>m</v>
          </cell>
          <cell r="D357">
            <v>508.46</v>
          </cell>
          <cell r="E357">
            <v>5.08</v>
          </cell>
          <cell r="F357">
            <v>513.5</v>
          </cell>
        </row>
        <row r="358">
          <cell r="A358">
            <v>1749</v>
          </cell>
          <cell r="B358" t="str">
            <v>70S-1402-1 (PC)</v>
          </cell>
          <cell r="C358" t="str">
            <v>m</v>
          </cell>
          <cell r="D358">
            <v>345.38</v>
          </cell>
          <cell r="E358">
            <v>3.45</v>
          </cell>
          <cell r="F358">
            <v>349</v>
          </cell>
        </row>
        <row r="359">
          <cell r="A359">
            <v>1750</v>
          </cell>
          <cell r="B359" t="str">
            <v>70S-1801 (PC)</v>
          </cell>
          <cell r="C359" t="str">
            <v>m</v>
          </cell>
          <cell r="D359">
            <v>324.14999999999998</v>
          </cell>
          <cell r="E359">
            <v>3.24</v>
          </cell>
          <cell r="F359">
            <v>327.5</v>
          </cell>
        </row>
        <row r="360">
          <cell r="A360">
            <v>1751</v>
          </cell>
          <cell r="B360" t="str">
            <v>70S-1101-2 (PC)</v>
          </cell>
          <cell r="C360" t="str">
            <v>m</v>
          </cell>
          <cell r="D360">
            <v>537.54</v>
          </cell>
          <cell r="E360">
            <v>5.38</v>
          </cell>
          <cell r="F360">
            <v>543</v>
          </cell>
        </row>
        <row r="361">
          <cell r="A361">
            <v>1752</v>
          </cell>
          <cell r="B361" t="str">
            <v>70S-1001-1 (PC)</v>
          </cell>
          <cell r="C361" t="str">
            <v>m</v>
          </cell>
          <cell r="D361">
            <v>531.23</v>
          </cell>
          <cell r="E361">
            <v>5.31</v>
          </cell>
          <cell r="F361">
            <v>536.5</v>
          </cell>
        </row>
        <row r="362">
          <cell r="A362">
            <v>1753</v>
          </cell>
          <cell r="B362" t="str">
            <v>70S-1704A (PC)</v>
          </cell>
          <cell r="C362" t="str">
            <v>m</v>
          </cell>
          <cell r="D362">
            <v>508.46</v>
          </cell>
          <cell r="E362">
            <v>5.08</v>
          </cell>
          <cell r="F362">
            <v>513.5</v>
          </cell>
        </row>
        <row r="363">
          <cell r="A363">
            <v>1754</v>
          </cell>
          <cell r="B363" t="str">
            <v>70S-1401-1 (PC)</v>
          </cell>
          <cell r="C363" t="str">
            <v>m</v>
          </cell>
          <cell r="D363">
            <v>353.23</v>
          </cell>
          <cell r="E363">
            <v>3.53</v>
          </cell>
          <cell r="F363">
            <v>357</v>
          </cell>
        </row>
        <row r="364">
          <cell r="A364">
            <v>1755</v>
          </cell>
          <cell r="B364" t="str">
            <v>70S-1201-1 (PC)</v>
          </cell>
          <cell r="C364" t="str">
            <v>m</v>
          </cell>
          <cell r="D364">
            <v>432.15</v>
          </cell>
          <cell r="E364">
            <v>4.32</v>
          </cell>
          <cell r="F364">
            <v>436.5</v>
          </cell>
        </row>
        <row r="365">
          <cell r="A365">
            <v>1756</v>
          </cell>
          <cell r="B365" t="str">
            <v>70S-1604 (PC)</v>
          </cell>
          <cell r="C365" t="str">
            <v>m</v>
          </cell>
          <cell r="D365">
            <v>422.92</v>
          </cell>
          <cell r="E365">
            <v>4.2300000000000004</v>
          </cell>
          <cell r="F365">
            <v>427</v>
          </cell>
        </row>
        <row r="366">
          <cell r="A366">
            <v>1757</v>
          </cell>
          <cell r="B366" t="str">
            <v>70S-1801 (PC)</v>
          </cell>
          <cell r="C366" t="str">
            <v>m</v>
          </cell>
          <cell r="D366">
            <v>324.14999999999998</v>
          </cell>
          <cell r="E366">
            <v>3.24</v>
          </cell>
          <cell r="F366">
            <v>327.5</v>
          </cell>
        </row>
        <row r="367">
          <cell r="A367">
            <v>1758</v>
          </cell>
          <cell r="B367" t="str">
            <v>PT-5157 (PC)</v>
          </cell>
          <cell r="C367" t="str">
            <v>m</v>
          </cell>
          <cell r="D367">
            <v>354.75</v>
          </cell>
          <cell r="E367">
            <v>3.55</v>
          </cell>
          <cell r="F367">
            <v>358.5</v>
          </cell>
        </row>
        <row r="368">
          <cell r="A368">
            <v>1759</v>
          </cell>
          <cell r="B368" t="str">
            <v>PT-5158 (PC)</v>
          </cell>
          <cell r="C368" t="str">
            <v>m</v>
          </cell>
          <cell r="D368">
            <v>264.10000000000002</v>
          </cell>
          <cell r="E368">
            <v>2.64</v>
          </cell>
          <cell r="F368">
            <v>267</v>
          </cell>
        </row>
        <row r="369">
          <cell r="A369">
            <v>1760</v>
          </cell>
          <cell r="B369" t="str">
            <v>PT-5153 (PC)</v>
          </cell>
          <cell r="C369" t="str">
            <v>m</v>
          </cell>
          <cell r="D369">
            <v>106.23</v>
          </cell>
          <cell r="E369">
            <v>1.06</v>
          </cell>
          <cell r="F369">
            <v>107.5</v>
          </cell>
        </row>
        <row r="370">
          <cell r="A370">
            <v>1761</v>
          </cell>
          <cell r="B370" t="str">
            <v>PT-5154 (PC)</v>
          </cell>
          <cell r="C370" t="str">
            <v>m</v>
          </cell>
          <cell r="D370">
            <v>194.75</v>
          </cell>
          <cell r="E370">
            <v>1.95</v>
          </cell>
          <cell r="F370">
            <v>196.5</v>
          </cell>
        </row>
        <row r="371">
          <cell r="A371">
            <v>1762</v>
          </cell>
          <cell r="B371" t="str">
            <v>A-110A (MF)</v>
          </cell>
          <cell r="C371" t="str">
            <v>m</v>
          </cell>
          <cell r="D371">
            <v>257.05</v>
          </cell>
          <cell r="E371">
            <v>2.57</v>
          </cell>
          <cell r="F371">
            <v>259.5</v>
          </cell>
        </row>
        <row r="372">
          <cell r="A372">
            <v>0</v>
          </cell>
          <cell r="B372" t="str">
            <v>Accessories</v>
          </cell>
          <cell r="C372">
            <v>0</v>
          </cell>
          <cell r="D372">
            <v>0</v>
          </cell>
          <cell r="E372">
            <v>0</v>
          </cell>
          <cell r="F372">
            <v>0</v>
          </cell>
        </row>
        <row r="373">
          <cell r="A373">
            <v>1801</v>
          </cell>
          <cell r="B373" t="str">
            <v>Sliding lock</v>
          </cell>
          <cell r="C373" t="str">
            <v>Nr</v>
          </cell>
          <cell r="D373">
            <v>95</v>
          </cell>
          <cell r="E373">
            <v>0.95</v>
          </cell>
          <cell r="F373">
            <v>96</v>
          </cell>
        </row>
        <row r="374">
          <cell r="A374">
            <v>1802</v>
          </cell>
          <cell r="B374" t="str">
            <v>Roller-70mm</v>
          </cell>
          <cell r="C374" t="str">
            <v>Nr</v>
          </cell>
          <cell r="D374">
            <v>95</v>
          </cell>
          <cell r="E374">
            <v>0.95</v>
          </cell>
          <cell r="F374">
            <v>96</v>
          </cell>
        </row>
        <row r="375">
          <cell r="A375">
            <v>1803</v>
          </cell>
          <cell r="B375" t="str">
            <v>S.T. Screw - 1" No.8</v>
          </cell>
          <cell r="C375" t="str">
            <v>Nr</v>
          </cell>
          <cell r="D375">
            <v>2</v>
          </cell>
          <cell r="E375">
            <v>0.02</v>
          </cell>
          <cell r="F375">
            <v>2</v>
          </cell>
        </row>
        <row r="376">
          <cell r="A376">
            <v>1804</v>
          </cell>
          <cell r="B376" t="str">
            <v>Gasket</v>
          </cell>
          <cell r="C376" t="str">
            <v>m</v>
          </cell>
          <cell r="D376">
            <v>18</v>
          </cell>
          <cell r="E376">
            <v>0.18</v>
          </cell>
          <cell r="F376">
            <v>18.5</v>
          </cell>
        </row>
        <row r="377">
          <cell r="A377">
            <v>1805</v>
          </cell>
          <cell r="B377" t="str">
            <v>Wool felt</v>
          </cell>
          <cell r="C377" t="str">
            <v>m</v>
          </cell>
          <cell r="D377">
            <v>50.5</v>
          </cell>
          <cell r="E377">
            <v>0.51</v>
          </cell>
          <cell r="F377">
            <v>51</v>
          </cell>
        </row>
        <row r="378">
          <cell r="A378">
            <v>1806</v>
          </cell>
          <cell r="B378" t="str">
            <v>Pop rivet 5/32"x1/2"</v>
          </cell>
          <cell r="C378" t="str">
            <v>Nr</v>
          </cell>
          <cell r="D378">
            <v>1.3</v>
          </cell>
          <cell r="E378">
            <v>0.01</v>
          </cell>
          <cell r="F378">
            <v>1.3</v>
          </cell>
        </row>
        <row r="379">
          <cell r="A379">
            <v>1807</v>
          </cell>
          <cell r="B379" t="str">
            <v>Plastic guide</v>
          </cell>
          <cell r="C379" t="str">
            <v>Nr</v>
          </cell>
          <cell r="D379">
            <v>1.7</v>
          </cell>
          <cell r="E379">
            <v>0.02</v>
          </cell>
          <cell r="F379">
            <v>1.75</v>
          </cell>
        </row>
        <row r="380">
          <cell r="A380">
            <v>1808</v>
          </cell>
          <cell r="B380" t="str">
            <v>Cap 3/8" dia.</v>
          </cell>
          <cell r="C380" t="str">
            <v>Nr</v>
          </cell>
          <cell r="D380">
            <v>2.75</v>
          </cell>
          <cell r="E380">
            <v>0.03</v>
          </cell>
          <cell r="F380">
            <v>2.75</v>
          </cell>
        </row>
        <row r="381">
          <cell r="A381">
            <v>1809</v>
          </cell>
          <cell r="B381" t="str">
            <v>S.T. Screw - 2" No.8</v>
          </cell>
          <cell r="C381" t="str">
            <v>Nr</v>
          </cell>
          <cell r="D381">
            <v>35</v>
          </cell>
          <cell r="E381">
            <v>0.35</v>
          </cell>
          <cell r="F381">
            <v>35.5</v>
          </cell>
        </row>
        <row r="382">
          <cell r="A382">
            <v>1810</v>
          </cell>
          <cell r="B382" t="str">
            <v>Casement lock</v>
          </cell>
          <cell r="C382" t="str">
            <v>Nr</v>
          </cell>
          <cell r="D382">
            <v>165</v>
          </cell>
          <cell r="E382">
            <v>1.65</v>
          </cell>
          <cell r="F382">
            <v>166.5</v>
          </cell>
        </row>
        <row r="383">
          <cell r="A383">
            <v>1811</v>
          </cell>
          <cell r="B383" t="str">
            <v>Bar hinges</v>
          </cell>
          <cell r="C383" t="str">
            <v>Pair</v>
          </cell>
          <cell r="D383">
            <v>440</v>
          </cell>
          <cell r="E383">
            <v>4.4000000000000004</v>
          </cell>
          <cell r="F383">
            <v>444.5</v>
          </cell>
        </row>
        <row r="384">
          <cell r="A384">
            <v>1812</v>
          </cell>
          <cell r="B384" t="str">
            <v>Weather strip</v>
          </cell>
          <cell r="C384" t="str">
            <v>m</v>
          </cell>
          <cell r="D384">
            <v>42</v>
          </cell>
          <cell r="E384">
            <v>0.42</v>
          </cell>
          <cell r="F384">
            <v>42.5</v>
          </cell>
        </row>
        <row r="385">
          <cell r="A385">
            <v>1813</v>
          </cell>
          <cell r="B385" t="str">
            <v>Pop rivet 3/16"x1/2"</v>
          </cell>
          <cell r="C385" t="str">
            <v>Nr</v>
          </cell>
          <cell r="D385">
            <v>2.25</v>
          </cell>
          <cell r="E385">
            <v>0.02</v>
          </cell>
          <cell r="F385">
            <v>2.5</v>
          </cell>
        </row>
        <row r="386">
          <cell r="A386">
            <v>1814</v>
          </cell>
          <cell r="B386" t="str">
            <v>S.T. Screw - No.8 x 1/2'</v>
          </cell>
          <cell r="C386" t="str">
            <v>Nr</v>
          </cell>
          <cell r="D386">
            <v>1.5</v>
          </cell>
          <cell r="E386">
            <v>0.02</v>
          </cell>
          <cell r="F386">
            <v>1.5</v>
          </cell>
        </row>
        <row r="387">
          <cell r="A387">
            <v>1815</v>
          </cell>
          <cell r="B387" t="str">
            <v>Door lock</v>
          </cell>
          <cell r="C387" t="str">
            <v>Nr</v>
          </cell>
          <cell r="D387">
            <v>895</v>
          </cell>
          <cell r="E387">
            <v>8.9499999999999993</v>
          </cell>
          <cell r="F387">
            <v>904</v>
          </cell>
        </row>
        <row r="388">
          <cell r="A388">
            <v>1816</v>
          </cell>
          <cell r="B388" t="str">
            <v>Butt hinge</v>
          </cell>
          <cell r="C388" t="str">
            <v>Nr</v>
          </cell>
          <cell r="D388">
            <v>100</v>
          </cell>
          <cell r="E388">
            <v>1</v>
          </cell>
          <cell r="F388">
            <v>101</v>
          </cell>
        </row>
        <row r="389">
          <cell r="A389">
            <v>1817</v>
          </cell>
          <cell r="B389" t="str">
            <v>Door handle with cap nut</v>
          </cell>
          <cell r="C389" t="str">
            <v>Pair</v>
          </cell>
          <cell r="D389">
            <v>1074</v>
          </cell>
          <cell r="E389">
            <v>10.74</v>
          </cell>
          <cell r="F389">
            <v>1085</v>
          </cell>
        </row>
        <row r="390">
          <cell r="A390">
            <v>1818</v>
          </cell>
          <cell r="B390" t="str">
            <v>Rivert (C Sk) 5/32"x1/2"</v>
          </cell>
          <cell r="C390" t="str">
            <v>Nr</v>
          </cell>
          <cell r="D390">
            <v>1.25</v>
          </cell>
          <cell r="E390">
            <v>0.01</v>
          </cell>
          <cell r="F390">
            <v>1.25</v>
          </cell>
        </row>
        <row r="391">
          <cell r="A391">
            <v>1819</v>
          </cell>
          <cell r="B391" t="str">
            <v>Threaded bar with nut</v>
          </cell>
          <cell r="C391" t="str">
            <v>m</v>
          </cell>
          <cell r="D391">
            <v>224</v>
          </cell>
          <cell r="E391">
            <v>2.2400000000000002</v>
          </cell>
          <cell r="F391">
            <v>226.5</v>
          </cell>
        </row>
        <row r="392">
          <cell r="A392">
            <v>1820</v>
          </cell>
          <cell r="B392" t="str">
            <v>Door closer</v>
          </cell>
          <cell r="C392" t="str">
            <v>Nr</v>
          </cell>
          <cell r="D392">
            <v>2250</v>
          </cell>
          <cell r="E392">
            <v>22.5</v>
          </cell>
          <cell r="F392">
            <v>2272.5</v>
          </cell>
        </row>
        <row r="393">
          <cell r="A393">
            <v>1821</v>
          </cell>
          <cell r="B393" t="str">
            <v>Pop rivet 1/8"x1/2"</v>
          </cell>
          <cell r="C393" t="str">
            <v>Nr</v>
          </cell>
          <cell r="D393">
            <v>1.25</v>
          </cell>
          <cell r="E393">
            <v>0.01</v>
          </cell>
          <cell r="F393">
            <v>1.25</v>
          </cell>
        </row>
        <row r="394">
          <cell r="A394">
            <v>1822</v>
          </cell>
          <cell r="B394" t="str">
            <v>G. I. Channel</v>
          </cell>
          <cell r="C394" t="str">
            <v>m</v>
          </cell>
          <cell r="D394">
            <v>168</v>
          </cell>
          <cell r="E394">
            <v>1.68</v>
          </cell>
          <cell r="F394">
            <v>169.5</v>
          </cell>
        </row>
        <row r="395">
          <cell r="A395">
            <v>1823</v>
          </cell>
          <cell r="B395" t="str">
            <v>White board, chip board or melamine board</v>
          </cell>
          <cell r="C395" t="str">
            <v>m2</v>
          </cell>
          <cell r="D395">
            <v>253</v>
          </cell>
          <cell r="E395">
            <v>2.5299999999999998</v>
          </cell>
          <cell r="F395">
            <v>255.5</v>
          </cell>
        </row>
        <row r="396">
          <cell r="A396">
            <v>0</v>
          </cell>
          <cell r="B396" t="str">
            <v>Glazier</v>
          </cell>
          <cell r="C396">
            <v>0</v>
          </cell>
          <cell r="D396">
            <v>0</v>
          </cell>
          <cell r="E396">
            <v>0</v>
          </cell>
          <cell r="F396">
            <v>0</v>
          </cell>
        </row>
        <row r="397">
          <cell r="A397">
            <v>1901</v>
          </cell>
          <cell r="B397" t="str">
            <v>5mm thick figured glass panes</v>
          </cell>
          <cell r="C397" t="str">
            <v>m2</v>
          </cell>
          <cell r="D397">
            <v>1184</v>
          </cell>
          <cell r="E397">
            <v>11.84</v>
          </cell>
          <cell r="F397">
            <v>1196</v>
          </cell>
        </row>
        <row r="398">
          <cell r="A398">
            <v>1902</v>
          </cell>
          <cell r="B398" t="str">
            <v>3mm thick figured glass panes</v>
          </cell>
          <cell r="C398" t="str">
            <v>m2</v>
          </cell>
          <cell r="D398">
            <v>592</v>
          </cell>
          <cell r="E398">
            <v>5.92</v>
          </cell>
          <cell r="F398">
            <v>598</v>
          </cell>
        </row>
        <row r="399">
          <cell r="A399">
            <v>1903</v>
          </cell>
          <cell r="B399" t="str">
            <v>5mm thick clear glass panes</v>
          </cell>
          <cell r="C399" t="str">
            <v>m2</v>
          </cell>
          <cell r="D399">
            <v>861</v>
          </cell>
          <cell r="E399">
            <v>8.61</v>
          </cell>
          <cell r="F399">
            <v>869.5</v>
          </cell>
        </row>
        <row r="400">
          <cell r="A400">
            <v>1904</v>
          </cell>
          <cell r="B400" t="str">
            <v>3mm thick clear glass panes</v>
          </cell>
          <cell r="C400" t="str">
            <v>m2</v>
          </cell>
          <cell r="D400">
            <v>646</v>
          </cell>
          <cell r="E400">
            <v>6.46</v>
          </cell>
          <cell r="F400">
            <v>652.5</v>
          </cell>
        </row>
        <row r="401">
          <cell r="A401">
            <v>1905</v>
          </cell>
          <cell r="B401" t="str">
            <v>5mm thick tinted glass panes</v>
          </cell>
          <cell r="C401" t="str">
            <v>m2</v>
          </cell>
          <cell r="D401">
            <v>1140</v>
          </cell>
          <cell r="E401">
            <v>11.4</v>
          </cell>
          <cell r="F401">
            <v>1151.5</v>
          </cell>
        </row>
        <row r="402">
          <cell r="A402">
            <v>1906</v>
          </cell>
          <cell r="B402" t="str">
            <v>3mm thick tinted glass panes</v>
          </cell>
          <cell r="C402" t="str">
            <v>m2</v>
          </cell>
          <cell r="D402">
            <v>750</v>
          </cell>
          <cell r="E402">
            <v>7.5</v>
          </cell>
          <cell r="F402">
            <v>757.5</v>
          </cell>
        </row>
        <row r="403">
          <cell r="A403">
            <v>1907</v>
          </cell>
          <cell r="B403" t="str">
            <v>12mmx12mm teak beading</v>
          </cell>
          <cell r="C403" t="str">
            <v>m</v>
          </cell>
          <cell r="D403">
            <v>5</v>
          </cell>
          <cell r="E403">
            <v>0.05</v>
          </cell>
          <cell r="F403">
            <v>5</v>
          </cell>
        </row>
        <row r="404">
          <cell r="A404">
            <v>0</v>
          </cell>
          <cell r="B404" t="str">
            <v>Plasterer</v>
          </cell>
          <cell r="C404">
            <v>0</v>
          </cell>
          <cell r="D404">
            <v>0</v>
          </cell>
          <cell r="E404">
            <v>0</v>
          </cell>
          <cell r="F404">
            <v>0</v>
          </cell>
        </row>
        <row r="405">
          <cell r="A405">
            <v>2001</v>
          </cell>
          <cell r="B405" t="str">
            <v>Lime</v>
          </cell>
          <cell r="C405" t="str">
            <v>kg</v>
          </cell>
          <cell r="D405">
            <v>20</v>
          </cell>
          <cell r="E405">
            <v>0.2</v>
          </cell>
          <cell r="F405">
            <v>20.5</v>
          </cell>
        </row>
        <row r="406">
          <cell r="A406">
            <v>0</v>
          </cell>
          <cell r="B406" t="str">
            <v>Plumber</v>
          </cell>
          <cell r="C406">
            <v>0</v>
          </cell>
          <cell r="D406">
            <v>0</v>
          </cell>
          <cell r="E406">
            <v>0</v>
          </cell>
          <cell r="F406">
            <v>0</v>
          </cell>
        </row>
        <row r="407">
          <cell r="A407">
            <v>2101</v>
          </cell>
          <cell r="B407" t="str">
            <v>12mm (1/2") ball valve - Brass</v>
          </cell>
          <cell r="C407" t="str">
            <v>Nr</v>
          </cell>
          <cell r="D407">
            <v>525</v>
          </cell>
          <cell r="E407">
            <v>5.25</v>
          </cell>
          <cell r="F407">
            <v>530.5</v>
          </cell>
        </row>
        <row r="408">
          <cell r="A408">
            <v>2102</v>
          </cell>
          <cell r="B408" t="str">
            <v>12mm (1/2") ball valve - PVC</v>
          </cell>
          <cell r="C408" t="str">
            <v>Nr</v>
          </cell>
          <cell r="D408">
            <v>95</v>
          </cell>
          <cell r="E408">
            <v>0.95</v>
          </cell>
          <cell r="F408">
            <v>96</v>
          </cell>
        </row>
        <row r="409">
          <cell r="A409">
            <v>2103</v>
          </cell>
          <cell r="B409" t="str">
            <v>20mm (3/4") ball valve - Brass</v>
          </cell>
          <cell r="C409" t="str">
            <v>Nr</v>
          </cell>
          <cell r="D409">
            <v>750</v>
          </cell>
          <cell r="E409">
            <v>7.5</v>
          </cell>
          <cell r="F409">
            <v>757.5</v>
          </cell>
        </row>
        <row r="410">
          <cell r="A410">
            <v>2104</v>
          </cell>
          <cell r="B410" t="str">
            <v>20mm (3/4") ball valve - PVC</v>
          </cell>
          <cell r="C410" t="str">
            <v>Nr</v>
          </cell>
          <cell r="D410">
            <v>140</v>
          </cell>
          <cell r="E410">
            <v>1.4</v>
          </cell>
          <cell r="F410">
            <v>141.5</v>
          </cell>
        </row>
        <row r="411">
          <cell r="A411">
            <v>2105</v>
          </cell>
          <cell r="B411" t="str">
            <v>25mm (1") ball valve - Brass</v>
          </cell>
          <cell r="C411" t="str">
            <v>Nr</v>
          </cell>
          <cell r="D411">
            <v>1100</v>
          </cell>
          <cell r="E411">
            <v>11</v>
          </cell>
          <cell r="F411">
            <v>1111</v>
          </cell>
        </row>
        <row r="412">
          <cell r="A412">
            <v>2106</v>
          </cell>
          <cell r="B412" t="str">
            <v>25mm (1") ball valve - PVC</v>
          </cell>
          <cell r="C412" t="str">
            <v>Nr</v>
          </cell>
          <cell r="D412">
            <v>190</v>
          </cell>
          <cell r="E412">
            <v>1.9</v>
          </cell>
          <cell r="F412">
            <v>192</v>
          </cell>
        </row>
        <row r="413">
          <cell r="A413">
            <v>2107</v>
          </cell>
          <cell r="B413" t="str">
            <v>38mm (1 1/2") ball valve - Brass</v>
          </cell>
          <cell r="C413" t="str">
            <v>Nr</v>
          </cell>
          <cell r="D413">
            <v>1450</v>
          </cell>
          <cell r="E413">
            <v>14.5</v>
          </cell>
          <cell r="F413">
            <v>1464.5</v>
          </cell>
        </row>
        <row r="414">
          <cell r="A414">
            <v>2108</v>
          </cell>
          <cell r="B414" t="str">
            <v>38mm (1 1/2") ball valve - PVC</v>
          </cell>
          <cell r="C414" t="str">
            <v>Nr</v>
          </cell>
          <cell r="D414">
            <v>495</v>
          </cell>
          <cell r="E414">
            <v>4.95</v>
          </cell>
          <cell r="F414">
            <v>500</v>
          </cell>
        </row>
        <row r="415">
          <cell r="A415">
            <v>2109</v>
          </cell>
          <cell r="B415" t="str">
            <v>12mm (1/2") bib tap - Brass</v>
          </cell>
          <cell r="C415" t="str">
            <v>Nr</v>
          </cell>
          <cell r="D415">
            <v>500</v>
          </cell>
          <cell r="E415">
            <v>5</v>
          </cell>
          <cell r="F415">
            <v>505</v>
          </cell>
        </row>
        <row r="416">
          <cell r="A416">
            <v>2110</v>
          </cell>
          <cell r="B416" t="str">
            <v>12mm (1/2") bib tap - Chromium Plated</v>
          </cell>
          <cell r="C416" t="str">
            <v>Nr</v>
          </cell>
          <cell r="D416">
            <v>1750</v>
          </cell>
          <cell r="E416">
            <v>17.5</v>
          </cell>
          <cell r="F416">
            <v>1767.5</v>
          </cell>
        </row>
        <row r="417">
          <cell r="A417">
            <v>2111</v>
          </cell>
          <cell r="B417" t="str">
            <v>12mm (1/2") bib tap - PVC</v>
          </cell>
          <cell r="C417" t="str">
            <v>Nr</v>
          </cell>
          <cell r="D417">
            <v>90</v>
          </cell>
          <cell r="E417">
            <v>0.9</v>
          </cell>
          <cell r="F417">
            <v>91</v>
          </cell>
        </row>
        <row r="418">
          <cell r="A418">
            <v>2112</v>
          </cell>
          <cell r="B418" t="str">
            <v>12mm (1/2") gate valve - Brass</v>
          </cell>
          <cell r="C418" t="str">
            <v>Nr</v>
          </cell>
          <cell r="D418">
            <v>500</v>
          </cell>
          <cell r="E418">
            <v>5</v>
          </cell>
          <cell r="F418">
            <v>505</v>
          </cell>
        </row>
        <row r="419">
          <cell r="A419">
            <v>2113</v>
          </cell>
          <cell r="B419" t="str">
            <v>12mm (1/2") gate valve - PVC</v>
          </cell>
          <cell r="C419" t="str">
            <v>Nr</v>
          </cell>
          <cell r="D419">
            <v>90</v>
          </cell>
          <cell r="E419">
            <v>0.9</v>
          </cell>
          <cell r="F419">
            <v>91</v>
          </cell>
        </row>
        <row r="420">
          <cell r="A420">
            <v>2114</v>
          </cell>
          <cell r="B420" t="str">
            <v>20mm (3/4") gate valve - Brass</v>
          </cell>
          <cell r="C420" t="str">
            <v>Nr</v>
          </cell>
          <cell r="D420">
            <v>625</v>
          </cell>
          <cell r="E420">
            <v>6.25</v>
          </cell>
          <cell r="F420">
            <v>631.5</v>
          </cell>
        </row>
        <row r="421">
          <cell r="A421">
            <v>2115</v>
          </cell>
          <cell r="B421" t="str">
            <v>20mm (3/4") gate valve - PVC</v>
          </cell>
          <cell r="C421" t="str">
            <v>Nr</v>
          </cell>
          <cell r="D421">
            <v>165</v>
          </cell>
          <cell r="E421">
            <v>1.65</v>
          </cell>
          <cell r="F421">
            <v>166.5</v>
          </cell>
        </row>
        <row r="422">
          <cell r="A422">
            <v>2116</v>
          </cell>
          <cell r="B422" t="str">
            <v>25mm (1") gate valve - Brass</v>
          </cell>
          <cell r="C422" t="str">
            <v>Nr</v>
          </cell>
          <cell r="D422">
            <v>1000</v>
          </cell>
          <cell r="E422">
            <v>10</v>
          </cell>
          <cell r="F422">
            <v>1010</v>
          </cell>
        </row>
        <row r="423">
          <cell r="A423">
            <v>2117</v>
          </cell>
          <cell r="B423" t="str">
            <v>25mm (1") gate valve - PVC</v>
          </cell>
          <cell r="C423" t="str">
            <v>Nr</v>
          </cell>
          <cell r="D423">
            <v>185</v>
          </cell>
          <cell r="E423">
            <v>1.85</v>
          </cell>
          <cell r="F423">
            <v>187</v>
          </cell>
        </row>
        <row r="424">
          <cell r="A424">
            <v>2118</v>
          </cell>
          <cell r="B424" t="str">
            <v>38mm (1 1/2") gate valve - Brass</v>
          </cell>
          <cell r="C424" t="str">
            <v>Nr</v>
          </cell>
          <cell r="D424">
            <v>1500</v>
          </cell>
          <cell r="E424">
            <v>15</v>
          </cell>
          <cell r="F424">
            <v>1515</v>
          </cell>
        </row>
        <row r="425">
          <cell r="A425">
            <v>2119</v>
          </cell>
          <cell r="B425" t="str">
            <v>38mm (1 1/2") gate valve - PVC</v>
          </cell>
          <cell r="C425" t="str">
            <v>Nr</v>
          </cell>
          <cell r="D425">
            <v>410</v>
          </cell>
          <cell r="E425">
            <v>4.0999999999999996</v>
          </cell>
          <cell r="F425">
            <v>414</v>
          </cell>
        </row>
        <row r="426">
          <cell r="A426">
            <v>2120</v>
          </cell>
          <cell r="B426" t="str">
            <v>20mm (1/2") Type 1000 PVC pipes</v>
          </cell>
          <cell r="C426" t="str">
            <v>m</v>
          </cell>
          <cell r="D426">
            <v>45.75</v>
          </cell>
          <cell r="E426">
            <v>0.46</v>
          </cell>
          <cell r="F426">
            <v>46</v>
          </cell>
        </row>
        <row r="427">
          <cell r="A427">
            <v>2121</v>
          </cell>
          <cell r="B427" t="str">
            <v>20mm (1/2") Type 600 PVC pipes</v>
          </cell>
          <cell r="C427" t="str">
            <v>m</v>
          </cell>
          <cell r="D427" t="str">
            <v>…</v>
          </cell>
          <cell r="E427">
            <v>0</v>
          </cell>
          <cell r="F427">
            <v>0</v>
          </cell>
        </row>
        <row r="428">
          <cell r="A428">
            <v>2122</v>
          </cell>
          <cell r="B428" t="str">
            <v>20mm (1/2") Type 400 PVC pipes</v>
          </cell>
          <cell r="C428" t="str">
            <v>m</v>
          </cell>
          <cell r="D428" t="str">
            <v>….</v>
          </cell>
          <cell r="E428">
            <v>0</v>
          </cell>
          <cell r="F428">
            <v>0</v>
          </cell>
        </row>
        <row r="429">
          <cell r="A429">
            <v>2123</v>
          </cell>
          <cell r="B429" t="str">
            <v>25mm (3/4") Type 1000 PVC pipes</v>
          </cell>
          <cell r="C429" t="str">
            <v>m</v>
          </cell>
          <cell r="D429">
            <v>115.25</v>
          </cell>
          <cell r="E429">
            <v>1.1499999999999999</v>
          </cell>
          <cell r="F429">
            <v>101.5</v>
          </cell>
        </row>
        <row r="430">
          <cell r="A430">
            <v>2124</v>
          </cell>
          <cell r="B430" t="str">
            <v>25mm (3/4") Type 600 PVC pipes</v>
          </cell>
          <cell r="C430" t="str">
            <v>m</v>
          </cell>
          <cell r="D430" t="str">
            <v>….</v>
          </cell>
          <cell r="E430">
            <v>0</v>
          </cell>
          <cell r="F430">
            <v>0</v>
          </cell>
        </row>
        <row r="431">
          <cell r="A431">
            <v>2125</v>
          </cell>
          <cell r="B431" t="str">
            <v>25mm (3/4") Type 400 PVC pipes</v>
          </cell>
          <cell r="C431" t="str">
            <v>m</v>
          </cell>
          <cell r="D431" t="str">
            <v>…..</v>
          </cell>
          <cell r="E431">
            <v>0</v>
          </cell>
          <cell r="F431">
            <v>0</v>
          </cell>
        </row>
        <row r="432">
          <cell r="A432">
            <v>2126</v>
          </cell>
          <cell r="B432" t="str">
            <v>32mm (1") Type 1000 PVC pipes</v>
          </cell>
          <cell r="C432" t="str">
            <v>m</v>
          </cell>
          <cell r="D432">
            <v>181.25</v>
          </cell>
          <cell r="E432">
            <v>1.81</v>
          </cell>
          <cell r="F432">
            <v>165.5</v>
          </cell>
        </row>
        <row r="433">
          <cell r="A433">
            <v>2127</v>
          </cell>
          <cell r="B433" t="str">
            <v>32mm (1") Type 600 PVC pipes</v>
          </cell>
          <cell r="C433" t="str">
            <v>m</v>
          </cell>
          <cell r="D433">
            <v>82</v>
          </cell>
          <cell r="E433">
            <v>0.82</v>
          </cell>
          <cell r="F433">
            <v>80.5</v>
          </cell>
        </row>
        <row r="434">
          <cell r="A434">
            <v>2128</v>
          </cell>
          <cell r="B434" t="str">
            <v>32mm (1") Type 400 PVC pipes</v>
          </cell>
          <cell r="C434" t="str">
            <v>m</v>
          </cell>
          <cell r="D434" t="str">
            <v>….</v>
          </cell>
          <cell r="E434">
            <v>0</v>
          </cell>
          <cell r="F434">
            <v>0</v>
          </cell>
        </row>
        <row r="435">
          <cell r="A435">
            <v>2129</v>
          </cell>
          <cell r="B435" t="str">
            <v>40mm (1 1/4") Type 1000 PVC pipes</v>
          </cell>
          <cell r="C435" t="str">
            <v>m</v>
          </cell>
          <cell r="D435">
            <v>245</v>
          </cell>
          <cell r="E435">
            <v>2.4500000000000002</v>
          </cell>
          <cell r="F435">
            <v>223.5</v>
          </cell>
        </row>
        <row r="436">
          <cell r="A436">
            <v>2130</v>
          </cell>
          <cell r="B436" t="str">
            <v>40mm (1 1/4") Type 600 PVC pipes</v>
          </cell>
          <cell r="C436" t="str">
            <v>m</v>
          </cell>
          <cell r="D436">
            <v>189.5</v>
          </cell>
          <cell r="E436">
            <v>1.9</v>
          </cell>
          <cell r="F436">
            <v>156.5</v>
          </cell>
        </row>
        <row r="437">
          <cell r="A437">
            <v>2131</v>
          </cell>
          <cell r="B437" t="str">
            <v>40mm (1 1/4") Type 400 PVC pipes</v>
          </cell>
          <cell r="C437" t="str">
            <v>m</v>
          </cell>
          <cell r="D437" t="str">
            <v>…..</v>
          </cell>
          <cell r="E437">
            <v>0</v>
          </cell>
          <cell r="F437">
            <v>0</v>
          </cell>
        </row>
        <row r="438">
          <cell r="A438">
            <v>2132</v>
          </cell>
          <cell r="B438" t="str">
            <v>50mm (1 1/2") Type 1000 PVC pipes</v>
          </cell>
          <cell r="C438" t="str">
            <v>m</v>
          </cell>
          <cell r="D438">
            <v>337.75</v>
          </cell>
          <cell r="E438">
            <v>3.38</v>
          </cell>
          <cell r="F438">
            <v>320.5</v>
          </cell>
        </row>
        <row r="439">
          <cell r="A439">
            <v>2133</v>
          </cell>
          <cell r="B439" t="str">
            <v>50mm (1 1/2") Type 600 PVC pipes</v>
          </cell>
          <cell r="C439" t="str">
            <v>m</v>
          </cell>
          <cell r="D439">
            <v>238</v>
          </cell>
          <cell r="E439">
            <v>2.38</v>
          </cell>
          <cell r="F439">
            <v>211</v>
          </cell>
        </row>
        <row r="440">
          <cell r="A440">
            <v>2134</v>
          </cell>
          <cell r="B440" t="str">
            <v>50mm (1 1/2") Type 400 PVC pipes</v>
          </cell>
          <cell r="C440" t="str">
            <v>m</v>
          </cell>
          <cell r="D440">
            <v>182.25</v>
          </cell>
          <cell r="E440">
            <v>1.82</v>
          </cell>
          <cell r="F440">
            <v>148</v>
          </cell>
        </row>
        <row r="441">
          <cell r="A441">
            <v>2135</v>
          </cell>
          <cell r="B441" t="str">
            <v>63mm (2") Type 1000 PVC pipes</v>
          </cell>
          <cell r="C441" t="str">
            <v>m</v>
          </cell>
          <cell r="D441">
            <v>572.75</v>
          </cell>
          <cell r="E441">
            <v>5.73</v>
          </cell>
          <cell r="F441">
            <v>543</v>
          </cell>
        </row>
        <row r="442">
          <cell r="A442">
            <v>2136</v>
          </cell>
          <cell r="B442" t="str">
            <v>63mm (2") Type 600 PVC pipes</v>
          </cell>
          <cell r="C442" t="str">
            <v>m</v>
          </cell>
          <cell r="D442">
            <v>388</v>
          </cell>
          <cell r="E442">
            <v>3.88</v>
          </cell>
          <cell r="F442">
            <v>346</v>
          </cell>
        </row>
        <row r="443">
          <cell r="A443">
            <v>2137</v>
          </cell>
          <cell r="B443" t="str">
            <v>63mm (2") Type 400 PVC pipes</v>
          </cell>
          <cell r="C443" t="str">
            <v>m</v>
          </cell>
          <cell r="D443">
            <v>344</v>
          </cell>
          <cell r="E443">
            <v>3.44</v>
          </cell>
          <cell r="F443">
            <v>270</v>
          </cell>
        </row>
        <row r="444">
          <cell r="A444">
            <v>2138</v>
          </cell>
          <cell r="B444" t="str">
            <v>75mm (2 1/2") Type 600 PVC pipes</v>
          </cell>
          <cell r="C444" t="str">
            <v>m</v>
          </cell>
          <cell r="D444">
            <v>720.5</v>
          </cell>
          <cell r="E444">
            <v>7.21</v>
          </cell>
          <cell r="F444">
            <v>693</v>
          </cell>
        </row>
        <row r="445">
          <cell r="A445">
            <v>2139</v>
          </cell>
          <cell r="B445" t="str">
            <v>75mm (2 1/2") Type 400 PVC pipes</v>
          </cell>
          <cell r="C445" t="str">
            <v>m</v>
          </cell>
          <cell r="D445">
            <v>500</v>
          </cell>
          <cell r="E445">
            <v>5</v>
          </cell>
          <cell r="F445">
            <v>439.5</v>
          </cell>
        </row>
        <row r="446">
          <cell r="A446">
            <v>2140</v>
          </cell>
          <cell r="B446" t="str">
            <v>90mm (3") Type 600 PVC pipes</v>
          </cell>
          <cell r="C446" t="str">
            <v>m</v>
          </cell>
          <cell r="D446">
            <v>732.5</v>
          </cell>
          <cell r="E446">
            <v>7.33</v>
          </cell>
          <cell r="F446">
            <v>915</v>
          </cell>
        </row>
        <row r="447">
          <cell r="A447">
            <v>2141</v>
          </cell>
          <cell r="B447" t="str">
            <v>90mm (3") Type 400 PVC pipes</v>
          </cell>
          <cell r="C447" t="str">
            <v>m</v>
          </cell>
          <cell r="D447">
            <v>555</v>
          </cell>
          <cell r="E447">
            <v>5.55</v>
          </cell>
          <cell r="F447">
            <v>603.5</v>
          </cell>
        </row>
        <row r="448">
          <cell r="A448">
            <v>2142</v>
          </cell>
          <cell r="B448" t="str">
            <v>110mm (4") Type 600 PVC pipes</v>
          </cell>
          <cell r="C448" t="str">
            <v>m</v>
          </cell>
          <cell r="D448">
            <v>1189.5</v>
          </cell>
          <cell r="E448">
            <v>11.9</v>
          </cell>
          <cell r="F448">
            <v>1338.5</v>
          </cell>
        </row>
        <row r="449">
          <cell r="A449">
            <v>2143</v>
          </cell>
          <cell r="B449" t="str">
            <v>110mm (4") Type 400 PVC pipes</v>
          </cell>
          <cell r="C449" t="str">
            <v>m</v>
          </cell>
          <cell r="D449">
            <v>652.5</v>
          </cell>
          <cell r="E449">
            <v>6.53</v>
          </cell>
          <cell r="F449">
            <v>635.5</v>
          </cell>
        </row>
        <row r="450">
          <cell r="A450">
            <v>2144</v>
          </cell>
          <cell r="B450" t="str">
            <v>12mm (1/2")  angle valve - Chromium Plated</v>
          </cell>
          <cell r="C450" t="str">
            <v>Nr</v>
          </cell>
          <cell r="D450">
            <v>1120</v>
          </cell>
          <cell r="E450">
            <v>11.2</v>
          </cell>
          <cell r="F450">
            <v>1131.2</v>
          </cell>
        </row>
        <row r="451">
          <cell r="A451">
            <v>2145</v>
          </cell>
          <cell r="B451" t="str">
            <v xml:space="preserve">12mm (1/2") flexible horse (450mm) </v>
          </cell>
          <cell r="C451" t="str">
            <v>Nr</v>
          </cell>
          <cell r="D451">
            <v>250</v>
          </cell>
          <cell r="E451">
            <v>2.5</v>
          </cell>
          <cell r="F451">
            <v>252.5</v>
          </cell>
        </row>
        <row r="452">
          <cell r="A452">
            <v>0</v>
          </cell>
          <cell r="B452" t="str">
            <v>Sanitary Fittings</v>
          </cell>
          <cell r="C452">
            <v>0</v>
          </cell>
          <cell r="D452">
            <v>0</v>
          </cell>
          <cell r="E452">
            <v>0</v>
          </cell>
          <cell r="F452">
            <v>0</v>
          </cell>
        </row>
        <row r="453">
          <cell r="A453">
            <v>2201</v>
          </cell>
          <cell r="B453" t="str">
            <v>Kitchen sink with single bowl and single drain board</v>
          </cell>
          <cell r="C453" t="str">
            <v>Nr</v>
          </cell>
          <cell r="D453">
            <v>2750</v>
          </cell>
          <cell r="E453">
            <v>27.5</v>
          </cell>
          <cell r="F453">
            <v>2777.5</v>
          </cell>
        </row>
        <row r="454">
          <cell r="A454">
            <v>2202</v>
          </cell>
          <cell r="B454" t="str">
            <v>Kitchen sink with single bowl and double drain board</v>
          </cell>
          <cell r="C454" t="str">
            <v>Nr</v>
          </cell>
          <cell r="D454">
            <v>3150</v>
          </cell>
          <cell r="E454">
            <v>31.5</v>
          </cell>
          <cell r="F454">
            <v>3181.5</v>
          </cell>
        </row>
        <row r="455">
          <cell r="A455">
            <v>2203</v>
          </cell>
          <cell r="B455" t="str">
            <v>Kitchen sink with double bowl and double drain board</v>
          </cell>
          <cell r="C455" t="str">
            <v>Nr</v>
          </cell>
          <cell r="D455">
            <v>5500</v>
          </cell>
          <cell r="E455">
            <v>55</v>
          </cell>
          <cell r="F455">
            <v>5555</v>
          </cell>
        </row>
        <row r="456">
          <cell r="A456">
            <v>2204</v>
          </cell>
          <cell r="B456" t="str">
            <v>Heavy quality chromium plated swan tap</v>
          </cell>
          <cell r="C456" t="str">
            <v>Nr</v>
          </cell>
          <cell r="D456">
            <v>775</v>
          </cell>
          <cell r="E456">
            <v>7.75</v>
          </cell>
          <cell r="F456">
            <v>783</v>
          </cell>
        </row>
        <row r="457">
          <cell r="A457">
            <v>2205</v>
          </cell>
          <cell r="B457" t="str">
            <v>Tee Iron brackets</v>
          </cell>
          <cell r="C457" t="str">
            <v>Nr</v>
          </cell>
          <cell r="D457">
            <v>100</v>
          </cell>
          <cell r="E457">
            <v>1</v>
          </cell>
          <cell r="F457">
            <v>101</v>
          </cell>
        </row>
        <row r="458">
          <cell r="A458">
            <v>2206</v>
          </cell>
          <cell r="B458" t="str">
            <v>Ceramic wash basin (LCL)</v>
          </cell>
          <cell r="C458" t="str">
            <v>Nr</v>
          </cell>
          <cell r="D458">
            <v>2800</v>
          </cell>
          <cell r="E458">
            <v>28</v>
          </cell>
          <cell r="F458">
            <v>2828</v>
          </cell>
        </row>
        <row r="459">
          <cell r="A459">
            <v>2207</v>
          </cell>
          <cell r="B459" t="str">
            <v>Ceramic wash basin - Pedestal (LCL)</v>
          </cell>
          <cell r="C459" t="str">
            <v>Nr</v>
          </cell>
          <cell r="D459">
            <v>3900</v>
          </cell>
          <cell r="E459">
            <v>39</v>
          </cell>
          <cell r="F459">
            <v>3939</v>
          </cell>
        </row>
        <row r="460">
          <cell r="A460">
            <v>2208</v>
          </cell>
          <cell r="B460" t="str">
            <v>Ceramic wash basin - Pedestal (Ideal, American,British)</v>
          </cell>
          <cell r="C460" t="str">
            <v>Nr</v>
          </cell>
          <cell r="D460">
            <v>14000</v>
          </cell>
          <cell r="E460">
            <v>140</v>
          </cell>
          <cell r="F460">
            <v>14140</v>
          </cell>
        </row>
        <row r="461">
          <cell r="A461">
            <v>2209</v>
          </cell>
          <cell r="B461" t="str">
            <v>Heavy quality chromium plated pillar tap</v>
          </cell>
          <cell r="C461" t="str">
            <v>Nr</v>
          </cell>
          <cell r="D461">
            <v>1600</v>
          </cell>
          <cell r="E461">
            <v>16</v>
          </cell>
          <cell r="F461">
            <v>1616</v>
          </cell>
        </row>
        <row r="462">
          <cell r="A462">
            <v>2210</v>
          </cell>
          <cell r="B462" t="str">
            <v>Ceramic squatting pan with trap and ceramic foot rests</v>
          </cell>
          <cell r="C462" t="str">
            <v>Nr</v>
          </cell>
          <cell r="D462">
            <v>549</v>
          </cell>
          <cell r="E462">
            <v>5.49</v>
          </cell>
          <cell r="F462">
            <v>554.5</v>
          </cell>
        </row>
        <row r="463">
          <cell r="A463">
            <v>2211</v>
          </cell>
          <cell r="B463" t="str">
            <v>Square type ceramic squatting pan with foot rests and trap</v>
          </cell>
          <cell r="C463" t="str">
            <v>Nr</v>
          </cell>
          <cell r="D463">
            <v>925</v>
          </cell>
          <cell r="E463">
            <v>9.25</v>
          </cell>
          <cell r="F463">
            <v>934.5</v>
          </cell>
        </row>
        <row r="464">
          <cell r="A464">
            <v>2212</v>
          </cell>
          <cell r="B464" t="str">
            <v>9 liters capacity high level ceramic cistern</v>
          </cell>
          <cell r="C464" t="str">
            <v>Nr</v>
          </cell>
          <cell r="D464">
            <v>2500</v>
          </cell>
          <cell r="E464">
            <v>25</v>
          </cell>
          <cell r="F464">
            <v>2525</v>
          </cell>
        </row>
        <row r="465">
          <cell r="A465">
            <v>2213</v>
          </cell>
          <cell r="B465" t="str">
            <v>9 liters capacity high level PVC cistern</v>
          </cell>
          <cell r="C465" t="str">
            <v>Nr</v>
          </cell>
          <cell r="D465">
            <v>1900</v>
          </cell>
          <cell r="E465">
            <v>19</v>
          </cell>
          <cell r="F465">
            <v>1919</v>
          </cell>
        </row>
        <row r="466">
          <cell r="A466">
            <v>2214</v>
          </cell>
          <cell r="B466" t="str">
            <v>9 liters capacity low level ceramic cistern</v>
          </cell>
          <cell r="C466" t="str">
            <v>Nr</v>
          </cell>
          <cell r="D466">
            <v>2350</v>
          </cell>
          <cell r="E466">
            <v>23.5</v>
          </cell>
          <cell r="F466">
            <v>2373.5</v>
          </cell>
        </row>
        <row r="467">
          <cell r="A467">
            <v>2215</v>
          </cell>
          <cell r="B467" t="str">
            <v>9 liters capacity low level PVC cistern</v>
          </cell>
          <cell r="C467" t="str">
            <v>Nr</v>
          </cell>
          <cell r="D467">
            <v>1900</v>
          </cell>
          <cell r="E467">
            <v>19</v>
          </cell>
          <cell r="F467">
            <v>1919</v>
          </cell>
        </row>
        <row r="468">
          <cell r="A468">
            <v>2216</v>
          </cell>
          <cell r="B468" t="str">
            <v xml:space="preserve">Low level ceramic water closet (LCL) </v>
          </cell>
          <cell r="C468" t="str">
            <v>Nr</v>
          </cell>
          <cell r="D468">
            <v>4500</v>
          </cell>
          <cell r="E468">
            <v>45</v>
          </cell>
          <cell r="F468">
            <v>4545</v>
          </cell>
        </row>
        <row r="469">
          <cell r="A469">
            <v>2217</v>
          </cell>
          <cell r="B469" t="str">
            <v xml:space="preserve">Closed couple ceramic water closet (British) </v>
          </cell>
          <cell r="C469" t="str">
            <v>Nr</v>
          </cell>
          <cell r="D469">
            <v>17500</v>
          </cell>
          <cell r="E469">
            <v>175</v>
          </cell>
          <cell r="F469">
            <v>17675</v>
          </cell>
        </row>
        <row r="470">
          <cell r="A470">
            <v>2218</v>
          </cell>
          <cell r="B470" t="str">
            <v>Bowl type urinal</v>
          </cell>
          <cell r="C470" t="str">
            <v>Nr</v>
          </cell>
          <cell r="D470">
            <v>1380</v>
          </cell>
          <cell r="E470">
            <v>13.8</v>
          </cell>
          <cell r="F470">
            <v>1394</v>
          </cell>
        </row>
        <row r="471">
          <cell r="A471">
            <v>2219</v>
          </cell>
          <cell r="B471" t="str">
            <v>40mm Bottle Trap</v>
          </cell>
          <cell r="C471" t="str">
            <v>Nr</v>
          </cell>
          <cell r="D471">
            <v>213</v>
          </cell>
          <cell r="E471">
            <v>2.13</v>
          </cell>
          <cell r="F471">
            <v>215.13</v>
          </cell>
        </row>
        <row r="472">
          <cell r="A472">
            <v>2220</v>
          </cell>
          <cell r="B472" t="str">
            <v>Bidet shower</v>
          </cell>
          <cell r="C472" t="str">
            <v>Nr</v>
          </cell>
          <cell r="D472">
            <v>1850</v>
          </cell>
          <cell r="E472">
            <v>18.5</v>
          </cell>
          <cell r="F472">
            <v>1868.5</v>
          </cell>
        </row>
        <row r="473">
          <cell r="A473">
            <v>2221</v>
          </cell>
          <cell r="B473" t="str">
            <v>PVC seat cover</v>
          </cell>
          <cell r="C473" t="str">
            <v>Nr</v>
          </cell>
          <cell r="D473">
            <v>500</v>
          </cell>
          <cell r="E473">
            <v>5</v>
          </cell>
          <cell r="F473">
            <v>505</v>
          </cell>
        </row>
        <row r="474">
          <cell r="A474">
            <v>2222</v>
          </cell>
          <cell r="B474" t="str">
            <v>Bathroom mirror</v>
          </cell>
          <cell r="C474" t="str">
            <v>Nr</v>
          </cell>
          <cell r="D474">
            <v>750</v>
          </cell>
          <cell r="E474">
            <v>7.5</v>
          </cell>
          <cell r="F474">
            <v>757.5</v>
          </cell>
        </row>
        <row r="475">
          <cell r="A475">
            <v>2223</v>
          </cell>
          <cell r="B475" t="str">
            <v>Chromium Plated Soap Tray</v>
          </cell>
          <cell r="C475" t="str">
            <v>Nr</v>
          </cell>
          <cell r="D475">
            <v>2850</v>
          </cell>
          <cell r="E475">
            <v>28.5</v>
          </cell>
          <cell r="F475">
            <v>2878.5</v>
          </cell>
        </row>
        <row r="476">
          <cell r="A476">
            <v>2224</v>
          </cell>
          <cell r="B476" t="str">
            <v>Ceramic Soap Tray</v>
          </cell>
          <cell r="C476" t="str">
            <v>Nr</v>
          </cell>
          <cell r="D476">
            <v>300</v>
          </cell>
          <cell r="E476">
            <v>3</v>
          </cell>
          <cell r="F476">
            <v>303</v>
          </cell>
        </row>
        <row r="477">
          <cell r="A477">
            <v>2225</v>
          </cell>
          <cell r="B477" t="str">
            <v>Chromium Plated Tooth brush holder</v>
          </cell>
          <cell r="C477" t="str">
            <v>Nr</v>
          </cell>
          <cell r="D477">
            <v>2350</v>
          </cell>
          <cell r="E477">
            <v>23.5</v>
          </cell>
          <cell r="F477">
            <v>2373.5</v>
          </cell>
        </row>
        <row r="478">
          <cell r="A478">
            <v>2226</v>
          </cell>
          <cell r="B478" t="str">
            <v>Ceramic Tooth brush holder</v>
          </cell>
          <cell r="C478" t="str">
            <v>Nr</v>
          </cell>
          <cell r="D478">
            <v>400</v>
          </cell>
          <cell r="E478">
            <v>4</v>
          </cell>
          <cell r="F478">
            <v>404</v>
          </cell>
        </row>
        <row r="479">
          <cell r="A479">
            <v>2227</v>
          </cell>
          <cell r="B479" t="str">
            <v>Chromium Plated 150mm dia. Shower Rose</v>
          </cell>
          <cell r="C479" t="str">
            <v>Nr</v>
          </cell>
          <cell r="D479">
            <v>12600</v>
          </cell>
          <cell r="E479">
            <v>126</v>
          </cell>
          <cell r="F479">
            <v>12726</v>
          </cell>
        </row>
        <row r="480">
          <cell r="A480">
            <v>2228</v>
          </cell>
          <cell r="B480" t="str">
            <v>PVC 150mm dia. Shower Rose</v>
          </cell>
          <cell r="C480" t="str">
            <v>Nr</v>
          </cell>
          <cell r="D480">
            <v>140</v>
          </cell>
          <cell r="E480">
            <v>1.4</v>
          </cell>
          <cell r="F480">
            <v>141.4</v>
          </cell>
        </row>
        <row r="481">
          <cell r="A481">
            <v>2229</v>
          </cell>
          <cell r="B481" t="str">
            <v>Chromium Plated toilet paper holder</v>
          </cell>
          <cell r="C481" t="str">
            <v>Nr</v>
          </cell>
          <cell r="D481">
            <v>2740</v>
          </cell>
          <cell r="E481">
            <v>27.4</v>
          </cell>
          <cell r="F481">
            <v>2767.4</v>
          </cell>
        </row>
        <row r="482">
          <cell r="A482">
            <v>2230</v>
          </cell>
          <cell r="B482" t="str">
            <v>Ceremic toilet paper holder</v>
          </cell>
          <cell r="C482" t="str">
            <v>Nr</v>
          </cell>
          <cell r="D482">
            <v>400</v>
          </cell>
          <cell r="E482">
            <v>4</v>
          </cell>
          <cell r="F482">
            <v>404</v>
          </cell>
        </row>
        <row r="483">
          <cell r="A483">
            <v>2231</v>
          </cell>
          <cell r="B483" t="str">
            <v>Chromium Plated towel rail</v>
          </cell>
          <cell r="C483" t="str">
            <v>Nr</v>
          </cell>
          <cell r="D483">
            <v>3250</v>
          </cell>
          <cell r="E483">
            <v>32.5</v>
          </cell>
          <cell r="F483">
            <v>3282.5</v>
          </cell>
        </row>
        <row r="484">
          <cell r="A484">
            <v>2232</v>
          </cell>
          <cell r="B484" t="str">
            <v>Ceremic towel rail</v>
          </cell>
          <cell r="C484" t="str">
            <v>Nr</v>
          </cell>
          <cell r="D484">
            <v>600</v>
          </cell>
          <cell r="E484">
            <v>6</v>
          </cell>
          <cell r="F484">
            <v>606</v>
          </cell>
        </row>
        <row r="485">
          <cell r="A485">
            <v>2233</v>
          </cell>
          <cell r="B485" t="str">
            <v>Chromium Plated conceal valve for shower</v>
          </cell>
          <cell r="C485" t="str">
            <v>Nr</v>
          </cell>
          <cell r="D485">
            <v>1300</v>
          </cell>
          <cell r="E485">
            <v>13</v>
          </cell>
          <cell r="F485">
            <v>1313</v>
          </cell>
        </row>
        <row r="486">
          <cell r="A486">
            <v>0</v>
          </cell>
          <cell r="B486" t="str">
            <v>Roof Plumber</v>
          </cell>
          <cell r="C486">
            <v>0</v>
          </cell>
          <cell r="D486">
            <v>0</v>
          </cell>
          <cell r="E486">
            <v>0</v>
          </cell>
          <cell r="F486">
            <v>0</v>
          </cell>
        </row>
        <row r="487">
          <cell r="A487">
            <v>2301</v>
          </cell>
          <cell r="B487" t="str">
            <v>PVC eave gutters</v>
          </cell>
          <cell r="C487" t="str">
            <v>m</v>
          </cell>
          <cell r="D487">
            <v>540</v>
          </cell>
          <cell r="E487">
            <v>5.4</v>
          </cell>
          <cell r="F487">
            <v>545.5</v>
          </cell>
        </row>
        <row r="488">
          <cell r="A488">
            <v>2302</v>
          </cell>
          <cell r="B488" t="str">
            <v>End cap</v>
          </cell>
          <cell r="C488" t="str">
            <v>Nr</v>
          </cell>
          <cell r="D488">
            <v>85</v>
          </cell>
          <cell r="E488">
            <v>0.85</v>
          </cell>
          <cell r="F488">
            <v>72.5</v>
          </cell>
        </row>
        <row r="489">
          <cell r="A489">
            <v>2303</v>
          </cell>
          <cell r="B489" t="str">
            <v>Joint</v>
          </cell>
          <cell r="C489" t="str">
            <v>m</v>
          </cell>
          <cell r="D489">
            <v>85</v>
          </cell>
          <cell r="E489">
            <v>0.85</v>
          </cell>
          <cell r="F489">
            <v>86</v>
          </cell>
        </row>
        <row r="490">
          <cell r="A490">
            <v>2304</v>
          </cell>
          <cell r="B490" t="str">
            <v>Gutter joiner</v>
          </cell>
          <cell r="C490" t="str">
            <v>Nr</v>
          </cell>
          <cell r="D490">
            <v>95</v>
          </cell>
          <cell r="E490">
            <v>0.95</v>
          </cell>
          <cell r="F490">
            <v>96</v>
          </cell>
        </row>
        <row r="491">
          <cell r="A491">
            <v>2305</v>
          </cell>
          <cell r="B491" t="str">
            <v>Gutter brackets</v>
          </cell>
          <cell r="C491" t="str">
            <v>Nr</v>
          </cell>
          <cell r="D491">
            <v>24</v>
          </cell>
          <cell r="E491">
            <v>0.24</v>
          </cell>
          <cell r="F491">
            <v>36.5</v>
          </cell>
        </row>
        <row r="492">
          <cell r="A492">
            <v>2306</v>
          </cell>
          <cell r="B492" t="str">
            <v>Running head</v>
          </cell>
          <cell r="C492" t="str">
            <v>Nr</v>
          </cell>
          <cell r="D492">
            <v>225</v>
          </cell>
          <cell r="E492">
            <v>2.25</v>
          </cell>
          <cell r="F492">
            <v>227.25</v>
          </cell>
        </row>
        <row r="493">
          <cell r="A493">
            <v>2307</v>
          </cell>
          <cell r="B493" t="str">
            <v>87.5 mm dia. PVC down pipes</v>
          </cell>
          <cell r="C493" t="str">
            <v>m</v>
          </cell>
          <cell r="D493">
            <v>196</v>
          </cell>
          <cell r="E493">
            <v>1.96</v>
          </cell>
          <cell r="F493">
            <v>138.5</v>
          </cell>
        </row>
        <row r="494">
          <cell r="A494">
            <v>2308</v>
          </cell>
          <cell r="B494" t="str">
            <v>87.5 mm dia. PVC socket</v>
          </cell>
          <cell r="C494" t="str">
            <v>Nr</v>
          </cell>
          <cell r="D494">
            <v>65</v>
          </cell>
          <cell r="E494">
            <v>0.65</v>
          </cell>
          <cell r="F494">
            <v>62.5</v>
          </cell>
        </row>
        <row r="495">
          <cell r="A495">
            <v>2309</v>
          </cell>
          <cell r="B495" t="str">
            <v>87.5 mm dia. PVC elbows</v>
          </cell>
          <cell r="C495" t="str">
            <v>Nr</v>
          </cell>
          <cell r="D495">
            <v>150</v>
          </cell>
          <cell r="E495">
            <v>1.5</v>
          </cell>
          <cell r="F495">
            <v>91</v>
          </cell>
        </row>
        <row r="496">
          <cell r="A496">
            <v>2310</v>
          </cell>
          <cell r="B496" t="str">
            <v>Clips</v>
          </cell>
          <cell r="C496" t="str">
            <v>Nr</v>
          </cell>
          <cell r="D496">
            <v>20</v>
          </cell>
          <cell r="E496">
            <v>0.2</v>
          </cell>
          <cell r="F496">
            <v>18</v>
          </cell>
        </row>
        <row r="497">
          <cell r="A497">
            <v>2311</v>
          </cell>
          <cell r="B497" t="str">
            <v>200mmx200x87.5mm PVC gutter box</v>
          </cell>
          <cell r="C497" t="str">
            <v>Nr</v>
          </cell>
          <cell r="D497">
            <v>490</v>
          </cell>
          <cell r="E497">
            <v>4.9000000000000004</v>
          </cell>
          <cell r="F497">
            <v>494.9</v>
          </cell>
        </row>
        <row r="498">
          <cell r="A498">
            <v>2312</v>
          </cell>
          <cell r="B498" t="str">
            <v>Zink Aluminium rainwater eave gutters</v>
          </cell>
          <cell r="C498" t="str">
            <v>m</v>
          </cell>
          <cell r="D498">
            <v>525</v>
          </cell>
          <cell r="E498">
            <v>5.25</v>
          </cell>
          <cell r="F498">
            <v>530.5</v>
          </cell>
        </row>
        <row r="499">
          <cell r="A499">
            <v>2313</v>
          </cell>
          <cell r="B499" t="str">
            <v>Stop end and plate</v>
          </cell>
          <cell r="C499" t="str">
            <v>Nr</v>
          </cell>
          <cell r="D499">
            <v>140</v>
          </cell>
          <cell r="E499">
            <v>1.4</v>
          </cell>
          <cell r="F499">
            <v>141.5</v>
          </cell>
        </row>
        <row r="500">
          <cell r="A500">
            <v>2314</v>
          </cell>
          <cell r="B500" t="str">
            <v>Steel brackets</v>
          </cell>
          <cell r="C500" t="str">
            <v>Nr</v>
          </cell>
          <cell r="D500">
            <v>50</v>
          </cell>
          <cell r="E500">
            <v>0.5</v>
          </cell>
          <cell r="F500">
            <v>50.5</v>
          </cell>
        </row>
        <row r="501">
          <cell r="A501">
            <v>2315</v>
          </cell>
          <cell r="B501" t="str">
            <v>100x100mm Zn-alum down pipes</v>
          </cell>
          <cell r="C501" t="str">
            <v>m</v>
          </cell>
          <cell r="D501">
            <v>524</v>
          </cell>
          <cell r="E501">
            <v>5.24</v>
          </cell>
          <cell r="F501">
            <v>529</v>
          </cell>
        </row>
        <row r="502">
          <cell r="A502">
            <v>2316</v>
          </cell>
          <cell r="B502" t="str">
            <v>150x150mm Zn-alum down pipes</v>
          </cell>
          <cell r="C502" t="str">
            <v>m</v>
          </cell>
          <cell r="D502">
            <v>838</v>
          </cell>
          <cell r="E502">
            <v>8.3800000000000008</v>
          </cell>
          <cell r="F502">
            <v>846.5</v>
          </cell>
        </row>
        <row r="503">
          <cell r="A503">
            <v>2317</v>
          </cell>
          <cell r="B503" t="str">
            <v>Nozzles</v>
          </cell>
          <cell r="C503" t="str">
            <v>Nr</v>
          </cell>
          <cell r="D503">
            <v>754</v>
          </cell>
          <cell r="E503">
            <v>7.54</v>
          </cell>
          <cell r="F503">
            <v>761.5</v>
          </cell>
        </row>
        <row r="504">
          <cell r="A504">
            <v>2318</v>
          </cell>
          <cell r="B504" t="str">
            <v>Offsets</v>
          </cell>
          <cell r="C504" t="str">
            <v>Nr</v>
          </cell>
          <cell r="D504">
            <v>1635</v>
          </cell>
          <cell r="E504">
            <v>16.350000000000001</v>
          </cell>
          <cell r="F504">
            <v>1651.5</v>
          </cell>
        </row>
        <row r="505">
          <cell r="A505">
            <v>2319</v>
          </cell>
          <cell r="B505" t="str">
            <v>Shoes</v>
          </cell>
          <cell r="C505" t="str">
            <v>Nr</v>
          </cell>
          <cell r="D505">
            <v>624</v>
          </cell>
          <cell r="E505">
            <v>6.24</v>
          </cell>
          <cell r="F505">
            <v>630</v>
          </cell>
        </row>
        <row r="506">
          <cell r="A506">
            <v>2320</v>
          </cell>
          <cell r="B506" t="str">
            <v>Clips</v>
          </cell>
          <cell r="C506" t="str">
            <v>Nr</v>
          </cell>
          <cell r="D506">
            <v>9</v>
          </cell>
          <cell r="E506">
            <v>0.09</v>
          </cell>
          <cell r="F506">
            <v>9</v>
          </cell>
        </row>
        <row r="507">
          <cell r="A507">
            <v>2321</v>
          </cell>
          <cell r="B507" t="str">
            <v>300x300mm gutter boxes in Zink Alum color coated metal sheets</v>
          </cell>
          <cell r="C507" t="str">
            <v>Nr</v>
          </cell>
          <cell r="D507">
            <v>1142</v>
          </cell>
          <cell r="E507">
            <v>11.42</v>
          </cell>
          <cell r="F507">
            <v>1153.5</v>
          </cell>
        </row>
        <row r="508">
          <cell r="A508">
            <v>2322</v>
          </cell>
          <cell r="B508" t="str">
            <v>25x25mm N/A Alluminium</v>
          </cell>
          <cell r="C508" t="str">
            <v>m</v>
          </cell>
          <cell r="D508">
            <v>0</v>
          </cell>
          <cell r="E508">
            <v>0</v>
          </cell>
          <cell r="F508">
            <v>0</v>
          </cell>
        </row>
        <row r="509">
          <cell r="A509">
            <v>0</v>
          </cell>
          <cell r="B509" t="str">
            <v>Tinker</v>
          </cell>
          <cell r="C509">
            <v>0</v>
          </cell>
          <cell r="D509">
            <v>0</v>
          </cell>
          <cell r="E509">
            <v>0</v>
          </cell>
          <cell r="F509">
            <v>0</v>
          </cell>
        </row>
        <row r="510">
          <cell r="A510">
            <v>2401</v>
          </cell>
          <cell r="B510" t="str">
            <v>18 B.W.G. sheets</v>
          </cell>
          <cell r="C510" t="str">
            <v>m2</v>
          </cell>
          <cell r="D510">
            <v>1177</v>
          </cell>
          <cell r="E510">
            <v>11.77</v>
          </cell>
          <cell r="F510">
            <v>1189</v>
          </cell>
        </row>
        <row r="511">
          <cell r="A511">
            <v>0</v>
          </cell>
          <cell r="B511" t="str">
            <v>Drain Layer</v>
          </cell>
          <cell r="C511">
            <v>0</v>
          </cell>
          <cell r="D511">
            <v>0</v>
          </cell>
          <cell r="E511">
            <v>0</v>
          </cell>
          <cell r="F511">
            <v>0</v>
          </cell>
        </row>
        <row r="512">
          <cell r="A512">
            <v>2501</v>
          </cell>
          <cell r="B512" t="str">
            <v>Copper wire dome</v>
          </cell>
          <cell r="C512" t="str">
            <v>Nr</v>
          </cell>
          <cell r="D512">
            <v>250</v>
          </cell>
          <cell r="E512">
            <v>2.5</v>
          </cell>
          <cell r="F512">
            <v>252.5</v>
          </cell>
        </row>
        <row r="513">
          <cell r="A513">
            <v>2502</v>
          </cell>
          <cell r="B513" t="str">
            <v>Drainage gully and grate  PVC</v>
          </cell>
          <cell r="C513" t="str">
            <v>Nr</v>
          </cell>
          <cell r="D513">
            <v>130</v>
          </cell>
          <cell r="E513">
            <v>1.3</v>
          </cell>
          <cell r="F513">
            <v>131.5</v>
          </cell>
        </row>
        <row r="514">
          <cell r="A514">
            <v>2503</v>
          </cell>
          <cell r="B514" t="str">
            <v>40mm 4-way PVC floor trap</v>
          </cell>
          <cell r="C514" t="str">
            <v>Nr</v>
          </cell>
          <cell r="D514">
            <v>300</v>
          </cell>
          <cell r="E514">
            <v>3</v>
          </cell>
          <cell r="F514">
            <v>303</v>
          </cell>
        </row>
        <row r="515">
          <cell r="A515">
            <v>0</v>
          </cell>
          <cell r="B515" t="str">
            <v>Painter</v>
          </cell>
          <cell r="C515">
            <v>0</v>
          </cell>
          <cell r="D515">
            <v>0</v>
          </cell>
          <cell r="E515">
            <v>0</v>
          </cell>
          <cell r="F515">
            <v>0</v>
          </cell>
        </row>
        <row r="516">
          <cell r="A516">
            <v>2601</v>
          </cell>
          <cell r="B516" t="str">
            <v>Lime</v>
          </cell>
          <cell r="C516" t="str">
            <v>kg</v>
          </cell>
          <cell r="D516">
            <v>20</v>
          </cell>
          <cell r="E516">
            <v>0.2</v>
          </cell>
          <cell r="F516">
            <v>20.5</v>
          </cell>
        </row>
        <row r="517">
          <cell r="A517">
            <v>2602</v>
          </cell>
          <cell r="B517" t="str">
            <v>Glue</v>
          </cell>
          <cell r="C517" t="str">
            <v>kg</v>
          </cell>
          <cell r="D517">
            <v>80</v>
          </cell>
          <cell r="E517">
            <v>0.8</v>
          </cell>
          <cell r="F517">
            <v>81</v>
          </cell>
        </row>
        <row r="518">
          <cell r="A518">
            <v>2603</v>
          </cell>
          <cell r="B518" t="str">
            <v>Yellow ochre</v>
          </cell>
          <cell r="C518" t="str">
            <v>kg</v>
          </cell>
          <cell r="D518">
            <v>60</v>
          </cell>
          <cell r="E518">
            <v>0.6</v>
          </cell>
          <cell r="F518">
            <v>60.5</v>
          </cell>
        </row>
        <row r="519">
          <cell r="A519">
            <v>2604</v>
          </cell>
          <cell r="B519" t="str">
            <v>Snowcem</v>
          </cell>
          <cell r="C519" t="str">
            <v>kg</v>
          </cell>
          <cell r="D519">
            <v>80</v>
          </cell>
          <cell r="E519">
            <v>0.8</v>
          </cell>
          <cell r="F519">
            <v>81</v>
          </cell>
        </row>
        <row r="520">
          <cell r="A520">
            <v>2605</v>
          </cell>
          <cell r="B520" t="str">
            <v>Wall primer</v>
          </cell>
          <cell r="C520" t="str">
            <v>l</v>
          </cell>
          <cell r="D520">
            <v>320</v>
          </cell>
          <cell r="E520">
            <v>3.2</v>
          </cell>
          <cell r="F520">
            <v>323</v>
          </cell>
        </row>
        <row r="521">
          <cell r="A521">
            <v>2606</v>
          </cell>
          <cell r="B521" t="str">
            <v>Emulsion paint</v>
          </cell>
          <cell r="C521" t="str">
            <v>l</v>
          </cell>
          <cell r="D521">
            <v>645</v>
          </cell>
          <cell r="E521">
            <v>6.45</v>
          </cell>
          <cell r="F521">
            <v>651.5</v>
          </cell>
        </row>
        <row r="522">
          <cell r="A522">
            <v>2607</v>
          </cell>
          <cell r="B522" t="str">
            <v>Weather shield paint</v>
          </cell>
          <cell r="C522" t="str">
            <v>l</v>
          </cell>
          <cell r="D522">
            <v>838</v>
          </cell>
          <cell r="E522">
            <v>8.3800000000000008</v>
          </cell>
          <cell r="F522">
            <v>846.5</v>
          </cell>
        </row>
        <row r="523">
          <cell r="A523">
            <v>2608</v>
          </cell>
          <cell r="B523" t="str">
            <v>Enamel paint</v>
          </cell>
          <cell r="C523" t="str">
            <v>l</v>
          </cell>
          <cell r="D523">
            <v>740</v>
          </cell>
          <cell r="E523">
            <v>7.4</v>
          </cell>
          <cell r="F523">
            <v>747.5</v>
          </cell>
        </row>
        <row r="524">
          <cell r="A524">
            <v>2609</v>
          </cell>
          <cell r="B524" t="str">
            <v>Anticorrosive paint</v>
          </cell>
          <cell r="C524" t="str">
            <v>l</v>
          </cell>
          <cell r="D524">
            <v>510</v>
          </cell>
          <cell r="E524">
            <v>5.0999999999999996</v>
          </cell>
          <cell r="F524">
            <v>515</v>
          </cell>
        </row>
        <row r="525">
          <cell r="A525">
            <v>2610</v>
          </cell>
          <cell r="B525" t="str">
            <v>Floor paint</v>
          </cell>
          <cell r="C525" t="str">
            <v>l</v>
          </cell>
          <cell r="D525">
            <v>780</v>
          </cell>
          <cell r="E525">
            <v>7.8</v>
          </cell>
          <cell r="F525">
            <v>788</v>
          </cell>
        </row>
        <row r="526">
          <cell r="A526">
            <v>2611</v>
          </cell>
          <cell r="B526" t="str">
            <v>Floor polish</v>
          </cell>
          <cell r="C526" t="str">
            <v>kg</v>
          </cell>
          <cell r="D526">
            <v>650</v>
          </cell>
          <cell r="E526">
            <v>6.5</v>
          </cell>
          <cell r="F526">
            <v>656.5</v>
          </cell>
        </row>
        <row r="527">
          <cell r="A527">
            <v>2612</v>
          </cell>
          <cell r="B527" t="str">
            <v>Wood primer</v>
          </cell>
          <cell r="C527" t="str">
            <v>l</v>
          </cell>
          <cell r="D527">
            <v>720</v>
          </cell>
          <cell r="E527">
            <v>7.2</v>
          </cell>
          <cell r="F527">
            <v>727</v>
          </cell>
        </row>
        <row r="528">
          <cell r="A528">
            <v>2613</v>
          </cell>
          <cell r="B528" t="str">
            <v>Polyurethane varnish</v>
          </cell>
          <cell r="C528" t="str">
            <v>l</v>
          </cell>
          <cell r="D528">
            <v>750</v>
          </cell>
          <cell r="E528">
            <v>7.5</v>
          </cell>
          <cell r="F528">
            <v>757.5</v>
          </cell>
        </row>
        <row r="529">
          <cell r="A529">
            <v>0</v>
          </cell>
          <cell r="B529" t="str">
            <v>Electrical Installation</v>
          </cell>
          <cell r="C529">
            <v>0</v>
          </cell>
          <cell r="D529">
            <v>0</v>
          </cell>
          <cell r="E529">
            <v>0</v>
          </cell>
          <cell r="F529">
            <v>0</v>
          </cell>
        </row>
        <row r="530">
          <cell r="A530">
            <v>2701</v>
          </cell>
          <cell r="B530" t="str">
            <v>1/1.13 mm Cu\PVC\PVC ( 1 sq.mm)</v>
          </cell>
          <cell r="C530" t="str">
            <v>m</v>
          </cell>
          <cell r="D530">
            <v>18.5</v>
          </cell>
          <cell r="E530">
            <v>0.19</v>
          </cell>
          <cell r="F530">
            <v>18.5</v>
          </cell>
        </row>
        <row r="531">
          <cell r="A531">
            <v>2702</v>
          </cell>
          <cell r="B531" t="str">
            <v>7/0.67 mm Cu\PVC ( 2.5 sq.mm)</v>
          </cell>
          <cell r="C531" t="str">
            <v>m</v>
          </cell>
          <cell r="D531">
            <v>61.5</v>
          </cell>
          <cell r="E531">
            <v>0.62</v>
          </cell>
          <cell r="F531">
            <v>62</v>
          </cell>
        </row>
        <row r="532">
          <cell r="A532">
            <v>2703</v>
          </cell>
          <cell r="B532" t="str">
            <v>7/0.53mm Cu\PVC\PVC(T)-1.5sq.mm</v>
          </cell>
          <cell r="C532" t="str">
            <v>m</v>
          </cell>
          <cell r="D532">
            <v>79.2</v>
          </cell>
          <cell r="E532">
            <v>0.79</v>
          </cell>
          <cell r="F532">
            <v>80</v>
          </cell>
        </row>
        <row r="533">
          <cell r="A533">
            <v>2704</v>
          </cell>
          <cell r="B533" t="str">
            <v>7/0.67mm Cu\PVC\PVC(T)-2.5sq.mm</v>
          </cell>
          <cell r="C533" t="str">
            <v>m</v>
          </cell>
          <cell r="D533">
            <v>115.4</v>
          </cell>
          <cell r="E533">
            <v>1.1499999999999999</v>
          </cell>
          <cell r="F533">
            <v>116.5</v>
          </cell>
        </row>
        <row r="534">
          <cell r="A534">
            <v>2705</v>
          </cell>
          <cell r="B534" t="str">
            <v>7/1.04mm Cu\PVC\PVC(T)-6sq.mm</v>
          </cell>
          <cell r="C534" t="str">
            <v>m</v>
          </cell>
          <cell r="D534">
            <v>249.3</v>
          </cell>
          <cell r="E534">
            <v>2.4900000000000002</v>
          </cell>
          <cell r="F534">
            <v>252</v>
          </cell>
        </row>
        <row r="535">
          <cell r="A535">
            <v>2706</v>
          </cell>
          <cell r="B535" t="str">
            <v>Holder</v>
          </cell>
          <cell r="C535" t="str">
            <v>Nr</v>
          </cell>
          <cell r="D535">
            <v>55</v>
          </cell>
          <cell r="E535">
            <v>0.55000000000000004</v>
          </cell>
          <cell r="F535">
            <v>55.5</v>
          </cell>
        </row>
        <row r="536">
          <cell r="A536">
            <v>2707</v>
          </cell>
          <cell r="B536" t="str">
            <v>Sun box</v>
          </cell>
          <cell r="C536" t="str">
            <v>Nr</v>
          </cell>
          <cell r="D536">
            <v>35</v>
          </cell>
          <cell r="E536">
            <v>0.35</v>
          </cell>
          <cell r="F536">
            <v>35.5</v>
          </cell>
        </row>
        <row r="537">
          <cell r="A537">
            <v>2708</v>
          </cell>
          <cell r="B537" t="str">
            <v>Switch</v>
          </cell>
          <cell r="C537" t="str">
            <v>Nr</v>
          </cell>
          <cell r="D537">
            <v>35</v>
          </cell>
          <cell r="E537">
            <v>0.35</v>
          </cell>
          <cell r="F537">
            <v>35.5</v>
          </cell>
        </row>
        <row r="538">
          <cell r="A538">
            <v>2709</v>
          </cell>
          <cell r="B538" t="str">
            <v>PVC conduit 1"</v>
          </cell>
          <cell r="C538" t="str">
            <v>m</v>
          </cell>
          <cell r="D538">
            <v>34.25</v>
          </cell>
          <cell r="E538">
            <v>0.34</v>
          </cell>
          <cell r="F538">
            <v>34</v>
          </cell>
        </row>
        <row r="539">
          <cell r="A539">
            <v>2710</v>
          </cell>
          <cell r="B539" t="str">
            <v>5A socket outlet</v>
          </cell>
          <cell r="C539" t="str">
            <v>Nr</v>
          </cell>
          <cell r="D539">
            <v>340</v>
          </cell>
          <cell r="E539">
            <v>3.4</v>
          </cell>
          <cell r="F539">
            <v>315</v>
          </cell>
        </row>
        <row r="540">
          <cell r="A540">
            <v>2711</v>
          </cell>
          <cell r="B540" t="str">
            <v>13A socket outlet</v>
          </cell>
          <cell r="C540" t="str">
            <v>Nr</v>
          </cell>
          <cell r="D540">
            <v>360</v>
          </cell>
          <cell r="E540">
            <v>3.6</v>
          </cell>
          <cell r="F540">
            <v>333.5</v>
          </cell>
        </row>
        <row r="541">
          <cell r="A541">
            <v>2712</v>
          </cell>
          <cell r="B541" t="str">
            <v>15A socket outlet</v>
          </cell>
          <cell r="C541" t="str">
            <v>Nr</v>
          </cell>
          <cell r="D541">
            <v>420</v>
          </cell>
          <cell r="E541">
            <v>4.2</v>
          </cell>
          <cell r="F541">
            <v>387</v>
          </cell>
        </row>
        <row r="542">
          <cell r="A542">
            <v>2713</v>
          </cell>
          <cell r="B542" t="str">
            <v>Ceiling rose</v>
          </cell>
          <cell r="C542" t="str">
            <v>Nr</v>
          </cell>
          <cell r="D542">
            <v>85</v>
          </cell>
          <cell r="E542">
            <v>0.85</v>
          </cell>
          <cell r="F542">
            <v>86</v>
          </cell>
        </row>
        <row r="543">
          <cell r="A543">
            <v>2714</v>
          </cell>
          <cell r="B543" t="str">
            <v>Round block</v>
          </cell>
          <cell r="C543" t="str">
            <v>Nr</v>
          </cell>
          <cell r="D543">
            <v>15</v>
          </cell>
          <cell r="E543">
            <v>0.15</v>
          </cell>
          <cell r="F543">
            <v>15</v>
          </cell>
        </row>
        <row r="544">
          <cell r="A544">
            <v>2715</v>
          </cell>
          <cell r="B544" t="str">
            <v>Fan hook</v>
          </cell>
          <cell r="C544" t="str">
            <v>Nr</v>
          </cell>
          <cell r="D544">
            <v>175</v>
          </cell>
          <cell r="E544">
            <v>1.75</v>
          </cell>
          <cell r="F544">
            <v>177</v>
          </cell>
        </row>
        <row r="545">
          <cell r="A545">
            <v>2716</v>
          </cell>
          <cell r="B545" t="str">
            <v>Pendent lamp</v>
          </cell>
          <cell r="C545" t="str">
            <v>Nr</v>
          </cell>
          <cell r="D545">
            <v>60</v>
          </cell>
          <cell r="E545">
            <v>0.6</v>
          </cell>
          <cell r="F545">
            <v>60.5</v>
          </cell>
        </row>
        <row r="546">
          <cell r="A546">
            <v>2717</v>
          </cell>
          <cell r="B546" t="str">
            <v>Weather proofed angle batten lamp</v>
          </cell>
          <cell r="C546" t="str">
            <v>Nr</v>
          </cell>
          <cell r="D546">
            <v>1350</v>
          </cell>
          <cell r="E546">
            <v>13.5</v>
          </cell>
          <cell r="F546">
            <v>1363.5</v>
          </cell>
        </row>
        <row r="547">
          <cell r="A547">
            <v>2718</v>
          </cell>
          <cell r="B547" t="str">
            <v>Wall bracket lamp</v>
          </cell>
          <cell r="C547" t="str">
            <v>Nr</v>
          </cell>
          <cell r="D547">
            <v>850</v>
          </cell>
          <cell r="E547">
            <v>8.5</v>
          </cell>
          <cell r="F547">
            <v>858.5</v>
          </cell>
        </row>
        <row r="548">
          <cell r="A548">
            <v>2719</v>
          </cell>
          <cell r="B548" t="str">
            <v>1200 mm, 40W single fluorescent lamp</v>
          </cell>
          <cell r="C548" t="str">
            <v>Nr</v>
          </cell>
          <cell r="D548">
            <v>975</v>
          </cell>
          <cell r="E548">
            <v>9.75</v>
          </cell>
          <cell r="F548">
            <v>985</v>
          </cell>
        </row>
        <row r="549">
          <cell r="A549">
            <v>2720</v>
          </cell>
          <cell r="B549" t="str">
            <v>1200 mm, 40W double fluorescent lamp</v>
          </cell>
          <cell r="C549" t="str">
            <v>Nr</v>
          </cell>
          <cell r="D549">
            <v>1900</v>
          </cell>
          <cell r="E549">
            <v>19</v>
          </cell>
          <cell r="F549">
            <v>1919</v>
          </cell>
        </row>
        <row r="550">
          <cell r="A550">
            <v>2721</v>
          </cell>
          <cell r="B550" t="str">
            <v>600x300 mm fully parabolic reflective type fluorescent lamp (2 tube)</v>
          </cell>
          <cell r="C550" t="str">
            <v>Nr</v>
          </cell>
          <cell r="D550">
            <v>3450</v>
          </cell>
          <cell r="E550">
            <v>34.5</v>
          </cell>
          <cell r="F550">
            <v>3484.5</v>
          </cell>
        </row>
        <row r="551">
          <cell r="A551">
            <v>2722</v>
          </cell>
          <cell r="B551" t="str">
            <v>1200x300 mm fully parabolic reflective type fluorescent lamp (2 tube)</v>
          </cell>
          <cell r="C551" t="str">
            <v>Nr</v>
          </cell>
          <cell r="D551">
            <v>3850</v>
          </cell>
          <cell r="E551">
            <v>38.5</v>
          </cell>
          <cell r="F551">
            <v>3888.5</v>
          </cell>
        </row>
        <row r="552">
          <cell r="A552">
            <v>2723</v>
          </cell>
          <cell r="B552" t="str">
            <v>600x600 mm fully parabolic reflective type fluorescent lamp (3 tube)</v>
          </cell>
          <cell r="C552" t="str">
            <v>Nr</v>
          </cell>
          <cell r="D552">
            <v>3950</v>
          </cell>
          <cell r="E552">
            <v>39.5</v>
          </cell>
          <cell r="F552">
            <v>3989.5</v>
          </cell>
        </row>
        <row r="553">
          <cell r="A553">
            <v>2724</v>
          </cell>
          <cell r="B553" t="str">
            <v>1200x600 mm fully parabolic reflective type fluorescent lamp (3 tube)</v>
          </cell>
          <cell r="C553" t="str">
            <v>Nr</v>
          </cell>
          <cell r="D553">
            <v>4750</v>
          </cell>
          <cell r="E553">
            <v>47.5</v>
          </cell>
          <cell r="F553">
            <v>4797.5</v>
          </cell>
        </row>
        <row r="554">
          <cell r="A554">
            <v>2725</v>
          </cell>
          <cell r="B554" t="str">
            <v>1200mm sweep ceiling fan</v>
          </cell>
          <cell r="C554" t="str">
            <v>Nr</v>
          </cell>
          <cell r="D554">
            <v>5950</v>
          </cell>
          <cell r="E554">
            <v>59.5</v>
          </cell>
          <cell r="F554">
            <v>6009.5</v>
          </cell>
        </row>
        <row r="555">
          <cell r="A555">
            <v>2726</v>
          </cell>
          <cell r="B555" t="str">
            <v>300x300mm exhaust fan</v>
          </cell>
          <cell r="C555" t="str">
            <v>Nr</v>
          </cell>
          <cell r="D555">
            <v>4250</v>
          </cell>
          <cell r="E555">
            <v>42.5</v>
          </cell>
          <cell r="F555">
            <v>4292.5</v>
          </cell>
        </row>
        <row r="556">
          <cell r="A556">
            <v>2727</v>
          </cell>
          <cell r="B556" t="str">
            <v>Wall mounted fan</v>
          </cell>
          <cell r="C556" t="str">
            <v>Nr</v>
          </cell>
          <cell r="D556">
            <v>6250</v>
          </cell>
          <cell r="E556">
            <v>62.5</v>
          </cell>
          <cell r="F556">
            <v>6312.5</v>
          </cell>
        </row>
        <row r="557">
          <cell r="A557">
            <v>2728</v>
          </cell>
          <cell r="B557" t="str">
            <v>40 Amp single phase main switch</v>
          </cell>
          <cell r="C557" t="str">
            <v>Nr</v>
          </cell>
          <cell r="D557">
            <v>736</v>
          </cell>
          <cell r="E557">
            <v>7.36</v>
          </cell>
          <cell r="F557">
            <v>743.5</v>
          </cell>
        </row>
        <row r="558">
          <cell r="A558">
            <v>2729</v>
          </cell>
          <cell r="B558" t="str">
            <v>60 Amp single phase main switch</v>
          </cell>
          <cell r="C558" t="str">
            <v>Nr</v>
          </cell>
          <cell r="D558">
            <v>871</v>
          </cell>
          <cell r="E558">
            <v>8.7100000000000009</v>
          </cell>
          <cell r="F558">
            <v>879.5</v>
          </cell>
        </row>
        <row r="559">
          <cell r="A559">
            <v>2730</v>
          </cell>
          <cell r="B559" t="str">
            <v>40 Amp Circuit breaker</v>
          </cell>
          <cell r="C559" t="str">
            <v>Nr</v>
          </cell>
          <cell r="D559">
            <v>395</v>
          </cell>
          <cell r="E559">
            <v>3.95</v>
          </cell>
          <cell r="F559">
            <v>399</v>
          </cell>
        </row>
        <row r="560">
          <cell r="A560">
            <v>2731</v>
          </cell>
          <cell r="B560" t="str">
            <v>Distribution board with cover</v>
          </cell>
          <cell r="C560" t="str">
            <v>Nr</v>
          </cell>
          <cell r="D560">
            <v>1450</v>
          </cell>
          <cell r="E560">
            <v>14.5</v>
          </cell>
          <cell r="F560">
            <v>1464.5</v>
          </cell>
        </row>
        <row r="561">
          <cell r="A561">
            <v>2732</v>
          </cell>
          <cell r="B561" t="str">
            <v>40 Amp three phase main switch</v>
          </cell>
          <cell r="C561" t="str">
            <v>Nr</v>
          </cell>
          <cell r="D561">
            <v>1224</v>
          </cell>
          <cell r="E561">
            <v>12.24</v>
          </cell>
          <cell r="F561">
            <v>1236</v>
          </cell>
        </row>
        <row r="562">
          <cell r="A562">
            <v>2733</v>
          </cell>
          <cell r="B562" t="str">
            <v>60 Amp three phase main switch</v>
          </cell>
          <cell r="C562" t="str">
            <v>Nr</v>
          </cell>
          <cell r="D562">
            <v>1324</v>
          </cell>
          <cell r="E562">
            <v>13.24</v>
          </cell>
          <cell r="F562">
            <v>1337</v>
          </cell>
        </row>
        <row r="563">
          <cell r="A563">
            <v>2734</v>
          </cell>
          <cell r="B563" t="str">
            <v>40 Amp single phase RCCB (Trip switch)</v>
          </cell>
          <cell r="C563" t="str">
            <v>Nr</v>
          </cell>
          <cell r="D563">
            <v>2677</v>
          </cell>
          <cell r="E563">
            <v>26.77</v>
          </cell>
          <cell r="F563">
            <v>2704</v>
          </cell>
        </row>
        <row r="564">
          <cell r="A564">
            <v>2735</v>
          </cell>
          <cell r="B564" t="str">
            <v>60 Amp single phase RCCB (Trip switch)</v>
          </cell>
          <cell r="C564" t="str">
            <v>Nr</v>
          </cell>
          <cell r="D564">
            <v>2712</v>
          </cell>
          <cell r="E564">
            <v>27.12</v>
          </cell>
          <cell r="F564">
            <v>2739</v>
          </cell>
        </row>
        <row r="565">
          <cell r="A565">
            <v>2736</v>
          </cell>
          <cell r="B565" t="str">
            <v>40 Amp three phase RCCB (Trip switch)</v>
          </cell>
          <cell r="C565" t="str">
            <v>Nr</v>
          </cell>
          <cell r="D565">
            <v>3706</v>
          </cell>
          <cell r="E565">
            <v>37.06</v>
          </cell>
          <cell r="F565">
            <v>3743</v>
          </cell>
        </row>
        <row r="566">
          <cell r="A566">
            <v>2737</v>
          </cell>
          <cell r="B566" t="str">
            <v>60 Amp three phase RCCB (Trip switch)</v>
          </cell>
          <cell r="C566" t="str">
            <v>Nr</v>
          </cell>
          <cell r="D566">
            <v>3912</v>
          </cell>
          <cell r="E566">
            <v>39.119999999999997</v>
          </cell>
          <cell r="F566">
            <v>3951</v>
          </cell>
        </row>
        <row r="567">
          <cell r="A567">
            <v>2738</v>
          </cell>
          <cell r="B567" t="str">
            <v>Electrical Bell</v>
          </cell>
          <cell r="C567" t="str">
            <v>Nr</v>
          </cell>
          <cell r="D567">
            <v>500</v>
          </cell>
          <cell r="E567">
            <v>5</v>
          </cell>
          <cell r="F567">
            <v>505</v>
          </cell>
        </row>
        <row r="568">
          <cell r="A568">
            <v>2739</v>
          </cell>
          <cell r="B568" t="str">
            <v>GI earth electrode</v>
          </cell>
          <cell r="C568" t="str">
            <v>Nr</v>
          </cell>
          <cell r="D568">
            <v>990</v>
          </cell>
          <cell r="E568">
            <v>9.9</v>
          </cell>
          <cell r="F568">
            <v>1000</v>
          </cell>
        </row>
        <row r="569">
          <cell r="A569">
            <v>2740</v>
          </cell>
          <cell r="B569" t="str">
            <v>50x50x5.8 mm angle Iron</v>
          </cell>
          <cell r="C569" t="str">
            <v>m</v>
          </cell>
          <cell r="D569">
            <v>467</v>
          </cell>
          <cell r="E569">
            <v>4.67</v>
          </cell>
          <cell r="F569">
            <v>471.5</v>
          </cell>
        </row>
        <row r="570">
          <cell r="A570">
            <v>2741</v>
          </cell>
          <cell r="B570" t="str">
            <v>60 Amp Circuit breaker</v>
          </cell>
          <cell r="C570" t="str">
            <v>Nr</v>
          </cell>
          <cell r="D570">
            <v>395</v>
          </cell>
          <cell r="E570">
            <v>3.95</v>
          </cell>
          <cell r="F570">
            <v>399</v>
          </cell>
        </row>
        <row r="571">
          <cell r="A571">
            <v>0</v>
          </cell>
          <cell r="B571" t="str">
            <v>Miscellaneous Work</v>
          </cell>
          <cell r="C571">
            <v>0</v>
          </cell>
          <cell r="D571">
            <v>0</v>
          </cell>
          <cell r="E571">
            <v>0</v>
          </cell>
          <cell r="F571">
            <v>0</v>
          </cell>
        </row>
        <row r="572">
          <cell r="A572">
            <v>2801</v>
          </cell>
          <cell r="B572" t="str">
            <v>PVC coated gauge 10 chain link mesh</v>
          </cell>
          <cell r="C572" t="str">
            <v>m2</v>
          </cell>
          <cell r="D572">
            <v>595</v>
          </cell>
          <cell r="E572">
            <v>5.95</v>
          </cell>
          <cell r="F572">
            <v>543.5</v>
          </cell>
        </row>
        <row r="573">
          <cell r="A573">
            <v>2802</v>
          </cell>
          <cell r="B573" t="str">
            <v>2" GI pipes (2mm)</v>
          </cell>
          <cell r="C573" t="str">
            <v>m</v>
          </cell>
          <cell r="D573">
            <v>1165</v>
          </cell>
          <cell r="E573">
            <v>11.65</v>
          </cell>
          <cell r="F573">
            <v>547.5</v>
          </cell>
        </row>
        <row r="574">
          <cell r="A574">
            <v>2803</v>
          </cell>
          <cell r="B574" t="str">
            <v>1 1/2" GI pipes (2mm)</v>
          </cell>
          <cell r="C574" t="str">
            <v>m</v>
          </cell>
          <cell r="D574">
            <v>459</v>
          </cell>
          <cell r="E574">
            <v>4.59</v>
          </cell>
          <cell r="F574">
            <v>463.5</v>
          </cell>
        </row>
        <row r="575">
          <cell r="A575">
            <v>2804</v>
          </cell>
          <cell r="B575" t="str">
            <v>1"  GI pipes (2mm)</v>
          </cell>
          <cell r="C575" t="str">
            <v>m</v>
          </cell>
          <cell r="D575">
            <v>367</v>
          </cell>
          <cell r="E575">
            <v>3.67</v>
          </cell>
          <cell r="F575">
            <v>370.5</v>
          </cell>
        </row>
        <row r="576">
          <cell r="A576">
            <v>2805</v>
          </cell>
          <cell r="B576" t="str">
            <v>Barbed wire</v>
          </cell>
          <cell r="C576" t="str">
            <v>m</v>
          </cell>
          <cell r="D576">
            <v>25.35</v>
          </cell>
          <cell r="E576">
            <v>0.25</v>
          </cell>
          <cell r="F576">
            <v>25.6</v>
          </cell>
        </row>
        <row r="577">
          <cell r="A577">
            <v>2806</v>
          </cell>
          <cell r="B577" t="str">
            <v>Hooks and washers</v>
          </cell>
          <cell r="C577" t="str">
            <v>Nr</v>
          </cell>
          <cell r="D577">
            <v>10.5</v>
          </cell>
          <cell r="E577">
            <v>0.11</v>
          </cell>
          <cell r="F577">
            <v>10.5</v>
          </cell>
        </row>
        <row r="578">
          <cell r="A578">
            <v>2807</v>
          </cell>
          <cell r="B578" t="str">
            <v>Concrete fence posts 6'-0"</v>
          </cell>
          <cell r="C578" t="str">
            <v>Nr</v>
          </cell>
          <cell r="D578">
            <v>930</v>
          </cell>
          <cell r="E578">
            <v>9.3000000000000007</v>
          </cell>
          <cell r="F578">
            <v>939.5</v>
          </cell>
        </row>
        <row r="579">
          <cell r="A579">
            <v>2808</v>
          </cell>
          <cell r="B579" t="str">
            <v>Concrete fence posts 6'-6"</v>
          </cell>
          <cell r="C579" t="str">
            <v>Nr</v>
          </cell>
          <cell r="D579">
            <v>1010</v>
          </cell>
          <cell r="E579">
            <v>10.1</v>
          </cell>
          <cell r="F579">
            <v>1020</v>
          </cell>
        </row>
        <row r="580">
          <cell r="A580">
            <v>2809</v>
          </cell>
          <cell r="B580" t="str">
            <v>Concrete fence posts 7'-0"</v>
          </cell>
          <cell r="C580" t="str">
            <v>Nr</v>
          </cell>
          <cell r="D580">
            <v>1100</v>
          </cell>
          <cell r="E580">
            <v>11</v>
          </cell>
          <cell r="F580">
            <v>1111</v>
          </cell>
        </row>
        <row r="581">
          <cell r="A581">
            <v>2810</v>
          </cell>
          <cell r="B581" t="str">
            <v>Concrete fence posts 8'-0"</v>
          </cell>
          <cell r="C581" t="str">
            <v>Nr</v>
          </cell>
          <cell r="D581">
            <v>1240</v>
          </cell>
          <cell r="E581">
            <v>12.4</v>
          </cell>
          <cell r="F581">
            <v>1252.5</v>
          </cell>
        </row>
        <row r="582">
          <cell r="A582">
            <v>2811</v>
          </cell>
          <cell r="B582" t="str">
            <v>Concrete fence posts 10'-6"</v>
          </cell>
          <cell r="C582" t="str">
            <v>Nr</v>
          </cell>
          <cell r="D582">
            <v>2850</v>
          </cell>
          <cell r="E582">
            <v>28.5</v>
          </cell>
          <cell r="F582">
            <v>2878.5</v>
          </cell>
        </row>
        <row r="583">
          <cell r="A583">
            <v>2812</v>
          </cell>
          <cell r="B583" t="str">
            <v>Concrete fence supporting posts for corner posts</v>
          </cell>
          <cell r="C583" t="str">
            <v>Nr</v>
          </cell>
          <cell r="D583">
            <v>1250</v>
          </cell>
          <cell r="E583">
            <v>12.5</v>
          </cell>
          <cell r="F583">
            <v>1262.5</v>
          </cell>
        </row>
        <row r="584">
          <cell r="A584">
            <v>2813</v>
          </cell>
          <cell r="B584" t="str">
            <v>2" GI pipes (1.8mm)</v>
          </cell>
          <cell r="C584" t="str">
            <v>m</v>
          </cell>
          <cell r="D584">
            <v>492</v>
          </cell>
          <cell r="E584">
            <v>4.92</v>
          </cell>
          <cell r="F584">
            <v>497</v>
          </cell>
        </row>
        <row r="585">
          <cell r="A585">
            <v>2814</v>
          </cell>
          <cell r="B585" t="str">
            <v>2" GI pipes (1.5mm)</v>
          </cell>
          <cell r="C585" t="str">
            <v>m</v>
          </cell>
          <cell r="D585">
            <v>459</v>
          </cell>
          <cell r="E585">
            <v>4.59</v>
          </cell>
          <cell r="F585">
            <v>463.5</v>
          </cell>
        </row>
        <row r="586">
          <cell r="A586">
            <v>2815</v>
          </cell>
          <cell r="B586" t="str">
            <v>1 1/2" GI pipes (1.8mm)</v>
          </cell>
          <cell r="C586" t="str">
            <v>m</v>
          </cell>
          <cell r="D586">
            <v>434</v>
          </cell>
          <cell r="E586">
            <v>4.34</v>
          </cell>
          <cell r="F586">
            <v>438.5</v>
          </cell>
        </row>
        <row r="587">
          <cell r="A587">
            <v>2816</v>
          </cell>
          <cell r="B587" t="str">
            <v>1 1/2" GI pipes (1.5mm)</v>
          </cell>
          <cell r="C587" t="str">
            <v>m</v>
          </cell>
          <cell r="D587">
            <v>359</v>
          </cell>
          <cell r="E587">
            <v>3.59</v>
          </cell>
          <cell r="F587">
            <v>362.5</v>
          </cell>
        </row>
        <row r="588">
          <cell r="A588">
            <v>2817</v>
          </cell>
          <cell r="B588" t="str">
            <v>1 1/4" GI pipes (2mm)</v>
          </cell>
          <cell r="C588" t="str">
            <v>m</v>
          </cell>
          <cell r="D588">
            <v>409</v>
          </cell>
          <cell r="E588">
            <v>4.09</v>
          </cell>
          <cell r="F588">
            <v>413</v>
          </cell>
        </row>
        <row r="589">
          <cell r="A589">
            <v>2818</v>
          </cell>
          <cell r="B589" t="str">
            <v>1 1/4" GI pipes (1.8mm)</v>
          </cell>
          <cell r="C589" t="str">
            <v>m</v>
          </cell>
          <cell r="D589">
            <v>359</v>
          </cell>
          <cell r="E589">
            <v>3.59</v>
          </cell>
          <cell r="F589">
            <v>362.5</v>
          </cell>
        </row>
        <row r="590">
          <cell r="A590">
            <v>2819</v>
          </cell>
          <cell r="B590" t="str">
            <v>1 1/4" GI pipes (1.5mm)</v>
          </cell>
          <cell r="C590" t="str">
            <v>m</v>
          </cell>
          <cell r="D590">
            <v>267</v>
          </cell>
          <cell r="E590">
            <v>2.67</v>
          </cell>
          <cell r="F590">
            <v>269.5</v>
          </cell>
        </row>
        <row r="591">
          <cell r="A591">
            <v>2820</v>
          </cell>
          <cell r="B591" t="str">
            <v>1 " GI pipes (1.8mm)</v>
          </cell>
          <cell r="C591" t="str">
            <v>m</v>
          </cell>
          <cell r="D591">
            <v>292</v>
          </cell>
          <cell r="E591">
            <v>2.92</v>
          </cell>
          <cell r="F591">
            <v>295</v>
          </cell>
        </row>
        <row r="592">
          <cell r="A592">
            <v>2821</v>
          </cell>
          <cell r="B592" t="str">
            <v>1 " GI pipes (1.5mm)</v>
          </cell>
          <cell r="C592" t="str">
            <v>m</v>
          </cell>
          <cell r="D592">
            <v>234</v>
          </cell>
          <cell r="E592">
            <v>2.34</v>
          </cell>
          <cell r="F592">
            <v>236.5</v>
          </cell>
        </row>
        <row r="593">
          <cell r="A593">
            <v>2822</v>
          </cell>
          <cell r="B593" t="str">
            <v>12mm thick MDF board</v>
          </cell>
          <cell r="C593" t="str">
            <v>m2</v>
          </cell>
          <cell r="D593">
            <v>718</v>
          </cell>
          <cell r="E593">
            <v>7.18</v>
          </cell>
          <cell r="F593">
            <v>725</v>
          </cell>
        </row>
        <row r="594">
          <cell r="A594">
            <v>2823</v>
          </cell>
          <cell r="B594" t="str">
            <v>12 mm thick regiform board</v>
          </cell>
          <cell r="C594" t="str">
            <v>m2</v>
          </cell>
          <cell r="D594">
            <v>131</v>
          </cell>
          <cell r="E594">
            <v>1.31</v>
          </cell>
          <cell r="F594">
            <v>132.5</v>
          </cell>
        </row>
        <row r="595">
          <cell r="A595">
            <v>2824</v>
          </cell>
          <cell r="B595" t="str">
            <v>Velvet cloth</v>
          </cell>
          <cell r="C595" t="str">
            <v>m2</v>
          </cell>
          <cell r="D595">
            <v>150</v>
          </cell>
          <cell r="E595">
            <v>1.5</v>
          </cell>
          <cell r="F595">
            <v>151.5</v>
          </cell>
        </row>
        <row r="596">
          <cell r="A596">
            <v>0</v>
          </cell>
          <cell r="B596">
            <v>0</v>
          </cell>
          <cell r="C596">
            <v>0</v>
          </cell>
          <cell r="D596">
            <v>0</v>
          </cell>
          <cell r="E596">
            <v>0</v>
          </cell>
          <cell r="F596">
            <v>0</v>
          </cell>
        </row>
        <row r="597">
          <cell r="A597">
            <v>0</v>
          </cell>
          <cell r="B597">
            <v>0</v>
          </cell>
          <cell r="C597">
            <v>0</v>
          </cell>
          <cell r="D597">
            <v>0</v>
          </cell>
          <cell r="E597">
            <v>0</v>
          </cell>
          <cell r="F597">
            <v>0</v>
          </cell>
        </row>
        <row r="599">
          <cell r="A599" t="str">
            <v xml:space="preserve">Prepared and Checked by B.S.R. Preparation Committee </v>
          </cell>
          <cell r="B599">
            <v>0</v>
          </cell>
          <cell r="C599">
            <v>0</v>
          </cell>
          <cell r="D599">
            <v>0</v>
          </cell>
          <cell r="E599">
            <v>0</v>
          </cell>
          <cell r="F599">
            <v>0</v>
          </cell>
        </row>
        <row r="600">
          <cell r="A600">
            <v>0</v>
          </cell>
          <cell r="B600">
            <v>0</v>
          </cell>
          <cell r="C600">
            <v>0</v>
          </cell>
          <cell r="D600">
            <v>0</v>
          </cell>
          <cell r="E600">
            <v>0</v>
          </cell>
          <cell r="F600">
            <v>0</v>
          </cell>
        </row>
        <row r="601">
          <cell r="A601" t="str">
            <v>1.</v>
          </cell>
          <cell r="B601" t="str">
            <v>Chairman : Eng. P. S. S. Vithanage, Chief Engineer (Buildings)</v>
          </cell>
          <cell r="C601">
            <v>0</v>
          </cell>
          <cell r="D601">
            <v>0</v>
          </cell>
          <cell r="E601">
            <v>0</v>
          </cell>
          <cell r="F601">
            <v>0</v>
          </cell>
        </row>
        <row r="602">
          <cell r="A602">
            <v>0</v>
          </cell>
          <cell r="B602">
            <v>0</v>
          </cell>
          <cell r="C602">
            <v>0</v>
          </cell>
          <cell r="D602">
            <v>0</v>
          </cell>
          <cell r="E602">
            <v>0</v>
          </cell>
          <cell r="F602">
            <v>0</v>
          </cell>
        </row>
        <row r="603">
          <cell r="A603" t="str">
            <v>2</v>
          </cell>
          <cell r="B603" t="str">
            <v>Member 1 : Eng H.M Jayarathna, Chief Engineer (Buildings)</v>
          </cell>
          <cell r="C603">
            <v>0</v>
          </cell>
          <cell r="D603">
            <v>0</v>
          </cell>
          <cell r="E603">
            <v>0</v>
          </cell>
          <cell r="F603">
            <v>0</v>
          </cell>
        </row>
        <row r="604">
          <cell r="A604">
            <v>0</v>
          </cell>
          <cell r="B604">
            <v>0</v>
          </cell>
          <cell r="C604">
            <v>0</v>
          </cell>
          <cell r="D604">
            <v>0</v>
          </cell>
          <cell r="E604">
            <v>0</v>
          </cell>
          <cell r="F604">
            <v>0</v>
          </cell>
        </row>
        <row r="605">
          <cell r="A605" t="str">
            <v>3</v>
          </cell>
          <cell r="B605" t="str">
            <v>Member 2 : Eng H.M Dharmarathna, Engineer</v>
          </cell>
          <cell r="C605">
            <v>0</v>
          </cell>
          <cell r="D605">
            <v>0</v>
          </cell>
          <cell r="E605">
            <v>0</v>
          </cell>
          <cell r="F605">
            <v>0</v>
          </cell>
        </row>
        <row r="606">
          <cell r="A606">
            <v>0</v>
          </cell>
          <cell r="B606">
            <v>0</v>
          </cell>
          <cell r="C606">
            <v>0</v>
          </cell>
          <cell r="D606">
            <v>0</v>
          </cell>
          <cell r="E606">
            <v>0</v>
          </cell>
          <cell r="F606">
            <v>0</v>
          </cell>
        </row>
        <row r="607">
          <cell r="A607" t="str">
            <v>4</v>
          </cell>
          <cell r="B607" t="str">
            <v>Member 3 : Eng. D.M.R. Dhanapala, Engineer</v>
          </cell>
          <cell r="C607">
            <v>0</v>
          </cell>
          <cell r="D607">
            <v>0</v>
          </cell>
          <cell r="E607">
            <v>0</v>
          </cell>
          <cell r="F607">
            <v>0</v>
          </cell>
        </row>
        <row r="608">
          <cell r="A608">
            <v>0</v>
          </cell>
          <cell r="B608">
            <v>0</v>
          </cell>
          <cell r="C608">
            <v>0</v>
          </cell>
          <cell r="D608">
            <v>0</v>
          </cell>
          <cell r="E608">
            <v>0</v>
          </cell>
          <cell r="F608">
            <v>0</v>
          </cell>
        </row>
        <row r="609">
          <cell r="A609">
            <v>0</v>
          </cell>
          <cell r="B609">
            <v>0</v>
          </cell>
          <cell r="C609">
            <v>0</v>
          </cell>
          <cell r="D609">
            <v>0</v>
          </cell>
          <cell r="E609">
            <v>0</v>
          </cell>
          <cell r="F609">
            <v>0</v>
          </cell>
        </row>
        <row r="610">
          <cell r="A610">
            <v>0</v>
          </cell>
          <cell r="B610">
            <v>0</v>
          </cell>
          <cell r="C610">
            <v>0</v>
          </cell>
          <cell r="D610">
            <v>0</v>
          </cell>
          <cell r="E610">
            <v>0</v>
          </cell>
          <cell r="F610">
            <v>0</v>
          </cell>
        </row>
        <row r="611">
          <cell r="A611" t="str">
            <v>Recommended by :</v>
          </cell>
          <cell r="B611">
            <v>0</v>
          </cell>
          <cell r="C611">
            <v>0</v>
          </cell>
          <cell r="D611">
            <v>0</v>
          </cell>
          <cell r="E611">
            <v>0</v>
          </cell>
          <cell r="F611">
            <v>0</v>
          </cell>
        </row>
        <row r="612">
          <cell r="A612">
            <v>0</v>
          </cell>
          <cell r="B612">
            <v>0</v>
          </cell>
          <cell r="C612">
            <v>0</v>
          </cell>
          <cell r="D612">
            <v>0</v>
          </cell>
          <cell r="E612">
            <v>0</v>
          </cell>
          <cell r="F612">
            <v>0</v>
          </cell>
        </row>
        <row r="613">
          <cell r="A613">
            <v>0</v>
          </cell>
          <cell r="B613">
            <v>0</v>
          </cell>
          <cell r="C613">
            <v>0</v>
          </cell>
          <cell r="D613">
            <v>0</v>
          </cell>
          <cell r="E613">
            <v>0</v>
          </cell>
          <cell r="F613">
            <v>0</v>
          </cell>
        </row>
        <row r="614">
          <cell r="A614">
            <v>0</v>
          </cell>
          <cell r="B614" t="str">
            <v>……………………………….</v>
          </cell>
          <cell r="C614">
            <v>0</v>
          </cell>
          <cell r="D614">
            <v>0</v>
          </cell>
          <cell r="E614">
            <v>0</v>
          </cell>
          <cell r="F614">
            <v>0</v>
          </cell>
        </row>
        <row r="615">
          <cell r="A615">
            <v>0</v>
          </cell>
          <cell r="B615" t="str">
            <v>Eng. D. M. K. S. Dissanayake</v>
          </cell>
          <cell r="C615">
            <v>0</v>
          </cell>
          <cell r="D615">
            <v>0</v>
          </cell>
          <cell r="E615">
            <v>0</v>
          </cell>
          <cell r="F615">
            <v>0</v>
          </cell>
        </row>
        <row r="616">
          <cell r="A616">
            <v>0</v>
          </cell>
          <cell r="B616" t="str">
            <v>Provincial Director ( Buildings)</v>
          </cell>
          <cell r="C616">
            <v>0</v>
          </cell>
          <cell r="D616">
            <v>0</v>
          </cell>
          <cell r="E616">
            <v>0</v>
          </cell>
          <cell r="F616">
            <v>0</v>
          </cell>
        </row>
        <row r="617">
          <cell r="A617">
            <v>0</v>
          </cell>
          <cell r="B617">
            <v>0</v>
          </cell>
          <cell r="C617">
            <v>0</v>
          </cell>
          <cell r="D617">
            <v>0</v>
          </cell>
          <cell r="E617">
            <v>0</v>
          </cell>
          <cell r="F617">
            <v>0</v>
          </cell>
        </row>
        <row r="618">
          <cell r="A618" t="str">
            <v>Approved by:</v>
          </cell>
          <cell r="B618">
            <v>0</v>
          </cell>
          <cell r="C618">
            <v>0</v>
          </cell>
          <cell r="D618">
            <v>0</v>
          </cell>
          <cell r="E618">
            <v>0</v>
          </cell>
          <cell r="F618">
            <v>0</v>
          </cell>
        </row>
        <row r="619">
          <cell r="A619">
            <v>0</v>
          </cell>
          <cell r="B619">
            <v>0</v>
          </cell>
          <cell r="C619">
            <v>0</v>
          </cell>
          <cell r="D619">
            <v>0</v>
          </cell>
        </row>
        <row r="620">
          <cell r="A620">
            <v>0</v>
          </cell>
          <cell r="B620">
            <v>0</v>
          </cell>
          <cell r="C620">
            <v>0</v>
          </cell>
          <cell r="D620">
            <v>0</v>
          </cell>
        </row>
        <row r="621">
          <cell r="A621">
            <v>0</v>
          </cell>
          <cell r="B621" t="str">
            <v>………………………………….</v>
          </cell>
          <cell r="C621">
            <v>0</v>
          </cell>
          <cell r="D621">
            <v>0</v>
          </cell>
        </row>
        <row r="622">
          <cell r="A622">
            <v>0</v>
          </cell>
          <cell r="B622" t="str">
            <v>Eng. M.L.C. Fernandu</v>
          </cell>
          <cell r="C622">
            <v>0</v>
          </cell>
          <cell r="D622">
            <v>0</v>
          </cell>
        </row>
        <row r="623">
          <cell r="A623">
            <v>0</v>
          </cell>
          <cell r="B623" t="str">
            <v>Deputy Chief Secretary ( Engineering Services)</v>
          </cell>
          <cell r="C623">
            <v>0</v>
          </cell>
          <cell r="D623">
            <v>0</v>
          </cell>
        </row>
        <row r="624">
          <cell r="A624">
            <v>0</v>
          </cell>
          <cell r="B624">
            <v>0</v>
          </cell>
          <cell r="C624">
            <v>0</v>
          </cell>
          <cell r="D624">
            <v>0</v>
          </cell>
        </row>
      </sheetData>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s>
    <sheetDataSet>
      <sheetData sheetId="0"/>
      <sheetData sheetId="1"/>
      <sheetData sheetId="2"/>
      <sheetData sheetId="3"/>
      <sheetData sheetId="4"/>
      <sheetData sheetId="5"/>
      <sheetData sheetId="6"/>
      <sheetData sheetId="7"/>
      <sheetData sheetId="8"/>
      <sheetData sheetId="9"/>
      <sheetData sheetId="10">
        <row r="5">
          <cell r="A5" t="str">
            <v>ITEM</v>
          </cell>
          <cell r="B5" t="str">
            <v>DESCRIPTION</v>
          </cell>
          <cell r="C5" t="str">
            <v>UNIT</v>
          </cell>
          <cell r="D5" t="str">
            <v>MARKETPRICE</v>
          </cell>
          <cell r="E5" t="str">
            <v>TRANSPORTCOST</v>
          </cell>
          <cell r="F5" t="str">
            <v>PROPOSEDRATE</v>
          </cell>
        </row>
        <row r="6">
          <cell r="B6" t="str">
            <v>LABOUR</v>
          </cell>
        </row>
        <row r="7">
          <cell r="A7">
            <v>101</v>
          </cell>
          <cell r="B7" t="str">
            <v>Skilled Labour</v>
          </cell>
          <cell r="C7" t="str">
            <v>day</v>
          </cell>
          <cell r="D7">
            <v>1200</v>
          </cell>
          <cell r="F7">
            <v>1200</v>
          </cell>
        </row>
        <row r="8">
          <cell r="A8">
            <v>102</v>
          </cell>
          <cell r="B8" t="str">
            <v>Semiskilled Labour</v>
          </cell>
          <cell r="C8" t="str">
            <v>day</v>
          </cell>
          <cell r="D8">
            <v>1000</v>
          </cell>
          <cell r="F8">
            <v>1000</v>
          </cell>
        </row>
        <row r="9">
          <cell r="A9">
            <v>103</v>
          </cell>
          <cell r="B9" t="str">
            <v>Unskilled Labour</v>
          </cell>
          <cell r="C9" t="str">
            <v>day</v>
          </cell>
          <cell r="D9">
            <v>800</v>
          </cell>
          <cell r="F9">
            <v>800</v>
          </cell>
        </row>
        <row r="10">
          <cell r="A10">
            <v>104</v>
          </cell>
          <cell r="B10" t="str">
            <v>Mason</v>
          </cell>
          <cell r="C10" t="str">
            <v>day</v>
          </cell>
          <cell r="D10">
            <v>1200</v>
          </cell>
          <cell r="F10">
            <v>1200</v>
          </cell>
        </row>
        <row r="11">
          <cell r="A11">
            <v>105</v>
          </cell>
          <cell r="B11" t="str">
            <v>Carpenter</v>
          </cell>
          <cell r="C11" t="str">
            <v>day</v>
          </cell>
          <cell r="D11">
            <v>1200</v>
          </cell>
          <cell r="F11">
            <v>1200</v>
          </cell>
        </row>
        <row r="12">
          <cell r="A12">
            <v>106</v>
          </cell>
          <cell r="B12" t="str">
            <v>Plumber</v>
          </cell>
          <cell r="C12" t="str">
            <v>day</v>
          </cell>
          <cell r="D12">
            <v>1200</v>
          </cell>
          <cell r="F12">
            <v>1200</v>
          </cell>
        </row>
        <row r="13">
          <cell r="A13">
            <v>107</v>
          </cell>
          <cell r="B13" t="str">
            <v>Painter</v>
          </cell>
          <cell r="C13" t="str">
            <v>day</v>
          </cell>
          <cell r="D13">
            <v>1200</v>
          </cell>
          <cell r="F13">
            <v>1200</v>
          </cell>
        </row>
        <row r="14">
          <cell r="A14">
            <v>108</v>
          </cell>
          <cell r="B14" t="str">
            <v>Welder</v>
          </cell>
          <cell r="C14" t="str">
            <v>day</v>
          </cell>
          <cell r="D14">
            <v>1200</v>
          </cell>
          <cell r="F14">
            <v>1200</v>
          </cell>
        </row>
        <row r="15">
          <cell r="A15">
            <v>109</v>
          </cell>
          <cell r="B15" t="str">
            <v>Bar Bender</v>
          </cell>
          <cell r="C15" t="str">
            <v>day</v>
          </cell>
          <cell r="D15">
            <v>1200</v>
          </cell>
          <cell r="F15">
            <v>1200</v>
          </cell>
        </row>
        <row r="16">
          <cell r="B16" t="str">
            <v>MACHINES</v>
          </cell>
        </row>
        <row r="17">
          <cell r="A17">
            <v>201</v>
          </cell>
          <cell r="B17" t="str">
            <v>Concrete Mixer</v>
          </cell>
          <cell r="C17" t="str">
            <v>day</v>
          </cell>
          <cell r="D17">
            <v>4500</v>
          </cell>
          <cell r="F17">
            <v>4500</v>
          </cell>
        </row>
        <row r="18">
          <cell r="A18">
            <v>202</v>
          </cell>
          <cell r="B18" t="str">
            <v>Pocker vibrator</v>
          </cell>
          <cell r="C18" t="str">
            <v>day</v>
          </cell>
          <cell r="D18">
            <v>2000</v>
          </cell>
          <cell r="F18">
            <v>2000</v>
          </cell>
        </row>
        <row r="19">
          <cell r="A19">
            <v>203</v>
          </cell>
          <cell r="B19" t="str">
            <v xml:space="preserve">   Vibrating roller (one ton)</v>
          </cell>
          <cell r="C19" t="str">
            <v>day</v>
          </cell>
          <cell r="D19">
            <v>4500</v>
          </cell>
          <cell r="F19">
            <v>4500</v>
          </cell>
        </row>
        <row r="20">
          <cell r="A20">
            <v>204</v>
          </cell>
          <cell r="B20" t="str">
            <v xml:space="preserve">    Tractor</v>
          </cell>
          <cell r="C20" t="str">
            <v>day</v>
          </cell>
          <cell r="D20">
            <v>5000</v>
          </cell>
          <cell r="F20">
            <v>5000</v>
          </cell>
        </row>
        <row r="22">
          <cell r="B22" t="str">
            <v>MATERIALS</v>
          </cell>
        </row>
        <row r="23">
          <cell r="B23" t="str">
            <v>Earth Work</v>
          </cell>
        </row>
        <row r="24">
          <cell r="A24">
            <v>301</v>
          </cell>
          <cell r="B24" t="str">
            <v>Baskets</v>
          </cell>
          <cell r="C24" t="str">
            <v>Nr</v>
          </cell>
          <cell r="D24">
            <v>350</v>
          </cell>
          <cell r="F24">
            <v>350</v>
          </cell>
        </row>
        <row r="25">
          <cell r="A25">
            <v>302</v>
          </cell>
          <cell r="B25" t="str">
            <v>Gravel</v>
          </cell>
          <cell r="C25" t="str">
            <v>m3</v>
          </cell>
          <cell r="D25">
            <v>265</v>
          </cell>
          <cell r="F25">
            <v>265</v>
          </cell>
        </row>
        <row r="26">
          <cell r="A26">
            <v>303</v>
          </cell>
          <cell r="B26" t="str">
            <v>Earth</v>
          </cell>
          <cell r="C26" t="str">
            <v>m3</v>
          </cell>
          <cell r="D26">
            <v>124</v>
          </cell>
          <cell r="F26">
            <v>124</v>
          </cell>
        </row>
        <row r="27">
          <cell r="A27">
            <v>304</v>
          </cell>
          <cell r="B27" t="str">
            <v>Blasting powder</v>
          </cell>
          <cell r="C27" t="str">
            <v>kg</v>
          </cell>
          <cell r="D27">
            <v>650</v>
          </cell>
          <cell r="E27">
            <v>6.5</v>
          </cell>
          <cell r="F27">
            <v>657</v>
          </cell>
        </row>
        <row r="28">
          <cell r="A28">
            <v>305</v>
          </cell>
          <cell r="B28" t="str">
            <v>Safety fuse</v>
          </cell>
          <cell r="C28" t="str">
            <v>m</v>
          </cell>
          <cell r="D28">
            <v>42.5</v>
          </cell>
          <cell r="E28">
            <v>0.43</v>
          </cell>
          <cell r="F28">
            <v>43</v>
          </cell>
        </row>
        <row r="29">
          <cell r="A29">
            <v>306</v>
          </cell>
          <cell r="B29" t="str">
            <v>Detonators</v>
          </cell>
          <cell r="C29" t="str">
            <v>Nr</v>
          </cell>
          <cell r="D29">
            <v>30.8</v>
          </cell>
          <cell r="E29">
            <v>0.31</v>
          </cell>
          <cell r="F29">
            <v>31</v>
          </cell>
        </row>
        <row r="30">
          <cell r="B30" t="str">
            <v>Concrete Work</v>
          </cell>
        </row>
        <row r="31">
          <cell r="A31">
            <v>401</v>
          </cell>
          <cell r="B31" t="str">
            <v>Sand</v>
          </cell>
          <cell r="C31" t="str">
            <v>m3</v>
          </cell>
          <cell r="D31">
            <v>2826</v>
          </cell>
          <cell r="F31">
            <v>2826</v>
          </cell>
        </row>
        <row r="32">
          <cell r="A32">
            <v>402</v>
          </cell>
          <cell r="B32" t="str">
            <v>Cement</v>
          </cell>
          <cell r="C32" t="str">
            <v>bag</v>
          </cell>
          <cell r="D32">
            <v>810</v>
          </cell>
          <cell r="F32">
            <v>810</v>
          </cell>
        </row>
        <row r="33">
          <cell r="A33">
            <v>403</v>
          </cell>
          <cell r="B33" t="str">
            <v>Metal 50mm</v>
          </cell>
          <cell r="C33" t="str">
            <v>m3</v>
          </cell>
          <cell r="D33">
            <v>1770</v>
          </cell>
          <cell r="F33">
            <v>1770</v>
          </cell>
        </row>
        <row r="34">
          <cell r="A34">
            <v>404</v>
          </cell>
          <cell r="B34" t="str">
            <v>Metal 38mm</v>
          </cell>
          <cell r="C34" t="str">
            <v>m3</v>
          </cell>
          <cell r="D34">
            <v>1838</v>
          </cell>
          <cell r="F34">
            <v>1838</v>
          </cell>
        </row>
        <row r="35">
          <cell r="A35">
            <v>405</v>
          </cell>
          <cell r="B35" t="str">
            <v>Metal 25mm</v>
          </cell>
          <cell r="C35" t="str">
            <v>m3</v>
          </cell>
          <cell r="D35">
            <v>1945</v>
          </cell>
          <cell r="F35">
            <v>1945</v>
          </cell>
        </row>
        <row r="36">
          <cell r="A36">
            <v>406</v>
          </cell>
          <cell r="B36" t="str">
            <v>Metal 20mm</v>
          </cell>
          <cell r="C36" t="str">
            <v>m3</v>
          </cell>
          <cell r="D36">
            <v>2050</v>
          </cell>
          <cell r="F36">
            <v>2050</v>
          </cell>
        </row>
        <row r="37">
          <cell r="A37">
            <v>407</v>
          </cell>
          <cell r="B37" t="str">
            <v>Metal 12.5mm</v>
          </cell>
          <cell r="C37" t="str">
            <v>m3</v>
          </cell>
          <cell r="D37">
            <v>1485</v>
          </cell>
          <cell r="F37">
            <v>1485</v>
          </cell>
        </row>
        <row r="38">
          <cell r="B38" t="str">
            <v>Formwork</v>
          </cell>
          <cell r="F38">
            <v>0</v>
          </cell>
        </row>
        <row r="39">
          <cell r="A39">
            <v>501</v>
          </cell>
          <cell r="B39" t="str">
            <v>Shuttering planks - 25mm thick</v>
          </cell>
          <cell r="C39" t="str">
            <v>m2</v>
          </cell>
          <cell r="D39">
            <v>444</v>
          </cell>
          <cell r="E39">
            <v>4.4400000000000004</v>
          </cell>
          <cell r="F39">
            <v>448.5</v>
          </cell>
        </row>
        <row r="40">
          <cell r="A40">
            <v>502</v>
          </cell>
          <cell r="B40" t="str">
            <v>Plywood sheets - 20mm thick</v>
          </cell>
          <cell r="C40" t="str">
            <v>m2</v>
          </cell>
          <cell r="D40">
            <v>1043</v>
          </cell>
          <cell r="E40">
            <v>10.43</v>
          </cell>
          <cell r="F40">
            <v>1053.5</v>
          </cell>
        </row>
        <row r="41">
          <cell r="A41">
            <v>503</v>
          </cell>
          <cell r="B41" t="str">
            <v>Round timber 3m</v>
          </cell>
          <cell r="C41" t="str">
            <v>Nr</v>
          </cell>
          <cell r="D41">
            <v>60</v>
          </cell>
          <cell r="E41">
            <v>0.6</v>
          </cell>
          <cell r="F41">
            <v>60.5</v>
          </cell>
        </row>
        <row r="42">
          <cell r="A42">
            <v>504</v>
          </cell>
          <cell r="B42" t="str">
            <v>Bamboo 3m</v>
          </cell>
          <cell r="C42" t="str">
            <v>Nr</v>
          </cell>
          <cell r="D42">
            <v>60</v>
          </cell>
          <cell r="E42">
            <v>0.6</v>
          </cell>
          <cell r="F42">
            <v>60.6</v>
          </cell>
        </row>
        <row r="43">
          <cell r="A43">
            <v>505</v>
          </cell>
          <cell r="B43" t="str">
            <v>100mmx50mm class II timber</v>
          </cell>
          <cell r="C43" t="str">
            <v>m</v>
          </cell>
          <cell r="D43">
            <v>193.2</v>
          </cell>
          <cell r="E43">
            <v>1.93</v>
          </cell>
          <cell r="F43">
            <v>195</v>
          </cell>
        </row>
        <row r="44">
          <cell r="A44">
            <v>506</v>
          </cell>
          <cell r="B44" t="str">
            <v>50mmx50mm class II timber</v>
          </cell>
          <cell r="C44" t="str">
            <v>m</v>
          </cell>
          <cell r="D44">
            <v>109</v>
          </cell>
          <cell r="E44">
            <v>1.0900000000000001</v>
          </cell>
          <cell r="F44">
            <v>110</v>
          </cell>
        </row>
        <row r="45">
          <cell r="A45">
            <v>507</v>
          </cell>
          <cell r="B45" t="str">
            <v>Nail</v>
          </cell>
          <cell r="C45" t="str">
            <v>kg</v>
          </cell>
          <cell r="D45">
            <v>125</v>
          </cell>
          <cell r="E45">
            <v>1.25</v>
          </cell>
          <cell r="F45">
            <v>126.5</v>
          </cell>
        </row>
        <row r="46">
          <cell r="A46">
            <v>508</v>
          </cell>
          <cell r="B46" t="str">
            <v>Mould oil</v>
          </cell>
          <cell r="C46" t="str">
            <v>l</v>
          </cell>
          <cell r="D46">
            <v>89</v>
          </cell>
          <cell r="E46">
            <v>0.89</v>
          </cell>
          <cell r="F46">
            <v>90</v>
          </cell>
        </row>
        <row r="47">
          <cell r="A47">
            <v>509</v>
          </cell>
          <cell r="B47" t="str">
            <v>10mm dia. 450mm bolts</v>
          </cell>
          <cell r="C47" t="str">
            <v>Nr</v>
          </cell>
          <cell r="D47">
            <v>68</v>
          </cell>
          <cell r="E47">
            <v>0.68</v>
          </cell>
          <cell r="F47">
            <v>69</v>
          </cell>
        </row>
        <row r="48">
          <cell r="B48" t="str">
            <v>Reinforcement</v>
          </cell>
        </row>
        <row r="49">
          <cell r="A49">
            <v>601</v>
          </cell>
          <cell r="B49" t="str">
            <v>Steel  MS - 6mm</v>
          </cell>
          <cell r="C49" t="str">
            <v>kg</v>
          </cell>
          <cell r="D49">
            <v>78.400000000000006</v>
          </cell>
          <cell r="E49">
            <v>1.57</v>
          </cell>
          <cell r="F49">
            <v>80</v>
          </cell>
        </row>
        <row r="50">
          <cell r="A50">
            <v>602</v>
          </cell>
          <cell r="B50" t="str">
            <v>Steel  MS - &gt;6mm</v>
          </cell>
          <cell r="C50" t="str">
            <v>kg</v>
          </cell>
          <cell r="D50">
            <v>113</v>
          </cell>
          <cell r="E50">
            <v>2.2599999999999998</v>
          </cell>
          <cell r="F50">
            <v>115.5</v>
          </cell>
        </row>
        <row r="51">
          <cell r="A51">
            <v>603</v>
          </cell>
          <cell r="B51" t="str">
            <v>Steel  TS</v>
          </cell>
          <cell r="C51" t="str">
            <v>kg</v>
          </cell>
          <cell r="D51">
            <v>112</v>
          </cell>
          <cell r="E51">
            <v>2.2400000000000002</v>
          </cell>
          <cell r="F51">
            <v>114</v>
          </cell>
        </row>
        <row r="52">
          <cell r="A52">
            <v>604</v>
          </cell>
          <cell r="B52" t="str">
            <v>Binding wire</v>
          </cell>
          <cell r="C52" t="str">
            <v>kg</v>
          </cell>
          <cell r="D52">
            <v>130</v>
          </cell>
          <cell r="E52">
            <v>2.6</v>
          </cell>
          <cell r="F52">
            <v>132</v>
          </cell>
        </row>
        <row r="53">
          <cell r="B53" t="str">
            <v>Brick Work</v>
          </cell>
        </row>
        <row r="54">
          <cell r="A54">
            <v>701</v>
          </cell>
          <cell r="B54" t="str">
            <v>Bricks 220x105x65mm</v>
          </cell>
          <cell r="C54" t="str">
            <v>Nr</v>
          </cell>
          <cell r="D54">
            <v>4.5</v>
          </cell>
          <cell r="F54">
            <v>4.5</v>
          </cell>
        </row>
        <row r="55">
          <cell r="A55">
            <v>702</v>
          </cell>
          <cell r="B55" t="str">
            <v>Wire cut bricks</v>
          </cell>
          <cell r="C55" t="str">
            <v>Nr</v>
          </cell>
          <cell r="D55">
            <v>18</v>
          </cell>
          <cell r="F55">
            <v>18</v>
          </cell>
        </row>
        <row r="56">
          <cell r="A56">
            <v>703</v>
          </cell>
          <cell r="B56" t="str">
            <v>Batik bricks</v>
          </cell>
          <cell r="C56" t="str">
            <v>Nr</v>
          </cell>
          <cell r="D56">
            <v>22</v>
          </cell>
          <cell r="F56">
            <v>22</v>
          </cell>
        </row>
        <row r="57">
          <cell r="A57">
            <v>704</v>
          </cell>
          <cell r="B57" t="str">
            <v>Bricks 220x105x100mm</v>
          </cell>
          <cell r="C57" t="str">
            <v>Nr</v>
          </cell>
          <cell r="D57">
            <v>10</v>
          </cell>
          <cell r="F57">
            <v>10</v>
          </cell>
        </row>
        <row r="58">
          <cell r="A58">
            <v>705</v>
          </cell>
          <cell r="B58" t="str">
            <v>Bricks 220x150x100mm</v>
          </cell>
          <cell r="C58" t="str">
            <v>Nr</v>
          </cell>
          <cell r="D58">
            <v>12.5</v>
          </cell>
          <cell r="F58">
            <v>12.5</v>
          </cell>
        </row>
        <row r="59">
          <cell r="B59" t="str">
            <v>Masonry</v>
          </cell>
        </row>
        <row r="60">
          <cell r="A60">
            <v>801</v>
          </cell>
          <cell r="B60" t="str">
            <v>150x225mm rubble</v>
          </cell>
          <cell r="C60" t="str">
            <v>m3</v>
          </cell>
          <cell r="D60">
            <v>700</v>
          </cell>
          <cell r="F60">
            <v>700</v>
          </cell>
        </row>
        <row r="61">
          <cell r="A61">
            <v>802</v>
          </cell>
          <cell r="B61" t="str">
            <v>DPC Tar</v>
          </cell>
          <cell r="C61" t="str">
            <v>l</v>
          </cell>
          <cell r="D61">
            <v>96</v>
          </cell>
          <cell r="E61">
            <v>0.96</v>
          </cell>
          <cell r="F61">
            <v>97</v>
          </cell>
        </row>
        <row r="62">
          <cell r="B62" t="str">
            <v>Pavior</v>
          </cell>
        </row>
        <row r="63">
          <cell r="A63">
            <v>901</v>
          </cell>
          <cell r="B63" t="str">
            <v>Antitermite treatment - Sub contractors rate</v>
          </cell>
          <cell r="C63" t="str">
            <v>m2</v>
          </cell>
          <cell r="D63">
            <v>269</v>
          </cell>
          <cell r="F63">
            <v>269</v>
          </cell>
        </row>
        <row r="64">
          <cell r="A64">
            <v>902</v>
          </cell>
          <cell r="B64" t="str">
            <v>Water proofing - Sub contractors rate</v>
          </cell>
          <cell r="C64" t="str">
            <v>m2</v>
          </cell>
          <cell r="D64">
            <v>1126</v>
          </cell>
          <cell r="F64">
            <v>1126</v>
          </cell>
        </row>
        <row r="65">
          <cell r="A65">
            <v>903</v>
          </cell>
          <cell r="B65" t="str">
            <v>Gauge 1000 polythene</v>
          </cell>
          <cell r="C65" t="str">
            <v>m2</v>
          </cell>
          <cell r="D65">
            <v>66</v>
          </cell>
          <cell r="E65">
            <v>0.66</v>
          </cell>
          <cell r="F65">
            <v>66.66</v>
          </cell>
        </row>
        <row r="66">
          <cell r="A66">
            <v>904</v>
          </cell>
          <cell r="B66" t="str">
            <v>Crystaline waterproofing material (XYPEX concentrate)</v>
          </cell>
          <cell r="C66" t="str">
            <v>kg</v>
          </cell>
          <cell r="D66">
            <v>1065</v>
          </cell>
          <cell r="F66">
            <v>1065</v>
          </cell>
        </row>
        <row r="67">
          <cell r="B67" t="str">
            <v>Tiller</v>
          </cell>
          <cell r="F67">
            <v>0</v>
          </cell>
        </row>
        <row r="68">
          <cell r="A68">
            <v>1001</v>
          </cell>
          <cell r="B68" t="str">
            <v>100x100 glazed wall tiles</v>
          </cell>
          <cell r="C68" t="str">
            <v>Nr</v>
          </cell>
          <cell r="D68">
            <v>14</v>
          </cell>
          <cell r="E68">
            <v>0.14000000000000001</v>
          </cell>
          <cell r="F68">
            <v>14.5</v>
          </cell>
        </row>
        <row r="69">
          <cell r="A69">
            <v>1002</v>
          </cell>
          <cell r="B69" t="str">
            <v>150x150 glazed wall tiles</v>
          </cell>
          <cell r="C69" t="str">
            <v>Nr</v>
          </cell>
          <cell r="D69">
            <v>26</v>
          </cell>
          <cell r="E69">
            <v>0.26</v>
          </cell>
          <cell r="F69">
            <v>26.5</v>
          </cell>
        </row>
        <row r="70">
          <cell r="A70">
            <v>1003</v>
          </cell>
          <cell r="B70" t="str">
            <v>200x300 glazed wall tiles</v>
          </cell>
          <cell r="C70" t="str">
            <v>Nr</v>
          </cell>
          <cell r="D70">
            <v>80</v>
          </cell>
          <cell r="E70">
            <v>0.8</v>
          </cell>
          <cell r="F70">
            <v>81</v>
          </cell>
        </row>
        <row r="71">
          <cell r="A71">
            <v>1004</v>
          </cell>
          <cell r="B71" t="str">
            <v>300x400 glazed wall tiles</v>
          </cell>
          <cell r="C71" t="str">
            <v>Nr</v>
          </cell>
          <cell r="D71">
            <v>196</v>
          </cell>
          <cell r="E71">
            <v>1.96</v>
          </cell>
          <cell r="F71">
            <v>198</v>
          </cell>
        </row>
        <row r="72">
          <cell r="A72">
            <v>1005</v>
          </cell>
          <cell r="B72" t="str">
            <v>200x200 non skid floor tiles</v>
          </cell>
          <cell r="C72" t="str">
            <v>Nr</v>
          </cell>
          <cell r="D72">
            <v>63</v>
          </cell>
          <cell r="E72">
            <v>0.63</v>
          </cell>
          <cell r="F72">
            <v>63.63</v>
          </cell>
        </row>
        <row r="73">
          <cell r="A73">
            <v>1006</v>
          </cell>
          <cell r="B73" t="str">
            <v>300x300 non skid floor tiles</v>
          </cell>
          <cell r="C73" t="str">
            <v>Nr</v>
          </cell>
          <cell r="D73">
            <v>165</v>
          </cell>
          <cell r="E73">
            <v>1.65</v>
          </cell>
          <cell r="F73">
            <v>134</v>
          </cell>
        </row>
        <row r="74">
          <cell r="A74">
            <v>1007</v>
          </cell>
          <cell r="B74" t="str">
            <v>450x450 non skid floor tiles</v>
          </cell>
          <cell r="C74" t="str">
            <v>Nr</v>
          </cell>
          <cell r="D74">
            <v>294</v>
          </cell>
          <cell r="E74">
            <v>2.94</v>
          </cell>
          <cell r="F74">
            <v>297</v>
          </cell>
        </row>
        <row r="75">
          <cell r="A75">
            <v>1008</v>
          </cell>
          <cell r="B75" t="str">
            <v>200x200 non skid floor tiles - Homogeneous</v>
          </cell>
          <cell r="C75" t="str">
            <v>Nr</v>
          </cell>
          <cell r="D75">
            <v>74</v>
          </cell>
          <cell r="E75">
            <v>0.74</v>
          </cell>
          <cell r="F75">
            <v>75</v>
          </cell>
        </row>
        <row r="76">
          <cell r="A76">
            <v>1009</v>
          </cell>
          <cell r="B76" t="str">
            <v>300x300 non skid floor tiles - Homogeneous</v>
          </cell>
          <cell r="C76" t="str">
            <v>Nr</v>
          </cell>
          <cell r="D76">
            <v>297</v>
          </cell>
          <cell r="E76">
            <v>2.97</v>
          </cell>
          <cell r="F76">
            <v>146.5</v>
          </cell>
        </row>
        <row r="77">
          <cell r="A77">
            <v>1010</v>
          </cell>
          <cell r="B77" t="str">
            <v>400x400 non skid floor tiles - Homogeneous</v>
          </cell>
          <cell r="C77" t="str">
            <v>Nr</v>
          </cell>
          <cell r="D77">
            <v>475</v>
          </cell>
          <cell r="E77">
            <v>4.75</v>
          </cell>
          <cell r="F77">
            <v>283</v>
          </cell>
        </row>
        <row r="78">
          <cell r="A78">
            <v>1011</v>
          </cell>
          <cell r="B78" t="str">
            <v>PVC tile beading</v>
          </cell>
          <cell r="C78" t="str">
            <v>m</v>
          </cell>
          <cell r="D78">
            <v>35</v>
          </cell>
          <cell r="E78">
            <v>0.35</v>
          </cell>
          <cell r="F78">
            <v>35.5</v>
          </cell>
        </row>
        <row r="79">
          <cell r="A79">
            <v>1012</v>
          </cell>
          <cell r="B79" t="str">
            <v>Stainless steel tile beading</v>
          </cell>
          <cell r="C79" t="str">
            <v>m</v>
          </cell>
        </row>
        <row r="80">
          <cell r="A80">
            <v>1013</v>
          </cell>
          <cell r="B80" t="str">
            <v>non skid homogenous floor tiles quality 3</v>
          </cell>
          <cell r="C80" t="str">
            <v>m2</v>
          </cell>
          <cell r="D80">
            <v>1500</v>
          </cell>
          <cell r="E80">
            <v>15</v>
          </cell>
          <cell r="F80">
            <v>1515</v>
          </cell>
        </row>
        <row r="81">
          <cell r="A81">
            <v>1014</v>
          </cell>
          <cell r="B81" t="str">
            <v>non skid homogenous floor tiles quality 2</v>
          </cell>
          <cell r="C81" t="str">
            <v>m2</v>
          </cell>
          <cell r="D81">
            <v>1850</v>
          </cell>
          <cell r="E81">
            <v>18.5</v>
          </cell>
          <cell r="F81">
            <v>1868.5</v>
          </cell>
        </row>
        <row r="82">
          <cell r="A82">
            <v>1015</v>
          </cell>
          <cell r="B82" t="str">
            <v xml:space="preserve">non skid homogenous floor tiles quality 1 </v>
          </cell>
          <cell r="C82" t="str">
            <v>m2</v>
          </cell>
          <cell r="D82">
            <v>2425</v>
          </cell>
          <cell r="E82">
            <v>24.25</v>
          </cell>
          <cell r="F82">
            <v>2449.25</v>
          </cell>
        </row>
        <row r="83">
          <cell r="A83">
            <v>1016</v>
          </cell>
          <cell r="B83" t="str">
            <v>glazed wall tiles quality 1</v>
          </cell>
          <cell r="C83" t="str">
            <v>m2</v>
          </cell>
          <cell r="D83">
            <v>1500</v>
          </cell>
          <cell r="E83">
            <v>15</v>
          </cell>
          <cell r="F83">
            <v>1515</v>
          </cell>
        </row>
        <row r="84">
          <cell r="A84">
            <v>1017</v>
          </cell>
          <cell r="B84" t="str">
            <v xml:space="preserve">100mm high Timber Skirting </v>
          </cell>
          <cell r="C84" t="str">
            <v>m</v>
          </cell>
          <cell r="D84">
            <v>214</v>
          </cell>
          <cell r="E84">
            <v>2.14</v>
          </cell>
          <cell r="F84">
            <v>216.14</v>
          </cell>
        </row>
        <row r="85">
          <cell r="A85">
            <v>1018</v>
          </cell>
          <cell r="B85" t="str">
            <v>600x600 non skid floor tiles - Homogeneous</v>
          </cell>
          <cell r="C85" t="str">
            <v>m2</v>
          </cell>
          <cell r="D85">
            <v>790</v>
          </cell>
          <cell r="E85">
            <v>7.9</v>
          </cell>
          <cell r="F85">
            <v>797.9</v>
          </cell>
        </row>
        <row r="86">
          <cell r="A86">
            <v>1019</v>
          </cell>
          <cell r="B86" t="str">
            <v>600x300 non skid floor tiles - Homogeneous</v>
          </cell>
          <cell r="C86" t="str">
            <v>m2</v>
          </cell>
          <cell r="D86">
            <v>790</v>
          </cell>
          <cell r="E86">
            <v>7.9</v>
          </cell>
          <cell r="F86">
            <v>797.9</v>
          </cell>
        </row>
        <row r="87">
          <cell r="E87">
            <v>0</v>
          </cell>
          <cell r="F87">
            <v>0</v>
          </cell>
        </row>
        <row r="88">
          <cell r="B88" t="str">
            <v>Roofer</v>
          </cell>
          <cell r="F88">
            <v>0</v>
          </cell>
        </row>
        <row r="89">
          <cell r="A89">
            <v>1101</v>
          </cell>
          <cell r="B89" t="str">
            <v>Special class timber</v>
          </cell>
          <cell r="C89" t="str">
            <v>m3</v>
          </cell>
          <cell r="D89">
            <v>75987</v>
          </cell>
          <cell r="E89">
            <v>759.87</v>
          </cell>
          <cell r="F89">
            <v>76747</v>
          </cell>
        </row>
        <row r="90">
          <cell r="A90">
            <v>1102</v>
          </cell>
          <cell r="B90" t="str">
            <v>50mmx25mm special class timber</v>
          </cell>
          <cell r="C90" t="str">
            <v>m</v>
          </cell>
          <cell r="D90">
            <v>65.599999999999994</v>
          </cell>
          <cell r="E90">
            <v>0.66</v>
          </cell>
          <cell r="F90">
            <v>66.5</v>
          </cell>
        </row>
        <row r="91">
          <cell r="A91">
            <v>1103</v>
          </cell>
          <cell r="B91" t="str">
            <v>50mmx50mm special class timber</v>
          </cell>
          <cell r="C91" t="str">
            <v>m</v>
          </cell>
          <cell r="D91">
            <v>136.19999999999999</v>
          </cell>
          <cell r="E91">
            <v>1.36</v>
          </cell>
          <cell r="F91">
            <v>137.5</v>
          </cell>
        </row>
        <row r="92">
          <cell r="A92">
            <v>1104</v>
          </cell>
          <cell r="B92" t="str">
            <v>100mmx50mm special class timber</v>
          </cell>
          <cell r="C92" t="str">
            <v>m</v>
          </cell>
          <cell r="D92">
            <v>385.5</v>
          </cell>
          <cell r="E92">
            <v>3.86</v>
          </cell>
          <cell r="F92">
            <v>389.5</v>
          </cell>
        </row>
        <row r="93">
          <cell r="A93">
            <v>1105</v>
          </cell>
          <cell r="B93" t="str">
            <v>100mmx75mm special class timber</v>
          </cell>
          <cell r="C93" t="str">
            <v>m</v>
          </cell>
          <cell r="D93">
            <v>587</v>
          </cell>
          <cell r="E93">
            <v>5.87</v>
          </cell>
          <cell r="F93">
            <v>593</v>
          </cell>
        </row>
        <row r="94">
          <cell r="A94">
            <v>1106</v>
          </cell>
          <cell r="B94" t="str">
            <v>125mmx50mm special class timber</v>
          </cell>
          <cell r="C94" t="str">
            <v>m</v>
          </cell>
          <cell r="D94">
            <v>487.8</v>
          </cell>
          <cell r="E94">
            <v>4.88</v>
          </cell>
          <cell r="F94">
            <v>492.5</v>
          </cell>
        </row>
        <row r="95">
          <cell r="A95">
            <v>1107</v>
          </cell>
          <cell r="B95" t="str">
            <v>125mmx75mm special class timber</v>
          </cell>
          <cell r="C95" t="str">
            <v>m</v>
          </cell>
          <cell r="D95">
            <v>742.9</v>
          </cell>
          <cell r="E95">
            <v>7.43</v>
          </cell>
          <cell r="F95">
            <v>750.5</v>
          </cell>
        </row>
        <row r="96">
          <cell r="A96">
            <v>1108</v>
          </cell>
          <cell r="B96" t="str">
            <v>150mmx50mm special class timber</v>
          </cell>
          <cell r="C96" t="str">
            <v>m</v>
          </cell>
          <cell r="D96">
            <v>589.70000000000005</v>
          </cell>
          <cell r="E96">
            <v>5.9</v>
          </cell>
          <cell r="F96">
            <v>595.5</v>
          </cell>
        </row>
        <row r="97">
          <cell r="A97">
            <v>1109</v>
          </cell>
          <cell r="B97" t="str">
            <v>150mmx75mm special class timber</v>
          </cell>
          <cell r="C97" t="str">
            <v>m</v>
          </cell>
          <cell r="D97">
            <v>901.5</v>
          </cell>
          <cell r="E97">
            <v>9.02</v>
          </cell>
          <cell r="F97">
            <v>910.5</v>
          </cell>
        </row>
        <row r="98">
          <cell r="A98">
            <v>1110</v>
          </cell>
          <cell r="B98" t="str">
            <v>Asbestos sheet</v>
          </cell>
          <cell r="C98" t="str">
            <v>m2</v>
          </cell>
          <cell r="D98">
            <v>440</v>
          </cell>
          <cell r="E98">
            <v>4.4000000000000004</v>
          </cell>
          <cell r="F98">
            <v>444.5</v>
          </cell>
        </row>
        <row r="99">
          <cell r="A99">
            <v>1111</v>
          </cell>
          <cell r="B99" t="str">
            <v>Roofing screws 112mm&amp; washer</v>
          </cell>
          <cell r="C99" t="str">
            <v>Nr</v>
          </cell>
          <cell r="D99">
            <v>20</v>
          </cell>
          <cell r="E99">
            <v>0.2</v>
          </cell>
          <cell r="F99">
            <v>20.5</v>
          </cell>
        </row>
        <row r="100">
          <cell r="A100">
            <v>1112</v>
          </cell>
          <cell r="B100" t="str">
            <v>Wood preservative</v>
          </cell>
          <cell r="C100" t="str">
            <v>l</v>
          </cell>
          <cell r="D100">
            <v>325</v>
          </cell>
          <cell r="E100">
            <v>3.25</v>
          </cell>
          <cell r="F100">
            <v>328.5</v>
          </cell>
        </row>
        <row r="101">
          <cell r="A101">
            <v>1113</v>
          </cell>
          <cell r="B101" t="str">
            <v>J bolt and nut</v>
          </cell>
          <cell r="C101" t="str">
            <v>Nr</v>
          </cell>
          <cell r="D101">
            <v>13</v>
          </cell>
          <cell r="E101">
            <v>0.13</v>
          </cell>
          <cell r="F101">
            <v>13.5</v>
          </cell>
        </row>
        <row r="102">
          <cell r="A102">
            <v>1114</v>
          </cell>
          <cell r="B102" t="str">
            <v xml:space="preserve">12mm bolt and nut </v>
          </cell>
          <cell r="C102" t="str">
            <v>Nr</v>
          </cell>
          <cell r="D102">
            <v>16</v>
          </cell>
          <cell r="E102">
            <v>0.16</v>
          </cell>
          <cell r="F102">
            <v>16.5</v>
          </cell>
        </row>
        <row r="103">
          <cell r="A103">
            <v>1115</v>
          </cell>
          <cell r="B103" t="str">
            <v>50x50x5.8mm angle irons</v>
          </cell>
          <cell r="C103" t="str">
            <v>m</v>
          </cell>
          <cell r="D103">
            <v>467</v>
          </cell>
          <cell r="E103">
            <v>4.67</v>
          </cell>
          <cell r="F103">
            <v>471.5</v>
          </cell>
        </row>
        <row r="104">
          <cell r="A104">
            <v>1116</v>
          </cell>
          <cell r="B104" t="str">
            <v>62.5x62.5x5.8mm angle irons</v>
          </cell>
          <cell r="C104" t="str">
            <v>m</v>
          </cell>
          <cell r="D104">
            <v>608</v>
          </cell>
          <cell r="E104">
            <v>6.08</v>
          </cell>
          <cell r="F104">
            <v>614</v>
          </cell>
        </row>
        <row r="105">
          <cell r="A105">
            <v>1117</v>
          </cell>
          <cell r="B105" t="str">
            <v>75x75x5.8mm angle irons</v>
          </cell>
          <cell r="C105" t="str">
            <v>m</v>
          </cell>
          <cell r="D105">
            <v>825</v>
          </cell>
          <cell r="E105">
            <v>8.25</v>
          </cell>
          <cell r="F105">
            <v>833.5</v>
          </cell>
        </row>
        <row r="106">
          <cell r="A106">
            <v>1118</v>
          </cell>
          <cell r="B106" t="str">
            <v>6'-0" asbestos sheets</v>
          </cell>
          <cell r="C106" t="str">
            <v>Nr</v>
          </cell>
          <cell r="D106">
            <v>820</v>
          </cell>
          <cell r="E106">
            <v>8.1999999999999993</v>
          </cell>
          <cell r="F106">
            <v>828</v>
          </cell>
        </row>
        <row r="107">
          <cell r="A107">
            <v>1119</v>
          </cell>
          <cell r="B107" t="str">
            <v>8'-0" asbestos sheets</v>
          </cell>
          <cell r="C107" t="str">
            <v>Nr</v>
          </cell>
          <cell r="D107">
            <v>1150</v>
          </cell>
          <cell r="E107">
            <v>11.5</v>
          </cell>
          <cell r="F107">
            <v>1161.5</v>
          </cell>
        </row>
        <row r="108">
          <cell r="A108">
            <v>1120</v>
          </cell>
          <cell r="B108" t="str">
            <v>10'-0" asbestos sheets</v>
          </cell>
          <cell r="C108" t="str">
            <v>Nr</v>
          </cell>
          <cell r="D108">
            <v>1360</v>
          </cell>
          <cell r="E108">
            <v>13.6</v>
          </cell>
          <cell r="F108">
            <v>1373.5</v>
          </cell>
        </row>
        <row r="109">
          <cell r="A109">
            <v>1121</v>
          </cell>
          <cell r="B109" t="str">
            <v>12'-0" asbestos sheets</v>
          </cell>
          <cell r="C109" t="str">
            <v>Nr</v>
          </cell>
          <cell r="D109">
            <v>1730</v>
          </cell>
          <cell r="E109">
            <v>17.3</v>
          </cell>
          <cell r="F109">
            <v>1747.5</v>
          </cell>
        </row>
        <row r="110">
          <cell r="A110">
            <v>1122</v>
          </cell>
          <cell r="B110" t="str">
            <v>100x50x2mm "C" channels</v>
          </cell>
          <cell r="C110" t="str">
            <v>m</v>
          </cell>
          <cell r="D110">
            <v>355</v>
          </cell>
          <cell r="E110">
            <v>3.55</v>
          </cell>
          <cell r="F110">
            <v>358.5</v>
          </cell>
        </row>
        <row r="111">
          <cell r="A111">
            <v>1123</v>
          </cell>
          <cell r="B111" t="str">
            <v>0.47mm tk. Zn-alum sheets</v>
          </cell>
          <cell r="C111" t="str">
            <v>m2</v>
          </cell>
          <cell r="D111">
            <v>1078</v>
          </cell>
          <cell r="E111">
            <v>10.78</v>
          </cell>
          <cell r="F111">
            <v>1089</v>
          </cell>
        </row>
        <row r="112">
          <cell r="A112">
            <v>1124</v>
          </cell>
          <cell r="B112" t="str">
            <v>Fasteners</v>
          </cell>
          <cell r="C112" t="str">
            <v>Nr</v>
          </cell>
          <cell r="D112">
            <v>9</v>
          </cell>
          <cell r="E112">
            <v>0.09</v>
          </cell>
          <cell r="F112">
            <v>9</v>
          </cell>
        </row>
        <row r="113">
          <cell r="A113">
            <v>1125</v>
          </cell>
          <cell r="B113" t="str">
            <v>Roof tiles</v>
          </cell>
          <cell r="C113" t="str">
            <v>Nr</v>
          </cell>
          <cell r="D113">
            <v>35</v>
          </cell>
          <cell r="E113">
            <v>0.35</v>
          </cell>
          <cell r="F113">
            <v>35.5</v>
          </cell>
        </row>
        <row r="114">
          <cell r="A114">
            <v>1126</v>
          </cell>
          <cell r="B114" t="str">
            <v>Ridge tiles</v>
          </cell>
          <cell r="C114" t="str">
            <v>Nr</v>
          </cell>
          <cell r="D114">
            <v>45</v>
          </cell>
          <cell r="E114">
            <v>0.45</v>
          </cell>
          <cell r="F114">
            <v>45.5</v>
          </cell>
        </row>
        <row r="115">
          <cell r="A115">
            <v>1127</v>
          </cell>
          <cell r="B115" t="str">
            <v>5mm gusset plate</v>
          </cell>
          <cell r="C115" t="str">
            <v>m2</v>
          </cell>
          <cell r="D115">
            <v>4485</v>
          </cell>
          <cell r="E115">
            <v>44.85</v>
          </cell>
          <cell r="F115">
            <v>4530</v>
          </cell>
        </row>
        <row r="116">
          <cell r="A116">
            <v>1128</v>
          </cell>
          <cell r="B116" t="str">
            <v>Zink Alluminium ridge capping  of girth 470mm</v>
          </cell>
          <cell r="C116" t="str">
            <v>m</v>
          </cell>
          <cell r="D116">
            <v>591</v>
          </cell>
          <cell r="E116">
            <v>5.91</v>
          </cell>
          <cell r="F116">
            <v>597</v>
          </cell>
        </row>
        <row r="117">
          <cell r="A117">
            <v>1129</v>
          </cell>
          <cell r="B117" t="str">
            <v>Asbestos ridges</v>
          </cell>
          <cell r="C117" t="str">
            <v>Set</v>
          </cell>
          <cell r="D117">
            <v>600</v>
          </cell>
          <cell r="E117">
            <v>6</v>
          </cell>
          <cell r="F117">
            <v>606</v>
          </cell>
        </row>
        <row r="118">
          <cell r="A118">
            <v>1130</v>
          </cell>
          <cell r="B118" t="str">
            <v>Lime</v>
          </cell>
          <cell r="C118" t="str">
            <v>kg</v>
          </cell>
          <cell r="D118">
            <v>20</v>
          </cell>
          <cell r="E118">
            <v>0.2</v>
          </cell>
          <cell r="F118">
            <v>20.5</v>
          </cell>
        </row>
        <row r="119">
          <cell r="A119">
            <v>1131</v>
          </cell>
          <cell r="B119" t="str">
            <v>Aluminium foil as heat insulation</v>
          </cell>
          <cell r="C119" t="str">
            <v>m2</v>
          </cell>
          <cell r="D119">
            <v>133</v>
          </cell>
          <cell r="E119">
            <v>1.33</v>
          </cell>
          <cell r="F119">
            <v>134.5</v>
          </cell>
        </row>
        <row r="120">
          <cell r="A120">
            <v>1132</v>
          </cell>
          <cell r="B120" t="str">
            <v>Mesh for foil ( 2"x2")</v>
          </cell>
          <cell r="C120" t="str">
            <v>m2</v>
          </cell>
          <cell r="D120">
            <v>454.9</v>
          </cell>
          <cell r="E120">
            <v>4.55</v>
          </cell>
          <cell r="F120">
            <v>459.5</v>
          </cell>
        </row>
        <row r="121">
          <cell r="A121">
            <v>1133</v>
          </cell>
          <cell r="B121" t="str">
            <v>10mm gusset plate</v>
          </cell>
          <cell r="C121" t="str">
            <v>m2</v>
          </cell>
          <cell r="D121">
            <v>8970</v>
          </cell>
          <cell r="E121">
            <v>89.7</v>
          </cell>
          <cell r="F121">
            <v>9059.5</v>
          </cell>
        </row>
        <row r="122">
          <cell r="A122">
            <v>1134</v>
          </cell>
          <cell r="B122" t="str">
            <v>Truss plate, base plate</v>
          </cell>
          <cell r="C122" t="str">
            <v>m2</v>
          </cell>
          <cell r="D122">
            <v>4300</v>
          </cell>
          <cell r="E122">
            <v>43</v>
          </cell>
          <cell r="F122">
            <v>4343</v>
          </cell>
        </row>
        <row r="123">
          <cell r="B123" t="str">
            <v>Carpenter and Joiner</v>
          </cell>
        </row>
        <row r="124">
          <cell r="A124">
            <v>1201</v>
          </cell>
          <cell r="B124" t="str">
            <v>31mm planks special class</v>
          </cell>
          <cell r="C124" t="str">
            <v>m2</v>
          </cell>
          <cell r="D124">
            <v>1841</v>
          </cell>
          <cell r="E124">
            <v>18.41</v>
          </cell>
          <cell r="F124">
            <v>1859.5</v>
          </cell>
        </row>
        <row r="125">
          <cell r="A125">
            <v>1202</v>
          </cell>
          <cell r="B125" t="str">
            <v>25mm planks special class</v>
          </cell>
          <cell r="C125" t="str">
            <v>m2</v>
          </cell>
          <cell r="D125">
            <v>1476.66</v>
          </cell>
          <cell r="E125">
            <v>14.77</v>
          </cell>
          <cell r="F125">
            <v>1491.5</v>
          </cell>
        </row>
        <row r="126">
          <cell r="A126">
            <v>1203</v>
          </cell>
          <cell r="B126" t="str">
            <v>20mm planks special class</v>
          </cell>
          <cell r="C126" t="str">
            <v>m2</v>
          </cell>
          <cell r="D126">
            <v>1181.32</v>
          </cell>
          <cell r="E126">
            <v>11.81</v>
          </cell>
          <cell r="F126">
            <v>1193</v>
          </cell>
        </row>
        <row r="127">
          <cell r="A127">
            <v>1204</v>
          </cell>
          <cell r="B127" t="str">
            <v>20mm thick lunumidella timber</v>
          </cell>
          <cell r="C127" t="str">
            <v>m2</v>
          </cell>
          <cell r="D127">
            <v>700</v>
          </cell>
          <cell r="E127">
            <v>7</v>
          </cell>
          <cell r="F127">
            <v>707</v>
          </cell>
        </row>
        <row r="128">
          <cell r="A128">
            <v>1205</v>
          </cell>
          <cell r="B128" t="str">
            <v>50mm iron screws</v>
          </cell>
          <cell r="C128" t="str">
            <v>Nr</v>
          </cell>
          <cell r="D128">
            <v>2</v>
          </cell>
          <cell r="E128">
            <v>0.02</v>
          </cell>
          <cell r="F128">
            <v>2</v>
          </cell>
        </row>
        <row r="129">
          <cell r="A129">
            <v>1206</v>
          </cell>
          <cell r="B129" t="str">
            <v>G.I. clout nails 20mm</v>
          </cell>
          <cell r="C129" t="str">
            <v>kg</v>
          </cell>
          <cell r="D129">
            <v>300</v>
          </cell>
          <cell r="E129">
            <v>3</v>
          </cell>
          <cell r="F129">
            <v>303</v>
          </cell>
        </row>
        <row r="130">
          <cell r="A130">
            <v>1207</v>
          </cell>
          <cell r="B130" t="str">
            <v>Ceiling sheets</v>
          </cell>
          <cell r="C130" t="str">
            <v>m2</v>
          </cell>
          <cell r="D130">
            <v>263</v>
          </cell>
          <cell r="E130">
            <v>2.63</v>
          </cell>
          <cell r="F130">
            <v>265.5</v>
          </cell>
        </row>
        <row r="131">
          <cell r="A131">
            <v>1208</v>
          </cell>
          <cell r="B131"/>
          <cell r="C131" t="str">
            <v>m</v>
          </cell>
          <cell r="D131">
            <v>49</v>
          </cell>
          <cell r="E131">
            <v>0.49</v>
          </cell>
          <cell r="F131">
            <v>49.5</v>
          </cell>
        </row>
        <row r="132">
          <cell r="A132">
            <v>1209</v>
          </cell>
          <cell r="B132" t="str">
            <v>Moldings</v>
          </cell>
          <cell r="C132" t="str">
            <v>m</v>
          </cell>
          <cell r="D132">
            <v>117</v>
          </cell>
          <cell r="E132">
            <v>1.17</v>
          </cell>
          <cell r="F132">
            <v>118.17</v>
          </cell>
        </row>
        <row r="133">
          <cell r="A133">
            <v>1210</v>
          </cell>
          <cell r="B133" t="str">
            <v>Screws 38mm</v>
          </cell>
          <cell r="C133" t="str">
            <v>Nr</v>
          </cell>
          <cell r="D133">
            <v>1.5</v>
          </cell>
          <cell r="E133">
            <v>0.02</v>
          </cell>
          <cell r="F133">
            <v>1.5</v>
          </cell>
        </row>
        <row r="134">
          <cell r="A134">
            <v>1211</v>
          </cell>
          <cell r="B134" t="str">
            <v>Wooden plugs</v>
          </cell>
          <cell r="C134" t="str">
            <v>Nr</v>
          </cell>
          <cell r="D134">
            <v>5</v>
          </cell>
          <cell r="E134">
            <v>0.05</v>
          </cell>
          <cell r="F134">
            <v>5</v>
          </cell>
        </row>
        <row r="135">
          <cell r="A135">
            <v>1212</v>
          </cell>
          <cell r="B135" t="str">
            <v>Primer</v>
          </cell>
          <cell r="C135" t="str">
            <v>l</v>
          </cell>
          <cell r="D135">
            <v>320</v>
          </cell>
          <cell r="E135">
            <v>3.2</v>
          </cell>
          <cell r="F135">
            <v>323</v>
          </cell>
        </row>
        <row r="136">
          <cell r="A136">
            <v>1213</v>
          </cell>
          <cell r="B136" t="str">
            <v>Emulsion paint</v>
          </cell>
          <cell r="C136" t="str">
            <v>l</v>
          </cell>
          <cell r="D136">
            <v>648</v>
          </cell>
          <cell r="E136">
            <v>6.48</v>
          </cell>
          <cell r="F136">
            <v>654.5</v>
          </cell>
        </row>
        <row r="137">
          <cell r="A137">
            <v>1214</v>
          </cell>
          <cell r="B137" t="str">
            <v>100x75 door/ window frame</v>
          </cell>
          <cell r="C137" t="str">
            <v>m3</v>
          </cell>
          <cell r="D137">
            <v>75987</v>
          </cell>
          <cell r="E137">
            <v>759.87</v>
          </cell>
          <cell r="F137">
            <v>76747</v>
          </cell>
        </row>
        <row r="138">
          <cell r="A138">
            <v>1215</v>
          </cell>
          <cell r="B138" t="str">
            <v>38mm brass screws</v>
          </cell>
          <cell r="C138" t="str">
            <v>Nr</v>
          </cell>
          <cell r="D138">
            <v>5.5</v>
          </cell>
          <cell r="E138">
            <v>0.06</v>
          </cell>
          <cell r="F138">
            <v>5.5</v>
          </cell>
        </row>
        <row r="139">
          <cell r="A139">
            <v>1216</v>
          </cell>
          <cell r="B139" t="str">
            <v>25mm brass screws</v>
          </cell>
          <cell r="C139" t="str">
            <v>Nr</v>
          </cell>
          <cell r="D139">
            <v>3.5</v>
          </cell>
          <cell r="E139">
            <v>0.04</v>
          </cell>
          <cell r="F139">
            <v>3.5</v>
          </cell>
        </row>
        <row r="140">
          <cell r="A140">
            <v>1217</v>
          </cell>
          <cell r="B140" t="str">
            <v>Rawl plugs and screws</v>
          </cell>
          <cell r="C140" t="str">
            <v>Nr</v>
          </cell>
          <cell r="D140">
            <v>2</v>
          </cell>
          <cell r="E140">
            <v>0.02</v>
          </cell>
          <cell r="F140">
            <v>2</v>
          </cell>
        </row>
        <row r="141">
          <cell r="A141">
            <v>1218</v>
          </cell>
          <cell r="B141" t="str">
            <v>100mm brass hinges</v>
          </cell>
          <cell r="C141" t="str">
            <v>pair</v>
          </cell>
          <cell r="D141">
            <v>375</v>
          </cell>
          <cell r="E141">
            <v>3.75</v>
          </cell>
          <cell r="F141">
            <v>379</v>
          </cell>
        </row>
        <row r="142">
          <cell r="A142">
            <v>1219</v>
          </cell>
          <cell r="B142" t="str">
            <v>12x12mm fillets</v>
          </cell>
          <cell r="C142" t="str">
            <v>m</v>
          </cell>
          <cell r="D142">
            <v>5.5</v>
          </cell>
          <cell r="E142">
            <v>0.06</v>
          </cell>
          <cell r="F142">
            <v>5.5</v>
          </cell>
        </row>
        <row r="143">
          <cell r="A143">
            <v>1220</v>
          </cell>
          <cell r="B143" t="str">
            <v>300mm skeleton bolts</v>
          </cell>
          <cell r="C143" t="str">
            <v>Nr</v>
          </cell>
          <cell r="D143">
            <v>78</v>
          </cell>
          <cell r="E143">
            <v>0.78</v>
          </cell>
          <cell r="F143">
            <v>79</v>
          </cell>
        </row>
        <row r="144">
          <cell r="A144">
            <v>1221</v>
          </cell>
          <cell r="B144" t="str">
            <v>38x38mm sash bars</v>
          </cell>
          <cell r="C144" t="str">
            <v>m</v>
          </cell>
          <cell r="D144">
            <v>16</v>
          </cell>
          <cell r="E144">
            <v>0.16</v>
          </cell>
          <cell r="F144">
            <v>16.5</v>
          </cell>
        </row>
        <row r="145">
          <cell r="A145">
            <v>1222</v>
          </cell>
          <cell r="B145" t="str">
            <v>150mm barrel bolts</v>
          </cell>
          <cell r="C145" t="str">
            <v>Nr</v>
          </cell>
          <cell r="D145">
            <v>156</v>
          </cell>
          <cell r="E145">
            <v>1.56</v>
          </cell>
          <cell r="F145">
            <v>157.5</v>
          </cell>
        </row>
        <row r="146">
          <cell r="A146">
            <v>1223</v>
          </cell>
          <cell r="B146" t="str">
            <v>Plywood door sash</v>
          </cell>
          <cell r="C146" t="str">
            <v>Nr</v>
          </cell>
          <cell r="D146">
            <v>2200</v>
          </cell>
          <cell r="E146">
            <v>22</v>
          </cell>
          <cell r="F146">
            <v>2222</v>
          </cell>
        </row>
        <row r="147">
          <cell r="A147">
            <v>1224</v>
          </cell>
          <cell r="B147" t="str">
            <v>Holdfasts</v>
          </cell>
          <cell r="C147" t="str">
            <v>Nr</v>
          </cell>
          <cell r="D147">
            <v>75</v>
          </cell>
          <cell r="E147">
            <v>0.75</v>
          </cell>
          <cell r="F147">
            <v>76</v>
          </cell>
        </row>
        <row r="148">
          <cell r="A148">
            <v>1225</v>
          </cell>
          <cell r="B148" t="str">
            <v>PVC door with frame</v>
          </cell>
          <cell r="C148" t="str">
            <v>Nr</v>
          </cell>
          <cell r="D148">
            <v>4650</v>
          </cell>
          <cell r="E148">
            <v>46.5</v>
          </cell>
          <cell r="F148">
            <v>4696.5</v>
          </cell>
        </row>
        <row r="149">
          <cell r="A149">
            <v>1226</v>
          </cell>
          <cell r="B149" t="str">
            <v>3mm glass plain</v>
          </cell>
          <cell r="C149" t="str">
            <v>m2</v>
          </cell>
          <cell r="D149">
            <v>645</v>
          </cell>
          <cell r="E149">
            <v>6.45</v>
          </cell>
          <cell r="F149">
            <v>651.5</v>
          </cell>
        </row>
        <row r="150">
          <cell r="A150">
            <v>1227</v>
          </cell>
          <cell r="B150" t="str">
            <v>Casement stays</v>
          </cell>
          <cell r="C150" t="str">
            <v>Nr</v>
          </cell>
          <cell r="D150">
            <v>200</v>
          </cell>
          <cell r="E150">
            <v>2</v>
          </cell>
          <cell r="F150">
            <v>202</v>
          </cell>
        </row>
        <row r="151">
          <cell r="A151">
            <v>1228</v>
          </cell>
          <cell r="B151" t="str">
            <v>Casement fasteners</v>
          </cell>
          <cell r="C151" t="str">
            <v>Nr</v>
          </cell>
          <cell r="D151">
            <v>200</v>
          </cell>
          <cell r="E151">
            <v>2</v>
          </cell>
          <cell r="F151">
            <v>202</v>
          </cell>
        </row>
        <row r="152">
          <cell r="A152">
            <v>1229</v>
          </cell>
          <cell r="B152" t="str">
            <v>Class 11 Ginisapu planks 25mm thick</v>
          </cell>
          <cell r="C152" t="str">
            <v>m2</v>
          </cell>
          <cell r="D152">
            <v>1385</v>
          </cell>
          <cell r="E152">
            <v>13.85</v>
          </cell>
          <cell r="F152">
            <v>1399</v>
          </cell>
        </row>
        <row r="153">
          <cell r="A153">
            <v>1230</v>
          </cell>
          <cell r="B153" t="str">
            <v>Brass screw</v>
          </cell>
          <cell r="C153" t="str">
            <v>Nr</v>
          </cell>
          <cell r="D153">
            <v>5.5</v>
          </cell>
          <cell r="E153">
            <v>0.06</v>
          </cell>
          <cell r="F153">
            <v>5.5</v>
          </cell>
        </row>
        <row r="154">
          <cell r="A154">
            <v>1231</v>
          </cell>
          <cell r="B154" t="str">
            <v>Lunumidella timber</v>
          </cell>
          <cell r="C154" t="str">
            <v>m2</v>
          </cell>
          <cell r="D154">
            <v>700</v>
          </cell>
          <cell r="E154">
            <v>7</v>
          </cell>
          <cell r="F154">
            <v>707</v>
          </cell>
        </row>
        <row r="155">
          <cell r="A155">
            <v>1232</v>
          </cell>
          <cell r="B155" t="str">
            <v>12 mm thick flywood sheet</v>
          </cell>
          <cell r="C155" t="str">
            <v>m2</v>
          </cell>
          <cell r="D155">
            <v>875</v>
          </cell>
          <cell r="E155">
            <v>8.75</v>
          </cell>
          <cell r="F155">
            <v>884</v>
          </cell>
        </row>
        <row r="156">
          <cell r="A156">
            <v>1233</v>
          </cell>
          <cell r="B156" t="str">
            <v>G.I. clout nails 38mm</v>
          </cell>
          <cell r="C156" t="str">
            <v>Kg</v>
          </cell>
          <cell r="D156">
            <v>336</v>
          </cell>
          <cell r="E156">
            <v>3.36</v>
          </cell>
          <cell r="F156">
            <v>339.5</v>
          </cell>
        </row>
        <row r="157">
          <cell r="A157">
            <v>1234</v>
          </cell>
          <cell r="B157" t="str">
            <v>31mm planks class 1</v>
          </cell>
          <cell r="C157" t="str">
            <v>m2</v>
          </cell>
          <cell r="D157">
            <v>1440</v>
          </cell>
          <cell r="E157">
            <v>14.4</v>
          </cell>
          <cell r="F157">
            <v>1454.5</v>
          </cell>
        </row>
        <row r="158">
          <cell r="B158" t="str">
            <v>Brass Founder</v>
          </cell>
        </row>
        <row r="159">
          <cell r="A159">
            <v>1301</v>
          </cell>
          <cell r="B159" t="str">
            <v>Night latch lock</v>
          </cell>
          <cell r="C159" t="str">
            <v>Nr</v>
          </cell>
          <cell r="D159">
            <v>600</v>
          </cell>
          <cell r="E159">
            <v>6</v>
          </cell>
          <cell r="F159">
            <v>606</v>
          </cell>
        </row>
        <row r="160">
          <cell r="A160">
            <v>1302</v>
          </cell>
          <cell r="B160" t="str">
            <v>Mortise Union (English) single lock</v>
          </cell>
          <cell r="C160" t="str">
            <v>Nr</v>
          </cell>
          <cell r="E160">
            <v>0</v>
          </cell>
          <cell r="F160">
            <v>0</v>
          </cell>
        </row>
        <row r="161">
          <cell r="A161">
            <v>1303</v>
          </cell>
          <cell r="B161" t="str">
            <v>Mortise Union (English) double lock</v>
          </cell>
          <cell r="C161" t="str">
            <v>Nr</v>
          </cell>
          <cell r="E161">
            <v>0</v>
          </cell>
          <cell r="F161">
            <v>0</v>
          </cell>
        </row>
        <row r="162">
          <cell r="A162">
            <v>1304</v>
          </cell>
          <cell r="B162" t="str">
            <v>Robin ITALY made brass lock</v>
          </cell>
          <cell r="C162" t="str">
            <v>Nr</v>
          </cell>
          <cell r="E162">
            <v>0</v>
          </cell>
          <cell r="F162">
            <v>0</v>
          </cell>
        </row>
        <row r="163">
          <cell r="A163">
            <v>1305</v>
          </cell>
          <cell r="B163" t="str">
            <v>Fuda lock</v>
          </cell>
          <cell r="C163" t="str">
            <v>Nr</v>
          </cell>
          <cell r="E163">
            <v>0</v>
          </cell>
          <cell r="F163">
            <v>0</v>
          </cell>
        </row>
        <row r="164">
          <cell r="A164">
            <v>1306</v>
          </cell>
          <cell r="B164" t="str">
            <v>50mm barrel bolt (Brass)</v>
          </cell>
          <cell r="C164" t="str">
            <v>Nr</v>
          </cell>
          <cell r="D164">
            <v>65</v>
          </cell>
          <cell r="E164">
            <v>0.65</v>
          </cell>
          <cell r="F164">
            <v>65.650000000000006</v>
          </cell>
        </row>
        <row r="165">
          <cell r="A165">
            <v>1307</v>
          </cell>
          <cell r="B165" t="str">
            <v>100x100mm butt hinges</v>
          </cell>
          <cell r="C165" t="str">
            <v>Nr</v>
          </cell>
          <cell r="D165">
            <v>300</v>
          </cell>
          <cell r="E165">
            <v>3</v>
          </cell>
          <cell r="F165">
            <v>303</v>
          </cell>
        </row>
        <row r="166">
          <cell r="A166">
            <v>1308</v>
          </cell>
          <cell r="B166" t="str">
            <v>150x100mm butt hinges</v>
          </cell>
          <cell r="C166" t="str">
            <v>Nr</v>
          </cell>
          <cell r="D166">
            <v>475</v>
          </cell>
          <cell r="E166">
            <v>4.75</v>
          </cell>
          <cell r="F166">
            <v>479.75</v>
          </cell>
        </row>
        <row r="167">
          <cell r="A167">
            <v>1309</v>
          </cell>
          <cell r="B167" t="str">
            <v>100mm barrel bolt (Brass)</v>
          </cell>
          <cell r="C167" t="str">
            <v>Nr</v>
          </cell>
          <cell r="D167">
            <v>150</v>
          </cell>
          <cell r="E167">
            <v>1.5</v>
          </cell>
          <cell r="F167">
            <v>151.5</v>
          </cell>
        </row>
        <row r="168">
          <cell r="A168">
            <v>1310</v>
          </cell>
          <cell r="B168" t="str">
            <v>150mm barrel bolt (Brass)</v>
          </cell>
          <cell r="C168" t="str">
            <v>Nr</v>
          </cell>
          <cell r="D168">
            <v>350</v>
          </cell>
          <cell r="E168">
            <v>3.5</v>
          </cell>
          <cell r="F168">
            <v>353.5</v>
          </cell>
        </row>
        <row r="169">
          <cell r="B169" t="str">
            <v>Iron Monger</v>
          </cell>
          <cell r="F169">
            <v>0</v>
          </cell>
        </row>
        <row r="170">
          <cell r="A170">
            <v>1401</v>
          </cell>
          <cell r="B170" t="str">
            <v>50x50 G.I. welded mesh</v>
          </cell>
          <cell r="C170" t="str">
            <v>m2</v>
          </cell>
          <cell r="D170">
            <v>454</v>
          </cell>
          <cell r="E170">
            <v>4.54</v>
          </cell>
          <cell r="F170">
            <v>458.5</v>
          </cell>
        </row>
        <row r="171">
          <cell r="A171">
            <v>1402</v>
          </cell>
          <cell r="B171" t="str">
            <v>50x12mm beadings</v>
          </cell>
          <cell r="C171" t="str">
            <v>m</v>
          </cell>
          <cell r="D171">
            <v>50</v>
          </cell>
          <cell r="E171">
            <v>0.5</v>
          </cell>
          <cell r="F171">
            <v>50.5</v>
          </cell>
        </row>
        <row r="172">
          <cell r="A172">
            <v>1403</v>
          </cell>
          <cell r="B172" t="str">
            <v>5.5mm MS rods</v>
          </cell>
          <cell r="C172" t="str">
            <v>kg</v>
          </cell>
          <cell r="D172">
            <v>100</v>
          </cell>
          <cell r="E172">
            <v>1</v>
          </cell>
          <cell r="F172">
            <v>101</v>
          </cell>
        </row>
        <row r="173">
          <cell r="A173">
            <v>1404</v>
          </cell>
          <cell r="B173" t="str">
            <v>12x5mm flat iron</v>
          </cell>
          <cell r="C173" t="str">
            <v>m</v>
          </cell>
          <cell r="D173">
            <v>27</v>
          </cell>
          <cell r="E173">
            <v>0.27</v>
          </cell>
          <cell r="F173">
            <v>27.5</v>
          </cell>
        </row>
        <row r="174">
          <cell r="A174">
            <v>1405</v>
          </cell>
          <cell r="B174" t="str">
            <v>25x25x4mm angle iron</v>
          </cell>
          <cell r="C174" t="str">
            <v>m</v>
          </cell>
          <cell r="D174">
            <v>146</v>
          </cell>
          <cell r="E174">
            <v>1.46</v>
          </cell>
          <cell r="F174">
            <v>147.5</v>
          </cell>
        </row>
        <row r="175">
          <cell r="A175">
            <v>1406</v>
          </cell>
          <cell r="B175" t="str">
            <v>100mm safety type Hasp and Staple</v>
          </cell>
          <cell r="C175" t="str">
            <v>Nr</v>
          </cell>
          <cell r="D175">
            <v>150</v>
          </cell>
          <cell r="E175">
            <v>1.5</v>
          </cell>
          <cell r="F175">
            <v>151.5</v>
          </cell>
        </row>
        <row r="176">
          <cell r="A176">
            <v>1407</v>
          </cell>
          <cell r="B176" t="str">
            <v>150mm safety type Hasp and Staple</v>
          </cell>
          <cell r="C176" t="str">
            <v>Nr</v>
          </cell>
          <cell r="D176">
            <v>175</v>
          </cell>
          <cell r="E176">
            <v>1.75</v>
          </cell>
          <cell r="F176">
            <v>177</v>
          </cell>
        </row>
        <row r="177">
          <cell r="A177">
            <v>1408</v>
          </cell>
          <cell r="B177" t="str">
            <v>100x100mm butt hinges</v>
          </cell>
          <cell r="C177" t="str">
            <v>Nr</v>
          </cell>
          <cell r="D177">
            <v>300</v>
          </cell>
          <cell r="E177">
            <v>3</v>
          </cell>
          <cell r="F177">
            <v>303</v>
          </cell>
        </row>
        <row r="178">
          <cell r="A178">
            <v>1409</v>
          </cell>
          <cell r="B178" t="str">
            <v>150x100mm butt hinges</v>
          </cell>
          <cell r="C178" t="str">
            <v>Nr</v>
          </cell>
          <cell r="D178">
            <v>475</v>
          </cell>
          <cell r="E178">
            <v>4.75</v>
          </cell>
          <cell r="F178">
            <v>480</v>
          </cell>
        </row>
        <row r="179">
          <cell r="A179">
            <v>1410</v>
          </cell>
          <cell r="B179" t="str">
            <v>37x37x5.8 mm angle iron</v>
          </cell>
          <cell r="C179" t="str">
            <v>m</v>
          </cell>
          <cell r="D179">
            <v>368</v>
          </cell>
          <cell r="E179">
            <v>3.68</v>
          </cell>
          <cell r="F179">
            <v>371.5</v>
          </cell>
        </row>
        <row r="180">
          <cell r="A180">
            <v>1411</v>
          </cell>
          <cell r="B180" t="str">
            <v>25x25x5 mm angle iron</v>
          </cell>
          <cell r="C180" t="str">
            <v>m</v>
          </cell>
          <cell r="D180">
            <v>187</v>
          </cell>
          <cell r="E180">
            <v>1.87</v>
          </cell>
          <cell r="F180">
            <v>189</v>
          </cell>
        </row>
        <row r="181">
          <cell r="A181">
            <v>1412</v>
          </cell>
          <cell r="B181" t="str">
            <v>25x5mm flat iron</v>
          </cell>
          <cell r="C181" t="str">
            <v>m</v>
          </cell>
          <cell r="D181">
            <v>103</v>
          </cell>
          <cell r="E181">
            <v>1.03</v>
          </cell>
          <cell r="F181">
            <v>104</v>
          </cell>
        </row>
        <row r="182">
          <cell r="A182">
            <v>1413</v>
          </cell>
          <cell r="B182" t="str">
            <v>6mm mild steel hook</v>
          </cell>
          <cell r="C182" t="str">
            <v>Nr</v>
          </cell>
          <cell r="D182">
            <v>50</v>
          </cell>
          <cell r="E182">
            <v>0.5</v>
          </cell>
          <cell r="F182">
            <v>50.5</v>
          </cell>
        </row>
        <row r="183">
          <cell r="B183" t="str">
            <v>Aluminium Extrusions (Natural Anodized)</v>
          </cell>
        </row>
        <row r="184">
          <cell r="A184">
            <v>1501</v>
          </cell>
          <cell r="B184" t="str">
            <v>70S-1101-1 (NA)</v>
          </cell>
          <cell r="C184" t="str">
            <v>m</v>
          </cell>
          <cell r="D184">
            <v>450.61</v>
          </cell>
          <cell r="E184">
            <v>4.51</v>
          </cell>
          <cell r="F184">
            <v>455</v>
          </cell>
        </row>
        <row r="185">
          <cell r="A185">
            <v>1502</v>
          </cell>
          <cell r="B185" t="str">
            <v>70S-1001-1 (NA)</v>
          </cell>
          <cell r="C185" t="str">
            <v>m</v>
          </cell>
          <cell r="D185">
            <v>461.07</v>
          </cell>
          <cell r="E185">
            <v>4.6100000000000003</v>
          </cell>
          <cell r="F185">
            <v>465.5</v>
          </cell>
        </row>
        <row r="186">
          <cell r="A186">
            <v>1503</v>
          </cell>
          <cell r="B186" t="str">
            <v>70S-1201-1 (NA)</v>
          </cell>
          <cell r="C186" t="str">
            <v>m</v>
          </cell>
          <cell r="D186">
            <v>375.07</v>
          </cell>
          <cell r="E186">
            <v>3.75</v>
          </cell>
          <cell r="F186">
            <v>378</v>
          </cell>
        </row>
        <row r="187">
          <cell r="A187">
            <v>1504</v>
          </cell>
          <cell r="B187" t="str">
            <v>70S-1604 (NA)</v>
          </cell>
          <cell r="C187" t="str">
            <v>m</v>
          </cell>
          <cell r="D187">
            <v>367.07</v>
          </cell>
          <cell r="E187">
            <v>3.67</v>
          </cell>
          <cell r="F187">
            <v>371</v>
          </cell>
        </row>
        <row r="188">
          <cell r="A188">
            <v>1505</v>
          </cell>
          <cell r="B188" t="str">
            <v>70S-1704 (NA)</v>
          </cell>
          <cell r="C188" t="str">
            <v>m</v>
          </cell>
          <cell r="D188">
            <v>346.61</v>
          </cell>
          <cell r="E188">
            <v>3.47</v>
          </cell>
          <cell r="F188">
            <v>350</v>
          </cell>
        </row>
        <row r="189">
          <cell r="A189">
            <v>1506</v>
          </cell>
          <cell r="B189" t="str">
            <v>70S-1503A (NA)</v>
          </cell>
          <cell r="C189" t="str">
            <v>m</v>
          </cell>
          <cell r="D189">
            <v>433.38</v>
          </cell>
          <cell r="E189">
            <v>4.33</v>
          </cell>
          <cell r="F189">
            <v>438</v>
          </cell>
        </row>
        <row r="190">
          <cell r="A190">
            <v>1507</v>
          </cell>
          <cell r="B190" t="str">
            <v>70S-1401-1 (NA)</v>
          </cell>
          <cell r="C190" t="str">
            <v>m</v>
          </cell>
          <cell r="D190">
            <v>306.76</v>
          </cell>
          <cell r="E190">
            <v>3.07</v>
          </cell>
          <cell r="F190">
            <v>310</v>
          </cell>
        </row>
        <row r="191">
          <cell r="A191">
            <v>1508</v>
          </cell>
          <cell r="B191" t="str">
            <v>70SF-1006 (NA)</v>
          </cell>
          <cell r="C191" t="str">
            <v>m</v>
          </cell>
          <cell r="D191">
            <v>727.23</v>
          </cell>
          <cell r="E191">
            <v>7.27</v>
          </cell>
          <cell r="F191">
            <v>734.5</v>
          </cell>
        </row>
        <row r="192">
          <cell r="A192">
            <v>1509</v>
          </cell>
          <cell r="B192" t="str">
            <v>70SF-1201A (NA)</v>
          </cell>
          <cell r="C192" t="str">
            <v>m</v>
          </cell>
          <cell r="D192">
            <v>254</v>
          </cell>
          <cell r="E192">
            <v>2.54</v>
          </cell>
          <cell r="F192">
            <v>256.5</v>
          </cell>
        </row>
        <row r="193">
          <cell r="A193">
            <v>1510</v>
          </cell>
          <cell r="B193" t="str">
            <v>70SF-1201B (NA)</v>
          </cell>
          <cell r="C193" t="str">
            <v>m</v>
          </cell>
          <cell r="D193">
            <v>254</v>
          </cell>
          <cell r="E193">
            <v>2.54</v>
          </cell>
          <cell r="F193">
            <v>256.5</v>
          </cell>
        </row>
        <row r="194">
          <cell r="A194">
            <v>1511</v>
          </cell>
          <cell r="B194" t="str">
            <v>DG-02 (NA)</v>
          </cell>
          <cell r="C194" t="str">
            <v>m</v>
          </cell>
          <cell r="D194">
            <v>229.18</v>
          </cell>
          <cell r="E194">
            <v>2.29</v>
          </cell>
          <cell r="F194">
            <v>231.5</v>
          </cell>
        </row>
        <row r="195">
          <cell r="A195">
            <v>1512</v>
          </cell>
          <cell r="B195" t="str">
            <v>DG-102 (NA)</v>
          </cell>
          <cell r="C195" t="str">
            <v>m</v>
          </cell>
          <cell r="D195">
            <v>204.91</v>
          </cell>
          <cell r="E195">
            <v>2.0499999999999998</v>
          </cell>
          <cell r="F195">
            <v>207</v>
          </cell>
        </row>
        <row r="196">
          <cell r="A196">
            <v>1513</v>
          </cell>
          <cell r="B196" t="str">
            <v>CA-1001(NA)</v>
          </cell>
          <cell r="C196" t="str">
            <v>m</v>
          </cell>
          <cell r="D196">
            <v>569.01</v>
          </cell>
          <cell r="E196">
            <v>5.69</v>
          </cell>
          <cell r="F196">
            <v>574.5</v>
          </cell>
        </row>
        <row r="197">
          <cell r="A197">
            <v>1514</v>
          </cell>
          <cell r="B197" t="str">
            <v>CA-1002 (NA)</v>
          </cell>
          <cell r="C197" t="str">
            <v>m</v>
          </cell>
          <cell r="D197">
            <v>889.34</v>
          </cell>
          <cell r="E197">
            <v>8.89</v>
          </cell>
          <cell r="F197">
            <v>898</v>
          </cell>
        </row>
        <row r="198">
          <cell r="A198">
            <v>1515</v>
          </cell>
          <cell r="B198" t="str">
            <v>100D-1914 (NA)</v>
          </cell>
          <cell r="C198" t="str">
            <v>m</v>
          </cell>
          <cell r="D198">
            <v>124.61</v>
          </cell>
          <cell r="E198">
            <v>1.25</v>
          </cell>
          <cell r="F198">
            <v>126</v>
          </cell>
        </row>
        <row r="199">
          <cell r="A199">
            <v>1516</v>
          </cell>
          <cell r="B199" t="str">
            <v>CA-1007 (NA)</v>
          </cell>
          <cell r="C199" t="str">
            <v>m</v>
          </cell>
          <cell r="D199">
            <v>255.24</v>
          </cell>
          <cell r="E199">
            <v>2.5499999999999998</v>
          </cell>
          <cell r="F199">
            <v>258</v>
          </cell>
        </row>
        <row r="200">
          <cell r="A200">
            <v>1517</v>
          </cell>
          <cell r="B200" t="str">
            <v>CA-1008 (NA)</v>
          </cell>
          <cell r="C200" t="str">
            <v>m</v>
          </cell>
          <cell r="D200">
            <v>433.28</v>
          </cell>
          <cell r="E200">
            <v>4.33</v>
          </cell>
          <cell r="F200">
            <v>437.5</v>
          </cell>
        </row>
        <row r="201">
          <cell r="A201">
            <v>1518</v>
          </cell>
          <cell r="B201" t="str">
            <v>CA-2005 (NA)</v>
          </cell>
          <cell r="C201" t="str">
            <v>m</v>
          </cell>
          <cell r="D201">
            <v>485.08</v>
          </cell>
          <cell r="E201">
            <v>4.8499999999999996</v>
          </cell>
          <cell r="F201">
            <v>490</v>
          </cell>
        </row>
        <row r="202">
          <cell r="A202">
            <v>1519</v>
          </cell>
          <cell r="B202" t="str">
            <v>A-111 (MF)</v>
          </cell>
          <cell r="C202" t="str">
            <v>m</v>
          </cell>
          <cell r="D202">
            <v>392.87</v>
          </cell>
          <cell r="E202">
            <v>3.93</v>
          </cell>
          <cell r="F202">
            <v>397</v>
          </cell>
        </row>
        <row r="203">
          <cell r="A203">
            <v>1520</v>
          </cell>
          <cell r="B203" t="str">
            <v>DG-01 (NA)</v>
          </cell>
          <cell r="C203" t="str">
            <v>m</v>
          </cell>
          <cell r="D203">
            <v>219.18</v>
          </cell>
          <cell r="E203">
            <v>2.19</v>
          </cell>
          <cell r="F203">
            <v>221.5</v>
          </cell>
        </row>
        <row r="204">
          <cell r="A204">
            <v>1521</v>
          </cell>
          <cell r="B204" t="str">
            <v>DG-101(NA)</v>
          </cell>
          <cell r="C204" t="str">
            <v>m</v>
          </cell>
          <cell r="D204">
            <v>189.01</v>
          </cell>
          <cell r="E204">
            <v>1.89</v>
          </cell>
          <cell r="F204">
            <v>191</v>
          </cell>
        </row>
        <row r="205">
          <cell r="A205">
            <v>1522</v>
          </cell>
          <cell r="B205" t="str">
            <v>CA-2004 (NA)</v>
          </cell>
          <cell r="C205" t="str">
            <v>m</v>
          </cell>
          <cell r="D205">
            <v>332.78</v>
          </cell>
          <cell r="E205">
            <v>3.33</v>
          </cell>
          <cell r="F205">
            <v>336</v>
          </cell>
        </row>
        <row r="206">
          <cell r="A206">
            <v>1523</v>
          </cell>
          <cell r="B206" t="str">
            <v>GL-107 (NA)</v>
          </cell>
          <cell r="C206" t="str">
            <v>m</v>
          </cell>
          <cell r="D206">
            <v>130.82</v>
          </cell>
          <cell r="E206">
            <v>1.31</v>
          </cell>
          <cell r="F206">
            <v>132</v>
          </cell>
        </row>
        <row r="207">
          <cell r="A207">
            <v>1524</v>
          </cell>
          <cell r="B207" t="str">
            <v>CA-1003 (NA)</v>
          </cell>
          <cell r="C207" t="str">
            <v>m</v>
          </cell>
          <cell r="D207">
            <v>352.13</v>
          </cell>
          <cell r="E207">
            <v>3.52</v>
          </cell>
          <cell r="F207">
            <v>355.5</v>
          </cell>
        </row>
        <row r="208">
          <cell r="A208">
            <v>1525</v>
          </cell>
          <cell r="B208" t="str">
            <v>CA-1004 (NA)</v>
          </cell>
          <cell r="C208" t="str">
            <v>m</v>
          </cell>
          <cell r="D208">
            <v>526.39</v>
          </cell>
          <cell r="E208">
            <v>5.26</v>
          </cell>
          <cell r="F208">
            <v>531.5</v>
          </cell>
        </row>
        <row r="209">
          <cell r="A209">
            <v>1526</v>
          </cell>
          <cell r="B209" t="str">
            <v>CA-2006 (NA)</v>
          </cell>
          <cell r="C209" t="str">
            <v>m</v>
          </cell>
          <cell r="D209">
            <v>491.13</v>
          </cell>
          <cell r="E209">
            <v>4.91</v>
          </cell>
          <cell r="F209">
            <v>496</v>
          </cell>
        </row>
        <row r="210">
          <cell r="A210">
            <v>1527</v>
          </cell>
          <cell r="B210" t="str">
            <v>DG-02 (NA)</v>
          </cell>
          <cell r="C210" t="str">
            <v>m</v>
          </cell>
          <cell r="D210">
            <v>229.18</v>
          </cell>
          <cell r="E210">
            <v>2.29</v>
          </cell>
          <cell r="F210">
            <v>231.5</v>
          </cell>
        </row>
        <row r="211">
          <cell r="A211">
            <v>1528</v>
          </cell>
          <cell r="B211" t="str">
            <v>DG-102(NA)</v>
          </cell>
          <cell r="C211" t="str">
            <v>m</v>
          </cell>
          <cell r="D211">
            <v>204.91</v>
          </cell>
          <cell r="E211">
            <v>2.0499999999999998</v>
          </cell>
          <cell r="F211">
            <v>207</v>
          </cell>
        </row>
        <row r="212">
          <cell r="A212">
            <v>1529</v>
          </cell>
          <cell r="B212" t="str">
            <v>CA-1001 (NA)</v>
          </cell>
          <cell r="C212" t="str">
            <v>m</v>
          </cell>
          <cell r="D212">
            <v>569.01</v>
          </cell>
          <cell r="E212">
            <v>5.69</v>
          </cell>
          <cell r="F212">
            <v>574.5</v>
          </cell>
        </row>
        <row r="213">
          <cell r="A213">
            <v>1530</v>
          </cell>
          <cell r="B213" t="str">
            <v>CA-1002 (NA)</v>
          </cell>
          <cell r="C213" t="str">
            <v>m</v>
          </cell>
          <cell r="D213">
            <v>889.34</v>
          </cell>
          <cell r="E213">
            <v>8.89</v>
          </cell>
          <cell r="F213">
            <v>898</v>
          </cell>
        </row>
        <row r="214">
          <cell r="A214">
            <v>1531</v>
          </cell>
          <cell r="B214" t="str">
            <v>100D-3104 (NA)</v>
          </cell>
          <cell r="C214" t="str">
            <v>m</v>
          </cell>
          <cell r="D214">
            <v>602.61</v>
          </cell>
          <cell r="E214">
            <v>6.03</v>
          </cell>
          <cell r="F214">
            <v>608.5</v>
          </cell>
        </row>
        <row r="215">
          <cell r="A215">
            <v>1532</v>
          </cell>
          <cell r="B215" t="str">
            <v>100D-101 (NA)</v>
          </cell>
          <cell r="C215" t="str">
            <v>m</v>
          </cell>
          <cell r="D215">
            <v>823.23</v>
          </cell>
          <cell r="E215">
            <v>8.23</v>
          </cell>
          <cell r="F215">
            <v>831.5</v>
          </cell>
        </row>
        <row r="216">
          <cell r="A216">
            <v>1533</v>
          </cell>
          <cell r="B216" t="str">
            <v>100D-102 (NA)</v>
          </cell>
          <cell r="C216" t="str">
            <v>m</v>
          </cell>
          <cell r="D216">
            <v>862.3</v>
          </cell>
          <cell r="E216">
            <v>8.6199999999999992</v>
          </cell>
          <cell r="F216">
            <v>871</v>
          </cell>
        </row>
        <row r="217">
          <cell r="A217">
            <v>1534</v>
          </cell>
          <cell r="B217" t="str">
            <v>100D-201 (NA)</v>
          </cell>
          <cell r="C217" t="str">
            <v>m</v>
          </cell>
          <cell r="D217">
            <v>796.92</v>
          </cell>
          <cell r="E217">
            <v>7.97</v>
          </cell>
          <cell r="F217">
            <v>805</v>
          </cell>
        </row>
        <row r="218">
          <cell r="A218">
            <v>1535</v>
          </cell>
          <cell r="B218" t="str">
            <v>100D-301 (NA)</v>
          </cell>
          <cell r="C218" t="str">
            <v>m</v>
          </cell>
          <cell r="D218">
            <v>946.61</v>
          </cell>
          <cell r="E218">
            <v>9.4700000000000006</v>
          </cell>
          <cell r="F218">
            <v>956</v>
          </cell>
        </row>
        <row r="219">
          <cell r="A219">
            <v>1536</v>
          </cell>
          <cell r="B219" t="str">
            <v>100D-401 (NA)</v>
          </cell>
          <cell r="C219" t="str">
            <v>m</v>
          </cell>
          <cell r="D219">
            <v>1048.3</v>
          </cell>
          <cell r="E219">
            <v>10.48</v>
          </cell>
          <cell r="F219">
            <v>1059</v>
          </cell>
        </row>
        <row r="220">
          <cell r="A220">
            <v>1537</v>
          </cell>
          <cell r="B220" t="str">
            <v>100D-501 (NA)</v>
          </cell>
          <cell r="C220" t="str">
            <v>m</v>
          </cell>
          <cell r="D220">
            <v>112.15</v>
          </cell>
          <cell r="E220">
            <v>1.1200000000000001</v>
          </cell>
          <cell r="F220">
            <v>113.5</v>
          </cell>
        </row>
        <row r="221">
          <cell r="A221">
            <v>1538</v>
          </cell>
          <cell r="B221" t="str">
            <v>70D-1910 (NA)</v>
          </cell>
          <cell r="C221" t="str">
            <v>m</v>
          </cell>
          <cell r="D221">
            <v>128.30000000000001</v>
          </cell>
          <cell r="E221">
            <v>1.28</v>
          </cell>
          <cell r="F221">
            <v>129.5</v>
          </cell>
        </row>
        <row r="222">
          <cell r="A222">
            <v>1539</v>
          </cell>
          <cell r="B222" t="str">
            <v>100D-3503A (NA)</v>
          </cell>
          <cell r="C222" t="str">
            <v>m</v>
          </cell>
          <cell r="D222">
            <v>596.91999999999996</v>
          </cell>
          <cell r="E222">
            <v>5.97</v>
          </cell>
          <cell r="F222">
            <v>603</v>
          </cell>
        </row>
        <row r="223">
          <cell r="A223">
            <v>1540</v>
          </cell>
          <cell r="B223" t="str">
            <v>100D-3004A (NA)</v>
          </cell>
          <cell r="C223" t="str">
            <v>m</v>
          </cell>
          <cell r="D223">
            <v>704.3</v>
          </cell>
          <cell r="E223">
            <v>7.04</v>
          </cell>
          <cell r="F223">
            <v>711</v>
          </cell>
        </row>
        <row r="224">
          <cell r="A224">
            <v>1541</v>
          </cell>
          <cell r="B224" t="str">
            <v>100D-3207 (NA)</v>
          </cell>
          <cell r="C224" t="str">
            <v>m</v>
          </cell>
          <cell r="D224">
            <v>918.15</v>
          </cell>
          <cell r="E224">
            <v>9.18</v>
          </cell>
          <cell r="F224">
            <v>937.5</v>
          </cell>
        </row>
        <row r="225">
          <cell r="A225">
            <v>1542</v>
          </cell>
          <cell r="B225" t="str">
            <v>100D-3503 (NA)</v>
          </cell>
          <cell r="C225" t="str">
            <v>m</v>
          </cell>
          <cell r="D225">
            <v>651.69000000000005</v>
          </cell>
          <cell r="E225">
            <v>6.52</v>
          </cell>
          <cell r="F225">
            <v>658</v>
          </cell>
        </row>
        <row r="226">
          <cell r="A226">
            <v>1543</v>
          </cell>
          <cell r="B226" t="str">
            <v>100D-1914 (NA)</v>
          </cell>
          <cell r="C226" t="str">
            <v>m</v>
          </cell>
          <cell r="D226">
            <v>124.61</v>
          </cell>
          <cell r="E226">
            <v>1.25</v>
          </cell>
          <cell r="F226">
            <v>126</v>
          </cell>
        </row>
        <row r="227">
          <cell r="A227">
            <v>1544</v>
          </cell>
          <cell r="B227" t="str">
            <v>100D-3203 (NA)</v>
          </cell>
          <cell r="C227" t="str">
            <v>m</v>
          </cell>
          <cell r="D227">
            <v>693.07</v>
          </cell>
          <cell r="E227">
            <v>6.93</v>
          </cell>
          <cell r="F227">
            <v>700</v>
          </cell>
        </row>
        <row r="228">
          <cell r="A228">
            <v>1545</v>
          </cell>
          <cell r="B228" t="str">
            <v>70S-1002-1(NA)</v>
          </cell>
          <cell r="C228" t="str">
            <v>m</v>
          </cell>
          <cell r="D228">
            <v>323.83999999999997</v>
          </cell>
          <cell r="E228">
            <v>3.24</v>
          </cell>
          <cell r="F228">
            <v>327</v>
          </cell>
        </row>
        <row r="229">
          <cell r="A229">
            <v>1546</v>
          </cell>
          <cell r="B229" t="str">
            <v>70S-1102-1 (NA)</v>
          </cell>
          <cell r="C229" t="str">
            <v>m</v>
          </cell>
          <cell r="D229">
            <v>236.92</v>
          </cell>
          <cell r="E229">
            <v>2.37</v>
          </cell>
          <cell r="F229">
            <v>239.5</v>
          </cell>
        </row>
        <row r="230">
          <cell r="A230">
            <v>1547</v>
          </cell>
          <cell r="B230" t="str">
            <v>70S-1202-1(NA)</v>
          </cell>
          <cell r="C230" t="str">
            <v>m</v>
          </cell>
          <cell r="D230">
            <v>236.92</v>
          </cell>
          <cell r="E230">
            <v>2.37</v>
          </cell>
          <cell r="F230">
            <v>239.5</v>
          </cell>
        </row>
        <row r="231">
          <cell r="A231">
            <v>1548</v>
          </cell>
          <cell r="B231" t="str">
            <v>70S-1704A (NA)</v>
          </cell>
          <cell r="C231" t="str">
            <v>m</v>
          </cell>
          <cell r="D231">
            <v>441.38</v>
          </cell>
          <cell r="E231">
            <v>4.41</v>
          </cell>
          <cell r="F231">
            <v>446</v>
          </cell>
        </row>
        <row r="232">
          <cell r="A232">
            <v>1549</v>
          </cell>
          <cell r="B232" t="str">
            <v>70S-1402-1 (NA)</v>
          </cell>
          <cell r="C232" t="str">
            <v>m</v>
          </cell>
          <cell r="D232">
            <v>299.52999999999997</v>
          </cell>
          <cell r="E232">
            <v>3</v>
          </cell>
          <cell r="F232">
            <v>302.5</v>
          </cell>
        </row>
        <row r="233">
          <cell r="A233">
            <v>1550</v>
          </cell>
          <cell r="B233" t="str">
            <v>70S-1801 (NA)</v>
          </cell>
          <cell r="C233" t="str">
            <v>m</v>
          </cell>
          <cell r="D233">
            <v>281.38</v>
          </cell>
          <cell r="E233">
            <v>2.81</v>
          </cell>
          <cell r="F233">
            <v>284</v>
          </cell>
        </row>
        <row r="234">
          <cell r="A234">
            <v>1551</v>
          </cell>
          <cell r="B234" t="str">
            <v>70S-1101-2 (NA)</v>
          </cell>
          <cell r="C234" t="str">
            <v>m</v>
          </cell>
          <cell r="D234">
            <v>466.46</v>
          </cell>
          <cell r="E234">
            <v>4.66</v>
          </cell>
          <cell r="F234">
            <v>471</v>
          </cell>
        </row>
        <row r="235">
          <cell r="A235">
            <v>1552</v>
          </cell>
          <cell r="B235" t="str">
            <v>70S-1001-1 (NA)</v>
          </cell>
          <cell r="C235" t="str">
            <v>m</v>
          </cell>
          <cell r="D235">
            <v>461.07</v>
          </cell>
          <cell r="E235">
            <v>4.6100000000000003</v>
          </cell>
          <cell r="F235">
            <v>465.5</v>
          </cell>
        </row>
        <row r="236">
          <cell r="A236">
            <v>1553</v>
          </cell>
          <cell r="B236" t="str">
            <v>70S-1704A (NA)</v>
          </cell>
          <cell r="C236" t="str">
            <v>m</v>
          </cell>
          <cell r="D236">
            <v>441.38</v>
          </cell>
          <cell r="E236">
            <v>4.41</v>
          </cell>
          <cell r="F236">
            <v>446</v>
          </cell>
        </row>
        <row r="237">
          <cell r="A237">
            <v>1554</v>
          </cell>
          <cell r="B237" t="str">
            <v>70S-1401-1 (NA)</v>
          </cell>
          <cell r="C237" t="str">
            <v>m</v>
          </cell>
          <cell r="D237">
            <v>306.76</v>
          </cell>
          <cell r="E237">
            <v>3.07</v>
          </cell>
          <cell r="F237">
            <v>310</v>
          </cell>
        </row>
        <row r="238">
          <cell r="A238">
            <v>1555</v>
          </cell>
          <cell r="B238" t="str">
            <v>70S-1201-1 (NA)</v>
          </cell>
          <cell r="C238" t="str">
            <v>m</v>
          </cell>
          <cell r="D238">
            <v>375.07</v>
          </cell>
          <cell r="E238">
            <v>3.75</v>
          </cell>
          <cell r="F238">
            <v>379</v>
          </cell>
        </row>
        <row r="239">
          <cell r="A239">
            <v>1556</v>
          </cell>
          <cell r="B239" t="str">
            <v>70S-1604 (NA)</v>
          </cell>
          <cell r="C239" t="str">
            <v>m</v>
          </cell>
          <cell r="D239">
            <v>367.07</v>
          </cell>
          <cell r="E239">
            <v>3.67</v>
          </cell>
          <cell r="F239">
            <v>371</v>
          </cell>
        </row>
        <row r="240">
          <cell r="A240">
            <v>1557</v>
          </cell>
          <cell r="B240" t="str">
            <v>70S-1801 (NA)</v>
          </cell>
          <cell r="C240" t="str">
            <v>m</v>
          </cell>
          <cell r="D240">
            <v>281.38</v>
          </cell>
          <cell r="E240">
            <v>2.81</v>
          </cell>
          <cell r="F240">
            <v>284</v>
          </cell>
        </row>
        <row r="241">
          <cell r="A241">
            <v>1558</v>
          </cell>
          <cell r="B241" t="str">
            <v>PT-5157 (NA)</v>
          </cell>
          <cell r="C241" t="str">
            <v>m</v>
          </cell>
          <cell r="D241">
            <v>306.39</v>
          </cell>
          <cell r="E241">
            <v>3.06</v>
          </cell>
          <cell r="F241">
            <v>309.5</v>
          </cell>
        </row>
        <row r="242">
          <cell r="A242">
            <v>1559</v>
          </cell>
          <cell r="B242" t="str">
            <v>PT-5158 (NA)</v>
          </cell>
          <cell r="C242" t="str">
            <v>m</v>
          </cell>
          <cell r="D242">
            <v>226.72</v>
          </cell>
          <cell r="E242">
            <v>2.27</v>
          </cell>
          <cell r="F242">
            <v>229</v>
          </cell>
        </row>
        <row r="243">
          <cell r="A243">
            <v>1560</v>
          </cell>
          <cell r="B243" t="str">
            <v>PT-5153 (NA)</v>
          </cell>
          <cell r="C243" t="str">
            <v>m</v>
          </cell>
          <cell r="D243">
            <v>82.78</v>
          </cell>
          <cell r="E243">
            <v>0.83</v>
          </cell>
          <cell r="F243">
            <v>83.5</v>
          </cell>
        </row>
        <row r="244">
          <cell r="A244">
            <v>1561</v>
          </cell>
          <cell r="B244" t="str">
            <v>PT-5154 (NA)</v>
          </cell>
          <cell r="C244" t="str">
            <v>m</v>
          </cell>
          <cell r="D244">
            <v>169.34</v>
          </cell>
          <cell r="E244">
            <v>1.69</v>
          </cell>
          <cell r="F244">
            <v>171</v>
          </cell>
        </row>
        <row r="245">
          <cell r="A245">
            <v>1562</v>
          </cell>
          <cell r="B245" t="str">
            <v>A-110A (MF)</v>
          </cell>
          <cell r="C245" t="str">
            <v>m</v>
          </cell>
          <cell r="D245">
            <v>287.37</v>
          </cell>
          <cell r="E245">
            <v>2.87</v>
          </cell>
          <cell r="F245">
            <v>290</v>
          </cell>
        </row>
        <row r="246">
          <cell r="B246" t="str">
            <v>Aluminium Extrusions (Bronze Anodized)</v>
          </cell>
        </row>
        <row r="247">
          <cell r="A247">
            <v>1601</v>
          </cell>
          <cell r="B247" t="str">
            <v>70S-1101-1 (BA)</v>
          </cell>
          <cell r="C247" t="str">
            <v>m</v>
          </cell>
          <cell r="D247">
            <v>458.61</v>
          </cell>
          <cell r="E247">
            <v>4.59</v>
          </cell>
          <cell r="F247">
            <v>463</v>
          </cell>
        </row>
        <row r="248">
          <cell r="A248">
            <v>1602</v>
          </cell>
          <cell r="B248" t="str">
            <v>70S-1001-1 (BA)</v>
          </cell>
          <cell r="C248" t="str">
            <v>m</v>
          </cell>
          <cell r="D248">
            <v>469.38</v>
          </cell>
          <cell r="E248">
            <v>4.6900000000000004</v>
          </cell>
          <cell r="F248">
            <v>474</v>
          </cell>
        </row>
        <row r="249">
          <cell r="A249">
            <v>1603</v>
          </cell>
          <cell r="B249" t="str">
            <v>70S-1201-1 (BA)</v>
          </cell>
          <cell r="C249" t="str">
            <v>m</v>
          </cell>
          <cell r="D249">
            <v>382</v>
          </cell>
          <cell r="E249">
            <v>3.82</v>
          </cell>
          <cell r="F249">
            <v>386</v>
          </cell>
        </row>
        <row r="250">
          <cell r="A250">
            <v>1604</v>
          </cell>
          <cell r="B250" t="str">
            <v>70S-1604 (BA)</v>
          </cell>
          <cell r="C250" t="str">
            <v>m</v>
          </cell>
          <cell r="D250">
            <v>373.85</v>
          </cell>
          <cell r="E250">
            <v>3.74</v>
          </cell>
          <cell r="F250">
            <v>377.5</v>
          </cell>
        </row>
        <row r="251">
          <cell r="A251">
            <v>1605</v>
          </cell>
          <cell r="B251" t="str">
            <v>70S-1704 (BA)</v>
          </cell>
          <cell r="C251" t="str">
            <v>m</v>
          </cell>
          <cell r="D251">
            <v>352.77</v>
          </cell>
          <cell r="E251">
            <v>3.53</v>
          </cell>
          <cell r="F251">
            <v>356.5</v>
          </cell>
        </row>
        <row r="252">
          <cell r="A252">
            <v>1606</v>
          </cell>
          <cell r="B252" t="str">
            <v>70S-1503A (BA)</v>
          </cell>
          <cell r="C252" t="str">
            <v>m</v>
          </cell>
          <cell r="D252">
            <v>441.38</v>
          </cell>
          <cell r="E252">
            <v>4.41</v>
          </cell>
          <cell r="F252">
            <v>446</v>
          </cell>
        </row>
        <row r="253">
          <cell r="A253">
            <v>1607</v>
          </cell>
          <cell r="B253" t="str">
            <v>70S-1401-1 (BA)</v>
          </cell>
          <cell r="C253" t="str">
            <v>m</v>
          </cell>
          <cell r="D253">
            <v>312</v>
          </cell>
          <cell r="E253">
            <v>3.12</v>
          </cell>
          <cell r="F253">
            <v>315</v>
          </cell>
        </row>
        <row r="254">
          <cell r="A254">
            <v>1608</v>
          </cell>
          <cell r="B254" t="str">
            <v>70SF-1006 (BA)</v>
          </cell>
          <cell r="C254" t="str">
            <v>m</v>
          </cell>
          <cell r="D254">
            <v>740.46</v>
          </cell>
          <cell r="E254">
            <v>7.4</v>
          </cell>
          <cell r="F254">
            <v>748</v>
          </cell>
        </row>
        <row r="255">
          <cell r="A255">
            <v>1609</v>
          </cell>
          <cell r="B255" t="str">
            <v>70SF-1201A (BA)</v>
          </cell>
          <cell r="C255" t="str">
            <v>m</v>
          </cell>
          <cell r="D255">
            <v>258.14999999999998</v>
          </cell>
          <cell r="E255">
            <v>2.58</v>
          </cell>
          <cell r="F255">
            <v>261</v>
          </cell>
        </row>
        <row r="256">
          <cell r="A256">
            <v>1610</v>
          </cell>
          <cell r="B256" t="str">
            <v>70SF-1201B (BA)</v>
          </cell>
          <cell r="C256" t="str">
            <v>m</v>
          </cell>
          <cell r="D256">
            <v>258.14999999999998</v>
          </cell>
          <cell r="E256">
            <v>2.58</v>
          </cell>
          <cell r="F256">
            <v>260.5</v>
          </cell>
        </row>
        <row r="257">
          <cell r="A257">
            <v>1611</v>
          </cell>
          <cell r="B257" t="str">
            <v>DG-02 (BA)</v>
          </cell>
          <cell r="C257" t="str">
            <v>m</v>
          </cell>
          <cell r="D257">
            <v>233.6</v>
          </cell>
          <cell r="E257">
            <v>2.34</v>
          </cell>
          <cell r="F257">
            <v>236</v>
          </cell>
        </row>
        <row r="258">
          <cell r="A258">
            <v>1612</v>
          </cell>
          <cell r="B258" t="str">
            <v>DG-102 (BA)</v>
          </cell>
          <cell r="C258" t="str">
            <v>m</v>
          </cell>
          <cell r="D258">
            <v>208.52</v>
          </cell>
          <cell r="E258">
            <v>2.09</v>
          </cell>
          <cell r="F258">
            <v>210.5</v>
          </cell>
        </row>
        <row r="259">
          <cell r="A259">
            <v>1613</v>
          </cell>
          <cell r="B259" t="str">
            <v>CA-1001(BA)</v>
          </cell>
          <cell r="C259" t="str">
            <v>m</v>
          </cell>
          <cell r="D259">
            <v>579.51</v>
          </cell>
          <cell r="E259">
            <v>5.8</v>
          </cell>
          <cell r="F259">
            <v>585.5</v>
          </cell>
        </row>
        <row r="260">
          <cell r="A260">
            <v>1614</v>
          </cell>
          <cell r="B260" t="str">
            <v>CA-1002 (BA)</v>
          </cell>
          <cell r="C260" t="str">
            <v>m</v>
          </cell>
          <cell r="D260">
            <v>905.57</v>
          </cell>
          <cell r="E260">
            <v>9.06</v>
          </cell>
          <cell r="F260">
            <v>914.5</v>
          </cell>
        </row>
        <row r="261">
          <cell r="A261">
            <v>1615</v>
          </cell>
          <cell r="B261" t="str">
            <v>100D-1914 (BA)</v>
          </cell>
          <cell r="C261" t="str">
            <v>m</v>
          </cell>
          <cell r="D261">
            <v>127.07</v>
          </cell>
          <cell r="E261">
            <v>1.27</v>
          </cell>
          <cell r="F261">
            <v>128.5</v>
          </cell>
        </row>
        <row r="262">
          <cell r="A262">
            <v>1616</v>
          </cell>
          <cell r="B262" t="str">
            <v>CA-1007 (BA)</v>
          </cell>
          <cell r="C262" t="str">
            <v>m</v>
          </cell>
          <cell r="D262">
            <v>260.32</v>
          </cell>
          <cell r="E262">
            <v>2.6</v>
          </cell>
          <cell r="F262">
            <v>263</v>
          </cell>
        </row>
        <row r="263">
          <cell r="A263">
            <v>1617</v>
          </cell>
          <cell r="B263" t="str">
            <v>CA-1008 (BA)</v>
          </cell>
          <cell r="C263" t="str">
            <v>m</v>
          </cell>
          <cell r="D263">
            <v>441.8</v>
          </cell>
          <cell r="E263">
            <v>4.42</v>
          </cell>
          <cell r="F263">
            <v>446</v>
          </cell>
        </row>
        <row r="264">
          <cell r="A264">
            <v>1618</v>
          </cell>
          <cell r="B264" t="str">
            <v>CA-2005 (BA)</v>
          </cell>
          <cell r="C264" t="str">
            <v>m</v>
          </cell>
          <cell r="D264">
            <v>493.6</v>
          </cell>
          <cell r="E264">
            <v>4.9400000000000004</v>
          </cell>
          <cell r="F264">
            <v>498.5</v>
          </cell>
        </row>
        <row r="265">
          <cell r="A265">
            <v>1619</v>
          </cell>
          <cell r="B265" t="str">
            <v>A-111 (MF)</v>
          </cell>
          <cell r="C265" t="str">
            <v>m</v>
          </cell>
          <cell r="D265">
            <v>392.88</v>
          </cell>
          <cell r="E265">
            <v>3.93</v>
          </cell>
          <cell r="F265">
            <v>397</v>
          </cell>
        </row>
        <row r="266">
          <cell r="A266">
            <v>1620</v>
          </cell>
          <cell r="B266" t="str">
            <v>DG-01 (BA)</v>
          </cell>
          <cell r="C266" t="str">
            <v>m</v>
          </cell>
          <cell r="D266">
            <v>223.44</v>
          </cell>
          <cell r="E266">
            <v>2.23</v>
          </cell>
          <cell r="F266">
            <v>225.5</v>
          </cell>
        </row>
        <row r="267">
          <cell r="A267">
            <v>1621</v>
          </cell>
          <cell r="B267" t="str">
            <v>DG-101(BA)</v>
          </cell>
          <cell r="C267" t="str">
            <v>m</v>
          </cell>
          <cell r="D267">
            <v>192.46</v>
          </cell>
          <cell r="E267">
            <v>1.92</v>
          </cell>
          <cell r="F267">
            <v>194.5</v>
          </cell>
        </row>
        <row r="268">
          <cell r="A268">
            <v>1622</v>
          </cell>
          <cell r="B268" t="str">
            <v>CA-2004 (BA)</v>
          </cell>
          <cell r="C268" t="str">
            <v>m</v>
          </cell>
          <cell r="D268">
            <v>339.01</v>
          </cell>
          <cell r="E268">
            <v>3.39</v>
          </cell>
          <cell r="F268">
            <v>342.5</v>
          </cell>
        </row>
        <row r="269">
          <cell r="A269">
            <v>1623</v>
          </cell>
          <cell r="B269" t="str">
            <v>GL-107 (BA)</v>
          </cell>
          <cell r="C269" t="str">
            <v>m</v>
          </cell>
          <cell r="D269">
            <v>132.94999999999999</v>
          </cell>
          <cell r="E269">
            <v>1.33</v>
          </cell>
          <cell r="F269">
            <v>134.5</v>
          </cell>
        </row>
        <row r="270">
          <cell r="A270">
            <v>1624</v>
          </cell>
          <cell r="B270" t="str">
            <v>CA-1003 (BA)</v>
          </cell>
          <cell r="C270" t="str">
            <v>m</v>
          </cell>
          <cell r="D270">
            <v>358.69</v>
          </cell>
          <cell r="E270">
            <v>3.59</v>
          </cell>
          <cell r="F270">
            <v>362.5</v>
          </cell>
        </row>
        <row r="271">
          <cell r="A271">
            <v>1625</v>
          </cell>
          <cell r="B271" t="str">
            <v>CA-1004 (BA)</v>
          </cell>
          <cell r="C271" t="str">
            <v>m</v>
          </cell>
          <cell r="D271">
            <v>535.9</v>
          </cell>
          <cell r="E271">
            <v>5.36</v>
          </cell>
          <cell r="F271">
            <v>541.5</v>
          </cell>
        </row>
        <row r="272">
          <cell r="A272">
            <v>1626</v>
          </cell>
          <cell r="B272" t="str">
            <v>CA-2006 (BA)</v>
          </cell>
          <cell r="C272" t="str">
            <v>m</v>
          </cell>
          <cell r="D272">
            <v>501.31</v>
          </cell>
          <cell r="E272">
            <v>5.01</v>
          </cell>
          <cell r="F272">
            <v>506.5</v>
          </cell>
        </row>
        <row r="273">
          <cell r="A273">
            <v>1627</v>
          </cell>
          <cell r="B273" t="str">
            <v>DG-02 (BA)</v>
          </cell>
          <cell r="C273" t="str">
            <v>m</v>
          </cell>
          <cell r="D273">
            <v>233.6</v>
          </cell>
          <cell r="E273">
            <v>2.34</v>
          </cell>
          <cell r="F273">
            <v>236</v>
          </cell>
        </row>
        <row r="274">
          <cell r="A274">
            <v>1628</v>
          </cell>
          <cell r="B274" t="str">
            <v>DG-102(BA)</v>
          </cell>
          <cell r="C274" t="str">
            <v>m</v>
          </cell>
          <cell r="D274">
            <v>208.52</v>
          </cell>
          <cell r="E274">
            <v>2.09</v>
          </cell>
          <cell r="F274">
            <v>210.5</v>
          </cell>
        </row>
        <row r="275">
          <cell r="A275">
            <v>1629</v>
          </cell>
          <cell r="B275" t="str">
            <v>CA-1001 (BA)</v>
          </cell>
          <cell r="C275" t="str">
            <v>m</v>
          </cell>
          <cell r="D275">
            <v>579.51</v>
          </cell>
          <cell r="E275">
            <v>5.8</v>
          </cell>
          <cell r="F275">
            <v>585.5</v>
          </cell>
        </row>
        <row r="276">
          <cell r="A276">
            <v>1630</v>
          </cell>
          <cell r="B276" t="str">
            <v>CA-1002 (BA)</v>
          </cell>
          <cell r="C276" t="str">
            <v>m</v>
          </cell>
          <cell r="D276">
            <v>905.57</v>
          </cell>
          <cell r="E276">
            <v>9.06</v>
          </cell>
          <cell r="F276">
            <v>914.5</v>
          </cell>
        </row>
        <row r="277">
          <cell r="A277">
            <v>1631</v>
          </cell>
          <cell r="B277" t="str">
            <v>100D-3104 (BA)</v>
          </cell>
          <cell r="C277" t="str">
            <v>m</v>
          </cell>
          <cell r="D277">
            <v>613.69000000000005</v>
          </cell>
          <cell r="E277">
            <v>6.14</v>
          </cell>
          <cell r="F277">
            <v>620</v>
          </cell>
        </row>
        <row r="278">
          <cell r="A278">
            <v>1632</v>
          </cell>
          <cell r="B278" t="str">
            <v>100D-101 (BA)</v>
          </cell>
          <cell r="C278" t="str">
            <v>m</v>
          </cell>
          <cell r="D278">
            <v>838.31</v>
          </cell>
          <cell r="E278">
            <v>8.3800000000000008</v>
          </cell>
          <cell r="F278">
            <v>846.5</v>
          </cell>
        </row>
        <row r="279">
          <cell r="A279">
            <v>1633</v>
          </cell>
          <cell r="B279" t="str">
            <v>100D-102 (BA)</v>
          </cell>
          <cell r="C279" t="str">
            <v>m</v>
          </cell>
          <cell r="D279">
            <v>877.85</v>
          </cell>
          <cell r="E279">
            <v>8.7799999999999994</v>
          </cell>
          <cell r="F279">
            <v>886.5</v>
          </cell>
        </row>
        <row r="280">
          <cell r="A280">
            <v>1634</v>
          </cell>
          <cell r="B280" t="str">
            <v>100D-201 (BA)</v>
          </cell>
          <cell r="C280" t="str">
            <v>m</v>
          </cell>
          <cell r="D280">
            <v>811.69</v>
          </cell>
          <cell r="E280">
            <v>8.1199999999999992</v>
          </cell>
          <cell r="F280">
            <v>820</v>
          </cell>
        </row>
        <row r="281">
          <cell r="A281">
            <v>1635</v>
          </cell>
          <cell r="B281" t="str">
            <v>100D-301 (BA)</v>
          </cell>
          <cell r="C281" t="str">
            <v>m</v>
          </cell>
          <cell r="D281">
            <v>964</v>
          </cell>
          <cell r="E281">
            <v>9.64</v>
          </cell>
          <cell r="F281">
            <v>973.5</v>
          </cell>
        </row>
        <row r="282">
          <cell r="A282">
            <v>1636</v>
          </cell>
          <cell r="B282" t="str">
            <v>100D-401 (BA)</v>
          </cell>
          <cell r="C282" t="str">
            <v>m</v>
          </cell>
          <cell r="D282">
            <v>1067.69</v>
          </cell>
          <cell r="E282">
            <v>10.68</v>
          </cell>
          <cell r="F282">
            <v>1078.5</v>
          </cell>
        </row>
        <row r="283">
          <cell r="A283">
            <v>1637</v>
          </cell>
          <cell r="B283" t="str">
            <v>100D-501 (BA)</v>
          </cell>
          <cell r="C283" t="str">
            <v>m</v>
          </cell>
          <cell r="D283">
            <v>114.15</v>
          </cell>
          <cell r="E283">
            <v>1.1399999999999999</v>
          </cell>
          <cell r="F283">
            <v>115.5</v>
          </cell>
        </row>
        <row r="284">
          <cell r="A284">
            <v>1638</v>
          </cell>
          <cell r="B284" t="str">
            <v>70D-1910 (BA)</v>
          </cell>
          <cell r="C284" t="str">
            <v>m</v>
          </cell>
          <cell r="D284">
            <v>130.30000000000001</v>
          </cell>
          <cell r="E284">
            <v>1.3</v>
          </cell>
          <cell r="F284">
            <v>131.5</v>
          </cell>
        </row>
        <row r="285">
          <cell r="A285">
            <v>1639</v>
          </cell>
          <cell r="B285" t="str">
            <v>100D-3503A (BA)</v>
          </cell>
          <cell r="C285" t="str">
            <v>m</v>
          </cell>
          <cell r="D285">
            <v>607.69000000000005</v>
          </cell>
          <cell r="E285">
            <v>6.08</v>
          </cell>
          <cell r="F285">
            <v>613.5</v>
          </cell>
        </row>
        <row r="286">
          <cell r="A286">
            <v>1640</v>
          </cell>
          <cell r="B286" t="str">
            <v>100D-3004A (BA)</v>
          </cell>
          <cell r="C286" t="str">
            <v>m</v>
          </cell>
          <cell r="D286">
            <v>717.38</v>
          </cell>
          <cell r="E286">
            <v>7.17</v>
          </cell>
          <cell r="F286">
            <v>724.5</v>
          </cell>
        </row>
        <row r="287">
          <cell r="A287">
            <v>1641</v>
          </cell>
          <cell r="B287" t="str">
            <v>100D-3207 (BA)</v>
          </cell>
          <cell r="C287" t="str">
            <v>m</v>
          </cell>
          <cell r="D287">
            <v>934.92</v>
          </cell>
          <cell r="E287">
            <v>9.35</v>
          </cell>
          <cell r="F287">
            <v>944.5</v>
          </cell>
        </row>
        <row r="288">
          <cell r="A288">
            <v>1642</v>
          </cell>
          <cell r="B288" t="str">
            <v>100D-3503 (BA)</v>
          </cell>
          <cell r="C288" t="str">
            <v>m</v>
          </cell>
          <cell r="D288">
            <v>663.85</v>
          </cell>
          <cell r="E288">
            <v>6.64</v>
          </cell>
          <cell r="F288">
            <v>670.5</v>
          </cell>
        </row>
        <row r="289">
          <cell r="A289">
            <v>1643</v>
          </cell>
          <cell r="B289" t="str">
            <v>100D-1914 (BA)</v>
          </cell>
          <cell r="C289" t="str">
            <v>m</v>
          </cell>
          <cell r="D289">
            <v>127.07</v>
          </cell>
          <cell r="E289">
            <v>1.27</v>
          </cell>
          <cell r="F289">
            <v>128.5</v>
          </cell>
        </row>
        <row r="290">
          <cell r="A290">
            <v>1644</v>
          </cell>
          <cell r="B290" t="str">
            <v>100D-3203 (BA)</v>
          </cell>
          <cell r="C290" t="str">
            <v>m</v>
          </cell>
          <cell r="D290">
            <v>705.53</v>
          </cell>
          <cell r="E290">
            <v>7.06</v>
          </cell>
          <cell r="F290">
            <v>712.5</v>
          </cell>
        </row>
        <row r="291">
          <cell r="A291">
            <v>1645</v>
          </cell>
          <cell r="B291" t="str">
            <v>70S-1002-1(BA)</v>
          </cell>
          <cell r="C291" t="str">
            <v>m</v>
          </cell>
          <cell r="D291">
            <v>329.69</v>
          </cell>
          <cell r="E291">
            <v>3.3</v>
          </cell>
          <cell r="F291">
            <v>333</v>
          </cell>
        </row>
        <row r="292">
          <cell r="A292">
            <v>1646</v>
          </cell>
          <cell r="B292" t="str">
            <v>70S-1102-1 (BA)</v>
          </cell>
          <cell r="C292" t="str">
            <v>m</v>
          </cell>
          <cell r="D292">
            <v>241.23</v>
          </cell>
          <cell r="E292">
            <v>2.41</v>
          </cell>
          <cell r="F292">
            <v>243.5</v>
          </cell>
        </row>
        <row r="293">
          <cell r="A293">
            <v>1647</v>
          </cell>
          <cell r="B293" t="str">
            <v>70S-1202-1(BA)</v>
          </cell>
          <cell r="C293" t="str">
            <v>m</v>
          </cell>
          <cell r="D293">
            <v>241.23</v>
          </cell>
          <cell r="E293">
            <v>2.41</v>
          </cell>
          <cell r="F293">
            <v>243.5</v>
          </cell>
        </row>
        <row r="294">
          <cell r="A294">
            <v>1648</v>
          </cell>
          <cell r="B294" t="str">
            <v>70S-1704A (BA)</v>
          </cell>
          <cell r="C294" t="str">
            <v>m</v>
          </cell>
          <cell r="D294">
            <v>449.54</v>
          </cell>
          <cell r="E294">
            <v>4.5</v>
          </cell>
          <cell r="F294">
            <v>454</v>
          </cell>
        </row>
        <row r="295">
          <cell r="A295">
            <v>1649</v>
          </cell>
          <cell r="B295" t="str">
            <v>70S-1402-1 (BA)</v>
          </cell>
          <cell r="C295" t="str">
            <v>m</v>
          </cell>
          <cell r="D295">
            <v>304.92</v>
          </cell>
          <cell r="E295">
            <v>3.05</v>
          </cell>
          <cell r="F295">
            <v>308</v>
          </cell>
        </row>
        <row r="296">
          <cell r="A296">
            <v>1650</v>
          </cell>
          <cell r="B296" t="str">
            <v>70S-1801 (BA)</v>
          </cell>
          <cell r="C296" t="str">
            <v>m</v>
          </cell>
          <cell r="D296">
            <v>286.45999999999998</v>
          </cell>
          <cell r="E296">
            <v>2.86</v>
          </cell>
          <cell r="F296">
            <v>289.5</v>
          </cell>
        </row>
        <row r="297">
          <cell r="A297">
            <v>1651</v>
          </cell>
          <cell r="B297" t="str">
            <v>70S-1101-2 (BA)</v>
          </cell>
          <cell r="C297" t="str">
            <v>m</v>
          </cell>
          <cell r="D297">
            <v>475.07</v>
          </cell>
          <cell r="E297">
            <v>4.75</v>
          </cell>
          <cell r="F297">
            <v>480</v>
          </cell>
        </row>
        <row r="298">
          <cell r="A298">
            <v>1652</v>
          </cell>
          <cell r="B298" t="str">
            <v>70S-1001-1 (BA)</v>
          </cell>
          <cell r="C298" t="str">
            <v>m</v>
          </cell>
          <cell r="D298">
            <v>469.38</v>
          </cell>
          <cell r="E298">
            <v>4.6900000000000004</v>
          </cell>
          <cell r="F298">
            <v>474</v>
          </cell>
        </row>
        <row r="299">
          <cell r="A299">
            <v>1653</v>
          </cell>
          <cell r="B299" t="str">
            <v>70S-1704A (BA)</v>
          </cell>
          <cell r="C299" t="str">
            <v>m</v>
          </cell>
          <cell r="D299">
            <v>449.54</v>
          </cell>
          <cell r="E299">
            <v>4.5</v>
          </cell>
          <cell r="F299">
            <v>454</v>
          </cell>
        </row>
        <row r="300">
          <cell r="A300">
            <v>1654</v>
          </cell>
          <cell r="B300" t="str">
            <v>70S-1401-1 (BA)</v>
          </cell>
          <cell r="C300" t="str">
            <v>m</v>
          </cell>
          <cell r="D300">
            <v>312</v>
          </cell>
          <cell r="E300">
            <v>3.12</v>
          </cell>
          <cell r="F300">
            <v>315</v>
          </cell>
        </row>
        <row r="301">
          <cell r="A301">
            <v>1655</v>
          </cell>
          <cell r="B301" t="str">
            <v>70S-1201-1 (BA)</v>
          </cell>
          <cell r="C301" t="str">
            <v>m</v>
          </cell>
          <cell r="D301">
            <v>382</v>
          </cell>
          <cell r="E301">
            <v>3.82</v>
          </cell>
          <cell r="F301">
            <v>386</v>
          </cell>
        </row>
        <row r="302">
          <cell r="A302">
            <v>1656</v>
          </cell>
          <cell r="B302" t="str">
            <v>70S-1604 (BA)</v>
          </cell>
          <cell r="C302" t="str">
            <v>m</v>
          </cell>
          <cell r="D302">
            <v>373.85</v>
          </cell>
          <cell r="E302">
            <v>3.74</v>
          </cell>
          <cell r="F302">
            <v>377.5</v>
          </cell>
        </row>
        <row r="303">
          <cell r="A303">
            <v>1657</v>
          </cell>
          <cell r="B303" t="str">
            <v>70S-1801 (BA)</v>
          </cell>
          <cell r="C303" t="str">
            <v>m</v>
          </cell>
          <cell r="D303">
            <v>286.45999999999998</v>
          </cell>
          <cell r="E303">
            <v>2.86</v>
          </cell>
          <cell r="F303">
            <v>289.5</v>
          </cell>
        </row>
        <row r="304">
          <cell r="A304">
            <v>1658</v>
          </cell>
          <cell r="B304" t="str">
            <v>PT-5157 (BA)</v>
          </cell>
          <cell r="C304" t="str">
            <v>m</v>
          </cell>
          <cell r="D304">
            <v>312.45999999999998</v>
          </cell>
          <cell r="E304">
            <v>3.12</v>
          </cell>
          <cell r="F304">
            <v>315.5</v>
          </cell>
        </row>
        <row r="305">
          <cell r="A305">
            <v>1659</v>
          </cell>
          <cell r="B305" t="str">
            <v>PT-5158 (BA)</v>
          </cell>
          <cell r="C305" t="str">
            <v>m</v>
          </cell>
          <cell r="D305">
            <v>230.32</v>
          </cell>
          <cell r="E305">
            <v>2.2999999999999998</v>
          </cell>
          <cell r="F305">
            <v>232.5</v>
          </cell>
        </row>
        <row r="306">
          <cell r="A306">
            <v>1660</v>
          </cell>
          <cell r="B306" t="str">
            <v>PT-5153 (BA)</v>
          </cell>
          <cell r="C306" t="str">
            <v>m</v>
          </cell>
          <cell r="D306">
            <v>84.42</v>
          </cell>
          <cell r="E306">
            <v>0.84</v>
          </cell>
          <cell r="F306">
            <v>85.5</v>
          </cell>
        </row>
        <row r="307">
          <cell r="A307">
            <v>1661</v>
          </cell>
          <cell r="B307" t="str">
            <v>PT-5154 (BA)</v>
          </cell>
          <cell r="C307" t="str">
            <v>m</v>
          </cell>
          <cell r="D307">
            <v>171.97</v>
          </cell>
          <cell r="E307">
            <v>1.72</v>
          </cell>
          <cell r="F307">
            <v>173.5</v>
          </cell>
        </row>
        <row r="308">
          <cell r="A308">
            <v>1662</v>
          </cell>
          <cell r="B308" t="str">
            <v>A-110A (MF)</v>
          </cell>
          <cell r="C308" t="str">
            <v>m</v>
          </cell>
          <cell r="D308">
            <v>257.05</v>
          </cell>
          <cell r="E308">
            <v>2.57</v>
          </cell>
          <cell r="F308">
            <v>259.5</v>
          </cell>
        </row>
        <row r="309">
          <cell r="B309" t="str">
            <v>Aluminium Extrusions (Powder Coated)</v>
          </cell>
        </row>
        <row r="310">
          <cell r="A310">
            <v>1701</v>
          </cell>
          <cell r="B310" t="str">
            <v>70S-1101-1 (PC)</v>
          </cell>
          <cell r="C310" t="str">
            <v>m</v>
          </cell>
          <cell r="D310">
            <v>519.38</v>
          </cell>
          <cell r="E310">
            <v>5.19</v>
          </cell>
          <cell r="F310">
            <v>524.5</v>
          </cell>
        </row>
        <row r="311">
          <cell r="A311">
            <v>1702</v>
          </cell>
          <cell r="B311" t="str">
            <v>70S-1001-1 (PC)</v>
          </cell>
          <cell r="C311" t="str">
            <v>m</v>
          </cell>
          <cell r="D311">
            <v>531.23</v>
          </cell>
          <cell r="E311">
            <v>5.31</v>
          </cell>
          <cell r="F311">
            <v>536.5</v>
          </cell>
        </row>
        <row r="312">
          <cell r="A312">
            <v>1703</v>
          </cell>
          <cell r="B312" t="str">
            <v>70S-1201-1 (PC)</v>
          </cell>
          <cell r="C312" t="str">
            <v>m</v>
          </cell>
          <cell r="D312">
            <v>432.15</v>
          </cell>
          <cell r="E312">
            <v>4.32</v>
          </cell>
          <cell r="F312">
            <v>436.5</v>
          </cell>
        </row>
        <row r="313">
          <cell r="A313">
            <v>1704</v>
          </cell>
          <cell r="B313" t="str">
            <v>70S-1604 (PC)</v>
          </cell>
          <cell r="C313" t="str">
            <v>m</v>
          </cell>
          <cell r="D313">
            <v>422.92</v>
          </cell>
          <cell r="E313">
            <v>4.2300000000000004</v>
          </cell>
          <cell r="F313">
            <v>427</v>
          </cell>
        </row>
        <row r="314">
          <cell r="A314">
            <v>1705</v>
          </cell>
          <cell r="B314" t="str">
            <v>70S-1704 (PC)</v>
          </cell>
          <cell r="C314" t="str">
            <v>m</v>
          </cell>
          <cell r="D314">
            <v>399.23</v>
          </cell>
          <cell r="E314">
            <v>3.99</v>
          </cell>
          <cell r="F314">
            <v>403</v>
          </cell>
        </row>
        <row r="315">
          <cell r="A315">
            <v>1706</v>
          </cell>
          <cell r="B315" t="str">
            <v>70S-1503A (PC)</v>
          </cell>
          <cell r="C315" t="str">
            <v>m</v>
          </cell>
          <cell r="D315">
            <v>499.54</v>
          </cell>
          <cell r="E315">
            <v>5</v>
          </cell>
          <cell r="F315">
            <v>504.5</v>
          </cell>
        </row>
        <row r="316">
          <cell r="A316">
            <v>1707</v>
          </cell>
          <cell r="B316" t="str">
            <v>70S-1401-1 (PC)</v>
          </cell>
          <cell r="C316" t="str">
            <v>m</v>
          </cell>
          <cell r="D316">
            <v>353.23</v>
          </cell>
          <cell r="E316">
            <v>3.53</v>
          </cell>
          <cell r="F316">
            <v>357</v>
          </cell>
        </row>
        <row r="317">
          <cell r="A317">
            <v>1708</v>
          </cell>
          <cell r="B317" t="str">
            <v>70SF-1006 (PC)</v>
          </cell>
          <cell r="C317" t="str">
            <v>m</v>
          </cell>
          <cell r="D317">
            <v>838.15</v>
          </cell>
          <cell r="E317">
            <v>8.3800000000000008</v>
          </cell>
          <cell r="F317">
            <v>846.5</v>
          </cell>
        </row>
        <row r="318">
          <cell r="A318">
            <v>1709</v>
          </cell>
          <cell r="B318" t="str">
            <v>70SF-1201A (PC)</v>
          </cell>
          <cell r="C318" t="str">
            <v>m</v>
          </cell>
          <cell r="D318">
            <v>292.61</v>
          </cell>
          <cell r="E318">
            <v>2.93</v>
          </cell>
          <cell r="F318">
            <v>295.5</v>
          </cell>
        </row>
        <row r="319">
          <cell r="A319">
            <v>1710</v>
          </cell>
          <cell r="B319" t="str">
            <v>70SF-1201B (PC)</v>
          </cell>
          <cell r="C319" t="str">
            <v>m</v>
          </cell>
          <cell r="D319">
            <v>292.61</v>
          </cell>
          <cell r="E319">
            <v>2.93</v>
          </cell>
          <cell r="F319">
            <v>295.5</v>
          </cell>
        </row>
        <row r="320">
          <cell r="A320">
            <v>1711</v>
          </cell>
          <cell r="B320" t="str">
            <v>DG-02 (PC)</v>
          </cell>
          <cell r="C320" t="str">
            <v>m</v>
          </cell>
          <cell r="D320">
            <v>264.43</v>
          </cell>
          <cell r="E320">
            <v>2.64</v>
          </cell>
          <cell r="F320">
            <v>267</v>
          </cell>
        </row>
        <row r="321">
          <cell r="A321">
            <v>1712</v>
          </cell>
          <cell r="B321" t="str">
            <v>DG-102 (PC)</v>
          </cell>
          <cell r="C321" t="str">
            <v>m</v>
          </cell>
          <cell r="D321">
            <v>236.06</v>
          </cell>
          <cell r="E321">
            <v>2.36</v>
          </cell>
          <cell r="F321">
            <v>238.5</v>
          </cell>
        </row>
        <row r="322">
          <cell r="A322">
            <v>1713</v>
          </cell>
          <cell r="B322" t="str">
            <v>CA-1001(PC)</v>
          </cell>
          <cell r="C322" t="str">
            <v>m</v>
          </cell>
          <cell r="D322">
            <v>655.57</v>
          </cell>
          <cell r="E322">
            <v>6.56</v>
          </cell>
          <cell r="F322">
            <v>662</v>
          </cell>
        </row>
        <row r="323">
          <cell r="A323">
            <v>1714</v>
          </cell>
          <cell r="B323" t="str">
            <v>CA-1002 (PC)</v>
          </cell>
          <cell r="C323" t="str">
            <v>m</v>
          </cell>
          <cell r="D323">
            <v>1024.92</v>
          </cell>
          <cell r="E323">
            <v>10.25</v>
          </cell>
          <cell r="F323">
            <v>1035</v>
          </cell>
        </row>
        <row r="324">
          <cell r="A324">
            <v>1715</v>
          </cell>
          <cell r="B324" t="str">
            <v>100D-1914 (PC)</v>
          </cell>
          <cell r="C324" t="str">
            <v>m</v>
          </cell>
          <cell r="D324">
            <v>143.84</v>
          </cell>
          <cell r="E324">
            <v>1.44</v>
          </cell>
          <cell r="F324">
            <v>145.5</v>
          </cell>
        </row>
        <row r="325">
          <cell r="A325">
            <v>1716</v>
          </cell>
          <cell r="B325" t="str">
            <v>CA-1007 (PC)</v>
          </cell>
          <cell r="C325" t="str">
            <v>m</v>
          </cell>
          <cell r="D325">
            <v>294.75</v>
          </cell>
          <cell r="E325">
            <v>2.95</v>
          </cell>
          <cell r="F325">
            <v>297.5</v>
          </cell>
        </row>
        <row r="326">
          <cell r="A326">
            <v>1717</v>
          </cell>
          <cell r="B326" t="str">
            <v>CA-1008 (PC)</v>
          </cell>
          <cell r="C326" t="str">
            <v>m</v>
          </cell>
          <cell r="D326">
            <v>500.16</v>
          </cell>
          <cell r="E326">
            <v>5</v>
          </cell>
          <cell r="F326">
            <v>505</v>
          </cell>
        </row>
        <row r="327">
          <cell r="A327">
            <v>1718</v>
          </cell>
          <cell r="B327" t="str">
            <v>CA-2005 (PC)</v>
          </cell>
          <cell r="C327" t="str">
            <v>m</v>
          </cell>
          <cell r="D327">
            <v>558.85</v>
          </cell>
          <cell r="E327">
            <v>5.59</v>
          </cell>
          <cell r="F327">
            <v>564.5</v>
          </cell>
        </row>
        <row r="328">
          <cell r="A328">
            <v>1719</v>
          </cell>
          <cell r="B328" t="str">
            <v>A-111 (MF)</v>
          </cell>
          <cell r="C328" t="str">
            <v>m</v>
          </cell>
          <cell r="D328">
            <v>392.87</v>
          </cell>
          <cell r="E328">
            <v>3.93</v>
          </cell>
          <cell r="F328">
            <v>397</v>
          </cell>
        </row>
        <row r="329">
          <cell r="A329">
            <v>1720</v>
          </cell>
          <cell r="B329" t="str">
            <v>DG-01 (PC)</v>
          </cell>
          <cell r="C329" t="str">
            <v>m</v>
          </cell>
          <cell r="D329">
            <v>252.95</v>
          </cell>
          <cell r="E329">
            <v>2.5299999999999998</v>
          </cell>
          <cell r="F329">
            <v>255.5</v>
          </cell>
        </row>
        <row r="330">
          <cell r="A330">
            <v>1721</v>
          </cell>
          <cell r="B330" t="str">
            <v>DG-101(PC)</v>
          </cell>
          <cell r="C330" t="str">
            <v>m</v>
          </cell>
          <cell r="D330">
            <v>217.54</v>
          </cell>
          <cell r="E330">
            <v>2.1800000000000002</v>
          </cell>
          <cell r="F330">
            <v>219.5</v>
          </cell>
        </row>
        <row r="331">
          <cell r="A331">
            <v>1722</v>
          </cell>
          <cell r="B331" t="str">
            <v>CA-2004 (PC)</v>
          </cell>
          <cell r="C331" t="str">
            <v>m</v>
          </cell>
          <cell r="D331">
            <v>384.26</v>
          </cell>
          <cell r="E331">
            <v>3.84</v>
          </cell>
          <cell r="F331">
            <v>388</v>
          </cell>
        </row>
        <row r="332">
          <cell r="A332">
            <v>1723</v>
          </cell>
          <cell r="B332" t="str">
            <v>GL-107 (PC)</v>
          </cell>
          <cell r="C332" t="str">
            <v>m</v>
          </cell>
          <cell r="D332">
            <v>151.15</v>
          </cell>
          <cell r="E332">
            <v>1.51</v>
          </cell>
          <cell r="F332">
            <v>152.5</v>
          </cell>
        </row>
        <row r="333">
          <cell r="A333">
            <v>1724</v>
          </cell>
          <cell r="B333" t="str">
            <v>CA-1003 (PC)</v>
          </cell>
          <cell r="C333" t="str">
            <v>m</v>
          </cell>
          <cell r="D333">
            <v>405.74</v>
          </cell>
          <cell r="E333">
            <v>4.0599999999999996</v>
          </cell>
          <cell r="F333">
            <v>410</v>
          </cell>
        </row>
        <row r="334">
          <cell r="A334">
            <v>1725</v>
          </cell>
          <cell r="B334" t="str">
            <v>CA-1004 (PC)</v>
          </cell>
          <cell r="C334" t="str">
            <v>m</v>
          </cell>
          <cell r="D334">
            <v>606.72</v>
          </cell>
          <cell r="E334">
            <v>6.07</v>
          </cell>
          <cell r="F334">
            <v>613</v>
          </cell>
        </row>
        <row r="335">
          <cell r="A335">
            <v>1726</v>
          </cell>
          <cell r="B335" t="str">
            <v>CA-2006 (PC)</v>
          </cell>
          <cell r="C335" t="str">
            <v>m</v>
          </cell>
          <cell r="D335">
            <v>567.37</v>
          </cell>
          <cell r="E335">
            <v>5.67</v>
          </cell>
          <cell r="F335">
            <v>573</v>
          </cell>
        </row>
        <row r="336">
          <cell r="A336">
            <v>1727</v>
          </cell>
          <cell r="B336" t="str">
            <v>DG-02 (PC)</v>
          </cell>
          <cell r="C336" t="str">
            <v>m</v>
          </cell>
          <cell r="D336">
            <v>264.43</v>
          </cell>
          <cell r="E336">
            <v>2.64</v>
          </cell>
          <cell r="F336">
            <v>267</v>
          </cell>
        </row>
        <row r="337">
          <cell r="A337">
            <v>1728</v>
          </cell>
          <cell r="B337" t="str">
            <v>DG-102(PC)</v>
          </cell>
          <cell r="C337" t="str">
            <v>m</v>
          </cell>
          <cell r="D337">
            <v>236.06</v>
          </cell>
          <cell r="E337">
            <v>2.36</v>
          </cell>
          <cell r="F337">
            <v>238.5</v>
          </cell>
        </row>
        <row r="338">
          <cell r="A338">
            <v>1729</v>
          </cell>
          <cell r="B338" t="str">
            <v>CA-1001 (PC)</v>
          </cell>
          <cell r="C338" t="str">
            <v>m</v>
          </cell>
          <cell r="D338">
            <v>655.57</v>
          </cell>
          <cell r="E338">
            <v>6.56</v>
          </cell>
          <cell r="F338">
            <v>662</v>
          </cell>
        </row>
        <row r="339">
          <cell r="A339">
            <v>1730</v>
          </cell>
          <cell r="B339" t="str">
            <v>CA-1002 (PC)</v>
          </cell>
          <cell r="C339" t="str">
            <v>m</v>
          </cell>
          <cell r="D339">
            <v>1024.92</v>
          </cell>
          <cell r="E339">
            <v>10.25</v>
          </cell>
          <cell r="F339">
            <v>1035</v>
          </cell>
        </row>
        <row r="340">
          <cell r="A340">
            <v>1731</v>
          </cell>
          <cell r="B340" t="str">
            <v>100D-3104 (PC)</v>
          </cell>
          <cell r="C340" t="str">
            <v>m</v>
          </cell>
          <cell r="D340">
            <v>694.46</v>
          </cell>
          <cell r="E340">
            <v>6.94</v>
          </cell>
          <cell r="F340">
            <v>701.5</v>
          </cell>
        </row>
        <row r="341">
          <cell r="A341">
            <v>1732</v>
          </cell>
          <cell r="B341" t="str">
            <v>100D-101 (PC)</v>
          </cell>
          <cell r="C341" t="str">
            <v>m</v>
          </cell>
          <cell r="D341">
            <v>948.77</v>
          </cell>
          <cell r="E341">
            <v>9.49</v>
          </cell>
          <cell r="F341">
            <v>958.5</v>
          </cell>
        </row>
        <row r="342">
          <cell r="A342">
            <v>1733</v>
          </cell>
          <cell r="B342" t="str">
            <v>100D-102 (PC)</v>
          </cell>
          <cell r="C342" t="str">
            <v>m</v>
          </cell>
          <cell r="D342">
            <v>993.38</v>
          </cell>
          <cell r="E342">
            <v>9.93</v>
          </cell>
          <cell r="F342">
            <v>1003.5</v>
          </cell>
        </row>
        <row r="343">
          <cell r="A343">
            <v>1734</v>
          </cell>
          <cell r="B343" t="str">
            <v>100D-201 (PC)</v>
          </cell>
          <cell r="C343" t="str">
            <v>m</v>
          </cell>
          <cell r="D343">
            <v>918.31</v>
          </cell>
          <cell r="E343">
            <v>9.18</v>
          </cell>
          <cell r="F343">
            <v>927.5</v>
          </cell>
        </row>
        <row r="344">
          <cell r="A344">
            <v>1735</v>
          </cell>
          <cell r="B344" t="str">
            <v>100D-301 (PC)</v>
          </cell>
          <cell r="C344" t="str">
            <v>m</v>
          </cell>
          <cell r="D344">
            <v>1091.08</v>
          </cell>
          <cell r="E344">
            <v>10.91</v>
          </cell>
          <cell r="F344">
            <v>1102</v>
          </cell>
        </row>
        <row r="345">
          <cell r="A345">
            <v>1736</v>
          </cell>
          <cell r="B345" t="str">
            <v>100D-401 (PC)</v>
          </cell>
          <cell r="C345" t="str">
            <v>m</v>
          </cell>
          <cell r="D345">
            <v>1208</v>
          </cell>
          <cell r="E345">
            <v>12.08</v>
          </cell>
          <cell r="F345">
            <v>1220</v>
          </cell>
        </row>
        <row r="346">
          <cell r="A346">
            <v>1737</v>
          </cell>
          <cell r="B346" t="str">
            <v>100D-501 (PC)</v>
          </cell>
          <cell r="C346" t="str">
            <v>m</v>
          </cell>
          <cell r="D346">
            <v>129.08000000000001</v>
          </cell>
          <cell r="E346">
            <v>1.29</v>
          </cell>
          <cell r="F346">
            <v>137.5</v>
          </cell>
        </row>
        <row r="347">
          <cell r="A347">
            <v>1738</v>
          </cell>
          <cell r="B347" t="str">
            <v>70D-1910 (PC)</v>
          </cell>
          <cell r="C347" t="str">
            <v>m</v>
          </cell>
          <cell r="D347">
            <v>147.69</v>
          </cell>
          <cell r="E347">
            <v>1.48</v>
          </cell>
          <cell r="F347">
            <v>149</v>
          </cell>
        </row>
        <row r="348">
          <cell r="A348">
            <v>1739</v>
          </cell>
          <cell r="B348" t="str">
            <v>100D-3503A (PC)</v>
          </cell>
          <cell r="C348" t="str">
            <v>m</v>
          </cell>
          <cell r="D348">
            <v>688</v>
          </cell>
          <cell r="E348">
            <v>6.88</v>
          </cell>
          <cell r="F348">
            <v>695</v>
          </cell>
        </row>
        <row r="349">
          <cell r="A349">
            <v>1740</v>
          </cell>
          <cell r="B349" t="str">
            <v>100D-3004A (PC)</v>
          </cell>
          <cell r="C349" t="str">
            <v>m</v>
          </cell>
          <cell r="D349">
            <v>811.69</v>
          </cell>
          <cell r="E349">
            <v>8.1199999999999992</v>
          </cell>
          <cell r="F349">
            <v>820</v>
          </cell>
        </row>
        <row r="350">
          <cell r="A350">
            <v>1741</v>
          </cell>
          <cell r="B350" t="str">
            <v>100D-3207 (PC)</v>
          </cell>
          <cell r="C350" t="str">
            <v>m</v>
          </cell>
          <cell r="D350">
            <v>1057.8499999999999</v>
          </cell>
          <cell r="E350">
            <v>10.58</v>
          </cell>
          <cell r="F350">
            <v>1068.5</v>
          </cell>
        </row>
        <row r="351">
          <cell r="A351">
            <v>1742</v>
          </cell>
          <cell r="B351" t="str">
            <v>100D-3503 (PC)</v>
          </cell>
          <cell r="C351" t="str">
            <v>m</v>
          </cell>
          <cell r="D351">
            <v>750.92</v>
          </cell>
          <cell r="E351">
            <v>7.51</v>
          </cell>
          <cell r="F351">
            <v>758.5</v>
          </cell>
        </row>
        <row r="352">
          <cell r="A352">
            <v>1743</v>
          </cell>
          <cell r="B352" t="str">
            <v>100D-1914 (PC)</v>
          </cell>
          <cell r="C352" t="str">
            <v>m</v>
          </cell>
          <cell r="D352">
            <v>143.85</v>
          </cell>
          <cell r="E352">
            <v>1.44</v>
          </cell>
          <cell r="F352">
            <v>145.5</v>
          </cell>
        </row>
        <row r="353">
          <cell r="A353">
            <v>1744</v>
          </cell>
          <cell r="B353" t="str">
            <v>100D-3203 (PC)</v>
          </cell>
          <cell r="C353" t="str">
            <v>m</v>
          </cell>
          <cell r="D353">
            <v>798.46</v>
          </cell>
          <cell r="E353">
            <v>7.98</v>
          </cell>
          <cell r="F353">
            <v>806.5</v>
          </cell>
        </row>
        <row r="354">
          <cell r="A354">
            <v>1745</v>
          </cell>
          <cell r="B354" t="str">
            <v>70S-1002-1(PC)</v>
          </cell>
          <cell r="C354" t="str">
            <v>m</v>
          </cell>
          <cell r="D354">
            <v>372.77</v>
          </cell>
          <cell r="E354">
            <v>3.73</v>
          </cell>
          <cell r="F354">
            <v>376.5</v>
          </cell>
        </row>
        <row r="355">
          <cell r="A355">
            <v>1746</v>
          </cell>
          <cell r="B355" t="str">
            <v>70S-1102-1 (PC)</v>
          </cell>
          <cell r="C355" t="str">
            <v>m</v>
          </cell>
          <cell r="D355">
            <v>272.77</v>
          </cell>
          <cell r="E355">
            <v>2.73</v>
          </cell>
          <cell r="F355">
            <v>275.5</v>
          </cell>
        </row>
        <row r="356">
          <cell r="A356">
            <v>1747</v>
          </cell>
          <cell r="B356" t="str">
            <v>70S-1202-1(PC)</v>
          </cell>
          <cell r="C356" t="str">
            <v>m</v>
          </cell>
          <cell r="D356">
            <v>272.77</v>
          </cell>
          <cell r="E356">
            <v>2.73</v>
          </cell>
          <cell r="F356">
            <v>275.5</v>
          </cell>
        </row>
        <row r="357">
          <cell r="A357">
            <v>1748</v>
          </cell>
          <cell r="B357" t="str">
            <v>70S-1704A (PC)</v>
          </cell>
          <cell r="C357" t="str">
            <v>m</v>
          </cell>
          <cell r="D357">
            <v>508.46</v>
          </cell>
          <cell r="E357">
            <v>5.08</v>
          </cell>
          <cell r="F357">
            <v>513.5</v>
          </cell>
        </row>
        <row r="358">
          <cell r="A358">
            <v>1749</v>
          </cell>
          <cell r="B358" t="str">
            <v>70S-1402-1 (PC)</v>
          </cell>
          <cell r="C358" t="str">
            <v>m</v>
          </cell>
          <cell r="D358">
            <v>345.38</v>
          </cell>
          <cell r="E358">
            <v>3.45</v>
          </cell>
          <cell r="F358">
            <v>349</v>
          </cell>
        </row>
        <row r="359">
          <cell r="A359">
            <v>1750</v>
          </cell>
          <cell r="B359" t="str">
            <v>70S-1801 (PC)</v>
          </cell>
          <cell r="C359" t="str">
            <v>m</v>
          </cell>
          <cell r="D359">
            <v>324.14999999999998</v>
          </cell>
          <cell r="E359">
            <v>3.24</v>
          </cell>
          <cell r="F359">
            <v>327.5</v>
          </cell>
        </row>
        <row r="360">
          <cell r="A360">
            <v>1751</v>
          </cell>
          <cell r="B360" t="str">
            <v>70S-1101-2 (PC)</v>
          </cell>
          <cell r="C360" t="str">
            <v>m</v>
          </cell>
          <cell r="D360">
            <v>537.54</v>
          </cell>
          <cell r="E360">
            <v>5.38</v>
          </cell>
          <cell r="F360">
            <v>543</v>
          </cell>
        </row>
        <row r="361">
          <cell r="A361">
            <v>1752</v>
          </cell>
          <cell r="B361" t="str">
            <v>70S-1001-1 (PC)</v>
          </cell>
          <cell r="C361" t="str">
            <v>m</v>
          </cell>
          <cell r="D361">
            <v>531.23</v>
          </cell>
          <cell r="E361">
            <v>5.31</v>
          </cell>
          <cell r="F361">
            <v>536.5</v>
          </cell>
        </row>
        <row r="362">
          <cell r="A362">
            <v>1753</v>
          </cell>
          <cell r="B362" t="str">
            <v>70S-1704A (PC)</v>
          </cell>
          <cell r="C362" t="str">
            <v>m</v>
          </cell>
          <cell r="D362">
            <v>508.46</v>
          </cell>
          <cell r="E362">
            <v>5.08</v>
          </cell>
          <cell r="F362">
            <v>513.5</v>
          </cell>
        </row>
        <row r="363">
          <cell r="A363">
            <v>1754</v>
          </cell>
          <cell r="B363" t="str">
            <v>70S-1401-1 (PC)</v>
          </cell>
          <cell r="C363" t="str">
            <v>m</v>
          </cell>
          <cell r="D363">
            <v>353.23</v>
          </cell>
          <cell r="E363">
            <v>3.53</v>
          </cell>
          <cell r="F363">
            <v>357</v>
          </cell>
        </row>
        <row r="364">
          <cell r="A364">
            <v>1755</v>
          </cell>
          <cell r="B364" t="str">
            <v>70S-1201-1 (PC)</v>
          </cell>
          <cell r="C364" t="str">
            <v>m</v>
          </cell>
          <cell r="D364">
            <v>432.15</v>
          </cell>
          <cell r="E364">
            <v>4.32</v>
          </cell>
          <cell r="F364">
            <v>436.5</v>
          </cell>
        </row>
        <row r="365">
          <cell r="A365">
            <v>1756</v>
          </cell>
          <cell r="B365" t="str">
            <v>70S-1604 (PC)</v>
          </cell>
          <cell r="C365" t="str">
            <v>m</v>
          </cell>
          <cell r="D365">
            <v>422.92</v>
          </cell>
          <cell r="E365">
            <v>4.2300000000000004</v>
          </cell>
          <cell r="F365">
            <v>427</v>
          </cell>
        </row>
        <row r="366">
          <cell r="A366">
            <v>1757</v>
          </cell>
          <cell r="B366" t="str">
            <v>70S-1801 (PC)</v>
          </cell>
          <cell r="C366" t="str">
            <v>m</v>
          </cell>
          <cell r="D366">
            <v>324.14999999999998</v>
          </cell>
          <cell r="E366">
            <v>3.24</v>
          </cell>
          <cell r="F366">
            <v>327.5</v>
          </cell>
        </row>
        <row r="367">
          <cell r="A367">
            <v>1758</v>
          </cell>
          <cell r="B367" t="str">
            <v>PT-5157 (PC)</v>
          </cell>
          <cell r="C367" t="str">
            <v>m</v>
          </cell>
          <cell r="D367">
            <v>354.75</v>
          </cell>
          <cell r="E367">
            <v>3.55</v>
          </cell>
          <cell r="F367">
            <v>358.5</v>
          </cell>
        </row>
        <row r="368">
          <cell r="A368">
            <v>1759</v>
          </cell>
          <cell r="B368" t="str">
            <v>PT-5158 (PC)</v>
          </cell>
          <cell r="C368" t="str">
            <v>m</v>
          </cell>
          <cell r="D368">
            <v>264.10000000000002</v>
          </cell>
          <cell r="E368">
            <v>2.64</v>
          </cell>
          <cell r="F368">
            <v>267</v>
          </cell>
        </row>
        <row r="369">
          <cell r="A369">
            <v>1760</v>
          </cell>
          <cell r="B369" t="str">
            <v>PT-5153 (PC)</v>
          </cell>
          <cell r="C369" t="str">
            <v>m</v>
          </cell>
          <cell r="D369">
            <v>106.23</v>
          </cell>
          <cell r="E369">
            <v>1.06</v>
          </cell>
          <cell r="F369">
            <v>107.5</v>
          </cell>
        </row>
        <row r="370">
          <cell r="A370">
            <v>1761</v>
          </cell>
          <cell r="B370" t="str">
            <v>PT-5154 (PC)</v>
          </cell>
          <cell r="C370" t="str">
            <v>m</v>
          </cell>
          <cell r="D370">
            <v>194.75</v>
          </cell>
          <cell r="E370">
            <v>1.95</v>
          </cell>
          <cell r="F370">
            <v>196.5</v>
          </cell>
        </row>
        <row r="371">
          <cell r="A371">
            <v>1762</v>
          </cell>
          <cell r="B371" t="str">
            <v>A-110A (MF)</v>
          </cell>
          <cell r="C371" t="str">
            <v>m</v>
          </cell>
          <cell r="D371">
            <v>257.05</v>
          </cell>
          <cell r="E371">
            <v>2.57</v>
          </cell>
          <cell r="F371">
            <v>259.5</v>
          </cell>
        </row>
        <row r="372">
          <cell r="B372" t="str">
            <v>Accessories</v>
          </cell>
        </row>
        <row r="373">
          <cell r="A373">
            <v>1801</v>
          </cell>
          <cell r="B373" t="str">
            <v>Sliding lock</v>
          </cell>
          <cell r="C373" t="str">
            <v>Nr</v>
          </cell>
          <cell r="D373">
            <v>95</v>
          </cell>
          <cell r="E373">
            <v>0.95</v>
          </cell>
          <cell r="F373">
            <v>96</v>
          </cell>
        </row>
        <row r="374">
          <cell r="A374">
            <v>1802</v>
          </cell>
          <cell r="B374" t="str">
            <v>Roller-70mm</v>
          </cell>
          <cell r="C374" t="str">
            <v>Nr</v>
          </cell>
          <cell r="D374">
            <v>95</v>
          </cell>
          <cell r="E374">
            <v>0.95</v>
          </cell>
          <cell r="F374">
            <v>96</v>
          </cell>
        </row>
        <row r="375">
          <cell r="A375">
            <v>1803</v>
          </cell>
          <cell r="B375" t="str">
            <v>S.T. Screw - 1" No.8</v>
          </cell>
          <cell r="C375" t="str">
            <v>Nr</v>
          </cell>
          <cell r="D375">
            <v>2</v>
          </cell>
          <cell r="E375">
            <v>0.02</v>
          </cell>
          <cell r="F375">
            <v>2</v>
          </cell>
        </row>
        <row r="376">
          <cell r="A376">
            <v>1804</v>
          </cell>
          <cell r="B376" t="str">
            <v>Gasket</v>
          </cell>
          <cell r="C376" t="str">
            <v>m</v>
          </cell>
          <cell r="D376">
            <v>18</v>
          </cell>
          <cell r="E376">
            <v>0.18</v>
          </cell>
          <cell r="F376">
            <v>18.5</v>
          </cell>
        </row>
        <row r="377">
          <cell r="A377">
            <v>1805</v>
          </cell>
          <cell r="B377" t="str">
            <v>Wool felt</v>
          </cell>
          <cell r="C377" t="str">
            <v>m</v>
          </cell>
          <cell r="D377">
            <v>50.5</v>
          </cell>
          <cell r="E377">
            <v>0.51</v>
          </cell>
          <cell r="F377">
            <v>51</v>
          </cell>
        </row>
        <row r="378">
          <cell r="A378">
            <v>1806</v>
          </cell>
          <cell r="B378" t="str">
            <v>Pop rivet 5/32"x1/2"</v>
          </cell>
          <cell r="C378" t="str">
            <v>Nr</v>
          </cell>
          <cell r="D378">
            <v>1.3</v>
          </cell>
          <cell r="E378">
            <v>0.01</v>
          </cell>
          <cell r="F378">
            <v>1.3</v>
          </cell>
        </row>
        <row r="379">
          <cell r="A379">
            <v>1807</v>
          </cell>
          <cell r="B379" t="str">
            <v>Plastic guide</v>
          </cell>
          <cell r="C379" t="str">
            <v>Nr</v>
          </cell>
          <cell r="D379">
            <v>1.7</v>
          </cell>
          <cell r="E379">
            <v>0.02</v>
          </cell>
          <cell r="F379">
            <v>1.75</v>
          </cell>
        </row>
        <row r="380">
          <cell r="A380">
            <v>1808</v>
          </cell>
          <cell r="B380" t="str">
            <v>Cap 3/8" dia.</v>
          </cell>
          <cell r="C380" t="str">
            <v>Nr</v>
          </cell>
          <cell r="D380">
            <v>2.75</v>
          </cell>
          <cell r="E380">
            <v>0.03</v>
          </cell>
          <cell r="F380">
            <v>2.75</v>
          </cell>
        </row>
        <row r="381">
          <cell r="A381">
            <v>1809</v>
          </cell>
          <cell r="B381" t="str">
            <v>S.T. Screw - 2" No.8</v>
          </cell>
          <cell r="C381" t="str">
            <v>Nr</v>
          </cell>
          <cell r="D381">
            <v>35</v>
          </cell>
          <cell r="E381">
            <v>0.35</v>
          </cell>
          <cell r="F381">
            <v>35.5</v>
          </cell>
        </row>
        <row r="382">
          <cell r="A382">
            <v>1810</v>
          </cell>
          <cell r="B382" t="str">
            <v>Casement lock</v>
          </cell>
          <cell r="C382" t="str">
            <v>Nr</v>
          </cell>
          <cell r="D382">
            <v>165</v>
          </cell>
          <cell r="E382">
            <v>1.65</v>
          </cell>
          <cell r="F382">
            <v>166.5</v>
          </cell>
        </row>
        <row r="383">
          <cell r="A383">
            <v>1811</v>
          </cell>
          <cell r="B383" t="str">
            <v>Bar hinges</v>
          </cell>
          <cell r="C383" t="str">
            <v>Pair</v>
          </cell>
          <cell r="D383">
            <v>440</v>
          </cell>
          <cell r="E383">
            <v>4.4000000000000004</v>
          </cell>
          <cell r="F383">
            <v>444.5</v>
          </cell>
        </row>
        <row r="384">
          <cell r="A384">
            <v>1812</v>
          </cell>
          <cell r="B384" t="str">
            <v>Weather strip</v>
          </cell>
          <cell r="C384" t="str">
            <v>m</v>
          </cell>
          <cell r="D384">
            <v>42</v>
          </cell>
          <cell r="E384">
            <v>0.42</v>
          </cell>
          <cell r="F384">
            <v>42.5</v>
          </cell>
        </row>
        <row r="385">
          <cell r="A385">
            <v>1813</v>
          </cell>
          <cell r="B385" t="str">
            <v>Pop rivet 3/16"x1/2"</v>
          </cell>
          <cell r="C385" t="str">
            <v>Nr</v>
          </cell>
          <cell r="D385">
            <v>2.25</v>
          </cell>
          <cell r="E385">
            <v>0.02</v>
          </cell>
          <cell r="F385">
            <v>2.5</v>
          </cell>
        </row>
        <row r="386">
          <cell r="A386">
            <v>1814</v>
          </cell>
          <cell r="B386" t="str">
            <v>S.T. Screw - No.8 x 1/2'</v>
          </cell>
          <cell r="C386" t="str">
            <v>Nr</v>
          </cell>
          <cell r="D386">
            <v>1.5</v>
          </cell>
          <cell r="E386">
            <v>0.02</v>
          </cell>
          <cell r="F386">
            <v>1.5</v>
          </cell>
        </row>
        <row r="387">
          <cell r="A387">
            <v>1815</v>
          </cell>
          <cell r="B387" t="str">
            <v>Door lock</v>
          </cell>
          <cell r="C387" t="str">
            <v>Nr</v>
          </cell>
          <cell r="D387">
            <v>895</v>
          </cell>
          <cell r="E387">
            <v>8.9499999999999993</v>
          </cell>
          <cell r="F387">
            <v>904</v>
          </cell>
        </row>
        <row r="388">
          <cell r="A388">
            <v>1816</v>
          </cell>
          <cell r="B388" t="str">
            <v>Butt hinge</v>
          </cell>
          <cell r="C388" t="str">
            <v>Nr</v>
          </cell>
          <cell r="D388">
            <v>100</v>
          </cell>
          <cell r="E388">
            <v>1</v>
          </cell>
          <cell r="F388">
            <v>101</v>
          </cell>
        </row>
        <row r="389">
          <cell r="A389">
            <v>1817</v>
          </cell>
          <cell r="B389" t="str">
            <v>Door handle with cap nut</v>
          </cell>
          <cell r="C389" t="str">
            <v>Pair</v>
          </cell>
          <cell r="D389">
            <v>1074</v>
          </cell>
          <cell r="E389">
            <v>10.74</v>
          </cell>
          <cell r="F389">
            <v>1085</v>
          </cell>
        </row>
        <row r="390">
          <cell r="A390">
            <v>1818</v>
          </cell>
          <cell r="B390" t="str">
            <v>Rivert (C Sk) 5/32"x1/2"</v>
          </cell>
          <cell r="C390" t="str">
            <v>Nr</v>
          </cell>
          <cell r="D390">
            <v>1.25</v>
          </cell>
          <cell r="E390">
            <v>0.01</v>
          </cell>
          <cell r="F390">
            <v>1.25</v>
          </cell>
        </row>
        <row r="391">
          <cell r="A391">
            <v>1819</v>
          </cell>
          <cell r="B391" t="str">
            <v>Threaded bar with nut</v>
          </cell>
          <cell r="C391" t="str">
            <v>m</v>
          </cell>
          <cell r="D391">
            <v>224</v>
          </cell>
          <cell r="E391">
            <v>2.2400000000000002</v>
          </cell>
          <cell r="F391">
            <v>226.5</v>
          </cell>
        </row>
        <row r="392">
          <cell r="A392">
            <v>1820</v>
          </cell>
          <cell r="B392" t="str">
            <v>Door closer</v>
          </cell>
          <cell r="C392" t="str">
            <v>Nr</v>
          </cell>
          <cell r="D392">
            <v>2250</v>
          </cell>
          <cell r="E392">
            <v>22.5</v>
          </cell>
          <cell r="F392">
            <v>2272.5</v>
          </cell>
        </row>
        <row r="393">
          <cell r="A393">
            <v>1821</v>
          </cell>
          <cell r="B393" t="str">
            <v>Pop rivet 1/8"x1/2"</v>
          </cell>
          <cell r="C393" t="str">
            <v>Nr</v>
          </cell>
          <cell r="D393">
            <v>1.25</v>
          </cell>
          <cell r="E393">
            <v>0.01</v>
          </cell>
          <cell r="F393">
            <v>1.25</v>
          </cell>
        </row>
        <row r="394">
          <cell r="A394">
            <v>1822</v>
          </cell>
          <cell r="B394" t="str">
            <v>G. I. Channel</v>
          </cell>
          <cell r="C394" t="str">
            <v>m</v>
          </cell>
          <cell r="D394">
            <v>168</v>
          </cell>
          <cell r="E394">
            <v>1.68</v>
          </cell>
          <cell r="F394">
            <v>169.5</v>
          </cell>
        </row>
        <row r="395">
          <cell r="A395">
            <v>1823</v>
          </cell>
          <cell r="B395" t="str">
            <v>White board, chip board or melamine board</v>
          </cell>
          <cell r="C395" t="str">
            <v>m2</v>
          </cell>
          <cell r="D395">
            <v>253</v>
          </cell>
          <cell r="E395">
            <v>2.5299999999999998</v>
          </cell>
          <cell r="F395">
            <v>255.5</v>
          </cell>
        </row>
        <row r="396">
          <cell r="B396" t="str">
            <v>Glazier</v>
          </cell>
        </row>
        <row r="397">
          <cell r="A397">
            <v>1901</v>
          </cell>
          <cell r="B397" t="str">
            <v>5mm thick figured glass panes</v>
          </cell>
          <cell r="C397" t="str">
            <v>m2</v>
          </cell>
          <cell r="D397">
            <v>1184</v>
          </cell>
          <cell r="E397">
            <v>11.84</v>
          </cell>
          <cell r="F397">
            <v>1196</v>
          </cell>
        </row>
        <row r="398">
          <cell r="A398">
            <v>1902</v>
          </cell>
          <cell r="B398" t="str">
            <v>3mm thick figured glass panes</v>
          </cell>
          <cell r="C398" t="str">
            <v>m2</v>
          </cell>
          <cell r="D398">
            <v>592</v>
          </cell>
          <cell r="E398">
            <v>5.92</v>
          </cell>
          <cell r="F398">
            <v>598</v>
          </cell>
        </row>
        <row r="399">
          <cell r="A399">
            <v>1903</v>
          </cell>
          <cell r="B399" t="str">
            <v>5mm thick clear glass panes</v>
          </cell>
          <cell r="C399" t="str">
            <v>m2</v>
          </cell>
          <cell r="D399">
            <v>861</v>
          </cell>
          <cell r="E399">
            <v>8.61</v>
          </cell>
          <cell r="F399">
            <v>869.5</v>
          </cell>
        </row>
        <row r="400">
          <cell r="A400">
            <v>1904</v>
          </cell>
          <cell r="B400" t="str">
            <v>3mm thick clear glass panes</v>
          </cell>
          <cell r="C400" t="str">
            <v>m2</v>
          </cell>
          <cell r="D400">
            <v>646</v>
          </cell>
          <cell r="E400">
            <v>6.46</v>
          </cell>
          <cell r="F400">
            <v>652.5</v>
          </cell>
        </row>
        <row r="401">
          <cell r="A401">
            <v>1905</v>
          </cell>
          <cell r="B401" t="str">
            <v>5mm thick tinted glass panes</v>
          </cell>
          <cell r="C401" t="str">
            <v>m2</v>
          </cell>
          <cell r="D401">
            <v>1140</v>
          </cell>
          <cell r="E401">
            <v>11.4</v>
          </cell>
          <cell r="F401">
            <v>1151.5</v>
          </cell>
        </row>
        <row r="402">
          <cell r="A402">
            <v>1906</v>
          </cell>
          <cell r="B402" t="str">
            <v>3mm thick tinted glass panes</v>
          </cell>
          <cell r="C402" t="str">
            <v>m2</v>
          </cell>
          <cell r="D402">
            <v>750</v>
          </cell>
          <cell r="E402">
            <v>7.5</v>
          </cell>
          <cell r="F402">
            <v>757.5</v>
          </cell>
        </row>
        <row r="403">
          <cell r="A403">
            <v>1907</v>
          </cell>
          <cell r="B403" t="str">
            <v>12mmx12mm teak beading</v>
          </cell>
          <cell r="C403" t="str">
            <v>m</v>
          </cell>
          <cell r="D403">
            <v>5</v>
          </cell>
          <cell r="E403">
            <v>0.05</v>
          </cell>
          <cell r="F403">
            <v>5</v>
          </cell>
        </row>
        <row r="404">
          <cell r="B404" t="str">
            <v>Plasterer</v>
          </cell>
          <cell r="F404">
            <v>0</v>
          </cell>
        </row>
        <row r="405">
          <cell r="A405">
            <v>2001</v>
          </cell>
          <cell r="B405" t="str">
            <v>Lime</v>
          </cell>
          <cell r="C405" t="str">
            <v>kg</v>
          </cell>
          <cell r="D405">
            <v>20</v>
          </cell>
          <cell r="E405">
            <v>0.2</v>
          </cell>
          <cell r="F405">
            <v>20.5</v>
          </cell>
        </row>
        <row r="406">
          <cell r="B406" t="str">
            <v>Plumber</v>
          </cell>
        </row>
        <row r="407">
          <cell r="A407">
            <v>2101</v>
          </cell>
          <cell r="B407" t="str">
            <v>12mm (1/2") ball valve - Brass</v>
          </cell>
          <cell r="C407" t="str">
            <v>Nr</v>
          </cell>
          <cell r="D407">
            <v>401.79</v>
          </cell>
          <cell r="E407">
            <v>4.0199999999999996</v>
          </cell>
          <cell r="F407">
            <v>530.5</v>
          </cell>
        </row>
        <row r="408">
          <cell r="A408">
            <v>2102</v>
          </cell>
          <cell r="B408" t="str">
            <v>12mm (1/2") ball valve - PVC</v>
          </cell>
          <cell r="C408" t="str">
            <v>Nr</v>
          </cell>
          <cell r="D408">
            <v>95</v>
          </cell>
          <cell r="E408">
            <v>0.95</v>
          </cell>
          <cell r="F408">
            <v>96</v>
          </cell>
        </row>
        <row r="409">
          <cell r="A409">
            <v>2103</v>
          </cell>
          <cell r="B409" t="str">
            <v>20mm (3/4") ball valve - Brass</v>
          </cell>
          <cell r="C409" t="str">
            <v>Nr</v>
          </cell>
          <cell r="D409">
            <v>513.39</v>
          </cell>
          <cell r="E409">
            <v>5.13</v>
          </cell>
          <cell r="F409">
            <v>518.52</v>
          </cell>
        </row>
        <row r="410">
          <cell r="A410">
            <v>2104</v>
          </cell>
          <cell r="B410" t="str">
            <v>20mm (3/4") ball valve - PVC</v>
          </cell>
          <cell r="C410" t="str">
            <v>Nr</v>
          </cell>
          <cell r="D410">
            <v>140</v>
          </cell>
          <cell r="E410">
            <v>1.4</v>
          </cell>
          <cell r="F410">
            <v>141.5</v>
          </cell>
        </row>
        <row r="411">
          <cell r="A411">
            <v>2105</v>
          </cell>
          <cell r="B411" t="str">
            <v>25mm (1") ball valve - Brass</v>
          </cell>
          <cell r="C411" t="str">
            <v>Nr</v>
          </cell>
          <cell r="D411">
            <v>848.21</v>
          </cell>
          <cell r="E411">
            <v>8.48</v>
          </cell>
          <cell r="F411">
            <v>856.69</v>
          </cell>
        </row>
        <row r="412">
          <cell r="A412">
            <v>2106</v>
          </cell>
          <cell r="B412" t="str">
            <v>25mm (1") ball valve - PVC</v>
          </cell>
          <cell r="C412" t="str">
            <v>Nr</v>
          </cell>
          <cell r="D412">
            <v>190</v>
          </cell>
          <cell r="E412">
            <v>1.9</v>
          </cell>
          <cell r="F412">
            <v>192</v>
          </cell>
        </row>
        <row r="413">
          <cell r="A413">
            <v>2107</v>
          </cell>
          <cell r="B413" t="str">
            <v>38mm (1 1/2") ball valve - Brass</v>
          </cell>
          <cell r="C413" t="str">
            <v>Nr</v>
          </cell>
          <cell r="D413">
            <v>2053.5700000000002</v>
          </cell>
          <cell r="E413">
            <v>20.54</v>
          </cell>
          <cell r="F413">
            <v>2074.11</v>
          </cell>
        </row>
        <row r="414">
          <cell r="A414">
            <v>2108</v>
          </cell>
          <cell r="B414" t="str">
            <v>38mm (1 1/2") ball valve - PVC</v>
          </cell>
          <cell r="C414" t="str">
            <v>Nr</v>
          </cell>
          <cell r="D414">
            <v>495</v>
          </cell>
          <cell r="E414">
            <v>4.95</v>
          </cell>
          <cell r="F414">
            <v>500</v>
          </cell>
        </row>
        <row r="415">
          <cell r="A415">
            <v>2109</v>
          </cell>
          <cell r="B415" t="str">
            <v>12mm (1/2") bib tap - Brass</v>
          </cell>
          <cell r="C415" t="str">
            <v>Nr</v>
          </cell>
          <cell r="D415">
            <v>1250</v>
          </cell>
          <cell r="E415">
            <v>12.5</v>
          </cell>
          <cell r="F415">
            <v>1262.5</v>
          </cell>
        </row>
        <row r="416">
          <cell r="A416">
            <v>2110</v>
          </cell>
          <cell r="B416" t="str">
            <v>12mm (1/2") bib tap - Chromium Plated</v>
          </cell>
          <cell r="C416" t="str">
            <v>Nr</v>
          </cell>
          <cell r="D416">
            <v>1750</v>
          </cell>
          <cell r="E416">
            <v>17.5</v>
          </cell>
          <cell r="F416">
            <v>1767.5</v>
          </cell>
        </row>
        <row r="417">
          <cell r="A417">
            <v>2111</v>
          </cell>
          <cell r="B417" t="str">
            <v>12mm (1/2") bib tap - PVC</v>
          </cell>
          <cell r="C417" t="str">
            <v>Nr</v>
          </cell>
          <cell r="D417">
            <v>90</v>
          </cell>
          <cell r="E417">
            <v>0.9</v>
          </cell>
          <cell r="F417">
            <v>91</v>
          </cell>
        </row>
        <row r="418">
          <cell r="A418">
            <v>2112</v>
          </cell>
          <cell r="B418" t="str">
            <v>12mm (1/2") gate valve - Brass</v>
          </cell>
          <cell r="C418" t="str">
            <v>Nr</v>
          </cell>
          <cell r="D418">
            <v>500</v>
          </cell>
          <cell r="E418">
            <v>5</v>
          </cell>
          <cell r="F418">
            <v>505</v>
          </cell>
        </row>
        <row r="419">
          <cell r="A419">
            <v>2113</v>
          </cell>
          <cell r="B419" t="str">
            <v>12mm (1/2") gate valve - PVC</v>
          </cell>
          <cell r="C419" t="str">
            <v>Nr</v>
          </cell>
          <cell r="D419">
            <v>90</v>
          </cell>
          <cell r="E419">
            <v>0.9</v>
          </cell>
          <cell r="F419">
            <v>91</v>
          </cell>
        </row>
        <row r="420">
          <cell r="A420">
            <v>2114</v>
          </cell>
          <cell r="B420" t="str">
            <v>20mm (3/4") gate valve - Brass</v>
          </cell>
          <cell r="C420" t="str">
            <v>Nr</v>
          </cell>
          <cell r="D420">
            <v>625</v>
          </cell>
          <cell r="E420">
            <v>6.25</v>
          </cell>
          <cell r="F420">
            <v>631.5</v>
          </cell>
        </row>
        <row r="421">
          <cell r="A421">
            <v>2115</v>
          </cell>
          <cell r="B421" t="str">
            <v>20mm (3/4") gate valve - PVC</v>
          </cell>
          <cell r="C421" t="str">
            <v>Nr</v>
          </cell>
          <cell r="D421">
            <v>165</v>
          </cell>
          <cell r="E421">
            <v>1.65</v>
          </cell>
          <cell r="F421">
            <v>166.5</v>
          </cell>
        </row>
        <row r="422">
          <cell r="A422">
            <v>2116</v>
          </cell>
          <cell r="B422" t="str">
            <v>25mm (1") gate valve - Brass</v>
          </cell>
          <cell r="C422" t="str">
            <v>Nr</v>
          </cell>
          <cell r="D422">
            <v>1000</v>
          </cell>
          <cell r="E422">
            <v>10</v>
          </cell>
          <cell r="F422">
            <v>1010</v>
          </cell>
        </row>
        <row r="423">
          <cell r="A423">
            <v>2117</v>
          </cell>
          <cell r="B423" t="str">
            <v>25mm (1") gate valve - PVC</v>
          </cell>
          <cell r="C423" t="str">
            <v>Nr</v>
          </cell>
          <cell r="D423">
            <v>185</v>
          </cell>
          <cell r="E423">
            <v>1.85</v>
          </cell>
          <cell r="F423">
            <v>187</v>
          </cell>
        </row>
        <row r="424">
          <cell r="A424">
            <v>2118</v>
          </cell>
          <cell r="B424" t="str">
            <v>38mm (1 1/2") gate valve - Brass</v>
          </cell>
          <cell r="C424" t="str">
            <v>Nr</v>
          </cell>
          <cell r="D424">
            <v>1500</v>
          </cell>
          <cell r="E424">
            <v>15</v>
          </cell>
          <cell r="F424">
            <v>1515</v>
          </cell>
        </row>
        <row r="425">
          <cell r="A425">
            <v>2119</v>
          </cell>
          <cell r="B425" t="str">
            <v>38mm (1 1/2") gate valve - PVC</v>
          </cell>
          <cell r="C425" t="str">
            <v>Nr</v>
          </cell>
          <cell r="D425">
            <v>410</v>
          </cell>
          <cell r="E425">
            <v>4.0999999999999996</v>
          </cell>
          <cell r="F425">
            <v>414</v>
          </cell>
        </row>
        <row r="426">
          <cell r="A426">
            <v>2120</v>
          </cell>
          <cell r="B426" t="str">
            <v>20mm (1/2") Type 1000 PVC pipes</v>
          </cell>
          <cell r="C426" t="str">
            <v>m</v>
          </cell>
          <cell r="D426">
            <v>45.75</v>
          </cell>
          <cell r="E426">
            <v>0.46</v>
          </cell>
          <cell r="F426">
            <v>46</v>
          </cell>
        </row>
        <row r="427">
          <cell r="A427">
            <v>2121</v>
          </cell>
          <cell r="B427" t="str">
            <v>20mm (1/2") Type 600 PVC pipes</v>
          </cell>
          <cell r="C427" t="str">
            <v>m</v>
          </cell>
          <cell r="D427" t="str">
            <v>…</v>
          </cell>
        </row>
        <row r="428">
          <cell r="A428">
            <v>2122</v>
          </cell>
          <cell r="B428" t="str">
            <v>20mm (1/2") Type 400 PVC pipes</v>
          </cell>
          <cell r="C428" t="str">
            <v>m</v>
          </cell>
          <cell r="D428" t="str">
            <v>….</v>
          </cell>
        </row>
        <row r="429">
          <cell r="A429">
            <v>2123</v>
          </cell>
          <cell r="B429" t="str">
            <v>25mm (3/4") Type 1000 PVC pipes</v>
          </cell>
          <cell r="C429" t="str">
            <v>m</v>
          </cell>
          <cell r="D429">
            <v>115.25</v>
          </cell>
          <cell r="E429">
            <v>1.1499999999999999</v>
          </cell>
          <cell r="F429">
            <v>101.5</v>
          </cell>
        </row>
        <row r="430">
          <cell r="A430">
            <v>2124</v>
          </cell>
          <cell r="B430" t="str">
            <v>25mm (3/4") Type 600 PVC pipes</v>
          </cell>
          <cell r="C430" t="str">
            <v>m</v>
          </cell>
          <cell r="D430" t="str">
            <v>….</v>
          </cell>
        </row>
        <row r="431">
          <cell r="A431">
            <v>2125</v>
          </cell>
          <cell r="B431" t="str">
            <v>25mm (3/4") Type 400 PVC pipes</v>
          </cell>
          <cell r="C431" t="str">
            <v>m</v>
          </cell>
          <cell r="D431" t="str">
            <v>…..</v>
          </cell>
        </row>
        <row r="432">
          <cell r="A432">
            <v>2126</v>
          </cell>
          <cell r="B432" t="str">
            <v>32mm (1") Type 1000 PVC pipes</v>
          </cell>
          <cell r="C432" t="str">
            <v>m</v>
          </cell>
          <cell r="D432">
            <v>181.25</v>
          </cell>
          <cell r="E432">
            <v>1.81</v>
          </cell>
          <cell r="F432">
            <v>165.5</v>
          </cell>
        </row>
        <row r="433">
          <cell r="A433">
            <v>2127</v>
          </cell>
          <cell r="B433" t="str">
            <v>32mm (1") Type 600 PVC pipes</v>
          </cell>
          <cell r="C433" t="str">
            <v>m</v>
          </cell>
          <cell r="D433">
            <v>82</v>
          </cell>
          <cell r="E433">
            <v>0.82</v>
          </cell>
          <cell r="F433">
            <v>80.5</v>
          </cell>
        </row>
        <row r="434">
          <cell r="A434">
            <v>2128</v>
          </cell>
          <cell r="B434" t="str">
            <v>32mm (1") Type 400 PVC pipes</v>
          </cell>
          <cell r="C434" t="str">
            <v>m</v>
          </cell>
          <cell r="D434" t="str">
            <v>….</v>
          </cell>
        </row>
        <row r="435">
          <cell r="A435">
            <v>2129</v>
          </cell>
          <cell r="B435" t="str">
            <v>40mm (1 1/4") Type 1000 PVC pipes</v>
          </cell>
          <cell r="C435" t="str">
            <v>m</v>
          </cell>
          <cell r="D435">
            <v>245</v>
          </cell>
          <cell r="E435">
            <v>2.4500000000000002</v>
          </cell>
          <cell r="F435">
            <v>223.5</v>
          </cell>
        </row>
        <row r="436">
          <cell r="A436">
            <v>2130</v>
          </cell>
          <cell r="B436" t="str">
            <v>40mm (1 1/4") Type 600 PVC pipes</v>
          </cell>
          <cell r="C436" t="str">
            <v>m</v>
          </cell>
          <cell r="D436">
            <v>189.5</v>
          </cell>
          <cell r="E436">
            <v>1.9</v>
          </cell>
          <cell r="F436">
            <v>156.5</v>
          </cell>
        </row>
        <row r="437">
          <cell r="A437">
            <v>2131</v>
          </cell>
          <cell r="B437" t="str">
            <v>40mm (1 1/4") Type 400 PVC pipes</v>
          </cell>
          <cell r="C437" t="str">
            <v>m</v>
          </cell>
          <cell r="D437" t="str">
            <v>…..</v>
          </cell>
        </row>
        <row r="438">
          <cell r="A438">
            <v>2132</v>
          </cell>
          <cell r="B438" t="str">
            <v>50mm (1 1/2") Type 1000 PVC pipes</v>
          </cell>
          <cell r="C438" t="str">
            <v>m</v>
          </cell>
          <cell r="D438">
            <v>337.75</v>
          </cell>
          <cell r="E438">
            <v>3.38</v>
          </cell>
          <cell r="F438">
            <v>320.5</v>
          </cell>
        </row>
        <row r="439">
          <cell r="A439">
            <v>2133</v>
          </cell>
          <cell r="B439" t="str">
            <v>50mm (1 1/2") Type 600 PVC pipes</v>
          </cell>
          <cell r="C439" t="str">
            <v>m</v>
          </cell>
          <cell r="D439">
            <v>238</v>
          </cell>
          <cell r="E439">
            <v>2.38</v>
          </cell>
          <cell r="F439">
            <v>211</v>
          </cell>
        </row>
        <row r="440">
          <cell r="A440">
            <v>2134</v>
          </cell>
          <cell r="B440" t="str">
            <v>50mm (1 1/2") Type 400 PVC pipes</v>
          </cell>
          <cell r="C440" t="str">
            <v>m</v>
          </cell>
          <cell r="D440">
            <v>182.25</v>
          </cell>
          <cell r="E440">
            <v>1.82</v>
          </cell>
          <cell r="F440">
            <v>148</v>
          </cell>
        </row>
        <row r="441">
          <cell r="A441">
            <v>2135</v>
          </cell>
          <cell r="B441" t="str">
            <v>63mm (2") Type 1000 PVC pipes</v>
          </cell>
          <cell r="C441" t="str">
            <v>m</v>
          </cell>
          <cell r="D441">
            <v>572.75</v>
          </cell>
          <cell r="E441">
            <v>5.73</v>
          </cell>
          <cell r="F441">
            <v>543</v>
          </cell>
        </row>
        <row r="442">
          <cell r="A442">
            <v>2136</v>
          </cell>
          <cell r="B442" t="str">
            <v>63mm (2") Type 600 PVC pipes</v>
          </cell>
          <cell r="C442" t="str">
            <v>m</v>
          </cell>
          <cell r="D442">
            <v>388</v>
          </cell>
          <cell r="E442">
            <v>3.88</v>
          </cell>
          <cell r="F442">
            <v>346</v>
          </cell>
        </row>
        <row r="443">
          <cell r="A443">
            <v>2137</v>
          </cell>
          <cell r="B443" t="str">
            <v>63mm (2") Type 400 PVC pipes</v>
          </cell>
          <cell r="C443" t="str">
            <v>m</v>
          </cell>
          <cell r="D443">
            <v>344</v>
          </cell>
          <cell r="E443">
            <v>3.44</v>
          </cell>
          <cell r="F443">
            <v>270</v>
          </cell>
        </row>
        <row r="444">
          <cell r="A444">
            <v>2138</v>
          </cell>
          <cell r="B444" t="str">
            <v>75mm (2 1/2") Type 600 PVC pipes</v>
          </cell>
          <cell r="C444" t="str">
            <v>m</v>
          </cell>
          <cell r="D444">
            <v>720.5</v>
          </cell>
          <cell r="E444">
            <v>7.21</v>
          </cell>
          <cell r="F444">
            <v>693</v>
          </cell>
        </row>
        <row r="445">
          <cell r="A445">
            <v>2139</v>
          </cell>
          <cell r="B445" t="str">
            <v>75mm (2 1/2") Type 400 PVC pipes</v>
          </cell>
          <cell r="C445" t="str">
            <v>m</v>
          </cell>
          <cell r="D445">
            <v>500</v>
          </cell>
          <cell r="E445">
            <v>5</v>
          </cell>
          <cell r="F445">
            <v>439.5</v>
          </cell>
        </row>
        <row r="446">
          <cell r="A446">
            <v>2140</v>
          </cell>
          <cell r="B446" t="str">
            <v>90mm (3") Type 600 PVC pipes</v>
          </cell>
          <cell r="C446" t="str">
            <v>m</v>
          </cell>
          <cell r="D446">
            <v>732.5</v>
          </cell>
          <cell r="E446">
            <v>7.33</v>
          </cell>
          <cell r="F446">
            <v>915</v>
          </cell>
        </row>
        <row r="447">
          <cell r="A447">
            <v>2141</v>
          </cell>
          <cell r="B447" t="str">
            <v>90mm (3") Type 400 PVC pipes</v>
          </cell>
          <cell r="C447" t="str">
            <v>m</v>
          </cell>
          <cell r="D447">
            <v>555</v>
          </cell>
          <cell r="E447">
            <v>5.55</v>
          </cell>
          <cell r="F447">
            <v>603.5</v>
          </cell>
        </row>
        <row r="448">
          <cell r="A448">
            <v>2142</v>
          </cell>
          <cell r="B448" t="str">
            <v>110mm (4") Type 600 PVC pipes</v>
          </cell>
          <cell r="C448" t="str">
            <v>m</v>
          </cell>
          <cell r="D448">
            <v>1189.5</v>
          </cell>
          <cell r="E448">
            <v>11.9</v>
          </cell>
          <cell r="F448">
            <v>1338.5</v>
          </cell>
        </row>
        <row r="449">
          <cell r="A449">
            <v>2143</v>
          </cell>
          <cell r="B449" t="str">
            <v>110mm (4") Type 400 PVC pipes</v>
          </cell>
          <cell r="C449" t="str">
            <v>m</v>
          </cell>
          <cell r="D449">
            <v>652.5</v>
          </cell>
          <cell r="E449">
            <v>6.53</v>
          </cell>
          <cell r="F449">
            <v>635.5</v>
          </cell>
        </row>
        <row r="450">
          <cell r="A450">
            <v>2144</v>
          </cell>
          <cell r="B450" t="str">
            <v>12mm (1/2")  angle valve - Chromium Plated</v>
          </cell>
          <cell r="C450" t="str">
            <v>Nr</v>
          </cell>
          <cell r="D450">
            <v>1120</v>
          </cell>
          <cell r="E450">
            <v>11.2</v>
          </cell>
          <cell r="F450">
            <v>1131.2</v>
          </cell>
        </row>
        <row r="451">
          <cell r="A451">
            <v>2145</v>
          </cell>
          <cell r="B451" t="str">
            <v xml:space="preserve">12mm (1/2") flexible horse (450mm) </v>
          </cell>
          <cell r="C451" t="str">
            <v>Nr</v>
          </cell>
          <cell r="D451">
            <v>250</v>
          </cell>
          <cell r="E451">
            <v>2.5</v>
          </cell>
          <cell r="F451">
            <v>252.5</v>
          </cell>
        </row>
        <row r="452">
          <cell r="B452" t="str">
            <v>Sanitary Fittings</v>
          </cell>
        </row>
        <row r="453">
          <cell r="A453">
            <v>2201</v>
          </cell>
          <cell r="B453" t="str">
            <v>Kitchen sink with single bowl and single drain board</v>
          </cell>
          <cell r="C453" t="str">
            <v>Nr</v>
          </cell>
          <cell r="D453">
            <v>2750</v>
          </cell>
          <cell r="E453">
            <v>27.5</v>
          </cell>
          <cell r="F453">
            <v>2777.5</v>
          </cell>
        </row>
        <row r="454">
          <cell r="A454">
            <v>2202</v>
          </cell>
          <cell r="B454" t="str">
            <v>Kitchen sink with single bowl and double drain board</v>
          </cell>
          <cell r="C454" t="str">
            <v>Nr</v>
          </cell>
          <cell r="D454">
            <v>3150</v>
          </cell>
          <cell r="E454">
            <v>31.5</v>
          </cell>
          <cell r="F454">
            <v>3181.5</v>
          </cell>
        </row>
        <row r="455">
          <cell r="A455">
            <v>2203</v>
          </cell>
          <cell r="B455" t="str">
            <v>Kitchen sink with double bowl and double drain board</v>
          </cell>
          <cell r="C455" t="str">
            <v>Nr</v>
          </cell>
          <cell r="D455">
            <v>5500</v>
          </cell>
          <cell r="E455">
            <v>55</v>
          </cell>
          <cell r="F455">
            <v>5555</v>
          </cell>
        </row>
        <row r="456">
          <cell r="A456">
            <v>2204</v>
          </cell>
          <cell r="B456" t="str">
            <v>Heavy quality chromium plated swan tap</v>
          </cell>
          <cell r="C456" t="str">
            <v>Nr</v>
          </cell>
          <cell r="D456">
            <v>775</v>
          </cell>
          <cell r="E456">
            <v>7.75</v>
          </cell>
          <cell r="F456">
            <v>783</v>
          </cell>
        </row>
        <row r="457">
          <cell r="A457">
            <v>2205</v>
          </cell>
          <cell r="B457" t="str">
            <v>Tee Iron brackets</v>
          </cell>
          <cell r="C457" t="str">
            <v>Nr</v>
          </cell>
          <cell r="D457">
            <v>100</v>
          </cell>
          <cell r="E457">
            <v>1</v>
          </cell>
          <cell r="F457">
            <v>101</v>
          </cell>
        </row>
        <row r="458">
          <cell r="A458">
            <v>2206</v>
          </cell>
          <cell r="B458" t="str">
            <v>Ceramic wash basin (LCL)</v>
          </cell>
          <cell r="C458" t="str">
            <v>Nr</v>
          </cell>
          <cell r="D458">
            <v>4250</v>
          </cell>
          <cell r="E458">
            <v>42.5</v>
          </cell>
          <cell r="F458">
            <v>4292.5</v>
          </cell>
        </row>
        <row r="459">
          <cell r="A459">
            <v>2207</v>
          </cell>
          <cell r="B459" t="str">
            <v>Ceramic wash basin - Pedestal (LCL)</v>
          </cell>
          <cell r="C459" t="str">
            <v>Nr</v>
          </cell>
          <cell r="D459">
            <v>3900</v>
          </cell>
          <cell r="E459">
            <v>39</v>
          </cell>
          <cell r="F459">
            <v>3939</v>
          </cell>
        </row>
        <row r="460">
          <cell r="A460">
            <v>2208</v>
          </cell>
          <cell r="B460" t="str">
            <v>Ceramic wash basin - Pedestal (Ideal, American,British)</v>
          </cell>
          <cell r="C460" t="str">
            <v>Nr</v>
          </cell>
          <cell r="D460">
            <v>14821</v>
          </cell>
          <cell r="E460">
            <v>148.21</v>
          </cell>
          <cell r="F460">
            <v>14969.21</v>
          </cell>
        </row>
        <row r="461">
          <cell r="A461">
            <v>2209</v>
          </cell>
          <cell r="B461" t="str">
            <v>Heavy quality chromium plated pillar tap</v>
          </cell>
          <cell r="C461" t="str">
            <v>Nr</v>
          </cell>
          <cell r="D461">
            <v>1600</v>
          </cell>
          <cell r="E461">
            <v>16</v>
          </cell>
          <cell r="F461">
            <v>1616</v>
          </cell>
        </row>
        <row r="462">
          <cell r="A462">
            <v>2210</v>
          </cell>
          <cell r="B462" t="str">
            <v>Ceramic squatting pan with trap and ceramic foot rests</v>
          </cell>
          <cell r="C462" t="str">
            <v>Nr</v>
          </cell>
          <cell r="D462">
            <v>549</v>
          </cell>
          <cell r="E462">
            <v>5.49</v>
          </cell>
          <cell r="F462">
            <v>554.5</v>
          </cell>
        </row>
        <row r="463">
          <cell r="A463">
            <v>2211</v>
          </cell>
          <cell r="B463" t="str">
            <v>Square type ceramic squatting pan with foot rests and trap</v>
          </cell>
          <cell r="C463" t="str">
            <v>Nr</v>
          </cell>
          <cell r="D463">
            <v>925</v>
          </cell>
          <cell r="E463">
            <v>9.25</v>
          </cell>
          <cell r="F463">
            <v>934.5</v>
          </cell>
        </row>
        <row r="464">
          <cell r="A464">
            <v>2212</v>
          </cell>
          <cell r="B464" t="str">
            <v>9 liters capacity high level ceramic cistern</v>
          </cell>
          <cell r="C464" t="str">
            <v>Nr</v>
          </cell>
          <cell r="D464">
            <v>2500</v>
          </cell>
          <cell r="E464">
            <v>25</v>
          </cell>
          <cell r="F464">
            <v>2525</v>
          </cell>
        </row>
        <row r="465">
          <cell r="A465">
            <v>2213</v>
          </cell>
          <cell r="B465" t="str">
            <v>9 liters capacity high level PVC cistern</v>
          </cell>
          <cell r="C465" t="str">
            <v>Nr</v>
          </cell>
          <cell r="D465">
            <v>1900</v>
          </cell>
          <cell r="E465">
            <v>19</v>
          </cell>
          <cell r="F465">
            <v>1919</v>
          </cell>
        </row>
        <row r="466">
          <cell r="A466">
            <v>2214</v>
          </cell>
          <cell r="B466" t="str">
            <v>9 liters capacity low level ceramic cistern</v>
          </cell>
          <cell r="C466" t="str">
            <v>Nr</v>
          </cell>
          <cell r="D466">
            <v>2350</v>
          </cell>
          <cell r="E466">
            <v>23.5</v>
          </cell>
          <cell r="F466">
            <v>2373.5</v>
          </cell>
        </row>
        <row r="467">
          <cell r="A467">
            <v>2215</v>
          </cell>
          <cell r="B467" t="str">
            <v>9 liters capacity low level PVC cistern</v>
          </cell>
          <cell r="C467" t="str">
            <v>Nr</v>
          </cell>
          <cell r="D467">
            <v>1900</v>
          </cell>
          <cell r="E467">
            <v>19</v>
          </cell>
          <cell r="F467">
            <v>1919</v>
          </cell>
        </row>
        <row r="468">
          <cell r="A468">
            <v>2216</v>
          </cell>
          <cell r="B468" t="str">
            <v xml:space="preserve">Low level ceramic water closet (LCL) </v>
          </cell>
          <cell r="C468" t="str">
            <v>Nr</v>
          </cell>
          <cell r="D468">
            <v>4500</v>
          </cell>
          <cell r="E468">
            <v>45</v>
          </cell>
          <cell r="F468">
            <v>4545</v>
          </cell>
        </row>
        <row r="469">
          <cell r="A469">
            <v>2217</v>
          </cell>
          <cell r="B469" t="str">
            <v xml:space="preserve">Closed couple ceramic water closet (British) </v>
          </cell>
          <cell r="C469" t="str">
            <v>Nr</v>
          </cell>
          <cell r="D469">
            <v>12000</v>
          </cell>
          <cell r="E469">
            <v>120</v>
          </cell>
          <cell r="F469">
            <v>12120</v>
          </cell>
        </row>
        <row r="470">
          <cell r="A470">
            <v>2218</v>
          </cell>
          <cell r="B470" t="str">
            <v>Bowl type urinal</v>
          </cell>
          <cell r="C470" t="str">
            <v>Nr</v>
          </cell>
          <cell r="D470">
            <v>1380</v>
          </cell>
          <cell r="E470">
            <v>13.8</v>
          </cell>
          <cell r="F470">
            <v>1394</v>
          </cell>
        </row>
        <row r="471">
          <cell r="A471">
            <v>2219</v>
          </cell>
          <cell r="B471" t="str">
            <v>40mm Bottle Trap</v>
          </cell>
          <cell r="C471" t="str">
            <v>Nr</v>
          </cell>
          <cell r="D471">
            <v>3571.43</v>
          </cell>
          <cell r="E471">
            <v>35.71</v>
          </cell>
          <cell r="F471">
            <v>3607.14</v>
          </cell>
        </row>
        <row r="472">
          <cell r="A472">
            <v>2220</v>
          </cell>
          <cell r="B472" t="str">
            <v>Bidet shower</v>
          </cell>
          <cell r="C472" t="str">
            <v>Nr</v>
          </cell>
          <cell r="D472">
            <v>1850</v>
          </cell>
          <cell r="E472">
            <v>18.5</v>
          </cell>
          <cell r="F472">
            <v>1868.5</v>
          </cell>
        </row>
        <row r="473">
          <cell r="A473">
            <v>2221</v>
          </cell>
          <cell r="B473" t="str">
            <v>PVC seat cover</v>
          </cell>
          <cell r="C473" t="str">
            <v>Nr</v>
          </cell>
          <cell r="D473">
            <v>500</v>
          </cell>
          <cell r="E473">
            <v>5</v>
          </cell>
          <cell r="F473">
            <v>505</v>
          </cell>
        </row>
        <row r="474">
          <cell r="A474">
            <v>2222</v>
          </cell>
          <cell r="B474" t="str">
            <v>Bathroom mirror</v>
          </cell>
          <cell r="C474" t="str">
            <v>Nr</v>
          </cell>
          <cell r="D474">
            <v>750</v>
          </cell>
          <cell r="E474">
            <v>7.5</v>
          </cell>
          <cell r="F474">
            <v>757.5</v>
          </cell>
        </row>
        <row r="475">
          <cell r="A475">
            <v>2223</v>
          </cell>
          <cell r="B475" t="str">
            <v>Chromium Plated Soap Tray</v>
          </cell>
          <cell r="C475" t="str">
            <v>Nr</v>
          </cell>
          <cell r="D475">
            <v>2850</v>
          </cell>
          <cell r="E475">
            <v>28.5</v>
          </cell>
          <cell r="F475">
            <v>2878.5</v>
          </cell>
        </row>
        <row r="476">
          <cell r="A476">
            <v>2224</v>
          </cell>
          <cell r="B476" t="str">
            <v>Ceramic Soap Tray</v>
          </cell>
          <cell r="C476" t="str">
            <v>Nr</v>
          </cell>
          <cell r="D476">
            <v>300</v>
          </cell>
          <cell r="E476">
            <v>3</v>
          </cell>
          <cell r="F476">
            <v>303</v>
          </cell>
        </row>
        <row r="477">
          <cell r="A477">
            <v>2225</v>
          </cell>
          <cell r="B477" t="str">
            <v>Chromium Plated Tooth brush holder</v>
          </cell>
          <cell r="C477" t="str">
            <v>Nr</v>
          </cell>
          <cell r="D477">
            <v>2350</v>
          </cell>
          <cell r="E477">
            <v>23.5</v>
          </cell>
          <cell r="F477">
            <v>2373.5</v>
          </cell>
        </row>
        <row r="478">
          <cell r="A478">
            <v>2226</v>
          </cell>
          <cell r="B478" t="str">
            <v>Ceramic Tooth brush holder</v>
          </cell>
          <cell r="C478" t="str">
            <v>Nr</v>
          </cell>
          <cell r="D478">
            <v>400</v>
          </cell>
          <cell r="E478">
            <v>4</v>
          </cell>
          <cell r="F478">
            <v>404</v>
          </cell>
        </row>
        <row r="479">
          <cell r="A479">
            <v>2227</v>
          </cell>
          <cell r="B479" t="str">
            <v>Chromium Plated 150mm dia. Shower Rose</v>
          </cell>
          <cell r="C479" t="str">
            <v>Nr</v>
          </cell>
          <cell r="D479">
            <v>12600</v>
          </cell>
          <cell r="E479">
            <v>126</v>
          </cell>
          <cell r="F479">
            <v>12726</v>
          </cell>
        </row>
        <row r="480">
          <cell r="A480">
            <v>2228</v>
          </cell>
          <cell r="B480" t="str">
            <v>PVC 150mm dia. Shower Rose</v>
          </cell>
          <cell r="C480" t="str">
            <v>Nr</v>
          </cell>
          <cell r="D480">
            <v>140</v>
          </cell>
          <cell r="E480">
            <v>1.4</v>
          </cell>
          <cell r="F480">
            <v>141.4</v>
          </cell>
        </row>
        <row r="481">
          <cell r="A481">
            <v>2229</v>
          </cell>
          <cell r="B481" t="str">
            <v>Chromium Plated toilet paper holder</v>
          </cell>
          <cell r="C481" t="str">
            <v>Nr</v>
          </cell>
          <cell r="D481">
            <v>2740</v>
          </cell>
          <cell r="E481">
            <v>27.4</v>
          </cell>
          <cell r="F481">
            <v>2767.4</v>
          </cell>
        </row>
        <row r="482">
          <cell r="A482">
            <v>2230</v>
          </cell>
          <cell r="B482" t="str">
            <v>Ceremic toilet paper holder</v>
          </cell>
          <cell r="C482" t="str">
            <v>Nr</v>
          </cell>
          <cell r="D482">
            <v>400</v>
          </cell>
          <cell r="E482">
            <v>4</v>
          </cell>
          <cell r="F482">
            <v>404</v>
          </cell>
        </row>
        <row r="483">
          <cell r="A483">
            <v>2231</v>
          </cell>
          <cell r="B483" t="str">
            <v>Chromium Plated towel rail</v>
          </cell>
          <cell r="C483" t="str">
            <v>Nr</v>
          </cell>
          <cell r="D483">
            <v>3250</v>
          </cell>
          <cell r="E483">
            <v>32.5</v>
          </cell>
          <cell r="F483">
            <v>3282.5</v>
          </cell>
        </row>
        <row r="484">
          <cell r="A484">
            <v>2232</v>
          </cell>
          <cell r="B484" t="str">
            <v>Ceremic towel rail</v>
          </cell>
          <cell r="C484" t="str">
            <v>Nr</v>
          </cell>
          <cell r="D484">
            <v>600</v>
          </cell>
          <cell r="E484">
            <v>6</v>
          </cell>
          <cell r="F484">
            <v>606</v>
          </cell>
        </row>
        <row r="485">
          <cell r="A485">
            <v>2233</v>
          </cell>
          <cell r="B485" t="str">
            <v>Chromium Plated conceal valve for shower</v>
          </cell>
          <cell r="C485" t="str">
            <v>Nr</v>
          </cell>
          <cell r="D485">
            <v>1300</v>
          </cell>
          <cell r="E485">
            <v>13</v>
          </cell>
          <cell r="F485">
            <v>1313</v>
          </cell>
        </row>
        <row r="486">
          <cell r="B486" t="str">
            <v>Roof Plumber</v>
          </cell>
          <cell r="F486">
            <v>0</v>
          </cell>
        </row>
        <row r="487">
          <cell r="A487">
            <v>2301</v>
          </cell>
          <cell r="B487" t="str">
            <v>PVC eave gutters</v>
          </cell>
          <cell r="C487" t="str">
            <v>m</v>
          </cell>
          <cell r="D487">
            <v>540</v>
          </cell>
          <cell r="E487">
            <v>5.4</v>
          </cell>
          <cell r="F487">
            <v>545.5</v>
          </cell>
        </row>
        <row r="488">
          <cell r="A488">
            <v>2302</v>
          </cell>
          <cell r="B488" t="str">
            <v>End cap</v>
          </cell>
          <cell r="C488" t="str">
            <v>Nr</v>
          </cell>
          <cell r="D488">
            <v>85</v>
          </cell>
          <cell r="E488">
            <v>0.85</v>
          </cell>
          <cell r="F488">
            <v>72.5</v>
          </cell>
        </row>
        <row r="489">
          <cell r="A489">
            <v>2303</v>
          </cell>
          <cell r="B489" t="str">
            <v>Joint</v>
          </cell>
          <cell r="C489" t="str">
            <v>m</v>
          </cell>
          <cell r="D489">
            <v>85</v>
          </cell>
          <cell r="E489">
            <v>0.85</v>
          </cell>
          <cell r="F489">
            <v>86</v>
          </cell>
        </row>
        <row r="490">
          <cell r="A490">
            <v>2304</v>
          </cell>
          <cell r="B490" t="str">
            <v>Gutter joiner</v>
          </cell>
          <cell r="C490" t="str">
            <v>Nr</v>
          </cell>
          <cell r="D490">
            <v>95</v>
          </cell>
          <cell r="E490">
            <v>0.95</v>
          </cell>
          <cell r="F490">
            <v>96</v>
          </cell>
        </row>
        <row r="491">
          <cell r="A491">
            <v>2305</v>
          </cell>
          <cell r="B491" t="str">
            <v>Gutter brackets</v>
          </cell>
          <cell r="C491" t="str">
            <v>Nr</v>
          </cell>
          <cell r="D491">
            <v>24</v>
          </cell>
          <cell r="E491">
            <v>0.24</v>
          </cell>
          <cell r="F491">
            <v>36.5</v>
          </cell>
        </row>
        <row r="492">
          <cell r="A492">
            <v>2306</v>
          </cell>
          <cell r="B492" t="str">
            <v>Running head</v>
          </cell>
          <cell r="C492" t="str">
            <v>Nr</v>
          </cell>
          <cell r="D492">
            <v>225</v>
          </cell>
          <cell r="E492">
            <v>2.25</v>
          </cell>
          <cell r="F492">
            <v>227.25</v>
          </cell>
        </row>
        <row r="493">
          <cell r="A493">
            <v>2307</v>
          </cell>
          <cell r="B493" t="str">
            <v>87.5 mm dia. PVC down pipes</v>
          </cell>
          <cell r="C493" t="str">
            <v>m</v>
          </cell>
          <cell r="D493">
            <v>196</v>
          </cell>
          <cell r="E493">
            <v>1.96</v>
          </cell>
          <cell r="F493">
            <v>138.5</v>
          </cell>
        </row>
        <row r="494">
          <cell r="A494">
            <v>2308</v>
          </cell>
          <cell r="B494" t="str">
            <v>87.5 mm dia. PVC socket</v>
          </cell>
          <cell r="C494" t="str">
            <v>Nr</v>
          </cell>
          <cell r="D494">
            <v>65</v>
          </cell>
          <cell r="E494">
            <v>0.65</v>
          </cell>
          <cell r="F494">
            <v>62.5</v>
          </cell>
        </row>
        <row r="495">
          <cell r="A495">
            <v>2309</v>
          </cell>
          <cell r="B495" t="str">
            <v>87.5 mm dia. PVC elbows</v>
          </cell>
          <cell r="C495" t="str">
            <v>Nr</v>
          </cell>
          <cell r="D495">
            <v>150</v>
          </cell>
          <cell r="E495">
            <v>1.5</v>
          </cell>
          <cell r="F495">
            <v>91</v>
          </cell>
        </row>
        <row r="496">
          <cell r="A496">
            <v>2310</v>
          </cell>
          <cell r="B496" t="str">
            <v>Clips</v>
          </cell>
          <cell r="C496" t="str">
            <v>Nr</v>
          </cell>
          <cell r="D496">
            <v>20</v>
          </cell>
          <cell r="E496">
            <v>0.2</v>
          </cell>
          <cell r="F496">
            <v>18</v>
          </cell>
        </row>
        <row r="497">
          <cell r="A497">
            <v>2311</v>
          </cell>
          <cell r="B497" t="str">
            <v>200mmx200x87.5mm PVC gutter box</v>
          </cell>
          <cell r="C497" t="str">
            <v>Nr</v>
          </cell>
          <cell r="D497">
            <v>490</v>
          </cell>
          <cell r="E497">
            <v>4.9000000000000004</v>
          </cell>
          <cell r="F497">
            <v>494.9</v>
          </cell>
        </row>
        <row r="498">
          <cell r="A498">
            <v>2312</v>
          </cell>
          <cell r="B498" t="str">
            <v>Zink Aluminium rainwater eave gutters</v>
          </cell>
          <cell r="C498" t="str">
            <v>m</v>
          </cell>
          <cell r="D498">
            <v>525</v>
          </cell>
          <cell r="E498">
            <v>5.25</v>
          </cell>
          <cell r="F498">
            <v>530.5</v>
          </cell>
        </row>
        <row r="499">
          <cell r="A499">
            <v>2313</v>
          </cell>
          <cell r="B499" t="str">
            <v>Stop end and plate</v>
          </cell>
          <cell r="C499" t="str">
            <v>Nr</v>
          </cell>
          <cell r="D499">
            <v>140</v>
          </cell>
          <cell r="E499">
            <v>1.4</v>
          </cell>
          <cell r="F499">
            <v>141.5</v>
          </cell>
        </row>
        <row r="500">
          <cell r="A500">
            <v>2314</v>
          </cell>
          <cell r="B500" t="str">
            <v>Steel brackets</v>
          </cell>
          <cell r="C500" t="str">
            <v>Nr</v>
          </cell>
          <cell r="D500">
            <v>50</v>
          </cell>
          <cell r="E500">
            <v>0.5</v>
          </cell>
          <cell r="F500">
            <v>50.5</v>
          </cell>
        </row>
        <row r="501">
          <cell r="A501">
            <v>2315</v>
          </cell>
          <cell r="B501" t="str">
            <v>100x100mm Zn-alum down pipes</v>
          </cell>
          <cell r="C501" t="str">
            <v>m</v>
          </cell>
          <cell r="D501">
            <v>524</v>
          </cell>
          <cell r="E501">
            <v>5.24</v>
          </cell>
          <cell r="F501">
            <v>529</v>
          </cell>
        </row>
        <row r="502">
          <cell r="A502">
            <v>2316</v>
          </cell>
          <cell r="B502" t="str">
            <v>150x150mm Zn-alum down pipes</v>
          </cell>
          <cell r="C502" t="str">
            <v>m</v>
          </cell>
          <cell r="D502">
            <v>838</v>
          </cell>
          <cell r="E502">
            <v>8.3800000000000008</v>
          </cell>
          <cell r="F502">
            <v>846.5</v>
          </cell>
        </row>
        <row r="503">
          <cell r="A503">
            <v>2317</v>
          </cell>
          <cell r="B503" t="str">
            <v>Nozzles</v>
          </cell>
          <cell r="C503" t="str">
            <v>Nr</v>
          </cell>
          <cell r="D503">
            <v>754</v>
          </cell>
          <cell r="E503">
            <v>7.54</v>
          </cell>
          <cell r="F503">
            <v>761.5</v>
          </cell>
        </row>
        <row r="504">
          <cell r="A504">
            <v>2318</v>
          </cell>
          <cell r="B504" t="str">
            <v>Offsets</v>
          </cell>
          <cell r="C504" t="str">
            <v>Nr</v>
          </cell>
          <cell r="D504">
            <v>1635</v>
          </cell>
          <cell r="E504">
            <v>16.350000000000001</v>
          </cell>
          <cell r="F504">
            <v>1651.5</v>
          </cell>
        </row>
        <row r="505">
          <cell r="A505">
            <v>2319</v>
          </cell>
          <cell r="B505" t="str">
            <v>Shoes</v>
          </cell>
          <cell r="C505" t="str">
            <v>Nr</v>
          </cell>
          <cell r="D505">
            <v>624</v>
          </cell>
          <cell r="E505">
            <v>6.24</v>
          </cell>
          <cell r="F505">
            <v>630</v>
          </cell>
        </row>
        <row r="506">
          <cell r="A506">
            <v>2320</v>
          </cell>
          <cell r="B506" t="str">
            <v>Clips</v>
          </cell>
          <cell r="C506" t="str">
            <v>Nr</v>
          </cell>
          <cell r="D506">
            <v>9</v>
          </cell>
          <cell r="E506">
            <v>0.09</v>
          </cell>
          <cell r="F506">
            <v>9</v>
          </cell>
        </row>
        <row r="507">
          <cell r="A507">
            <v>2321</v>
          </cell>
          <cell r="B507" t="str">
            <v>300x300mm gutter boxes in Zink Alum color coated metal sheets</v>
          </cell>
          <cell r="C507" t="str">
            <v>Nr</v>
          </cell>
          <cell r="D507">
            <v>1142</v>
          </cell>
          <cell r="E507">
            <v>11.42</v>
          </cell>
          <cell r="F507">
            <v>1153.5</v>
          </cell>
        </row>
        <row r="508">
          <cell r="A508">
            <v>2322</v>
          </cell>
          <cell r="B508" t="str">
            <v>25x25mm N/A Alluminium</v>
          </cell>
          <cell r="C508" t="str">
            <v>m</v>
          </cell>
          <cell r="E508">
            <v>0</v>
          </cell>
        </row>
        <row r="509">
          <cell r="B509" t="str">
            <v>Tinker</v>
          </cell>
        </row>
        <row r="510">
          <cell r="A510">
            <v>2401</v>
          </cell>
          <cell r="B510" t="str">
            <v>18 B.W.G. sheets</v>
          </cell>
          <cell r="C510" t="str">
            <v>m2</v>
          </cell>
          <cell r="D510">
            <v>1177</v>
          </cell>
          <cell r="E510">
            <v>11.77</v>
          </cell>
          <cell r="F510">
            <v>1189</v>
          </cell>
        </row>
        <row r="511">
          <cell r="B511" t="str">
            <v>Drain Layer</v>
          </cell>
        </row>
        <row r="512">
          <cell r="A512">
            <v>2501</v>
          </cell>
          <cell r="B512" t="str">
            <v>Copper wire dome</v>
          </cell>
          <cell r="C512" t="str">
            <v>Nr</v>
          </cell>
          <cell r="D512">
            <v>250</v>
          </cell>
          <cell r="E512">
            <v>2.5</v>
          </cell>
          <cell r="F512">
            <v>252.5</v>
          </cell>
        </row>
        <row r="513">
          <cell r="A513">
            <v>2502</v>
          </cell>
          <cell r="B513" t="str">
            <v>Drainage gully and grate  PVC</v>
          </cell>
          <cell r="C513" t="str">
            <v>Nr</v>
          </cell>
          <cell r="D513">
            <v>130</v>
          </cell>
          <cell r="E513">
            <v>1.3</v>
          </cell>
          <cell r="F513">
            <v>131.5</v>
          </cell>
        </row>
        <row r="514">
          <cell r="A514">
            <v>2503</v>
          </cell>
          <cell r="B514" t="str">
            <v>40mm 4-way PVC floor trap</v>
          </cell>
          <cell r="C514" t="str">
            <v>Nr</v>
          </cell>
          <cell r="D514">
            <v>300</v>
          </cell>
          <cell r="E514">
            <v>3</v>
          </cell>
          <cell r="F514">
            <v>303</v>
          </cell>
        </row>
        <row r="515">
          <cell r="B515" t="str">
            <v>Painter</v>
          </cell>
        </row>
        <row r="516">
          <cell r="A516">
            <v>2601</v>
          </cell>
          <cell r="B516" t="str">
            <v>Lime</v>
          </cell>
          <cell r="C516" t="str">
            <v>kg</v>
          </cell>
          <cell r="D516">
            <v>20</v>
          </cell>
          <cell r="E516">
            <v>0.2</v>
          </cell>
          <cell r="F516">
            <v>20.5</v>
          </cell>
        </row>
        <row r="517">
          <cell r="A517">
            <v>2602</v>
          </cell>
          <cell r="B517" t="str">
            <v>Glue</v>
          </cell>
          <cell r="C517" t="str">
            <v>kg</v>
          </cell>
          <cell r="D517">
            <v>80</v>
          </cell>
          <cell r="E517">
            <v>0.8</v>
          </cell>
          <cell r="F517">
            <v>81</v>
          </cell>
        </row>
        <row r="518">
          <cell r="A518">
            <v>2603</v>
          </cell>
          <cell r="B518" t="str">
            <v>Yellow ochre</v>
          </cell>
          <cell r="C518" t="str">
            <v>kg</v>
          </cell>
          <cell r="D518">
            <v>60</v>
          </cell>
          <cell r="E518">
            <v>0.6</v>
          </cell>
          <cell r="F518">
            <v>60.5</v>
          </cell>
        </row>
        <row r="519">
          <cell r="A519">
            <v>2604</v>
          </cell>
          <cell r="B519" t="str">
            <v>Snowcem</v>
          </cell>
          <cell r="C519" t="str">
            <v>kg</v>
          </cell>
          <cell r="D519">
            <v>80</v>
          </cell>
          <cell r="E519">
            <v>0.8</v>
          </cell>
          <cell r="F519">
            <v>81</v>
          </cell>
        </row>
        <row r="520">
          <cell r="A520">
            <v>2605</v>
          </cell>
          <cell r="B520" t="str">
            <v>Wall primer</v>
          </cell>
          <cell r="C520" t="str">
            <v>l</v>
          </cell>
          <cell r="D520">
            <v>320</v>
          </cell>
          <cell r="E520">
            <v>3.2</v>
          </cell>
          <cell r="F520">
            <v>323</v>
          </cell>
        </row>
        <row r="521">
          <cell r="A521">
            <v>2606</v>
          </cell>
          <cell r="B521" t="str">
            <v>Emulsion paint</v>
          </cell>
          <cell r="C521" t="str">
            <v>l</v>
          </cell>
          <cell r="D521">
            <v>645</v>
          </cell>
          <cell r="E521">
            <v>6.45</v>
          </cell>
          <cell r="F521">
            <v>651.5</v>
          </cell>
        </row>
        <row r="522">
          <cell r="A522">
            <v>2607</v>
          </cell>
          <cell r="B522" t="str">
            <v>Weather shield paint</v>
          </cell>
          <cell r="C522" t="str">
            <v>l</v>
          </cell>
          <cell r="D522">
            <v>838</v>
          </cell>
          <cell r="E522">
            <v>8.3800000000000008</v>
          </cell>
          <cell r="F522">
            <v>846.5</v>
          </cell>
        </row>
        <row r="523">
          <cell r="A523">
            <v>2608</v>
          </cell>
          <cell r="B523" t="str">
            <v>Enamel paint</v>
          </cell>
          <cell r="C523" t="str">
            <v>l</v>
          </cell>
          <cell r="D523">
            <v>740</v>
          </cell>
          <cell r="E523">
            <v>7.4</v>
          </cell>
          <cell r="F523">
            <v>747.5</v>
          </cell>
        </row>
        <row r="524">
          <cell r="A524">
            <v>2609</v>
          </cell>
          <cell r="B524" t="str">
            <v>Anticorrosive paint</v>
          </cell>
          <cell r="C524" t="str">
            <v>l</v>
          </cell>
          <cell r="D524">
            <v>510</v>
          </cell>
          <cell r="E524">
            <v>5.0999999999999996</v>
          </cell>
          <cell r="F524">
            <v>515</v>
          </cell>
        </row>
        <row r="525">
          <cell r="A525">
            <v>2610</v>
          </cell>
          <cell r="B525" t="str">
            <v>Floor paint</v>
          </cell>
          <cell r="C525" t="str">
            <v>l</v>
          </cell>
          <cell r="D525">
            <v>780</v>
          </cell>
          <cell r="E525">
            <v>7.8</v>
          </cell>
          <cell r="F525">
            <v>788</v>
          </cell>
        </row>
        <row r="526">
          <cell r="A526">
            <v>2611</v>
          </cell>
          <cell r="B526" t="str">
            <v>Floor polish</v>
          </cell>
          <cell r="C526" t="str">
            <v>kg</v>
          </cell>
          <cell r="D526">
            <v>650</v>
          </cell>
          <cell r="E526">
            <v>6.5</v>
          </cell>
          <cell r="F526">
            <v>656.5</v>
          </cell>
        </row>
        <row r="527">
          <cell r="A527">
            <v>2612</v>
          </cell>
          <cell r="B527" t="str">
            <v>Wood primer</v>
          </cell>
          <cell r="C527" t="str">
            <v>l</v>
          </cell>
          <cell r="D527">
            <v>720</v>
          </cell>
          <cell r="E527">
            <v>7.2</v>
          </cell>
          <cell r="F527">
            <v>727</v>
          </cell>
        </row>
        <row r="528">
          <cell r="A528">
            <v>2613</v>
          </cell>
          <cell r="B528" t="str">
            <v>Polyurethane varnish</v>
          </cell>
          <cell r="C528" t="str">
            <v>l</v>
          </cell>
          <cell r="D528">
            <v>750</v>
          </cell>
          <cell r="E528">
            <v>7.5</v>
          </cell>
          <cell r="F528">
            <v>757.5</v>
          </cell>
        </row>
        <row r="529">
          <cell r="B529" t="str">
            <v>Electrical Installation</v>
          </cell>
        </row>
        <row r="530">
          <cell r="A530">
            <v>2701</v>
          </cell>
          <cell r="B530" t="str">
            <v>1/1.13 mm Cu\PVC\PVC ( 1 sq.mm)</v>
          </cell>
          <cell r="C530" t="str">
            <v>m</v>
          </cell>
          <cell r="D530">
            <v>18.5</v>
          </cell>
          <cell r="E530">
            <v>0.19</v>
          </cell>
          <cell r="F530">
            <v>18.5</v>
          </cell>
        </row>
        <row r="531">
          <cell r="A531">
            <v>2702</v>
          </cell>
          <cell r="B531" t="str">
            <v>7/0.67 mm Cu\PVC ( 2.5 sq.mm)</v>
          </cell>
          <cell r="C531" t="str">
            <v>m</v>
          </cell>
          <cell r="D531">
            <v>61.5</v>
          </cell>
          <cell r="E531">
            <v>0.62</v>
          </cell>
          <cell r="F531">
            <v>62</v>
          </cell>
        </row>
        <row r="532">
          <cell r="A532">
            <v>2703</v>
          </cell>
          <cell r="B532" t="str">
            <v>7/0.53mm Cu\PVC\PVC(T)-1.5sq.mm</v>
          </cell>
          <cell r="C532" t="str">
            <v>m</v>
          </cell>
          <cell r="D532">
            <v>79.2</v>
          </cell>
          <cell r="E532">
            <v>0.79</v>
          </cell>
          <cell r="F532">
            <v>80</v>
          </cell>
        </row>
        <row r="533">
          <cell r="A533">
            <v>2704</v>
          </cell>
          <cell r="B533" t="str">
            <v>7/0.67mm Cu\PVC\PVC(T)-2.5sq.mm</v>
          </cell>
          <cell r="C533" t="str">
            <v>m</v>
          </cell>
          <cell r="D533">
            <v>115.4</v>
          </cell>
          <cell r="E533">
            <v>1.1499999999999999</v>
          </cell>
          <cell r="F533">
            <v>116.5</v>
          </cell>
        </row>
        <row r="534">
          <cell r="A534">
            <v>2705</v>
          </cell>
          <cell r="B534" t="str">
            <v>7/1.04mm Cu\PVC\PVC(T)-6sq.mm</v>
          </cell>
          <cell r="C534" t="str">
            <v>m</v>
          </cell>
          <cell r="D534">
            <v>249.3</v>
          </cell>
          <cell r="E534">
            <v>2.4900000000000002</v>
          </cell>
          <cell r="F534">
            <v>252</v>
          </cell>
        </row>
        <row r="535">
          <cell r="A535">
            <v>2706</v>
          </cell>
          <cell r="B535" t="str">
            <v>Holder</v>
          </cell>
          <cell r="C535" t="str">
            <v>Nr</v>
          </cell>
          <cell r="D535">
            <v>55</v>
          </cell>
          <cell r="E535">
            <v>0.55000000000000004</v>
          </cell>
          <cell r="F535">
            <v>55.5</v>
          </cell>
        </row>
        <row r="536">
          <cell r="A536">
            <v>2707</v>
          </cell>
          <cell r="B536" t="str">
            <v>Sun box</v>
          </cell>
          <cell r="C536" t="str">
            <v>Nr</v>
          </cell>
          <cell r="D536">
            <v>35</v>
          </cell>
          <cell r="E536">
            <v>0.35</v>
          </cell>
          <cell r="F536">
            <v>35.5</v>
          </cell>
        </row>
        <row r="537">
          <cell r="A537">
            <v>2708</v>
          </cell>
          <cell r="B537" t="str">
            <v>Switch</v>
          </cell>
          <cell r="C537" t="str">
            <v>Nr</v>
          </cell>
          <cell r="D537">
            <v>35</v>
          </cell>
          <cell r="E537">
            <v>0.35</v>
          </cell>
          <cell r="F537">
            <v>35.5</v>
          </cell>
        </row>
        <row r="538">
          <cell r="A538">
            <v>2709</v>
          </cell>
          <cell r="B538" t="str">
            <v>PVC conduit 1"</v>
          </cell>
          <cell r="C538" t="str">
            <v>m</v>
          </cell>
          <cell r="D538">
            <v>34.25</v>
          </cell>
          <cell r="E538">
            <v>0.34</v>
          </cell>
          <cell r="F538">
            <v>34</v>
          </cell>
        </row>
        <row r="539">
          <cell r="A539">
            <v>2710</v>
          </cell>
          <cell r="B539" t="str">
            <v>5A socket outlet</v>
          </cell>
          <cell r="C539" t="str">
            <v>Nr</v>
          </cell>
          <cell r="D539">
            <v>340</v>
          </cell>
          <cell r="E539">
            <v>3.4</v>
          </cell>
          <cell r="F539">
            <v>315</v>
          </cell>
        </row>
        <row r="540">
          <cell r="A540">
            <v>2711</v>
          </cell>
          <cell r="B540" t="str">
            <v>13A socket outlet</v>
          </cell>
          <cell r="C540" t="str">
            <v>Nr</v>
          </cell>
          <cell r="D540">
            <v>360</v>
          </cell>
          <cell r="E540">
            <v>3.6</v>
          </cell>
          <cell r="F540">
            <v>333.5</v>
          </cell>
        </row>
        <row r="541">
          <cell r="A541">
            <v>2712</v>
          </cell>
          <cell r="B541" t="str">
            <v>15A socket outlet</v>
          </cell>
          <cell r="C541" t="str">
            <v>Nr</v>
          </cell>
          <cell r="D541">
            <v>420</v>
          </cell>
          <cell r="E541">
            <v>4.2</v>
          </cell>
          <cell r="F541">
            <v>387</v>
          </cell>
        </row>
        <row r="542">
          <cell r="A542">
            <v>2713</v>
          </cell>
          <cell r="B542" t="str">
            <v>Ceiling rose</v>
          </cell>
          <cell r="C542" t="str">
            <v>Nr</v>
          </cell>
          <cell r="D542">
            <v>85</v>
          </cell>
          <cell r="E542">
            <v>0.85</v>
          </cell>
          <cell r="F542">
            <v>86</v>
          </cell>
        </row>
        <row r="543">
          <cell r="A543">
            <v>2714</v>
          </cell>
          <cell r="B543" t="str">
            <v>Round block</v>
          </cell>
          <cell r="C543" t="str">
            <v>Nr</v>
          </cell>
          <cell r="D543">
            <v>15</v>
          </cell>
          <cell r="E543">
            <v>0.15</v>
          </cell>
          <cell r="F543">
            <v>15</v>
          </cell>
        </row>
        <row r="544">
          <cell r="A544">
            <v>2715</v>
          </cell>
          <cell r="B544" t="str">
            <v>Fan hook</v>
          </cell>
          <cell r="C544" t="str">
            <v>Nr</v>
          </cell>
          <cell r="D544">
            <v>175</v>
          </cell>
          <cell r="E544">
            <v>1.75</v>
          </cell>
          <cell r="F544">
            <v>177</v>
          </cell>
        </row>
        <row r="545">
          <cell r="A545">
            <v>2716</v>
          </cell>
          <cell r="B545" t="str">
            <v>Pendent lamp</v>
          </cell>
          <cell r="C545" t="str">
            <v>Nr</v>
          </cell>
          <cell r="D545">
            <v>60</v>
          </cell>
          <cell r="E545">
            <v>0.6</v>
          </cell>
          <cell r="F545">
            <v>60.5</v>
          </cell>
        </row>
        <row r="546">
          <cell r="A546">
            <v>2717</v>
          </cell>
          <cell r="B546" t="str">
            <v>Weather proofed angle batten lamp</v>
          </cell>
          <cell r="C546" t="str">
            <v>Nr</v>
          </cell>
          <cell r="D546">
            <v>1350</v>
          </cell>
          <cell r="E546">
            <v>13.5</v>
          </cell>
          <cell r="F546">
            <v>1363.5</v>
          </cell>
        </row>
        <row r="547">
          <cell r="A547">
            <v>2718</v>
          </cell>
          <cell r="B547" t="str">
            <v>Wall bracket lamp</v>
          </cell>
          <cell r="C547" t="str">
            <v>Nr</v>
          </cell>
          <cell r="D547">
            <v>850</v>
          </cell>
          <cell r="E547">
            <v>8.5</v>
          </cell>
          <cell r="F547">
            <v>858.5</v>
          </cell>
        </row>
        <row r="548">
          <cell r="A548">
            <v>2719</v>
          </cell>
          <cell r="B548" t="str">
            <v>1200 mm, 40W single fluorescent lamp</v>
          </cell>
          <cell r="C548" t="str">
            <v>Nr</v>
          </cell>
          <cell r="D548">
            <v>975</v>
          </cell>
          <cell r="E548">
            <v>9.75</v>
          </cell>
          <cell r="F548">
            <v>985</v>
          </cell>
        </row>
        <row r="549">
          <cell r="A549">
            <v>2720</v>
          </cell>
          <cell r="B549" t="str">
            <v>1200 mm, 40W double fluorescent lamp</v>
          </cell>
          <cell r="C549" t="str">
            <v>Nr</v>
          </cell>
          <cell r="D549">
            <v>1900</v>
          </cell>
          <cell r="E549">
            <v>19</v>
          </cell>
          <cell r="F549">
            <v>1919</v>
          </cell>
        </row>
        <row r="550">
          <cell r="A550">
            <v>2721</v>
          </cell>
          <cell r="B550" t="str">
            <v>600x300 mm fully parabolic reflective type fluorescent lamp (2 tube)</v>
          </cell>
          <cell r="C550" t="str">
            <v>Nr</v>
          </cell>
          <cell r="D550">
            <v>3450</v>
          </cell>
          <cell r="E550">
            <v>34.5</v>
          </cell>
          <cell r="F550">
            <v>3484.5</v>
          </cell>
        </row>
        <row r="551">
          <cell r="A551">
            <v>2722</v>
          </cell>
          <cell r="B551" t="str">
            <v>1200x300 mm fully parabolic reflective type fluorescent lamp (2 tube)</v>
          </cell>
          <cell r="C551" t="str">
            <v>Nr</v>
          </cell>
          <cell r="D551">
            <v>3850</v>
          </cell>
          <cell r="E551">
            <v>38.5</v>
          </cell>
          <cell r="F551">
            <v>3888.5</v>
          </cell>
        </row>
        <row r="552">
          <cell r="A552">
            <v>2723</v>
          </cell>
          <cell r="B552" t="str">
            <v>600x600 mm fully parabolic reflective type fluorescent lamp (3 tube)</v>
          </cell>
          <cell r="C552" t="str">
            <v>Nr</v>
          </cell>
          <cell r="D552">
            <v>3950</v>
          </cell>
          <cell r="E552">
            <v>39.5</v>
          </cell>
          <cell r="F552">
            <v>3989.5</v>
          </cell>
        </row>
        <row r="553">
          <cell r="A553">
            <v>2724</v>
          </cell>
          <cell r="B553" t="str">
            <v>1200x600 mm fully parabolic reflective type fluorescent lamp (3 tube)</v>
          </cell>
          <cell r="C553" t="str">
            <v>Nr</v>
          </cell>
          <cell r="D553">
            <v>4750</v>
          </cell>
          <cell r="E553">
            <v>47.5</v>
          </cell>
          <cell r="F553">
            <v>4797.5</v>
          </cell>
        </row>
        <row r="554">
          <cell r="A554">
            <v>2725</v>
          </cell>
          <cell r="B554" t="str">
            <v>1200mm sweep ceiling fan</v>
          </cell>
          <cell r="C554" t="str">
            <v>Nr</v>
          </cell>
          <cell r="D554">
            <v>5950</v>
          </cell>
          <cell r="E554">
            <v>59.5</v>
          </cell>
          <cell r="F554">
            <v>6009.5</v>
          </cell>
        </row>
        <row r="555">
          <cell r="A555">
            <v>2726</v>
          </cell>
          <cell r="B555" t="str">
            <v>300x300mm exhaust fan</v>
          </cell>
          <cell r="C555" t="str">
            <v>Nr</v>
          </cell>
          <cell r="D555">
            <v>4250</v>
          </cell>
          <cell r="E555">
            <v>42.5</v>
          </cell>
          <cell r="F555">
            <v>4292.5</v>
          </cell>
        </row>
        <row r="556">
          <cell r="A556">
            <v>2727</v>
          </cell>
          <cell r="B556" t="str">
            <v>Wall mounted fan</v>
          </cell>
          <cell r="C556" t="str">
            <v>Nr</v>
          </cell>
          <cell r="D556">
            <v>6250</v>
          </cell>
          <cell r="E556">
            <v>62.5</v>
          </cell>
          <cell r="F556">
            <v>6312.5</v>
          </cell>
        </row>
        <row r="557">
          <cell r="A557">
            <v>2728</v>
          </cell>
          <cell r="B557" t="str">
            <v>40 Amp single phase main switch</v>
          </cell>
          <cell r="C557" t="str">
            <v>Nr</v>
          </cell>
          <cell r="D557">
            <v>736</v>
          </cell>
          <cell r="E557">
            <v>7.36</v>
          </cell>
          <cell r="F557">
            <v>743.5</v>
          </cell>
        </row>
        <row r="558">
          <cell r="A558">
            <v>2729</v>
          </cell>
          <cell r="B558" t="str">
            <v>60 Amp single phase main switch</v>
          </cell>
          <cell r="C558" t="str">
            <v>Nr</v>
          </cell>
          <cell r="D558">
            <v>871</v>
          </cell>
          <cell r="E558">
            <v>8.7100000000000009</v>
          </cell>
          <cell r="F558">
            <v>879.5</v>
          </cell>
        </row>
        <row r="559">
          <cell r="A559">
            <v>2730</v>
          </cell>
          <cell r="B559" t="str">
            <v>40 Amp Circuit breaker</v>
          </cell>
          <cell r="C559" t="str">
            <v>Nr</v>
          </cell>
          <cell r="D559">
            <v>395</v>
          </cell>
          <cell r="E559">
            <v>3.95</v>
          </cell>
          <cell r="F559">
            <v>399</v>
          </cell>
        </row>
        <row r="560">
          <cell r="A560">
            <v>2731</v>
          </cell>
          <cell r="B560" t="str">
            <v>Distribution board with cover</v>
          </cell>
          <cell r="C560" t="str">
            <v>Nr</v>
          </cell>
          <cell r="D560">
            <v>1450</v>
          </cell>
          <cell r="E560">
            <v>14.5</v>
          </cell>
          <cell r="F560">
            <v>1464.5</v>
          </cell>
        </row>
        <row r="561">
          <cell r="A561">
            <v>2732</v>
          </cell>
          <cell r="B561" t="str">
            <v>40 Amp three phase main switch</v>
          </cell>
          <cell r="C561" t="str">
            <v>Nr</v>
          </cell>
          <cell r="D561">
            <v>1224</v>
          </cell>
          <cell r="E561">
            <v>12.24</v>
          </cell>
          <cell r="F561">
            <v>1236</v>
          </cell>
        </row>
        <row r="562">
          <cell r="A562">
            <v>2733</v>
          </cell>
          <cell r="B562" t="str">
            <v>60 Amp three phase main switch</v>
          </cell>
          <cell r="C562" t="str">
            <v>Nr</v>
          </cell>
          <cell r="D562">
            <v>1324</v>
          </cell>
          <cell r="E562">
            <v>13.24</v>
          </cell>
          <cell r="F562">
            <v>1337</v>
          </cell>
        </row>
        <row r="563">
          <cell r="A563">
            <v>2734</v>
          </cell>
          <cell r="B563" t="str">
            <v>40 Amp single phase RCCB (Trip switch)</v>
          </cell>
          <cell r="C563" t="str">
            <v>Nr</v>
          </cell>
          <cell r="D563">
            <v>2677</v>
          </cell>
          <cell r="E563">
            <v>26.77</v>
          </cell>
          <cell r="F563">
            <v>2704</v>
          </cell>
        </row>
        <row r="564">
          <cell r="A564">
            <v>2735</v>
          </cell>
          <cell r="B564" t="str">
            <v>60 Amp single phase RCCB (Trip switch)</v>
          </cell>
          <cell r="C564" t="str">
            <v>Nr</v>
          </cell>
          <cell r="D564">
            <v>2712</v>
          </cell>
          <cell r="E564">
            <v>27.12</v>
          </cell>
          <cell r="F564">
            <v>2739</v>
          </cell>
        </row>
        <row r="565">
          <cell r="A565">
            <v>2736</v>
          </cell>
          <cell r="B565" t="str">
            <v>40 Amp three phase RCCB (Trip switch)</v>
          </cell>
          <cell r="C565" t="str">
            <v>Nr</v>
          </cell>
          <cell r="D565">
            <v>3706</v>
          </cell>
          <cell r="E565">
            <v>37.06</v>
          </cell>
          <cell r="F565">
            <v>3743</v>
          </cell>
        </row>
        <row r="566">
          <cell r="A566">
            <v>2737</v>
          </cell>
          <cell r="B566" t="str">
            <v>60 Amp three phase RCCB (Trip switch)</v>
          </cell>
          <cell r="C566" t="str">
            <v>Nr</v>
          </cell>
          <cell r="D566">
            <v>3912</v>
          </cell>
          <cell r="E566">
            <v>39.119999999999997</v>
          </cell>
          <cell r="F566">
            <v>3951</v>
          </cell>
        </row>
        <row r="567">
          <cell r="A567">
            <v>2738</v>
          </cell>
          <cell r="B567" t="str">
            <v>Electrical Bell</v>
          </cell>
          <cell r="C567" t="str">
            <v>Nr</v>
          </cell>
          <cell r="D567">
            <v>500</v>
          </cell>
          <cell r="E567">
            <v>5</v>
          </cell>
          <cell r="F567">
            <v>505</v>
          </cell>
        </row>
        <row r="568">
          <cell r="A568">
            <v>2739</v>
          </cell>
          <cell r="B568" t="str">
            <v>GI earth electrode</v>
          </cell>
          <cell r="C568" t="str">
            <v>Nr</v>
          </cell>
          <cell r="D568">
            <v>990</v>
          </cell>
          <cell r="E568">
            <v>9.9</v>
          </cell>
          <cell r="F568">
            <v>1000</v>
          </cell>
        </row>
        <row r="569">
          <cell r="A569">
            <v>2740</v>
          </cell>
          <cell r="B569" t="str">
            <v>50x50x5.8 mm angle Iron</v>
          </cell>
          <cell r="C569" t="str">
            <v>m</v>
          </cell>
          <cell r="D569">
            <v>467</v>
          </cell>
          <cell r="E569">
            <v>4.67</v>
          </cell>
          <cell r="F569">
            <v>471.5</v>
          </cell>
        </row>
        <row r="570">
          <cell r="A570">
            <v>2741</v>
          </cell>
          <cell r="B570" t="str">
            <v>60 Amp Circuit breaker</v>
          </cell>
          <cell r="C570" t="str">
            <v>Nr</v>
          </cell>
          <cell r="D570">
            <v>395</v>
          </cell>
          <cell r="E570">
            <v>3.95</v>
          </cell>
          <cell r="F570">
            <v>399</v>
          </cell>
        </row>
        <row r="571">
          <cell r="B571" t="str">
            <v>Miscellaneous Work</v>
          </cell>
        </row>
        <row r="572">
          <cell r="A572">
            <v>2801</v>
          </cell>
          <cell r="B572" t="str">
            <v>PVC coated gauge 10 chain link mesh</v>
          </cell>
          <cell r="C572" t="str">
            <v>m2</v>
          </cell>
          <cell r="D572">
            <v>595</v>
          </cell>
          <cell r="E572">
            <v>5.95</v>
          </cell>
          <cell r="F572">
            <v>543.5</v>
          </cell>
        </row>
        <row r="573">
          <cell r="A573">
            <v>2802</v>
          </cell>
          <cell r="B573" t="str">
            <v>2" GI pipes (2mm)</v>
          </cell>
          <cell r="C573" t="str">
            <v>m</v>
          </cell>
          <cell r="D573">
            <v>1165</v>
          </cell>
          <cell r="E573">
            <v>11.65</v>
          </cell>
          <cell r="F573">
            <v>547.5</v>
          </cell>
        </row>
        <row r="574">
          <cell r="A574">
            <v>2803</v>
          </cell>
          <cell r="B574" t="str">
            <v>1 1/2" GI pipes (2mm)</v>
          </cell>
          <cell r="C574" t="str">
            <v>m</v>
          </cell>
          <cell r="D574">
            <v>459</v>
          </cell>
          <cell r="E574">
            <v>4.59</v>
          </cell>
          <cell r="F574">
            <v>463.5</v>
          </cell>
        </row>
        <row r="575">
          <cell r="A575">
            <v>2804</v>
          </cell>
          <cell r="B575" t="str">
            <v>1"  GI pipes (2mm)</v>
          </cell>
          <cell r="C575" t="str">
            <v>m</v>
          </cell>
          <cell r="D575">
            <v>367</v>
          </cell>
          <cell r="E575">
            <v>3.67</v>
          </cell>
          <cell r="F575">
            <v>370.5</v>
          </cell>
        </row>
        <row r="576">
          <cell r="A576">
            <v>2805</v>
          </cell>
          <cell r="B576" t="str">
            <v>Barbed wire</v>
          </cell>
          <cell r="C576" t="str">
            <v>m</v>
          </cell>
          <cell r="D576">
            <v>25.35</v>
          </cell>
          <cell r="E576">
            <v>0.25</v>
          </cell>
          <cell r="F576">
            <v>25.6</v>
          </cell>
        </row>
        <row r="577">
          <cell r="A577">
            <v>2806</v>
          </cell>
          <cell r="B577" t="str">
            <v>Hooks and washers</v>
          </cell>
          <cell r="C577" t="str">
            <v>Nr</v>
          </cell>
          <cell r="D577">
            <v>10.5</v>
          </cell>
          <cell r="E577">
            <v>0.11</v>
          </cell>
          <cell r="F577">
            <v>10.5</v>
          </cell>
        </row>
        <row r="578">
          <cell r="A578">
            <v>2807</v>
          </cell>
          <cell r="B578" t="str">
            <v>Concrete fence posts 6'-0"</v>
          </cell>
          <cell r="C578" t="str">
            <v>Nr</v>
          </cell>
          <cell r="D578">
            <v>930</v>
          </cell>
          <cell r="E578">
            <v>9.3000000000000007</v>
          </cell>
          <cell r="F578">
            <v>939.5</v>
          </cell>
        </row>
        <row r="579">
          <cell r="A579">
            <v>2808</v>
          </cell>
          <cell r="B579" t="str">
            <v>Concrete fence posts 6'-6"</v>
          </cell>
          <cell r="C579" t="str">
            <v>Nr</v>
          </cell>
          <cell r="D579">
            <v>1010</v>
          </cell>
          <cell r="E579">
            <v>10.1</v>
          </cell>
          <cell r="F579">
            <v>1020</v>
          </cell>
        </row>
        <row r="580">
          <cell r="A580">
            <v>2809</v>
          </cell>
          <cell r="B580" t="str">
            <v>Concrete fence posts 7'-0"</v>
          </cell>
          <cell r="C580" t="str">
            <v>Nr</v>
          </cell>
          <cell r="D580">
            <v>1100</v>
          </cell>
          <cell r="E580">
            <v>11</v>
          </cell>
          <cell r="F580">
            <v>1111</v>
          </cell>
        </row>
        <row r="581">
          <cell r="A581">
            <v>2810</v>
          </cell>
          <cell r="B581" t="str">
            <v>Concrete fence posts 8'-0"</v>
          </cell>
          <cell r="C581" t="str">
            <v>Nr</v>
          </cell>
          <cell r="D581">
            <v>1240</v>
          </cell>
          <cell r="E581">
            <v>12.4</v>
          </cell>
          <cell r="F581">
            <v>1252.5</v>
          </cell>
        </row>
        <row r="582">
          <cell r="A582">
            <v>2811</v>
          </cell>
          <cell r="B582" t="str">
            <v>Concrete fence posts 10'-6"</v>
          </cell>
          <cell r="C582" t="str">
            <v>Nr</v>
          </cell>
          <cell r="D582">
            <v>2850</v>
          </cell>
          <cell r="E582">
            <v>28.5</v>
          </cell>
          <cell r="F582">
            <v>2878.5</v>
          </cell>
        </row>
        <row r="583">
          <cell r="A583">
            <v>2812</v>
          </cell>
          <cell r="B583" t="str">
            <v>Concrete fence supporting posts for corner posts</v>
          </cell>
          <cell r="C583" t="str">
            <v>Nr</v>
          </cell>
          <cell r="D583">
            <v>1250</v>
          </cell>
          <cell r="E583">
            <v>12.5</v>
          </cell>
          <cell r="F583">
            <v>1262.5</v>
          </cell>
        </row>
        <row r="584">
          <cell r="A584">
            <v>2813</v>
          </cell>
          <cell r="B584" t="str">
            <v>2" GI pipes (1.8mm)</v>
          </cell>
          <cell r="C584" t="str">
            <v>m</v>
          </cell>
          <cell r="D584">
            <v>492</v>
          </cell>
          <cell r="E584">
            <v>4.92</v>
          </cell>
          <cell r="F584">
            <v>497</v>
          </cell>
        </row>
        <row r="585">
          <cell r="A585">
            <v>2814</v>
          </cell>
          <cell r="B585" t="str">
            <v>2" GI pipes (1.5mm)</v>
          </cell>
          <cell r="C585" t="str">
            <v>m</v>
          </cell>
          <cell r="D585">
            <v>459</v>
          </cell>
          <cell r="E585">
            <v>4.59</v>
          </cell>
          <cell r="F585">
            <v>463.5</v>
          </cell>
        </row>
        <row r="586">
          <cell r="A586">
            <v>2815</v>
          </cell>
          <cell r="B586" t="str">
            <v>1 1/2" GI pipes (1.8mm)</v>
          </cell>
          <cell r="C586" t="str">
            <v>m</v>
          </cell>
          <cell r="D586">
            <v>434</v>
          </cell>
          <cell r="E586">
            <v>4.34</v>
          </cell>
          <cell r="F586">
            <v>438.5</v>
          </cell>
        </row>
        <row r="587">
          <cell r="A587">
            <v>2816</v>
          </cell>
          <cell r="B587" t="str">
            <v>1 1/2" GI pipes (1.5mm)</v>
          </cell>
          <cell r="C587" t="str">
            <v>m</v>
          </cell>
          <cell r="D587">
            <v>359</v>
          </cell>
          <cell r="E587">
            <v>3.59</v>
          </cell>
          <cell r="F587">
            <v>362.5</v>
          </cell>
        </row>
        <row r="588">
          <cell r="A588">
            <v>2817</v>
          </cell>
          <cell r="B588" t="str">
            <v>1 1/4" GI pipes (2mm)</v>
          </cell>
          <cell r="C588" t="str">
            <v>m</v>
          </cell>
          <cell r="D588">
            <v>409</v>
          </cell>
          <cell r="E588">
            <v>4.09</v>
          </cell>
          <cell r="F588">
            <v>413</v>
          </cell>
        </row>
        <row r="589">
          <cell r="A589">
            <v>2818</v>
          </cell>
          <cell r="B589" t="str">
            <v>1 1/4" GI pipes (1.8mm)</v>
          </cell>
          <cell r="C589" t="str">
            <v>m</v>
          </cell>
          <cell r="D589">
            <v>359</v>
          </cell>
          <cell r="E589">
            <v>3.59</v>
          </cell>
          <cell r="F589">
            <v>362.5</v>
          </cell>
        </row>
        <row r="590">
          <cell r="A590">
            <v>2819</v>
          </cell>
          <cell r="B590" t="str">
            <v>1 1/4" GI pipes (1.5mm)</v>
          </cell>
          <cell r="C590" t="str">
            <v>m</v>
          </cell>
          <cell r="D590">
            <v>267</v>
          </cell>
          <cell r="E590">
            <v>2.67</v>
          </cell>
          <cell r="F590">
            <v>269.5</v>
          </cell>
        </row>
        <row r="591">
          <cell r="A591">
            <v>2820</v>
          </cell>
          <cell r="B591" t="str">
            <v>1 " GI pipes (1.8mm)</v>
          </cell>
          <cell r="C591" t="str">
            <v>m</v>
          </cell>
          <cell r="D591">
            <v>292</v>
          </cell>
          <cell r="E591">
            <v>2.92</v>
          </cell>
          <cell r="F591">
            <v>295</v>
          </cell>
        </row>
        <row r="592">
          <cell r="A592">
            <v>2821</v>
          </cell>
          <cell r="B592" t="str">
            <v>1 " GI pipes (1.5mm)</v>
          </cell>
          <cell r="C592" t="str">
            <v>m</v>
          </cell>
          <cell r="D592">
            <v>234</v>
          </cell>
          <cell r="E592">
            <v>2.34</v>
          </cell>
          <cell r="F592">
            <v>236.5</v>
          </cell>
        </row>
        <row r="593">
          <cell r="A593">
            <v>2822</v>
          </cell>
          <cell r="B593" t="str">
            <v>12mm thick MDF board</v>
          </cell>
          <cell r="C593" t="str">
            <v>m2</v>
          </cell>
          <cell r="D593">
            <v>718</v>
          </cell>
          <cell r="E593">
            <v>7.18</v>
          </cell>
          <cell r="F593">
            <v>725</v>
          </cell>
        </row>
        <row r="594">
          <cell r="A594">
            <v>2823</v>
          </cell>
          <cell r="B594" t="str">
            <v>12 mm thick regiform board</v>
          </cell>
          <cell r="C594" t="str">
            <v>m2</v>
          </cell>
          <cell r="D594">
            <v>131</v>
          </cell>
          <cell r="E594">
            <v>1.31</v>
          </cell>
          <cell r="F594">
            <v>132.5</v>
          </cell>
        </row>
        <row r="595">
          <cell r="A595">
            <v>2824</v>
          </cell>
          <cell r="B595" t="str">
            <v>Velvet cloth</v>
          </cell>
          <cell r="C595" t="str">
            <v>m2</v>
          </cell>
          <cell r="D595">
            <v>150</v>
          </cell>
          <cell r="E595">
            <v>1.5</v>
          </cell>
          <cell r="F595">
            <v>151.5</v>
          </cell>
        </row>
        <row r="599">
          <cell r="A599" t="str">
            <v xml:space="preserve">Prepared and Checked by B.S.R. Preparation Committee </v>
          </cell>
        </row>
        <row r="601">
          <cell r="A601" t="str">
            <v>1.</v>
          </cell>
          <cell r="B601" t="str">
            <v>Chairman : Eng. P. S. S. Vithanage, Chief Engineer (Buildings)</v>
          </cell>
        </row>
        <row r="603">
          <cell r="A603" t="str">
            <v>2</v>
          </cell>
          <cell r="B603" t="str">
            <v>Member 1 : Eng H.M Jayarathna, Chief Engineer (Buildings)</v>
          </cell>
        </row>
        <row r="605">
          <cell r="A605" t="str">
            <v>3</v>
          </cell>
          <cell r="B605" t="str">
            <v>Member 2 : Eng H.M Dharmarathna, Engineer</v>
          </cell>
        </row>
        <row r="607">
          <cell r="A607" t="str">
            <v>4</v>
          </cell>
          <cell r="B607" t="str">
            <v>Member 3 : Eng. D.M.R. Dhanapala, Engineer</v>
          </cell>
        </row>
        <row r="611">
          <cell r="A611" t="str">
            <v>Recommended by :</v>
          </cell>
        </row>
        <row r="614">
          <cell r="B614" t="str">
            <v>……………………………….</v>
          </cell>
        </row>
        <row r="615">
          <cell r="B615" t="str">
            <v>Eng. D. M. K. S. Dissanayake</v>
          </cell>
        </row>
        <row r="616">
          <cell r="B616" t="str">
            <v>Provincial Director ( Buildings)</v>
          </cell>
        </row>
        <row r="618">
          <cell r="A618" t="str">
            <v>Approved by:</v>
          </cell>
        </row>
        <row r="621">
          <cell r="B621" t="str">
            <v>………………………………….</v>
          </cell>
        </row>
        <row r="622">
          <cell r="B622" t="str">
            <v>Eng. M.L.C. Fernandu</v>
          </cell>
        </row>
        <row r="623">
          <cell r="B623" t="str">
            <v>Deputy Chief Secretary ( Engineering Services)</v>
          </cell>
        </row>
      </sheetData>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_(9)"/>
      <sheetName val="SCHEDULE_(8)"/>
      <sheetName val="SCHEDULE_(7)"/>
      <sheetName val="SCHEDULE_(6)"/>
      <sheetName val="SCHEDULE_(5)"/>
      <sheetName val="SCHEDULE_(4)"/>
      <sheetName val="SCHEDULE_(3)"/>
      <sheetName val="SCHEDULE_(2)"/>
      <sheetName val="SCHEDULE"/>
      <sheetName val="Shape_Codes"/>
      <sheetName val="Database"/>
      <sheetName val="Help"/>
      <sheetName val="Setup"/>
      <sheetName val="About"/>
      <sheetName val="More"/>
      <sheetName val="page"/>
      <sheetName val="Info"/>
      <sheetName val="check"/>
      <sheetName val="schedule_nos"/>
      <sheetName val="Shape_cords"/>
      <sheetName val="SCHEDULE (9)"/>
      <sheetName val="SCHEDULE (8)"/>
      <sheetName val="SCHEDULE (7)"/>
      <sheetName val="SCHEDULE (6)"/>
      <sheetName val="SCHEDULE (5)"/>
      <sheetName val="SCHEDULE (4)"/>
      <sheetName val="SCHEDULE (3)"/>
      <sheetName val="SCHEDULE (2)"/>
      <sheetName val="Shape Codes"/>
      <sheetName val="schedule nos"/>
      <sheetName val="Shape cords"/>
    </sheetNames>
    <sheetDataSet>
      <sheetData sheetId="0"/>
      <sheetData sheetId="1"/>
      <sheetData sheetId="2"/>
      <sheetData sheetId="3"/>
      <sheetData sheetId="4"/>
      <sheetData sheetId="5"/>
      <sheetData sheetId="6"/>
      <sheetData sheetId="7"/>
      <sheetData sheetId="8">
        <row r="10">
          <cell r="AJ10">
            <v>0</v>
          </cell>
        </row>
        <row r="11">
          <cell r="AJ11">
            <v>0</v>
          </cell>
        </row>
        <row r="12">
          <cell r="AJ12">
            <v>0</v>
          </cell>
        </row>
        <row r="13">
          <cell r="AJ13">
            <v>0</v>
          </cell>
        </row>
        <row r="14">
          <cell r="AJ14">
            <v>0</v>
          </cell>
        </row>
        <row r="15">
          <cell r="AJ15">
            <v>0</v>
          </cell>
        </row>
        <row r="16">
          <cell r="AJ16">
            <v>0</v>
          </cell>
        </row>
        <row r="17">
          <cell r="AJ17">
            <v>0</v>
          </cell>
        </row>
        <row r="18">
          <cell r="AJ18">
            <v>0</v>
          </cell>
        </row>
        <row r="19">
          <cell r="AJ19">
            <v>0</v>
          </cell>
        </row>
        <row r="20">
          <cell r="AJ20">
            <v>0</v>
          </cell>
        </row>
        <row r="21">
          <cell r="AJ21">
            <v>0</v>
          </cell>
        </row>
        <row r="22">
          <cell r="AJ22">
            <v>0</v>
          </cell>
        </row>
        <row r="23">
          <cell r="AJ23">
            <v>0</v>
          </cell>
        </row>
        <row r="24">
          <cell r="AJ24">
            <v>0</v>
          </cell>
        </row>
        <row r="25">
          <cell r="AJ25">
            <v>0</v>
          </cell>
        </row>
        <row r="26">
          <cell r="AJ26">
            <v>0</v>
          </cell>
        </row>
        <row r="27">
          <cell r="AJ27">
            <v>0</v>
          </cell>
        </row>
        <row r="28">
          <cell r="AJ28">
            <v>0</v>
          </cell>
        </row>
        <row r="29">
          <cell r="AJ29">
            <v>0</v>
          </cell>
        </row>
        <row r="30">
          <cell r="AJ30">
            <v>0</v>
          </cell>
        </row>
        <row r="31">
          <cell r="AJ31">
            <v>0</v>
          </cell>
        </row>
        <row r="32">
          <cell r="AJ32">
            <v>0</v>
          </cell>
        </row>
      </sheetData>
      <sheetData sheetId="9"/>
      <sheetData sheetId="10">
        <row r="7">
          <cell r="B7" t="str">
            <v>Example Job 1</v>
          </cell>
          <cell r="C7">
            <v>990001</v>
          </cell>
          <cell r="D7" t="str">
            <v>ABC</v>
          </cell>
        </row>
        <row r="8">
          <cell r="B8" t="str">
            <v>Example Job 2</v>
          </cell>
          <cell r="C8">
            <v>990002</v>
          </cell>
          <cell r="D8" t="str">
            <v>DEF</v>
          </cell>
        </row>
        <row r="9">
          <cell r="B9" t="str">
            <v>Example Job 3</v>
          </cell>
          <cell r="C9">
            <v>990003</v>
          </cell>
          <cell r="D9" t="str">
            <v>GHJ</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ow r="1">
          <cell r="A1">
            <v>1</v>
          </cell>
        </row>
      </sheetData>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sheetData>
      <sheetData sheetId="3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 val="B-3"/>
      <sheetName val="tables"/>
    </sheetNames>
    <sheetDataSet>
      <sheetData sheetId="0"/>
      <sheetData sheetId="1">
        <row r="1">
          <cell r="J1">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s>
    <sheetDataSet>
      <sheetData sheetId="0"/>
      <sheetData sheetId="1">
        <row r="1">
          <cell r="J1">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s"/>
      <sheetName val="Instructions"/>
      <sheetName val="Material Prices"/>
      <sheetName val="Rate Analysis"/>
      <sheetName val="Rate Book"/>
      <sheetName val="Aluminium"/>
      <sheetName val="New item(discri)"/>
      <sheetName val="Sheet1"/>
      <sheetName val="Publicbuilding"/>
      <sheetName val="BQLIST"/>
    </sheetNames>
    <sheetDataSet>
      <sheetData sheetId="0"/>
      <sheetData sheetId="1"/>
      <sheetData sheetId="2"/>
      <sheetData sheetId="3">
        <row r="5">
          <cell r="A5" t="str">
            <v>ITEM</v>
          </cell>
          <cell r="B5" t="str">
            <v>DESCRIPTION</v>
          </cell>
          <cell r="C5" t="str">
            <v>UNIT</v>
          </cell>
          <cell r="D5" t="str">
            <v>MARKETPRICE</v>
          </cell>
          <cell r="E5" t="str">
            <v>TRANSPORTCOST</v>
          </cell>
          <cell r="F5" t="str">
            <v>PROPOSEDRATE</v>
          </cell>
        </row>
        <row r="6">
          <cell r="B6" t="str">
            <v>LABOUR</v>
          </cell>
        </row>
        <row r="7">
          <cell r="A7">
            <v>101</v>
          </cell>
          <cell r="B7" t="str">
            <v>Skilled Labour</v>
          </cell>
          <cell r="C7" t="str">
            <v>day</v>
          </cell>
          <cell r="D7">
            <v>800</v>
          </cell>
          <cell r="F7">
            <v>800</v>
          </cell>
        </row>
        <row r="8">
          <cell r="A8">
            <v>102</v>
          </cell>
          <cell r="B8" t="str">
            <v>Semiskilled Labour</v>
          </cell>
          <cell r="C8" t="str">
            <v>day</v>
          </cell>
          <cell r="D8">
            <v>700</v>
          </cell>
          <cell r="F8">
            <v>700</v>
          </cell>
        </row>
        <row r="9">
          <cell r="A9">
            <v>103</v>
          </cell>
          <cell r="B9" t="str">
            <v>Unskilled Labour</v>
          </cell>
          <cell r="C9" t="str">
            <v>day</v>
          </cell>
          <cell r="D9">
            <v>500</v>
          </cell>
          <cell r="F9">
            <v>500</v>
          </cell>
        </row>
        <row r="10">
          <cell r="A10">
            <v>104</v>
          </cell>
          <cell r="B10" t="str">
            <v>Mason</v>
          </cell>
          <cell r="C10" t="str">
            <v>day</v>
          </cell>
          <cell r="D10">
            <v>800</v>
          </cell>
          <cell r="F10">
            <v>800</v>
          </cell>
        </row>
        <row r="11">
          <cell r="A11">
            <v>105</v>
          </cell>
          <cell r="B11" t="str">
            <v>Carpenter</v>
          </cell>
          <cell r="C11" t="str">
            <v>day</v>
          </cell>
          <cell r="D11">
            <v>800</v>
          </cell>
          <cell r="F11">
            <v>800</v>
          </cell>
        </row>
        <row r="12">
          <cell r="A12">
            <v>106</v>
          </cell>
          <cell r="B12" t="str">
            <v>Plumber</v>
          </cell>
          <cell r="C12" t="str">
            <v>day</v>
          </cell>
          <cell r="D12">
            <v>800</v>
          </cell>
          <cell r="F12">
            <v>800</v>
          </cell>
        </row>
        <row r="13">
          <cell r="A13">
            <v>107</v>
          </cell>
          <cell r="B13" t="str">
            <v>Painter</v>
          </cell>
          <cell r="C13" t="str">
            <v>day</v>
          </cell>
          <cell r="D13">
            <v>800</v>
          </cell>
          <cell r="F13">
            <v>800</v>
          </cell>
        </row>
        <row r="14">
          <cell r="A14">
            <v>108</v>
          </cell>
          <cell r="B14" t="str">
            <v>Welder</v>
          </cell>
          <cell r="C14" t="str">
            <v>day</v>
          </cell>
          <cell r="D14">
            <v>800</v>
          </cell>
          <cell r="F14">
            <v>800</v>
          </cell>
        </row>
        <row r="15">
          <cell r="A15">
            <v>109</v>
          </cell>
          <cell r="B15" t="str">
            <v>Bar Bender</v>
          </cell>
          <cell r="C15" t="str">
            <v>day</v>
          </cell>
          <cell r="D15">
            <v>800</v>
          </cell>
          <cell r="F15">
            <v>800</v>
          </cell>
        </row>
        <row r="16">
          <cell r="B16" t="str">
            <v>MACHINES</v>
          </cell>
        </row>
        <row r="17">
          <cell r="A17">
            <v>201</v>
          </cell>
          <cell r="B17" t="str">
            <v>Concrete Mixer</v>
          </cell>
          <cell r="C17" t="str">
            <v>day</v>
          </cell>
          <cell r="D17">
            <v>5000</v>
          </cell>
          <cell r="F17">
            <v>5000</v>
          </cell>
        </row>
        <row r="18">
          <cell r="A18">
            <v>202</v>
          </cell>
          <cell r="B18" t="str">
            <v>Pocker vibrator</v>
          </cell>
          <cell r="C18" t="str">
            <v>day</v>
          </cell>
          <cell r="D18">
            <v>2000</v>
          </cell>
          <cell r="F18">
            <v>2000</v>
          </cell>
        </row>
        <row r="19">
          <cell r="A19">
            <v>203</v>
          </cell>
          <cell r="B19" t="str">
            <v xml:space="preserve">   Vibrating roller (one ton)</v>
          </cell>
          <cell r="C19" t="str">
            <v>day</v>
          </cell>
          <cell r="D19">
            <v>4500</v>
          </cell>
          <cell r="F19">
            <v>4500</v>
          </cell>
        </row>
        <row r="20">
          <cell r="A20">
            <v>204</v>
          </cell>
          <cell r="B20" t="str">
            <v xml:space="preserve">    Tractor</v>
          </cell>
          <cell r="C20" t="str">
            <v>day</v>
          </cell>
          <cell r="D20">
            <v>5000</v>
          </cell>
          <cell r="F20">
            <v>5000</v>
          </cell>
        </row>
        <row r="22">
          <cell r="B22" t="str">
            <v>MATERIALS</v>
          </cell>
        </row>
        <row r="23">
          <cell r="B23" t="str">
            <v>Earth Work</v>
          </cell>
        </row>
        <row r="24">
          <cell r="A24">
            <v>301</v>
          </cell>
          <cell r="B24" t="str">
            <v>Baskets</v>
          </cell>
          <cell r="C24" t="str">
            <v>Nr</v>
          </cell>
          <cell r="D24">
            <v>110</v>
          </cell>
          <cell r="F24">
            <v>110</v>
          </cell>
        </row>
        <row r="25">
          <cell r="A25">
            <v>302</v>
          </cell>
          <cell r="B25" t="str">
            <v>Gravel</v>
          </cell>
          <cell r="C25" t="str">
            <v>m3</v>
          </cell>
          <cell r="D25">
            <v>265</v>
          </cell>
          <cell r="F25">
            <v>265</v>
          </cell>
        </row>
        <row r="26">
          <cell r="A26">
            <v>303</v>
          </cell>
          <cell r="B26" t="str">
            <v>Earth</v>
          </cell>
          <cell r="C26" t="str">
            <v>m3</v>
          </cell>
          <cell r="D26">
            <v>124</v>
          </cell>
          <cell r="F26">
            <v>124</v>
          </cell>
        </row>
        <row r="27">
          <cell r="A27">
            <v>304</v>
          </cell>
          <cell r="B27" t="str">
            <v>Blasting powder</v>
          </cell>
          <cell r="C27" t="str">
            <v>kg</v>
          </cell>
          <cell r="D27">
            <v>650</v>
          </cell>
          <cell r="E27">
            <v>6.5</v>
          </cell>
          <cell r="F27">
            <v>657</v>
          </cell>
        </row>
        <row r="28">
          <cell r="A28">
            <v>305</v>
          </cell>
          <cell r="B28" t="str">
            <v>Safety fuse</v>
          </cell>
          <cell r="C28" t="str">
            <v>m</v>
          </cell>
          <cell r="D28">
            <v>42.5</v>
          </cell>
          <cell r="E28">
            <v>0.43</v>
          </cell>
          <cell r="F28">
            <v>43</v>
          </cell>
        </row>
        <row r="29">
          <cell r="A29">
            <v>306</v>
          </cell>
          <cell r="B29" t="str">
            <v>Detonators</v>
          </cell>
          <cell r="C29" t="str">
            <v>Nr</v>
          </cell>
          <cell r="D29">
            <v>30.8</v>
          </cell>
          <cell r="E29">
            <v>0.31</v>
          </cell>
          <cell r="F29">
            <v>31</v>
          </cell>
        </row>
        <row r="30">
          <cell r="B30" t="str">
            <v>Concrete Work</v>
          </cell>
        </row>
        <row r="31">
          <cell r="A31">
            <v>401</v>
          </cell>
          <cell r="B31" t="str">
            <v>Sand</v>
          </cell>
          <cell r="C31" t="str">
            <v>m3</v>
          </cell>
          <cell r="D31">
            <v>495</v>
          </cell>
          <cell r="F31">
            <v>495</v>
          </cell>
        </row>
        <row r="32">
          <cell r="A32">
            <v>402</v>
          </cell>
          <cell r="B32" t="str">
            <v>Cement</v>
          </cell>
          <cell r="C32" t="str">
            <v>bag</v>
          </cell>
          <cell r="D32">
            <v>810</v>
          </cell>
          <cell r="F32">
            <v>810</v>
          </cell>
        </row>
        <row r="33">
          <cell r="A33">
            <v>403</v>
          </cell>
          <cell r="B33" t="str">
            <v>Metal 50mm</v>
          </cell>
          <cell r="C33" t="str">
            <v>m3</v>
          </cell>
          <cell r="D33">
            <v>1770</v>
          </cell>
          <cell r="F33">
            <v>1770</v>
          </cell>
        </row>
        <row r="34">
          <cell r="A34">
            <v>404</v>
          </cell>
          <cell r="B34" t="str">
            <v>Metal 38mm</v>
          </cell>
          <cell r="C34" t="str">
            <v>m3</v>
          </cell>
          <cell r="D34">
            <v>1838</v>
          </cell>
          <cell r="F34">
            <v>1838</v>
          </cell>
        </row>
        <row r="35">
          <cell r="A35">
            <v>405</v>
          </cell>
          <cell r="B35" t="str">
            <v>Metal 25mm</v>
          </cell>
          <cell r="C35" t="str">
            <v>m3</v>
          </cell>
          <cell r="D35">
            <v>1945</v>
          </cell>
          <cell r="F35">
            <v>1945</v>
          </cell>
        </row>
        <row r="36">
          <cell r="A36">
            <v>406</v>
          </cell>
          <cell r="B36" t="str">
            <v>Metal 20mm</v>
          </cell>
          <cell r="C36" t="str">
            <v>m3</v>
          </cell>
          <cell r="D36">
            <v>2050</v>
          </cell>
          <cell r="F36">
            <v>2050</v>
          </cell>
        </row>
        <row r="37">
          <cell r="A37">
            <v>407</v>
          </cell>
          <cell r="B37" t="str">
            <v>Metal 12.5mm</v>
          </cell>
          <cell r="C37" t="str">
            <v>m3</v>
          </cell>
          <cell r="D37">
            <v>1485</v>
          </cell>
          <cell r="F37">
            <v>1485</v>
          </cell>
        </row>
        <row r="38">
          <cell r="B38" t="str">
            <v>Formwork</v>
          </cell>
          <cell r="F38">
            <v>0</v>
          </cell>
        </row>
        <row r="39">
          <cell r="A39">
            <v>501</v>
          </cell>
          <cell r="B39" t="str">
            <v>Shuttering planks - 25mm thick</v>
          </cell>
          <cell r="C39" t="str">
            <v>m2</v>
          </cell>
          <cell r="D39">
            <v>444</v>
          </cell>
          <cell r="E39">
            <v>4.4400000000000004</v>
          </cell>
          <cell r="F39">
            <v>448.5</v>
          </cell>
        </row>
        <row r="40">
          <cell r="A40">
            <v>502</v>
          </cell>
          <cell r="B40" t="str">
            <v>Plywood sheets - 20mm thick</v>
          </cell>
          <cell r="C40" t="str">
            <v>m2</v>
          </cell>
          <cell r="D40">
            <v>1043</v>
          </cell>
          <cell r="E40">
            <v>10.43</v>
          </cell>
          <cell r="F40">
            <v>1053.5</v>
          </cell>
        </row>
        <row r="41">
          <cell r="A41">
            <v>503</v>
          </cell>
          <cell r="B41" t="str">
            <v>Round timber 3m</v>
          </cell>
          <cell r="C41" t="str">
            <v>Nr</v>
          </cell>
          <cell r="D41">
            <v>60</v>
          </cell>
          <cell r="E41">
            <v>0.6</v>
          </cell>
          <cell r="F41">
            <v>60.5</v>
          </cell>
        </row>
        <row r="42">
          <cell r="A42">
            <v>504</v>
          </cell>
          <cell r="B42" t="str">
            <v>Bamboo 3m</v>
          </cell>
          <cell r="C42" t="str">
            <v>Nr</v>
          </cell>
          <cell r="D42">
            <v>60</v>
          </cell>
          <cell r="E42">
            <v>0.6</v>
          </cell>
          <cell r="F42">
            <v>60.6</v>
          </cell>
        </row>
        <row r="43">
          <cell r="A43">
            <v>505</v>
          </cell>
          <cell r="B43" t="str">
            <v>100mmx50mm class II timber</v>
          </cell>
          <cell r="C43" t="str">
            <v>m</v>
          </cell>
          <cell r="D43">
            <v>193.2</v>
          </cell>
          <cell r="E43">
            <v>1.93</v>
          </cell>
          <cell r="F43">
            <v>195</v>
          </cell>
        </row>
        <row r="44">
          <cell r="A44">
            <v>506</v>
          </cell>
          <cell r="B44" t="str">
            <v>50mmx50mm class II timber</v>
          </cell>
          <cell r="C44" t="str">
            <v>m</v>
          </cell>
          <cell r="D44">
            <v>109</v>
          </cell>
          <cell r="E44">
            <v>1.0900000000000001</v>
          </cell>
          <cell r="F44">
            <v>110</v>
          </cell>
        </row>
        <row r="45">
          <cell r="A45">
            <v>507</v>
          </cell>
          <cell r="B45" t="str">
            <v>Nail</v>
          </cell>
          <cell r="C45" t="str">
            <v>kg</v>
          </cell>
          <cell r="D45">
            <v>125</v>
          </cell>
          <cell r="E45">
            <v>1.25</v>
          </cell>
          <cell r="F45">
            <v>126.5</v>
          </cell>
        </row>
        <row r="46">
          <cell r="A46">
            <v>508</v>
          </cell>
          <cell r="B46" t="str">
            <v>Mould oil</v>
          </cell>
          <cell r="C46" t="str">
            <v>l</v>
          </cell>
          <cell r="D46">
            <v>89</v>
          </cell>
          <cell r="E46">
            <v>0.89</v>
          </cell>
          <cell r="F46">
            <v>90</v>
          </cell>
        </row>
        <row r="47">
          <cell r="A47">
            <v>509</v>
          </cell>
          <cell r="B47" t="str">
            <v>10mm dia. 450mm bolts</v>
          </cell>
          <cell r="C47" t="str">
            <v>Nr</v>
          </cell>
          <cell r="D47">
            <v>68</v>
          </cell>
          <cell r="E47">
            <v>0.68</v>
          </cell>
          <cell r="F47">
            <v>69</v>
          </cell>
        </row>
        <row r="48">
          <cell r="B48" t="str">
            <v>Reinforcement</v>
          </cell>
        </row>
        <row r="49">
          <cell r="A49">
            <v>601</v>
          </cell>
          <cell r="B49" t="str">
            <v>Steel  MS - 6mm</v>
          </cell>
          <cell r="C49" t="str">
            <v>kg</v>
          </cell>
          <cell r="D49">
            <v>78.400000000000006</v>
          </cell>
          <cell r="E49">
            <v>1.57</v>
          </cell>
          <cell r="F49">
            <v>80</v>
          </cell>
        </row>
        <row r="50">
          <cell r="A50">
            <v>602</v>
          </cell>
          <cell r="B50" t="str">
            <v>Steel  MS - &gt;6mm</v>
          </cell>
          <cell r="C50" t="str">
            <v>kg</v>
          </cell>
          <cell r="D50">
            <v>113</v>
          </cell>
          <cell r="E50">
            <v>2.2599999999999998</v>
          </cell>
          <cell r="F50">
            <v>115.5</v>
          </cell>
        </row>
        <row r="51">
          <cell r="A51">
            <v>603</v>
          </cell>
          <cell r="B51" t="str">
            <v>Steel  TS</v>
          </cell>
          <cell r="C51" t="str">
            <v>kg</v>
          </cell>
          <cell r="D51">
            <v>113</v>
          </cell>
          <cell r="E51">
            <v>2.2599999999999998</v>
          </cell>
          <cell r="F51">
            <v>115.5</v>
          </cell>
        </row>
        <row r="52">
          <cell r="A52">
            <v>604</v>
          </cell>
          <cell r="B52" t="str">
            <v>Binding wire</v>
          </cell>
          <cell r="C52" t="str">
            <v>kg</v>
          </cell>
          <cell r="D52">
            <v>130</v>
          </cell>
          <cell r="E52">
            <v>2.6</v>
          </cell>
          <cell r="F52">
            <v>132</v>
          </cell>
        </row>
        <row r="53">
          <cell r="B53" t="str">
            <v>Brick Work</v>
          </cell>
        </row>
        <row r="54">
          <cell r="A54">
            <v>701</v>
          </cell>
          <cell r="B54" t="str">
            <v>Bricks 220x105x65mm</v>
          </cell>
          <cell r="C54" t="str">
            <v>Nr</v>
          </cell>
          <cell r="D54">
            <v>4.5</v>
          </cell>
          <cell r="F54">
            <v>4.5</v>
          </cell>
        </row>
        <row r="55">
          <cell r="A55">
            <v>702</v>
          </cell>
          <cell r="B55" t="str">
            <v>Wire cut bricks</v>
          </cell>
          <cell r="C55" t="str">
            <v>Nr</v>
          </cell>
          <cell r="D55">
            <v>18</v>
          </cell>
          <cell r="F55">
            <v>18</v>
          </cell>
        </row>
        <row r="56">
          <cell r="A56">
            <v>703</v>
          </cell>
          <cell r="B56" t="str">
            <v>Batik bricks</v>
          </cell>
          <cell r="C56" t="str">
            <v>Nr</v>
          </cell>
          <cell r="D56">
            <v>22</v>
          </cell>
          <cell r="F56">
            <v>22</v>
          </cell>
        </row>
        <row r="57">
          <cell r="A57">
            <v>704</v>
          </cell>
          <cell r="B57" t="str">
            <v>Bricks 220x105x100mm</v>
          </cell>
          <cell r="C57" t="str">
            <v>Nr</v>
          </cell>
          <cell r="D57">
            <v>6</v>
          </cell>
          <cell r="F57">
            <v>6</v>
          </cell>
        </row>
        <row r="58">
          <cell r="A58">
            <v>705</v>
          </cell>
          <cell r="B58" t="str">
            <v>Bricks 220x150x100mm</v>
          </cell>
          <cell r="C58" t="str">
            <v>Nr</v>
          </cell>
          <cell r="D58">
            <v>7</v>
          </cell>
          <cell r="F58">
            <v>7</v>
          </cell>
        </row>
        <row r="59">
          <cell r="B59" t="str">
            <v>Masonry</v>
          </cell>
        </row>
        <row r="60">
          <cell r="A60">
            <v>801</v>
          </cell>
          <cell r="B60" t="str">
            <v>150x225mm rubble</v>
          </cell>
          <cell r="C60" t="str">
            <v>m3</v>
          </cell>
          <cell r="D60">
            <v>700</v>
          </cell>
          <cell r="F60">
            <v>700</v>
          </cell>
        </row>
        <row r="61">
          <cell r="A61">
            <v>802</v>
          </cell>
          <cell r="B61" t="str">
            <v>DPC Tar</v>
          </cell>
          <cell r="C61" t="str">
            <v>l</v>
          </cell>
          <cell r="D61">
            <v>96</v>
          </cell>
          <cell r="E61">
            <v>0.96</v>
          </cell>
          <cell r="F61">
            <v>97</v>
          </cell>
        </row>
        <row r="62">
          <cell r="B62" t="str">
            <v>Pavior</v>
          </cell>
        </row>
        <row r="63">
          <cell r="A63">
            <v>901</v>
          </cell>
          <cell r="B63" t="str">
            <v>Antitermite treatment - Sub contractors rate</v>
          </cell>
          <cell r="C63" t="str">
            <v>m2</v>
          </cell>
          <cell r="D63">
            <v>269</v>
          </cell>
          <cell r="F63">
            <v>269</v>
          </cell>
        </row>
        <row r="64">
          <cell r="A64">
            <v>902</v>
          </cell>
          <cell r="B64" t="str">
            <v>Water proofing - Sub contractors rate</v>
          </cell>
          <cell r="C64" t="str">
            <v>m2</v>
          </cell>
          <cell r="D64">
            <v>1126</v>
          </cell>
          <cell r="F64">
            <v>1126</v>
          </cell>
        </row>
        <row r="65">
          <cell r="A65">
            <v>903</v>
          </cell>
          <cell r="B65" t="str">
            <v>Gauge 1000 polythene</v>
          </cell>
          <cell r="C65" t="str">
            <v>m2</v>
          </cell>
          <cell r="D65">
            <v>66</v>
          </cell>
          <cell r="E65">
            <v>0.66</v>
          </cell>
          <cell r="F65">
            <v>66.66</v>
          </cell>
        </row>
        <row r="66">
          <cell r="A66">
            <v>904</v>
          </cell>
          <cell r="B66" t="str">
            <v>Crystaline waterproofing material (XYPEX concentrate)</v>
          </cell>
          <cell r="C66" t="str">
            <v>kg</v>
          </cell>
          <cell r="D66">
            <v>1065</v>
          </cell>
          <cell r="F66">
            <v>1065</v>
          </cell>
        </row>
        <row r="67">
          <cell r="B67" t="str">
            <v>Tiller</v>
          </cell>
          <cell r="F67">
            <v>0</v>
          </cell>
        </row>
        <row r="68">
          <cell r="A68">
            <v>1001</v>
          </cell>
          <cell r="B68" t="str">
            <v>100x100 glazed wall tiles</v>
          </cell>
          <cell r="C68" t="str">
            <v>Nr</v>
          </cell>
          <cell r="D68">
            <v>14</v>
          </cell>
          <cell r="E68">
            <v>0.14000000000000001</v>
          </cell>
          <cell r="F68">
            <v>14.5</v>
          </cell>
        </row>
        <row r="69">
          <cell r="A69">
            <v>1002</v>
          </cell>
          <cell r="B69" t="str">
            <v>150x150 glazed wall tiles</v>
          </cell>
          <cell r="C69" t="str">
            <v>Nr</v>
          </cell>
          <cell r="D69">
            <v>26</v>
          </cell>
          <cell r="E69">
            <v>0.26</v>
          </cell>
          <cell r="F69">
            <v>26.5</v>
          </cell>
        </row>
        <row r="70">
          <cell r="A70">
            <v>1003</v>
          </cell>
          <cell r="B70" t="str">
            <v>200x300 glazed wall tiles</v>
          </cell>
          <cell r="C70" t="str">
            <v>Nr</v>
          </cell>
          <cell r="D70">
            <v>80</v>
          </cell>
          <cell r="E70">
            <v>0.8</v>
          </cell>
          <cell r="F70">
            <v>81</v>
          </cell>
        </row>
        <row r="71">
          <cell r="A71">
            <v>1004</v>
          </cell>
          <cell r="B71" t="str">
            <v>300x400 glazed wall tiles</v>
          </cell>
          <cell r="C71" t="str">
            <v>Nr</v>
          </cell>
          <cell r="D71">
            <v>196</v>
          </cell>
          <cell r="E71">
            <v>1.96</v>
          </cell>
          <cell r="F71">
            <v>198</v>
          </cell>
        </row>
        <row r="72">
          <cell r="A72">
            <v>1005</v>
          </cell>
          <cell r="B72" t="str">
            <v>200x200 non skid floor tiles</v>
          </cell>
          <cell r="C72" t="str">
            <v>Nr</v>
          </cell>
          <cell r="D72">
            <v>49.5</v>
          </cell>
          <cell r="E72">
            <v>0.5</v>
          </cell>
          <cell r="F72">
            <v>50</v>
          </cell>
        </row>
        <row r="73">
          <cell r="A73">
            <v>1006</v>
          </cell>
          <cell r="B73" t="str">
            <v>300x300 non skid floor tiles</v>
          </cell>
          <cell r="C73" t="str">
            <v>Nr</v>
          </cell>
          <cell r="D73">
            <v>132.5</v>
          </cell>
          <cell r="E73">
            <v>1.33</v>
          </cell>
          <cell r="F73">
            <v>134</v>
          </cell>
        </row>
        <row r="74">
          <cell r="A74">
            <v>1007</v>
          </cell>
          <cell r="B74" t="str">
            <v>450x450 non skid floor tiles</v>
          </cell>
          <cell r="C74" t="str">
            <v>Nr</v>
          </cell>
          <cell r="D74">
            <v>294</v>
          </cell>
          <cell r="E74">
            <v>2.94</v>
          </cell>
          <cell r="F74">
            <v>297</v>
          </cell>
        </row>
        <row r="75">
          <cell r="A75">
            <v>1008</v>
          </cell>
          <cell r="B75" t="str">
            <v>200x200 non skid floor tiles - Homogeneous</v>
          </cell>
          <cell r="C75" t="str">
            <v>Nr</v>
          </cell>
          <cell r="D75">
            <v>74</v>
          </cell>
          <cell r="E75">
            <v>0.74</v>
          </cell>
          <cell r="F75">
            <v>75</v>
          </cell>
        </row>
        <row r="76">
          <cell r="A76">
            <v>1009</v>
          </cell>
          <cell r="B76" t="str">
            <v>300x300 non skid floor tiles - Homogeneous</v>
          </cell>
          <cell r="C76" t="str">
            <v>Nr</v>
          </cell>
          <cell r="D76">
            <v>145</v>
          </cell>
          <cell r="E76">
            <v>1.45</v>
          </cell>
          <cell r="F76">
            <v>146.5</v>
          </cell>
        </row>
        <row r="77">
          <cell r="A77">
            <v>1010</v>
          </cell>
          <cell r="B77" t="str">
            <v>400x400 non skid floor tiles - Homogeneous</v>
          </cell>
          <cell r="C77" t="str">
            <v>Nr</v>
          </cell>
          <cell r="D77">
            <v>280</v>
          </cell>
          <cell r="E77">
            <v>2.8</v>
          </cell>
          <cell r="F77">
            <v>283</v>
          </cell>
        </row>
        <row r="78">
          <cell r="A78">
            <v>1011</v>
          </cell>
          <cell r="B78" t="str">
            <v>PVC tile beading</v>
          </cell>
          <cell r="C78" t="str">
            <v>m</v>
          </cell>
          <cell r="D78">
            <v>35</v>
          </cell>
          <cell r="E78">
            <v>0.35</v>
          </cell>
          <cell r="F78">
            <v>35.5</v>
          </cell>
        </row>
        <row r="79">
          <cell r="A79">
            <v>1012</v>
          </cell>
          <cell r="B79" t="str">
            <v>Stainless steel tile beading</v>
          </cell>
          <cell r="C79" t="str">
            <v>m</v>
          </cell>
        </row>
        <row r="80">
          <cell r="A80">
            <v>1013</v>
          </cell>
          <cell r="B80" t="str">
            <v>non skid homogenous floor tiles quality 3</v>
          </cell>
          <cell r="C80" t="str">
            <v>m2</v>
          </cell>
          <cell r="D80">
            <v>1500</v>
          </cell>
          <cell r="E80">
            <v>15</v>
          </cell>
          <cell r="F80">
            <v>1515</v>
          </cell>
        </row>
        <row r="81">
          <cell r="A81">
            <v>1014</v>
          </cell>
          <cell r="B81" t="str">
            <v>non skid homogenous floor tiles quality 2</v>
          </cell>
          <cell r="C81" t="str">
            <v>m2</v>
          </cell>
          <cell r="D81">
            <v>1850</v>
          </cell>
          <cell r="E81">
            <v>18.5</v>
          </cell>
          <cell r="F81">
            <v>1868.5</v>
          </cell>
        </row>
        <row r="82">
          <cell r="A82">
            <v>1015</v>
          </cell>
          <cell r="B82" t="str">
            <v xml:space="preserve">non skid homogenous floor tiles quality 1 </v>
          </cell>
          <cell r="C82" t="str">
            <v>m2</v>
          </cell>
          <cell r="D82">
            <v>2425</v>
          </cell>
          <cell r="E82">
            <v>24.25</v>
          </cell>
          <cell r="F82">
            <v>2449.25</v>
          </cell>
        </row>
        <row r="83">
          <cell r="A83">
            <v>1016</v>
          </cell>
          <cell r="B83" t="str">
            <v>glazed wall tiles quality 1</v>
          </cell>
          <cell r="C83" t="str">
            <v>m2</v>
          </cell>
          <cell r="D83">
            <v>1500</v>
          </cell>
          <cell r="E83">
            <v>15</v>
          </cell>
          <cell r="F83">
            <v>1515</v>
          </cell>
        </row>
        <row r="84">
          <cell r="A84">
            <v>1017</v>
          </cell>
          <cell r="B84" t="str">
            <v xml:space="preserve">100mm high Timber Skirting </v>
          </cell>
          <cell r="C84" t="str">
            <v>m</v>
          </cell>
          <cell r="D84">
            <v>214</v>
          </cell>
          <cell r="E84">
            <v>2.14</v>
          </cell>
          <cell r="F84">
            <v>216.14</v>
          </cell>
        </row>
        <row r="86">
          <cell r="B86" t="str">
            <v>Roofer</v>
          </cell>
          <cell r="F86">
            <v>0</v>
          </cell>
        </row>
        <row r="87">
          <cell r="A87">
            <v>1101</v>
          </cell>
          <cell r="B87" t="str">
            <v>Special class timber</v>
          </cell>
          <cell r="C87" t="str">
            <v>m3</v>
          </cell>
          <cell r="D87">
            <v>75987</v>
          </cell>
          <cell r="E87">
            <v>759.87</v>
          </cell>
          <cell r="F87">
            <v>76747</v>
          </cell>
        </row>
        <row r="88">
          <cell r="A88">
            <v>1102</v>
          </cell>
          <cell r="B88" t="str">
            <v>50mmx25mm special class timber</v>
          </cell>
          <cell r="C88" t="str">
            <v>m</v>
          </cell>
          <cell r="D88">
            <v>65.599999999999994</v>
          </cell>
          <cell r="E88">
            <v>0.66</v>
          </cell>
          <cell r="F88">
            <v>66.5</v>
          </cell>
        </row>
        <row r="89">
          <cell r="A89">
            <v>1103</v>
          </cell>
          <cell r="B89" t="str">
            <v>50mmx50mm special class timber</v>
          </cell>
          <cell r="C89" t="str">
            <v>m</v>
          </cell>
          <cell r="D89">
            <v>136.19999999999999</v>
          </cell>
          <cell r="E89">
            <v>1.36</v>
          </cell>
          <cell r="F89">
            <v>137.5</v>
          </cell>
        </row>
        <row r="90">
          <cell r="A90">
            <v>1104</v>
          </cell>
          <cell r="B90" t="str">
            <v>100mmx50mm special class timber</v>
          </cell>
          <cell r="C90" t="str">
            <v>m</v>
          </cell>
          <cell r="D90">
            <v>385.5</v>
          </cell>
          <cell r="E90">
            <v>3.86</v>
          </cell>
          <cell r="F90">
            <v>389.5</v>
          </cell>
        </row>
        <row r="91">
          <cell r="A91">
            <v>1105</v>
          </cell>
          <cell r="B91" t="str">
            <v>100mmx75mm special class timber</v>
          </cell>
          <cell r="C91" t="str">
            <v>m</v>
          </cell>
          <cell r="D91">
            <v>587</v>
          </cell>
          <cell r="E91">
            <v>5.87</v>
          </cell>
          <cell r="F91">
            <v>593</v>
          </cell>
        </row>
        <row r="92">
          <cell r="A92">
            <v>1106</v>
          </cell>
          <cell r="B92" t="str">
            <v>125mmx50mm special class timber</v>
          </cell>
          <cell r="C92" t="str">
            <v>m</v>
          </cell>
          <cell r="D92">
            <v>487.8</v>
          </cell>
          <cell r="E92">
            <v>4.88</v>
          </cell>
          <cell r="F92">
            <v>492.5</v>
          </cell>
        </row>
        <row r="93">
          <cell r="A93">
            <v>1107</v>
          </cell>
          <cell r="B93" t="str">
            <v>125mmx75mm special class timber</v>
          </cell>
          <cell r="C93" t="str">
            <v>m</v>
          </cell>
          <cell r="D93">
            <v>742.9</v>
          </cell>
          <cell r="E93">
            <v>7.43</v>
          </cell>
          <cell r="F93">
            <v>750.5</v>
          </cell>
        </row>
        <row r="94">
          <cell r="A94">
            <v>1108</v>
          </cell>
          <cell r="B94" t="str">
            <v>150mmx50mm special class timber</v>
          </cell>
          <cell r="C94" t="str">
            <v>m</v>
          </cell>
          <cell r="D94">
            <v>589.70000000000005</v>
          </cell>
          <cell r="E94">
            <v>5.9</v>
          </cell>
          <cell r="F94">
            <v>595.5</v>
          </cell>
        </row>
        <row r="95">
          <cell r="A95">
            <v>1109</v>
          </cell>
          <cell r="B95" t="str">
            <v>150mmx75mm special class timber</v>
          </cell>
          <cell r="C95" t="str">
            <v>m</v>
          </cell>
          <cell r="D95">
            <v>901.5</v>
          </cell>
          <cell r="E95">
            <v>9.02</v>
          </cell>
          <cell r="F95">
            <v>910.5</v>
          </cell>
        </row>
        <row r="96">
          <cell r="A96">
            <v>1110</v>
          </cell>
          <cell r="B96" t="str">
            <v>Asbestos sheet</v>
          </cell>
          <cell r="C96" t="str">
            <v>m2</v>
          </cell>
          <cell r="D96">
            <v>440</v>
          </cell>
          <cell r="E96">
            <v>4.4000000000000004</v>
          </cell>
          <cell r="F96">
            <v>444.5</v>
          </cell>
        </row>
        <row r="97">
          <cell r="A97">
            <v>1111</v>
          </cell>
          <cell r="B97" t="str">
            <v>Roofing screws 112mm&amp; washer</v>
          </cell>
          <cell r="C97" t="str">
            <v>Nr</v>
          </cell>
          <cell r="D97">
            <v>20</v>
          </cell>
          <cell r="E97">
            <v>0.2</v>
          </cell>
          <cell r="F97">
            <v>20.5</v>
          </cell>
        </row>
        <row r="98">
          <cell r="A98">
            <v>1112</v>
          </cell>
          <cell r="B98" t="str">
            <v>Wood preservative</v>
          </cell>
          <cell r="C98" t="str">
            <v>l</v>
          </cell>
          <cell r="D98">
            <v>325</v>
          </cell>
          <cell r="E98">
            <v>3.25</v>
          </cell>
          <cell r="F98">
            <v>328.5</v>
          </cell>
        </row>
        <row r="99">
          <cell r="A99">
            <v>1113</v>
          </cell>
          <cell r="B99" t="str">
            <v>J bolt and nut</v>
          </cell>
          <cell r="C99" t="str">
            <v>Nr</v>
          </cell>
          <cell r="D99">
            <v>13</v>
          </cell>
          <cell r="E99">
            <v>0.13</v>
          </cell>
          <cell r="F99">
            <v>13.5</v>
          </cell>
        </row>
        <row r="100">
          <cell r="A100">
            <v>1114</v>
          </cell>
          <cell r="B100" t="str">
            <v xml:space="preserve">12mm bolt and nut </v>
          </cell>
          <cell r="C100" t="str">
            <v>Nr</v>
          </cell>
          <cell r="D100">
            <v>16</v>
          </cell>
          <cell r="E100">
            <v>0.16</v>
          </cell>
          <cell r="F100">
            <v>16.5</v>
          </cell>
        </row>
        <row r="101">
          <cell r="A101">
            <v>1115</v>
          </cell>
          <cell r="B101" t="str">
            <v>50x50x5.8mm angle irons</v>
          </cell>
          <cell r="C101" t="str">
            <v>m</v>
          </cell>
          <cell r="D101">
            <v>467</v>
          </cell>
          <cell r="E101">
            <v>4.67</v>
          </cell>
          <cell r="F101">
            <v>471.5</v>
          </cell>
        </row>
        <row r="102">
          <cell r="A102">
            <v>1116</v>
          </cell>
          <cell r="B102" t="str">
            <v>62.5x62.5x5.8mm angle irons</v>
          </cell>
          <cell r="C102" t="str">
            <v>m</v>
          </cell>
          <cell r="D102">
            <v>608</v>
          </cell>
          <cell r="E102">
            <v>6.08</v>
          </cell>
          <cell r="F102">
            <v>614</v>
          </cell>
        </row>
        <row r="103">
          <cell r="A103">
            <v>1117</v>
          </cell>
          <cell r="B103" t="str">
            <v>75x75x5.8mm angle irons</v>
          </cell>
          <cell r="C103" t="str">
            <v>m</v>
          </cell>
          <cell r="D103">
            <v>825</v>
          </cell>
          <cell r="E103">
            <v>8.25</v>
          </cell>
          <cell r="F103">
            <v>833.5</v>
          </cell>
        </row>
        <row r="104">
          <cell r="A104">
            <v>1118</v>
          </cell>
          <cell r="B104" t="str">
            <v>6'-0" asbestos sheets</v>
          </cell>
          <cell r="C104" t="str">
            <v>Nr</v>
          </cell>
          <cell r="D104">
            <v>820</v>
          </cell>
          <cell r="E104">
            <v>8.1999999999999993</v>
          </cell>
          <cell r="F104">
            <v>828</v>
          </cell>
        </row>
        <row r="105">
          <cell r="A105">
            <v>1119</v>
          </cell>
          <cell r="B105" t="str">
            <v>8'-0" asbestos sheets</v>
          </cell>
          <cell r="C105" t="str">
            <v>Nr</v>
          </cell>
          <cell r="D105">
            <v>1150</v>
          </cell>
          <cell r="E105">
            <v>11.5</v>
          </cell>
          <cell r="F105">
            <v>1161.5</v>
          </cell>
        </row>
        <row r="106">
          <cell r="A106">
            <v>1120</v>
          </cell>
          <cell r="B106" t="str">
            <v>10'-0" asbestos sheets</v>
          </cell>
          <cell r="C106" t="str">
            <v>Nr</v>
          </cell>
          <cell r="D106">
            <v>1360</v>
          </cell>
          <cell r="E106">
            <v>13.6</v>
          </cell>
          <cell r="F106">
            <v>1373.5</v>
          </cell>
        </row>
        <row r="107">
          <cell r="A107">
            <v>1121</v>
          </cell>
          <cell r="B107" t="str">
            <v>12'-0" asbestos sheets</v>
          </cell>
          <cell r="C107" t="str">
            <v>Nr</v>
          </cell>
          <cell r="D107">
            <v>1730</v>
          </cell>
          <cell r="E107">
            <v>17.3</v>
          </cell>
          <cell r="F107">
            <v>1747.5</v>
          </cell>
        </row>
        <row r="108">
          <cell r="A108">
            <v>1122</v>
          </cell>
          <cell r="B108" t="str">
            <v>100x50x2mm "C" channels</v>
          </cell>
          <cell r="C108" t="str">
            <v>m</v>
          </cell>
          <cell r="D108">
            <v>355</v>
          </cell>
          <cell r="E108">
            <v>3.55</v>
          </cell>
          <cell r="F108">
            <v>358.5</v>
          </cell>
        </row>
        <row r="109">
          <cell r="A109">
            <v>1123</v>
          </cell>
          <cell r="B109" t="str">
            <v>0.47mm tk. Zn-alum sheets</v>
          </cell>
          <cell r="C109" t="str">
            <v>m2</v>
          </cell>
          <cell r="D109">
            <v>1078</v>
          </cell>
          <cell r="E109">
            <v>10.78</v>
          </cell>
          <cell r="F109">
            <v>1089</v>
          </cell>
        </row>
        <row r="110">
          <cell r="A110">
            <v>1124</v>
          </cell>
          <cell r="B110" t="str">
            <v>Fasteners</v>
          </cell>
          <cell r="C110" t="str">
            <v>Nr</v>
          </cell>
          <cell r="D110">
            <v>9</v>
          </cell>
          <cell r="E110">
            <v>0.09</v>
          </cell>
          <cell r="F110">
            <v>9</v>
          </cell>
        </row>
        <row r="111">
          <cell r="A111">
            <v>1125</v>
          </cell>
          <cell r="B111" t="str">
            <v>Roof tiles</v>
          </cell>
          <cell r="C111" t="str">
            <v>Nr</v>
          </cell>
          <cell r="D111">
            <v>35</v>
          </cell>
          <cell r="E111">
            <v>0.35</v>
          </cell>
          <cell r="F111">
            <v>35.5</v>
          </cell>
        </row>
        <row r="112">
          <cell r="A112">
            <v>1126</v>
          </cell>
          <cell r="B112" t="str">
            <v>Ridge tiles</v>
          </cell>
          <cell r="C112" t="str">
            <v>Nr</v>
          </cell>
          <cell r="D112">
            <v>45</v>
          </cell>
          <cell r="E112">
            <v>0.45</v>
          </cell>
          <cell r="F112">
            <v>45.5</v>
          </cell>
        </row>
        <row r="113">
          <cell r="A113">
            <v>1127</v>
          </cell>
          <cell r="B113" t="str">
            <v>5mm gusset plate</v>
          </cell>
          <cell r="C113" t="str">
            <v>m2</v>
          </cell>
          <cell r="D113">
            <v>4485</v>
          </cell>
          <cell r="E113">
            <v>44.85</v>
          </cell>
          <cell r="F113">
            <v>4530</v>
          </cell>
        </row>
        <row r="114">
          <cell r="A114">
            <v>1128</v>
          </cell>
          <cell r="B114" t="str">
            <v>Zink Alluminium ridge capping  of girth 470mm</v>
          </cell>
          <cell r="C114" t="str">
            <v>m</v>
          </cell>
          <cell r="D114">
            <v>591</v>
          </cell>
          <cell r="E114">
            <v>5.91</v>
          </cell>
          <cell r="F114">
            <v>597</v>
          </cell>
        </row>
        <row r="115">
          <cell r="A115">
            <v>1129</v>
          </cell>
          <cell r="B115" t="str">
            <v>Asbestos ridges</v>
          </cell>
          <cell r="C115" t="str">
            <v>Set</v>
          </cell>
          <cell r="D115">
            <v>600</v>
          </cell>
          <cell r="E115">
            <v>6</v>
          </cell>
          <cell r="F115">
            <v>606</v>
          </cell>
        </row>
        <row r="116">
          <cell r="A116">
            <v>1130</v>
          </cell>
          <cell r="B116" t="str">
            <v>Lime</v>
          </cell>
          <cell r="C116" t="str">
            <v>kg</v>
          </cell>
          <cell r="D116">
            <v>20</v>
          </cell>
          <cell r="E116">
            <v>0.2</v>
          </cell>
          <cell r="F116">
            <v>20.5</v>
          </cell>
        </row>
        <row r="117">
          <cell r="A117">
            <v>1131</v>
          </cell>
          <cell r="B117" t="str">
            <v>Aluminium foil as heat insulation</v>
          </cell>
          <cell r="C117" t="str">
            <v>m2</v>
          </cell>
          <cell r="D117">
            <v>133</v>
          </cell>
          <cell r="E117">
            <v>1.33</v>
          </cell>
          <cell r="F117">
            <v>134.5</v>
          </cell>
        </row>
        <row r="118">
          <cell r="A118">
            <v>1132</v>
          </cell>
          <cell r="B118" t="str">
            <v>Mesh for foil ( 2"x2")</v>
          </cell>
          <cell r="C118" t="str">
            <v>m2</v>
          </cell>
          <cell r="D118">
            <v>454.9</v>
          </cell>
          <cell r="E118">
            <v>4.55</v>
          </cell>
          <cell r="F118">
            <v>459.5</v>
          </cell>
        </row>
        <row r="119">
          <cell r="A119">
            <v>1133</v>
          </cell>
          <cell r="B119" t="str">
            <v>10mm gusset plate</v>
          </cell>
          <cell r="C119" t="str">
            <v>m2</v>
          </cell>
          <cell r="D119">
            <v>8970</v>
          </cell>
          <cell r="E119">
            <v>89.7</v>
          </cell>
          <cell r="F119">
            <v>9059.5</v>
          </cell>
        </row>
        <row r="120">
          <cell r="A120">
            <v>1134</v>
          </cell>
          <cell r="B120" t="str">
            <v>Truss plate, base plate</v>
          </cell>
          <cell r="C120" t="str">
            <v>m2</v>
          </cell>
          <cell r="D120">
            <v>4300</v>
          </cell>
          <cell r="E120">
            <v>43</v>
          </cell>
          <cell r="F120">
            <v>4343</v>
          </cell>
        </row>
        <row r="121">
          <cell r="B121" t="str">
            <v>Carpenter and Joiner</v>
          </cell>
        </row>
        <row r="122">
          <cell r="A122">
            <v>1201</v>
          </cell>
          <cell r="B122" t="str">
            <v>31mm planks special class</v>
          </cell>
          <cell r="C122" t="str">
            <v>m2</v>
          </cell>
          <cell r="D122">
            <v>1841</v>
          </cell>
          <cell r="E122">
            <v>18.41</v>
          </cell>
          <cell r="F122">
            <v>1859.5</v>
          </cell>
        </row>
        <row r="123">
          <cell r="A123">
            <v>1202</v>
          </cell>
          <cell r="B123" t="str">
            <v>25mm planks special class</v>
          </cell>
          <cell r="C123" t="str">
            <v>m2</v>
          </cell>
          <cell r="D123">
            <v>1476.66</v>
          </cell>
          <cell r="E123">
            <v>14.77</v>
          </cell>
          <cell r="F123">
            <v>1491.5</v>
          </cell>
        </row>
        <row r="124">
          <cell r="A124">
            <v>1203</v>
          </cell>
          <cell r="B124" t="str">
            <v>20mm planks special class</v>
          </cell>
          <cell r="C124" t="str">
            <v>m2</v>
          </cell>
          <cell r="D124">
            <v>1181.32</v>
          </cell>
          <cell r="E124">
            <v>11.81</v>
          </cell>
          <cell r="F124">
            <v>1193</v>
          </cell>
        </row>
        <row r="125">
          <cell r="A125">
            <v>1204</v>
          </cell>
          <cell r="B125" t="str">
            <v>20mm thick lunumidella timber</v>
          </cell>
          <cell r="C125" t="str">
            <v>m2</v>
          </cell>
          <cell r="D125">
            <v>700</v>
          </cell>
          <cell r="E125">
            <v>7</v>
          </cell>
          <cell r="F125">
            <v>707</v>
          </cell>
        </row>
        <row r="126">
          <cell r="A126">
            <v>1205</v>
          </cell>
          <cell r="B126" t="str">
            <v>50mm iron screws</v>
          </cell>
          <cell r="C126" t="str">
            <v>Nr</v>
          </cell>
          <cell r="D126">
            <v>2</v>
          </cell>
          <cell r="E126">
            <v>0.02</v>
          </cell>
          <cell r="F126">
            <v>2</v>
          </cell>
        </row>
        <row r="127">
          <cell r="A127">
            <v>1206</v>
          </cell>
          <cell r="B127" t="str">
            <v>G.I. clout nails 20mm</v>
          </cell>
          <cell r="C127" t="str">
            <v>kg</v>
          </cell>
          <cell r="D127">
            <v>300</v>
          </cell>
          <cell r="E127">
            <v>3</v>
          </cell>
          <cell r="F127">
            <v>303</v>
          </cell>
        </row>
        <row r="128">
          <cell r="A128">
            <v>1207</v>
          </cell>
          <cell r="B128" t="str">
            <v>Ceiling sheets</v>
          </cell>
          <cell r="C128" t="str">
            <v>m2</v>
          </cell>
          <cell r="D128">
            <v>263</v>
          </cell>
          <cell r="E128">
            <v>2.63</v>
          </cell>
          <cell r="F128">
            <v>265.5</v>
          </cell>
        </row>
        <row r="129">
          <cell r="A129">
            <v>1208</v>
          </cell>
          <cell r="B129" t="str">
            <v>Beadings</v>
          </cell>
          <cell r="C129" t="str">
            <v>m</v>
          </cell>
          <cell r="D129">
            <v>49</v>
          </cell>
          <cell r="E129">
            <v>0.49</v>
          </cell>
          <cell r="F129">
            <v>49.5</v>
          </cell>
        </row>
        <row r="130">
          <cell r="A130">
            <v>1209</v>
          </cell>
          <cell r="B130" t="str">
            <v>Moldings</v>
          </cell>
          <cell r="C130" t="str">
            <v>m</v>
          </cell>
          <cell r="D130">
            <v>117</v>
          </cell>
          <cell r="E130">
            <v>1.17</v>
          </cell>
          <cell r="F130">
            <v>118.17</v>
          </cell>
        </row>
        <row r="131">
          <cell r="A131">
            <v>1210</v>
          </cell>
          <cell r="B131" t="str">
            <v>Screws 38mm</v>
          </cell>
          <cell r="C131" t="str">
            <v>Nr</v>
          </cell>
          <cell r="D131">
            <v>1.5</v>
          </cell>
          <cell r="E131">
            <v>0.02</v>
          </cell>
          <cell r="F131">
            <v>1.5</v>
          </cell>
        </row>
        <row r="132">
          <cell r="A132">
            <v>1211</v>
          </cell>
          <cell r="B132" t="str">
            <v>Wooden plugs</v>
          </cell>
          <cell r="C132" t="str">
            <v>Nr</v>
          </cell>
          <cell r="D132">
            <v>5</v>
          </cell>
          <cell r="E132">
            <v>0.05</v>
          </cell>
          <cell r="F132">
            <v>5</v>
          </cell>
        </row>
        <row r="133">
          <cell r="A133">
            <v>1212</v>
          </cell>
          <cell r="B133" t="str">
            <v>Primer</v>
          </cell>
          <cell r="C133" t="str">
            <v>l</v>
          </cell>
          <cell r="D133">
            <v>320</v>
          </cell>
          <cell r="E133">
            <v>3.2</v>
          </cell>
          <cell r="F133">
            <v>323</v>
          </cell>
        </row>
        <row r="134">
          <cell r="A134">
            <v>1213</v>
          </cell>
          <cell r="B134" t="str">
            <v>Emulsion paint</v>
          </cell>
          <cell r="C134" t="str">
            <v>l</v>
          </cell>
          <cell r="D134">
            <v>648</v>
          </cell>
          <cell r="E134">
            <v>6.48</v>
          </cell>
          <cell r="F134">
            <v>654.5</v>
          </cell>
        </row>
        <row r="135">
          <cell r="A135">
            <v>1214</v>
          </cell>
          <cell r="B135" t="str">
            <v>100x75 door/ window frame</v>
          </cell>
          <cell r="C135" t="str">
            <v>m3</v>
          </cell>
          <cell r="D135">
            <v>75987</v>
          </cell>
          <cell r="E135">
            <v>759.87</v>
          </cell>
          <cell r="F135">
            <v>76747</v>
          </cell>
        </row>
        <row r="136">
          <cell r="A136">
            <v>1215</v>
          </cell>
          <cell r="B136" t="str">
            <v>38mm brass screws</v>
          </cell>
          <cell r="C136" t="str">
            <v>Nr</v>
          </cell>
          <cell r="D136">
            <v>5.5</v>
          </cell>
          <cell r="E136">
            <v>0.06</v>
          </cell>
          <cell r="F136">
            <v>5.5</v>
          </cell>
        </row>
        <row r="137">
          <cell r="A137">
            <v>1216</v>
          </cell>
          <cell r="B137" t="str">
            <v>25mm brass screws</v>
          </cell>
          <cell r="C137" t="str">
            <v>Nr</v>
          </cell>
          <cell r="D137">
            <v>3.5</v>
          </cell>
          <cell r="E137">
            <v>0.04</v>
          </cell>
          <cell r="F137">
            <v>3.5</v>
          </cell>
        </row>
        <row r="138">
          <cell r="A138">
            <v>1217</v>
          </cell>
          <cell r="B138" t="str">
            <v>Rawl plugs and screws</v>
          </cell>
          <cell r="C138" t="str">
            <v>Nr</v>
          </cell>
          <cell r="D138">
            <v>2</v>
          </cell>
          <cell r="E138">
            <v>0.02</v>
          </cell>
          <cell r="F138">
            <v>2</v>
          </cell>
        </row>
        <row r="139">
          <cell r="A139">
            <v>1218</v>
          </cell>
          <cell r="B139" t="str">
            <v>100mm brass hinges</v>
          </cell>
          <cell r="C139" t="str">
            <v>pair</v>
          </cell>
          <cell r="D139">
            <v>375</v>
          </cell>
          <cell r="E139">
            <v>3.75</v>
          </cell>
          <cell r="F139">
            <v>379</v>
          </cell>
        </row>
        <row r="140">
          <cell r="A140">
            <v>1219</v>
          </cell>
          <cell r="B140" t="str">
            <v>12x12mm fillets</v>
          </cell>
          <cell r="C140" t="str">
            <v>m</v>
          </cell>
          <cell r="D140">
            <v>5.5</v>
          </cell>
          <cell r="E140">
            <v>0.06</v>
          </cell>
          <cell r="F140">
            <v>5.5</v>
          </cell>
        </row>
        <row r="141">
          <cell r="A141">
            <v>1220</v>
          </cell>
          <cell r="B141" t="str">
            <v>300mm skeleton bolts</v>
          </cell>
          <cell r="C141" t="str">
            <v>Nr</v>
          </cell>
          <cell r="D141">
            <v>78</v>
          </cell>
          <cell r="E141">
            <v>0.78</v>
          </cell>
          <cell r="F141">
            <v>79</v>
          </cell>
        </row>
        <row r="142">
          <cell r="A142">
            <v>1221</v>
          </cell>
          <cell r="B142" t="str">
            <v>38x38mm sash bars</v>
          </cell>
          <cell r="C142" t="str">
            <v>m</v>
          </cell>
          <cell r="D142">
            <v>16</v>
          </cell>
          <cell r="E142">
            <v>0.16</v>
          </cell>
          <cell r="F142">
            <v>16.5</v>
          </cell>
        </row>
        <row r="143">
          <cell r="A143">
            <v>1222</v>
          </cell>
          <cell r="B143" t="str">
            <v>150mm barrel bolts</v>
          </cell>
          <cell r="C143" t="str">
            <v>Nr</v>
          </cell>
          <cell r="D143">
            <v>156</v>
          </cell>
          <cell r="E143">
            <v>1.56</v>
          </cell>
          <cell r="F143">
            <v>157.5</v>
          </cell>
        </row>
        <row r="144">
          <cell r="A144">
            <v>1223</v>
          </cell>
          <cell r="B144" t="str">
            <v>Plywood door sash</v>
          </cell>
          <cell r="C144" t="str">
            <v>Nr</v>
          </cell>
          <cell r="D144">
            <v>2200</v>
          </cell>
          <cell r="E144">
            <v>22</v>
          </cell>
          <cell r="F144">
            <v>2222</v>
          </cell>
        </row>
        <row r="145">
          <cell r="A145">
            <v>1224</v>
          </cell>
          <cell r="B145" t="str">
            <v>Holdfasts</v>
          </cell>
          <cell r="C145" t="str">
            <v>Nr</v>
          </cell>
          <cell r="D145">
            <v>75</v>
          </cell>
          <cell r="E145">
            <v>0.75</v>
          </cell>
          <cell r="F145">
            <v>76</v>
          </cell>
        </row>
        <row r="146">
          <cell r="A146">
            <v>1225</v>
          </cell>
          <cell r="B146" t="str">
            <v>PVC door with frame</v>
          </cell>
          <cell r="C146" t="str">
            <v>Nr</v>
          </cell>
          <cell r="D146">
            <v>4650</v>
          </cell>
          <cell r="E146">
            <v>46.5</v>
          </cell>
          <cell r="F146">
            <v>4696.5</v>
          </cell>
        </row>
        <row r="147">
          <cell r="A147">
            <v>1226</v>
          </cell>
          <cell r="B147" t="str">
            <v>3mm glass plain</v>
          </cell>
          <cell r="C147" t="str">
            <v>m2</v>
          </cell>
          <cell r="D147">
            <v>645</v>
          </cell>
          <cell r="E147">
            <v>6.45</v>
          </cell>
          <cell r="F147">
            <v>651.5</v>
          </cell>
        </row>
        <row r="148">
          <cell r="A148">
            <v>1227</v>
          </cell>
          <cell r="B148" t="str">
            <v>Casement stays</v>
          </cell>
          <cell r="C148" t="str">
            <v>Nr</v>
          </cell>
          <cell r="D148">
            <v>200</v>
          </cell>
          <cell r="E148">
            <v>2</v>
          </cell>
          <cell r="F148">
            <v>202</v>
          </cell>
        </row>
        <row r="149">
          <cell r="A149">
            <v>1228</v>
          </cell>
          <cell r="B149" t="str">
            <v>Casement fasteners</v>
          </cell>
          <cell r="C149" t="str">
            <v>Nr</v>
          </cell>
          <cell r="D149">
            <v>200</v>
          </cell>
          <cell r="E149">
            <v>2</v>
          </cell>
          <cell r="F149">
            <v>202</v>
          </cell>
        </row>
        <row r="150">
          <cell r="A150">
            <v>1229</v>
          </cell>
          <cell r="B150" t="str">
            <v>Class 11 Ginisapu planks 25mm thick</v>
          </cell>
          <cell r="C150" t="str">
            <v>m2</v>
          </cell>
          <cell r="D150">
            <v>1385</v>
          </cell>
          <cell r="E150">
            <v>13.85</v>
          </cell>
          <cell r="F150">
            <v>1399</v>
          </cell>
        </row>
        <row r="151">
          <cell r="A151">
            <v>1230</v>
          </cell>
          <cell r="B151" t="str">
            <v>Brass screw</v>
          </cell>
          <cell r="C151" t="str">
            <v>Nr</v>
          </cell>
          <cell r="D151">
            <v>5.5</v>
          </cell>
          <cell r="E151">
            <v>0.06</v>
          </cell>
          <cell r="F151">
            <v>5.5</v>
          </cell>
        </row>
        <row r="152">
          <cell r="A152">
            <v>1231</v>
          </cell>
          <cell r="B152" t="str">
            <v>Lunumidella timber</v>
          </cell>
          <cell r="C152" t="str">
            <v>m2</v>
          </cell>
          <cell r="D152">
            <v>700</v>
          </cell>
          <cell r="E152">
            <v>7</v>
          </cell>
          <cell r="F152">
            <v>707</v>
          </cell>
        </row>
        <row r="153">
          <cell r="A153">
            <v>1232</v>
          </cell>
          <cell r="B153" t="str">
            <v>12 mm thick flywood sheet</v>
          </cell>
          <cell r="C153" t="str">
            <v>m2</v>
          </cell>
          <cell r="D153">
            <v>875</v>
          </cell>
          <cell r="E153">
            <v>8.75</v>
          </cell>
          <cell r="F153">
            <v>884</v>
          </cell>
        </row>
        <row r="154">
          <cell r="A154">
            <v>1233</v>
          </cell>
          <cell r="B154" t="str">
            <v>G.I. clout nails 38mm</v>
          </cell>
          <cell r="C154" t="str">
            <v>Kg</v>
          </cell>
          <cell r="D154">
            <v>336</v>
          </cell>
          <cell r="E154">
            <v>3.36</v>
          </cell>
          <cell r="F154">
            <v>339.5</v>
          </cell>
        </row>
        <row r="155">
          <cell r="A155">
            <v>1234</v>
          </cell>
          <cell r="B155" t="str">
            <v>31mm planks class 1</v>
          </cell>
          <cell r="C155" t="str">
            <v>m2</v>
          </cell>
          <cell r="D155">
            <v>1440</v>
          </cell>
          <cell r="E155">
            <v>14.4</v>
          </cell>
          <cell r="F155">
            <v>1454.5</v>
          </cell>
        </row>
        <row r="156">
          <cell r="B156" t="str">
            <v>Brass Founder</v>
          </cell>
        </row>
        <row r="157">
          <cell r="A157">
            <v>1301</v>
          </cell>
          <cell r="B157" t="str">
            <v>Night latch lock</v>
          </cell>
          <cell r="C157" t="str">
            <v>Nr</v>
          </cell>
          <cell r="D157">
            <v>600</v>
          </cell>
          <cell r="E157">
            <v>6</v>
          </cell>
          <cell r="F157">
            <v>606</v>
          </cell>
        </row>
        <row r="158">
          <cell r="A158">
            <v>1302</v>
          </cell>
          <cell r="B158" t="str">
            <v>Mortise Union (English) single lock</v>
          </cell>
          <cell r="C158" t="str">
            <v>Nr</v>
          </cell>
          <cell r="E158">
            <v>0</v>
          </cell>
          <cell r="F158">
            <v>0</v>
          </cell>
        </row>
        <row r="159">
          <cell r="A159">
            <v>1303</v>
          </cell>
          <cell r="B159" t="str">
            <v>Mortise Union (English) double lock</v>
          </cell>
          <cell r="C159" t="str">
            <v>Nr</v>
          </cell>
          <cell r="E159">
            <v>0</v>
          </cell>
          <cell r="F159">
            <v>0</v>
          </cell>
        </row>
        <row r="160">
          <cell r="A160">
            <v>1304</v>
          </cell>
          <cell r="B160" t="str">
            <v>Robin ITALY made brass lock</v>
          </cell>
          <cell r="C160" t="str">
            <v>Nr</v>
          </cell>
          <cell r="E160">
            <v>0</v>
          </cell>
          <cell r="F160">
            <v>0</v>
          </cell>
        </row>
        <row r="161">
          <cell r="A161">
            <v>1305</v>
          </cell>
          <cell r="B161" t="str">
            <v>Fuda lock</v>
          </cell>
          <cell r="C161" t="str">
            <v>Nr</v>
          </cell>
          <cell r="E161">
            <v>0</v>
          </cell>
          <cell r="F161">
            <v>0</v>
          </cell>
        </row>
        <row r="162">
          <cell r="A162">
            <v>1306</v>
          </cell>
          <cell r="B162" t="str">
            <v>50mm barrel bolt (Brass)</v>
          </cell>
          <cell r="C162" t="str">
            <v>Nr</v>
          </cell>
          <cell r="D162">
            <v>65</v>
          </cell>
          <cell r="E162">
            <v>0.65</v>
          </cell>
          <cell r="F162">
            <v>65.650000000000006</v>
          </cell>
        </row>
        <row r="163">
          <cell r="A163">
            <v>1307</v>
          </cell>
          <cell r="B163" t="str">
            <v>100x100mm butt hinges</v>
          </cell>
          <cell r="C163" t="str">
            <v>Nr</v>
          </cell>
          <cell r="D163">
            <v>300</v>
          </cell>
          <cell r="E163">
            <v>3</v>
          </cell>
          <cell r="F163">
            <v>303</v>
          </cell>
        </row>
        <row r="164">
          <cell r="A164">
            <v>1308</v>
          </cell>
          <cell r="B164" t="str">
            <v>150x100mm butt hinges</v>
          </cell>
          <cell r="C164" t="str">
            <v>Nr</v>
          </cell>
          <cell r="D164">
            <v>475</v>
          </cell>
          <cell r="E164">
            <v>4.75</v>
          </cell>
          <cell r="F164">
            <v>479.75</v>
          </cell>
        </row>
        <row r="165">
          <cell r="A165">
            <v>1309</v>
          </cell>
          <cell r="B165" t="str">
            <v>100mm barrel bolt (Brass)</v>
          </cell>
          <cell r="C165" t="str">
            <v>Nr</v>
          </cell>
          <cell r="D165">
            <v>150</v>
          </cell>
          <cell r="E165">
            <v>1.5</v>
          </cell>
          <cell r="F165">
            <v>151.5</v>
          </cell>
        </row>
        <row r="166">
          <cell r="A166">
            <v>1310</v>
          </cell>
          <cell r="B166" t="str">
            <v>150mm barrel bolt (Brass)</v>
          </cell>
          <cell r="C166" t="str">
            <v>Nr</v>
          </cell>
          <cell r="D166">
            <v>350</v>
          </cell>
          <cell r="E166">
            <v>3.5</v>
          </cell>
          <cell r="F166">
            <v>353.5</v>
          </cell>
        </row>
        <row r="167">
          <cell r="B167" t="str">
            <v>Iron Monger</v>
          </cell>
          <cell r="F167">
            <v>0</v>
          </cell>
        </row>
        <row r="168">
          <cell r="A168">
            <v>1401</v>
          </cell>
          <cell r="B168" t="str">
            <v>50x50 G.I. welded mesh</v>
          </cell>
          <cell r="C168" t="str">
            <v>m2</v>
          </cell>
          <cell r="D168">
            <v>454</v>
          </cell>
          <cell r="E168">
            <v>4.54</v>
          </cell>
          <cell r="F168">
            <v>458.5</v>
          </cell>
        </row>
        <row r="169">
          <cell r="A169">
            <v>1402</v>
          </cell>
          <cell r="B169" t="str">
            <v>50x12mm beadings</v>
          </cell>
          <cell r="C169" t="str">
            <v>m</v>
          </cell>
          <cell r="D169">
            <v>50</v>
          </cell>
          <cell r="E169">
            <v>0.5</v>
          </cell>
          <cell r="F169">
            <v>50.5</v>
          </cell>
        </row>
        <row r="170">
          <cell r="A170">
            <v>1403</v>
          </cell>
          <cell r="B170" t="str">
            <v>5.5mm MS rods</v>
          </cell>
          <cell r="C170" t="str">
            <v>kg</v>
          </cell>
          <cell r="D170">
            <v>100</v>
          </cell>
          <cell r="E170">
            <v>1</v>
          </cell>
          <cell r="F170">
            <v>101</v>
          </cell>
        </row>
        <row r="171">
          <cell r="A171">
            <v>1404</v>
          </cell>
          <cell r="B171" t="str">
            <v>12x5mm flat iron</v>
          </cell>
          <cell r="C171" t="str">
            <v>m</v>
          </cell>
          <cell r="D171">
            <v>27</v>
          </cell>
          <cell r="E171">
            <v>0.27</v>
          </cell>
          <cell r="F171">
            <v>27.5</v>
          </cell>
        </row>
        <row r="172">
          <cell r="A172">
            <v>1405</v>
          </cell>
          <cell r="B172" t="str">
            <v>25x25x4mm angle iron</v>
          </cell>
          <cell r="C172" t="str">
            <v>m</v>
          </cell>
          <cell r="D172">
            <v>146</v>
          </cell>
          <cell r="E172">
            <v>1.46</v>
          </cell>
          <cell r="F172">
            <v>147.5</v>
          </cell>
        </row>
        <row r="173">
          <cell r="A173">
            <v>1406</v>
          </cell>
          <cell r="B173" t="str">
            <v>100mm safety type Hasp and Staple</v>
          </cell>
          <cell r="C173" t="str">
            <v>Nr</v>
          </cell>
          <cell r="D173">
            <v>150</v>
          </cell>
          <cell r="E173">
            <v>1.5</v>
          </cell>
          <cell r="F173">
            <v>151.5</v>
          </cell>
        </row>
        <row r="174">
          <cell r="A174">
            <v>1407</v>
          </cell>
          <cell r="B174" t="str">
            <v>150mm safety type Hasp and Staple</v>
          </cell>
          <cell r="C174" t="str">
            <v>Nr</v>
          </cell>
          <cell r="D174">
            <v>175</v>
          </cell>
          <cell r="E174">
            <v>1.75</v>
          </cell>
          <cell r="F174">
            <v>177</v>
          </cell>
        </row>
        <row r="175">
          <cell r="A175">
            <v>1408</v>
          </cell>
          <cell r="B175" t="str">
            <v>100x100mm butt hinges</v>
          </cell>
          <cell r="C175" t="str">
            <v>Nr</v>
          </cell>
          <cell r="D175">
            <v>300</v>
          </cell>
          <cell r="E175">
            <v>3</v>
          </cell>
          <cell r="F175">
            <v>303</v>
          </cell>
        </row>
        <row r="176">
          <cell r="A176">
            <v>1409</v>
          </cell>
          <cell r="B176" t="str">
            <v>150x100mm butt hinges</v>
          </cell>
          <cell r="C176" t="str">
            <v>Nr</v>
          </cell>
          <cell r="D176">
            <v>475</v>
          </cell>
          <cell r="E176">
            <v>4.75</v>
          </cell>
          <cell r="F176">
            <v>480</v>
          </cell>
        </row>
        <row r="177">
          <cell r="A177">
            <v>1410</v>
          </cell>
          <cell r="B177" t="str">
            <v>37x37x5.8 mm angle iron</v>
          </cell>
          <cell r="C177" t="str">
            <v>m</v>
          </cell>
          <cell r="D177">
            <v>368</v>
          </cell>
          <cell r="E177">
            <v>3.68</v>
          </cell>
          <cell r="F177">
            <v>371.5</v>
          </cell>
        </row>
        <row r="178">
          <cell r="A178">
            <v>1411</v>
          </cell>
          <cell r="B178" t="str">
            <v>25x25x5 mm angle iron</v>
          </cell>
          <cell r="C178" t="str">
            <v>m</v>
          </cell>
          <cell r="D178">
            <v>187</v>
          </cell>
          <cell r="E178">
            <v>1.87</v>
          </cell>
          <cell r="F178">
            <v>189</v>
          </cell>
        </row>
        <row r="179">
          <cell r="A179">
            <v>1412</v>
          </cell>
          <cell r="B179" t="str">
            <v>25x5mm flat iron</v>
          </cell>
          <cell r="C179" t="str">
            <v>m</v>
          </cell>
          <cell r="D179">
            <v>103</v>
          </cell>
          <cell r="E179">
            <v>1.03</v>
          </cell>
          <cell r="F179">
            <v>104</v>
          </cell>
        </row>
        <row r="180">
          <cell r="A180">
            <v>1413</v>
          </cell>
          <cell r="B180" t="str">
            <v>6mm mild steel hook</v>
          </cell>
          <cell r="C180" t="str">
            <v>Nr</v>
          </cell>
          <cell r="D180">
            <v>50</v>
          </cell>
          <cell r="E180">
            <v>0.5</v>
          </cell>
          <cell r="F180">
            <v>50.5</v>
          </cell>
        </row>
        <row r="181">
          <cell r="B181" t="str">
            <v>Aluminium Extrusions (Natural Anodized)</v>
          </cell>
        </row>
        <row r="182">
          <cell r="A182">
            <v>1501</v>
          </cell>
          <cell r="B182" t="str">
            <v>70S-1101-1 (NA)</v>
          </cell>
          <cell r="C182" t="str">
            <v>m</v>
          </cell>
          <cell r="D182">
            <v>450.61</v>
          </cell>
          <cell r="E182">
            <v>4.51</v>
          </cell>
          <cell r="F182">
            <v>455</v>
          </cell>
        </row>
        <row r="183">
          <cell r="A183">
            <v>1502</v>
          </cell>
          <cell r="B183" t="str">
            <v>70S-1001-1 (NA)</v>
          </cell>
          <cell r="C183" t="str">
            <v>m</v>
          </cell>
          <cell r="D183">
            <v>461.07</v>
          </cell>
          <cell r="E183">
            <v>4.6100000000000003</v>
          </cell>
          <cell r="F183">
            <v>465.5</v>
          </cell>
        </row>
        <row r="184">
          <cell r="A184">
            <v>1503</v>
          </cell>
          <cell r="B184" t="str">
            <v>70S-1201-1 (NA)</v>
          </cell>
          <cell r="C184" t="str">
            <v>m</v>
          </cell>
          <cell r="D184">
            <v>375.07</v>
          </cell>
          <cell r="E184">
            <v>3.75</v>
          </cell>
          <cell r="F184">
            <v>378</v>
          </cell>
        </row>
        <row r="185">
          <cell r="A185">
            <v>1504</v>
          </cell>
          <cell r="B185" t="str">
            <v>70S-1604 (NA)</v>
          </cell>
          <cell r="C185" t="str">
            <v>m</v>
          </cell>
          <cell r="D185">
            <v>367.07</v>
          </cell>
          <cell r="E185">
            <v>3.67</v>
          </cell>
          <cell r="F185">
            <v>371</v>
          </cell>
        </row>
        <row r="186">
          <cell r="A186">
            <v>1505</v>
          </cell>
          <cell r="B186" t="str">
            <v>70S-1704 (NA)</v>
          </cell>
          <cell r="C186" t="str">
            <v>m</v>
          </cell>
          <cell r="D186">
            <v>346.61</v>
          </cell>
          <cell r="E186">
            <v>3.47</v>
          </cell>
          <cell r="F186">
            <v>350</v>
          </cell>
        </row>
        <row r="187">
          <cell r="A187">
            <v>1506</v>
          </cell>
          <cell r="B187" t="str">
            <v>70S-1503A (NA)</v>
          </cell>
          <cell r="C187" t="str">
            <v>m</v>
          </cell>
          <cell r="D187">
            <v>433.38</v>
          </cell>
          <cell r="E187">
            <v>4.33</v>
          </cell>
          <cell r="F187">
            <v>438</v>
          </cell>
        </row>
        <row r="188">
          <cell r="A188">
            <v>1507</v>
          </cell>
          <cell r="B188" t="str">
            <v>70S-1401-1 (NA)</v>
          </cell>
          <cell r="C188" t="str">
            <v>m</v>
          </cell>
          <cell r="D188">
            <v>306.76</v>
          </cell>
          <cell r="E188">
            <v>3.07</v>
          </cell>
          <cell r="F188">
            <v>310</v>
          </cell>
        </row>
        <row r="189">
          <cell r="A189">
            <v>1508</v>
          </cell>
          <cell r="B189" t="str">
            <v>70SF-1006 (NA)</v>
          </cell>
          <cell r="C189" t="str">
            <v>m</v>
          </cell>
          <cell r="D189">
            <v>727.23</v>
          </cell>
          <cell r="E189">
            <v>7.27</v>
          </cell>
          <cell r="F189">
            <v>734.5</v>
          </cell>
        </row>
        <row r="190">
          <cell r="A190">
            <v>1509</v>
          </cell>
          <cell r="B190" t="str">
            <v>70SF-1201A (NA)</v>
          </cell>
          <cell r="C190" t="str">
            <v>m</v>
          </cell>
          <cell r="D190">
            <v>254</v>
          </cell>
          <cell r="E190">
            <v>2.54</v>
          </cell>
          <cell r="F190">
            <v>256.5</v>
          </cell>
        </row>
        <row r="191">
          <cell r="A191">
            <v>1510</v>
          </cell>
          <cell r="B191" t="str">
            <v>70SF-1201B (NA)</v>
          </cell>
          <cell r="C191" t="str">
            <v>m</v>
          </cell>
          <cell r="D191">
            <v>254</v>
          </cell>
          <cell r="E191">
            <v>2.54</v>
          </cell>
          <cell r="F191">
            <v>256.5</v>
          </cell>
        </row>
        <row r="192">
          <cell r="A192">
            <v>1511</v>
          </cell>
          <cell r="B192" t="str">
            <v>DG-02 (NA)</v>
          </cell>
          <cell r="C192" t="str">
            <v>m</v>
          </cell>
          <cell r="D192">
            <v>229.18</v>
          </cell>
          <cell r="E192">
            <v>2.29</v>
          </cell>
          <cell r="F192">
            <v>231.5</v>
          </cell>
        </row>
        <row r="193">
          <cell r="A193">
            <v>1512</v>
          </cell>
          <cell r="B193" t="str">
            <v>DG-102 (NA)</v>
          </cell>
          <cell r="C193" t="str">
            <v>m</v>
          </cell>
          <cell r="D193">
            <v>204.91</v>
          </cell>
          <cell r="E193">
            <v>2.0499999999999998</v>
          </cell>
          <cell r="F193">
            <v>207</v>
          </cell>
        </row>
        <row r="194">
          <cell r="A194">
            <v>1513</v>
          </cell>
          <cell r="B194" t="str">
            <v>CA-1001(NA)</v>
          </cell>
          <cell r="C194" t="str">
            <v>m</v>
          </cell>
          <cell r="D194">
            <v>569.01</v>
          </cell>
          <cell r="E194">
            <v>5.69</v>
          </cell>
          <cell r="F194">
            <v>574.5</v>
          </cell>
        </row>
        <row r="195">
          <cell r="A195">
            <v>1514</v>
          </cell>
          <cell r="B195" t="str">
            <v>CA-1002 (NA)</v>
          </cell>
          <cell r="C195" t="str">
            <v>m</v>
          </cell>
          <cell r="D195">
            <v>889.34</v>
          </cell>
          <cell r="E195">
            <v>8.89</v>
          </cell>
          <cell r="F195">
            <v>898</v>
          </cell>
        </row>
        <row r="196">
          <cell r="A196">
            <v>1515</v>
          </cell>
          <cell r="B196" t="str">
            <v>100D-1914 (NA)</v>
          </cell>
          <cell r="C196" t="str">
            <v>m</v>
          </cell>
          <cell r="D196">
            <v>124.61</v>
          </cell>
          <cell r="E196">
            <v>1.25</v>
          </cell>
          <cell r="F196">
            <v>126</v>
          </cell>
        </row>
        <row r="197">
          <cell r="A197">
            <v>1516</v>
          </cell>
          <cell r="B197" t="str">
            <v>CA-1007 (NA)</v>
          </cell>
          <cell r="C197" t="str">
            <v>m</v>
          </cell>
          <cell r="D197">
            <v>255.24</v>
          </cell>
          <cell r="E197">
            <v>2.5499999999999998</v>
          </cell>
          <cell r="F197">
            <v>258</v>
          </cell>
        </row>
        <row r="198">
          <cell r="A198">
            <v>1517</v>
          </cell>
          <cell r="B198" t="str">
            <v>CA-1008 (NA)</v>
          </cell>
          <cell r="C198" t="str">
            <v>m</v>
          </cell>
          <cell r="D198">
            <v>433.28</v>
          </cell>
          <cell r="E198">
            <v>4.33</v>
          </cell>
          <cell r="F198">
            <v>437.5</v>
          </cell>
        </row>
        <row r="199">
          <cell r="A199">
            <v>1518</v>
          </cell>
          <cell r="B199" t="str">
            <v>CA-2005 (NA)</v>
          </cell>
          <cell r="C199" t="str">
            <v>m</v>
          </cell>
          <cell r="D199">
            <v>485.08</v>
          </cell>
          <cell r="E199">
            <v>4.8499999999999996</v>
          </cell>
          <cell r="F199">
            <v>490</v>
          </cell>
        </row>
        <row r="200">
          <cell r="A200">
            <v>1519</v>
          </cell>
          <cell r="B200" t="str">
            <v>A-111 (MF)</v>
          </cell>
          <cell r="C200" t="str">
            <v>m</v>
          </cell>
          <cell r="D200">
            <v>392.87</v>
          </cell>
          <cell r="E200">
            <v>3.93</v>
          </cell>
          <cell r="F200">
            <v>397</v>
          </cell>
        </row>
        <row r="201">
          <cell r="A201">
            <v>1520</v>
          </cell>
          <cell r="B201" t="str">
            <v>DG-01 (NA)</v>
          </cell>
          <cell r="C201" t="str">
            <v>m</v>
          </cell>
          <cell r="D201">
            <v>219.18</v>
          </cell>
          <cell r="E201">
            <v>2.19</v>
          </cell>
          <cell r="F201">
            <v>221.5</v>
          </cell>
        </row>
        <row r="202">
          <cell r="A202">
            <v>1521</v>
          </cell>
          <cell r="B202" t="str">
            <v>DG-101(NA)</v>
          </cell>
          <cell r="C202" t="str">
            <v>m</v>
          </cell>
          <cell r="D202">
            <v>189.01</v>
          </cell>
          <cell r="E202">
            <v>1.89</v>
          </cell>
          <cell r="F202">
            <v>191</v>
          </cell>
        </row>
        <row r="203">
          <cell r="A203">
            <v>1522</v>
          </cell>
          <cell r="B203" t="str">
            <v>CA-2004 (NA)</v>
          </cell>
          <cell r="C203" t="str">
            <v>m</v>
          </cell>
          <cell r="D203">
            <v>332.78</v>
          </cell>
          <cell r="E203">
            <v>3.33</v>
          </cell>
          <cell r="F203">
            <v>336</v>
          </cell>
        </row>
        <row r="204">
          <cell r="A204">
            <v>1523</v>
          </cell>
          <cell r="B204" t="str">
            <v>GL-107 (NA)</v>
          </cell>
          <cell r="C204" t="str">
            <v>m</v>
          </cell>
          <cell r="D204">
            <v>130.82</v>
          </cell>
          <cell r="E204">
            <v>1.31</v>
          </cell>
          <cell r="F204">
            <v>132</v>
          </cell>
        </row>
        <row r="205">
          <cell r="A205">
            <v>1524</v>
          </cell>
          <cell r="B205" t="str">
            <v>CA-1003 (NA)</v>
          </cell>
          <cell r="C205" t="str">
            <v>m</v>
          </cell>
          <cell r="D205">
            <v>352.13</v>
          </cell>
          <cell r="E205">
            <v>3.52</v>
          </cell>
          <cell r="F205">
            <v>355.5</v>
          </cell>
        </row>
        <row r="206">
          <cell r="A206">
            <v>1525</v>
          </cell>
          <cell r="B206" t="str">
            <v>CA-1004 (NA)</v>
          </cell>
          <cell r="C206" t="str">
            <v>m</v>
          </cell>
          <cell r="D206">
            <v>526.39</v>
          </cell>
          <cell r="E206">
            <v>5.26</v>
          </cell>
          <cell r="F206">
            <v>531.5</v>
          </cell>
        </row>
        <row r="207">
          <cell r="A207">
            <v>1526</v>
          </cell>
          <cell r="B207" t="str">
            <v>CA-2006 (NA)</v>
          </cell>
          <cell r="C207" t="str">
            <v>m</v>
          </cell>
          <cell r="D207">
            <v>491.13</v>
          </cell>
          <cell r="E207">
            <v>4.91</v>
          </cell>
          <cell r="F207">
            <v>496</v>
          </cell>
        </row>
        <row r="208">
          <cell r="A208">
            <v>1527</v>
          </cell>
          <cell r="B208" t="str">
            <v>DG-02 (NA)</v>
          </cell>
          <cell r="C208" t="str">
            <v>m</v>
          </cell>
          <cell r="D208">
            <v>229.18</v>
          </cell>
          <cell r="E208">
            <v>2.29</v>
          </cell>
          <cell r="F208">
            <v>231.5</v>
          </cell>
        </row>
        <row r="209">
          <cell r="A209">
            <v>1528</v>
          </cell>
          <cell r="B209" t="str">
            <v>DG-102(NA)</v>
          </cell>
          <cell r="C209" t="str">
            <v>m</v>
          </cell>
          <cell r="D209">
            <v>204.91</v>
          </cell>
          <cell r="E209">
            <v>2.0499999999999998</v>
          </cell>
          <cell r="F209">
            <v>207</v>
          </cell>
        </row>
        <row r="210">
          <cell r="A210">
            <v>1529</v>
          </cell>
          <cell r="B210" t="str">
            <v>CA-1001 (NA)</v>
          </cell>
          <cell r="C210" t="str">
            <v>m</v>
          </cell>
          <cell r="D210">
            <v>569.01</v>
          </cell>
          <cell r="E210">
            <v>5.69</v>
          </cell>
          <cell r="F210">
            <v>574.5</v>
          </cell>
        </row>
        <row r="211">
          <cell r="A211">
            <v>1530</v>
          </cell>
          <cell r="B211" t="str">
            <v>CA-1002 (NA)</v>
          </cell>
          <cell r="C211" t="str">
            <v>m</v>
          </cell>
          <cell r="D211">
            <v>889.34</v>
          </cell>
          <cell r="E211">
            <v>8.89</v>
          </cell>
          <cell r="F211">
            <v>898</v>
          </cell>
        </row>
        <row r="212">
          <cell r="A212">
            <v>1531</v>
          </cell>
          <cell r="B212" t="str">
            <v>100D-3104 (NA)</v>
          </cell>
          <cell r="C212" t="str">
            <v>m</v>
          </cell>
          <cell r="D212">
            <v>602.61</v>
          </cell>
          <cell r="E212">
            <v>6.03</v>
          </cell>
          <cell r="F212">
            <v>608.5</v>
          </cell>
        </row>
        <row r="213">
          <cell r="A213">
            <v>1532</v>
          </cell>
          <cell r="B213" t="str">
            <v>100D-101 (NA)</v>
          </cell>
          <cell r="C213" t="str">
            <v>m</v>
          </cell>
          <cell r="D213">
            <v>823.23</v>
          </cell>
          <cell r="E213">
            <v>8.23</v>
          </cell>
          <cell r="F213">
            <v>831.5</v>
          </cell>
        </row>
        <row r="214">
          <cell r="A214">
            <v>1533</v>
          </cell>
          <cell r="B214" t="str">
            <v>100D-102 (NA)</v>
          </cell>
          <cell r="C214" t="str">
            <v>m</v>
          </cell>
          <cell r="D214">
            <v>862.3</v>
          </cell>
          <cell r="E214">
            <v>8.6199999999999992</v>
          </cell>
          <cell r="F214">
            <v>871</v>
          </cell>
        </row>
        <row r="215">
          <cell r="A215">
            <v>1534</v>
          </cell>
          <cell r="B215" t="str">
            <v>100D-201 (NA)</v>
          </cell>
          <cell r="C215" t="str">
            <v>m</v>
          </cell>
          <cell r="D215">
            <v>796.92</v>
          </cell>
          <cell r="E215">
            <v>7.97</v>
          </cell>
          <cell r="F215">
            <v>805</v>
          </cell>
        </row>
        <row r="216">
          <cell r="A216">
            <v>1535</v>
          </cell>
          <cell r="B216" t="str">
            <v>100D-301 (NA)</v>
          </cell>
          <cell r="C216" t="str">
            <v>m</v>
          </cell>
          <cell r="D216">
            <v>946.61</v>
          </cell>
          <cell r="E216">
            <v>9.4700000000000006</v>
          </cell>
          <cell r="F216">
            <v>956</v>
          </cell>
        </row>
        <row r="217">
          <cell r="A217">
            <v>1536</v>
          </cell>
          <cell r="B217" t="str">
            <v>100D-401 (NA)</v>
          </cell>
          <cell r="C217" t="str">
            <v>m</v>
          </cell>
          <cell r="D217">
            <v>1048.3</v>
          </cell>
          <cell r="E217">
            <v>10.48</v>
          </cell>
          <cell r="F217">
            <v>1059</v>
          </cell>
        </row>
        <row r="218">
          <cell r="A218">
            <v>1537</v>
          </cell>
          <cell r="B218" t="str">
            <v>100D-501 (NA)</v>
          </cell>
          <cell r="C218" t="str">
            <v>m</v>
          </cell>
          <cell r="D218">
            <v>112.15</v>
          </cell>
          <cell r="E218">
            <v>1.1200000000000001</v>
          </cell>
          <cell r="F218">
            <v>113.5</v>
          </cell>
        </row>
        <row r="219">
          <cell r="A219">
            <v>1538</v>
          </cell>
          <cell r="B219" t="str">
            <v>70D-1910 (NA)</v>
          </cell>
          <cell r="C219" t="str">
            <v>m</v>
          </cell>
          <cell r="D219">
            <v>128.30000000000001</v>
          </cell>
          <cell r="E219">
            <v>1.28</v>
          </cell>
          <cell r="F219">
            <v>129.5</v>
          </cell>
        </row>
        <row r="220">
          <cell r="A220">
            <v>1539</v>
          </cell>
          <cell r="B220" t="str">
            <v>100D-3503A (NA)</v>
          </cell>
          <cell r="C220" t="str">
            <v>m</v>
          </cell>
          <cell r="D220">
            <v>596.91999999999996</v>
          </cell>
          <cell r="E220">
            <v>5.97</v>
          </cell>
          <cell r="F220">
            <v>603</v>
          </cell>
        </row>
        <row r="221">
          <cell r="A221">
            <v>1540</v>
          </cell>
          <cell r="B221" t="str">
            <v>100D-3004A (NA)</v>
          </cell>
          <cell r="C221" t="str">
            <v>m</v>
          </cell>
          <cell r="D221">
            <v>704.3</v>
          </cell>
          <cell r="E221">
            <v>7.04</v>
          </cell>
          <cell r="F221">
            <v>711</v>
          </cell>
        </row>
        <row r="222">
          <cell r="A222">
            <v>1541</v>
          </cell>
          <cell r="B222" t="str">
            <v>100D-3207 (NA)</v>
          </cell>
          <cell r="C222" t="str">
            <v>m</v>
          </cell>
          <cell r="D222">
            <v>918.15</v>
          </cell>
          <cell r="E222">
            <v>9.18</v>
          </cell>
          <cell r="F222">
            <v>937.5</v>
          </cell>
        </row>
        <row r="223">
          <cell r="A223">
            <v>1542</v>
          </cell>
          <cell r="B223" t="str">
            <v>100D-3503 (NA)</v>
          </cell>
          <cell r="C223" t="str">
            <v>m</v>
          </cell>
          <cell r="D223">
            <v>651.69000000000005</v>
          </cell>
          <cell r="E223">
            <v>6.52</v>
          </cell>
          <cell r="F223">
            <v>658</v>
          </cell>
        </row>
        <row r="224">
          <cell r="A224">
            <v>1543</v>
          </cell>
          <cell r="B224" t="str">
            <v>100D-1914 (NA)</v>
          </cell>
          <cell r="C224" t="str">
            <v>m</v>
          </cell>
          <cell r="D224">
            <v>124.61</v>
          </cell>
          <cell r="E224">
            <v>1.25</v>
          </cell>
          <cell r="F224">
            <v>126</v>
          </cell>
        </row>
        <row r="225">
          <cell r="A225">
            <v>1544</v>
          </cell>
          <cell r="B225" t="str">
            <v>100D-3203 (NA)</v>
          </cell>
          <cell r="C225" t="str">
            <v>m</v>
          </cell>
          <cell r="D225">
            <v>693.07</v>
          </cell>
          <cell r="E225">
            <v>6.93</v>
          </cell>
          <cell r="F225">
            <v>700</v>
          </cell>
        </row>
        <row r="226">
          <cell r="A226">
            <v>1545</v>
          </cell>
          <cell r="B226" t="str">
            <v>70S-1002-1(NA)</v>
          </cell>
          <cell r="C226" t="str">
            <v>m</v>
          </cell>
          <cell r="D226">
            <v>323.83999999999997</v>
          </cell>
          <cell r="E226">
            <v>3.24</v>
          </cell>
          <cell r="F226">
            <v>327</v>
          </cell>
        </row>
        <row r="227">
          <cell r="A227">
            <v>1546</v>
          </cell>
          <cell r="B227" t="str">
            <v>70S-1102-1 (NA)</v>
          </cell>
          <cell r="C227" t="str">
            <v>m</v>
          </cell>
          <cell r="D227">
            <v>236.92</v>
          </cell>
          <cell r="E227">
            <v>2.37</v>
          </cell>
          <cell r="F227">
            <v>239.5</v>
          </cell>
        </row>
        <row r="228">
          <cell r="A228">
            <v>1547</v>
          </cell>
          <cell r="B228" t="str">
            <v>70S-1202-1(NA)</v>
          </cell>
          <cell r="C228" t="str">
            <v>m</v>
          </cell>
          <cell r="D228">
            <v>236.92</v>
          </cell>
          <cell r="E228">
            <v>2.37</v>
          </cell>
          <cell r="F228">
            <v>239.5</v>
          </cell>
        </row>
        <row r="229">
          <cell r="A229">
            <v>1548</v>
          </cell>
          <cell r="B229" t="str">
            <v>70S-1704A (NA)</v>
          </cell>
          <cell r="C229" t="str">
            <v>m</v>
          </cell>
          <cell r="D229">
            <v>441.38</v>
          </cell>
          <cell r="E229">
            <v>4.41</v>
          </cell>
          <cell r="F229">
            <v>446</v>
          </cell>
        </row>
        <row r="230">
          <cell r="A230">
            <v>1549</v>
          </cell>
          <cell r="B230" t="str">
            <v>70S-1402-1 (NA)</v>
          </cell>
          <cell r="C230" t="str">
            <v>m</v>
          </cell>
          <cell r="D230">
            <v>299.52999999999997</v>
          </cell>
          <cell r="E230">
            <v>3</v>
          </cell>
          <cell r="F230">
            <v>302.5</v>
          </cell>
        </row>
        <row r="231">
          <cell r="A231">
            <v>1550</v>
          </cell>
          <cell r="B231" t="str">
            <v>70S-1801 (NA)</v>
          </cell>
          <cell r="C231" t="str">
            <v>m</v>
          </cell>
          <cell r="D231">
            <v>281.38</v>
          </cell>
          <cell r="E231">
            <v>2.81</v>
          </cell>
          <cell r="F231">
            <v>284</v>
          </cell>
        </row>
        <row r="232">
          <cell r="A232">
            <v>1551</v>
          </cell>
          <cell r="B232" t="str">
            <v>70S-1101-2 (NA)</v>
          </cell>
          <cell r="C232" t="str">
            <v>m</v>
          </cell>
          <cell r="D232">
            <v>466.46</v>
          </cell>
          <cell r="E232">
            <v>4.66</v>
          </cell>
          <cell r="F232">
            <v>471</v>
          </cell>
        </row>
        <row r="233">
          <cell r="A233">
            <v>1552</v>
          </cell>
          <cell r="B233" t="str">
            <v>70S-1001-1 (NA)</v>
          </cell>
          <cell r="C233" t="str">
            <v>m</v>
          </cell>
          <cell r="D233">
            <v>461.07</v>
          </cell>
          <cell r="E233">
            <v>4.6100000000000003</v>
          </cell>
          <cell r="F233">
            <v>465.5</v>
          </cell>
        </row>
        <row r="234">
          <cell r="A234">
            <v>1553</v>
          </cell>
          <cell r="B234" t="str">
            <v>70S-1704A (NA)</v>
          </cell>
          <cell r="C234" t="str">
            <v>m</v>
          </cell>
          <cell r="D234">
            <v>441.38</v>
          </cell>
          <cell r="E234">
            <v>4.41</v>
          </cell>
          <cell r="F234">
            <v>446</v>
          </cell>
        </row>
        <row r="235">
          <cell r="A235">
            <v>1554</v>
          </cell>
          <cell r="B235" t="str">
            <v>70S-1401-1 (NA)</v>
          </cell>
          <cell r="C235" t="str">
            <v>m</v>
          </cell>
          <cell r="D235">
            <v>306.76</v>
          </cell>
          <cell r="E235">
            <v>3.07</v>
          </cell>
          <cell r="F235">
            <v>310</v>
          </cell>
        </row>
        <row r="236">
          <cell r="A236">
            <v>1555</v>
          </cell>
          <cell r="B236" t="str">
            <v>70S-1201-1 (NA)</v>
          </cell>
          <cell r="C236" t="str">
            <v>m</v>
          </cell>
          <cell r="D236">
            <v>375.07</v>
          </cell>
          <cell r="E236">
            <v>3.75</v>
          </cell>
          <cell r="F236">
            <v>379</v>
          </cell>
        </row>
        <row r="237">
          <cell r="A237">
            <v>1556</v>
          </cell>
          <cell r="B237" t="str">
            <v>70S-1604 (NA)</v>
          </cell>
          <cell r="C237" t="str">
            <v>m</v>
          </cell>
          <cell r="D237">
            <v>367.07</v>
          </cell>
          <cell r="E237">
            <v>3.67</v>
          </cell>
          <cell r="F237">
            <v>371</v>
          </cell>
        </row>
        <row r="238">
          <cell r="A238">
            <v>1557</v>
          </cell>
          <cell r="B238" t="str">
            <v>70S-1801 (NA)</v>
          </cell>
          <cell r="C238" t="str">
            <v>m</v>
          </cell>
          <cell r="D238">
            <v>281.38</v>
          </cell>
          <cell r="E238">
            <v>2.81</v>
          </cell>
          <cell r="F238">
            <v>284</v>
          </cell>
        </row>
        <row r="239">
          <cell r="A239">
            <v>1558</v>
          </cell>
          <cell r="B239" t="str">
            <v>PT-5157 (NA)</v>
          </cell>
          <cell r="C239" t="str">
            <v>m</v>
          </cell>
          <cell r="D239">
            <v>306.39</v>
          </cell>
          <cell r="E239">
            <v>3.06</v>
          </cell>
          <cell r="F239">
            <v>309.5</v>
          </cell>
        </row>
        <row r="240">
          <cell r="A240">
            <v>1559</v>
          </cell>
          <cell r="B240" t="str">
            <v>PT-5158 (NA)</v>
          </cell>
          <cell r="C240" t="str">
            <v>m</v>
          </cell>
          <cell r="D240">
            <v>226.72</v>
          </cell>
          <cell r="E240">
            <v>2.27</v>
          </cell>
          <cell r="F240">
            <v>229</v>
          </cell>
        </row>
        <row r="241">
          <cell r="A241">
            <v>1560</v>
          </cell>
          <cell r="B241" t="str">
            <v>PT-5153 (NA)</v>
          </cell>
          <cell r="C241" t="str">
            <v>m</v>
          </cell>
          <cell r="D241">
            <v>82.78</v>
          </cell>
          <cell r="E241">
            <v>0.83</v>
          </cell>
          <cell r="F241">
            <v>83.5</v>
          </cell>
        </row>
        <row r="242">
          <cell r="A242">
            <v>1561</v>
          </cell>
          <cell r="B242" t="str">
            <v>PT-5154 (NA)</v>
          </cell>
          <cell r="C242" t="str">
            <v>m</v>
          </cell>
          <cell r="D242">
            <v>169.34</v>
          </cell>
          <cell r="E242">
            <v>1.69</v>
          </cell>
          <cell r="F242">
            <v>171</v>
          </cell>
        </row>
        <row r="243">
          <cell r="A243">
            <v>1562</v>
          </cell>
          <cell r="B243" t="str">
            <v>A-110A (MF)</v>
          </cell>
          <cell r="C243" t="str">
            <v>m</v>
          </cell>
          <cell r="D243">
            <v>287.37</v>
          </cell>
          <cell r="E243">
            <v>2.87</v>
          </cell>
          <cell r="F243">
            <v>290</v>
          </cell>
        </row>
        <row r="244">
          <cell r="B244" t="str">
            <v>Aluminium Extrusions (Bronze Anodized)</v>
          </cell>
        </row>
        <row r="245">
          <cell r="A245">
            <v>1601</v>
          </cell>
          <cell r="B245" t="str">
            <v>70S-1101-1 (BA)</v>
          </cell>
          <cell r="C245" t="str">
            <v>m</v>
          </cell>
          <cell r="D245">
            <v>458.61</v>
          </cell>
          <cell r="E245">
            <v>4.59</v>
          </cell>
          <cell r="F245">
            <v>463</v>
          </cell>
        </row>
        <row r="246">
          <cell r="A246">
            <v>1602</v>
          </cell>
          <cell r="B246" t="str">
            <v>70S-1001-1 (BA)</v>
          </cell>
          <cell r="C246" t="str">
            <v>m</v>
          </cell>
          <cell r="D246">
            <v>469.38</v>
          </cell>
          <cell r="E246">
            <v>4.6900000000000004</v>
          </cell>
          <cell r="F246">
            <v>474</v>
          </cell>
        </row>
        <row r="247">
          <cell r="A247">
            <v>1603</v>
          </cell>
          <cell r="B247" t="str">
            <v>70S-1201-1 (BA)</v>
          </cell>
          <cell r="C247" t="str">
            <v>m</v>
          </cell>
          <cell r="D247">
            <v>382</v>
          </cell>
          <cell r="E247">
            <v>3.82</v>
          </cell>
          <cell r="F247">
            <v>386</v>
          </cell>
        </row>
        <row r="248">
          <cell r="A248">
            <v>1604</v>
          </cell>
          <cell r="B248" t="str">
            <v>70S-1604 (BA)</v>
          </cell>
          <cell r="C248" t="str">
            <v>m</v>
          </cell>
          <cell r="D248">
            <v>373.85</v>
          </cell>
          <cell r="E248">
            <v>3.74</v>
          </cell>
          <cell r="F248">
            <v>377.5</v>
          </cell>
        </row>
        <row r="249">
          <cell r="A249">
            <v>1605</v>
          </cell>
          <cell r="B249" t="str">
            <v>70S-1704 (BA)</v>
          </cell>
          <cell r="C249" t="str">
            <v>m</v>
          </cell>
          <cell r="D249">
            <v>352.77</v>
          </cell>
          <cell r="E249">
            <v>3.53</v>
          </cell>
          <cell r="F249">
            <v>356.5</v>
          </cell>
        </row>
        <row r="250">
          <cell r="A250">
            <v>1606</v>
          </cell>
          <cell r="B250" t="str">
            <v>70S-1503A (BA)</v>
          </cell>
          <cell r="C250" t="str">
            <v>m</v>
          </cell>
          <cell r="D250">
            <v>441.38</v>
          </cell>
          <cell r="E250">
            <v>4.41</v>
          </cell>
          <cell r="F250">
            <v>446</v>
          </cell>
        </row>
        <row r="251">
          <cell r="A251">
            <v>1607</v>
          </cell>
          <cell r="B251" t="str">
            <v>70S-1401-1 (BA)</v>
          </cell>
          <cell r="C251" t="str">
            <v>m</v>
          </cell>
          <cell r="D251">
            <v>312</v>
          </cell>
          <cell r="E251">
            <v>3.12</v>
          </cell>
          <cell r="F251">
            <v>315</v>
          </cell>
        </row>
        <row r="252">
          <cell r="A252">
            <v>1608</v>
          </cell>
          <cell r="B252" t="str">
            <v>70SF-1006 (BA)</v>
          </cell>
          <cell r="C252" t="str">
            <v>m</v>
          </cell>
          <cell r="D252">
            <v>740.46</v>
          </cell>
          <cell r="E252">
            <v>7.4</v>
          </cell>
          <cell r="F252">
            <v>748</v>
          </cell>
        </row>
        <row r="253">
          <cell r="A253">
            <v>1609</v>
          </cell>
          <cell r="B253" t="str">
            <v>70SF-1201A (BA)</v>
          </cell>
          <cell r="C253" t="str">
            <v>m</v>
          </cell>
          <cell r="D253">
            <v>258.14999999999998</v>
          </cell>
          <cell r="E253">
            <v>2.58</v>
          </cell>
          <cell r="F253">
            <v>261</v>
          </cell>
        </row>
        <row r="254">
          <cell r="A254">
            <v>1610</v>
          </cell>
          <cell r="B254" t="str">
            <v>70SF-1201B (BA)</v>
          </cell>
          <cell r="C254" t="str">
            <v>m</v>
          </cell>
          <cell r="D254">
            <v>258.14999999999998</v>
          </cell>
          <cell r="E254">
            <v>2.58</v>
          </cell>
          <cell r="F254">
            <v>260.5</v>
          </cell>
        </row>
        <row r="255">
          <cell r="A255">
            <v>1611</v>
          </cell>
          <cell r="B255" t="str">
            <v>DG-02 (BA)</v>
          </cell>
          <cell r="C255" t="str">
            <v>m</v>
          </cell>
          <cell r="D255">
            <v>233.6</v>
          </cell>
          <cell r="E255">
            <v>2.34</v>
          </cell>
          <cell r="F255">
            <v>236</v>
          </cell>
        </row>
        <row r="256">
          <cell r="A256">
            <v>1612</v>
          </cell>
          <cell r="B256" t="str">
            <v>DG-102 (BA)</v>
          </cell>
          <cell r="C256" t="str">
            <v>m</v>
          </cell>
          <cell r="D256">
            <v>208.52</v>
          </cell>
          <cell r="E256">
            <v>2.09</v>
          </cell>
          <cell r="F256">
            <v>210.5</v>
          </cell>
        </row>
        <row r="257">
          <cell r="A257">
            <v>1613</v>
          </cell>
          <cell r="B257" t="str">
            <v>CA-1001(BA)</v>
          </cell>
          <cell r="C257" t="str">
            <v>m</v>
          </cell>
          <cell r="D257">
            <v>579.51</v>
          </cell>
          <cell r="E257">
            <v>5.8</v>
          </cell>
          <cell r="F257">
            <v>585.5</v>
          </cell>
        </row>
        <row r="258">
          <cell r="A258">
            <v>1614</v>
          </cell>
          <cell r="B258" t="str">
            <v>CA-1002 (BA)</v>
          </cell>
          <cell r="C258" t="str">
            <v>m</v>
          </cell>
          <cell r="D258">
            <v>905.57</v>
          </cell>
          <cell r="E258">
            <v>9.06</v>
          </cell>
          <cell r="F258">
            <v>914.5</v>
          </cell>
        </row>
        <row r="259">
          <cell r="A259">
            <v>1615</v>
          </cell>
          <cell r="B259" t="str">
            <v>100D-1914 (BA)</v>
          </cell>
          <cell r="C259" t="str">
            <v>m</v>
          </cell>
          <cell r="D259">
            <v>127.07</v>
          </cell>
          <cell r="E259">
            <v>1.27</v>
          </cell>
          <cell r="F259">
            <v>128.5</v>
          </cell>
        </row>
        <row r="260">
          <cell r="A260">
            <v>1616</v>
          </cell>
          <cell r="B260" t="str">
            <v>CA-1007 (BA)</v>
          </cell>
          <cell r="C260" t="str">
            <v>m</v>
          </cell>
          <cell r="D260">
            <v>260.32</v>
          </cell>
          <cell r="E260">
            <v>2.6</v>
          </cell>
          <cell r="F260">
            <v>263</v>
          </cell>
        </row>
        <row r="261">
          <cell r="A261">
            <v>1617</v>
          </cell>
          <cell r="B261" t="str">
            <v>CA-1008 (BA)</v>
          </cell>
          <cell r="C261" t="str">
            <v>m</v>
          </cell>
          <cell r="D261">
            <v>441.8</v>
          </cell>
          <cell r="E261">
            <v>4.42</v>
          </cell>
          <cell r="F261">
            <v>446</v>
          </cell>
        </row>
        <row r="262">
          <cell r="A262">
            <v>1618</v>
          </cell>
          <cell r="B262" t="str">
            <v>CA-2005 (BA)</v>
          </cell>
          <cell r="C262" t="str">
            <v>m</v>
          </cell>
          <cell r="D262">
            <v>493.6</v>
          </cell>
          <cell r="E262">
            <v>4.9400000000000004</v>
          </cell>
          <cell r="F262">
            <v>498.5</v>
          </cell>
        </row>
        <row r="263">
          <cell r="A263">
            <v>1619</v>
          </cell>
          <cell r="B263" t="str">
            <v>A-111 (MF)</v>
          </cell>
          <cell r="C263" t="str">
            <v>m</v>
          </cell>
          <cell r="D263">
            <v>392.88</v>
          </cell>
          <cell r="E263">
            <v>3.93</v>
          </cell>
          <cell r="F263">
            <v>397</v>
          </cell>
        </row>
        <row r="264">
          <cell r="A264">
            <v>1620</v>
          </cell>
          <cell r="B264" t="str">
            <v>DG-01 (BA)</v>
          </cell>
          <cell r="C264" t="str">
            <v>m</v>
          </cell>
          <cell r="D264">
            <v>223.44</v>
          </cell>
          <cell r="E264">
            <v>2.23</v>
          </cell>
          <cell r="F264">
            <v>225.5</v>
          </cell>
        </row>
        <row r="265">
          <cell r="A265">
            <v>1621</v>
          </cell>
          <cell r="B265" t="str">
            <v>DG-101(BA)</v>
          </cell>
          <cell r="C265" t="str">
            <v>m</v>
          </cell>
          <cell r="D265">
            <v>192.46</v>
          </cell>
          <cell r="E265">
            <v>1.92</v>
          </cell>
          <cell r="F265">
            <v>194.5</v>
          </cell>
        </row>
        <row r="266">
          <cell r="A266">
            <v>1622</v>
          </cell>
          <cell r="B266" t="str">
            <v>CA-2004 (BA)</v>
          </cell>
          <cell r="C266" t="str">
            <v>m</v>
          </cell>
          <cell r="D266">
            <v>339.01</v>
          </cell>
          <cell r="E266">
            <v>3.39</v>
          </cell>
          <cell r="F266">
            <v>342.5</v>
          </cell>
        </row>
        <row r="267">
          <cell r="A267">
            <v>1623</v>
          </cell>
          <cell r="B267" t="str">
            <v>GL-107 (BA)</v>
          </cell>
          <cell r="C267" t="str">
            <v>m</v>
          </cell>
          <cell r="D267">
            <v>132.94999999999999</v>
          </cell>
          <cell r="E267">
            <v>1.33</v>
          </cell>
          <cell r="F267">
            <v>134.5</v>
          </cell>
        </row>
        <row r="268">
          <cell r="A268">
            <v>1624</v>
          </cell>
          <cell r="B268" t="str">
            <v>CA-1003 (BA)</v>
          </cell>
          <cell r="C268" t="str">
            <v>m</v>
          </cell>
          <cell r="D268">
            <v>358.69</v>
          </cell>
          <cell r="E268">
            <v>3.59</v>
          </cell>
          <cell r="F268">
            <v>362.5</v>
          </cell>
        </row>
        <row r="269">
          <cell r="A269">
            <v>1625</v>
          </cell>
          <cell r="B269" t="str">
            <v>CA-1004 (BA)</v>
          </cell>
          <cell r="C269" t="str">
            <v>m</v>
          </cell>
          <cell r="D269">
            <v>535.9</v>
          </cell>
          <cell r="E269">
            <v>5.36</v>
          </cell>
          <cell r="F269">
            <v>541.5</v>
          </cell>
        </row>
        <row r="270">
          <cell r="A270">
            <v>1626</v>
          </cell>
          <cell r="B270" t="str">
            <v>CA-2006 (BA)</v>
          </cell>
          <cell r="C270" t="str">
            <v>m</v>
          </cell>
          <cell r="D270">
            <v>501.31</v>
          </cell>
          <cell r="E270">
            <v>5.01</v>
          </cell>
          <cell r="F270">
            <v>506.5</v>
          </cell>
        </row>
        <row r="271">
          <cell r="A271">
            <v>1627</v>
          </cell>
          <cell r="B271" t="str">
            <v>DG-02 (BA)</v>
          </cell>
          <cell r="C271" t="str">
            <v>m</v>
          </cell>
          <cell r="D271">
            <v>233.6</v>
          </cell>
          <cell r="E271">
            <v>2.34</v>
          </cell>
          <cell r="F271">
            <v>236</v>
          </cell>
        </row>
        <row r="272">
          <cell r="A272">
            <v>1628</v>
          </cell>
          <cell r="B272" t="str">
            <v>DG-102(BA)</v>
          </cell>
          <cell r="C272" t="str">
            <v>m</v>
          </cell>
          <cell r="D272">
            <v>208.52</v>
          </cell>
          <cell r="E272">
            <v>2.09</v>
          </cell>
          <cell r="F272">
            <v>210.5</v>
          </cell>
        </row>
        <row r="273">
          <cell r="A273">
            <v>1629</v>
          </cell>
          <cell r="B273" t="str">
            <v>CA-1001 (BA)</v>
          </cell>
          <cell r="C273" t="str">
            <v>m</v>
          </cell>
          <cell r="D273">
            <v>579.51</v>
          </cell>
          <cell r="E273">
            <v>5.8</v>
          </cell>
          <cell r="F273">
            <v>585.5</v>
          </cell>
        </row>
        <row r="274">
          <cell r="A274">
            <v>1630</v>
          </cell>
          <cell r="B274" t="str">
            <v>CA-1002 (BA)</v>
          </cell>
          <cell r="C274" t="str">
            <v>m</v>
          </cell>
          <cell r="D274">
            <v>905.57</v>
          </cell>
          <cell r="E274">
            <v>9.06</v>
          </cell>
          <cell r="F274">
            <v>914.5</v>
          </cell>
        </row>
        <row r="275">
          <cell r="A275">
            <v>1631</v>
          </cell>
          <cell r="B275" t="str">
            <v>100D-3104 (BA)</v>
          </cell>
          <cell r="C275" t="str">
            <v>m</v>
          </cell>
          <cell r="D275">
            <v>613.69000000000005</v>
          </cell>
          <cell r="E275">
            <v>6.14</v>
          </cell>
          <cell r="F275">
            <v>620</v>
          </cell>
        </row>
        <row r="276">
          <cell r="A276">
            <v>1632</v>
          </cell>
          <cell r="B276" t="str">
            <v>100D-101 (BA)</v>
          </cell>
          <cell r="C276" t="str">
            <v>m</v>
          </cell>
          <cell r="D276">
            <v>838.31</v>
          </cell>
          <cell r="E276">
            <v>8.3800000000000008</v>
          </cell>
          <cell r="F276">
            <v>846.5</v>
          </cell>
        </row>
        <row r="277">
          <cell r="A277">
            <v>1633</v>
          </cell>
          <cell r="B277" t="str">
            <v>100D-102 (BA)</v>
          </cell>
          <cell r="C277" t="str">
            <v>m</v>
          </cell>
          <cell r="D277">
            <v>877.85</v>
          </cell>
          <cell r="E277">
            <v>8.7799999999999994</v>
          </cell>
          <cell r="F277">
            <v>886.5</v>
          </cell>
        </row>
        <row r="278">
          <cell r="A278">
            <v>1634</v>
          </cell>
          <cell r="B278" t="str">
            <v>100D-201 (BA)</v>
          </cell>
          <cell r="C278" t="str">
            <v>m</v>
          </cell>
          <cell r="D278">
            <v>811.69</v>
          </cell>
          <cell r="E278">
            <v>8.1199999999999992</v>
          </cell>
          <cell r="F278">
            <v>820</v>
          </cell>
        </row>
        <row r="279">
          <cell r="A279">
            <v>1635</v>
          </cell>
          <cell r="B279" t="str">
            <v>100D-301 (BA)</v>
          </cell>
          <cell r="C279" t="str">
            <v>m</v>
          </cell>
          <cell r="D279">
            <v>964</v>
          </cell>
          <cell r="E279">
            <v>9.64</v>
          </cell>
          <cell r="F279">
            <v>973.5</v>
          </cell>
        </row>
        <row r="280">
          <cell r="A280">
            <v>1636</v>
          </cell>
          <cell r="B280" t="str">
            <v>100D-401 (BA)</v>
          </cell>
          <cell r="C280" t="str">
            <v>m</v>
          </cell>
          <cell r="D280">
            <v>1067.69</v>
          </cell>
          <cell r="E280">
            <v>10.68</v>
          </cell>
          <cell r="F280">
            <v>1078.5</v>
          </cell>
        </row>
        <row r="281">
          <cell r="A281">
            <v>1637</v>
          </cell>
          <cell r="B281" t="str">
            <v>100D-501 (BA)</v>
          </cell>
          <cell r="C281" t="str">
            <v>m</v>
          </cell>
          <cell r="D281">
            <v>114.15</v>
          </cell>
          <cell r="E281">
            <v>1.1399999999999999</v>
          </cell>
          <cell r="F281">
            <v>115.5</v>
          </cell>
        </row>
        <row r="282">
          <cell r="A282">
            <v>1638</v>
          </cell>
          <cell r="B282" t="str">
            <v>70D-1910 (BA)</v>
          </cell>
          <cell r="C282" t="str">
            <v>m</v>
          </cell>
          <cell r="D282">
            <v>130.30000000000001</v>
          </cell>
          <cell r="E282">
            <v>1.3</v>
          </cell>
          <cell r="F282">
            <v>131.5</v>
          </cell>
        </row>
        <row r="283">
          <cell r="A283">
            <v>1639</v>
          </cell>
          <cell r="B283" t="str">
            <v>100D-3503A (BA)</v>
          </cell>
          <cell r="C283" t="str">
            <v>m</v>
          </cell>
          <cell r="D283">
            <v>607.69000000000005</v>
          </cell>
          <cell r="E283">
            <v>6.08</v>
          </cell>
          <cell r="F283">
            <v>613.5</v>
          </cell>
        </row>
        <row r="284">
          <cell r="A284">
            <v>1640</v>
          </cell>
          <cell r="B284" t="str">
            <v>100D-3004A (BA)</v>
          </cell>
          <cell r="C284" t="str">
            <v>m</v>
          </cell>
          <cell r="D284">
            <v>717.38</v>
          </cell>
          <cell r="E284">
            <v>7.17</v>
          </cell>
          <cell r="F284">
            <v>724.5</v>
          </cell>
        </row>
        <row r="285">
          <cell r="A285">
            <v>1641</v>
          </cell>
          <cell r="B285" t="str">
            <v>100D-3207 (BA)</v>
          </cell>
          <cell r="C285" t="str">
            <v>m</v>
          </cell>
          <cell r="D285">
            <v>934.92</v>
          </cell>
          <cell r="E285">
            <v>9.35</v>
          </cell>
          <cell r="F285">
            <v>944.5</v>
          </cell>
        </row>
        <row r="286">
          <cell r="A286">
            <v>1642</v>
          </cell>
          <cell r="B286" t="str">
            <v>100D-3503 (BA)</v>
          </cell>
          <cell r="C286" t="str">
            <v>m</v>
          </cell>
          <cell r="D286">
            <v>663.85</v>
          </cell>
          <cell r="E286">
            <v>6.64</v>
          </cell>
          <cell r="F286">
            <v>670.5</v>
          </cell>
        </row>
        <row r="287">
          <cell r="A287">
            <v>1643</v>
          </cell>
          <cell r="B287" t="str">
            <v>100D-1914 (BA)</v>
          </cell>
          <cell r="C287" t="str">
            <v>m</v>
          </cell>
          <cell r="D287">
            <v>127.07</v>
          </cell>
          <cell r="E287">
            <v>1.27</v>
          </cell>
          <cell r="F287">
            <v>128.5</v>
          </cell>
        </row>
        <row r="288">
          <cell r="A288">
            <v>1644</v>
          </cell>
          <cell r="B288" t="str">
            <v>100D-3203 (BA)</v>
          </cell>
          <cell r="C288" t="str">
            <v>m</v>
          </cell>
          <cell r="D288">
            <v>705.53</v>
          </cell>
          <cell r="E288">
            <v>7.06</v>
          </cell>
          <cell r="F288">
            <v>712.5</v>
          </cell>
        </row>
        <row r="289">
          <cell r="A289">
            <v>1645</v>
          </cell>
          <cell r="B289" t="str">
            <v>70S-1002-1(BA)</v>
          </cell>
          <cell r="C289" t="str">
            <v>m</v>
          </cell>
          <cell r="D289">
            <v>329.69</v>
          </cell>
          <cell r="E289">
            <v>3.3</v>
          </cell>
          <cell r="F289">
            <v>333</v>
          </cell>
        </row>
        <row r="290">
          <cell r="A290">
            <v>1646</v>
          </cell>
          <cell r="B290" t="str">
            <v>70S-1102-1 (BA)</v>
          </cell>
          <cell r="C290" t="str">
            <v>m</v>
          </cell>
          <cell r="D290">
            <v>241.23</v>
          </cell>
          <cell r="E290">
            <v>2.41</v>
          </cell>
          <cell r="F290">
            <v>243.5</v>
          </cell>
        </row>
        <row r="291">
          <cell r="A291">
            <v>1647</v>
          </cell>
          <cell r="B291" t="str">
            <v>70S-1202-1(BA)</v>
          </cell>
          <cell r="C291" t="str">
            <v>m</v>
          </cell>
          <cell r="D291">
            <v>241.23</v>
          </cell>
          <cell r="E291">
            <v>2.41</v>
          </cell>
          <cell r="F291">
            <v>243.5</v>
          </cell>
        </row>
        <row r="292">
          <cell r="A292">
            <v>1648</v>
          </cell>
          <cell r="B292" t="str">
            <v>70S-1704A (BA)</v>
          </cell>
          <cell r="C292" t="str">
            <v>m</v>
          </cell>
          <cell r="D292">
            <v>449.54</v>
          </cell>
          <cell r="E292">
            <v>4.5</v>
          </cell>
          <cell r="F292">
            <v>454</v>
          </cell>
        </row>
        <row r="293">
          <cell r="A293">
            <v>1649</v>
          </cell>
          <cell r="B293" t="str">
            <v>70S-1402-1 (BA)</v>
          </cell>
          <cell r="C293" t="str">
            <v>m</v>
          </cell>
          <cell r="D293">
            <v>304.92</v>
          </cell>
          <cell r="E293">
            <v>3.05</v>
          </cell>
          <cell r="F293">
            <v>308</v>
          </cell>
        </row>
        <row r="294">
          <cell r="A294">
            <v>1650</v>
          </cell>
          <cell r="B294" t="str">
            <v>70S-1801 (BA)</v>
          </cell>
          <cell r="C294" t="str">
            <v>m</v>
          </cell>
          <cell r="D294">
            <v>286.45999999999998</v>
          </cell>
          <cell r="E294">
            <v>2.86</v>
          </cell>
          <cell r="F294">
            <v>289.5</v>
          </cell>
        </row>
        <row r="295">
          <cell r="A295">
            <v>1651</v>
          </cell>
          <cell r="B295" t="str">
            <v>70S-1101-2 (BA)</v>
          </cell>
          <cell r="C295" t="str">
            <v>m</v>
          </cell>
          <cell r="D295">
            <v>475.07</v>
          </cell>
          <cell r="E295">
            <v>4.75</v>
          </cell>
          <cell r="F295">
            <v>480</v>
          </cell>
        </row>
        <row r="296">
          <cell r="A296">
            <v>1652</v>
          </cell>
          <cell r="B296" t="str">
            <v>70S-1001-1 (BA)</v>
          </cell>
          <cell r="C296" t="str">
            <v>m</v>
          </cell>
          <cell r="D296">
            <v>469.38</v>
          </cell>
          <cell r="E296">
            <v>4.6900000000000004</v>
          </cell>
          <cell r="F296">
            <v>474</v>
          </cell>
        </row>
        <row r="297">
          <cell r="A297">
            <v>1653</v>
          </cell>
          <cell r="B297" t="str">
            <v>70S-1704A (BA)</v>
          </cell>
          <cell r="C297" t="str">
            <v>m</v>
          </cell>
          <cell r="D297">
            <v>449.54</v>
          </cell>
          <cell r="E297">
            <v>4.5</v>
          </cell>
          <cell r="F297">
            <v>454</v>
          </cell>
        </row>
        <row r="298">
          <cell r="A298">
            <v>1654</v>
          </cell>
          <cell r="B298" t="str">
            <v>70S-1401-1 (BA)</v>
          </cell>
          <cell r="C298" t="str">
            <v>m</v>
          </cell>
          <cell r="D298">
            <v>312</v>
          </cell>
          <cell r="E298">
            <v>3.12</v>
          </cell>
          <cell r="F298">
            <v>315</v>
          </cell>
        </row>
        <row r="299">
          <cell r="A299">
            <v>1655</v>
          </cell>
          <cell r="B299" t="str">
            <v>70S-1201-1 (BA)</v>
          </cell>
          <cell r="C299" t="str">
            <v>m</v>
          </cell>
          <cell r="D299">
            <v>382</v>
          </cell>
          <cell r="E299">
            <v>3.82</v>
          </cell>
          <cell r="F299">
            <v>386</v>
          </cell>
        </row>
        <row r="300">
          <cell r="A300">
            <v>1656</v>
          </cell>
          <cell r="B300" t="str">
            <v>70S-1604 (BA)</v>
          </cell>
          <cell r="C300" t="str">
            <v>m</v>
          </cell>
          <cell r="D300">
            <v>373.85</v>
          </cell>
          <cell r="E300">
            <v>3.74</v>
          </cell>
          <cell r="F300">
            <v>377.5</v>
          </cell>
        </row>
        <row r="301">
          <cell r="A301">
            <v>1657</v>
          </cell>
          <cell r="B301" t="str">
            <v>70S-1801 (BA)</v>
          </cell>
          <cell r="C301" t="str">
            <v>m</v>
          </cell>
          <cell r="D301">
            <v>286.45999999999998</v>
          </cell>
          <cell r="E301">
            <v>2.86</v>
          </cell>
          <cell r="F301">
            <v>289.5</v>
          </cell>
        </row>
        <row r="302">
          <cell r="A302">
            <v>1658</v>
          </cell>
          <cell r="B302" t="str">
            <v>PT-5157 (BA)</v>
          </cell>
          <cell r="C302" t="str">
            <v>m</v>
          </cell>
          <cell r="D302">
            <v>312.45999999999998</v>
          </cell>
          <cell r="E302">
            <v>3.12</v>
          </cell>
          <cell r="F302">
            <v>315.5</v>
          </cell>
        </row>
        <row r="303">
          <cell r="A303">
            <v>1659</v>
          </cell>
          <cell r="B303" t="str">
            <v>PT-5158 (BA)</v>
          </cell>
          <cell r="C303" t="str">
            <v>m</v>
          </cell>
          <cell r="D303">
            <v>230.32</v>
          </cell>
          <cell r="E303">
            <v>2.2999999999999998</v>
          </cell>
          <cell r="F303">
            <v>232.5</v>
          </cell>
        </row>
        <row r="304">
          <cell r="A304">
            <v>1660</v>
          </cell>
          <cell r="B304" t="str">
            <v>PT-5153 (BA)</v>
          </cell>
          <cell r="C304" t="str">
            <v>m</v>
          </cell>
          <cell r="D304">
            <v>84.42</v>
          </cell>
          <cell r="E304">
            <v>0.84</v>
          </cell>
          <cell r="F304">
            <v>85.5</v>
          </cell>
        </row>
        <row r="305">
          <cell r="A305">
            <v>1661</v>
          </cell>
          <cell r="B305" t="str">
            <v>PT-5154 (BA)</v>
          </cell>
          <cell r="C305" t="str">
            <v>m</v>
          </cell>
          <cell r="D305">
            <v>171.97</v>
          </cell>
          <cell r="E305">
            <v>1.72</v>
          </cell>
          <cell r="F305">
            <v>173.5</v>
          </cell>
        </row>
        <row r="306">
          <cell r="A306">
            <v>1662</v>
          </cell>
          <cell r="B306" t="str">
            <v>A-110A (MF)</v>
          </cell>
          <cell r="C306" t="str">
            <v>m</v>
          </cell>
          <cell r="D306">
            <v>257.05</v>
          </cell>
          <cell r="E306">
            <v>2.57</v>
          </cell>
          <cell r="F306">
            <v>259.5</v>
          </cell>
        </row>
        <row r="307">
          <cell r="B307" t="str">
            <v>Aluminium Extrusions (Powder Coated)</v>
          </cell>
        </row>
        <row r="308">
          <cell r="A308">
            <v>1701</v>
          </cell>
          <cell r="B308" t="str">
            <v>70S-1101-1 (PC)</v>
          </cell>
          <cell r="C308" t="str">
            <v>m</v>
          </cell>
          <cell r="D308">
            <v>519.38</v>
          </cell>
          <cell r="E308">
            <v>5.19</v>
          </cell>
          <cell r="F308">
            <v>524.5</v>
          </cell>
        </row>
        <row r="309">
          <cell r="A309">
            <v>1702</v>
          </cell>
          <cell r="B309" t="str">
            <v>70S-1001-1 (PC)</v>
          </cell>
          <cell r="C309" t="str">
            <v>m</v>
          </cell>
          <cell r="D309">
            <v>531.23</v>
          </cell>
          <cell r="E309">
            <v>5.31</v>
          </cell>
          <cell r="F309">
            <v>536.5</v>
          </cell>
        </row>
        <row r="310">
          <cell r="A310">
            <v>1703</v>
          </cell>
          <cell r="B310" t="str">
            <v>70S-1201-1 (PC)</v>
          </cell>
          <cell r="C310" t="str">
            <v>m</v>
          </cell>
          <cell r="D310">
            <v>432.15</v>
          </cell>
          <cell r="E310">
            <v>4.32</v>
          </cell>
          <cell r="F310">
            <v>436.5</v>
          </cell>
        </row>
        <row r="311">
          <cell r="A311">
            <v>1704</v>
          </cell>
          <cell r="B311" t="str">
            <v>70S-1604 (PC)</v>
          </cell>
          <cell r="C311" t="str">
            <v>m</v>
          </cell>
          <cell r="D311">
            <v>422.92</v>
          </cell>
          <cell r="E311">
            <v>4.2300000000000004</v>
          </cell>
          <cell r="F311">
            <v>427</v>
          </cell>
        </row>
        <row r="312">
          <cell r="A312">
            <v>1705</v>
          </cell>
          <cell r="B312" t="str">
            <v>70S-1704 (PC)</v>
          </cell>
          <cell r="C312" t="str">
            <v>m</v>
          </cell>
          <cell r="D312">
            <v>399.23</v>
          </cell>
          <cell r="E312">
            <v>3.99</v>
          </cell>
          <cell r="F312">
            <v>403</v>
          </cell>
        </row>
        <row r="313">
          <cell r="A313">
            <v>1706</v>
          </cell>
          <cell r="B313" t="str">
            <v>70S-1503A (PC)</v>
          </cell>
          <cell r="C313" t="str">
            <v>m</v>
          </cell>
          <cell r="D313">
            <v>499.54</v>
          </cell>
          <cell r="E313">
            <v>5</v>
          </cell>
          <cell r="F313">
            <v>504.5</v>
          </cell>
        </row>
        <row r="314">
          <cell r="A314">
            <v>1707</v>
          </cell>
          <cell r="B314" t="str">
            <v>70S-1401-1 (PC)</v>
          </cell>
          <cell r="C314" t="str">
            <v>m</v>
          </cell>
          <cell r="D314">
            <v>353.23</v>
          </cell>
          <cell r="E314">
            <v>3.53</v>
          </cell>
          <cell r="F314">
            <v>357</v>
          </cell>
        </row>
        <row r="315">
          <cell r="A315">
            <v>1708</v>
          </cell>
          <cell r="B315" t="str">
            <v>70SF-1006 (PC)</v>
          </cell>
          <cell r="C315" t="str">
            <v>m</v>
          </cell>
          <cell r="D315">
            <v>838.15</v>
          </cell>
          <cell r="E315">
            <v>8.3800000000000008</v>
          </cell>
          <cell r="F315">
            <v>846.5</v>
          </cell>
        </row>
        <row r="316">
          <cell r="A316">
            <v>1709</v>
          </cell>
          <cell r="B316" t="str">
            <v>70SF-1201A (PC)</v>
          </cell>
          <cell r="C316" t="str">
            <v>m</v>
          </cell>
          <cell r="D316">
            <v>292.61</v>
          </cell>
          <cell r="E316">
            <v>2.93</v>
          </cell>
          <cell r="F316">
            <v>295.5</v>
          </cell>
        </row>
        <row r="317">
          <cell r="A317">
            <v>1710</v>
          </cell>
          <cell r="B317" t="str">
            <v>70SF-1201B (PC)</v>
          </cell>
          <cell r="C317" t="str">
            <v>m</v>
          </cell>
          <cell r="D317">
            <v>292.61</v>
          </cell>
          <cell r="E317">
            <v>2.93</v>
          </cell>
          <cell r="F317">
            <v>295.5</v>
          </cell>
        </row>
        <row r="318">
          <cell r="A318">
            <v>1711</v>
          </cell>
          <cell r="B318" t="str">
            <v>DG-02 (PC)</v>
          </cell>
          <cell r="C318" t="str">
            <v>m</v>
          </cell>
          <cell r="D318">
            <v>264.43</v>
          </cell>
          <cell r="E318">
            <v>2.64</v>
          </cell>
          <cell r="F318">
            <v>267</v>
          </cell>
        </row>
        <row r="319">
          <cell r="A319">
            <v>1712</v>
          </cell>
          <cell r="B319" t="str">
            <v>DG-102 (PC)</v>
          </cell>
          <cell r="C319" t="str">
            <v>m</v>
          </cell>
          <cell r="D319">
            <v>236.06</v>
          </cell>
          <cell r="E319">
            <v>2.36</v>
          </cell>
          <cell r="F319">
            <v>238.5</v>
          </cell>
        </row>
        <row r="320">
          <cell r="A320">
            <v>1713</v>
          </cell>
          <cell r="B320" t="str">
            <v>CA-1001(PC)</v>
          </cell>
          <cell r="C320" t="str">
            <v>m</v>
          </cell>
          <cell r="D320">
            <v>655.57</v>
          </cell>
          <cell r="E320">
            <v>6.56</v>
          </cell>
          <cell r="F320">
            <v>662</v>
          </cell>
        </row>
        <row r="321">
          <cell r="A321">
            <v>1714</v>
          </cell>
          <cell r="B321" t="str">
            <v>CA-1002 (PC)</v>
          </cell>
          <cell r="C321" t="str">
            <v>m</v>
          </cell>
          <cell r="D321">
            <v>1024.92</v>
          </cell>
          <cell r="E321">
            <v>10.25</v>
          </cell>
          <cell r="F321">
            <v>1035</v>
          </cell>
        </row>
        <row r="322">
          <cell r="A322">
            <v>1715</v>
          </cell>
          <cell r="B322" t="str">
            <v>100D-1914 (PC)</v>
          </cell>
          <cell r="C322" t="str">
            <v>m</v>
          </cell>
          <cell r="D322">
            <v>143.84</v>
          </cell>
          <cell r="E322">
            <v>1.44</v>
          </cell>
          <cell r="F322">
            <v>145.5</v>
          </cell>
        </row>
        <row r="323">
          <cell r="A323">
            <v>1716</v>
          </cell>
          <cell r="B323" t="str">
            <v>CA-1007 (PC)</v>
          </cell>
          <cell r="C323" t="str">
            <v>m</v>
          </cell>
          <cell r="D323">
            <v>294.75</v>
          </cell>
          <cell r="E323">
            <v>2.95</v>
          </cell>
          <cell r="F323">
            <v>297.5</v>
          </cell>
        </row>
        <row r="324">
          <cell r="A324">
            <v>1717</v>
          </cell>
          <cell r="B324" t="str">
            <v>CA-1008 (PC)</v>
          </cell>
          <cell r="C324" t="str">
            <v>m</v>
          </cell>
          <cell r="D324">
            <v>500.16</v>
          </cell>
          <cell r="E324">
            <v>5</v>
          </cell>
          <cell r="F324">
            <v>505</v>
          </cell>
        </row>
        <row r="325">
          <cell r="A325">
            <v>1718</v>
          </cell>
          <cell r="B325" t="str">
            <v>CA-2005 (PC)</v>
          </cell>
          <cell r="C325" t="str">
            <v>m</v>
          </cell>
          <cell r="D325">
            <v>558.85</v>
          </cell>
          <cell r="E325">
            <v>5.59</v>
          </cell>
          <cell r="F325">
            <v>564.5</v>
          </cell>
        </row>
        <row r="326">
          <cell r="A326">
            <v>1719</v>
          </cell>
          <cell r="B326" t="str">
            <v>A-111 (MF)</v>
          </cell>
          <cell r="C326" t="str">
            <v>m</v>
          </cell>
          <cell r="D326">
            <v>392.87</v>
          </cell>
          <cell r="E326">
            <v>3.93</v>
          </cell>
          <cell r="F326">
            <v>397</v>
          </cell>
        </row>
        <row r="327">
          <cell r="A327">
            <v>1720</v>
          </cell>
          <cell r="B327" t="str">
            <v>DG-01 (PC)</v>
          </cell>
          <cell r="C327" t="str">
            <v>m</v>
          </cell>
          <cell r="D327">
            <v>252.95</v>
          </cell>
          <cell r="E327">
            <v>2.5299999999999998</v>
          </cell>
          <cell r="F327">
            <v>255.5</v>
          </cell>
        </row>
        <row r="328">
          <cell r="A328">
            <v>1721</v>
          </cell>
          <cell r="B328" t="str">
            <v>DG-101(PC)</v>
          </cell>
          <cell r="C328" t="str">
            <v>m</v>
          </cell>
          <cell r="D328">
            <v>217.54</v>
          </cell>
          <cell r="E328">
            <v>2.1800000000000002</v>
          </cell>
          <cell r="F328">
            <v>219.5</v>
          </cell>
        </row>
        <row r="329">
          <cell r="A329">
            <v>1722</v>
          </cell>
          <cell r="B329" t="str">
            <v>CA-2004 (PC)</v>
          </cell>
          <cell r="C329" t="str">
            <v>m</v>
          </cell>
          <cell r="D329">
            <v>384.26</v>
          </cell>
          <cell r="E329">
            <v>3.84</v>
          </cell>
          <cell r="F329">
            <v>388</v>
          </cell>
        </row>
        <row r="330">
          <cell r="A330">
            <v>1723</v>
          </cell>
          <cell r="B330" t="str">
            <v>GL-107 (PC)</v>
          </cell>
          <cell r="C330" t="str">
            <v>m</v>
          </cell>
          <cell r="D330">
            <v>151.15</v>
          </cell>
          <cell r="E330">
            <v>1.51</v>
          </cell>
          <cell r="F330">
            <v>152.5</v>
          </cell>
        </row>
        <row r="331">
          <cell r="A331">
            <v>1724</v>
          </cell>
          <cell r="B331" t="str">
            <v>CA-1003 (PC)</v>
          </cell>
          <cell r="C331" t="str">
            <v>m</v>
          </cell>
          <cell r="D331">
            <v>405.74</v>
          </cell>
          <cell r="E331">
            <v>4.0599999999999996</v>
          </cell>
          <cell r="F331">
            <v>410</v>
          </cell>
        </row>
        <row r="332">
          <cell r="A332">
            <v>1725</v>
          </cell>
          <cell r="B332" t="str">
            <v>CA-1004 (PC)</v>
          </cell>
          <cell r="C332" t="str">
            <v>m</v>
          </cell>
          <cell r="D332">
            <v>606.72</v>
          </cell>
          <cell r="E332">
            <v>6.07</v>
          </cell>
          <cell r="F332">
            <v>613</v>
          </cell>
        </row>
        <row r="333">
          <cell r="A333">
            <v>1726</v>
          </cell>
          <cell r="B333" t="str">
            <v>CA-2006 (PC)</v>
          </cell>
          <cell r="C333" t="str">
            <v>m</v>
          </cell>
          <cell r="D333">
            <v>567.37</v>
          </cell>
          <cell r="E333">
            <v>5.67</v>
          </cell>
          <cell r="F333">
            <v>573</v>
          </cell>
        </row>
        <row r="334">
          <cell r="A334">
            <v>1727</v>
          </cell>
          <cell r="B334" t="str">
            <v>DG-02 (PC)</v>
          </cell>
          <cell r="C334" t="str">
            <v>m</v>
          </cell>
          <cell r="D334">
            <v>264.43</v>
          </cell>
          <cell r="E334">
            <v>2.64</v>
          </cell>
          <cell r="F334">
            <v>267</v>
          </cell>
        </row>
        <row r="335">
          <cell r="A335">
            <v>1728</v>
          </cell>
          <cell r="B335" t="str">
            <v>DG-102(PC)</v>
          </cell>
          <cell r="C335" t="str">
            <v>m</v>
          </cell>
          <cell r="D335">
            <v>236.06</v>
          </cell>
          <cell r="E335">
            <v>2.36</v>
          </cell>
          <cell r="F335">
            <v>238.5</v>
          </cell>
        </row>
        <row r="336">
          <cell r="A336">
            <v>1729</v>
          </cell>
          <cell r="B336" t="str">
            <v>CA-1001 (PC)</v>
          </cell>
          <cell r="C336" t="str">
            <v>m</v>
          </cell>
          <cell r="D336">
            <v>655.57</v>
          </cell>
          <cell r="E336">
            <v>6.56</v>
          </cell>
          <cell r="F336">
            <v>662</v>
          </cell>
        </row>
        <row r="337">
          <cell r="A337">
            <v>1730</v>
          </cell>
          <cell r="B337" t="str">
            <v>CA-1002 (PC)</v>
          </cell>
          <cell r="C337" t="str">
            <v>m</v>
          </cell>
          <cell r="D337">
            <v>1024.92</v>
          </cell>
          <cell r="E337">
            <v>10.25</v>
          </cell>
          <cell r="F337">
            <v>1035</v>
          </cell>
        </row>
        <row r="338">
          <cell r="A338">
            <v>1731</v>
          </cell>
          <cell r="B338" t="str">
            <v>100D-3104 (PC)</v>
          </cell>
          <cell r="C338" t="str">
            <v>m</v>
          </cell>
          <cell r="D338">
            <v>694.46</v>
          </cell>
          <cell r="E338">
            <v>6.94</v>
          </cell>
          <cell r="F338">
            <v>701.5</v>
          </cell>
        </row>
        <row r="339">
          <cell r="A339">
            <v>1732</v>
          </cell>
          <cell r="B339" t="str">
            <v>100D-101 (PC)</v>
          </cell>
          <cell r="C339" t="str">
            <v>m</v>
          </cell>
          <cell r="D339">
            <v>948.77</v>
          </cell>
          <cell r="E339">
            <v>9.49</v>
          </cell>
          <cell r="F339">
            <v>958.5</v>
          </cell>
        </row>
        <row r="340">
          <cell r="A340">
            <v>1733</v>
          </cell>
          <cell r="B340" t="str">
            <v>100D-102 (PC)</v>
          </cell>
          <cell r="C340" t="str">
            <v>m</v>
          </cell>
          <cell r="D340">
            <v>993.38</v>
          </cell>
          <cell r="E340">
            <v>9.93</v>
          </cell>
          <cell r="F340">
            <v>1003.5</v>
          </cell>
        </row>
        <row r="341">
          <cell r="A341">
            <v>1734</v>
          </cell>
          <cell r="B341" t="str">
            <v>100D-201 (PC)</v>
          </cell>
          <cell r="C341" t="str">
            <v>m</v>
          </cell>
          <cell r="D341">
            <v>918.31</v>
          </cell>
          <cell r="E341">
            <v>9.18</v>
          </cell>
          <cell r="F341">
            <v>927.5</v>
          </cell>
        </row>
        <row r="342">
          <cell r="A342">
            <v>1735</v>
          </cell>
          <cell r="B342" t="str">
            <v>100D-301 (PC)</v>
          </cell>
          <cell r="C342" t="str">
            <v>m</v>
          </cell>
          <cell r="D342">
            <v>1091.08</v>
          </cell>
          <cell r="E342">
            <v>10.91</v>
          </cell>
          <cell r="F342">
            <v>1102</v>
          </cell>
        </row>
        <row r="343">
          <cell r="A343">
            <v>1736</v>
          </cell>
          <cell r="B343" t="str">
            <v>100D-401 (PC)</v>
          </cell>
          <cell r="C343" t="str">
            <v>m</v>
          </cell>
          <cell r="D343">
            <v>1208</v>
          </cell>
          <cell r="E343">
            <v>12.08</v>
          </cell>
          <cell r="F343">
            <v>1220</v>
          </cell>
        </row>
        <row r="344">
          <cell r="A344">
            <v>1737</v>
          </cell>
          <cell r="B344" t="str">
            <v>100D-501 (PC)</v>
          </cell>
          <cell r="C344" t="str">
            <v>m</v>
          </cell>
          <cell r="D344">
            <v>129.08000000000001</v>
          </cell>
          <cell r="E344">
            <v>1.29</v>
          </cell>
          <cell r="F344">
            <v>137.5</v>
          </cell>
        </row>
        <row r="345">
          <cell r="A345">
            <v>1738</v>
          </cell>
          <cell r="B345" t="str">
            <v>70D-1910 (PC)</v>
          </cell>
          <cell r="C345" t="str">
            <v>m</v>
          </cell>
          <cell r="D345">
            <v>147.69</v>
          </cell>
          <cell r="E345">
            <v>1.48</v>
          </cell>
          <cell r="F345">
            <v>149</v>
          </cell>
        </row>
        <row r="346">
          <cell r="A346">
            <v>1739</v>
          </cell>
          <cell r="B346" t="str">
            <v>100D-3503A (PC)</v>
          </cell>
          <cell r="C346" t="str">
            <v>m</v>
          </cell>
          <cell r="D346">
            <v>688</v>
          </cell>
          <cell r="E346">
            <v>6.88</v>
          </cell>
          <cell r="F346">
            <v>695</v>
          </cell>
        </row>
        <row r="347">
          <cell r="A347">
            <v>1740</v>
          </cell>
          <cell r="B347" t="str">
            <v>100D-3004A (PC)</v>
          </cell>
          <cell r="C347" t="str">
            <v>m</v>
          </cell>
          <cell r="D347">
            <v>811.69</v>
          </cell>
          <cell r="E347">
            <v>8.1199999999999992</v>
          </cell>
          <cell r="F347">
            <v>820</v>
          </cell>
        </row>
        <row r="348">
          <cell r="A348">
            <v>1741</v>
          </cell>
          <cell r="B348" t="str">
            <v>100D-3207 (PC)</v>
          </cell>
          <cell r="C348" t="str">
            <v>m</v>
          </cell>
          <cell r="D348">
            <v>1057.8499999999999</v>
          </cell>
          <cell r="E348">
            <v>10.58</v>
          </cell>
          <cell r="F348">
            <v>1068.5</v>
          </cell>
        </row>
        <row r="349">
          <cell r="A349">
            <v>1742</v>
          </cell>
          <cell r="B349" t="str">
            <v>100D-3503 (PC)</v>
          </cell>
          <cell r="C349" t="str">
            <v>m</v>
          </cell>
          <cell r="D349">
            <v>750.92</v>
          </cell>
          <cell r="E349">
            <v>7.51</v>
          </cell>
          <cell r="F349">
            <v>758.5</v>
          </cell>
        </row>
        <row r="350">
          <cell r="A350">
            <v>1743</v>
          </cell>
          <cell r="B350" t="str">
            <v>100D-1914 (PC)</v>
          </cell>
          <cell r="C350" t="str">
            <v>m</v>
          </cell>
          <cell r="D350">
            <v>143.85</v>
          </cell>
          <cell r="E350">
            <v>1.44</v>
          </cell>
          <cell r="F350">
            <v>145.5</v>
          </cell>
        </row>
        <row r="351">
          <cell r="A351">
            <v>1744</v>
          </cell>
          <cell r="B351" t="str">
            <v>100D-3203 (PC)</v>
          </cell>
          <cell r="C351" t="str">
            <v>m</v>
          </cell>
          <cell r="D351">
            <v>798.46</v>
          </cell>
          <cell r="E351">
            <v>7.98</v>
          </cell>
          <cell r="F351">
            <v>806.5</v>
          </cell>
        </row>
        <row r="352">
          <cell r="A352">
            <v>1745</v>
          </cell>
          <cell r="B352" t="str">
            <v>70S-1002-1(PC)</v>
          </cell>
          <cell r="C352" t="str">
            <v>m</v>
          </cell>
          <cell r="D352">
            <v>372.77</v>
          </cell>
          <cell r="E352">
            <v>3.73</v>
          </cell>
          <cell r="F352">
            <v>376.5</v>
          </cell>
        </row>
        <row r="353">
          <cell r="A353">
            <v>1746</v>
          </cell>
          <cell r="B353" t="str">
            <v>70S-1102-1 (PC)</v>
          </cell>
          <cell r="C353" t="str">
            <v>m</v>
          </cell>
          <cell r="D353">
            <v>272.77</v>
          </cell>
          <cell r="E353">
            <v>2.73</v>
          </cell>
          <cell r="F353">
            <v>275.5</v>
          </cell>
        </row>
        <row r="354">
          <cell r="A354">
            <v>1747</v>
          </cell>
          <cell r="B354" t="str">
            <v>70S-1202-1(PC)</v>
          </cell>
          <cell r="C354" t="str">
            <v>m</v>
          </cell>
          <cell r="D354">
            <v>272.77</v>
          </cell>
          <cell r="E354">
            <v>2.73</v>
          </cell>
          <cell r="F354">
            <v>275.5</v>
          </cell>
        </row>
        <row r="355">
          <cell r="A355">
            <v>1748</v>
          </cell>
          <cell r="B355" t="str">
            <v>70S-1704A (PC)</v>
          </cell>
          <cell r="C355" t="str">
            <v>m</v>
          </cell>
          <cell r="D355">
            <v>508.46</v>
          </cell>
          <cell r="E355">
            <v>5.08</v>
          </cell>
          <cell r="F355">
            <v>513.5</v>
          </cell>
        </row>
        <row r="356">
          <cell r="A356">
            <v>1749</v>
          </cell>
          <cell r="B356" t="str">
            <v>70S-1402-1 (PC)</v>
          </cell>
          <cell r="C356" t="str">
            <v>m</v>
          </cell>
          <cell r="D356">
            <v>345.38</v>
          </cell>
          <cell r="E356">
            <v>3.45</v>
          </cell>
          <cell r="F356">
            <v>349</v>
          </cell>
        </row>
        <row r="357">
          <cell r="A357">
            <v>1750</v>
          </cell>
          <cell r="B357" t="str">
            <v>70S-1801 (PC)</v>
          </cell>
          <cell r="C357" t="str">
            <v>m</v>
          </cell>
          <cell r="D357">
            <v>324.14999999999998</v>
          </cell>
          <cell r="E357">
            <v>3.24</v>
          </cell>
          <cell r="F357">
            <v>327.5</v>
          </cell>
        </row>
        <row r="358">
          <cell r="A358">
            <v>1751</v>
          </cell>
          <cell r="B358" t="str">
            <v>70S-1101-2 (PC)</v>
          </cell>
          <cell r="C358" t="str">
            <v>m</v>
          </cell>
          <cell r="D358">
            <v>537.54</v>
          </cell>
          <cell r="E358">
            <v>5.38</v>
          </cell>
          <cell r="F358">
            <v>543</v>
          </cell>
        </row>
        <row r="359">
          <cell r="A359">
            <v>1752</v>
          </cell>
          <cell r="B359" t="str">
            <v>70S-1001-1 (PC)</v>
          </cell>
          <cell r="C359" t="str">
            <v>m</v>
          </cell>
          <cell r="D359">
            <v>531.23</v>
          </cell>
          <cell r="E359">
            <v>5.31</v>
          </cell>
          <cell r="F359">
            <v>536.5</v>
          </cell>
        </row>
        <row r="360">
          <cell r="A360">
            <v>1753</v>
          </cell>
          <cell r="B360" t="str">
            <v>70S-1704A (PC)</v>
          </cell>
          <cell r="C360" t="str">
            <v>m</v>
          </cell>
          <cell r="D360">
            <v>508.46</v>
          </cell>
          <cell r="E360">
            <v>5.08</v>
          </cell>
          <cell r="F360">
            <v>513.5</v>
          </cell>
        </row>
        <row r="361">
          <cell r="A361">
            <v>1754</v>
          </cell>
          <cell r="B361" t="str">
            <v>70S-1401-1 (PC)</v>
          </cell>
          <cell r="C361" t="str">
            <v>m</v>
          </cell>
          <cell r="D361">
            <v>353.23</v>
          </cell>
          <cell r="E361">
            <v>3.53</v>
          </cell>
          <cell r="F361">
            <v>357</v>
          </cell>
        </row>
        <row r="362">
          <cell r="A362">
            <v>1755</v>
          </cell>
          <cell r="B362" t="str">
            <v>70S-1201-1 (PC)</v>
          </cell>
          <cell r="C362" t="str">
            <v>m</v>
          </cell>
          <cell r="D362">
            <v>432.15</v>
          </cell>
          <cell r="E362">
            <v>4.32</v>
          </cell>
          <cell r="F362">
            <v>436.5</v>
          </cell>
        </row>
        <row r="363">
          <cell r="A363">
            <v>1756</v>
          </cell>
          <cell r="B363" t="str">
            <v>70S-1604 (PC)</v>
          </cell>
          <cell r="C363" t="str">
            <v>m</v>
          </cell>
          <cell r="D363">
            <v>422.92</v>
          </cell>
          <cell r="E363">
            <v>4.2300000000000004</v>
          </cell>
          <cell r="F363">
            <v>427</v>
          </cell>
        </row>
        <row r="364">
          <cell r="A364">
            <v>1757</v>
          </cell>
          <cell r="B364" t="str">
            <v>70S-1801 (PC)</v>
          </cell>
          <cell r="C364" t="str">
            <v>m</v>
          </cell>
          <cell r="D364">
            <v>324.14999999999998</v>
          </cell>
          <cell r="E364">
            <v>3.24</v>
          </cell>
          <cell r="F364">
            <v>327.5</v>
          </cell>
        </row>
        <row r="365">
          <cell r="A365">
            <v>1758</v>
          </cell>
          <cell r="B365" t="str">
            <v>PT-5157 (PC)</v>
          </cell>
          <cell r="C365" t="str">
            <v>m</v>
          </cell>
          <cell r="D365">
            <v>354.75</v>
          </cell>
          <cell r="E365">
            <v>3.55</v>
          </cell>
          <cell r="F365">
            <v>358.5</v>
          </cell>
        </row>
        <row r="366">
          <cell r="A366">
            <v>1759</v>
          </cell>
          <cell r="B366" t="str">
            <v>PT-5158 (PC)</v>
          </cell>
          <cell r="C366" t="str">
            <v>m</v>
          </cell>
          <cell r="D366">
            <v>264.10000000000002</v>
          </cell>
          <cell r="E366">
            <v>2.64</v>
          </cell>
          <cell r="F366">
            <v>267</v>
          </cell>
        </row>
        <row r="367">
          <cell r="A367">
            <v>1760</v>
          </cell>
          <cell r="B367" t="str">
            <v>PT-5153 (PC)</v>
          </cell>
          <cell r="C367" t="str">
            <v>m</v>
          </cell>
          <cell r="D367">
            <v>106.23</v>
          </cell>
          <cell r="E367">
            <v>1.06</v>
          </cell>
          <cell r="F367">
            <v>107.5</v>
          </cell>
        </row>
        <row r="368">
          <cell r="A368">
            <v>1761</v>
          </cell>
          <cell r="B368" t="str">
            <v>PT-5154 (PC)</v>
          </cell>
          <cell r="C368" t="str">
            <v>m</v>
          </cell>
          <cell r="D368">
            <v>194.75</v>
          </cell>
          <cell r="E368">
            <v>1.95</v>
          </cell>
          <cell r="F368">
            <v>196.5</v>
          </cell>
        </row>
        <row r="369">
          <cell r="A369">
            <v>1762</v>
          </cell>
          <cell r="B369" t="str">
            <v>A-110A (MF)</v>
          </cell>
          <cell r="C369" t="str">
            <v>m</v>
          </cell>
          <cell r="D369">
            <v>257.05</v>
          </cell>
          <cell r="E369">
            <v>2.57</v>
          </cell>
          <cell r="F369">
            <v>259.5</v>
          </cell>
        </row>
        <row r="370">
          <cell r="B370" t="str">
            <v>Accessories</v>
          </cell>
        </row>
        <row r="371">
          <cell r="A371">
            <v>1801</v>
          </cell>
          <cell r="B371" t="str">
            <v>Sliding lock</v>
          </cell>
          <cell r="C371" t="str">
            <v>Nr</v>
          </cell>
          <cell r="D371">
            <v>95</v>
          </cell>
          <cell r="E371">
            <v>0.95</v>
          </cell>
          <cell r="F371">
            <v>96</v>
          </cell>
        </row>
        <row r="372">
          <cell r="A372">
            <v>1802</v>
          </cell>
          <cell r="B372" t="str">
            <v>Roller-70mm</v>
          </cell>
          <cell r="C372" t="str">
            <v>Nr</v>
          </cell>
          <cell r="D372">
            <v>95</v>
          </cell>
          <cell r="E372">
            <v>0.95</v>
          </cell>
          <cell r="F372">
            <v>96</v>
          </cell>
        </row>
        <row r="373">
          <cell r="A373">
            <v>1803</v>
          </cell>
          <cell r="B373" t="str">
            <v>S.T. Screw - 1" No.8</v>
          </cell>
          <cell r="C373" t="str">
            <v>Nr</v>
          </cell>
          <cell r="D373">
            <v>2</v>
          </cell>
          <cell r="E373">
            <v>0.02</v>
          </cell>
          <cell r="F373">
            <v>2</v>
          </cell>
        </row>
        <row r="374">
          <cell r="A374">
            <v>1804</v>
          </cell>
          <cell r="B374" t="str">
            <v>Gasket</v>
          </cell>
          <cell r="C374" t="str">
            <v>m</v>
          </cell>
          <cell r="D374">
            <v>18</v>
          </cell>
          <cell r="E374">
            <v>0.18</v>
          </cell>
          <cell r="F374">
            <v>18.5</v>
          </cell>
        </row>
        <row r="375">
          <cell r="A375">
            <v>1805</v>
          </cell>
          <cell r="B375" t="str">
            <v>Wool felt</v>
          </cell>
          <cell r="C375" t="str">
            <v>m</v>
          </cell>
          <cell r="D375">
            <v>50.5</v>
          </cell>
          <cell r="E375">
            <v>0.51</v>
          </cell>
          <cell r="F375">
            <v>51</v>
          </cell>
        </row>
        <row r="376">
          <cell r="A376">
            <v>1806</v>
          </cell>
          <cell r="B376" t="str">
            <v>Pop rivet 5/32"x1/2"</v>
          </cell>
          <cell r="C376" t="str">
            <v>Nr</v>
          </cell>
          <cell r="D376">
            <v>1.3</v>
          </cell>
          <cell r="E376">
            <v>0.01</v>
          </cell>
          <cell r="F376">
            <v>1.3</v>
          </cell>
        </row>
        <row r="377">
          <cell r="A377">
            <v>1807</v>
          </cell>
          <cell r="B377" t="str">
            <v>Plastic guide</v>
          </cell>
          <cell r="C377" t="str">
            <v>Nr</v>
          </cell>
          <cell r="D377">
            <v>1.7</v>
          </cell>
          <cell r="E377">
            <v>0.02</v>
          </cell>
          <cell r="F377">
            <v>1.75</v>
          </cell>
        </row>
        <row r="378">
          <cell r="A378">
            <v>1808</v>
          </cell>
          <cell r="B378" t="str">
            <v>Cap 3/8" dia.</v>
          </cell>
          <cell r="C378" t="str">
            <v>Nr</v>
          </cell>
          <cell r="D378">
            <v>2.75</v>
          </cell>
          <cell r="E378">
            <v>0.03</v>
          </cell>
          <cell r="F378">
            <v>2.75</v>
          </cell>
        </row>
        <row r="379">
          <cell r="A379">
            <v>1809</v>
          </cell>
          <cell r="B379" t="str">
            <v>S.T. Screw - 2" No.8</v>
          </cell>
          <cell r="C379" t="str">
            <v>Nr</v>
          </cell>
          <cell r="D379">
            <v>35</v>
          </cell>
          <cell r="E379">
            <v>0.35</v>
          </cell>
          <cell r="F379">
            <v>35.5</v>
          </cell>
        </row>
        <row r="380">
          <cell r="A380">
            <v>1810</v>
          </cell>
          <cell r="B380" t="str">
            <v>Casement lock</v>
          </cell>
          <cell r="C380" t="str">
            <v>Nr</v>
          </cell>
          <cell r="D380">
            <v>165</v>
          </cell>
          <cell r="E380">
            <v>1.65</v>
          </cell>
          <cell r="F380">
            <v>166.5</v>
          </cell>
        </row>
        <row r="381">
          <cell r="A381">
            <v>1811</v>
          </cell>
          <cell r="B381" t="str">
            <v>Bar hinges</v>
          </cell>
          <cell r="C381" t="str">
            <v>Pair</v>
          </cell>
          <cell r="D381">
            <v>440</v>
          </cell>
          <cell r="E381">
            <v>4.4000000000000004</v>
          </cell>
          <cell r="F381">
            <v>444.5</v>
          </cell>
        </row>
        <row r="382">
          <cell r="A382">
            <v>1812</v>
          </cell>
          <cell r="B382" t="str">
            <v>Weather strip</v>
          </cell>
          <cell r="C382" t="str">
            <v>m</v>
          </cell>
          <cell r="D382">
            <v>42</v>
          </cell>
          <cell r="E382">
            <v>0.42</v>
          </cell>
          <cell r="F382">
            <v>42.5</v>
          </cell>
        </row>
        <row r="383">
          <cell r="A383">
            <v>1813</v>
          </cell>
          <cell r="B383" t="str">
            <v>Pop rivet 3/16"x1/2"</v>
          </cell>
          <cell r="C383" t="str">
            <v>Nr</v>
          </cell>
          <cell r="D383">
            <v>2.25</v>
          </cell>
          <cell r="E383">
            <v>0.02</v>
          </cell>
          <cell r="F383">
            <v>2.5</v>
          </cell>
        </row>
        <row r="384">
          <cell r="A384">
            <v>1814</v>
          </cell>
          <cell r="B384" t="str">
            <v>S.T. Screw - No.8 x 1/2'</v>
          </cell>
          <cell r="C384" t="str">
            <v>Nr</v>
          </cell>
          <cell r="D384">
            <v>1.5</v>
          </cell>
          <cell r="E384">
            <v>0.02</v>
          </cell>
          <cell r="F384">
            <v>1.5</v>
          </cell>
        </row>
        <row r="385">
          <cell r="A385">
            <v>1815</v>
          </cell>
          <cell r="B385" t="str">
            <v>Door lock</v>
          </cell>
          <cell r="C385" t="str">
            <v>Nr</v>
          </cell>
          <cell r="D385">
            <v>895</v>
          </cell>
          <cell r="E385">
            <v>8.9499999999999993</v>
          </cell>
          <cell r="F385">
            <v>904</v>
          </cell>
        </row>
        <row r="386">
          <cell r="A386">
            <v>1816</v>
          </cell>
          <cell r="B386" t="str">
            <v>Butt hinge</v>
          </cell>
          <cell r="C386" t="str">
            <v>Nr</v>
          </cell>
          <cell r="D386">
            <v>100</v>
          </cell>
          <cell r="E386">
            <v>1</v>
          </cell>
          <cell r="F386">
            <v>101</v>
          </cell>
        </row>
        <row r="387">
          <cell r="A387">
            <v>1817</v>
          </cell>
          <cell r="B387" t="str">
            <v>Door handle with cap nut</v>
          </cell>
          <cell r="C387" t="str">
            <v>Pair</v>
          </cell>
          <cell r="D387">
            <v>1074</v>
          </cell>
          <cell r="E387">
            <v>10.74</v>
          </cell>
          <cell r="F387">
            <v>1085</v>
          </cell>
        </row>
        <row r="388">
          <cell r="A388">
            <v>1818</v>
          </cell>
          <cell r="B388" t="str">
            <v>Rivert (C Sk) 5/32"x1/2"</v>
          </cell>
          <cell r="C388" t="str">
            <v>Nr</v>
          </cell>
          <cell r="D388">
            <v>1.25</v>
          </cell>
          <cell r="E388">
            <v>0.01</v>
          </cell>
          <cell r="F388">
            <v>1.25</v>
          </cell>
        </row>
        <row r="389">
          <cell r="A389">
            <v>1819</v>
          </cell>
          <cell r="B389" t="str">
            <v>Threaded bar with nut</v>
          </cell>
          <cell r="C389" t="str">
            <v>m</v>
          </cell>
          <cell r="D389">
            <v>224</v>
          </cell>
          <cell r="E389">
            <v>2.2400000000000002</v>
          </cell>
          <cell r="F389">
            <v>226.5</v>
          </cell>
        </row>
        <row r="390">
          <cell r="A390">
            <v>1820</v>
          </cell>
          <cell r="B390" t="str">
            <v>Door closer</v>
          </cell>
          <cell r="C390" t="str">
            <v>Nr</v>
          </cell>
          <cell r="D390">
            <v>2250</v>
          </cell>
          <cell r="E390">
            <v>22.5</v>
          </cell>
          <cell r="F390">
            <v>2272.5</v>
          </cell>
        </row>
        <row r="391">
          <cell r="A391">
            <v>1821</v>
          </cell>
          <cell r="B391" t="str">
            <v>Pop rivet 1/8"x1/2"</v>
          </cell>
          <cell r="C391" t="str">
            <v>Nr</v>
          </cell>
          <cell r="D391">
            <v>1.25</v>
          </cell>
          <cell r="E391">
            <v>0.01</v>
          </cell>
          <cell r="F391">
            <v>1.25</v>
          </cell>
        </row>
        <row r="392">
          <cell r="A392">
            <v>1822</v>
          </cell>
          <cell r="B392" t="str">
            <v>G. I. Channel</v>
          </cell>
          <cell r="C392" t="str">
            <v>m</v>
          </cell>
          <cell r="D392">
            <v>168</v>
          </cell>
          <cell r="E392">
            <v>1.68</v>
          </cell>
          <cell r="F392">
            <v>169.5</v>
          </cell>
        </row>
        <row r="393">
          <cell r="A393">
            <v>1823</v>
          </cell>
          <cell r="B393" t="str">
            <v>White board, chip board or melamine board</v>
          </cell>
          <cell r="C393" t="str">
            <v>m2</v>
          </cell>
          <cell r="D393">
            <v>253</v>
          </cell>
          <cell r="E393">
            <v>2.5299999999999998</v>
          </cell>
          <cell r="F393">
            <v>255.5</v>
          </cell>
        </row>
        <row r="394">
          <cell r="B394" t="str">
            <v>Glazier</v>
          </cell>
        </row>
        <row r="395">
          <cell r="A395">
            <v>1901</v>
          </cell>
          <cell r="B395" t="str">
            <v>5mm thick figured glass panes</v>
          </cell>
          <cell r="C395" t="str">
            <v>m2</v>
          </cell>
          <cell r="D395">
            <v>1184</v>
          </cell>
          <cell r="E395">
            <v>11.84</v>
          </cell>
          <cell r="F395">
            <v>1196</v>
          </cell>
        </row>
        <row r="396">
          <cell r="A396">
            <v>1902</v>
          </cell>
          <cell r="B396" t="str">
            <v>3mm thick figured glass panes</v>
          </cell>
          <cell r="C396" t="str">
            <v>m2</v>
          </cell>
          <cell r="D396">
            <v>592</v>
          </cell>
          <cell r="E396">
            <v>5.92</v>
          </cell>
          <cell r="F396">
            <v>598</v>
          </cell>
        </row>
        <row r="397">
          <cell r="A397">
            <v>1903</v>
          </cell>
          <cell r="B397" t="str">
            <v>5mm thick clear glass panes</v>
          </cell>
          <cell r="C397" t="str">
            <v>m2</v>
          </cell>
          <cell r="D397">
            <v>861</v>
          </cell>
          <cell r="E397">
            <v>8.61</v>
          </cell>
          <cell r="F397">
            <v>869.5</v>
          </cell>
        </row>
        <row r="398">
          <cell r="A398">
            <v>1904</v>
          </cell>
          <cell r="B398" t="str">
            <v>3mm thick clear glass panes</v>
          </cell>
          <cell r="C398" t="str">
            <v>m2</v>
          </cell>
          <cell r="D398">
            <v>646</v>
          </cell>
          <cell r="E398">
            <v>6.46</v>
          </cell>
          <cell r="F398">
            <v>652.5</v>
          </cell>
        </row>
        <row r="399">
          <cell r="A399">
            <v>1905</v>
          </cell>
          <cell r="B399" t="str">
            <v>5mm thick tinted glass panes</v>
          </cell>
          <cell r="C399" t="str">
            <v>m2</v>
          </cell>
          <cell r="D399">
            <v>1140</v>
          </cell>
          <cell r="E399">
            <v>11.4</v>
          </cell>
          <cell r="F399">
            <v>1151.5</v>
          </cell>
        </row>
        <row r="400">
          <cell r="A400">
            <v>1906</v>
          </cell>
          <cell r="B400" t="str">
            <v>3mm thick tinted glass panes</v>
          </cell>
          <cell r="C400" t="str">
            <v>m2</v>
          </cell>
          <cell r="D400">
            <v>750</v>
          </cell>
          <cell r="E400">
            <v>7.5</v>
          </cell>
          <cell r="F400">
            <v>757.5</v>
          </cell>
        </row>
        <row r="401">
          <cell r="A401">
            <v>1907</v>
          </cell>
          <cell r="B401" t="str">
            <v>12mmx12mm teak beading</v>
          </cell>
          <cell r="C401" t="str">
            <v>m</v>
          </cell>
          <cell r="D401">
            <v>5</v>
          </cell>
          <cell r="E401">
            <v>0.05</v>
          </cell>
          <cell r="F401">
            <v>5</v>
          </cell>
        </row>
        <row r="402">
          <cell r="B402" t="str">
            <v>Plasterer</v>
          </cell>
          <cell r="F402">
            <v>0</v>
          </cell>
        </row>
        <row r="403">
          <cell r="A403">
            <v>2001</v>
          </cell>
          <cell r="B403" t="str">
            <v>Lime</v>
          </cell>
          <cell r="C403" t="str">
            <v>kg</v>
          </cell>
          <cell r="D403">
            <v>20</v>
          </cell>
          <cell r="E403">
            <v>0.2</v>
          </cell>
          <cell r="F403">
            <v>20.5</v>
          </cell>
        </row>
        <row r="404">
          <cell r="B404" t="str">
            <v>Plumber</v>
          </cell>
        </row>
        <row r="405">
          <cell r="A405">
            <v>2101</v>
          </cell>
          <cell r="B405" t="str">
            <v>12mm (1/2") ball valve - Brass</v>
          </cell>
          <cell r="C405" t="str">
            <v>Nr</v>
          </cell>
          <cell r="D405">
            <v>525</v>
          </cell>
          <cell r="E405">
            <v>5.25</v>
          </cell>
          <cell r="F405">
            <v>530.5</v>
          </cell>
        </row>
        <row r="406">
          <cell r="A406">
            <v>2102</v>
          </cell>
          <cell r="B406" t="str">
            <v>12mm (1/2") ball valve - PVC</v>
          </cell>
          <cell r="C406" t="str">
            <v>Nr</v>
          </cell>
          <cell r="D406">
            <v>95</v>
          </cell>
          <cell r="E406">
            <v>0.95</v>
          </cell>
          <cell r="F406">
            <v>96</v>
          </cell>
        </row>
        <row r="407">
          <cell r="A407">
            <v>2103</v>
          </cell>
          <cell r="B407" t="str">
            <v>20mm (3/4") ball valve - Brass</v>
          </cell>
          <cell r="C407" t="str">
            <v>Nr</v>
          </cell>
          <cell r="D407">
            <v>750</v>
          </cell>
          <cell r="E407">
            <v>7.5</v>
          </cell>
          <cell r="F407">
            <v>757.5</v>
          </cell>
        </row>
        <row r="408">
          <cell r="A408">
            <v>2104</v>
          </cell>
          <cell r="B408" t="str">
            <v>20mm (3/4") ball valve - PVC</v>
          </cell>
          <cell r="C408" t="str">
            <v>Nr</v>
          </cell>
          <cell r="D408">
            <v>140</v>
          </cell>
          <cell r="E408">
            <v>1.4</v>
          </cell>
          <cell r="F408">
            <v>141.5</v>
          </cell>
        </row>
        <row r="409">
          <cell r="A409">
            <v>2105</v>
          </cell>
          <cell r="B409" t="str">
            <v>25mm (1") ball valve - Brass</v>
          </cell>
          <cell r="C409" t="str">
            <v>Nr</v>
          </cell>
          <cell r="D409">
            <v>1100</v>
          </cell>
          <cell r="E409">
            <v>11</v>
          </cell>
          <cell r="F409">
            <v>1111</v>
          </cell>
        </row>
        <row r="410">
          <cell r="A410">
            <v>2106</v>
          </cell>
          <cell r="B410" t="str">
            <v>25mm (1") ball valve - PVC</v>
          </cell>
          <cell r="C410" t="str">
            <v>Nr</v>
          </cell>
          <cell r="D410">
            <v>190</v>
          </cell>
          <cell r="E410">
            <v>1.9</v>
          </cell>
          <cell r="F410">
            <v>192</v>
          </cell>
        </row>
        <row r="411">
          <cell r="A411">
            <v>2107</v>
          </cell>
          <cell r="B411" t="str">
            <v>38mm (1 1/2") ball valve - Brass</v>
          </cell>
          <cell r="C411" t="str">
            <v>Nr</v>
          </cell>
          <cell r="D411">
            <v>1450</v>
          </cell>
          <cell r="E411">
            <v>14.5</v>
          </cell>
          <cell r="F411">
            <v>1464.5</v>
          </cell>
        </row>
        <row r="412">
          <cell r="A412">
            <v>2108</v>
          </cell>
          <cell r="B412" t="str">
            <v>38mm (1 1/2") ball valve - PVC</v>
          </cell>
          <cell r="C412" t="str">
            <v>Nr</v>
          </cell>
          <cell r="D412">
            <v>495</v>
          </cell>
          <cell r="E412">
            <v>4.95</v>
          </cell>
          <cell r="F412">
            <v>500</v>
          </cell>
        </row>
        <row r="413">
          <cell r="A413">
            <v>2109</v>
          </cell>
          <cell r="B413" t="str">
            <v>12mm (1/2") bib tap - Brass</v>
          </cell>
          <cell r="C413" t="str">
            <v>Nr</v>
          </cell>
          <cell r="D413">
            <v>500</v>
          </cell>
          <cell r="E413">
            <v>5</v>
          </cell>
          <cell r="F413">
            <v>505</v>
          </cell>
        </row>
        <row r="414">
          <cell r="A414">
            <v>2110</v>
          </cell>
          <cell r="B414" t="str">
            <v>12mm (1/2") bib tap - Chromium Plated</v>
          </cell>
          <cell r="C414" t="str">
            <v>Nr</v>
          </cell>
          <cell r="D414">
            <v>950</v>
          </cell>
          <cell r="E414">
            <v>9.5</v>
          </cell>
          <cell r="F414">
            <v>959.5</v>
          </cell>
        </row>
        <row r="415">
          <cell r="A415">
            <v>2111</v>
          </cell>
          <cell r="B415" t="str">
            <v>12mm (1/2") bib tap - PVC</v>
          </cell>
          <cell r="C415" t="str">
            <v>Nr</v>
          </cell>
          <cell r="D415">
            <v>90</v>
          </cell>
          <cell r="E415">
            <v>0.9</v>
          </cell>
          <cell r="F415">
            <v>91</v>
          </cell>
        </row>
        <row r="416">
          <cell r="A416">
            <v>2112</v>
          </cell>
          <cell r="B416" t="str">
            <v>12mm (1/2") gate valve - Brass</v>
          </cell>
          <cell r="C416" t="str">
            <v>Nr</v>
          </cell>
          <cell r="D416">
            <v>500</v>
          </cell>
          <cell r="E416">
            <v>5</v>
          </cell>
          <cell r="F416">
            <v>505</v>
          </cell>
        </row>
        <row r="417">
          <cell r="A417">
            <v>2113</v>
          </cell>
          <cell r="B417" t="str">
            <v>12mm (1/2") gate valve - PVC</v>
          </cell>
          <cell r="C417" t="str">
            <v>Nr</v>
          </cell>
          <cell r="D417">
            <v>90</v>
          </cell>
          <cell r="E417">
            <v>0.9</v>
          </cell>
          <cell r="F417">
            <v>91</v>
          </cell>
        </row>
        <row r="418">
          <cell r="A418">
            <v>2114</v>
          </cell>
          <cell r="B418" t="str">
            <v>20mm (3/4") gate valve - Brass</v>
          </cell>
          <cell r="C418" t="str">
            <v>Nr</v>
          </cell>
          <cell r="D418">
            <v>625</v>
          </cell>
          <cell r="E418">
            <v>6.25</v>
          </cell>
          <cell r="F418">
            <v>631.5</v>
          </cell>
        </row>
        <row r="419">
          <cell r="A419">
            <v>2115</v>
          </cell>
          <cell r="B419" t="str">
            <v>20mm (3/4") gate valve - PVC</v>
          </cell>
          <cell r="C419" t="str">
            <v>Nr</v>
          </cell>
          <cell r="D419">
            <v>165</v>
          </cell>
          <cell r="E419">
            <v>1.65</v>
          </cell>
          <cell r="F419">
            <v>166.5</v>
          </cell>
        </row>
        <row r="420">
          <cell r="A420">
            <v>2116</v>
          </cell>
          <cell r="B420" t="str">
            <v>25mm (1") gate valve - Brass</v>
          </cell>
          <cell r="C420" t="str">
            <v>Nr</v>
          </cell>
          <cell r="D420">
            <v>1000</v>
          </cell>
          <cell r="E420">
            <v>10</v>
          </cell>
          <cell r="F420">
            <v>1010</v>
          </cell>
        </row>
        <row r="421">
          <cell r="A421">
            <v>2117</v>
          </cell>
          <cell r="B421" t="str">
            <v>25mm (1") gate valve - PVC</v>
          </cell>
          <cell r="C421" t="str">
            <v>Nr</v>
          </cell>
          <cell r="D421">
            <v>185</v>
          </cell>
          <cell r="E421">
            <v>1.85</v>
          </cell>
          <cell r="F421">
            <v>187</v>
          </cell>
        </row>
        <row r="422">
          <cell r="A422">
            <v>2118</v>
          </cell>
          <cell r="B422" t="str">
            <v>38mm (1 1/2") gate valve - Brass</v>
          </cell>
          <cell r="C422" t="str">
            <v>Nr</v>
          </cell>
          <cell r="D422">
            <v>1500</v>
          </cell>
          <cell r="E422">
            <v>15</v>
          </cell>
          <cell r="F422">
            <v>1515</v>
          </cell>
        </row>
        <row r="423">
          <cell r="A423">
            <v>2119</v>
          </cell>
          <cell r="B423" t="str">
            <v>38mm (1 1/2") gate valve - PVC</v>
          </cell>
          <cell r="C423" t="str">
            <v>Nr</v>
          </cell>
          <cell r="D423">
            <v>410</v>
          </cell>
          <cell r="E423">
            <v>4.0999999999999996</v>
          </cell>
          <cell r="F423">
            <v>414</v>
          </cell>
        </row>
        <row r="424">
          <cell r="A424">
            <v>2120</v>
          </cell>
          <cell r="B424" t="str">
            <v>20mm (1/2") Type 1000 PVC pipes</v>
          </cell>
          <cell r="C424" t="str">
            <v>m</v>
          </cell>
          <cell r="D424">
            <v>45.75</v>
          </cell>
          <cell r="E424">
            <v>0.46</v>
          </cell>
          <cell r="F424">
            <v>46</v>
          </cell>
        </row>
        <row r="425">
          <cell r="A425">
            <v>2121</v>
          </cell>
          <cell r="B425" t="str">
            <v>20mm (1/2") Type 600 PVC pipes</v>
          </cell>
          <cell r="C425" t="str">
            <v>m</v>
          </cell>
          <cell r="D425" t="str">
            <v>…</v>
          </cell>
        </row>
        <row r="426">
          <cell r="A426">
            <v>2122</v>
          </cell>
          <cell r="B426" t="str">
            <v>20mm (1/2") Type 400 PVC pipes</v>
          </cell>
          <cell r="C426" t="str">
            <v>m</v>
          </cell>
          <cell r="D426" t="str">
            <v>….</v>
          </cell>
        </row>
        <row r="427">
          <cell r="A427">
            <v>2123</v>
          </cell>
          <cell r="B427" t="str">
            <v>25mm (3/4") Type 1000 PVC pipes</v>
          </cell>
          <cell r="C427" t="str">
            <v>m</v>
          </cell>
          <cell r="D427">
            <v>100.5</v>
          </cell>
          <cell r="E427">
            <v>1.01</v>
          </cell>
          <cell r="F427">
            <v>101.5</v>
          </cell>
        </row>
        <row r="428">
          <cell r="A428">
            <v>2124</v>
          </cell>
          <cell r="B428" t="str">
            <v>25mm (3/4") Type 600 PVC pipes</v>
          </cell>
          <cell r="C428" t="str">
            <v>m</v>
          </cell>
          <cell r="D428" t="str">
            <v>….</v>
          </cell>
        </row>
        <row r="429">
          <cell r="A429">
            <v>2125</v>
          </cell>
          <cell r="B429" t="str">
            <v>25mm (3/4") Type 400 PVC pipes</v>
          </cell>
          <cell r="C429" t="str">
            <v>m</v>
          </cell>
          <cell r="D429" t="str">
            <v>…..</v>
          </cell>
        </row>
        <row r="430">
          <cell r="A430">
            <v>2126</v>
          </cell>
          <cell r="B430" t="str">
            <v>32mm (1") Type 1000 PVC pipes</v>
          </cell>
          <cell r="C430" t="str">
            <v>m</v>
          </cell>
          <cell r="D430">
            <v>164</v>
          </cell>
          <cell r="E430">
            <v>1.64</v>
          </cell>
          <cell r="F430">
            <v>165.5</v>
          </cell>
        </row>
        <row r="431">
          <cell r="A431">
            <v>2127</v>
          </cell>
          <cell r="B431" t="str">
            <v>32mm (1") Type 600 PVC pipes</v>
          </cell>
          <cell r="C431" t="str">
            <v>m</v>
          </cell>
          <cell r="D431">
            <v>79.5</v>
          </cell>
          <cell r="E431">
            <v>0.8</v>
          </cell>
          <cell r="F431">
            <v>80.5</v>
          </cell>
        </row>
        <row r="432">
          <cell r="A432">
            <v>2128</v>
          </cell>
          <cell r="B432" t="str">
            <v>32mm (1") Type 400 PVC pipes</v>
          </cell>
          <cell r="C432" t="str">
            <v>m</v>
          </cell>
          <cell r="D432" t="str">
            <v>….</v>
          </cell>
        </row>
        <row r="433">
          <cell r="A433">
            <v>2129</v>
          </cell>
          <cell r="B433" t="str">
            <v>40mm (1 1/4") Type 1000 PVC pipes</v>
          </cell>
          <cell r="C433" t="str">
            <v>m</v>
          </cell>
          <cell r="D433">
            <v>221.25</v>
          </cell>
          <cell r="E433">
            <v>2.21</v>
          </cell>
          <cell r="F433">
            <v>223.5</v>
          </cell>
        </row>
        <row r="434">
          <cell r="A434">
            <v>2130</v>
          </cell>
          <cell r="B434" t="str">
            <v>40mm (1 1/4") Type 600 PVC pipes</v>
          </cell>
          <cell r="C434" t="str">
            <v>m</v>
          </cell>
          <cell r="D434">
            <v>155</v>
          </cell>
          <cell r="E434">
            <v>1.55</v>
          </cell>
          <cell r="F434">
            <v>156.5</v>
          </cell>
        </row>
        <row r="435">
          <cell r="A435">
            <v>2131</v>
          </cell>
          <cell r="B435" t="str">
            <v>40mm (1 1/4") Type 400 PVC pipes</v>
          </cell>
          <cell r="C435" t="str">
            <v>m</v>
          </cell>
          <cell r="D435" t="str">
            <v>…..</v>
          </cell>
        </row>
        <row r="436">
          <cell r="A436">
            <v>2132</v>
          </cell>
          <cell r="B436" t="str">
            <v>50mm (1 1/2") Type 1000 PVC pipes</v>
          </cell>
          <cell r="C436" t="str">
            <v>m</v>
          </cell>
          <cell r="D436">
            <v>317.5</v>
          </cell>
          <cell r="E436">
            <v>3.18</v>
          </cell>
          <cell r="F436">
            <v>320.5</v>
          </cell>
        </row>
        <row r="437">
          <cell r="A437">
            <v>2133</v>
          </cell>
          <cell r="B437" t="str">
            <v>50mm (1 1/2") Type 600 PVC pipes</v>
          </cell>
          <cell r="C437" t="str">
            <v>m</v>
          </cell>
          <cell r="D437">
            <v>208.75</v>
          </cell>
          <cell r="E437">
            <v>2.09</v>
          </cell>
          <cell r="F437">
            <v>211</v>
          </cell>
        </row>
        <row r="438">
          <cell r="A438">
            <v>2134</v>
          </cell>
          <cell r="B438" t="str">
            <v>50mm (1 1/2") Type 400 PVC pipes</v>
          </cell>
          <cell r="C438" t="str">
            <v>m</v>
          </cell>
          <cell r="D438">
            <v>146.62</v>
          </cell>
          <cell r="E438">
            <v>1.47</v>
          </cell>
          <cell r="F438">
            <v>148</v>
          </cell>
        </row>
        <row r="439">
          <cell r="A439">
            <v>2135</v>
          </cell>
          <cell r="B439" t="str">
            <v>63mm (2") Type 1000 PVC pipes</v>
          </cell>
          <cell r="C439" t="str">
            <v>m</v>
          </cell>
          <cell r="D439">
            <v>537.5</v>
          </cell>
          <cell r="E439">
            <v>5.38</v>
          </cell>
          <cell r="F439">
            <v>543</v>
          </cell>
        </row>
        <row r="440">
          <cell r="A440">
            <v>2136</v>
          </cell>
          <cell r="B440" t="str">
            <v>63mm (2") Type 600 PVC pipes</v>
          </cell>
          <cell r="C440" t="str">
            <v>m</v>
          </cell>
          <cell r="D440">
            <v>342.5</v>
          </cell>
          <cell r="E440">
            <v>3.43</v>
          </cell>
          <cell r="F440">
            <v>346</v>
          </cell>
        </row>
        <row r="441">
          <cell r="A441">
            <v>2137</v>
          </cell>
          <cell r="B441" t="str">
            <v>63mm (2") Type 400 PVC pipes</v>
          </cell>
          <cell r="C441" t="str">
            <v>m</v>
          </cell>
          <cell r="D441">
            <v>267.5</v>
          </cell>
          <cell r="E441">
            <v>2.68</v>
          </cell>
          <cell r="F441">
            <v>270</v>
          </cell>
        </row>
        <row r="442">
          <cell r="A442">
            <v>2138</v>
          </cell>
          <cell r="B442" t="str">
            <v>75mm (2 1/2") Type 600 PVC pipes</v>
          </cell>
          <cell r="C442" t="str">
            <v>m</v>
          </cell>
          <cell r="D442">
            <v>686.25</v>
          </cell>
          <cell r="E442">
            <v>6.86</v>
          </cell>
          <cell r="F442">
            <v>693</v>
          </cell>
        </row>
        <row r="443">
          <cell r="A443">
            <v>2139</v>
          </cell>
          <cell r="B443" t="str">
            <v>75mm (2 1/2") Type 400 PVC pipes</v>
          </cell>
          <cell r="C443" t="str">
            <v>m</v>
          </cell>
          <cell r="D443">
            <v>435</v>
          </cell>
          <cell r="E443">
            <v>4.3499999999999996</v>
          </cell>
          <cell r="F443">
            <v>439.5</v>
          </cell>
        </row>
        <row r="444">
          <cell r="A444">
            <v>2140</v>
          </cell>
          <cell r="B444" t="str">
            <v>90mm (3") Type 600 PVC pipes</v>
          </cell>
          <cell r="C444" t="str">
            <v>m</v>
          </cell>
          <cell r="D444">
            <v>905.83</v>
          </cell>
          <cell r="E444">
            <v>9.06</v>
          </cell>
          <cell r="F444">
            <v>915</v>
          </cell>
        </row>
        <row r="445">
          <cell r="A445">
            <v>2141</v>
          </cell>
          <cell r="B445" t="str">
            <v>90mm (3") Type 400 PVC pipes</v>
          </cell>
          <cell r="C445" t="str">
            <v>m</v>
          </cell>
          <cell r="D445">
            <v>597.5</v>
          </cell>
          <cell r="E445">
            <v>5.98</v>
          </cell>
          <cell r="F445">
            <v>603.5</v>
          </cell>
        </row>
        <row r="446">
          <cell r="A446">
            <v>2142</v>
          </cell>
          <cell r="B446" t="str">
            <v>110mm (4") Type 600 PVC pipes</v>
          </cell>
          <cell r="C446" t="str">
            <v>m</v>
          </cell>
          <cell r="D446">
            <v>1325</v>
          </cell>
          <cell r="E446">
            <v>13.25</v>
          </cell>
          <cell r="F446">
            <v>1338.5</v>
          </cell>
        </row>
        <row r="447">
          <cell r="A447">
            <v>2143</v>
          </cell>
          <cell r="B447" t="str">
            <v>110mm (4") Type 400 PVC pipes</v>
          </cell>
          <cell r="C447" t="str">
            <v>m</v>
          </cell>
          <cell r="D447">
            <v>629.16</v>
          </cell>
          <cell r="E447">
            <v>6.29</v>
          </cell>
          <cell r="F447">
            <v>635.5</v>
          </cell>
        </row>
        <row r="448">
          <cell r="A448">
            <v>2144</v>
          </cell>
          <cell r="B448" t="str">
            <v>12mm (1/2")  angle valve - Chromium Plated</v>
          </cell>
          <cell r="C448" t="str">
            <v>Nr</v>
          </cell>
          <cell r="D448">
            <v>950</v>
          </cell>
          <cell r="E448">
            <v>9.5</v>
          </cell>
          <cell r="F448">
            <v>959.5</v>
          </cell>
        </row>
        <row r="449">
          <cell r="A449">
            <v>2145</v>
          </cell>
          <cell r="B449" t="str">
            <v xml:space="preserve">12mm (1/2") flexible horse (450mm) </v>
          </cell>
          <cell r="C449" t="str">
            <v>Nr</v>
          </cell>
          <cell r="D449">
            <v>200</v>
          </cell>
          <cell r="E449">
            <v>2</v>
          </cell>
          <cell r="F449">
            <v>202</v>
          </cell>
        </row>
        <row r="450">
          <cell r="B450" t="str">
            <v>Sanitary Fittings</v>
          </cell>
        </row>
        <row r="451">
          <cell r="A451">
            <v>2201</v>
          </cell>
          <cell r="B451" t="str">
            <v>Kitchen sink with single bowl and single drain board</v>
          </cell>
          <cell r="C451" t="str">
            <v>Nr</v>
          </cell>
          <cell r="D451">
            <v>2750</v>
          </cell>
          <cell r="E451">
            <v>27.5</v>
          </cell>
          <cell r="F451">
            <v>2777.5</v>
          </cell>
        </row>
        <row r="452">
          <cell r="A452">
            <v>2202</v>
          </cell>
          <cell r="B452" t="str">
            <v>Kitchen sink with single bowl and double drain board</v>
          </cell>
          <cell r="C452" t="str">
            <v>Nr</v>
          </cell>
          <cell r="D452">
            <v>3150</v>
          </cell>
          <cell r="E452">
            <v>31.5</v>
          </cell>
          <cell r="F452">
            <v>3181.5</v>
          </cell>
        </row>
        <row r="453">
          <cell r="A453">
            <v>2203</v>
          </cell>
          <cell r="B453" t="str">
            <v>Kitchen sink with double bowl and double drain board</v>
          </cell>
          <cell r="C453" t="str">
            <v>Nr</v>
          </cell>
          <cell r="D453">
            <v>5500</v>
          </cell>
          <cell r="E453">
            <v>55</v>
          </cell>
          <cell r="F453">
            <v>5555</v>
          </cell>
        </row>
        <row r="454">
          <cell r="A454">
            <v>2204</v>
          </cell>
          <cell r="B454" t="str">
            <v>Heavy quality chromium plated swan tap</v>
          </cell>
          <cell r="C454" t="str">
            <v>Nr</v>
          </cell>
          <cell r="D454">
            <v>775</v>
          </cell>
          <cell r="E454">
            <v>7.75</v>
          </cell>
          <cell r="F454">
            <v>783</v>
          </cell>
        </row>
        <row r="455">
          <cell r="A455">
            <v>2205</v>
          </cell>
          <cell r="B455" t="str">
            <v>Tee Iron brackets</v>
          </cell>
          <cell r="C455" t="str">
            <v>Nr</v>
          </cell>
          <cell r="D455">
            <v>100</v>
          </cell>
          <cell r="E455">
            <v>1</v>
          </cell>
          <cell r="F455">
            <v>101</v>
          </cell>
        </row>
        <row r="456">
          <cell r="A456">
            <v>2206</v>
          </cell>
          <cell r="B456" t="str">
            <v>Ceramic wash basin (LCL)</v>
          </cell>
          <cell r="C456" t="str">
            <v>Nr</v>
          </cell>
          <cell r="D456">
            <v>2800</v>
          </cell>
          <cell r="E456">
            <v>28</v>
          </cell>
          <cell r="F456">
            <v>2828</v>
          </cell>
        </row>
        <row r="457">
          <cell r="A457">
            <v>2207</v>
          </cell>
          <cell r="B457" t="str">
            <v>Ceramic wash basin - Pedestal (LCL)</v>
          </cell>
          <cell r="C457" t="str">
            <v>Nr</v>
          </cell>
          <cell r="D457">
            <v>3900</v>
          </cell>
          <cell r="E457">
            <v>39</v>
          </cell>
          <cell r="F457">
            <v>3939</v>
          </cell>
        </row>
        <row r="458">
          <cell r="A458">
            <v>2208</v>
          </cell>
          <cell r="B458" t="str">
            <v>Ceramic wash basin - Pedestal (Ideal, American,British)</v>
          </cell>
          <cell r="C458" t="str">
            <v>Nr</v>
          </cell>
          <cell r="D458">
            <v>14000</v>
          </cell>
          <cell r="E458">
            <v>140</v>
          </cell>
          <cell r="F458">
            <v>14140</v>
          </cell>
        </row>
        <row r="459">
          <cell r="A459">
            <v>2209</v>
          </cell>
          <cell r="B459" t="str">
            <v>Heavy quality chromium plated pillar tap</v>
          </cell>
          <cell r="C459" t="str">
            <v>Nr</v>
          </cell>
          <cell r="D459">
            <v>1600</v>
          </cell>
          <cell r="E459">
            <v>16</v>
          </cell>
          <cell r="F459">
            <v>1616</v>
          </cell>
        </row>
        <row r="460">
          <cell r="A460">
            <v>2210</v>
          </cell>
          <cell r="B460" t="str">
            <v>Ceramic squatting pan with trap and ceramic foot rests</v>
          </cell>
          <cell r="C460" t="str">
            <v>Nr</v>
          </cell>
          <cell r="D460">
            <v>549</v>
          </cell>
          <cell r="E460">
            <v>5.49</v>
          </cell>
          <cell r="F460">
            <v>554.5</v>
          </cell>
        </row>
        <row r="461">
          <cell r="A461">
            <v>2211</v>
          </cell>
          <cell r="B461" t="str">
            <v>Square type ceramic squatting pan with foot rests and trap</v>
          </cell>
          <cell r="C461" t="str">
            <v>Nr</v>
          </cell>
          <cell r="D461">
            <v>925</v>
          </cell>
          <cell r="E461">
            <v>9.25</v>
          </cell>
          <cell r="F461">
            <v>934.5</v>
          </cell>
        </row>
        <row r="462">
          <cell r="A462">
            <v>2212</v>
          </cell>
          <cell r="B462" t="str">
            <v>9 liters capacity high level ceramic cistern</v>
          </cell>
          <cell r="C462" t="str">
            <v>Nr</v>
          </cell>
          <cell r="D462">
            <v>2500</v>
          </cell>
          <cell r="E462">
            <v>25</v>
          </cell>
          <cell r="F462">
            <v>2525</v>
          </cell>
        </row>
        <row r="463">
          <cell r="A463">
            <v>2213</v>
          </cell>
          <cell r="B463" t="str">
            <v>9 liters capacity high level PVC cistern</v>
          </cell>
          <cell r="C463" t="str">
            <v>Nr</v>
          </cell>
          <cell r="D463">
            <v>1900</v>
          </cell>
          <cell r="E463">
            <v>19</v>
          </cell>
          <cell r="F463">
            <v>1919</v>
          </cell>
        </row>
        <row r="464">
          <cell r="A464">
            <v>2214</v>
          </cell>
          <cell r="B464" t="str">
            <v>9 liters capacity low level ceramic cistern</v>
          </cell>
          <cell r="C464" t="str">
            <v>Nr</v>
          </cell>
          <cell r="D464">
            <v>2350</v>
          </cell>
          <cell r="E464">
            <v>23.5</v>
          </cell>
          <cell r="F464">
            <v>2373.5</v>
          </cell>
        </row>
        <row r="465">
          <cell r="A465">
            <v>2215</v>
          </cell>
          <cell r="B465" t="str">
            <v>9 liters capacity low level PVC cistern</v>
          </cell>
          <cell r="C465" t="str">
            <v>Nr</v>
          </cell>
          <cell r="D465">
            <v>1900</v>
          </cell>
          <cell r="E465">
            <v>19</v>
          </cell>
          <cell r="F465">
            <v>1919</v>
          </cell>
        </row>
        <row r="466">
          <cell r="A466">
            <v>2216</v>
          </cell>
          <cell r="B466" t="str">
            <v xml:space="preserve">Low level ceramic water closet (LCL) </v>
          </cell>
          <cell r="C466" t="str">
            <v>Nr</v>
          </cell>
          <cell r="D466">
            <v>4500</v>
          </cell>
          <cell r="E466">
            <v>45</v>
          </cell>
          <cell r="F466">
            <v>4545</v>
          </cell>
        </row>
        <row r="467">
          <cell r="A467">
            <v>2217</v>
          </cell>
          <cell r="B467" t="str">
            <v xml:space="preserve">Closed couple ceramic water closet (British) </v>
          </cell>
          <cell r="C467" t="str">
            <v>Nr</v>
          </cell>
          <cell r="D467">
            <v>17500</v>
          </cell>
          <cell r="E467">
            <v>175</v>
          </cell>
          <cell r="F467">
            <v>17675</v>
          </cell>
        </row>
        <row r="468">
          <cell r="A468">
            <v>2218</v>
          </cell>
          <cell r="B468" t="str">
            <v>Bowl type urinal</v>
          </cell>
          <cell r="C468" t="str">
            <v>Nr</v>
          </cell>
          <cell r="D468">
            <v>1380</v>
          </cell>
          <cell r="E468">
            <v>13.8</v>
          </cell>
          <cell r="F468">
            <v>1394</v>
          </cell>
        </row>
        <row r="469">
          <cell r="A469">
            <v>2219</v>
          </cell>
          <cell r="B469" t="str">
            <v>40mm Bottle Trap</v>
          </cell>
          <cell r="C469" t="str">
            <v>Nr</v>
          </cell>
          <cell r="D469">
            <v>213</v>
          </cell>
          <cell r="E469">
            <v>2.13</v>
          </cell>
          <cell r="F469">
            <v>215.13</v>
          </cell>
        </row>
        <row r="470">
          <cell r="A470">
            <v>2220</v>
          </cell>
          <cell r="B470" t="str">
            <v>Bidet shower</v>
          </cell>
          <cell r="C470" t="str">
            <v>Nr</v>
          </cell>
          <cell r="D470">
            <v>1450</v>
          </cell>
          <cell r="E470">
            <v>14.5</v>
          </cell>
          <cell r="F470">
            <v>1464.5</v>
          </cell>
        </row>
        <row r="471">
          <cell r="A471">
            <v>2221</v>
          </cell>
          <cell r="B471" t="str">
            <v>PVC seat cover</v>
          </cell>
          <cell r="C471" t="str">
            <v>Nr</v>
          </cell>
          <cell r="D471">
            <v>500</v>
          </cell>
          <cell r="E471">
            <v>5</v>
          </cell>
          <cell r="F471">
            <v>505</v>
          </cell>
        </row>
        <row r="472">
          <cell r="A472">
            <v>2222</v>
          </cell>
          <cell r="B472" t="str">
            <v>Bathroom mirror</v>
          </cell>
          <cell r="C472" t="str">
            <v>Nr</v>
          </cell>
          <cell r="D472">
            <v>750</v>
          </cell>
          <cell r="E472">
            <v>7.5</v>
          </cell>
          <cell r="F472">
            <v>757.5</v>
          </cell>
        </row>
        <row r="473">
          <cell r="A473">
            <v>2223</v>
          </cell>
          <cell r="B473" t="str">
            <v>Chromium Plated Soap Tray</v>
          </cell>
          <cell r="C473" t="str">
            <v>Nr</v>
          </cell>
          <cell r="D473">
            <v>250</v>
          </cell>
          <cell r="E473">
            <v>2.5</v>
          </cell>
          <cell r="F473">
            <v>252.5</v>
          </cell>
        </row>
        <row r="474">
          <cell r="A474">
            <v>2224</v>
          </cell>
          <cell r="B474" t="str">
            <v>Ceramic Soap Tray</v>
          </cell>
          <cell r="C474" t="str">
            <v>Nr</v>
          </cell>
          <cell r="D474">
            <v>300</v>
          </cell>
          <cell r="E474">
            <v>3</v>
          </cell>
          <cell r="F474">
            <v>303</v>
          </cell>
        </row>
        <row r="475">
          <cell r="A475">
            <v>2225</v>
          </cell>
          <cell r="B475" t="str">
            <v>Chromium Plated Tooth brush holder</v>
          </cell>
          <cell r="C475" t="str">
            <v>Nr</v>
          </cell>
          <cell r="D475">
            <v>350</v>
          </cell>
          <cell r="E475">
            <v>3.5</v>
          </cell>
          <cell r="F475">
            <v>353.5</v>
          </cell>
        </row>
        <row r="476">
          <cell r="A476">
            <v>2226</v>
          </cell>
          <cell r="B476" t="str">
            <v>Ceramic Tooth brush holder</v>
          </cell>
          <cell r="C476" t="str">
            <v>Nr</v>
          </cell>
          <cell r="D476">
            <v>400</v>
          </cell>
          <cell r="E476">
            <v>4</v>
          </cell>
          <cell r="F476">
            <v>404</v>
          </cell>
        </row>
        <row r="477">
          <cell r="A477">
            <v>2227</v>
          </cell>
          <cell r="B477" t="str">
            <v>Chromium Plated 150mm dia. Shower Rose</v>
          </cell>
          <cell r="C477" t="str">
            <v>Nr</v>
          </cell>
          <cell r="D477">
            <v>1095</v>
          </cell>
          <cell r="E477">
            <v>10.95</v>
          </cell>
          <cell r="F477">
            <v>1105.95</v>
          </cell>
        </row>
        <row r="478">
          <cell r="A478">
            <v>2228</v>
          </cell>
          <cell r="B478" t="str">
            <v>PVC 150mm dia. Shower Rose</v>
          </cell>
          <cell r="C478" t="str">
            <v>Nr</v>
          </cell>
          <cell r="D478">
            <v>140</v>
          </cell>
          <cell r="E478">
            <v>1.4</v>
          </cell>
          <cell r="F478">
            <v>141.4</v>
          </cell>
        </row>
        <row r="479">
          <cell r="A479">
            <v>2229</v>
          </cell>
          <cell r="B479" t="str">
            <v>Chromium Plated toilet paper holder</v>
          </cell>
          <cell r="C479" t="str">
            <v>Nr</v>
          </cell>
          <cell r="D479">
            <v>475</v>
          </cell>
          <cell r="E479">
            <v>4.75</v>
          </cell>
          <cell r="F479">
            <v>479.75</v>
          </cell>
        </row>
        <row r="480">
          <cell r="A480">
            <v>2230</v>
          </cell>
          <cell r="B480" t="str">
            <v>Ceremic toilet paper holder</v>
          </cell>
          <cell r="C480" t="str">
            <v>Nr</v>
          </cell>
          <cell r="D480">
            <v>400</v>
          </cell>
          <cell r="E480">
            <v>4</v>
          </cell>
          <cell r="F480">
            <v>404</v>
          </cell>
        </row>
        <row r="481">
          <cell r="A481">
            <v>2231</v>
          </cell>
          <cell r="B481" t="str">
            <v>Chromium Plated towel rail</v>
          </cell>
          <cell r="C481" t="str">
            <v>Nr</v>
          </cell>
          <cell r="D481">
            <v>450</v>
          </cell>
          <cell r="E481">
            <v>4.5</v>
          </cell>
          <cell r="F481">
            <v>454.5</v>
          </cell>
        </row>
        <row r="482">
          <cell r="A482">
            <v>2232</v>
          </cell>
          <cell r="B482" t="str">
            <v>Ceremic towel rail</v>
          </cell>
          <cell r="C482" t="str">
            <v>Nr</v>
          </cell>
          <cell r="D482">
            <v>600</v>
          </cell>
          <cell r="E482">
            <v>6</v>
          </cell>
          <cell r="F482">
            <v>606</v>
          </cell>
        </row>
        <row r="483">
          <cell r="A483">
            <v>2233</v>
          </cell>
          <cell r="B483" t="str">
            <v>Chromium Plated conceal valve for shower</v>
          </cell>
          <cell r="C483" t="str">
            <v>Nr</v>
          </cell>
          <cell r="D483">
            <v>1300</v>
          </cell>
          <cell r="E483">
            <v>13</v>
          </cell>
          <cell r="F483">
            <v>1313</v>
          </cell>
        </row>
        <row r="484">
          <cell r="B484" t="str">
            <v>Roof Plumber</v>
          </cell>
          <cell r="F484">
            <v>0</v>
          </cell>
        </row>
        <row r="485">
          <cell r="A485">
            <v>2301</v>
          </cell>
          <cell r="B485" t="str">
            <v>PVC eave gutters</v>
          </cell>
          <cell r="C485" t="str">
            <v>m</v>
          </cell>
          <cell r="D485">
            <v>137.5</v>
          </cell>
          <cell r="E485">
            <v>1.38</v>
          </cell>
          <cell r="F485">
            <v>139</v>
          </cell>
        </row>
        <row r="486">
          <cell r="A486">
            <v>2302</v>
          </cell>
          <cell r="B486" t="str">
            <v>End cap</v>
          </cell>
          <cell r="C486" t="str">
            <v>Nr</v>
          </cell>
          <cell r="D486">
            <v>72</v>
          </cell>
          <cell r="E486">
            <v>0.72</v>
          </cell>
          <cell r="F486">
            <v>72.5</v>
          </cell>
        </row>
        <row r="487">
          <cell r="A487">
            <v>2303</v>
          </cell>
          <cell r="B487" t="str">
            <v>Joint</v>
          </cell>
          <cell r="C487" t="str">
            <v>m</v>
          </cell>
          <cell r="D487">
            <v>85</v>
          </cell>
          <cell r="E487">
            <v>0.85</v>
          </cell>
          <cell r="F487">
            <v>86</v>
          </cell>
        </row>
        <row r="488">
          <cell r="A488">
            <v>2304</v>
          </cell>
          <cell r="B488" t="str">
            <v>Gutter joiner</v>
          </cell>
          <cell r="C488" t="str">
            <v>Nr</v>
          </cell>
          <cell r="D488">
            <v>95</v>
          </cell>
          <cell r="E488">
            <v>0.95</v>
          </cell>
          <cell r="F488">
            <v>96</v>
          </cell>
        </row>
        <row r="489">
          <cell r="A489">
            <v>2305</v>
          </cell>
          <cell r="B489" t="str">
            <v>Gutter brackets</v>
          </cell>
          <cell r="C489" t="str">
            <v>Nr</v>
          </cell>
          <cell r="D489">
            <v>36</v>
          </cell>
          <cell r="E489">
            <v>0.36</v>
          </cell>
          <cell r="F489">
            <v>36.5</v>
          </cell>
        </row>
        <row r="490">
          <cell r="A490">
            <v>2306</v>
          </cell>
          <cell r="B490" t="str">
            <v>Running head</v>
          </cell>
          <cell r="C490" t="str">
            <v>Nr</v>
          </cell>
          <cell r="D490">
            <v>200</v>
          </cell>
          <cell r="E490">
            <v>2</v>
          </cell>
          <cell r="F490">
            <v>202</v>
          </cell>
        </row>
        <row r="491">
          <cell r="A491">
            <v>2307</v>
          </cell>
          <cell r="B491" t="str">
            <v>87.5 mm dia. PVC down pipes</v>
          </cell>
          <cell r="C491" t="str">
            <v>m</v>
          </cell>
          <cell r="D491">
            <v>137</v>
          </cell>
          <cell r="E491">
            <v>1.37</v>
          </cell>
          <cell r="F491">
            <v>138.5</v>
          </cell>
        </row>
        <row r="492">
          <cell r="A492">
            <v>2308</v>
          </cell>
          <cell r="B492" t="str">
            <v>87.5 mm dia. PVC socket</v>
          </cell>
          <cell r="C492" t="str">
            <v>Nr</v>
          </cell>
          <cell r="D492">
            <v>62</v>
          </cell>
          <cell r="E492">
            <v>0.62</v>
          </cell>
          <cell r="F492">
            <v>62.5</v>
          </cell>
        </row>
        <row r="493">
          <cell r="A493">
            <v>2309</v>
          </cell>
          <cell r="B493" t="str">
            <v>87.5 mm dia. PVC elbows</v>
          </cell>
          <cell r="C493" t="str">
            <v>Nr</v>
          </cell>
          <cell r="D493">
            <v>90</v>
          </cell>
          <cell r="E493">
            <v>0.9</v>
          </cell>
          <cell r="F493">
            <v>91</v>
          </cell>
        </row>
        <row r="494">
          <cell r="A494">
            <v>2310</v>
          </cell>
          <cell r="B494" t="str">
            <v>Clips</v>
          </cell>
          <cell r="C494" t="str">
            <v>Nr</v>
          </cell>
          <cell r="D494">
            <v>18</v>
          </cell>
          <cell r="E494">
            <v>0.18</v>
          </cell>
          <cell r="F494">
            <v>18</v>
          </cell>
        </row>
        <row r="495">
          <cell r="A495">
            <v>2311</v>
          </cell>
          <cell r="B495" t="str">
            <v>200mmx200x87.5mm PVC gutter box</v>
          </cell>
          <cell r="C495" t="str">
            <v>Nr</v>
          </cell>
          <cell r="D495">
            <v>250</v>
          </cell>
          <cell r="E495">
            <v>2.5</v>
          </cell>
          <cell r="F495">
            <v>252.5</v>
          </cell>
        </row>
        <row r="496">
          <cell r="A496">
            <v>2312</v>
          </cell>
          <cell r="B496" t="str">
            <v>Zink Aluminium rainwater eave gutters</v>
          </cell>
          <cell r="C496" t="str">
            <v>m</v>
          </cell>
          <cell r="D496">
            <v>525</v>
          </cell>
          <cell r="E496">
            <v>5.25</v>
          </cell>
          <cell r="F496">
            <v>530.5</v>
          </cell>
        </row>
        <row r="497">
          <cell r="A497">
            <v>2313</v>
          </cell>
          <cell r="B497" t="str">
            <v>Stop end and plate</v>
          </cell>
          <cell r="C497" t="str">
            <v>Nr</v>
          </cell>
          <cell r="D497">
            <v>140</v>
          </cell>
          <cell r="E497">
            <v>1.4</v>
          </cell>
          <cell r="F497">
            <v>141.5</v>
          </cell>
        </row>
        <row r="498">
          <cell r="A498">
            <v>2314</v>
          </cell>
          <cell r="B498" t="str">
            <v>Steel brackets</v>
          </cell>
          <cell r="C498" t="str">
            <v>Nr</v>
          </cell>
          <cell r="D498">
            <v>50</v>
          </cell>
          <cell r="E498">
            <v>0.5</v>
          </cell>
          <cell r="F498">
            <v>50.5</v>
          </cell>
        </row>
        <row r="499">
          <cell r="A499">
            <v>2315</v>
          </cell>
          <cell r="B499" t="str">
            <v>100x100mm Zn-alum down pipes</v>
          </cell>
          <cell r="C499" t="str">
            <v>m</v>
          </cell>
          <cell r="D499">
            <v>524</v>
          </cell>
          <cell r="E499">
            <v>5.24</v>
          </cell>
          <cell r="F499">
            <v>529</v>
          </cell>
        </row>
        <row r="500">
          <cell r="A500">
            <v>2316</v>
          </cell>
          <cell r="B500" t="str">
            <v>150x150mm Zn-alum down pipes</v>
          </cell>
          <cell r="C500" t="str">
            <v>m</v>
          </cell>
          <cell r="D500">
            <v>838</v>
          </cell>
          <cell r="E500">
            <v>8.3800000000000008</v>
          </cell>
          <cell r="F500">
            <v>846.5</v>
          </cell>
        </row>
        <row r="501">
          <cell r="A501">
            <v>2317</v>
          </cell>
          <cell r="B501" t="str">
            <v>Nozzles</v>
          </cell>
          <cell r="C501" t="str">
            <v>Nr</v>
          </cell>
          <cell r="D501">
            <v>754</v>
          </cell>
          <cell r="E501">
            <v>7.54</v>
          </cell>
          <cell r="F501">
            <v>761.5</v>
          </cell>
        </row>
        <row r="502">
          <cell r="A502">
            <v>2318</v>
          </cell>
          <cell r="B502" t="str">
            <v>Offsets</v>
          </cell>
          <cell r="C502" t="str">
            <v>Nr</v>
          </cell>
          <cell r="D502">
            <v>1635</v>
          </cell>
          <cell r="E502">
            <v>16.350000000000001</v>
          </cell>
          <cell r="F502">
            <v>1651.5</v>
          </cell>
        </row>
        <row r="503">
          <cell r="A503">
            <v>2319</v>
          </cell>
          <cell r="B503" t="str">
            <v>Shoes</v>
          </cell>
          <cell r="C503" t="str">
            <v>Nr</v>
          </cell>
          <cell r="D503">
            <v>624</v>
          </cell>
          <cell r="E503">
            <v>6.24</v>
          </cell>
          <cell r="F503">
            <v>630</v>
          </cell>
        </row>
        <row r="504">
          <cell r="A504">
            <v>2320</v>
          </cell>
          <cell r="B504" t="str">
            <v>Clips</v>
          </cell>
          <cell r="C504" t="str">
            <v>Nr</v>
          </cell>
          <cell r="D504">
            <v>9</v>
          </cell>
          <cell r="E504">
            <v>0.09</v>
          </cell>
          <cell r="F504">
            <v>9</v>
          </cell>
        </row>
        <row r="505">
          <cell r="A505">
            <v>2321</v>
          </cell>
          <cell r="B505" t="str">
            <v>300x300mm gutter boxes in Zink Alum color coated metal sheets</v>
          </cell>
          <cell r="C505" t="str">
            <v>Nr</v>
          </cell>
          <cell r="D505">
            <v>1142</v>
          </cell>
          <cell r="E505">
            <v>11.42</v>
          </cell>
          <cell r="F505">
            <v>1153.5</v>
          </cell>
        </row>
        <row r="506">
          <cell r="A506">
            <v>2322</v>
          </cell>
          <cell r="B506" t="str">
            <v>25x25mm N/A Alluminium</v>
          </cell>
          <cell r="C506" t="str">
            <v>m</v>
          </cell>
          <cell r="E506">
            <v>0</v>
          </cell>
        </row>
        <row r="507">
          <cell r="B507" t="str">
            <v>Tinker</v>
          </cell>
        </row>
        <row r="508">
          <cell r="A508">
            <v>2401</v>
          </cell>
          <cell r="B508" t="str">
            <v>18 B.W.G. sheets</v>
          </cell>
          <cell r="C508" t="str">
            <v>m2</v>
          </cell>
          <cell r="D508">
            <v>1177</v>
          </cell>
          <cell r="E508">
            <v>11.77</v>
          </cell>
          <cell r="F508">
            <v>1189</v>
          </cell>
        </row>
        <row r="509">
          <cell r="B509" t="str">
            <v>Drain Layer</v>
          </cell>
        </row>
        <row r="510">
          <cell r="A510">
            <v>2501</v>
          </cell>
          <cell r="B510" t="str">
            <v>Copper wire dome</v>
          </cell>
          <cell r="C510" t="str">
            <v>Nr</v>
          </cell>
          <cell r="D510">
            <v>250</v>
          </cell>
          <cell r="E510">
            <v>2.5</v>
          </cell>
          <cell r="F510">
            <v>252.5</v>
          </cell>
        </row>
        <row r="511">
          <cell r="A511">
            <v>2502</v>
          </cell>
          <cell r="B511" t="str">
            <v>Drainage gully and grate  PVC</v>
          </cell>
          <cell r="C511" t="str">
            <v>Nr</v>
          </cell>
          <cell r="D511">
            <v>130</v>
          </cell>
          <cell r="E511">
            <v>1.3</v>
          </cell>
          <cell r="F511">
            <v>131.5</v>
          </cell>
        </row>
        <row r="512">
          <cell r="A512">
            <v>2503</v>
          </cell>
          <cell r="B512" t="str">
            <v>40mm 4-way PVC floor trap</v>
          </cell>
          <cell r="C512" t="str">
            <v>Nr</v>
          </cell>
          <cell r="D512">
            <v>300</v>
          </cell>
          <cell r="E512">
            <v>3</v>
          </cell>
          <cell r="F512">
            <v>303</v>
          </cell>
        </row>
        <row r="513">
          <cell r="B513" t="str">
            <v>Painter</v>
          </cell>
        </row>
        <row r="514">
          <cell r="A514">
            <v>2601</v>
          </cell>
          <cell r="B514" t="str">
            <v>Lime</v>
          </cell>
          <cell r="C514" t="str">
            <v>kg</v>
          </cell>
          <cell r="D514">
            <v>20</v>
          </cell>
          <cell r="E514">
            <v>0.2</v>
          </cell>
          <cell r="F514">
            <v>20.5</v>
          </cell>
        </row>
        <row r="515">
          <cell r="A515">
            <v>2602</v>
          </cell>
          <cell r="B515" t="str">
            <v>Glue</v>
          </cell>
          <cell r="C515" t="str">
            <v>kg</v>
          </cell>
          <cell r="D515">
            <v>80</v>
          </cell>
          <cell r="E515">
            <v>0.8</v>
          </cell>
          <cell r="F515">
            <v>81</v>
          </cell>
        </row>
        <row r="516">
          <cell r="A516">
            <v>2603</v>
          </cell>
          <cell r="B516" t="str">
            <v>Yellow ochre</v>
          </cell>
          <cell r="C516" t="str">
            <v>kg</v>
          </cell>
          <cell r="D516">
            <v>60</v>
          </cell>
          <cell r="E516">
            <v>0.6</v>
          </cell>
          <cell r="F516">
            <v>60.5</v>
          </cell>
        </row>
        <row r="517">
          <cell r="A517">
            <v>2604</v>
          </cell>
          <cell r="B517" t="str">
            <v>Snowcem</v>
          </cell>
          <cell r="C517" t="str">
            <v>kg</v>
          </cell>
          <cell r="D517">
            <v>80</v>
          </cell>
          <cell r="E517">
            <v>0.8</v>
          </cell>
          <cell r="F517">
            <v>81</v>
          </cell>
        </row>
        <row r="518">
          <cell r="A518">
            <v>2605</v>
          </cell>
          <cell r="B518" t="str">
            <v>Wall primer</v>
          </cell>
          <cell r="C518" t="str">
            <v>l</v>
          </cell>
          <cell r="D518">
            <v>320</v>
          </cell>
          <cell r="E518">
            <v>3.2</v>
          </cell>
          <cell r="F518">
            <v>323</v>
          </cell>
        </row>
        <row r="519">
          <cell r="A519">
            <v>2606</v>
          </cell>
          <cell r="B519" t="str">
            <v>Emulsion paint</v>
          </cell>
          <cell r="C519" t="str">
            <v>l</v>
          </cell>
          <cell r="D519">
            <v>645</v>
          </cell>
          <cell r="E519">
            <v>6.45</v>
          </cell>
          <cell r="F519">
            <v>651.5</v>
          </cell>
        </row>
        <row r="520">
          <cell r="A520">
            <v>2607</v>
          </cell>
          <cell r="B520" t="str">
            <v>Weather shield paint</v>
          </cell>
          <cell r="C520" t="str">
            <v>l</v>
          </cell>
          <cell r="D520">
            <v>838</v>
          </cell>
          <cell r="E520">
            <v>8.3800000000000008</v>
          </cell>
          <cell r="F520">
            <v>846.5</v>
          </cell>
        </row>
        <row r="521">
          <cell r="A521">
            <v>2608</v>
          </cell>
          <cell r="B521" t="str">
            <v>Enamel paint</v>
          </cell>
          <cell r="C521" t="str">
            <v>l</v>
          </cell>
          <cell r="D521">
            <v>740</v>
          </cell>
          <cell r="E521">
            <v>7.4</v>
          </cell>
          <cell r="F521">
            <v>747.5</v>
          </cell>
        </row>
        <row r="522">
          <cell r="A522">
            <v>2609</v>
          </cell>
          <cell r="B522" t="str">
            <v>Anticorrosive paint</v>
          </cell>
          <cell r="C522" t="str">
            <v>l</v>
          </cell>
          <cell r="D522">
            <v>510</v>
          </cell>
          <cell r="E522">
            <v>5.0999999999999996</v>
          </cell>
          <cell r="F522">
            <v>515</v>
          </cell>
        </row>
        <row r="523">
          <cell r="A523">
            <v>2610</v>
          </cell>
          <cell r="B523" t="str">
            <v>Floor paint</v>
          </cell>
          <cell r="C523" t="str">
            <v>l</v>
          </cell>
          <cell r="D523">
            <v>780</v>
          </cell>
          <cell r="E523">
            <v>7.8</v>
          </cell>
          <cell r="F523">
            <v>788</v>
          </cell>
        </row>
        <row r="524">
          <cell r="A524">
            <v>2611</v>
          </cell>
          <cell r="B524" t="str">
            <v>Floor polish</v>
          </cell>
          <cell r="C524" t="str">
            <v>kg</v>
          </cell>
          <cell r="D524">
            <v>650</v>
          </cell>
          <cell r="E524">
            <v>6.5</v>
          </cell>
          <cell r="F524">
            <v>656.5</v>
          </cell>
        </row>
        <row r="525">
          <cell r="A525">
            <v>2612</v>
          </cell>
          <cell r="B525" t="str">
            <v>Wood primer</v>
          </cell>
          <cell r="C525" t="str">
            <v>l</v>
          </cell>
          <cell r="D525">
            <v>720</v>
          </cell>
          <cell r="E525">
            <v>7.2</v>
          </cell>
          <cell r="F525">
            <v>727</v>
          </cell>
        </row>
        <row r="526">
          <cell r="A526">
            <v>2613</v>
          </cell>
          <cell r="B526" t="str">
            <v>Polyurethane varnish</v>
          </cell>
          <cell r="C526" t="str">
            <v>l</v>
          </cell>
          <cell r="D526">
            <v>750</v>
          </cell>
          <cell r="E526">
            <v>7.5</v>
          </cell>
          <cell r="F526">
            <v>757.5</v>
          </cell>
        </row>
        <row r="527">
          <cell r="B527" t="str">
            <v>Electrical Installation</v>
          </cell>
        </row>
        <row r="528">
          <cell r="A528">
            <v>2701</v>
          </cell>
          <cell r="B528" t="str">
            <v>1/1.13 mm Cu\PVC\PVC ( 1 sq.mm)</v>
          </cell>
          <cell r="C528" t="str">
            <v>m</v>
          </cell>
          <cell r="D528">
            <v>18.5</v>
          </cell>
          <cell r="E528">
            <v>0.19</v>
          </cell>
          <cell r="F528">
            <v>18.5</v>
          </cell>
        </row>
        <row r="529">
          <cell r="A529">
            <v>2702</v>
          </cell>
          <cell r="B529" t="str">
            <v>7/0.67 mm Cu\PVC ( 2.5 sq.mm)</v>
          </cell>
          <cell r="C529" t="str">
            <v>m</v>
          </cell>
          <cell r="D529">
            <v>61.5</v>
          </cell>
          <cell r="E529">
            <v>0.62</v>
          </cell>
          <cell r="F529">
            <v>62</v>
          </cell>
        </row>
        <row r="530">
          <cell r="A530">
            <v>2703</v>
          </cell>
          <cell r="B530" t="str">
            <v>7/0.53mm Cu\PVC\PVC(T)-1.5sq.mm</v>
          </cell>
          <cell r="C530" t="str">
            <v>m</v>
          </cell>
          <cell r="D530">
            <v>79.2</v>
          </cell>
          <cell r="E530">
            <v>0.79</v>
          </cell>
          <cell r="F530">
            <v>80</v>
          </cell>
        </row>
        <row r="531">
          <cell r="A531">
            <v>2704</v>
          </cell>
          <cell r="B531" t="str">
            <v>7/0.67mm Cu\PVC\PVC(T)-2.5sq.mm</v>
          </cell>
          <cell r="C531" t="str">
            <v>m</v>
          </cell>
          <cell r="D531">
            <v>115.4</v>
          </cell>
          <cell r="E531">
            <v>1.1499999999999999</v>
          </cell>
          <cell r="F531">
            <v>116.5</v>
          </cell>
        </row>
        <row r="532">
          <cell r="A532">
            <v>2705</v>
          </cell>
          <cell r="B532" t="str">
            <v>7/1.04mm Cu\PVC\PVC(T)-6sq.mm</v>
          </cell>
          <cell r="C532" t="str">
            <v>m</v>
          </cell>
          <cell r="D532">
            <v>249.3</v>
          </cell>
          <cell r="E532">
            <v>2.4900000000000002</v>
          </cell>
          <cell r="F532">
            <v>252</v>
          </cell>
        </row>
        <row r="533">
          <cell r="A533">
            <v>2706</v>
          </cell>
          <cell r="B533" t="str">
            <v>Holder</v>
          </cell>
          <cell r="C533" t="str">
            <v>Nr</v>
          </cell>
          <cell r="D533">
            <v>55</v>
          </cell>
          <cell r="E533">
            <v>0.55000000000000004</v>
          </cell>
          <cell r="F533">
            <v>55.5</v>
          </cell>
        </row>
        <row r="534">
          <cell r="A534">
            <v>2707</v>
          </cell>
          <cell r="B534" t="str">
            <v>Sun box</v>
          </cell>
          <cell r="C534" t="str">
            <v>Nr</v>
          </cell>
          <cell r="D534">
            <v>35</v>
          </cell>
          <cell r="E534">
            <v>0.35</v>
          </cell>
          <cell r="F534">
            <v>35.5</v>
          </cell>
        </row>
        <row r="535">
          <cell r="A535">
            <v>2708</v>
          </cell>
          <cell r="B535" t="str">
            <v>Switch</v>
          </cell>
          <cell r="C535" t="str">
            <v>Nr</v>
          </cell>
          <cell r="D535">
            <v>35</v>
          </cell>
          <cell r="E535">
            <v>0.35</v>
          </cell>
          <cell r="F535">
            <v>35.5</v>
          </cell>
        </row>
        <row r="536">
          <cell r="A536">
            <v>2709</v>
          </cell>
          <cell r="B536" t="str">
            <v>PVC conduit 1"</v>
          </cell>
          <cell r="C536" t="str">
            <v>m</v>
          </cell>
          <cell r="D536">
            <v>33.5</v>
          </cell>
          <cell r="E536">
            <v>0.34</v>
          </cell>
          <cell r="F536">
            <v>34</v>
          </cell>
        </row>
        <row r="537">
          <cell r="A537">
            <v>2710</v>
          </cell>
          <cell r="B537" t="str">
            <v>5A socket outlet</v>
          </cell>
          <cell r="C537" t="str">
            <v>Nr</v>
          </cell>
          <cell r="D537">
            <v>312</v>
          </cell>
          <cell r="E537">
            <v>3.12</v>
          </cell>
          <cell r="F537">
            <v>315</v>
          </cell>
        </row>
        <row r="538">
          <cell r="A538">
            <v>2711</v>
          </cell>
          <cell r="B538" t="str">
            <v>13A socket outlet</v>
          </cell>
          <cell r="C538" t="str">
            <v>Nr</v>
          </cell>
          <cell r="D538">
            <v>330</v>
          </cell>
          <cell r="E538">
            <v>3.3</v>
          </cell>
          <cell r="F538">
            <v>333.5</v>
          </cell>
        </row>
        <row r="539">
          <cell r="A539">
            <v>2712</v>
          </cell>
          <cell r="B539" t="str">
            <v>15A socket outlet</v>
          </cell>
          <cell r="C539" t="str">
            <v>Nr</v>
          </cell>
          <cell r="D539">
            <v>383</v>
          </cell>
          <cell r="E539">
            <v>3.83</v>
          </cell>
          <cell r="F539">
            <v>387</v>
          </cell>
        </row>
        <row r="540">
          <cell r="A540">
            <v>2713</v>
          </cell>
          <cell r="B540" t="str">
            <v>Ceiling rose</v>
          </cell>
          <cell r="C540" t="str">
            <v>Nr</v>
          </cell>
          <cell r="D540">
            <v>85</v>
          </cell>
          <cell r="E540">
            <v>0.85</v>
          </cell>
          <cell r="F540">
            <v>86</v>
          </cell>
        </row>
        <row r="541">
          <cell r="A541">
            <v>2714</v>
          </cell>
          <cell r="B541" t="str">
            <v>Round block</v>
          </cell>
          <cell r="C541" t="str">
            <v>Nr</v>
          </cell>
          <cell r="D541">
            <v>15</v>
          </cell>
          <cell r="E541">
            <v>0.15</v>
          </cell>
          <cell r="F541">
            <v>15</v>
          </cell>
        </row>
        <row r="542">
          <cell r="A542">
            <v>2715</v>
          </cell>
          <cell r="B542" t="str">
            <v>Fan hook</v>
          </cell>
          <cell r="C542" t="str">
            <v>Nr</v>
          </cell>
          <cell r="D542">
            <v>175</v>
          </cell>
          <cell r="E542">
            <v>1.75</v>
          </cell>
          <cell r="F542">
            <v>177</v>
          </cell>
        </row>
        <row r="543">
          <cell r="A543">
            <v>2716</v>
          </cell>
          <cell r="B543" t="str">
            <v>Pendent lamp</v>
          </cell>
          <cell r="C543" t="str">
            <v>Nr</v>
          </cell>
          <cell r="D543">
            <v>60</v>
          </cell>
          <cell r="E543">
            <v>0.6</v>
          </cell>
          <cell r="F543">
            <v>60.5</v>
          </cell>
        </row>
        <row r="544">
          <cell r="A544">
            <v>2717</v>
          </cell>
          <cell r="B544" t="str">
            <v>Weather proofed angle batten lamp</v>
          </cell>
          <cell r="C544" t="str">
            <v>Nr</v>
          </cell>
          <cell r="D544">
            <v>1350</v>
          </cell>
          <cell r="E544">
            <v>13.5</v>
          </cell>
          <cell r="F544">
            <v>1363.5</v>
          </cell>
        </row>
        <row r="545">
          <cell r="A545">
            <v>2718</v>
          </cell>
          <cell r="B545" t="str">
            <v>Wall bracket lamp</v>
          </cell>
          <cell r="C545" t="str">
            <v>Nr</v>
          </cell>
          <cell r="D545">
            <v>850</v>
          </cell>
          <cell r="E545">
            <v>8.5</v>
          </cell>
          <cell r="F545">
            <v>858.5</v>
          </cell>
        </row>
        <row r="546">
          <cell r="A546">
            <v>2719</v>
          </cell>
          <cell r="B546" t="str">
            <v>1200 mm, 40W single fluorescent lamp</v>
          </cell>
          <cell r="C546" t="str">
            <v>Nr</v>
          </cell>
          <cell r="D546">
            <v>975</v>
          </cell>
          <cell r="E546">
            <v>9.75</v>
          </cell>
          <cell r="F546">
            <v>985</v>
          </cell>
        </row>
        <row r="547">
          <cell r="A547">
            <v>2720</v>
          </cell>
          <cell r="B547" t="str">
            <v>1200 mm, 40W double fluorescent lamp</v>
          </cell>
          <cell r="C547" t="str">
            <v>Nr</v>
          </cell>
          <cell r="D547">
            <v>1900</v>
          </cell>
          <cell r="E547">
            <v>19</v>
          </cell>
          <cell r="F547">
            <v>1919</v>
          </cell>
        </row>
        <row r="548">
          <cell r="A548">
            <v>2721</v>
          </cell>
          <cell r="B548" t="str">
            <v>600x300 mm fully parabolic reflective type fluorescent lamp (2 tube)</v>
          </cell>
          <cell r="C548" t="str">
            <v>Nr</v>
          </cell>
          <cell r="D548">
            <v>3450</v>
          </cell>
          <cell r="E548">
            <v>34.5</v>
          </cell>
          <cell r="F548">
            <v>3484.5</v>
          </cell>
        </row>
        <row r="549">
          <cell r="A549">
            <v>2722</v>
          </cell>
          <cell r="B549" t="str">
            <v>1200x300 mm fully parabolic reflective type fluorescent lamp (2 tube)</v>
          </cell>
          <cell r="C549" t="str">
            <v>Nr</v>
          </cell>
          <cell r="D549">
            <v>3850</v>
          </cell>
          <cell r="E549">
            <v>38.5</v>
          </cell>
          <cell r="F549">
            <v>3888.5</v>
          </cell>
        </row>
        <row r="550">
          <cell r="A550">
            <v>2723</v>
          </cell>
          <cell r="B550" t="str">
            <v>600x600 mm fully parabolic reflective type fluorescent lamp (3 tube)</v>
          </cell>
          <cell r="C550" t="str">
            <v>Nr</v>
          </cell>
          <cell r="D550">
            <v>3950</v>
          </cell>
          <cell r="E550">
            <v>39.5</v>
          </cell>
          <cell r="F550">
            <v>3989.5</v>
          </cell>
        </row>
        <row r="551">
          <cell r="A551">
            <v>2724</v>
          </cell>
          <cell r="B551" t="str">
            <v>1200x600 mm fully parabolic reflective type fluorescent lamp (3 tube)</v>
          </cell>
          <cell r="C551" t="str">
            <v>Nr</v>
          </cell>
          <cell r="D551">
            <v>4750</v>
          </cell>
          <cell r="E551">
            <v>47.5</v>
          </cell>
          <cell r="F551">
            <v>4797.5</v>
          </cell>
        </row>
        <row r="552">
          <cell r="A552">
            <v>2725</v>
          </cell>
          <cell r="B552" t="str">
            <v>1200mm sweep ceiling fan</v>
          </cell>
          <cell r="C552" t="str">
            <v>Nr</v>
          </cell>
          <cell r="D552">
            <v>5950</v>
          </cell>
          <cell r="E552">
            <v>59.5</v>
          </cell>
          <cell r="F552">
            <v>6009.5</v>
          </cell>
        </row>
        <row r="553">
          <cell r="A553">
            <v>2726</v>
          </cell>
          <cell r="B553" t="str">
            <v>300x300mm exhaust fan</v>
          </cell>
          <cell r="C553" t="str">
            <v>Nr</v>
          </cell>
          <cell r="D553">
            <v>4250</v>
          </cell>
          <cell r="E553">
            <v>42.5</v>
          </cell>
          <cell r="F553">
            <v>4292.5</v>
          </cell>
        </row>
        <row r="554">
          <cell r="A554">
            <v>2727</v>
          </cell>
          <cell r="B554" t="str">
            <v>Wall mounted fan</v>
          </cell>
          <cell r="C554" t="str">
            <v>Nr</v>
          </cell>
          <cell r="D554">
            <v>6250</v>
          </cell>
          <cell r="E554">
            <v>62.5</v>
          </cell>
          <cell r="F554">
            <v>6312.5</v>
          </cell>
        </row>
        <row r="555">
          <cell r="A555">
            <v>2728</v>
          </cell>
          <cell r="B555" t="str">
            <v>40 Amp single phase main switch</v>
          </cell>
          <cell r="C555" t="str">
            <v>Nr</v>
          </cell>
          <cell r="D555">
            <v>736</v>
          </cell>
          <cell r="E555">
            <v>7.36</v>
          </cell>
          <cell r="F555">
            <v>743.5</v>
          </cell>
        </row>
        <row r="556">
          <cell r="A556">
            <v>2729</v>
          </cell>
          <cell r="B556" t="str">
            <v>60 Amp single phase main switch</v>
          </cell>
          <cell r="C556" t="str">
            <v>Nr</v>
          </cell>
          <cell r="D556">
            <v>871</v>
          </cell>
          <cell r="E556">
            <v>8.7100000000000009</v>
          </cell>
          <cell r="F556">
            <v>879.5</v>
          </cell>
        </row>
        <row r="557">
          <cell r="A557">
            <v>2730</v>
          </cell>
          <cell r="B557" t="str">
            <v>40 Amp Circuit breaker</v>
          </cell>
          <cell r="C557" t="str">
            <v>Nr</v>
          </cell>
          <cell r="D557">
            <v>395</v>
          </cell>
          <cell r="E557">
            <v>3.95</v>
          </cell>
          <cell r="F557">
            <v>399</v>
          </cell>
        </row>
        <row r="558">
          <cell r="A558">
            <v>2731</v>
          </cell>
          <cell r="B558" t="str">
            <v>Distribution board with cover</v>
          </cell>
          <cell r="C558" t="str">
            <v>Nr</v>
          </cell>
          <cell r="D558">
            <v>1450</v>
          </cell>
          <cell r="E558">
            <v>14.5</v>
          </cell>
          <cell r="F558">
            <v>1464.5</v>
          </cell>
        </row>
        <row r="559">
          <cell r="A559">
            <v>2732</v>
          </cell>
          <cell r="B559" t="str">
            <v>40 Amp three phase main switch</v>
          </cell>
          <cell r="C559" t="str">
            <v>Nr</v>
          </cell>
          <cell r="D559">
            <v>1224</v>
          </cell>
          <cell r="E559">
            <v>12.24</v>
          </cell>
          <cell r="F559">
            <v>1236</v>
          </cell>
        </row>
        <row r="560">
          <cell r="A560">
            <v>2733</v>
          </cell>
          <cell r="B560" t="str">
            <v>60 Amp three phase main switch</v>
          </cell>
          <cell r="C560" t="str">
            <v>Nr</v>
          </cell>
          <cell r="D560">
            <v>1324</v>
          </cell>
          <cell r="E560">
            <v>13.24</v>
          </cell>
          <cell r="F560">
            <v>1337</v>
          </cell>
        </row>
        <row r="561">
          <cell r="A561">
            <v>2734</v>
          </cell>
          <cell r="B561" t="str">
            <v>40 Amp single phase RCCB (Trip switch)</v>
          </cell>
          <cell r="C561" t="str">
            <v>Nr</v>
          </cell>
          <cell r="D561">
            <v>2677</v>
          </cell>
          <cell r="E561">
            <v>26.77</v>
          </cell>
          <cell r="F561">
            <v>2704</v>
          </cell>
        </row>
        <row r="562">
          <cell r="A562">
            <v>2735</v>
          </cell>
          <cell r="B562" t="str">
            <v>60 Amp single phase RCCB (Trip switch)</v>
          </cell>
          <cell r="C562" t="str">
            <v>Nr</v>
          </cell>
          <cell r="D562">
            <v>2712</v>
          </cell>
          <cell r="E562">
            <v>27.12</v>
          </cell>
          <cell r="F562">
            <v>2739</v>
          </cell>
        </row>
        <row r="563">
          <cell r="A563">
            <v>2736</v>
          </cell>
          <cell r="B563" t="str">
            <v>40 Amp three phase RCCB (Trip switch)</v>
          </cell>
          <cell r="C563" t="str">
            <v>Nr</v>
          </cell>
          <cell r="D563">
            <v>3706</v>
          </cell>
          <cell r="E563">
            <v>37.06</v>
          </cell>
          <cell r="F563">
            <v>3743</v>
          </cell>
        </row>
        <row r="564">
          <cell r="A564">
            <v>2737</v>
          </cell>
          <cell r="B564" t="str">
            <v>60 Amp three phase RCCB (Trip switch)</v>
          </cell>
          <cell r="C564" t="str">
            <v>Nr</v>
          </cell>
          <cell r="D564">
            <v>3912</v>
          </cell>
          <cell r="E564">
            <v>39.119999999999997</v>
          </cell>
          <cell r="F564">
            <v>3951</v>
          </cell>
        </row>
        <row r="565">
          <cell r="A565">
            <v>2738</v>
          </cell>
          <cell r="B565" t="str">
            <v>Electrical Bell</v>
          </cell>
          <cell r="C565" t="str">
            <v>Nr</v>
          </cell>
          <cell r="D565">
            <v>500</v>
          </cell>
          <cell r="E565">
            <v>5</v>
          </cell>
          <cell r="F565">
            <v>505</v>
          </cell>
        </row>
        <row r="566">
          <cell r="A566">
            <v>2739</v>
          </cell>
          <cell r="B566" t="str">
            <v>GI earth electrode</v>
          </cell>
          <cell r="C566" t="str">
            <v>Nr</v>
          </cell>
          <cell r="D566">
            <v>990</v>
          </cell>
          <cell r="E566">
            <v>9.9</v>
          </cell>
          <cell r="F566">
            <v>1000</v>
          </cell>
        </row>
        <row r="567">
          <cell r="A567">
            <v>2740</v>
          </cell>
          <cell r="B567" t="str">
            <v>50x50x5.8 mm angle Iron</v>
          </cell>
          <cell r="C567" t="str">
            <v>m</v>
          </cell>
          <cell r="D567">
            <v>467</v>
          </cell>
          <cell r="E567">
            <v>4.67</v>
          </cell>
          <cell r="F567">
            <v>471.5</v>
          </cell>
        </row>
        <row r="568">
          <cell r="A568">
            <v>2741</v>
          </cell>
          <cell r="B568" t="str">
            <v>60 Amp Circuit breaker</v>
          </cell>
          <cell r="C568" t="str">
            <v>Nr</v>
          </cell>
          <cell r="D568">
            <v>395</v>
          </cell>
          <cell r="E568">
            <v>3.95</v>
          </cell>
          <cell r="F568">
            <v>399</v>
          </cell>
        </row>
        <row r="569">
          <cell r="B569" t="str">
            <v>Miscellaneous Work</v>
          </cell>
        </row>
        <row r="570">
          <cell r="A570">
            <v>2801</v>
          </cell>
          <cell r="B570" t="str">
            <v>PVC coated gauge 10 chain link mesh</v>
          </cell>
          <cell r="C570" t="str">
            <v>m2</v>
          </cell>
          <cell r="D570">
            <v>538</v>
          </cell>
          <cell r="E570">
            <v>5.38</v>
          </cell>
          <cell r="F570">
            <v>543.5</v>
          </cell>
        </row>
        <row r="571">
          <cell r="A571">
            <v>2802</v>
          </cell>
          <cell r="B571" t="str">
            <v>2" GI pipes (2mm)</v>
          </cell>
          <cell r="C571" t="str">
            <v>m</v>
          </cell>
          <cell r="D571">
            <v>542</v>
          </cell>
          <cell r="E571">
            <v>5.42</v>
          </cell>
          <cell r="F571">
            <v>547.5</v>
          </cell>
        </row>
        <row r="572">
          <cell r="A572">
            <v>2803</v>
          </cell>
          <cell r="B572" t="str">
            <v>1 1/2" GI pipes (2mm)</v>
          </cell>
          <cell r="C572" t="str">
            <v>m</v>
          </cell>
          <cell r="D572">
            <v>459</v>
          </cell>
          <cell r="E572">
            <v>4.59</v>
          </cell>
          <cell r="F572">
            <v>463.5</v>
          </cell>
        </row>
        <row r="573">
          <cell r="A573">
            <v>2804</v>
          </cell>
          <cell r="B573" t="str">
            <v>1"  GI pipes (2mm)</v>
          </cell>
          <cell r="C573" t="str">
            <v>m</v>
          </cell>
          <cell r="D573">
            <v>367</v>
          </cell>
          <cell r="E573">
            <v>3.67</v>
          </cell>
          <cell r="F573">
            <v>370.5</v>
          </cell>
        </row>
        <row r="574">
          <cell r="A574">
            <v>2805</v>
          </cell>
          <cell r="B574" t="str">
            <v>Barbed wire</v>
          </cell>
          <cell r="C574" t="str">
            <v>m</v>
          </cell>
          <cell r="D574">
            <v>25.35</v>
          </cell>
          <cell r="E574">
            <v>0.25</v>
          </cell>
          <cell r="F574">
            <v>25.6</v>
          </cell>
        </row>
        <row r="575">
          <cell r="A575">
            <v>2806</v>
          </cell>
          <cell r="B575" t="str">
            <v>Hooks and washers</v>
          </cell>
          <cell r="C575" t="str">
            <v>Nr</v>
          </cell>
          <cell r="D575">
            <v>10.5</v>
          </cell>
          <cell r="E575">
            <v>0.11</v>
          </cell>
          <cell r="F575">
            <v>10.5</v>
          </cell>
        </row>
        <row r="576">
          <cell r="A576">
            <v>2807</v>
          </cell>
          <cell r="B576" t="str">
            <v>Concrete fence posts 6'-0"</v>
          </cell>
          <cell r="C576" t="str">
            <v>Nr</v>
          </cell>
          <cell r="D576">
            <v>930</v>
          </cell>
          <cell r="E576">
            <v>9.3000000000000007</v>
          </cell>
          <cell r="F576">
            <v>939.5</v>
          </cell>
        </row>
        <row r="577">
          <cell r="A577">
            <v>2808</v>
          </cell>
          <cell r="B577" t="str">
            <v>Concrete fence posts 6'-6"</v>
          </cell>
          <cell r="C577" t="str">
            <v>Nr</v>
          </cell>
          <cell r="D577">
            <v>1010</v>
          </cell>
          <cell r="E577">
            <v>10.1</v>
          </cell>
          <cell r="F577">
            <v>1020</v>
          </cell>
        </row>
        <row r="578">
          <cell r="A578">
            <v>2809</v>
          </cell>
          <cell r="B578" t="str">
            <v>Concrete fence posts 7'-0"</v>
          </cell>
          <cell r="C578" t="str">
            <v>Nr</v>
          </cell>
          <cell r="D578">
            <v>1100</v>
          </cell>
          <cell r="E578">
            <v>11</v>
          </cell>
          <cell r="F578">
            <v>1111</v>
          </cell>
        </row>
        <row r="579">
          <cell r="A579">
            <v>2810</v>
          </cell>
          <cell r="B579" t="str">
            <v>Concrete fence posts 8'-0"</v>
          </cell>
          <cell r="C579" t="str">
            <v>Nr</v>
          </cell>
          <cell r="D579">
            <v>1240</v>
          </cell>
          <cell r="E579">
            <v>12.4</v>
          </cell>
          <cell r="F579">
            <v>1252.5</v>
          </cell>
        </row>
        <row r="580">
          <cell r="A580">
            <v>2811</v>
          </cell>
          <cell r="B580" t="str">
            <v>Concrete fence posts 10'-6"</v>
          </cell>
          <cell r="C580" t="str">
            <v>Nr</v>
          </cell>
          <cell r="D580">
            <v>2850</v>
          </cell>
          <cell r="E580">
            <v>28.5</v>
          </cell>
          <cell r="F580">
            <v>2878.5</v>
          </cell>
        </row>
        <row r="581">
          <cell r="A581">
            <v>2812</v>
          </cell>
          <cell r="B581" t="str">
            <v>Concrete fence supporting posts for corner posts</v>
          </cell>
          <cell r="C581" t="str">
            <v>Nr</v>
          </cell>
          <cell r="D581">
            <v>1250</v>
          </cell>
          <cell r="E581">
            <v>12.5</v>
          </cell>
          <cell r="F581">
            <v>1262.5</v>
          </cell>
        </row>
        <row r="582">
          <cell r="A582">
            <v>2813</v>
          </cell>
          <cell r="B582" t="str">
            <v>2" GI pipes (1.8mm)</v>
          </cell>
          <cell r="C582" t="str">
            <v>m</v>
          </cell>
          <cell r="D582">
            <v>492</v>
          </cell>
          <cell r="E582">
            <v>4.92</v>
          </cell>
          <cell r="F582">
            <v>497</v>
          </cell>
        </row>
        <row r="583">
          <cell r="A583">
            <v>2814</v>
          </cell>
          <cell r="B583" t="str">
            <v>2" GI pipes (1.5mm)</v>
          </cell>
          <cell r="C583" t="str">
            <v>m</v>
          </cell>
          <cell r="D583">
            <v>459</v>
          </cell>
          <cell r="E583">
            <v>4.59</v>
          </cell>
          <cell r="F583">
            <v>463.5</v>
          </cell>
        </row>
        <row r="584">
          <cell r="A584">
            <v>2815</v>
          </cell>
          <cell r="B584" t="str">
            <v>1 1/2" GI pipes (1.8mm)</v>
          </cell>
          <cell r="C584" t="str">
            <v>m</v>
          </cell>
          <cell r="D584">
            <v>434</v>
          </cell>
          <cell r="E584">
            <v>4.34</v>
          </cell>
          <cell r="F584">
            <v>438.5</v>
          </cell>
        </row>
        <row r="585">
          <cell r="A585">
            <v>2816</v>
          </cell>
          <cell r="B585" t="str">
            <v>1 1/2" GI pipes (1.5mm)</v>
          </cell>
          <cell r="C585" t="str">
            <v>m</v>
          </cell>
          <cell r="D585">
            <v>359</v>
          </cell>
          <cell r="E585">
            <v>3.59</v>
          </cell>
          <cell r="F585">
            <v>362.5</v>
          </cell>
        </row>
        <row r="586">
          <cell r="A586">
            <v>2817</v>
          </cell>
          <cell r="B586" t="str">
            <v>1 1/4" GI pipes (2mm)</v>
          </cell>
          <cell r="C586" t="str">
            <v>m</v>
          </cell>
          <cell r="D586">
            <v>409</v>
          </cell>
          <cell r="E586">
            <v>4.09</v>
          </cell>
          <cell r="F586">
            <v>413</v>
          </cell>
        </row>
        <row r="587">
          <cell r="A587">
            <v>2818</v>
          </cell>
          <cell r="B587" t="str">
            <v>1 1/4" GI pipes (1.8mm)</v>
          </cell>
          <cell r="C587" t="str">
            <v>m</v>
          </cell>
          <cell r="D587">
            <v>359</v>
          </cell>
          <cell r="E587">
            <v>3.59</v>
          </cell>
          <cell r="F587">
            <v>362.5</v>
          </cell>
        </row>
        <row r="588">
          <cell r="A588">
            <v>2819</v>
          </cell>
          <cell r="B588" t="str">
            <v>1 1/4" GI pipes (1.5mm)</v>
          </cell>
          <cell r="C588" t="str">
            <v>m</v>
          </cell>
          <cell r="D588">
            <v>267</v>
          </cell>
          <cell r="E588">
            <v>2.67</v>
          </cell>
          <cell r="F588">
            <v>269.5</v>
          </cell>
        </row>
        <row r="589">
          <cell r="A589">
            <v>2820</v>
          </cell>
          <cell r="B589" t="str">
            <v>1 " GI pipes (1.8mm)</v>
          </cell>
          <cell r="C589" t="str">
            <v>m</v>
          </cell>
          <cell r="D589">
            <v>292</v>
          </cell>
          <cell r="E589">
            <v>2.92</v>
          </cell>
          <cell r="F589">
            <v>295</v>
          </cell>
        </row>
        <row r="590">
          <cell r="A590">
            <v>2821</v>
          </cell>
          <cell r="B590" t="str">
            <v>1 " GI pipes (1.5mm)</v>
          </cell>
          <cell r="C590" t="str">
            <v>m</v>
          </cell>
          <cell r="D590">
            <v>234</v>
          </cell>
          <cell r="E590">
            <v>2.34</v>
          </cell>
          <cell r="F590">
            <v>236.5</v>
          </cell>
        </row>
        <row r="591">
          <cell r="A591">
            <v>2822</v>
          </cell>
          <cell r="B591" t="str">
            <v>12mm thick MDF board</v>
          </cell>
          <cell r="C591" t="str">
            <v>m2</v>
          </cell>
          <cell r="D591">
            <v>718</v>
          </cell>
          <cell r="E591">
            <v>7.18</v>
          </cell>
          <cell r="F591">
            <v>725</v>
          </cell>
        </row>
        <row r="592">
          <cell r="A592">
            <v>2823</v>
          </cell>
          <cell r="B592" t="str">
            <v>12 mm thick regiform board</v>
          </cell>
          <cell r="C592" t="str">
            <v>m2</v>
          </cell>
          <cell r="D592">
            <v>131</v>
          </cell>
          <cell r="E592">
            <v>1.31</v>
          </cell>
          <cell r="F592">
            <v>132.5</v>
          </cell>
        </row>
        <row r="593">
          <cell r="A593">
            <v>2824</v>
          </cell>
          <cell r="B593" t="str">
            <v>Velvet cloth</v>
          </cell>
          <cell r="C593" t="str">
            <v>m2</v>
          </cell>
          <cell r="D593">
            <v>150</v>
          </cell>
          <cell r="E593">
            <v>1.5</v>
          </cell>
          <cell r="F593">
            <v>151.5</v>
          </cell>
        </row>
        <row r="597">
          <cell r="A597" t="str">
            <v xml:space="preserve">Prepared and Checked by B.S.R. Preparation Committee </v>
          </cell>
        </row>
        <row r="599">
          <cell r="A599" t="str">
            <v>1.</v>
          </cell>
          <cell r="B599" t="str">
            <v>Chairman : Eng. P. S. S. Vithanage, Chief Engineer (Buildings)</v>
          </cell>
        </row>
        <row r="601">
          <cell r="A601" t="str">
            <v>2</v>
          </cell>
          <cell r="B601" t="str">
            <v>Member 1 : Eng H.M Jayarathna, Chief Engineer (Buildings)</v>
          </cell>
        </row>
        <row r="603">
          <cell r="A603" t="str">
            <v>3</v>
          </cell>
          <cell r="B603" t="str">
            <v>Member 2 : Eng H.M Dharmarathna, Engineer</v>
          </cell>
        </row>
        <row r="605">
          <cell r="A605" t="str">
            <v>4</v>
          </cell>
          <cell r="B605" t="str">
            <v>Member 3 : Eng. D.M.R. Dhanapala, Engineer</v>
          </cell>
        </row>
        <row r="609">
          <cell r="A609" t="str">
            <v>Recommended by :</v>
          </cell>
        </row>
        <row r="612">
          <cell r="B612" t="str">
            <v>……………………………….</v>
          </cell>
        </row>
        <row r="613">
          <cell r="B613" t="str">
            <v>Eng. D. M. K. S. Dissanayake</v>
          </cell>
        </row>
        <row r="614">
          <cell r="B614" t="str">
            <v>Provincial Director ( Buildings)</v>
          </cell>
        </row>
        <row r="616">
          <cell r="A616" t="str">
            <v>Approved by:</v>
          </cell>
        </row>
        <row r="619">
          <cell r="B619" t="str">
            <v>………………………………….</v>
          </cell>
        </row>
        <row r="620">
          <cell r="B620" t="str">
            <v>Eng. M.L.C. Fernandu</v>
          </cell>
        </row>
        <row r="621">
          <cell r="B621" t="str">
            <v>Deputy Chief Secretary ( Engineering Services)</v>
          </cell>
        </row>
      </sheetData>
      <sheetData sheetId="4"/>
      <sheetData sheetId="5"/>
      <sheetData sheetId="6"/>
      <sheetData sheetId="7"/>
      <sheetData sheetId="8"/>
      <sheetData sheetId="9" refreshError="1"/>
      <sheetData sheetId="1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 val="B-3.2 EB"/>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_page"/>
      <sheetName val="sec__1"/>
      <sheetName val="sec__2"/>
      <sheetName val="sec__3"/>
      <sheetName val="Scope_of_works"/>
      <sheetName val="sec__4"/>
      <sheetName val="Valuation"/>
      <sheetName val="sec__5"/>
      <sheetName val="RateBrkdwn_"/>
      <sheetName val="Measurement_sheet"/>
      <sheetName val="sec__6"/>
      <sheetName val="sec_7"/>
      <sheetName val="sec_8"/>
      <sheetName val="sec__9"/>
      <sheetName val="cover page"/>
      <sheetName val="sec. 1"/>
      <sheetName val="sec. 2"/>
      <sheetName val="sec. 3"/>
      <sheetName val="Scope of works"/>
      <sheetName val="sec. 4"/>
      <sheetName val="sec. 5"/>
      <sheetName val="RateBrkdwn "/>
      <sheetName val="Measurement sheet"/>
      <sheetName val="sec. 6"/>
      <sheetName val="sec.7"/>
      <sheetName val="sec.8"/>
      <sheetName val="sec. 9"/>
      <sheetName val="cover_page1"/>
      <sheetName val="sec__11"/>
      <sheetName val="sec__21"/>
      <sheetName val="sec__31"/>
      <sheetName val="Scope_of_works1"/>
      <sheetName val="sec__41"/>
      <sheetName val="sec__51"/>
      <sheetName val="RateBrkdwn_1"/>
      <sheetName val="Measurement_sheet1"/>
      <sheetName val="sec__61"/>
      <sheetName val="sec_71"/>
      <sheetName val="sec_81"/>
      <sheetName val="sec__91"/>
      <sheetName val="cover_page2"/>
      <sheetName val="sec__12"/>
      <sheetName val="sec__22"/>
      <sheetName val="sec__32"/>
      <sheetName val="Scope_of_works2"/>
      <sheetName val="sec__42"/>
      <sheetName val="sec__52"/>
      <sheetName val="RateBrkdwn_2"/>
      <sheetName val="Measurement_sheet2"/>
      <sheetName val="sec__62"/>
      <sheetName val="sec_72"/>
      <sheetName val="sec_82"/>
      <sheetName val="sec__92"/>
      <sheetName val="cover_page3"/>
      <sheetName val="sec__13"/>
      <sheetName val="sec__23"/>
      <sheetName val="sec__33"/>
      <sheetName val="Scope_of_works3"/>
      <sheetName val="sec__43"/>
      <sheetName val="sec__53"/>
      <sheetName val="RateBrkdwn_3"/>
      <sheetName val="Measurement_sheet3"/>
      <sheetName val="sec__63"/>
      <sheetName val="sec_73"/>
      <sheetName val="sec_83"/>
      <sheetName val="sec__93"/>
    </sheetNames>
    <sheetDataSet>
      <sheetData sheetId="0">
        <row r="13">
          <cell r="E13" t="str">
            <v>&lt;Package No&gt; - &lt;Package Name&gt;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ow r="13">
          <cell r="E13" t="str">
            <v>&lt;Package No&gt; - &lt;Package Name&gt;</v>
          </cell>
        </row>
        <row r="24">
          <cell r="E24" t="str">
            <v>VARIATION No. ???</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row r="13">
          <cell r="E13" t="str">
            <v>&lt;Package No&gt; - &lt;Package Name&gt;</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row r="13">
          <cell r="E13" t="str">
            <v>&lt;Package No&gt; - &lt;Package Name&gt;</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row r="13">
          <cell r="E13" t="str">
            <v>&lt;Package No&gt; - &lt;Package Name&gt;</v>
          </cell>
        </row>
      </sheetData>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 val="B-3"/>
    </sheetNames>
    <sheetDataSet>
      <sheetData sheetId="0"/>
      <sheetData sheetId="1" refreshError="1">
        <row r="1">
          <cell r="J1">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Name val="grnd summry- tender"/>
      <sheetName val="prelims"/>
      <sheetName val="piling"/>
    </sheetNames>
    <sheetDataSet>
      <sheetData sheetId="0"/>
      <sheetData sheetId="1">
        <row r="13">
          <cell r="C13">
            <v>52997390</v>
          </cell>
        </row>
      </sheetData>
      <sheetData sheetId="2">
        <row r="149">
          <cell r="F149">
            <v>0</v>
          </cell>
        </row>
      </sheetData>
      <sheetData sheetId="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r schedule-wattala"/>
      <sheetName val="front"/>
      <sheetName val="grnd summry- sign"/>
      <sheetName val="grnd summry- tender"/>
      <sheetName val="summary"/>
      <sheetName val="prelims"/>
      <sheetName val="exca"/>
      <sheetName val="formwrk"/>
      <sheetName val="Sheet4"/>
      <sheetName val="Sheet5"/>
      <sheetName val="rf"/>
      <sheetName val="concrete"/>
      <sheetName val="masnry"/>
      <sheetName val="floring"/>
      <sheetName val="waterprof"/>
      <sheetName val="plastering"/>
      <sheetName val="tile"/>
      <sheetName val="Minuwangoda Final"/>
      <sheetName val="paint"/>
      <sheetName val="Timber doors"/>
      <sheetName val="roof"/>
      <sheetName val="M sheet- dodangoda"/>
      <sheetName val="steel work"/>
      <sheetName val="rate"/>
      <sheetName val="plumbing"/>
      <sheetName val="Sheet6"/>
      <sheetName val="electicle"/>
      <sheetName val="metal"/>
      <sheetName val="Wattala - (6)"/>
      <sheetName val="machncle"/>
      <sheetName val="fire"/>
      <sheetName val="misalenous"/>
      <sheetName val="L.toilet"/>
      <sheetName val="Ps"/>
      <sheetName val="retaining wall"/>
      <sheetName val="roof  breakdown"/>
      <sheetName val="Sheet3"/>
      <sheetName val="Sheet2"/>
      <sheetName val="Sheet1"/>
    </sheetNames>
    <sheetDataSet>
      <sheetData sheetId="0"/>
      <sheetData sheetId="1"/>
      <sheetData sheetId="2"/>
      <sheetData sheetId="3">
        <row r="19">
          <cell r="C19">
            <v>260718369.79767433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BD"/>
      <sheetName val="Retaining Wall Base"/>
      <sheetName val="Slab Beam 1"/>
      <sheetName val="Floor Slab"/>
      <sheetName val="G15"/>
      <sheetName val="G20"/>
      <sheetName val="G25"/>
      <sheetName val="column base"/>
      <sheetName val="Column  shaft"/>
      <sheetName val="Column  "/>
      <sheetName val="Tie Beam 1"/>
      <sheetName val="Tie Beam 2"/>
      <sheetName val="Slab Beam"/>
      <sheetName val="Slab "/>
      <sheetName val="Staire case G-1"/>
      <sheetName val="RRM"/>
      <sheetName val="Tie Beam"/>
      <sheetName val="Wall Plaster"/>
      <sheetName val="Brick Wall"/>
      <sheetName val="Column Beam Plaster"/>
      <sheetName val="Roof"/>
      <sheetName val="Reveal"/>
      <sheetName val="RBD 4"/>
      <sheetName val="RBD 5 slab"/>
      <sheetName val="RBD 7 Wall 6&quot;"/>
      <sheetName val="RBD 7 Wall 9&quot;"/>
    </sheetNames>
    <sheetDataSet>
      <sheetData sheetId="0"/>
      <sheetData sheetId="1">
        <row r="45">
          <cell r="F45">
            <v>108</v>
          </cell>
        </row>
        <row r="95">
          <cell r="F95">
            <v>278</v>
          </cell>
        </row>
        <row r="146">
          <cell r="F146">
            <v>904</v>
          </cell>
        </row>
        <row r="196">
          <cell r="F196">
            <v>14720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 SUMMARY"/>
      <sheetName val="Sub Contractor"/>
      <sheetName val="Material"/>
      <sheetName val="Excavation R"/>
      <sheetName val="Readymix Concrete R"/>
      <sheetName val="In Situ Concrete R"/>
      <sheetName val="Reinforcement R"/>
      <sheetName val="Masonary R"/>
      <sheetName val="Waterproofing R"/>
      <sheetName val="Floor Finishing R"/>
      <sheetName val="Plastering R"/>
      <sheetName val="Painting R"/>
      <sheetName val="Vanity R"/>
      <sheetName val="Interiar R"/>
    </sheetNames>
    <sheetDataSet>
      <sheetData sheetId="0"/>
      <sheetData sheetId="1"/>
      <sheetData sheetId="2">
        <row r="577">
          <cell r="D577"/>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7"/>
  <sheetViews>
    <sheetView view="pageBreakPreview" zoomScale="85" zoomScaleNormal="90" zoomScaleSheetLayoutView="85" workbookViewId="0">
      <pane xSplit="10" ySplit="7" topLeftCell="K116" activePane="bottomRight" state="frozen"/>
      <selection pane="topRight" activeCell="K1" sqref="K1"/>
      <selection pane="bottomLeft" activeCell="A11" sqref="A11"/>
      <selection pane="bottomRight" activeCell="L129" sqref="L129"/>
    </sheetView>
  </sheetViews>
  <sheetFormatPr defaultRowHeight="15.6" x14ac:dyDescent="0.25"/>
  <cols>
    <col min="1" max="1" width="4.33203125" style="766" customWidth="1"/>
    <col min="2" max="2" width="16.6640625" style="766" customWidth="1"/>
    <col min="3" max="7" width="6.6640625" style="766" customWidth="1"/>
    <col min="8" max="8" width="10.6640625" style="766" customWidth="1"/>
    <col min="9" max="9" width="10.109375" style="766" customWidth="1"/>
    <col min="10" max="12" width="12.44140625" style="766" customWidth="1"/>
    <col min="13" max="13" width="9" style="867" bestFit="1" customWidth="1"/>
    <col min="14" max="14" width="7.88671875" style="867" customWidth="1"/>
    <col min="15" max="15" width="6.6640625" style="867" customWidth="1"/>
    <col min="16" max="16" width="7.77734375" style="867" bestFit="1" customWidth="1"/>
    <col min="17" max="17" width="6.6640625" style="867" customWidth="1"/>
    <col min="18" max="18" width="9.6640625" style="766" bestFit="1" customWidth="1"/>
    <col min="19" max="19" width="8.109375" style="766" customWidth="1"/>
    <col min="20" max="20" width="10.6640625" style="766" customWidth="1"/>
    <col min="21" max="21" width="14.5546875" style="766" bestFit="1" customWidth="1"/>
    <col min="22" max="22" width="10.88671875" style="766" customWidth="1"/>
    <col min="23" max="23" width="10.109375" style="766" customWidth="1"/>
    <col min="24" max="24" width="7.44140625" style="766" customWidth="1"/>
    <col min="25" max="25" width="7.88671875" style="766" customWidth="1"/>
    <col min="26" max="26" width="13.109375" style="766" customWidth="1"/>
    <col min="27" max="258" width="8.88671875" style="766"/>
    <col min="259" max="259" width="4.33203125" style="766" customWidth="1"/>
    <col min="260" max="260" width="16.6640625" style="766" customWidth="1"/>
    <col min="261" max="265" width="6.6640625" style="766" customWidth="1"/>
    <col min="266" max="266" width="10.6640625" style="766" customWidth="1"/>
    <col min="267" max="267" width="10.109375" style="766" customWidth="1"/>
    <col min="268" max="268" width="12.44140625" style="766" customWidth="1"/>
    <col min="269" max="269" width="8" style="766" customWidth="1"/>
    <col min="270" max="270" width="7.88671875" style="766" customWidth="1"/>
    <col min="271" max="273" width="6.6640625" style="766" customWidth="1"/>
    <col min="274" max="274" width="9.109375" style="766" bestFit="1" customWidth="1"/>
    <col min="275" max="275" width="8.109375" style="766" customWidth="1"/>
    <col min="276" max="276" width="10.6640625" style="766" customWidth="1"/>
    <col min="277" max="277" width="11.88671875" style="766" bestFit="1" customWidth="1"/>
    <col min="278" max="278" width="10.88671875" style="766" customWidth="1"/>
    <col min="279" max="279" width="10.109375" style="766" customWidth="1"/>
    <col min="280" max="281" width="8.33203125" style="766" customWidth="1"/>
    <col min="282" max="282" width="18.33203125" style="766" customWidth="1"/>
    <col min="283" max="514" width="8.88671875" style="766"/>
    <col min="515" max="515" width="4.33203125" style="766" customWidth="1"/>
    <col min="516" max="516" width="16.6640625" style="766" customWidth="1"/>
    <col min="517" max="521" width="6.6640625" style="766" customWidth="1"/>
    <col min="522" max="522" width="10.6640625" style="766" customWidth="1"/>
    <col min="523" max="523" width="10.109375" style="766" customWidth="1"/>
    <col min="524" max="524" width="12.44140625" style="766" customWidth="1"/>
    <col min="525" max="525" width="8" style="766" customWidth="1"/>
    <col min="526" max="526" width="7.88671875" style="766" customWidth="1"/>
    <col min="527" max="529" width="6.6640625" style="766" customWidth="1"/>
    <col min="530" max="530" width="9.109375" style="766" bestFit="1" customWidth="1"/>
    <col min="531" max="531" width="8.109375" style="766" customWidth="1"/>
    <col min="532" max="532" width="10.6640625" style="766" customWidth="1"/>
    <col min="533" max="533" width="11.88671875" style="766" bestFit="1" customWidth="1"/>
    <col min="534" max="534" width="10.88671875" style="766" customWidth="1"/>
    <col min="535" max="535" width="10.109375" style="766" customWidth="1"/>
    <col min="536" max="537" width="8.33203125" style="766" customWidth="1"/>
    <col min="538" max="538" width="18.33203125" style="766" customWidth="1"/>
    <col min="539" max="770" width="8.88671875" style="766"/>
    <col min="771" max="771" width="4.33203125" style="766" customWidth="1"/>
    <col min="772" max="772" width="16.6640625" style="766" customWidth="1"/>
    <col min="773" max="777" width="6.6640625" style="766" customWidth="1"/>
    <col min="778" max="778" width="10.6640625" style="766" customWidth="1"/>
    <col min="779" max="779" width="10.109375" style="766" customWidth="1"/>
    <col min="780" max="780" width="12.44140625" style="766" customWidth="1"/>
    <col min="781" max="781" width="8" style="766" customWidth="1"/>
    <col min="782" max="782" width="7.88671875" style="766" customWidth="1"/>
    <col min="783" max="785" width="6.6640625" style="766" customWidth="1"/>
    <col min="786" max="786" width="9.109375" style="766" bestFit="1" customWidth="1"/>
    <col min="787" max="787" width="8.109375" style="766" customWidth="1"/>
    <col min="788" max="788" width="10.6640625" style="766" customWidth="1"/>
    <col min="789" max="789" width="11.88671875" style="766" bestFit="1" customWidth="1"/>
    <col min="790" max="790" width="10.88671875" style="766" customWidth="1"/>
    <col min="791" max="791" width="10.109375" style="766" customWidth="1"/>
    <col min="792" max="793" width="8.33203125" style="766" customWidth="1"/>
    <col min="794" max="794" width="18.33203125" style="766" customWidth="1"/>
    <col min="795" max="1026" width="8.88671875" style="766"/>
    <col min="1027" max="1027" width="4.33203125" style="766" customWidth="1"/>
    <col min="1028" max="1028" width="16.6640625" style="766" customWidth="1"/>
    <col min="1029" max="1033" width="6.6640625" style="766" customWidth="1"/>
    <col min="1034" max="1034" width="10.6640625" style="766" customWidth="1"/>
    <col min="1035" max="1035" width="10.109375" style="766" customWidth="1"/>
    <col min="1036" max="1036" width="12.44140625" style="766" customWidth="1"/>
    <col min="1037" max="1037" width="8" style="766" customWidth="1"/>
    <col min="1038" max="1038" width="7.88671875" style="766" customWidth="1"/>
    <col min="1039" max="1041" width="6.6640625" style="766" customWidth="1"/>
    <col min="1042" max="1042" width="9.109375" style="766" bestFit="1" customWidth="1"/>
    <col min="1043" max="1043" width="8.109375" style="766" customWidth="1"/>
    <col min="1044" max="1044" width="10.6640625" style="766" customWidth="1"/>
    <col min="1045" max="1045" width="11.88671875" style="766" bestFit="1" customWidth="1"/>
    <col min="1046" max="1046" width="10.88671875" style="766" customWidth="1"/>
    <col min="1047" max="1047" width="10.109375" style="766" customWidth="1"/>
    <col min="1048" max="1049" width="8.33203125" style="766" customWidth="1"/>
    <col min="1050" max="1050" width="18.33203125" style="766" customWidth="1"/>
    <col min="1051" max="1282" width="8.88671875" style="766"/>
    <col min="1283" max="1283" width="4.33203125" style="766" customWidth="1"/>
    <col min="1284" max="1284" width="16.6640625" style="766" customWidth="1"/>
    <col min="1285" max="1289" width="6.6640625" style="766" customWidth="1"/>
    <col min="1290" max="1290" width="10.6640625" style="766" customWidth="1"/>
    <col min="1291" max="1291" width="10.109375" style="766" customWidth="1"/>
    <col min="1292" max="1292" width="12.44140625" style="766" customWidth="1"/>
    <col min="1293" max="1293" width="8" style="766" customWidth="1"/>
    <col min="1294" max="1294" width="7.88671875" style="766" customWidth="1"/>
    <col min="1295" max="1297" width="6.6640625" style="766" customWidth="1"/>
    <col min="1298" max="1298" width="9.109375" style="766" bestFit="1" customWidth="1"/>
    <col min="1299" max="1299" width="8.109375" style="766" customWidth="1"/>
    <col min="1300" max="1300" width="10.6640625" style="766" customWidth="1"/>
    <col min="1301" max="1301" width="11.88671875" style="766" bestFit="1" customWidth="1"/>
    <col min="1302" max="1302" width="10.88671875" style="766" customWidth="1"/>
    <col min="1303" max="1303" width="10.109375" style="766" customWidth="1"/>
    <col min="1304" max="1305" width="8.33203125" style="766" customWidth="1"/>
    <col min="1306" max="1306" width="18.33203125" style="766" customWidth="1"/>
    <col min="1307" max="1538" width="8.88671875" style="766"/>
    <col min="1539" max="1539" width="4.33203125" style="766" customWidth="1"/>
    <col min="1540" max="1540" width="16.6640625" style="766" customWidth="1"/>
    <col min="1541" max="1545" width="6.6640625" style="766" customWidth="1"/>
    <col min="1546" max="1546" width="10.6640625" style="766" customWidth="1"/>
    <col min="1547" max="1547" width="10.109375" style="766" customWidth="1"/>
    <col min="1548" max="1548" width="12.44140625" style="766" customWidth="1"/>
    <col min="1549" max="1549" width="8" style="766" customWidth="1"/>
    <col min="1550" max="1550" width="7.88671875" style="766" customWidth="1"/>
    <col min="1551" max="1553" width="6.6640625" style="766" customWidth="1"/>
    <col min="1554" max="1554" width="9.109375" style="766" bestFit="1" customWidth="1"/>
    <col min="1555" max="1555" width="8.109375" style="766" customWidth="1"/>
    <col min="1556" max="1556" width="10.6640625" style="766" customWidth="1"/>
    <col min="1557" max="1557" width="11.88671875" style="766" bestFit="1" customWidth="1"/>
    <col min="1558" max="1558" width="10.88671875" style="766" customWidth="1"/>
    <col min="1559" max="1559" width="10.109375" style="766" customWidth="1"/>
    <col min="1560" max="1561" width="8.33203125" style="766" customWidth="1"/>
    <col min="1562" max="1562" width="18.33203125" style="766" customWidth="1"/>
    <col min="1563" max="1794" width="8.88671875" style="766"/>
    <col min="1795" max="1795" width="4.33203125" style="766" customWidth="1"/>
    <col min="1796" max="1796" width="16.6640625" style="766" customWidth="1"/>
    <col min="1797" max="1801" width="6.6640625" style="766" customWidth="1"/>
    <col min="1802" max="1802" width="10.6640625" style="766" customWidth="1"/>
    <col min="1803" max="1803" width="10.109375" style="766" customWidth="1"/>
    <col min="1804" max="1804" width="12.44140625" style="766" customWidth="1"/>
    <col min="1805" max="1805" width="8" style="766" customWidth="1"/>
    <col min="1806" max="1806" width="7.88671875" style="766" customWidth="1"/>
    <col min="1807" max="1809" width="6.6640625" style="766" customWidth="1"/>
    <col min="1810" max="1810" width="9.109375" style="766" bestFit="1" customWidth="1"/>
    <col min="1811" max="1811" width="8.109375" style="766" customWidth="1"/>
    <col min="1812" max="1812" width="10.6640625" style="766" customWidth="1"/>
    <col min="1813" max="1813" width="11.88671875" style="766" bestFit="1" customWidth="1"/>
    <col min="1814" max="1814" width="10.88671875" style="766" customWidth="1"/>
    <col min="1815" max="1815" width="10.109375" style="766" customWidth="1"/>
    <col min="1816" max="1817" width="8.33203125" style="766" customWidth="1"/>
    <col min="1818" max="1818" width="18.33203125" style="766" customWidth="1"/>
    <col min="1819" max="2050" width="8.88671875" style="766"/>
    <col min="2051" max="2051" width="4.33203125" style="766" customWidth="1"/>
    <col min="2052" max="2052" width="16.6640625" style="766" customWidth="1"/>
    <col min="2053" max="2057" width="6.6640625" style="766" customWidth="1"/>
    <col min="2058" max="2058" width="10.6640625" style="766" customWidth="1"/>
    <col min="2059" max="2059" width="10.109375" style="766" customWidth="1"/>
    <col min="2060" max="2060" width="12.44140625" style="766" customWidth="1"/>
    <col min="2061" max="2061" width="8" style="766" customWidth="1"/>
    <col min="2062" max="2062" width="7.88671875" style="766" customWidth="1"/>
    <col min="2063" max="2065" width="6.6640625" style="766" customWidth="1"/>
    <col min="2066" max="2066" width="9.109375" style="766" bestFit="1" customWidth="1"/>
    <col min="2067" max="2067" width="8.109375" style="766" customWidth="1"/>
    <col min="2068" max="2068" width="10.6640625" style="766" customWidth="1"/>
    <col min="2069" max="2069" width="11.88671875" style="766" bestFit="1" customWidth="1"/>
    <col min="2070" max="2070" width="10.88671875" style="766" customWidth="1"/>
    <col min="2071" max="2071" width="10.109375" style="766" customWidth="1"/>
    <col min="2072" max="2073" width="8.33203125" style="766" customWidth="1"/>
    <col min="2074" max="2074" width="18.33203125" style="766" customWidth="1"/>
    <col min="2075" max="2306" width="8.88671875" style="766"/>
    <col min="2307" max="2307" width="4.33203125" style="766" customWidth="1"/>
    <col min="2308" max="2308" width="16.6640625" style="766" customWidth="1"/>
    <col min="2309" max="2313" width="6.6640625" style="766" customWidth="1"/>
    <col min="2314" max="2314" width="10.6640625" style="766" customWidth="1"/>
    <col min="2315" max="2315" width="10.109375" style="766" customWidth="1"/>
    <col min="2316" max="2316" width="12.44140625" style="766" customWidth="1"/>
    <col min="2317" max="2317" width="8" style="766" customWidth="1"/>
    <col min="2318" max="2318" width="7.88671875" style="766" customWidth="1"/>
    <col min="2319" max="2321" width="6.6640625" style="766" customWidth="1"/>
    <col min="2322" max="2322" width="9.109375" style="766" bestFit="1" customWidth="1"/>
    <col min="2323" max="2323" width="8.109375" style="766" customWidth="1"/>
    <col min="2324" max="2324" width="10.6640625" style="766" customWidth="1"/>
    <col min="2325" max="2325" width="11.88671875" style="766" bestFit="1" customWidth="1"/>
    <col min="2326" max="2326" width="10.88671875" style="766" customWidth="1"/>
    <col min="2327" max="2327" width="10.109375" style="766" customWidth="1"/>
    <col min="2328" max="2329" width="8.33203125" style="766" customWidth="1"/>
    <col min="2330" max="2330" width="18.33203125" style="766" customWidth="1"/>
    <col min="2331" max="2562" width="8.88671875" style="766"/>
    <col min="2563" max="2563" width="4.33203125" style="766" customWidth="1"/>
    <col min="2564" max="2564" width="16.6640625" style="766" customWidth="1"/>
    <col min="2565" max="2569" width="6.6640625" style="766" customWidth="1"/>
    <col min="2570" max="2570" width="10.6640625" style="766" customWidth="1"/>
    <col min="2571" max="2571" width="10.109375" style="766" customWidth="1"/>
    <col min="2572" max="2572" width="12.44140625" style="766" customWidth="1"/>
    <col min="2573" max="2573" width="8" style="766" customWidth="1"/>
    <col min="2574" max="2574" width="7.88671875" style="766" customWidth="1"/>
    <col min="2575" max="2577" width="6.6640625" style="766" customWidth="1"/>
    <col min="2578" max="2578" width="9.109375" style="766" bestFit="1" customWidth="1"/>
    <col min="2579" max="2579" width="8.109375" style="766" customWidth="1"/>
    <col min="2580" max="2580" width="10.6640625" style="766" customWidth="1"/>
    <col min="2581" max="2581" width="11.88671875" style="766" bestFit="1" customWidth="1"/>
    <col min="2582" max="2582" width="10.88671875" style="766" customWidth="1"/>
    <col min="2583" max="2583" width="10.109375" style="766" customWidth="1"/>
    <col min="2584" max="2585" width="8.33203125" style="766" customWidth="1"/>
    <col min="2586" max="2586" width="18.33203125" style="766" customWidth="1"/>
    <col min="2587" max="2818" width="8.88671875" style="766"/>
    <col min="2819" max="2819" width="4.33203125" style="766" customWidth="1"/>
    <col min="2820" max="2820" width="16.6640625" style="766" customWidth="1"/>
    <col min="2821" max="2825" width="6.6640625" style="766" customWidth="1"/>
    <col min="2826" max="2826" width="10.6640625" style="766" customWidth="1"/>
    <col min="2827" max="2827" width="10.109375" style="766" customWidth="1"/>
    <col min="2828" max="2828" width="12.44140625" style="766" customWidth="1"/>
    <col min="2829" max="2829" width="8" style="766" customWidth="1"/>
    <col min="2830" max="2830" width="7.88671875" style="766" customWidth="1"/>
    <col min="2831" max="2833" width="6.6640625" style="766" customWidth="1"/>
    <col min="2834" max="2834" width="9.109375" style="766" bestFit="1" customWidth="1"/>
    <col min="2835" max="2835" width="8.109375" style="766" customWidth="1"/>
    <col min="2836" max="2836" width="10.6640625" style="766" customWidth="1"/>
    <col min="2837" max="2837" width="11.88671875" style="766" bestFit="1" customWidth="1"/>
    <col min="2838" max="2838" width="10.88671875" style="766" customWidth="1"/>
    <col min="2839" max="2839" width="10.109375" style="766" customWidth="1"/>
    <col min="2840" max="2841" width="8.33203125" style="766" customWidth="1"/>
    <col min="2842" max="2842" width="18.33203125" style="766" customWidth="1"/>
    <col min="2843" max="3074" width="8.88671875" style="766"/>
    <col min="3075" max="3075" width="4.33203125" style="766" customWidth="1"/>
    <col min="3076" max="3076" width="16.6640625" style="766" customWidth="1"/>
    <col min="3077" max="3081" width="6.6640625" style="766" customWidth="1"/>
    <col min="3082" max="3082" width="10.6640625" style="766" customWidth="1"/>
    <col min="3083" max="3083" width="10.109375" style="766" customWidth="1"/>
    <col min="3084" max="3084" width="12.44140625" style="766" customWidth="1"/>
    <col min="3085" max="3085" width="8" style="766" customWidth="1"/>
    <col min="3086" max="3086" width="7.88671875" style="766" customWidth="1"/>
    <col min="3087" max="3089" width="6.6640625" style="766" customWidth="1"/>
    <col min="3090" max="3090" width="9.109375" style="766" bestFit="1" customWidth="1"/>
    <col min="3091" max="3091" width="8.109375" style="766" customWidth="1"/>
    <col min="3092" max="3092" width="10.6640625" style="766" customWidth="1"/>
    <col min="3093" max="3093" width="11.88671875" style="766" bestFit="1" customWidth="1"/>
    <col min="3094" max="3094" width="10.88671875" style="766" customWidth="1"/>
    <col min="3095" max="3095" width="10.109375" style="766" customWidth="1"/>
    <col min="3096" max="3097" width="8.33203125" style="766" customWidth="1"/>
    <col min="3098" max="3098" width="18.33203125" style="766" customWidth="1"/>
    <col min="3099" max="3330" width="8.88671875" style="766"/>
    <col min="3331" max="3331" width="4.33203125" style="766" customWidth="1"/>
    <col min="3332" max="3332" width="16.6640625" style="766" customWidth="1"/>
    <col min="3333" max="3337" width="6.6640625" style="766" customWidth="1"/>
    <col min="3338" max="3338" width="10.6640625" style="766" customWidth="1"/>
    <col min="3339" max="3339" width="10.109375" style="766" customWidth="1"/>
    <col min="3340" max="3340" width="12.44140625" style="766" customWidth="1"/>
    <col min="3341" max="3341" width="8" style="766" customWidth="1"/>
    <col min="3342" max="3342" width="7.88671875" style="766" customWidth="1"/>
    <col min="3343" max="3345" width="6.6640625" style="766" customWidth="1"/>
    <col min="3346" max="3346" width="9.109375" style="766" bestFit="1" customWidth="1"/>
    <col min="3347" max="3347" width="8.109375" style="766" customWidth="1"/>
    <col min="3348" max="3348" width="10.6640625" style="766" customWidth="1"/>
    <col min="3349" max="3349" width="11.88671875" style="766" bestFit="1" customWidth="1"/>
    <col min="3350" max="3350" width="10.88671875" style="766" customWidth="1"/>
    <col min="3351" max="3351" width="10.109375" style="766" customWidth="1"/>
    <col min="3352" max="3353" width="8.33203125" style="766" customWidth="1"/>
    <col min="3354" max="3354" width="18.33203125" style="766" customWidth="1"/>
    <col min="3355" max="3586" width="8.88671875" style="766"/>
    <col min="3587" max="3587" width="4.33203125" style="766" customWidth="1"/>
    <col min="3588" max="3588" width="16.6640625" style="766" customWidth="1"/>
    <col min="3589" max="3593" width="6.6640625" style="766" customWidth="1"/>
    <col min="3594" max="3594" width="10.6640625" style="766" customWidth="1"/>
    <col min="3595" max="3595" width="10.109375" style="766" customWidth="1"/>
    <col min="3596" max="3596" width="12.44140625" style="766" customWidth="1"/>
    <col min="3597" max="3597" width="8" style="766" customWidth="1"/>
    <col min="3598" max="3598" width="7.88671875" style="766" customWidth="1"/>
    <col min="3599" max="3601" width="6.6640625" style="766" customWidth="1"/>
    <col min="3602" max="3602" width="9.109375" style="766" bestFit="1" customWidth="1"/>
    <col min="3603" max="3603" width="8.109375" style="766" customWidth="1"/>
    <col min="3604" max="3604" width="10.6640625" style="766" customWidth="1"/>
    <col min="3605" max="3605" width="11.88671875" style="766" bestFit="1" customWidth="1"/>
    <col min="3606" max="3606" width="10.88671875" style="766" customWidth="1"/>
    <col min="3607" max="3607" width="10.109375" style="766" customWidth="1"/>
    <col min="3608" max="3609" width="8.33203125" style="766" customWidth="1"/>
    <col min="3610" max="3610" width="18.33203125" style="766" customWidth="1"/>
    <col min="3611" max="3842" width="8.88671875" style="766"/>
    <col min="3843" max="3843" width="4.33203125" style="766" customWidth="1"/>
    <col min="3844" max="3844" width="16.6640625" style="766" customWidth="1"/>
    <col min="3845" max="3849" width="6.6640625" style="766" customWidth="1"/>
    <col min="3850" max="3850" width="10.6640625" style="766" customWidth="1"/>
    <col min="3851" max="3851" width="10.109375" style="766" customWidth="1"/>
    <col min="3852" max="3852" width="12.44140625" style="766" customWidth="1"/>
    <col min="3853" max="3853" width="8" style="766" customWidth="1"/>
    <col min="3854" max="3854" width="7.88671875" style="766" customWidth="1"/>
    <col min="3855" max="3857" width="6.6640625" style="766" customWidth="1"/>
    <col min="3858" max="3858" width="9.109375" style="766" bestFit="1" customWidth="1"/>
    <col min="3859" max="3859" width="8.109375" style="766" customWidth="1"/>
    <col min="3860" max="3860" width="10.6640625" style="766" customWidth="1"/>
    <col min="3861" max="3861" width="11.88671875" style="766" bestFit="1" customWidth="1"/>
    <col min="3862" max="3862" width="10.88671875" style="766" customWidth="1"/>
    <col min="3863" max="3863" width="10.109375" style="766" customWidth="1"/>
    <col min="3864" max="3865" width="8.33203125" style="766" customWidth="1"/>
    <col min="3866" max="3866" width="18.33203125" style="766" customWidth="1"/>
    <col min="3867" max="4098" width="8.88671875" style="766"/>
    <col min="4099" max="4099" width="4.33203125" style="766" customWidth="1"/>
    <col min="4100" max="4100" width="16.6640625" style="766" customWidth="1"/>
    <col min="4101" max="4105" width="6.6640625" style="766" customWidth="1"/>
    <col min="4106" max="4106" width="10.6640625" style="766" customWidth="1"/>
    <col min="4107" max="4107" width="10.109375" style="766" customWidth="1"/>
    <col min="4108" max="4108" width="12.44140625" style="766" customWidth="1"/>
    <col min="4109" max="4109" width="8" style="766" customWidth="1"/>
    <col min="4110" max="4110" width="7.88671875" style="766" customWidth="1"/>
    <col min="4111" max="4113" width="6.6640625" style="766" customWidth="1"/>
    <col min="4114" max="4114" width="9.109375" style="766" bestFit="1" customWidth="1"/>
    <col min="4115" max="4115" width="8.109375" style="766" customWidth="1"/>
    <col min="4116" max="4116" width="10.6640625" style="766" customWidth="1"/>
    <col min="4117" max="4117" width="11.88671875" style="766" bestFit="1" customWidth="1"/>
    <col min="4118" max="4118" width="10.88671875" style="766" customWidth="1"/>
    <col min="4119" max="4119" width="10.109375" style="766" customWidth="1"/>
    <col min="4120" max="4121" width="8.33203125" style="766" customWidth="1"/>
    <col min="4122" max="4122" width="18.33203125" style="766" customWidth="1"/>
    <col min="4123" max="4354" width="8.88671875" style="766"/>
    <col min="4355" max="4355" width="4.33203125" style="766" customWidth="1"/>
    <col min="4356" max="4356" width="16.6640625" style="766" customWidth="1"/>
    <col min="4357" max="4361" width="6.6640625" style="766" customWidth="1"/>
    <col min="4362" max="4362" width="10.6640625" style="766" customWidth="1"/>
    <col min="4363" max="4363" width="10.109375" style="766" customWidth="1"/>
    <col min="4364" max="4364" width="12.44140625" style="766" customWidth="1"/>
    <col min="4365" max="4365" width="8" style="766" customWidth="1"/>
    <col min="4366" max="4366" width="7.88671875" style="766" customWidth="1"/>
    <col min="4367" max="4369" width="6.6640625" style="766" customWidth="1"/>
    <col min="4370" max="4370" width="9.109375" style="766" bestFit="1" customWidth="1"/>
    <col min="4371" max="4371" width="8.109375" style="766" customWidth="1"/>
    <col min="4372" max="4372" width="10.6640625" style="766" customWidth="1"/>
    <col min="4373" max="4373" width="11.88671875" style="766" bestFit="1" customWidth="1"/>
    <col min="4374" max="4374" width="10.88671875" style="766" customWidth="1"/>
    <col min="4375" max="4375" width="10.109375" style="766" customWidth="1"/>
    <col min="4376" max="4377" width="8.33203125" style="766" customWidth="1"/>
    <col min="4378" max="4378" width="18.33203125" style="766" customWidth="1"/>
    <col min="4379" max="4610" width="8.88671875" style="766"/>
    <col min="4611" max="4611" width="4.33203125" style="766" customWidth="1"/>
    <col min="4612" max="4612" width="16.6640625" style="766" customWidth="1"/>
    <col min="4613" max="4617" width="6.6640625" style="766" customWidth="1"/>
    <col min="4618" max="4618" width="10.6640625" style="766" customWidth="1"/>
    <col min="4619" max="4619" width="10.109375" style="766" customWidth="1"/>
    <col min="4620" max="4620" width="12.44140625" style="766" customWidth="1"/>
    <col min="4621" max="4621" width="8" style="766" customWidth="1"/>
    <col min="4622" max="4622" width="7.88671875" style="766" customWidth="1"/>
    <col min="4623" max="4625" width="6.6640625" style="766" customWidth="1"/>
    <col min="4626" max="4626" width="9.109375" style="766" bestFit="1" customWidth="1"/>
    <col min="4627" max="4627" width="8.109375" style="766" customWidth="1"/>
    <col min="4628" max="4628" width="10.6640625" style="766" customWidth="1"/>
    <col min="4629" max="4629" width="11.88671875" style="766" bestFit="1" customWidth="1"/>
    <col min="4630" max="4630" width="10.88671875" style="766" customWidth="1"/>
    <col min="4631" max="4631" width="10.109375" style="766" customWidth="1"/>
    <col min="4632" max="4633" width="8.33203125" style="766" customWidth="1"/>
    <col min="4634" max="4634" width="18.33203125" style="766" customWidth="1"/>
    <col min="4635" max="4866" width="8.88671875" style="766"/>
    <col min="4867" max="4867" width="4.33203125" style="766" customWidth="1"/>
    <col min="4868" max="4868" width="16.6640625" style="766" customWidth="1"/>
    <col min="4869" max="4873" width="6.6640625" style="766" customWidth="1"/>
    <col min="4874" max="4874" width="10.6640625" style="766" customWidth="1"/>
    <col min="4875" max="4875" width="10.109375" style="766" customWidth="1"/>
    <col min="4876" max="4876" width="12.44140625" style="766" customWidth="1"/>
    <col min="4877" max="4877" width="8" style="766" customWidth="1"/>
    <col min="4878" max="4878" width="7.88671875" style="766" customWidth="1"/>
    <col min="4879" max="4881" width="6.6640625" style="766" customWidth="1"/>
    <col min="4882" max="4882" width="9.109375" style="766" bestFit="1" customWidth="1"/>
    <col min="4883" max="4883" width="8.109375" style="766" customWidth="1"/>
    <col min="4884" max="4884" width="10.6640625" style="766" customWidth="1"/>
    <col min="4885" max="4885" width="11.88671875" style="766" bestFit="1" customWidth="1"/>
    <col min="4886" max="4886" width="10.88671875" style="766" customWidth="1"/>
    <col min="4887" max="4887" width="10.109375" style="766" customWidth="1"/>
    <col min="4888" max="4889" width="8.33203125" style="766" customWidth="1"/>
    <col min="4890" max="4890" width="18.33203125" style="766" customWidth="1"/>
    <col min="4891" max="5122" width="8.88671875" style="766"/>
    <col min="5123" max="5123" width="4.33203125" style="766" customWidth="1"/>
    <col min="5124" max="5124" width="16.6640625" style="766" customWidth="1"/>
    <col min="5125" max="5129" width="6.6640625" style="766" customWidth="1"/>
    <col min="5130" max="5130" width="10.6640625" style="766" customWidth="1"/>
    <col min="5131" max="5131" width="10.109375" style="766" customWidth="1"/>
    <col min="5132" max="5132" width="12.44140625" style="766" customWidth="1"/>
    <col min="5133" max="5133" width="8" style="766" customWidth="1"/>
    <col min="5134" max="5134" width="7.88671875" style="766" customWidth="1"/>
    <col min="5135" max="5137" width="6.6640625" style="766" customWidth="1"/>
    <col min="5138" max="5138" width="9.109375" style="766" bestFit="1" customWidth="1"/>
    <col min="5139" max="5139" width="8.109375" style="766" customWidth="1"/>
    <col min="5140" max="5140" width="10.6640625" style="766" customWidth="1"/>
    <col min="5141" max="5141" width="11.88671875" style="766" bestFit="1" customWidth="1"/>
    <col min="5142" max="5142" width="10.88671875" style="766" customWidth="1"/>
    <col min="5143" max="5143" width="10.109375" style="766" customWidth="1"/>
    <col min="5144" max="5145" width="8.33203125" style="766" customWidth="1"/>
    <col min="5146" max="5146" width="18.33203125" style="766" customWidth="1"/>
    <col min="5147" max="5378" width="8.88671875" style="766"/>
    <col min="5379" max="5379" width="4.33203125" style="766" customWidth="1"/>
    <col min="5380" max="5380" width="16.6640625" style="766" customWidth="1"/>
    <col min="5381" max="5385" width="6.6640625" style="766" customWidth="1"/>
    <col min="5386" max="5386" width="10.6640625" style="766" customWidth="1"/>
    <col min="5387" max="5387" width="10.109375" style="766" customWidth="1"/>
    <col min="5388" max="5388" width="12.44140625" style="766" customWidth="1"/>
    <col min="5389" max="5389" width="8" style="766" customWidth="1"/>
    <col min="5390" max="5390" width="7.88671875" style="766" customWidth="1"/>
    <col min="5391" max="5393" width="6.6640625" style="766" customWidth="1"/>
    <col min="5394" max="5394" width="9.109375" style="766" bestFit="1" customWidth="1"/>
    <col min="5395" max="5395" width="8.109375" style="766" customWidth="1"/>
    <col min="5396" max="5396" width="10.6640625" style="766" customWidth="1"/>
    <col min="5397" max="5397" width="11.88671875" style="766" bestFit="1" customWidth="1"/>
    <col min="5398" max="5398" width="10.88671875" style="766" customWidth="1"/>
    <col min="5399" max="5399" width="10.109375" style="766" customWidth="1"/>
    <col min="5400" max="5401" width="8.33203125" style="766" customWidth="1"/>
    <col min="5402" max="5402" width="18.33203125" style="766" customWidth="1"/>
    <col min="5403" max="5634" width="8.88671875" style="766"/>
    <col min="5635" max="5635" width="4.33203125" style="766" customWidth="1"/>
    <col min="5636" max="5636" width="16.6640625" style="766" customWidth="1"/>
    <col min="5637" max="5641" width="6.6640625" style="766" customWidth="1"/>
    <col min="5642" max="5642" width="10.6640625" style="766" customWidth="1"/>
    <col min="5643" max="5643" width="10.109375" style="766" customWidth="1"/>
    <col min="5644" max="5644" width="12.44140625" style="766" customWidth="1"/>
    <col min="5645" max="5645" width="8" style="766" customWidth="1"/>
    <col min="5646" max="5646" width="7.88671875" style="766" customWidth="1"/>
    <col min="5647" max="5649" width="6.6640625" style="766" customWidth="1"/>
    <col min="5650" max="5650" width="9.109375" style="766" bestFit="1" customWidth="1"/>
    <col min="5651" max="5651" width="8.109375" style="766" customWidth="1"/>
    <col min="5652" max="5652" width="10.6640625" style="766" customWidth="1"/>
    <col min="5653" max="5653" width="11.88671875" style="766" bestFit="1" customWidth="1"/>
    <col min="5654" max="5654" width="10.88671875" style="766" customWidth="1"/>
    <col min="5655" max="5655" width="10.109375" style="766" customWidth="1"/>
    <col min="5656" max="5657" width="8.33203125" style="766" customWidth="1"/>
    <col min="5658" max="5658" width="18.33203125" style="766" customWidth="1"/>
    <col min="5659" max="5890" width="8.88671875" style="766"/>
    <col min="5891" max="5891" width="4.33203125" style="766" customWidth="1"/>
    <col min="5892" max="5892" width="16.6640625" style="766" customWidth="1"/>
    <col min="5893" max="5897" width="6.6640625" style="766" customWidth="1"/>
    <col min="5898" max="5898" width="10.6640625" style="766" customWidth="1"/>
    <col min="5899" max="5899" width="10.109375" style="766" customWidth="1"/>
    <col min="5900" max="5900" width="12.44140625" style="766" customWidth="1"/>
    <col min="5901" max="5901" width="8" style="766" customWidth="1"/>
    <col min="5902" max="5902" width="7.88671875" style="766" customWidth="1"/>
    <col min="5903" max="5905" width="6.6640625" style="766" customWidth="1"/>
    <col min="5906" max="5906" width="9.109375" style="766" bestFit="1" customWidth="1"/>
    <col min="5907" max="5907" width="8.109375" style="766" customWidth="1"/>
    <col min="5908" max="5908" width="10.6640625" style="766" customWidth="1"/>
    <col min="5909" max="5909" width="11.88671875" style="766" bestFit="1" customWidth="1"/>
    <col min="5910" max="5910" width="10.88671875" style="766" customWidth="1"/>
    <col min="5911" max="5911" width="10.109375" style="766" customWidth="1"/>
    <col min="5912" max="5913" width="8.33203125" style="766" customWidth="1"/>
    <col min="5914" max="5914" width="18.33203125" style="766" customWidth="1"/>
    <col min="5915" max="6146" width="8.88671875" style="766"/>
    <col min="6147" max="6147" width="4.33203125" style="766" customWidth="1"/>
    <col min="6148" max="6148" width="16.6640625" style="766" customWidth="1"/>
    <col min="6149" max="6153" width="6.6640625" style="766" customWidth="1"/>
    <col min="6154" max="6154" width="10.6640625" style="766" customWidth="1"/>
    <col min="6155" max="6155" width="10.109375" style="766" customWidth="1"/>
    <col min="6156" max="6156" width="12.44140625" style="766" customWidth="1"/>
    <col min="6157" max="6157" width="8" style="766" customWidth="1"/>
    <col min="6158" max="6158" width="7.88671875" style="766" customWidth="1"/>
    <col min="6159" max="6161" width="6.6640625" style="766" customWidth="1"/>
    <col min="6162" max="6162" width="9.109375" style="766" bestFit="1" customWidth="1"/>
    <col min="6163" max="6163" width="8.109375" style="766" customWidth="1"/>
    <col min="6164" max="6164" width="10.6640625" style="766" customWidth="1"/>
    <col min="6165" max="6165" width="11.88671875" style="766" bestFit="1" customWidth="1"/>
    <col min="6166" max="6166" width="10.88671875" style="766" customWidth="1"/>
    <col min="6167" max="6167" width="10.109375" style="766" customWidth="1"/>
    <col min="6168" max="6169" width="8.33203125" style="766" customWidth="1"/>
    <col min="6170" max="6170" width="18.33203125" style="766" customWidth="1"/>
    <col min="6171" max="6402" width="8.88671875" style="766"/>
    <col min="6403" max="6403" width="4.33203125" style="766" customWidth="1"/>
    <col min="6404" max="6404" width="16.6640625" style="766" customWidth="1"/>
    <col min="6405" max="6409" width="6.6640625" style="766" customWidth="1"/>
    <col min="6410" max="6410" width="10.6640625" style="766" customWidth="1"/>
    <col min="6411" max="6411" width="10.109375" style="766" customWidth="1"/>
    <col min="6412" max="6412" width="12.44140625" style="766" customWidth="1"/>
    <col min="6413" max="6413" width="8" style="766" customWidth="1"/>
    <col min="6414" max="6414" width="7.88671875" style="766" customWidth="1"/>
    <col min="6415" max="6417" width="6.6640625" style="766" customWidth="1"/>
    <col min="6418" max="6418" width="9.109375" style="766" bestFit="1" customWidth="1"/>
    <col min="6419" max="6419" width="8.109375" style="766" customWidth="1"/>
    <col min="6420" max="6420" width="10.6640625" style="766" customWidth="1"/>
    <col min="6421" max="6421" width="11.88671875" style="766" bestFit="1" customWidth="1"/>
    <col min="6422" max="6422" width="10.88671875" style="766" customWidth="1"/>
    <col min="6423" max="6423" width="10.109375" style="766" customWidth="1"/>
    <col min="6424" max="6425" width="8.33203125" style="766" customWidth="1"/>
    <col min="6426" max="6426" width="18.33203125" style="766" customWidth="1"/>
    <col min="6427" max="6658" width="8.88671875" style="766"/>
    <col min="6659" max="6659" width="4.33203125" style="766" customWidth="1"/>
    <col min="6660" max="6660" width="16.6640625" style="766" customWidth="1"/>
    <col min="6661" max="6665" width="6.6640625" style="766" customWidth="1"/>
    <col min="6666" max="6666" width="10.6640625" style="766" customWidth="1"/>
    <col min="6667" max="6667" width="10.109375" style="766" customWidth="1"/>
    <col min="6668" max="6668" width="12.44140625" style="766" customWidth="1"/>
    <col min="6669" max="6669" width="8" style="766" customWidth="1"/>
    <col min="6670" max="6670" width="7.88671875" style="766" customWidth="1"/>
    <col min="6671" max="6673" width="6.6640625" style="766" customWidth="1"/>
    <col min="6674" max="6674" width="9.109375" style="766" bestFit="1" customWidth="1"/>
    <col min="6675" max="6675" width="8.109375" style="766" customWidth="1"/>
    <col min="6676" max="6676" width="10.6640625" style="766" customWidth="1"/>
    <col min="6677" max="6677" width="11.88671875" style="766" bestFit="1" customWidth="1"/>
    <col min="6678" max="6678" width="10.88671875" style="766" customWidth="1"/>
    <col min="6679" max="6679" width="10.109375" style="766" customWidth="1"/>
    <col min="6680" max="6681" width="8.33203125" style="766" customWidth="1"/>
    <col min="6682" max="6682" width="18.33203125" style="766" customWidth="1"/>
    <col min="6683" max="6914" width="8.88671875" style="766"/>
    <col min="6915" max="6915" width="4.33203125" style="766" customWidth="1"/>
    <col min="6916" max="6916" width="16.6640625" style="766" customWidth="1"/>
    <col min="6917" max="6921" width="6.6640625" style="766" customWidth="1"/>
    <col min="6922" max="6922" width="10.6640625" style="766" customWidth="1"/>
    <col min="6923" max="6923" width="10.109375" style="766" customWidth="1"/>
    <col min="6924" max="6924" width="12.44140625" style="766" customWidth="1"/>
    <col min="6925" max="6925" width="8" style="766" customWidth="1"/>
    <col min="6926" max="6926" width="7.88671875" style="766" customWidth="1"/>
    <col min="6927" max="6929" width="6.6640625" style="766" customWidth="1"/>
    <col min="6930" max="6930" width="9.109375" style="766" bestFit="1" customWidth="1"/>
    <col min="6931" max="6931" width="8.109375" style="766" customWidth="1"/>
    <col min="6932" max="6932" width="10.6640625" style="766" customWidth="1"/>
    <col min="6933" max="6933" width="11.88671875" style="766" bestFit="1" customWidth="1"/>
    <col min="6934" max="6934" width="10.88671875" style="766" customWidth="1"/>
    <col min="6935" max="6935" width="10.109375" style="766" customWidth="1"/>
    <col min="6936" max="6937" width="8.33203125" style="766" customWidth="1"/>
    <col min="6938" max="6938" width="18.33203125" style="766" customWidth="1"/>
    <col min="6939" max="7170" width="8.88671875" style="766"/>
    <col min="7171" max="7171" width="4.33203125" style="766" customWidth="1"/>
    <col min="7172" max="7172" width="16.6640625" style="766" customWidth="1"/>
    <col min="7173" max="7177" width="6.6640625" style="766" customWidth="1"/>
    <col min="7178" max="7178" width="10.6640625" style="766" customWidth="1"/>
    <col min="7179" max="7179" width="10.109375" style="766" customWidth="1"/>
    <col min="7180" max="7180" width="12.44140625" style="766" customWidth="1"/>
    <col min="7181" max="7181" width="8" style="766" customWidth="1"/>
    <col min="7182" max="7182" width="7.88671875" style="766" customWidth="1"/>
    <col min="7183" max="7185" width="6.6640625" style="766" customWidth="1"/>
    <col min="7186" max="7186" width="9.109375" style="766" bestFit="1" customWidth="1"/>
    <col min="7187" max="7187" width="8.109375" style="766" customWidth="1"/>
    <col min="7188" max="7188" width="10.6640625" style="766" customWidth="1"/>
    <col min="7189" max="7189" width="11.88671875" style="766" bestFit="1" customWidth="1"/>
    <col min="7190" max="7190" width="10.88671875" style="766" customWidth="1"/>
    <col min="7191" max="7191" width="10.109375" style="766" customWidth="1"/>
    <col min="7192" max="7193" width="8.33203125" style="766" customWidth="1"/>
    <col min="7194" max="7194" width="18.33203125" style="766" customWidth="1"/>
    <col min="7195" max="7426" width="8.88671875" style="766"/>
    <col min="7427" max="7427" width="4.33203125" style="766" customWidth="1"/>
    <col min="7428" max="7428" width="16.6640625" style="766" customWidth="1"/>
    <col min="7429" max="7433" width="6.6640625" style="766" customWidth="1"/>
    <col min="7434" max="7434" width="10.6640625" style="766" customWidth="1"/>
    <col min="7435" max="7435" width="10.109375" style="766" customWidth="1"/>
    <col min="7436" max="7436" width="12.44140625" style="766" customWidth="1"/>
    <col min="7437" max="7437" width="8" style="766" customWidth="1"/>
    <col min="7438" max="7438" width="7.88671875" style="766" customWidth="1"/>
    <col min="7439" max="7441" width="6.6640625" style="766" customWidth="1"/>
    <col min="7442" max="7442" width="9.109375" style="766" bestFit="1" customWidth="1"/>
    <col min="7443" max="7443" width="8.109375" style="766" customWidth="1"/>
    <col min="7444" max="7444" width="10.6640625" style="766" customWidth="1"/>
    <col min="7445" max="7445" width="11.88671875" style="766" bestFit="1" customWidth="1"/>
    <col min="7446" max="7446" width="10.88671875" style="766" customWidth="1"/>
    <col min="7447" max="7447" width="10.109375" style="766" customWidth="1"/>
    <col min="7448" max="7449" width="8.33203125" style="766" customWidth="1"/>
    <col min="7450" max="7450" width="18.33203125" style="766" customWidth="1"/>
    <col min="7451" max="7682" width="8.88671875" style="766"/>
    <col min="7683" max="7683" width="4.33203125" style="766" customWidth="1"/>
    <col min="7684" max="7684" width="16.6640625" style="766" customWidth="1"/>
    <col min="7685" max="7689" width="6.6640625" style="766" customWidth="1"/>
    <col min="7690" max="7690" width="10.6640625" style="766" customWidth="1"/>
    <col min="7691" max="7691" width="10.109375" style="766" customWidth="1"/>
    <col min="7692" max="7692" width="12.44140625" style="766" customWidth="1"/>
    <col min="7693" max="7693" width="8" style="766" customWidth="1"/>
    <col min="7694" max="7694" width="7.88671875" style="766" customWidth="1"/>
    <col min="7695" max="7697" width="6.6640625" style="766" customWidth="1"/>
    <col min="7698" max="7698" width="9.109375" style="766" bestFit="1" customWidth="1"/>
    <col min="7699" max="7699" width="8.109375" style="766" customWidth="1"/>
    <col min="7700" max="7700" width="10.6640625" style="766" customWidth="1"/>
    <col min="7701" max="7701" width="11.88671875" style="766" bestFit="1" customWidth="1"/>
    <col min="7702" max="7702" width="10.88671875" style="766" customWidth="1"/>
    <col min="7703" max="7703" width="10.109375" style="766" customWidth="1"/>
    <col min="7704" max="7705" width="8.33203125" style="766" customWidth="1"/>
    <col min="7706" max="7706" width="18.33203125" style="766" customWidth="1"/>
    <col min="7707" max="7938" width="8.88671875" style="766"/>
    <col min="7939" max="7939" width="4.33203125" style="766" customWidth="1"/>
    <col min="7940" max="7940" width="16.6640625" style="766" customWidth="1"/>
    <col min="7941" max="7945" width="6.6640625" style="766" customWidth="1"/>
    <col min="7946" max="7946" width="10.6640625" style="766" customWidth="1"/>
    <col min="7947" max="7947" width="10.109375" style="766" customWidth="1"/>
    <col min="7948" max="7948" width="12.44140625" style="766" customWidth="1"/>
    <col min="7949" max="7949" width="8" style="766" customWidth="1"/>
    <col min="7950" max="7950" width="7.88671875" style="766" customWidth="1"/>
    <col min="7951" max="7953" width="6.6640625" style="766" customWidth="1"/>
    <col min="7954" max="7954" width="9.109375" style="766" bestFit="1" customWidth="1"/>
    <col min="7955" max="7955" width="8.109375" style="766" customWidth="1"/>
    <col min="7956" max="7956" width="10.6640625" style="766" customWidth="1"/>
    <col min="7957" max="7957" width="11.88671875" style="766" bestFit="1" customWidth="1"/>
    <col min="7958" max="7958" width="10.88671875" style="766" customWidth="1"/>
    <col min="7959" max="7959" width="10.109375" style="766" customWidth="1"/>
    <col min="7960" max="7961" width="8.33203125" style="766" customWidth="1"/>
    <col min="7962" max="7962" width="18.33203125" style="766" customWidth="1"/>
    <col min="7963" max="8194" width="8.88671875" style="766"/>
    <col min="8195" max="8195" width="4.33203125" style="766" customWidth="1"/>
    <col min="8196" max="8196" width="16.6640625" style="766" customWidth="1"/>
    <col min="8197" max="8201" width="6.6640625" style="766" customWidth="1"/>
    <col min="8202" max="8202" width="10.6640625" style="766" customWidth="1"/>
    <col min="8203" max="8203" width="10.109375" style="766" customWidth="1"/>
    <col min="8204" max="8204" width="12.44140625" style="766" customWidth="1"/>
    <col min="8205" max="8205" width="8" style="766" customWidth="1"/>
    <col min="8206" max="8206" width="7.88671875" style="766" customWidth="1"/>
    <col min="8207" max="8209" width="6.6640625" style="766" customWidth="1"/>
    <col min="8210" max="8210" width="9.109375" style="766" bestFit="1" customWidth="1"/>
    <col min="8211" max="8211" width="8.109375" style="766" customWidth="1"/>
    <col min="8212" max="8212" width="10.6640625" style="766" customWidth="1"/>
    <col min="8213" max="8213" width="11.88671875" style="766" bestFit="1" customWidth="1"/>
    <col min="8214" max="8214" width="10.88671875" style="766" customWidth="1"/>
    <col min="8215" max="8215" width="10.109375" style="766" customWidth="1"/>
    <col min="8216" max="8217" width="8.33203125" style="766" customWidth="1"/>
    <col min="8218" max="8218" width="18.33203125" style="766" customWidth="1"/>
    <col min="8219" max="8450" width="8.88671875" style="766"/>
    <col min="8451" max="8451" width="4.33203125" style="766" customWidth="1"/>
    <col min="8452" max="8452" width="16.6640625" style="766" customWidth="1"/>
    <col min="8453" max="8457" width="6.6640625" style="766" customWidth="1"/>
    <col min="8458" max="8458" width="10.6640625" style="766" customWidth="1"/>
    <col min="8459" max="8459" width="10.109375" style="766" customWidth="1"/>
    <col min="8460" max="8460" width="12.44140625" style="766" customWidth="1"/>
    <col min="8461" max="8461" width="8" style="766" customWidth="1"/>
    <col min="8462" max="8462" width="7.88671875" style="766" customWidth="1"/>
    <col min="8463" max="8465" width="6.6640625" style="766" customWidth="1"/>
    <col min="8466" max="8466" width="9.109375" style="766" bestFit="1" customWidth="1"/>
    <col min="8467" max="8467" width="8.109375" style="766" customWidth="1"/>
    <col min="8468" max="8468" width="10.6640625" style="766" customWidth="1"/>
    <col min="8469" max="8469" width="11.88671875" style="766" bestFit="1" customWidth="1"/>
    <col min="8470" max="8470" width="10.88671875" style="766" customWidth="1"/>
    <col min="8471" max="8471" width="10.109375" style="766" customWidth="1"/>
    <col min="8472" max="8473" width="8.33203125" style="766" customWidth="1"/>
    <col min="8474" max="8474" width="18.33203125" style="766" customWidth="1"/>
    <col min="8475" max="8706" width="8.88671875" style="766"/>
    <col min="8707" max="8707" width="4.33203125" style="766" customWidth="1"/>
    <col min="8708" max="8708" width="16.6640625" style="766" customWidth="1"/>
    <col min="8709" max="8713" width="6.6640625" style="766" customWidth="1"/>
    <col min="8714" max="8714" width="10.6640625" style="766" customWidth="1"/>
    <col min="8715" max="8715" width="10.109375" style="766" customWidth="1"/>
    <col min="8716" max="8716" width="12.44140625" style="766" customWidth="1"/>
    <col min="8717" max="8717" width="8" style="766" customWidth="1"/>
    <col min="8718" max="8718" width="7.88671875" style="766" customWidth="1"/>
    <col min="8719" max="8721" width="6.6640625" style="766" customWidth="1"/>
    <col min="8722" max="8722" width="9.109375" style="766" bestFit="1" customWidth="1"/>
    <col min="8723" max="8723" width="8.109375" style="766" customWidth="1"/>
    <col min="8724" max="8724" width="10.6640625" style="766" customWidth="1"/>
    <col min="8725" max="8725" width="11.88671875" style="766" bestFit="1" customWidth="1"/>
    <col min="8726" max="8726" width="10.88671875" style="766" customWidth="1"/>
    <col min="8727" max="8727" width="10.109375" style="766" customWidth="1"/>
    <col min="8728" max="8729" width="8.33203125" style="766" customWidth="1"/>
    <col min="8730" max="8730" width="18.33203125" style="766" customWidth="1"/>
    <col min="8731" max="8962" width="8.88671875" style="766"/>
    <col min="8963" max="8963" width="4.33203125" style="766" customWidth="1"/>
    <col min="8964" max="8964" width="16.6640625" style="766" customWidth="1"/>
    <col min="8965" max="8969" width="6.6640625" style="766" customWidth="1"/>
    <col min="8970" max="8970" width="10.6640625" style="766" customWidth="1"/>
    <col min="8971" max="8971" width="10.109375" style="766" customWidth="1"/>
    <col min="8972" max="8972" width="12.44140625" style="766" customWidth="1"/>
    <col min="8973" max="8973" width="8" style="766" customWidth="1"/>
    <col min="8974" max="8974" width="7.88671875" style="766" customWidth="1"/>
    <col min="8975" max="8977" width="6.6640625" style="766" customWidth="1"/>
    <col min="8978" max="8978" width="9.109375" style="766" bestFit="1" customWidth="1"/>
    <col min="8979" max="8979" width="8.109375" style="766" customWidth="1"/>
    <col min="8980" max="8980" width="10.6640625" style="766" customWidth="1"/>
    <col min="8981" max="8981" width="11.88671875" style="766" bestFit="1" customWidth="1"/>
    <col min="8982" max="8982" width="10.88671875" style="766" customWidth="1"/>
    <col min="8983" max="8983" width="10.109375" style="766" customWidth="1"/>
    <col min="8984" max="8985" width="8.33203125" style="766" customWidth="1"/>
    <col min="8986" max="8986" width="18.33203125" style="766" customWidth="1"/>
    <col min="8987" max="9218" width="8.88671875" style="766"/>
    <col min="9219" max="9219" width="4.33203125" style="766" customWidth="1"/>
    <col min="9220" max="9220" width="16.6640625" style="766" customWidth="1"/>
    <col min="9221" max="9225" width="6.6640625" style="766" customWidth="1"/>
    <col min="9226" max="9226" width="10.6640625" style="766" customWidth="1"/>
    <col min="9227" max="9227" width="10.109375" style="766" customWidth="1"/>
    <col min="9228" max="9228" width="12.44140625" style="766" customWidth="1"/>
    <col min="9229" max="9229" width="8" style="766" customWidth="1"/>
    <col min="9230" max="9230" width="7.88671875" style="766" customWidth="1"/>
    <col min="9231" max="9233" width="6.6640625" style="766" customWidth="1"/>
    <col min="9234" max="9234" width="9.109375" style="766" bestFit="1" customWidth="1"/>
    <col min="9235" max="9235" width="8.109375" style="766" customWidth="1"/>
    <col min="9236" max="9236" width="10.6640625" style="766" customWidth="1"/>
    <col min="9237" max="9237" width="11.88671875" style="766" bestFit="1" customWidth="1"/>
    <col min="9238" max="9238" width="10.88671875" style="766" customWidth="1"/>
    <col min="9239" max="9239" width="10.109375" style="766" customWidth="1"/>
    <col min="9240" max="9241" width="8.33203125" style="766" customWidth="1"/>
    <col min="9242" max="9242" width="18.33203125" style="766" customWidth="1"/>
    <col min="9243" max="9474" width="8.88671875" style="766"/>
    <col min="9475" max="9475" width="4.33203125" style="766" customWidth="1"/>
    <col min="9476" max="9476" width="16.6640625" style="766" customWidth="1"/>
    <col min="9477" max="9481" width="6.6640625" style="766" customWidth="1"/>
    <col min="9482" max="9482" width="10.6640625" style="766" customWidth="1"/>
    <col min="9483" max="9483" width="10.109375" style="766" customWidth="1"/>
    <col min="9484" max="9484" width="12.44140625" style="766" customWidth="1"/>
    <col min="9485" max="9485" width="8" style="766" customWidth="1"/>
    <col min="9486" max="9486" width="7.88671875" style="766" customWidth="1"/>
    <col min="9487" max="9489" width="6.6640625" style="766" customWidth="1"/>
    <col min="9490" max="9490" width="9.109375" style="766" bestFit="1" customWidth="1"/>
    <col min="9491" max="9491" width="8.109375" style="766" customWidth="1"/>
    <col min="9492" max="9492" width="10.6640625" style="766" customWidth="1"/>
    <col min="9493" max="9493" width="11.88671875" style="766" bestFit="1" customWidth="1"/>
    <col min="9494" max="9494" width="10.88671875" style="766" customWidth="1"/>
    <col min="9495" max="9495" width="10.109375" style="766" customWidth="1"/>
    <col min="9496" max="9497" width="8.33203125" style="766" customWidth="1"/>
    <col min="9498" max="9498" width="18.33203125" style="766" customWidth="1"/>
    <col min="9499" max="9730" width="8.88671875" style="766"/>
    <col min="9731" max="9731" width="4.33203125" style="766" customWidth="1"/>
    <col min="9732" max="9732" width="16.6640625" style="766" customWidth="1"/>
    <col min="9733" max="9737" width="6.6640625" style="766" customWidth="1"/>
    <col min="9738" max="9738" width="10.6640625" style="766" customWidth="1"/>
    <col min="9739" max="9739" width="10.109375" style="766" customWidth="1"/>
    <col min="9740" max="9740" width="12.44140625" style="766" customWidth="1"/>
    <col min="9741" max="9741" width="8" style="766" customWidth="1"/>
    <col min="9742" max="9742" width="7.88671875" style="766" customWidth="1"/>
    <col min="9743" max="9745" width="6.6640625" style="766" customWidth="1"/>
    <col min="9746" max="9746" width="9.109375" style="766" bestFit="1" customWidth="1"/>
    <col min="9747" max="9747" width="8.109375" style="766" customWidth="1"/>
    <col min="9748" max="9748" width="10.6640625" style="766" customWidth="1"/>
    <col min="9749" max="9749" width="11.88671875" style="766" bestFit="1" customWidth="1"/>
    <col min="9750" max="9750" width="10.88671875" style="766" customWidth="1"/>
    <col min="9751" max="9751" width="10.109375" style="766" customWidth="1"/>
    <col min="9752" max="9753" width="8.33203125" style="766" customWidth="1"/>
    <col min="9754" max="9754" width="18.33203125" style="766" customWidth="1"/>
    <col min="9755" max="9986" width="8.88671875" style="766"/>
    <col min="9987" max="9987" width="4.33203125" style="766" customWidth="1"/>
    <col min="9988" max="9988" width="16.6640625" style="766" customWidth="1"/>
    <col min="9989" max="9993" width="6.6640625" style="766" customWidth="1"/>
    <col min="9994" max="9994" width="10.6640625" style="766" customWidth="1"/>
    <col min="9995" max="9995" width="10.109375" style="766" customWidth="1"/>
    <col min="9996" max="9996" width="12.44140625" style="766" customWidth="1"/>
    <col min="9997" max="9997" width="8" style="766" customWidth="1"/>
    <col min="9998" max="9998" width="7.88671875" style="766" customWidth="1"/>
    <col min="9999" max="10001" width="6.6640625" style="766" customWidth="1"/>
    <col min="10002" max="10002" width="9.109375" style="766" bestFit="1" customWidth="1"/>
    <col min="10003" max="10003" width="8.109375" style="766" customWidth="1"/>
    <col min="10004" max="10004" width="10.6640625" style="766" customWidth="1"/>
    <col min="10005" max="10005" width="11.88671875" style="766" bestFit="1" customWidth="1"/>
    <col min="10006" max="10006" width="10.88671875" style="766" customWidth="1"/>
    <col min="10007" max="10007" width="10.109375" style="766" customWidth="1"/>
    <col min="10008" max="10009" width="8.33203125" style="766" customWidth="1"/>
    <col min="10010" max="10010" width="18.33203125" style="766" customWidth="1"/>
    <col min="10011" max="10242" width="8.88671875" style="766"/>
    <col min="10243" max="10243" width="4.33203125" style="766" customWidth="1"/>
    <col min="10244" max="10244" width="16.6640625" style="766" customWidth="1"/>
    <col min="10245" max="10249" width="6.6640625" style="766" customWidth="1"/>
    <col min="10250" max="10250" width="10.6640625" style="766" customWidth="1"/>
    <col min="10251" max="10251" width="10.109375" style="766" customWidth="1"/>
    <col min="10252" max="10252" width="12.44140625" style="766" customWidth="1"/>
    <col min="10253" max="10253" width="8" style="766" customWidth="1"/>
    <col min="10254" max="10254" width="7.88671875" style="766" customWidth="1"/>
    <col min="10255" max="10257" width="6.6640625" style="766" customWidth="1"/>
    <col min="10258" max="10258" width="9.109375" style="766" bestFit="1" customWidth="1"/>
    <col min="10259" max="10259" width="8.109375" style="766" customWidth="1"/>
    <col min="10260" max="10260" width="10.6640625" style="766" customWidth="1"/>
    <col min="10261" max="10261" width="11.88671875" style="766" bestFit="1" customWidth="1"/>
    <col min="10262" max="10262" width="10.88671875" style="766" customWidth="1"/>
    <col min="10263" max="10263" width="10.109375" style="766" customWidth="1"/>
    <col min="10264" max="10265" width="8.33203125" style="766" customWidth="1"/>
    <col min="10266" max="10266" width="18.33203125" style="766" customWidth="1"/>
    <col min="10267" max="10498" width="8.88671875" style="766"/>
    <col min="10499" max="10499" width="4.33203125" style="766" customWidth="1"/>
    <col min="10500" max="10500" width="16.6640625" style="766" customWidth="1"/>
    <col min="10501" max="10505" width="6.6640625" style="766" customWidth="1"/>
    <col min="10506" max="10506" width="10.6640625" style="766" customWidth="1"/>
    <col min="10507" max="10507" width="10.109375" style="766" customWidth="1"/>
    <col min="10508" max="10508" width="12.44140625" style="766" customWidth="1"/>
    <col min="10509" max="10509" width="8" style="766" customWidth="1"/>
    <col min="10510" max="10510" width="7.88671875" style="766" customWidth="1"/>
    <col min="10511" max="10513" width="6.6640625" style="766" customWidth="1"/>
    <col min="10514" max="10514" width="9.109375" style="766" bestFit="1" customWidth="1"/>
    <col min="10515" max="10515" width="8.109375" style="766" customWidth="1"/>
    <col min="10516" max="10516" width="10.6640625" style="766" customWidth="1"/>
    <col min="10517" max="10517" width="11.88671875" style="766" bestFit="1" customWidth="1"/>
    <col min="10518" max="10518" width="10.88671875" style="766" customWidth="1"/>
    <col min="10519" max="10519" width="10.109375" style="766" customWidth="1"/>
    <col min="10520" max="10521" width="8.33203125" style="766" customWidth="1"/>
    <col min="10522" max="10522" width="18.33203125" style="766" customWidth="1"/>
    <col min="10523" max="10754" width="8.88671875" style="766"/>
    <col min="10755" max="10755" width="4.33203125" style="766" customWidth="1"/>
    <col min="10756" max="10756" width="16.6640625" style="766" customWidth="1"/>
    <col min="10757" max="10761" width="6.6640625" style="766" customWidth="1"/>
    <col min="10762" max="10762" width="10.6640625" style="766" customWidth="1"/>
    <col min="10763" max="10763" width="10.109375" style="766" customWidth="1"/>
    <col min="10764" max="10764" width="12.44140625" style="766" customWidth="1"/>
    <col min="10765" max="10765" width="8" style="766" customWidth="1"/>
    <col min="10766" max="10766" width="7.88671875" style="766" customWidth="1"/>
    <col min="10767" max="10769" width="6.6640625" style="766" customWidth="1"/>
    <col min="10770" max="10770" width="9.109375" style="766" bestFit="1" customWidth="1"/>
    <col min="10771" max="10771" width="8.109375" style="766" customWidth="1"/>
    <col min="10772" max="10772" width="10.6640625" style="766" customWidth="1"/>
    <col min="10773" max="10773" width="11.88671875" style="766" bestFit="1" customWidth="1"/>
    <col min="10774" max="10774" width="10.88671875" style="766" customWidth="1"/>
    <col min="10775" max="10775" width="10.109375" style="766" customWidth="1"/>
    <col min="10776" max="10777" width="8.33203125" style="766" customWidth="1"/>
    <col min="10778" max="10778" width="18.33203125" style="766" customWidth="1"/>
    <col min="10779" max="11010" width="8.88671875" style="766"/>
    <col min="11011" max="11011" width="4.33203125" style="766" customWidth="1"/>
    <col min="11012" max="11012" width="16.6640625" style="766" customWidth="1"/>
    <col min="11013" max="11017" width="6.6640625" style="766" customWidth="1"/>
    <col min="11018" max="11018" width="10.6640625" style="766" customWidth="1"/>
    <col min="11019" max="11019" width="10.109375" style="766" customWidth="1"/>
    <col min="11020" max="11020" width="12.44140625" style="766" customWidth="1"/>
    <col min="11021" max="11021" width="8" style="766" customWidth="1"/>
    <col min="11022" max="11022" width="7.88671875" style="766" customWidth="1"/>
    <col min="11023" max="11025" width="6.6640625" style="766" customWidth="1"/>
    <col min="11026" max="11026" width="9.109375" style="766" bestFit="1" customWidth="1"/>
    <col min="11027" max="11027" width="8.109375" style="766" customWidth="1"/>
    <col min="11028" max="11028" width="10.6640625" style="766" customWidth="1"/>
    <col min="11029" max="11029" width="11.88671875" style="766" bestFit="1" customWidth="1"/>
    <col min="11030" max="11030" width="10.88671875" style="766" customWidth="1"/>
    <col min="11031" max="11031" width="10.109375" style="766" customWidth="1"/>
    <col min="11032" max="11033" width="8.33203125" style="766" customWidth="1"/>
    <col min="11034" max="11034" width="18.33203125" style="766" customWidth="1"/>
    <col min="11035" max="11266" width="8.88671875" style="766"/>
    <col min="11267" max="11267" width="4.33203125" style="766" customWidth="1"/>
    <col min="11268" max="11268" width="16.6640625" style="766" customWidth="1"/>
    <col min="11269" max="11273" width="6.6640625" style="766" customWidth="1"/>
    <col min="11274" max="11274" width="10.6640625" style="766" customWidth="1"/>
    <col min="11275" max="11275" width="10.109375" style="766" customWidth="1"/>
    <col min="11276" max="11276" width="12.44140625" style="766" customWidth="1"/>
    <col min="11277" max="11277" width="8" style="766" customWidth="1"/>
    <col min="11278" max="11278" width="7.88671875" style="766" customWidth="1"/>
    <col min="11279" max="11281" width="6.6640625" style="766" customWidth="1"/>
    <col min="11282" max="11282" width="9.109375" style="766" bestFit="1" customWidth="1"/>
    <col min="11283" max="11283" width="8.109375" style="766" customWidth="1"/>
    <col min="11284" max="11284" width="10.6640625" style="766" customWidth="1"/>
    <col min="11285" max="11285" width="11.88671875" style="766" bestFit="1" customWidth="1"/>
    <col min="11286" max="11286" width="10.88671875" style="766" customWidth="1"/>
    <col min="11287" max="11287" width="10.109375" style="766" customWidth="1"/>
    <col min="11288" max="11289" width="8.33203125" style="766" customWidth="1"/>
    <col min="11290" max="11290" width="18.33203125" style="766" customWidth="1"/>
    <col min="11291" max="11522" width="8.88671875" style="766"/>
    <col min="11523" max="11523" width="4.33203125" style="766" customWidth="1"/>
    <col min="11524" max="11524" width="16.6640625" style="766" customWidth="1"/>
    <col min="11525" max="11529" width="6.6640625" style="766" customWidth="1"/>
    <col min="11530" max="11530" width="10.6640625" style="766" customWidth="1"/>
    <col min="11531" max="11531" width="10.109375" style="766" customWidth="1"/>
    <col min="11532" max="11532" width="12.44140625" style="766" customWidth="1"/>
    <col min="11533" max="11533" width="8" style="766" customWidth="1"/>
    <col min="11534" max="11534" width="7.88671875" style="766" customWidth="1"/>
    <col min="11535" max="11537" width="6.6640625" style="766" customWidth="1"/>
    <col min="11538" max="11538" width="9.109375" style="766" bestFit="1" customWidth="1"/>
    <col min="11539" max="11539" width="8.109375" style="766" customWidth="1"/>
    <col min="11540" max="11540" width="10.6640625" style="766" customWidth="1"/>
    <col min="11541" max="11541" width="11.88671875" style="766" bestFit="1" customWidth="1"/>
    <col min="11542" max="11542" width="10.88671875" style="766" customWidth="1"/>
    <col min="11543" max="11543" width="10.109375" style="766" customWidth="1"/>
    <col min="11544" max="11545" width="8.33203125" style="766" customWidth="1"/>
    <col min="11546" max="11546" width="18.33203125" style="766" customWidth="1"/>
    <col min="11547" max="11778" width="8.88671875" style="766"/>
    <col min="11779" max="11779" width="4.33203125" style="766" customWidth="1"/>
    <col min="11780" max="11780" width="16.6640625" style="766" customWidth="1"/>
    <col min="11781" max="11785" width="6.6640625" style="766" customWidth="1"/>
    <col min="11786" max="11786" width="10.6640625" style="766" customWidth="1"/>
    <col min="11787" max="11787" width="10.109375" style="766" customWidth="1"/>
    <col min="11788" max="11788" width="12.44140625" style="766" customWidth="1"/>
    <col min="11789" max="11789" width="8" style="766" customWidth="1"/>
    <col min="11790" max="11790" width="7.88671875" style="766" customWidth="1"/>
    <col min="11791" max="11793" width="6.6640625" style="766" customWidth="1"/>
    <col min="11794" max="11794" width="9.109375" style="766" bestFit="1" customWidth="1"/>
    <col min="11795" max="11795" width="8.109375" style="766" customWidth="1"/>
    <col min="11796" max="11796" width="10.6640625" style="766" customWidth="1"/>
    <col min="11797" max="11797" width="11.88671875" style="766" bestFit="1" customWidth="1"/>
    <col min="11798" max="11798" width="10.88671875" style="766" customWidth="1"/>
    <col min="11799" max="11799" width="10.109375" style="766" customWidth="1"/>
    <col min="11800" max="11801" width="8.33203125" style="766" customWidth="1"/>
    <col min="11802" max="11802" width="18.33203125" style="766" customWidth="1"/>
    <col min="11803" max="12034" width="8.88671875" style="766"/>
    <col min="12035" max="12035" width="4.33203125" style="766" customWidth="1"/>
    <col min="12036" max="12036" width="16.6640625" style="766" customWidth="1"/>
    <col min="12037" max="12041" width="6.6640625" style="766" customWidth="1"/>
    <col min="12042" max="12042" width="10.6640625" style="766" customWidth="1"/>
    <col min="12043" max="12043" width="10.109375" style="766" customWidth="1"/>
    <col min="12044" max="12044" width="12.44140625" style="766" customWidth="1"/>
    <col min="12045" max="12045" width="8" style="766" customWidth="1"/>
    <col min="12046" max="12046" width="7.88671875" style="766" customWidth="1"/>
    <col min="12047" max="12049" width="6.6640625" style="766" customWidth="1"/>
    <col min="12050" max="12050" width="9.109375" style="766" bestFit="1" customWidth="1"/>
    <col min="12051" max="12051" width="8.109375" style="766" customWidth="1"/>
    <col min="12052" max="12052" width="10.6640625" style="766" customWidth="1"/>
    <col min="12053" max="12053" width="11.88671875" style="766" bestFit="1" customWidth="1"/>
    <col min="12054" max="12054" width="10.88671875" style="766" customWidth="1"/>
    <col min="12055" max="12055" width="10.109375" style="766" customWidth="1"/>
    <col min="12056" max="12057" width="8.33203125" style="766" customWidth="1"/>
    <col min="12058" max="12058" width="18.33203125" style="766" customWidth="1"/>
    <col min="12059" max="12290" width="8.88671875" style="766"/>
    <col min="12291" max="12291" width="4.33203125" style="766" customWidth="1"/>
    <col min="12292" max="12292" width="16.6640625" style="766" customWidth="1"/>
    <col min="12293" max="12297" width="6.6640625" style="766" customWidth="1"/>
    <col min="12298" max="12298" width="10.6640625" style="766" customWidth="1"/>
    <col min="12299" max="12299" width="10.109375" style="766" customWidth="1"/>
    <col min="12300" max="12300" width="12.44140625" style="766" customWidth="1"/>
    <col min="12301" max="12301" width="8" style="766" customWidth="1"/>
    <col min="12302" max="12302" width="7.88671875" style="766" customWidth="1"/>
    <col min="12303" max="12305" width="6.6640625" style="766" customWidth="1"/>
    <col min="12306" max="12306" width="9.109375" style="766" bestFit="1" customWidth="1"/>
    <col min="12307" max="12307" width="8.109375" style="766" customWidth="1"/>
    <col min="12308" max="12308" width="10.6640625" style="766" customWidth="1"/>
    <col min="12309" max="12309" width="11.88671875" style="766" bestFit="1" customWidth="1"/>
    <col min="12310" max="12310" width="10.88671875" style="766" customWidth="1"/>
    <col min="12311" max="12311" width="10.109375" style="766" customWidth="1"/>
    <col min="12312" max="12313" width="8.33203125" style="766" customWidth="1"/>
    <col min="12314" max="12314" width="18.33203125" style="766" customWidth="1"/>
    <col min="12315" max="12546" width="8.88671875" style="766"/>
    <col min="12547" max="12547" width="4.33203125" style="766" customWidth="1"/>
    <col min="12548" max="12548" width="16.6640625" style="766" customWidth="1"/>
    <col min="12549" max="12553" width="6.6640625" style="766" customWidth="1"/>
    <col min="12554" max="12554" width="10.6640625" style="766" customWidth="1"/>
    <col min="12555" max="12555" width="10.109375" style="766" customWidth="1"/>
    <col min="12556" max="12556" width="12.44140625" style="766" customWidth="1"/>
    <col min="12557" max="12557" width="8" style="766" customWidth="1"/>
    <col min="12558" max="12558" width="7.88671875" style="766" customWidth="1"/>
    <col min="12559" max="12561" width="6.6640625" style="766" customWidth="1"/>
    <col min="12562" max="12562" width="9.109375" style="766" bestFit="1" customWidth="1"/>
    <col min="12563" max="12563" width="8.109375" style="766" customWidth="1"/>
    <col min="12564" max="12564" width="10.6640625" style="766" customWidth="1"/>
    <col min="12565" max="12565" width="11.88671875" style="766" bestFit="1" customWidth="1"/>
    <col min="12566" max="12566" width="10.88671875" style="766" customWidth="1"/>
    <col min="12567" max="12567" width="10.109375" style="766" customWidth="1"/>
    <col min="12568" max="12569" width="8.33203125" style="766" customWidth="1"/>
    <col min="12570" max="12570" width="18.33203125" style="766" customWidth="1"/>
    <col min="12571" max="12802" width="8.88671875" style="766"/>
    <col min="12803" max="12803" width="4.33203125" style="766" customWidth="1"/>
    <col min="12804" max="12804" width="16.6640625" style="766" customWidth="1"/>
    <col min="12805" max="12809" width="6.6640625" style="766" customWidth="1"/>
    <col min="12810" max="12810" width="10.6640625" style="766" customWidth="1"/>
    <col min="12811" max="12811" width="10.109375" style="766" customWidth="1"/>
    <col min="12812" max="12812" width="12.44140625" style="766" customWidth="1"/>
    <col min="12813" max="12813" width="8" style="766" customWidth="1"/>
    <col min="12814" max="12814" width="7.88671875" style="766" customWidth="1"/>
    <col min="12815" max="12817" width="6.6640625" style="766" customWidth="1"/>
    <col min="12818" max="12818" width="9.109375" style="766" bestFit="1" customWidth="1"/>
    <col min="12819" max="12819" width="8.109375" style="766" customWidth="1"/>
    <col min="12820" max="12820" width="10.6640625" style="766" customWidth="1"/>
    <col min="12821" max="12821" width="11.88671875" style="766" bestFit="1" customWidth="1"/>
    <col min="12822" max="12822" width="10.88671875" style="766" customWidth="1"/>
    <col min="12823" max="12823" width="10.109375" style="766" customWidth="1"/>
    <col min="12824" max="12825" width="8.33203125" style="766" customWidth="1"/>
    <col min="12826" max="12826" width="18.33203125" style="766" customWidth="1"/>
    <col min="12827" max="13058" width="8.88671875" style="766"/>
    <col min="13059" max="13059" width="4.33203125" style="766" customWidth="1"/>
    <col min="13060" max="13060" width="16.6640625" style="766" customWidth="1"/>
    <col min="13061" max="13065" width="6.6640625" style="766" customWidth="1"/>
    <col min="13066" max="13066" width="10.6640625" style="766" customWidth="1"/>
    <col min="13067" max="13067" width="10.109375" style="766" customWidth="1"/>
    <col min="13068" max="13068" width="12.44140625" style="766" customWidth="1"/>
    <col min="13069" max="13069" width="8" style="766" customWidth="1"/>
    <col min="13070" max="13070" width="7.88671875" style="766" customWidth="1"/>
    <col min="13071" max="13073" width="6.6640625" style="766" customWidth="1"/>
    <col min="13074" max="13074" width="9.109375" style="766" bestFit="1" customWidth="1"/>
    <col min="13075" max="13075" width="8.109375" style="766" customWidth="1"/>
    <col min="13076" max="13076" width="10.6640625" style="766" customWidth="1"/>
    <col min="13077" max="13077" width="11.88671875" style="766" bestFit="1" customWidth="1"/>
    <col min="13078" max="13078" width="10.88671875" style="766" customWidth="1"/>
    <col min="13079" max="13079" width="10.109375" style="766" customWidth="1"/>
    <col min="13080" max="13081" width="8.33203125" style="766" customWidth="1"/>
    <col min="13082" max="13082" width="18.33203125" style="766" customWidth="1"/>
    <col min="13083" max="13314" width="8.88671875" style="766"/>
    <col min="13315" max="13315" width="4.33203125" style="766" customWidth="1"/>
    <col min="13316" max="13316" width="16.6640625" style="766" customWidth="1"/>
    <col min="13317" max="13321" width="6.6640625" style="766" customWidth="1"/>
    <col min="13322" max="13322" width="10.6640625" style="766" customWidth="1"/>
    <col min="13323" max="13323" width="10.109375" style="766" customWidth="1"/>
    <col min="13324" max="13324" width="12.44140625" style="766" customWidth="1"/>
    <col min="13325" max="13325" width="8" style="766" customWidth="1"/>
    <col min="13326" max="13326" width="7.88671875" style="766" customWidth="1"/>
    <col min="13327" max="13329" width="6.6640625" style="766" customWidth="1"/>
    <col min="13330" max="13330" width="9.109375" style="766" bestFit="1" customWidth="1"/>
    <col min="13331" max="13331" width="8.109375" style="766" customWidth="1"/>
    <col min="13332" max="13332" width="10.6640625" style="766" customWidth="1"/>
    <col min="13333" max="13333" width="11.88671875" style="766" bestFit="1" customWidth="1"/>
    <col min="13334" max="13334" width="10.88671875" style="766" customWidth="1"/>
    <col min="13335" max="13335" width="10.109375" style="766" customWidth="1"/>
    <col min="13336" max="13337" width="8.33203125" style="766" customWidth="1"/>
    <col min="13338" max="13338" width="18.33203125" style="766" customWidth="1"/>
    <col min="13339" max="13570" width="8.88671875" style="766"/>
    <col min="13571" max="13571" width="4.33203125" style="766" customWidth="1"/>
    <col min="13572" max="13572" width="16.6640625" style="766" customWidth="1"/>
    <col min="13573" max="13577" width="6.6640625" style="766" customWidth="1"/>
    <col min="13578" max="13578" width="10.6640625" style="766" customWidth="1"/>
    <col min="13579" max="13579" width="10.109375" style="766" customWidth="1"/>
    <col min="13580" max="13580" width="12.44140625" style="766" customWidth="1"/>
    <col min="13581" max="13581" width="8" style="766" customWidth="1"/>
    <col min="13582" max="13582" width="7.88671875" style="766" customWidth="1"/>
    <col min="13583" max="13585" width="6.6640625" style="766" customWidth="1"/>
    <col min="13586" max="13586" width="9.109375" style="766" bestFit="1" customWidth="1"/>
    <col min="13587" max="13587" width="8.109375" style="766" customWidth="1"/>
    <col min="13588" max="13588" width="10.6640625" style="766" customWidth="1"/>
    <col min="13589" max="13589" width="11.88671875" style="766" bestFit="1" customWidth="1"/>
    <col min="13590" max="13590" width="10.88671875" style="766" customWidth="1"/>
    <col min="13591" max="13591" width="10.109375" style="766" customWidth="1"/>
    <col min="13592" max="13593" width="8.33203125" style="766" customWidth="1"/>
    <col min="13594" max="13594" width="18.33203125" style="766" customWidth="1"/>
    <col min="13595" max="13826" width="8.88671875" style="766"/>
    <col min="13827" max="13827" width="4.33203125" style="766" customWidth="1"/>
    <col min="13828" max="13828" width="16.6640625" style="766" customWidth="1"/>
    <col min="13829" max="13833" width="6.6640625" style="766" customWidth="1"/>
    <col min="13834" max="13834" width="10.6640625" style="766" customWidth="1"/>
    <col min="13835" max="13835" width="10.109375" style="766" customWidth="1"/>
    <col min="13836" max="13836" width="12.44140625" style="766" customWidth="1"/>
    <col min="13837" max="13837" width="8" style="766" customWidth="1"/>
    <col min="13838" max="13838" width="7.88671875" style="766" customWidth="1"/>
    <col min="13839" max="13841" width="6.6640625" style="766" customWidth="1"/>
    <col min="13842" max="13842" width="9.109375" style="766" bestFit="1" customWidth="1"/>
    <col min="13843" max="13843" width="8.109375" style="766" customWidth="1"/>
    <col min="13844" max="13844" width="10.6640625" style="766" customWidth="1"/>
    <col min="13845" max="13845" width="11.88671875" style="766" bestFit="1" customWidth="1"/>
    <col min="13846" max="13846" width="10.88671875" style="766" customWidth="1"/>
    <col min="13847" max="13847" width="10.109375" style="766" customWidth="1"/>
    <col min="13848" max="13849" width="8.33203125" style="766" customWidth="1"/>
    <col min="13850" max="13850" width="18.33203125" style="766" customWidth="1"/>
    <col min="13851" max="14082" width="8.88671875" style="766"/>
    <col min="14083" max="14083" width="4.33203125" style="766" customWidth="1"/>
    <col min="14084" max="14084" width="16.6640625" style="766" customWidth="1"/>
    <col min="14085" max="14089" width="6.6640625" style="766" customWidth="1"/>
    <col min="14090" max="14090" width="10.6640625" style="766" customWidth="1"/>
    <col min="14091" max="14091" width="10.109375" style="766" customWidth="1"/>
    <col min="14092" max="14092" width="12.44140625" style="766" customWidth="1"/>
    <col min="14093" max="14093" width="8" style="766" customWidth="1"/>
    <col min="14094" max="14094" width="7.88671875" style="766" customWidth="1"/>
    <col min="14095" max="14097" width="6.6640625" style="766" customWidth="1"/>
    <col min="14098" max="14098" width="9.109375" style="766" bestFit="1" customWidth="1"/>
    <col min="14099" max="14099" width="8.109375" style="766" customWidth="1"/>
    <col min="14100" max="14100" width="10.6640625" style="766" customWidth="1"/>
    <col min="14101" max="14101" width="11.88671875" style="766" bestFit="1" customWidth="1"/>
    <col min="14102" max="14102" width="10.88671875" style="766" customWidth="1"/>
    <col min="14103" max="14103" width="10.109375" style="766" customWidth="1"/>
    <col min="14104" max="14105" width="8.33203125" style="766" customWidth="1"/>
    <col min="14106" max="14106" width="18.33203125" style="766" customWidth="1"/>
    <col min="14107" max="14338" width="8.88671875" style="766"/>
    <col min="14339" max="14339" width="4.33203125" style="766" customWidth="1"/>
    <col min="14340" max="14340" width="16.6640625" style="766" customWidth="1"/>
    <col min="14341" max="14345" width="6.6640625" style="766" customWidth="1"/>
    <col min="14346" max="14346" width="10.6640625" style="766" customWidth="1"/>
    <col min="14347" max="14347" width="10.109375" style="766" customWidth="1"/>
    <col min="14348" max="14348" width="12.44140625" style="766" customWidth="1"/>
    <col min="14349" max="14349" width="8" style="766" customWidth="1"/>
    <col min="14350" max="14350" width="7.88671875" style="766" customWidth="1"/>
    <col min="14351" max="14353" width="6.6640625" style="766" customWidth="1"/>
    <col min="14354" max="14354" width="9.109375" style="766" bestFit="1" customWidth="1"/>
    <col min="14355" max="14355" width="8.109375" style="766" customWidth="1"/>
    <col min="14356" max="14356" width="10.6640625" style="766" customWidth="1"/>
    <col min="14357" max="14357" width="11.88671875" style="766" bestFit="1" customWidth="1"/>
    <col min="14358" max="14358" width="10.88671875" style="766" customWidth="1"/>
    <col min="14359" max="14359" width="10.109375" style="766" customWidth="1"/>
    <col min="14360" max="14361" width="8.33203125" style="766" customWidth="1"/>
    <col min="14362" max="14362" width="18.33203125" style="766" customWidth="1"/>
    <col min="14363" max="14594" width="8.88671875" style="766"/>
    <col min="14595" max="14595" width="4.33203125" style="766" customWidth="1"/>
    <col min="14596" max="14596" width="16.6640625" style="766" customWidth="1"/>
    <col min="14597" max="14601" width="6.6640625" style="766" customWidth="1"/>
    <col min="14602" max="14602" width="10.6640625" style="766" customWidth="1"/>
    <col min="14603" max="14603" width="10.109375" style="766" customWidth="1"/>
    <col min="14604" max="14604" width="12.44140625" style="766" customWidth="1"/>
    <col min="14605" max="14605" width="8" style="766" customWidth="1"/>
    <col min="14606" max="14606" width="7.88671875" style="766" customWidth="1"/>
    <col min="14607" max="14609" width="6.6640625" style="766" customWidth="1"/>
    <col min="14610" max="14610" width="9.109375" style="766" bestFit="1" customWidth="1"/>
    <col min="14611" max="14611" width="8.109375" style="766" customWidth="1"/>
    <col min="14612" max="14612" width="10.6640625" style="766" customWidth="1"/>
    <col min="14613" max="14613" width="11.88671875" style="766" bestFit="1" customWidth="1"/>
    <col min="14614" max="14614" width="10.88671875" style="766" customWidth="1"/>
    <col min="14615" max="14615" width="10.109375" style="766" customWidth="1"/>
    <col min="14616" max="14617" width="8.33203125" style="766" customWidth="1"/>
    <col min="14618" max="14618" width="18.33203125" style="766" customWidth="1"/>
    <col min="14619" max="14850" width="8.88671875" style="766"/>
    <col min="14851" max="14851" width="4.33203125" style="766" customWidth="1"/>
    <col min="14852" max="14852" width="16.6640625" style="766" customWidth="1"/>
    <col min="14853" max="14857" width="6.6640625" style="766" customWidth="1"/>
    <col min="14858" max="14858" width="10.6640625" style="766" customWidth="1"/>
    <col min="14859" max="14859" width="10.109375" style="766" customWidth="1"/>
    <col min="14860" max="14860" width="12.44140625" style="766" customWidth="1"/>
    <col min="14861" max="14861" width="8" style="766" customWidth="1"/>
    <col min="14862" max="14862" width="7.88671875" style="766" customWidth="1"/>
    <col min="14863" max="14865" width="6.6640625" style="766" customWidth="1"/>
    <col min="14866" max="14866" width="9.109375" style="766" bestFit="1" customWidth="1"/>
    <col min="14867" max="14867" width="8.109375" style="766" customWidth="1"/>
    <col min="14868" max="14868" width="10.6640625" style="766" customWidth="1"/>
    <col min="14869" max="14869" width="11.88671875" style="766" bestFit="1" customWidth="1"/>
    <col min="14870" max="14870" width="10.88671875" style="766" customWidth="1"/>
    <col min="14871" max="14871" width="10.109375" style="766" customWidth="1"/>
    <col min="14872" max="14873" width="8.33203125" style="766" customWidth="1"/>
    <col min="14874" max="14874" width="18.33203125" style="766" customWidth="1"/>
    <col min="14875" max="15106" width="8.88671875" style="766"/>
    <col min="15107" max="15107" width="4.33203125" style="766" customWidth="1"/>
    <col min="15108" max="15108" width="16.6640625" style="766" customWidth="1"/>
    <col min="15109" max="15113" width="6.6640625" style="766" customWidth="1"/>
    <col min="15114" max="15114" width="10.6640625" style="766" customWidth="1"/>
    <col min="15115" max="15115" width="10.109375" style="766" customWidth="1"/>
    <col min="15116" max="15116" width="12.44140625" style="766" customWidth="1"/>
    <col min="15117" max="15117" width="8" style="766" customWidth="1"/>
    <col min="15118" max="15118" width="7.88671875" style="766" customWidth="1"/>
    <col min="15119" max="15121" width="6.6640625" style="766" customWidth="1"/>
    <col min="15122" max="15122" width="9.109375" style="766" bestFit="1" customWidth="1"/>
    <col min="15123" max="15123" width="8.109375" style="766" customWidth="1"/>
    <col min="15124" max="15124" width="10.6640625" style="766" customWidth="1"/>
    <col min="15125" max="15125" width="11.88671875" style="766" bestFit="1" customWidth="1"/>
    <col min="15126" max="15126" width="10.88671875" style="766" customWidth="1"/>
    <col min="15127" max="15127" width="10.109375" style="766" customWidth="1"/>
    <col min="15128" max="15129" width="8.33203125" style="766" customWidth="1"/>
    <col min="15130" max="15130" width="18.33203125" style="766" customWidth="1"/>
    <col min="15131" max="15362" width="8.88671875" style="766"/>
    <col min="15363" max="15363" width="4.33203125" style="766" customWidth="1"/>
    <col min="15364" max="15364" width="16.6640625" style="766" customWidth="1"/>
    <col min="15365" max="15369" width="6.6640625" style="766" customWidth="1"/>
    <col min="15370" max="15370" width="10.6640625" style="766" customWidth="1"/>
    <col min="15371" max="15371" width="10.109375" style="766" customWidth="1"/>
    <col min="15372" max="15372" width="12.44140625" style="766" customWidth="1"/>
    <col min="15373" max="15373" width="8" style="766" customWidth="1"/>
    <col min="15374" max="15374" width="7.88671875" style="766" customWidth="1"/>
    <col min="15375" max="15377" width="6.6640625" style="766" customWidth="1"/>
    <col min="15378" max="15378" width="9.109375" style="766" bestFit="1" customWidth="1"/>
    <col min="15379" max="15379" width="8.109375" style="766" customWidth="1"/>
    <col min="15380" max="15380" width="10.6640625" style="766" customWidth="1"/>
    <col min="15381" max="15381" width="11.88671875" style="766" bestFit="1" customWidth="1"/>
    <col min="15382" max="15382" width="10.88671875" style="766" customWidth="1"/>
    <col min="15383" max="15383" width="10.109375" style="766" customWidth="1"/>
    <col min="15384" max="15385" width="8.33203125" style="766" customWidth="1"/>
    <col min="15386" max="15386" width="18.33203125" style="766" customWidth="1"/>
    <col min="15387" max="15618" width="8.88671875" style="766"/>
    <col min="15619" max="15619" width="4.33203125" style="766" customWidth="1"/>
    <col min="15620" max="15620" width="16.6640625" style="766" customWidth="1"/>
    <col min="15621" max="15625" width="6.6640625" style="766" customWidth="1"/>
    <col min="15626" max="15626" width="10.6640625" style="766" customWidth="1"/>
    <col min="15627" max="15627" width="10.109375" style="766" customWidth="1"/>
    <col min="15628" max="15628" width="12.44140625" style="766" customWidth="1"/>
    <col min="15629" max="15629" width="8" style="766" customWidth="1"/>
    <col min="15630" max="15630" width="7.88671875" style="766" customWidth="1"/>
    <col min="15631" max="15633" width="6.6640625" style="766" customWidth="1"/>
    <col min="15634" max="15634" width="9.109375" style="766" bestFit="1" customWidth="1"/>
    <col min="15635" max="15635" width="8.109375" style="766" customWidth="1"/>
    <col min="15636" max="15636" width="10.6640625" style="766" customWidth="1"/>
    <col min="15637" max="15637" width="11.88671875" style="766" bestFit="1" customWidth="1"/>
    <col min="15638" max="15638" width="10.88671875" style="766" customWidth="1"/>
    <col min="15639" max="15639" width="10.109375" style="766" customWidth="1"/>
    <col min="15640" max="15641" width="8.33203125" style="766" customWidth="1"/>
    <col min="15642" max="15642" width="18.33203125" style="766" customWidth="1"/>
    <col min="15643" max="15874" width="8.88671875" style="766"/>
    <col min="15875" max="15875" width="4.33203125" style="766" customWidth="1"/>
    <col min="15876" max="15876" width="16.6640625" style="766" customWidth="1"/>
    <col min="15877" max="15881" width="6.6640625" style="766" customWidth="1"/>
    <col min="15882" max="15882" width="10.6640625" style="766" customWidth="1"/>
    <col min="15883" max="15883" width="10.109375" style="766" customWidth="1"/>
    <col min="15884" max="15884" width="12.44140625" style="766" customWidth="1"/>
    <col min="15885" max="15885" width="8" style="766" customWidth="1"/>
    <col min="15886" max="15886" width="7.88671875" style="766" customWidth="1"/>
    <col min="15887" max="15889" width="6.6640625" style="766" customWidth="1"/>
    <col min="15890" max="15890" width="9.109375" style="766" bestFit="1" customWidth="1"/>
    <col min="15891" max="15891" width="8.109375" style="766" customWidth="1"/>
    <col min="15892" max="15892" width="10.6640625" style="766" customWidth="1"/>
    <col min="15893" max="15893" width="11.88671875" style="766" bestFit="1" customWidth="1"/>
    <col min="15894" max="15894" width="10.88671875" style="766" customWidth="1"/>
    <col min="15895" max="15895" width="10.109375" style="766" customWidth="1"/>
    <col min="15896" max="15897" width="8.33203125" style="766" customWidth="1"/>
    <col min="15898" max="15898" width="18.33203125" style="766" customWidth="1"/>
    <col min="15899" max="16130" width="8.88671875" style="766"/>
    <col min="16131" max="16131" width="4.33203125" style="766" customWidth="1"/>
    <col min="16132" max="16132" width="16.6640625" style="766" customWidth="1"/>
    <col min="16133" max="16137" width="6.6640625" style="766" customWidth="1"/>
    <col min="16138" max="16138" width="10.6640625" style="766" customWidth="1"/>
    <col min="16139" max="16139" width="10.109375" style="766" customWidth="1"/>
    <col min="16140" max="16140" width="12.44140625" style="766" customWidth="1"/>
    <col min="16141" max="16141" width="8" style="766" customWidth="1"/>
    <col min="16142" max="16142" width="7.88671875" style="766" customWidth="1"/>
    <col min="16143" max="16145" width="6.6640625" style="766" customWidth="1"/>
    <col min="16146" max="16146" width="9.109375" style="766" bestFit="1" customWidth="1"/>
    <col min="16147" max="16147" width="8.109375" style="766" customWidth="1"/>
    <col min="16148" max="16148" width="10.6640625" style="766" customWidth="1"/>
    <col min="16149" max="16149" width="11.88671875" style="766" bestFit="1" customWidth="1"/>
    <col min="16150" max="16150" width="10.88671875" style="766" customWidth="1"/>
    <col min="16151" max="16151" width="10.109375" style="766" customWidth="1"/>
    <col min="16152" max="16153" width="8.33203125" style="766" customWidth="1"/>
    <col min="16154" max="16154" width="18.33203125" style="766" customWidth="1"/>
    <col min="16155" max="16384" width="8.88671875" style="766"/>
  </cols>
  <sheetData>
    <row r="1" spans="1:26" x14ac:dyDescent="0.25">
      <c r="A1" s="765"/>
      <c r="B1" s="2836" t="s">
        <v>1660</v>
      </c>
      <c r="C1" s="2836"/>
      <c r="D1" s="2836"/>
      <c r="E1" s="2836"/>
      <c r="F1" s="2836"/>
      <c r="G1" s="2836"/>
      <c r="H1" s="2836" t="s">
        <v>1661</v>
      </c>
      <c r="I1" s="2836"/>
      <c r="J1" s="2836"/>
      <c r="K1" s="2836"/>
      <c r="L1" s="2836"/>
      <c r="M1" s="2836"/>
      <c r="N1" s="2836"/>
      <c r="O1" s="2836"/>
      <c r="P1" s="2836"/>
      <c r="Q1" s="2836"/>
      <c r="R1" s="2836"/>
      <c r="S1" s="2836"/>
      <c r="T1" s="2836"/>
      <c r="U1" s="2836"/>
      <c r="V1" s="2836"/>
      <c r="W1" s="2836"/>
      <c r="X1" s="2836"/>
      <c r="Y1" s="2836"/>
      <c r="Z1" s="2837"/>
    </row>
    <row r="2" spans="1:26" x14ac:dyDescent="0.25">
      <c r="A2" s="767"/>
      <c r="B2" s="768" t="s">
        <v>1662</v>
      </c>
      <c r="C2" s="769" t="s">
        <v>1663</v>
      </c>
      <c r="D2" s="770" t="s">
        <v>1700</v>
      </c>
      <c r="E2" s="770"/>
      <c r="F2" s="770"/>
      <c r="G2" s="771"/>
      <c r="H2" s="771"/>
      <c r="I2" s="772"/>
      <c r="J2" s="773"/>
      <c r="K2" s="773"/>
      <c r="L2" s="773"/>
      <c r="M2" s="774"/>
      <c r="N2" s="775"/>
      <c r="O2" s="2838"/>
      <c r="P2" s="2838"/>
      <c r="Q2" s="2838"/>
      <c r="R2" s="769"/>
      <c r="S2" s="776"/>
      <c r="T2" s="777"/>
      <c r="U2" s="777"/>
      <c r="V2" s="777"/>
      <c r="W2" s="777"/>
      <c r="X2" s="777"/>
      <c r="Y2" s="777"/>
      <c r="Z2" s="778"/>
    </row>
    <row r="3" spans="1:26" x14ac:dyDescent="0.25">
      <c r="A3" s="767"/>
      <c r="B3" s="779" t="s">
        <v>1664</v>
      </c>
      <c r="C3" s="780" t="s">
        <v>1663</v>
      </c>
      <c r="D3" s="788"/>
      <c r="E3" s="788"/>
      <c r="F3" s="788"/>
      <c r="G3" s="782"/>
      <c r="H3" s="782"/>
      <c r="I3" s="783"/>
      <c r="J3" s="784"/>
      <c r="K3" s="784"/>
      <c r="L3" s="784"/>
      <c r="M3" s="785"/>
      <c r="N3" s="786"/>
      <c r="O3" s="2839"/>
      <c r="P3" s="2839"/>
      <c r="Q3" s="2839"/>
      <c r="R3" s="780"/>
      <c r="S3" s="2840"/>
      <c r="T3" s="2840"/>
      <c r="U3" s="790"/>
      <c r="V3" s="790"/>
      <c r="W3" s="790"/>
      <c r="X3" s="790"/>
      <c r="Y3" s="790"/>
      <c r="Z3" s="791"/>
    </row>
    <row r="4" spans="1:26" ht="16.2" thickBot="1" x14ac:dyDescent="0.3">
      <c r="A4" s="767"/>
      <c r="B4" s="792" t="s">
        <v>1665</v>
      </c>
      <c r="C4" s="780" t="s">
        <v>1663</v>
      </c>
      <c r="D4" s="781" t="s">
        <v>1699</v>
      </c>
      <c r="E4" s="781"/>
      <c r="F4" s="781"/>
      <c r="G4" s="793"/>
      <c r="H4" s="794"/>
      <c r="I4" s="795"/>
      <c r="J4" s="796"/>
      <c r="K4" s="796"/>
      <c r="L4" s="796"/>
      <c r="M4" s="785"/>
      <c r="N4" s="797"/>
      <c r="O4" s="2841"/>
      <c r="P4" s="2841"/>
      <c r="Q4" s="2841"/>
      <c r="R4" s="780"/>
      <c r="S4" s="787"/>
      <c r="T4" s="788"/>
      <c r="U4" s="788"/>
      <c r="V4" s="788"/>
      <c r="W4" s="788"/>
      <c r="X4" s="788"/>
      <c r="Y4" s="788"/>
      <c r="Z4" s="789"/>
    </row>
    <row r="5" spans="1:26" ht="21.75" customHeight="1" x14ac:dyDescent="0.25">
      <c r="A5" s="767"/>
      <c r="B5" s="2818" t="s">
        <v>13</v>
      </c>
      <c r="C5" s="2818" t="s">
        <v>1666</v>
      </c>
      <c r="D5" s="2842" t="s">
        <v>1667</v>
      </c>
      <c r="E5" s="2818" t="s">
        <v>1668</v>
      </c>
      <c r="F5" s="2818" t="s">
        <v>1669</v>
      </c>
      <c r="G5" s="2824" t="s">
        <v>1670</v>
      </c>
      <c r="H5" s="2818" t="s">
        <v>1671</v>
      </c>
      <c r="I5" s="2821" t="s">
        <v>1672</v>
      </c>
      <c r="J5" s="2811" t="s">
        <v>1673</v>
      </c>
      <c r="K5" s="2811" t="s">
        <v>1674</v>
      </c>
      <c r="L5" s="2811" t="s">
        <v>1675</v>
      </c>
      <c r="M5" s="798" t="s">
        <v>1676</v>
      </c>
      <c r="N5" s="798" t="s">
        <v>1677</v>
      </c>
      <c r="O5" s="799" t="s">
        <v>1678</v>
      </c>
      <c r="P5" s="799" t="s">
        <v>1679</v>
      </c>
      <c r="Q5" s="799" t="s">
        <v>1680</v>
      </c>
      <c r="R5" s="2831" t="s">
        <v>1681</v>
      </c>
      <c r="S5" s="2832"/>
      <c r="T5" s="2832"/>
      <c r="U5" s="2832"/>
      <c r="V5" s="2832"/>
      <c r="W5" s="2832"/>
      <c r="X5" s="2833"/>
      <c r="Y5" s="800"/>
      <c r="Z5" s="2821" t="s">
        <v>1682</v>
      </c>
    </row>
    <row r="6" spans="1:26" ht="21.75" customHeight="1" x14ac:dyDescent="0.25">
      <c r="A6" s="767"/>
      <c r="B6" s="2819"/>
      <c r="C6" s="2819"/>
      <c r="D6" s="2843"/>
      <c r="E6" s="2819"/>
      <c r="F6" s="2819"/>
      <c r="G6" s="2819"/>
      <c r="H6" s="2819"/>
      <c r="I6" s="2822"/>
      <c r="J6" s="2812"/>
      <c r="K6" s="2812"/>
      <c r="L6" s="2812"/>
      <c r="M6" s="2825" t="s">
        <v>56</v>
      </c>
      <c r="N6" s="2825" t="s">
        <v>56</v>
      </c>
      <c r="O6" s="2825" t="s">
        <v>56</v>
      </c>
      <c r="P6" s="2825" t="s">
        <v>56</v>
      </c>
      <c r="Q6" s="2825" t="s">
        <v>56</v>
      </c>
      <c r="R6" s="2814" t="s">
        <v>1683</v>
      </c>
      <c r="S6" s="2827" t="s">
        <v>1684</v>
      </c>
      <c r="T6" s="2814" t="s">
        <v>1685</v>
      </c>
      <c r="U6" s="2829" t="s">
        <v>1686</v>
      </c>
      <c r="V6" s="2814" t="s">
        <v>1687</v>
      </c>
      <c r="W6" s="2834" t="s">
        <v>1688</v>
      </c>
      <c r="X6" s="2814" t="s">
        <v>1689</v>
      </c>
      <c r="Y6" s="2814" t="s">
        <v>1690</v>
      </c>
      <c r="Z6" s="2822"/>
    </row>
    <row r="7" spans="1:26" x14ac:dyDescent="0.25">
      <c r="A7" s="767"/>
      <c r="B7" s="2820"/>
      <c r="C7" s="2820"/>
      <c r="D7" s="2844"/>
      <c r="E7" s="2820"/>
      <c r="F7" s="2820"/>
      <c r="G7" s="2820"/>
      <c r="H7" s="2820"/>
      <c r="I7" s="2823"/>
      <c r="J7" s="2813"/>
      <c r="K7" s="2813"/>
      <c r="L7" s="2813"/>
      <c r="M7" s="2826"/>
      <c r="N7" s="2826"/>
      <c r="O7" s="2826"/>
      <c r="P7" s="2826"/>
      <c r="Q7" s="2826"/>
      <c r="R7" s="2815"/>
      <c r="S7" s="2828"/>
      <c r="T7" s="2815"/>
      <c r="U7" s="2830"/>
      <c r="V7" s="2815"/>
      <c r="W7" s="2835"/>
      <c r="X7" s="2815"/>
      <c r="Y7" s="2815"/>
      <c r="Z7" s="2823"/>
    </row>
    <row r="8" spans="1:26" x14ac:dyDescent="0.25">
      <c r="A8" s="767"/>
      <c r="B8" s="801"/>
      <c r="C8" s="802"/>
      <c r="D8" s="803"/>
      <c r="E8" s="803"/>
      <c r="F8" s="803"/>
      <c r="G8" s="804"/>
      <c r="H8" s="803"/>
      <c r="I8" s="805">
        <f>M8+N8+O8+P8+Q8</f>
        <v>0</v>
      </c>
      <c r="J8" s="806"/>
      <c r="K8" s="806">
        <v>6</v>
      </c>
      <c r="L8" s="806"/>
      <c r="M8" s="807"/>
      <c r="N8" s="808"/>
      <c r="O8" s="808"/>
      <c r="P8" s="809"/>
      <c r="Q8" s="810"/>
      <c r="R8" s="806" t="str">
        <f>IF(D8="R6",J8," ")</f>
        <v xml:space="preserve"> </v>
      </c>
      <c r="S8" s="806" t="str">
        <f>IF(D8="R8",J8," ")</f>
        <v xml:space="preserve"> </v>
      </c>
      <c r="T8" s="806" t="str">
        <f>IF(D8="T10",J8," ")</f>
        <v xml:space="preserve"> </v>
      </c>
      <c r="U8" s="806" t="str">
        <f>IF(D8="T12",J8," ")</f>
        <v xml:space="preserve"> </v>
      </c>
      <c r="V8" s="806" t="str">
        <f>IF(D8="T16",J8," ")</f>
        <v xml:space="preserve"> </v>
      </c>
      <c r="W8" s="806" t="str">
        <f>IF(D8="T20",J8," ")</f>
        <v xml:space="preserve"> </v>
      </c>
      <c r="X8" s="806" t="str">
        <f>IF(D8="T25",J8," ")</f>
        <v xml:space="preserve"> </v>
      </c>
      <c r="Y8" s="806" t="str">
        <f>IF(D8="T32",J8," ")</f>
        <v xml:space="preserve"> </v>
      </c>
      <c r="Z8" s="811"/>
    </row>
    <row r="9" spans="1:26" x14ac:dyDescent="0.25">
      <c r="A9" s="767"/>
      <c r="B9" s="812" t="s">
        <v>1691</v>
      </c>
      <c r="C9" s="802"/>
      <c r="D9" s="803"/>
      <c r="E9" s="803"/>
      <c r="F9" s="803"/>
      <c r="G9" s="804"/>
      <c r="H9" s="803"/>
      <c r="I9" s="805"/>
      <c r="J9" s="806"/>
      <c r="K9" s="806"/>
      <c r="L9" s="806"/>
      <c r="M9" s="807"/>
      <c r="N9" s="808"/>
      <c r="O9" s="808"/>
      <c r="P9" s="809"/>
      <c r="Q9" s="810"/>
      <c r="R9" s="806"/>
      <c r="S9" s="806"/>
      <c r="T9" s="806"/>
      <c r="U9" s="806"/>
      <c r="V9" s="806"/>
      <c r="W9" s="806"/>
      <c r="X9" s="806"/>
      <c r="Y9" s="806"/>
      <c r="Z9" s="811"/>
    </row>
    <row r="10" spans="1:26" x14ac:dyDescent="0.25">
      <c r="A10" s="767"/>
      <c r="B10" s="801" t="s">
        <v>1692</v>
      </c>
      <c r="C10" s="802" t="s">
        <v>1693</v>
      </c>
      <c r="D10" s="803" t="s">
        <v>1686</v>
      </c>
      <c r="E10" s="803">
        <v>10</v>
      </c>
      <c r="F10" s="803">
        <v>30</v>
      </c>
      <c r="G10" s="804">
        <f>F10*E10</f>
        <v>300</v>
      </c>
      <c r="H10" s="803"/>
      <c r="I10" s="805">
        <f>M10+N10+O10+P10+Q10</f>
        <v>2.12</v>
      </c>
      <c r="J10" s="806">
        <f>G10*I10</f>
        <v>636</v>
      </c>
      <c r="K10" s="806">
        <f>K6*0.888</f>
        <v>0</v>
      </c>
      <c r="L10" s="806"/>
      <c r="M10" s="807">
        <v>1.72</v>
      </c>
      <c r="N10" s="808">
        <v>0.2</v>
      </c>
      <c r="O10" s="808">
        <v>0.2</v>
      </c>
      <c r="P10" s="809"/>
      <c r="Q10" s="810"/>
      <c r="R10" s="806" t="str">
        <f>IF(D10="R6",J10," ")</f>
        <v xml:space="preserve"> </v>
      </c>
      <c r="S10" s="806" t="str">
        <f>IF(D10="R8",J10," ")</f>
        <v xml:space="preserve"> </v>
      </c>
      <c r="T10" s="806" t="str">
        <f>IF(D10="T10",J10," ")</f>
        <v xml:space="preserve"> </v>
      </c>
      <c r="U10" s="806">
        <f>IF(D10="T12",J10," ")</f>
        <v>636</v>
      </c>
      <c r="V10" s="806" t="str">
        <f>IF(D10="T16",J10," ")</f>
        <v xml:space="preserve"> </v>
      </c>
      <c r="W10" s="806" t="str">
        <f>IF(D10="T20",J10," ")</f>
        <v xml:space="preserve"> </v>
      </c>
      <c r="X10" s="806" t="str">
        <f>IF(D10="T25",J10," ")</f>
        <v xml:space="preserve"> </v>
      </c>
      <c r="Y10" s="806" t="str">
        <f>IF(D10="T32",J10," ")</f>
        <v xml:space="preserve"> </v>
      </c>
      <c r="Z10" s="811"/>
    </row>
    <row r="11" spans="1:26" x14ac:dyDescent="0.25">
      <c r="A11" s="767"/>
      <c r="B11" s="801" t="s">
        <v>1701</v>
      </c>
      <c r="C11" s="802" t="s">
        <v>1693</v>
      </c>
      <c r="D11" s="803" t="s">
        <v>1686</v>
      </c>
      <c r="E11" s="803">
        <v>14</v>
      </c>
      <c r="F11" s="803">
        <v>22</v>
      </c>
      <c r="G11" s="804">
        <f>F11*E11</f>
        <v>308</v>
      </c>
      <c r="H11" s="803"/>
      <c r="I11" s="805">
        <f>M11+N11+O11+P11+Q11</f>
        <v>1.8199999999999998</v>
      </c>
      <c r="J11" s="806">
        <f>G11*I11</f>
        <v>560.55999999999995</v>
      </c>
      <c r="K11" s="806">
        <f>K7*0.888</f>
        <v>0</v>
      </c>
      <c r="L11" s="806"/>
      <c r="M11" s="807">
        <v>1.42</v>
      </c>
      <c r="N11" s="808">
        <v>0.2</v>
      </c>
      <c r="O11" s="808">
        <v>0.2</v>
      </c>
      <c r="P11" s="809"/>
      <c r="Q11" s="810"/>
      <c r="R11" s="806" t="str">
        <f>IF(D11="R6",J11," ")</f>
        <v xml:space="preserve"> </v>
      </c>
      <c r="S11" s="806" t="str">
        <f>IF(D11="R8",J11," ")</f>
        <v xml:space="preserve"> </v>
      </c>
      <c r="T11" s="806" t="str">
        <f>IF(D11="T10",J11," ")</f>
        <v xml:space="preserve"> </v>
      </c>
      <c r="U11" s="806">
        <f>IF(D11="T12",J11," ")</f>
        <v>560.55999999999995</v>
      </c>
      <c r="V11" s="806" t="str">
        <f>IF(D11="T16",J11," ")</f>
        <v xml:space="preserve"> </v>
      </c>
      <c r="W11" s="806" t="str">
        <f>IF(D11="T20",J11," ")</f>
        <v xml:space="preserve"> </v>
      </c>
      <c r="X11" s="806" t="str">
        <f>IF(D11="T25",J11," ")</f>
        <v xml:space="preserve"> </v>
      </c>
      <c r="Y11" s="806" t="str">
        <f>IF(D11="T32",J11," ")</f>
        <v xml:space="preserve"> </v>
      </c>
      <c r="Z11" s="811"/>
    </row>
    <row r="12" spans="1:26" x14ac:dyDescent="0.25">
      <c r="A12" s="767"/>
      <c r="B12" s="801" t="s">
        <v>1702</v>
      </c>
      <c r="C12" s="802" t="s">
        <v>1693</v>
      </c>
      <c r="D12" s="803" t="s">
        <v>1686</v>
      </c>
      <c r="E12" s="803">
        <v>4</v>
      </c>
      <c r="F12" s="803">
        <v>16</v>
      </c>
      <c r="G12" s="804">
        <f>F12*E12</f>
        <v>64</v>
      </c>
      <c r="H12" s="803"/>
      <c r="I12" s="805">
        <f>M12+N12+O12+P12+Q12</f>
        <v>1.52</v>
      </c>
      <c r="J12" s="806">
        <f>G12*I12</f>
        <v>97.28</v>
      </c>
      <c r="K12" s="806">
        <f>K8*0.888</f>
        <v>5.3280000000000003</v>
      </c>
      <c r="L12" s="806"/>
      <c r="M12" s="807">
        <v>1.1200000000000001</v>
      </c>
      <c r="N12" s="808">
        <v>0.2</v>
      </c>
      <c r="O12" s="808">
        <v>0.2</v>
      </c>
      <c r="P12" s="809"/>
      <c r="Q12" s="810"/>
      <c r="R12" s="806" t="str">
        <f>IF(D12="R6",J12," ")</f>
        <v xml:space="preserve"> </v>
      </c>
      <c r="S12" s="806" t="str">
        <f>IF(D12="R8",J12," ")</f>
        <v xml:space="preserve"> </v>
      </c>
      <c r="T12" s="806" t="str">
        <f>IF(D12="T10",J12," ")</f>
        <v xml:space="preserve"> </v>
      </c>
      <c r="U12" s="806">
        <f>IF(D12="T12",J12," ")</f>
        <v>97.28</v>
      </c>
      <c r="V12" s="806" t="str">
        <f>IF(D12="T16",J12," ")</f>
        <v xml:space="preserve"> </v>
      </c>
      <c r="W12" s="806" t="str">
        <f>IF(D12="T20",J12," ")</f>
        <v xml:space="preserve"> </v>
      </c>
      <c r="X12" s="806" t="str">
        <f>IF(D12="T25",J12," ")</f>
        <v xml:space="preserve"> </v>
      </c>
      <c r="Y12" s="806" t="str">
        <f>IF(D12="T32",J12," ")</f>
        <v xml:space="preserve"> </v>
      </c>
      <c r="Z12" s="811"/>
    </row>
    <row r="13" spans="1:26" x14ac:dyDescent="0.25">
      <c r="A13" s="767"/>
      <c r="B13" s="801" t="s">
        <v>1703</v>
      </c>
      <c r="C13" s="802" t="s">
        <v>1693</v>
      </c>
      <c r="D13" s="803" t="s">
        <v>1686</v>
      </c>
      <c r="E13" s="803">
        <v>1</v>
      </c>
      <c r="F13" s="803">
        <v>64</v>
      </c>
      <c r="G13" s="804">
        <f>F13*E13</f>
        <v>64</v>
      </c>
      <c r="H13" s="803"/>
      <c r="I13" s="805">
        <f>M13+N13+O13+P13+Q13</f>
        <v>2.12</v>
      </c>
      <c r="J13" s="806">
        <f>G13*I13</f>
        <v>135.68</v>
      </c>
      <c r="K13" s="806">
        <f>K9*0.888</f>
        <v>0</v>
      </c>
      <c r="L13" s="806"/>
      <c r="M13" s="807">
        <v>1.72</v>
      </c>
      <c r="N13" s="808">
        <v>0.2</v>
      </c>
      <c r="O13" s="808">
        <v>0.2</v>
      </c>
      <c r="P13" s="809"/>
      <c r="Q13" s="810"/>
      <c r="R13" s="806" t="str">
        <f>IF(D13="R6",J13," ")</f>
        <v xml:space="preserve"> </v>
      </c>
      <c r="S13" s="806" t="str">
        <f>IF(D13="R8",J13," ")</f>
        <v xml:space="preserve"> </v>
      </c>
      <c r="T13" s="806" t="str">
        <f>IF(D13="T10",J13," ")</f>
        <v xml:space="preserve"> </v>
      </c>
      <c r="U13" s="806">
        <f>IF(D13="T12",J13," ")</f>
        <v>135.68</v>
      </c>
      <c r="V13" s="806" t="str">
        <f>IF(D13="T16",J13," ")</f>
        <v xml:space="preserve"> </v>
      </c>
      <c r="W13" s="806" t="str">
        <f>IF(D13="T20",J13," ")</f>
        <v xml:space="preserve"> </v>
      </c>
      <c r="X13" s="806" t="str">
        <f>IF(D13="T25",J13," ")</f>
        <v xml:space="preserve"> </v>
      </c>
      <c r="Y13" s="806" t="str">
        <f>IF(D13="T32",J13," ")</f>
        <v xml:space="preserve"> </v>
      </c>
      <c r="Z13" s="811"/>
    </row>
    <row r="14" spans="1:26" x14ac:dyDescent="0.25">
      <c r="A14" s="767"/>
      <c r="B14" s="801" t="s">
        <v>1703</v>
      </c>
      <c r="C14" s="802" t="s">
        <v>1693</v>
      </c>
      <c r="D14" s="803" t="s">
        <v>1686</v>
      </c>
      <c r="E14" s="803">
        <v>1</v>
      </c>
      <c r="F14" s="803">
        <v>44</v>
      </c>
      <c r="G14" s="804">
        <f>F14*E14</f>
        <v>44</v>
      </c>
      <c r="H14" s="803"/>
      <c r="I14" s="805">
        <f>M14+N14+O14+P14+Q14</f>
        <v>3.0200000000000005</v>
      </c>
      <c r="J14" s="806">
        <f>G14*I14</f>
        <v>132.88000000000002</v>
      </c>
      <c r="K14" s="806">
        <f>K10*0.888</f>
        <v>0</v>
      </c>
      <c r="L14" s="806"/>
      <c r="M14" s="807">
        <v>2.62</v>
      </c>
      <c r="N14" s="808">
        <v>0.2</v>
      </c>
      <c r="O14" s="808">
        <v>0.2</v>
      </c>
      <c r="P14" s="809"/>
      <c r="Q14" s="810"/>
      <c r="R14" s="806" t="str">
        <f>IF(D14="R6",J14," ")</f>
        <v xml:space="preserve"> </v>
      </c>
      <c r="S14" s="806" t="str">
        <f>IF(D14="R8",J14," ")</f>
        <v xml:space="preserve"> </v>
      </c>
      <c r="T14" s="806" t="str">
        <f>IF(D14="T10",J14," ")</f>
        <v xml:space="preserve"> </v>
      </c>
      <c r="U14" s="806">
        <f>IF(D14="T12",J14," ")</f>
        <v>132.88000000000002</v>
      </c>
      <c r="V14" s="806" t="str">
        <f>IF(D14="T16",J14," ")</f>
        <v xml:space="preserve"> </v>
      </c>
      <c r="W14" s="806" t="str">
        <f>IF(D14="T20",J14," ")</f>
        <v xml:space="preserve"> </v>
      </c>
      <c r="X14" s="806" t="str">
        <f>IF(D14="T25",J14," ")</f>
        <v xml:space="preserve"> </v>
      </c>
      <c r="Y14" s="806" t="str">
        <f>IF(D14="T32",J14," ")</f>
        <v xml:space="preserve"> </v>
      </c>
      <c r="Z14" s="811"/>
    </row>
    <row r="15" spans="1:26" x14ac:dyDescent="0.25">
      <c r="A15" s="767"/>
      <c r="B15" s="814"/>
      <c r="C15" s="802"/>
      <c r="D15" s="803"/>
      <c r="E15" s="803"/>
      <c r="F15" s="803"/>
      <c r="G15" s="804"/>
      <c r="H15" s="803"/>
      <c r="I15" s="805"/>
      <c r="J15" s="806"/>
      <c r="K15" s="806"/>
      <c r="L15" s="806"/>
      <c r="M15" s="807"/>
      <c r="N15" s="808"/>
      <c r="O15" s="808"/>
      <c r="P15" s="809"/>
      <c r="Q15" s="810"/>
      <c r="R15" s="806"/>
      <c r="S15" s="806"/>
      <c r="T15" s="806"/>
      <c r="U15" s="806"/>
      <c r="V15" s="806"/>
      <c r="W15" s="806"/>
      <c r="X15" s="806"/>
      <c r="Y15" s="806"/>
      <c r="Z15" s="811"/>
    </row>
    <row r="16" spans="1:26" x14ac:dyDescent="0.25">
      <c r="A16" s="767"/>
      <c r="B16" s="815" t="s">
        <v>1681</v>
      </c>
      <c r="C16" s="816"/>
      <c r="D16" s="817"/>
      <c r="E16" s="817"/>
      <c r="F16" s="817"/>
      <c r="G16" s="818"/>
      <c r="H16" s="819"/>
      <c r="I16" s="820"/>
      <c r="J16" s="821"/>
      <c r="K16" s="821"/>
      <c r="L16" s="821"/>
      <c r="M16" s="822"/>
      <c r="N16" s="823"/>
      <c r="O16" s="823"/>
      <c r="P16" s="823"/>
      <c r="Q16" s="823"/>
      <c r="R16" s="824">
        <f t="shared" ref="R16:Y16" si="0">SUM(R8:R15)</f>
        <v>0</v>
      </c>
      <c r="S16" s="824">
        <f t="shared" si="0"/>
        <v>0</v>
      </c>
      <c r="T16" s="824">
        <f t="shared" si="0"/>
        <v>0</v>
      </c>
      <c r="U16" s="824">
        <f t="shared" si="0"/>
        <v>1562.4</v>
      </c>
      <c r="V16" s="824">
        <f t="shared" si="0"/>
        <v>0</v>
      </c>
      <c r="W16" s="824">
        <f t="shared" si="0"/>
        <v>0</v>
      </c>
      <c r="X16" s="824">
        <f t="shared" si="0"/>
        <v>0</v>
      </c>
      <c r="Y16" s="824">
        <f t="shared" si="0"/>
        <v>0</v>
      </c>
      <c r="Z16" s="811"/>
    </row>
    <row r="17" spans="1:26" x14ac:dyDescent="0.25">
      <c r="A17" s="825"/>
      <c r="B17" s="815" t="s">
        <v>1694</v>
      </c>
      <c r="C17" s="826"/>
      <c r="D17" s="827"/>
      <c r="E17" s="827"/>
      <c r="F17" s="827"/>
      <c r="G17" s="828"/>
      <c r="H17" s="829"/>
      <c r="I17" s="830"/>
      <c r="J17" s="831"/>
      <c r="K17" s="831"/>
      <c r="L17" s="831"/>
      <c r="M17" s="832"/>
      <c r="N17" s="833"/>
      <c r="O17" s="833"/>
      <c r="P17" s="833"/>
      <c r="Q17" s="833"/>
      <c r="R17" s="833">
        <f>6*6/162.162</f>
        <v>0.22200022200022199</v>
      </c>
      <c r="S17" s="833">
        <f>8*8/162.162</f>
        <v>0.39466706133372798</v>
      </c>
      <c r="T17" s="833">
        <f>10*10/162.162</f>
        <v>0.61666728333394993</v>
      </c>
      <c r="U17" s="833">
        <f>12*12/162.162</f>
        <v>0.88800088800088794</v>
      </c>
      <c r="V17" s="833">
        <f>16*16/162.162</f>
        <v>1.5786682453349119</v>
      </c>
      <c r="W17" s="833">
        <f>20*20/162.162</f>
        <v>2.4666691333357997</v>
      </c>
      <c r="X17" s="833">
        <f>25*25/162.162</f>
        <v>3.8541705208371875</v>
      </c>
      <c r="Y17" s="833">
        <f>32*32/162.162</f>
        <v>6.3146729813396476</v>
      </c>
      <c r="Z17" s="834"/>
    </row>
    <row r="18" spans="1:26" x14ac:dyDescent="0.25">
      <c r="A18" s="792"/>
      <c r="B18" s="815" t="s">
        <v>1695</v>
      </c>
      <c r="C18" s="835"/>
      <c r="D18" s="836"/>
      <c r="E18" s="836"/>
      <c r="F18" s="836"/>
      <c r="G18" s="837"/>
      <c r="H18" s="838"/>
      <c r="I18" s="839"/>
      <c r="J18" s="840"/>
      <c r="K18" s="840"/>
      <c r="L18" s="840"/>
      <c r="M18" s="841"/>
      <c r="N18" s="842"/>
      <c r="O18" s="842"/>
      <c r="P18" s="842"/>
      <c r="Q18" s="842"/>
      <c r="R18" s="843">
        <f>+R17*R16</f>
        <v>0</v>
      </c>
      <c r="S18" s="843">
        <f t="shared" ref="S18:Y18" si="1">+S17*S16</f>
        <v>0</v>
      </c>
      <c r="T18" s="843">
        <f>+T17*T16</f>
        <v>0</v>
      </c>
      <c r="U18" s="843">
        <f>+U17*U16</f>
        <v>1387.4125874125873</v>
      </c>
      <c r="V18" s="843">
        <f>+V17*V16</f>
        <v>0</v>
      </c>
      <c r="W18" s="843">
        <f t="shared" si="1"/>
        <v>0</v>
      </c>
      <c r="X18" s="843">
        <f t="shared" si="1"/>
        <v>0</v>
      </c>
      <c r="Y18" s="843">
        <f t="shared" si="1"/>
        <v>0</v>
      </c>
      <c r="Z18" s="844">
        <f>Y18+X18+W18+V18+U18+T18+S18+R18</f>
        <v>1387.4125874125873</v>
      </c>
    </row>
    <row r="19" spans="1:26" x14ac:dyDescent="0.25">
      <c r="A19" s="792"/>
      <c r="B19" s="815"/>
      <c r="C19" s="873"/>
      <c r="D19" s="874"/>
      <c r="E19" s="874"/>
      <c r="F19" s="875"/>
      <c r="G19" s="876"/>
      <c r="H19" s="877"/>
      <c r="I19" s="878"/>
      <c r="J19" s="879"/>
      <c r="K19" s="879"/>
      <c r="L19" s="879"/>
      <c r="M19" s="880"/>
      <c r="N19" s="881"/>
      <c r="O19" s="881"/>
      <c r="P19" s="881"/>
      <c r="Q19" s="881"/>
      <c r="R19" s="882"/>
      <c r="S19" s="882"/>
      <c r="T19" s="882"/>
      <c r="U19" s="882"/>
      <c r="V19" s="882"/>
      <c r="W19" s="882"/>
      <c r="X19" s="882"/>
      <c r="Y19" s="882"/>
      <c r="Z19" s="883"/>
    </row>
    <row r="20" spans="1:26" x14ac:dyDescent="0.25">
      <c r="A20" s="792"/>
      <c r="B20" s="815"/>
      <c r="C20" s="873"/>
      <c r="D20" s="874"/>
      <c r="E20" s="874"/>
      <c r="F20" s="875"/>
      <c r="G20" s="876"/>
      <c r="H20" s="877"/>
      <c r="I20" s="878"/>
      <c r="J20" s="879"/>
      <c r="K20" s="879"/>
      <c r="L20" s="879"/>
      <c r="M20" s="880"/>
      <c r="N20" s="881"/>
      <c r="O20" s="881"/>
      <c r="P20" s="881"/>
      <c r="Q20" s="881"/>
      <c r="R20" s="882"/>
      <c r="S20" s="882"/>
      <c r="T20" s="882"/>
      <c r="U20" s="882"/>
      <c r="V20" s="882"/>
      <c r="W20" s="882"/>
      <c r="X20" s="882"/>
      <c r="Y20" s="882"/>
      <c r="Z20" s="883"/>
    </row>
    <row r="21" spans="1:26" ht="31.2" x14ac:dyDescent="0.25">
      <c r="A21" s="767"/>
      <c r="B21" s="812" t="s">
        <v>1707</v>
      </c>
      <c r="C21" s="802"/>
      <c r="D21" s="803"/>
      <c r="E21" s="803"/>
      <c r="F21" s="803"/>
      <c r="G21" s="804"/>
      <c r="H21" s="803"/>
      <c r="I21" s="805"/>
      <c r="J21" s="806"/>
      <c r="K21" s="806"/>
      <c r="L21" s="806"/>
      <c r="M21" s="807"/>
      <c r="N21" s="808"/>
      <c r="O21" s="808"/>
      <c r="P21" s="809"/>
      <c r="Q21" s="810"/>
      <c r="R21" s="806"/>
      <c r="S21" s="806"/>
      <c r="T21" s="806"/>
      <c r="U21" s="806"/>
      <c r="V21" s="806"/>
      <c r="W21" s="806"/>
      <c r="X21" s="806"/>
      <c r="Y21" s="806"/>
      <c r="Z21" s="811"/>
    </row>
    <row r="22" spans="1:26" x14ac:dyDescent="0.25">
      <c r="A22" s="767"/>
      <c r="B22" s="801" t="s">
        <v>1704</v>
      </c>
      <c r="C22" s="802" t="s">
        <v>1693</v>
      </c>
      <c r="D22" s="803" t="s">
        <v>1687</v>
      </c>
      <c r="E22" s="803">
        <v>32</v>
      </c>
      <c r="F22" s="803">
        <v>4</v>
      </c>
      <c r="G22" s="804">
        <f>F22*E22</f>
        <v>128</v>
      </c>
      <c r="H22" s="803"/>
      <c r="I22" s="805">
        <f>M22+N22+O22+P22+Q22</f>
        <v>1.97</v>
      </c>
      <c r="J22" s="806">
        <f>G22*I22</f>
        <v>252.16</v>
      </c>
      <c r="K22" s="806">
        <f>K18*0.888</f>
        <v>0</v>
      </c>
      <c r="L22" s="806"/>
      <c r="M22" s="807">
        <v>1.23</v>
      </c>
      <c r="N22" s="808">
        <v>0.74</v>
      </c>
      <c r="O22" s="808"/>
      <c r="P22" s="809"/>
      <c r="Q22" s="810"/>
      <c r="R22" s="806" t="str">
        <f>IF(D22="R6",J22," ")</f>
        <v xml:space="preserve"> </v>
      </c>
      <c r="S22" s="806" t="str">
        <f>IF(D22="R8",J22," ")</f>
        <v xml:space="preserve"> </v>
      </c>
      <c r="T22" s="806" t="str">
        <f>IF(D22="T10",J22," ")</f>
        <v xml:space="preserve"> </v>
      </c>
      <c r="U22" s="806" t="str">
        <f>IF(D22="T12",J22," ")</f>
        <v xml:space="preserve"> </v>
      </c>
      <c r="V22" s="806">
        <f>IF(D22="T16",J22," ")</f>
        <v>252.16</v>
      </c>
      <c r="W22" s="806" t="str">
        <f>IF(D22="T20",J22," ")</f>
        <v xml:space="preserve"> </v>
      </c>
      <c r="X22" s="806" t="str">
        <f>IF(D22="T25",J22," ")</f>
        <v xml:space="preserve"> </v>
      </c>
      <c r="Y22" s="806" t="str">
        <f>IF(D22="T32",J22," ")</f>
        <v xml:space="preserve"> </v>
      </c>
      <c r="Z22" s="811"/>
    </row>
    <row r="23" spans="1:26" x14ac:dyDescent="0.25">
      <c r="A23" s="767"/>
      <c r="B23" s="801" t="s">
        <v>1705</v>
      </c>
      <c r="C23" s="802" t="s">
        <v>1693</v>
      </c>
      <c r="D23" s="803" t="s">
        <v>1687</v>
      </c>
      <c r="E23" s="803">
        <v>4</v>
      </c>
      <c r="F23" s="803">
        <v>4</v>
      </c>
      <c r="G23" s="804">
        <f>F23*E23</f>
        <v>16</v>
      </c>
      <c r="H23" s="803"/>
      <c r="I23" s="805">
        <f>M23+N23+O23+P23+Q23</f>
        <v>1.97</v>
      </c>
      <c r="J23" s="806">
        <f>G23*I23</f>
        <v>31.52</v>
      </c>
      <c r="K23" s="806">
        <f>K19*0.888</f>
        <v>0</v>
      </c>
      <c r="L23" s="806"/>
      <c r="M23" s="807">
        <v>1.23</v>
      </c>
      <c r="N23" s="808">
        <v>0.74</v>
      </c>
      <c r="O23" s="808"/>
      <c r="P23" s="809"/>
      <c r="Q23" s="810"/>
      <c r="R23" s="806" t="str">
        <f>IF(D23="R6",J23," ")</f>
        <v xml:space="preserve"> </v>
      </c>
      <c r="S23" s="806" t="str">
        <f>IF(D23="R8",J23," ")</f>
        <v xml:space="preserve"> </v>
      </c>
      <c r="T23" s="806" t="str">
        <f>IF(D23="T10",J23," ")</f>
        <v xml:space="preserve"> </v>
      </c>
      <c r="U23" s="806" t="str">
        <f>IF(D23="T12",J23," ")</f>
        <v xml:space="preserve"> </v>
      </c>
      <c r="V23" s="806">
        <f>IF(D23="T16",J23," ")</f>
        <v>31.52</v>
      </c>
      <c r="W23" s="806" t="str">
        <f>IF(D23="T20",J23," ")</f>
        <v xml:space="preserve"> </v>
      </c>
      <c r="X23" s="806" t="str">
        <f>IF(D23="T25",J23," ")</f>
        <v xml:space="preserve"> </v>
      </c>
      <c r="Y23" s="806" t="str">
        <f>IF(D23="T32",J23," ")</f>
        <v xml:space="preserve"> </v>
      </c>
      <c r="Z23" s="811"/>
    </row>
    <row r="24" spans="1:26" x14ac:dyDescent="0.25">
      <c r="A24" s="767"/>
      <c r="B24" s="814"/>
      <c r="C24" s="802"/>
      <c r="D24" s="803"/>
      <c r="E24" s="803"/>
      <c r="F24" s="803"/>
      <c r="G24" s="804"/>
      <c r="H24" s="803"/>
      <c r="I24" s="805"/>
      <c r="J24" s="806"/>
      <c r="K24" s="806"/>
      <c r="L24" s="806"/>
      <c r="M24" s="807"/>
      <c r="N24" s="808"/>
      <c r="O24" s="808"/>
      <c r="P24" s="809"/>
      <c r="Q24" s="810"/>
      <c r="R24" s="806"/>
      <c r="S24" s="806"/>
      <c r="T24" s="806"/>
      <c r="U24" s="806"/>
      <c r="V24" s="806"/>
      <c r="W24" s="806"/>
      <c r="X24" s="806"/>
      <c r="Y24" s="806"/>
      <c r="Z24" s="811"/>
    </row>
    <row r="25" spans="1:26" x14ac:dyDescent="0.25">
      <c r="A25" s="767"/>
      <c r="B25" s="815" t="s">
        <v>1681</v>
      </c>
      <c r="C25" s="816"/>
      <c r="D25" s="817"/>
      <c r="E25" s="817"/>
      <c r="F25" s="817"/>
      <c r="G25" s="818"/>
      <c r="H25" s="819"/>
      <c r="I25" s="820"/>
      <c r="J25" s="821"/>
      <c r="K25" s="821"/>
      <c r="L25" s="821"/>
      <c r="M25" s="822"/>
      <c r="N25" s="823"/>
      <c r="O25" s="823"/>
      <c r="P25" s="823"/>
      <c r="Q25" s="823"/>
      <c r="R25" s="824">
        <f t="shared" ref="R25:Y25" si="2">SUM(R20:R24)</f>
        <v>0</v>
      </c>
      <c r="S25" s="824">
        <f t="shared" si="2"/>
        <v>0</v>
      </c>
      <c r="T25" s="824">
        <f t="shared" si="2"/>
        <v>0</v>
      </c>
      <c r="U25" s="824">
        <f t="shared" si="2"/>
        <v>0</v>
      </c>
      <c r="V25" s="824">
        <f t="shared" si="2"/>
        <v>283.68</v>
      </c>
      <c r="W25" s="824">
        <f t="shared" si="2"/>
        <v>0</v>
      </c>
      <c r="X25" s="824">
        <f t="shared" si="2"/>
        <v>0</v>
      </c>
      <c r="Y25" s="824">
        <f t="shared" si="2"/>
        <v>0</v>
      </c>
      <c r="Z25" s="811"/>
    </row>
    <row r="26" spans="1:26" x14ac:dyDescent="0.25">
      <c r="A26" s="825"/>
      <c r="B26" s="815" t="s">
        <v>1694</v>
      </c>
      <c r="C26" s="826"/>
      <c r="D26" s="827"/>
      <c r="E26" s="827"/>
      <c r="F26" s="827"/>
      <c r="G26" s="828"/>
      <c r="H26" s="829"/>
      <c r="I26" s="830"/>
      <c r="J26" s="831"/>
      <c r="K26" s="831"/>
      <c r="L26" s="831"/>
      <c r="M26" s="832"/>
      <c r="N26" s="833"/>
      <c r="O26" s="833"/>
      <c r="P26" s="833"/>
      <c r="Q26" s="833"/>
      <c r="R26" s="833">
        <f>6*6/162.162</f>
        <v>0.22200022200022199</v>
      </c>
      <c r="S26" s="833">
        <f>8*8/162.162</f>
        <v>0.39466706133372798</v>
      </c>
      <c r="T26" s="833">
        <f>10*10/162.162</f>
        <v>0.61666728333394993</v>
      </c>
      <c r="U26" s="833">
        <f>12*12/162.162</f>
        <v>0.88800088800088794</v>
      </c>
      <c r="V26" s="833">
        <f>16*16/162.162</f>
        <v>1.5786682453349119</v>
      </c>
      <c r="W26" s="833">
        <f>20*20/162.162</f>
        <v>2.4666691333357997</v>
      </c>
      <c r="X26" s="833">
        <f>25*25/162.162</f>
        <v>3.8541705208371875</v>
      </c>
      <c r="Y26" s="833">
        <f>32*32/162.162</f>
        <v>6.3146729813396476</v>
      </c>
      <c r="Z26" s="834"/>
    </row>
    <row r="27" spans="1:26" x14ac:dyDescent="0.25">
      <c r="A27" s="792"/>
      <c r="B27" s="815" t="s">
        <v>1695</v>
      </c>
      <c r="C27" s="835"/>
      <c r="D27" s="836"/>
      <c r="E27" s="836"/>
      <c r="F27" s="836"/>
      <c r="G27" s="837"/>
      <c r="H27" s="838"/>
      <c r="I27" s="839"/>
      <c r="J27" s="840"/>
      <c r="K27" s="840"/>
      <c r="L27" s="840"/>
      <c r="M27" s="841"/>
      <c r="N27" s="842"/>
      <c r="O27" s="842"/>
      <c r="P27" s="842"/>
      <c r="Q27" s="842"/>
      <c r="R27" s="843">
        <f>+R26*R25</f>
        <v>0</v>
      </c>
      <c r="S27" s="843">
        <f t="shared" ref="S27" si="3">+S26*S25</f>
        <v>0</v>
      </c>
      <c r="T27" s="843">
        <f>+T26*T25</f>
        <v>0</v>
      </c>
      <c r="U27" s="843">
        <f>+U26*U25</f>
        <v>0</v>
      </c>
      <c r="V27" s="843">
        <f>+V26*V25</f>
        <v>447.83660783660781</v>
      </c>
      <c r="W27" s="843">
        <f t="shared" ref="W27:Y27" si="4">+W26*W25</f>
        <v>0</v>
      </c>
      <c r="X27" s="843">
        <f t="shared" si="4"/>
        <v>0</v>
      </c>
      <c r="Y27" s="843">
        <f t="shared" si="4"/>
        <v>0</v>
      </c>
      <c r="Z27" s="844">
        <f>Y27+X27+W27+V27+U27+T27+S27+R27</f>
        <v>447.83660783660781</v>
      </c>
    </row>
    <row r="28" spans="1:26" x14ac:dyDescent="0.25">
      <c r="A28" s="792"/>
      <c r="B28" s="815"/>
      <c r="C28" s="873"/>
      <c r="D28" s="874"/>
      <c r="E28" s="874"/>
      <c r="F28" s="875"/>
      <c r="G28" s="876"/>
      <c r="H28" s="877"/>
      <c r="I28" s="878"/>
      <c r="J28" s="879"/>
      <c r="K28" s="879"/>
      <c r="L28" s="879"/>
      <c r="M28" s="880"/>
      <c r="N28" s="881"/>
      <c r="O28" s="881"/>
      <c r="P28" s="881"/>
      <c r="Q28" s="881"/>
      <c r="R28" s="882"/>
      <c r="S28" s="882"/>
      <c r="T28" s="882"/>
      <c r="U28" s="882"/>
      <c r="V28" s="882"/>
      <c r="W28" s="882"/>
      <c r="X28" s="882"/>
      <c r="Y28" s="882"/>
      <c r="Z28" s="883"/>
    </row>
    <row r="29" spans="1:26" x14ac:dyDescent="0.25">
      <c r="A29" s="792"/>
      <c r="B29" s="815"/>
      <c r="C29" s="873"/>
      <c r="D29" s="874"/>
      <c r="E29" s="874"/>
      <c r="F29" s="875"/>
      <c r="G29" s="876"/>
      <c r="H29" s="877"/>
      <c r="I29" s="878"/>
      <c r="J29" s="879"/>
      <c r="K29" s="879"/>
      <c r="L29" s="879"/>
      <c r="M29" s="880"/>
      <c r="N29" s="881"/>
      <c r="O29" s="881"/>
      <c r="P29" s="881"/>
      <c r="Q29" s="881"/>
      <c r="R29" s="882"/>
      <c r="S29" s="882"/>
      <c r="T29" s="882"/>
      <c r="U29" s="882"/>
      <c r="V29" s="882"/>
      <c r="W29" s="882"/>
      <c r="X29" s="882"/>
      <c r="Y29" s="882"/>
      <c r="Z29" s="883"/>
    </row>
    <row r="30" spans="1:26" x14ac:dyDescent="0.25">
      <c r="A30" s="767"/>
      <c r="B30" s="813" t="s">
        <v>1708</v>
      </c>
      <c r="C30" s="802"/>
      <c r="D30" s="803"/>
      <c r="E30" s="803"/>
      <c r="F30" s="803"/>
      <c r="G30" s="804"/>
      <c r="H30" s="803"/>
      <c r="I30" s="805"/>
      <c r="J30" s="806"/>
      <c r="K30" s="806"/>
      <c r="L30" s="806"/>
      <c r="M30" s="807"/>
      <c r="N30" s="808"/>
      <c r="O30" s="808"/>
      <c r="P30" s="809"/>
      <c r="Q30" s="810"/>
      <c r="R30" s="806"/>
      <c r="S30" s="806"/>
      <c r="T30" s="806"/>
      <c r="U30" s="806"/>
      <c r="V30" s="806"/>
      <c r="W30" s="806"/>
      <c r="X30" s="806"/>
      <c r="Y30" s="806"/>
      <c r="Z30" s="811"/>
    </row>
    <row r="31" spans="1:26" x14ac:dyDescent="0.25">
      <c r="A31" s="767"/>
      <c r="B31" s="801" t="s">
        <v>1709</v>
      </c>
      <c r="C31" s="802" t="s">
        <v>1693</v>
      </c>
      <c r="D31" s="803" t="s">
        <v>1687</v>
      </c>
      <c r="E31" s="803">
        <v>1</v>
      </c>
      <c r="F31" s="803">
        <v>4</v>
      </c>
      <c r="G31" s="804">
        <f>F31*E31</f>
        <v>4</v>
      </c>
      <c r="H31" s="803"/>
      <c r="I31" s="805">
        <f>M31+N31+O31+P31+Q31</f>
        <v>179</v>
      </c>
      <c r="J31" s="806">
        <f>G31*I31</f>
        <v>716</v>
      </c>
      <c r="K31" s="806">
        <f>K27*0.888</f>
        <v>0</v>
      </c>
      <c r="L31" s="806"/>
      <c r="M31" s="807">
        <v>179</v>
      </c>
      <c r="N31" s="808"/>
      <c r="O31" s="808"/>
      <c r="P31" s="809"/>
      <c r="Q31" s="810"/>
      <c r="R31" s="806" t="str">
        <f>IF(D31="R6",J31," ")</f>
        <v xml:space="preserve"> </v>
      </c>
      <c r="S31" s="806" t="str">
        <f>IF(D31="R8",J31," ")</f>
        <v xml:space="preserve"> </v>
      </c>
      <c r="T31" s="806" t="str">
        <f>IF(D31="T10",J31," ")</f>
        <v xml:space="preserve"> </v>
      </c>
      <c r="U31" s="806" t="str">
        <f>IF(D31="T12",J31," ")</f>
        <v xml:space="preserve"> </v>
      </c>
      <c r="V31" s="806">
        <f>IF(D31="T16",J31," ")</f>
        <v>716</v>
      </c>
      <c r="W31" s="806" t="str">
        <f>IF(D31="T20",J31," ")</f>
        <v xml:space="preserve"> </v>
      </c>
      <c r="X31" s="806" t="str">
        <f>IF(D31="T25",J31," ")</f>
        <v xml:space="preserve"> </v>
      </c>
      <c r="Y31" s="806" t="str">
        <f>IF(D31="T32",J31," ")</f>
        <v xml:space="preserve"> </v>
      </c>
      <c r="Z31" s="811"/>
    </row>
    <row r="32" spans="1:26" x14ac:dyDescent="0.25">
      <c r="A32" s="767"/>
      <c r="B32" s="801" t="s">
        <v>1710</v>
      </c>
      <c r="C32" s="802" t="s">
        <v>1693</v>
      </c>
      <c r="D32" s="803" t="s">
        <v>1687</v>
      </c>
      <c r="E32" s="803">
        <v>1</v>
      </c>
      <c r="F32" s="803">
        <v>4</v>
      </c>
      <c r="G32" s="804">
        <f>F32*E32</f>
        <v>4</v>
      </c>
      <c r="H32" s="803"/>
      <c r="I32" s="805">
        <f>M32+N32+O32+P32+Q32</f>
        <v>48</v>
      </c>
      <c r="J32" s="806">
        <f>G32*I32</f>
        <v>192</v>
      </c>
      <c r="K32" s="806">
        <f>K28*0.888</f>
        <v>0</v>
      </c>
      <c r="L32" s="806"/>
      <c r="M32" s="807">
        <v>48</v>
      </c>
      <c r="N32" s="808"/>
      <c r="O32" s="808"/>
      <c r="P32" s="809"/>
      <c r="Q32" s="810"/>
      <c r="R32" s="806" t="str">
        <f>IF(D32="R6",J32," ")</f>
        <v xml:space="preserve"> </v>
      </c>
      <c r="S32" s="806" t="str">
        <f>IF(D32="R8",J32," ")</f>
        <v xml:space="preserve"> </v>
      </c>
      <c r="T32" s="806" t="str">
        <f>IF(D32="T10",J32," ")</f>
        <v xml:space="preserve"> </v>
      </c>
      <c r="U32" s="806" t="str">
        <f>IF(D32="T12",J32," ")</f>
        <v xml:space="preserve"> </v>
      </c>
      <c r="V32" s="806">
        <f>IF(D32="T16",J32," ")</f>
        <v>192</v>
      </c>
      <c r="W32" s="806" t="str">
        <f>IF(D32="T20",J32," ")</f>
        <v xml:space="preserve"> </v>
      </c>
      <c r="X32" s="806" t="str">
        <f>IF(D32="T25",J32," ")</f>
        <v xml:space="preserve"> </v>
      </c>
      <c r="Y32" s="806" t="str">
        <f>IF(D32="T32",J32," ")</f>
        <v xml:space="preserve"> </v>
      </c>
      <c r="Z32" s="811"/>
    </row>
    <row r="33" spans="1:26" x14ac:dyDescent="0.25">
      <c r="A33" s="767"/>
      <c r="B33" s="814"/>
      <c r="C33" s="802"/>
      <c r="D33" s="803"/>
      <c r="E33" s="803"/>
      <c r="F33" s="803"/>
      <c r="G33" s="804"/>
      <c r="H33" s="803"/>
      <c r="I33" s="805"/>
      <c r="J33" s="806"/>
      <c r="K33" s="806"/>
      <c r="L33" s="806"/>
      <c r="M33" s="807"/>
      <c r="N33" s="808"/>
      <c r="O33" s="808"/>
      <c r="P33" s="809"/>
      <c r="Q33" s="810"/>
      <c r="R33" s="806"/>
      <c r="S33" s="806"/>
      <c r="T33" s="806"/>
      <c r="U33" s="806"/>
      <c r="V33" s="806"/>
      <c r="W33" s="806"/>
      <c r="X33" s="806"/>
      <c r="Y33" s="806"/>
      <c r="Z33" s="811"/>
    </row>
    <row r="34" spans="1:26" x14ac:dyDescent="0.25">
      <c r="A34" s="767"/>
      <c r="B34" s="815" t="s">
        <v>1681</v>
      </c>
      <c r="C34" s="816"/>
      <c r="D34" s="817"/>
      <c r="E34" s="817"/>
      <c r="F34" s="817"/>
      <c r="G34" s="818"/>
      <c r="H34" s="819"/>
      <c r="I34" s="820"/>
      <c r="J34" s="821"/>
      <c r="K34" s="821"/>
      <c r="L34" s="821"/>
      <c r="M34" s="822"/>
      <c r="N34" s="823"/>
      <c r="O34" s="823"/>
      <c r="P34" s="823"/>
      <c r="Q34" s="823"/>
      <c r="R34" s="824">
        <f t="shared" ref="R34:Y34" si="5">SUM(R29:R33)</f>
        <v>0</v>
      </c>
      <c r="S34" s="824">
        <f t="shared" si="5"/>
        <v>0</v>
      </c>
      <c r="T34" s="824">
        <f t="shared" si="5"/>
        <v>0</v>
      </c>
      <c r="U34" s="824">
        <f t="shared" si="5"/>
        <v>0</v>
      </c>
      <c r="V34" s="824">
        <f t="shared" si="5"/>
        <v>908</v>
      </c>
      <c r="W34" s="824">
        <f t="shared" si="5"/>
        <v>0</v>
      </c>
      <c r="X34" s="824">
        <f t="shared" si="5"/>
        <v>0</v>
      </c>
      <c r="Y34" s="824">
        <f t="shared" si="5"/>
        <v>0</v>
      </c>
      <c r="Z34" s="811"/>
    </row>
    <row r="35" spans="1:26" x14ac:dyDescent="0.25">
      <c r="A35" s="825"/>
      <c r="B35" s="815" t="s">
        <v>1694</v>
      </c>
      <c r="C35" s="826"/>
      <c r="D35" s="827"/>
      <c r="E35" s="827"/>
      <c r="F35" s="827"/>
      <c r="G35" s="828"/>
      <c r="H35" s="829"/>
      <c r="I35" s="830"/>
      <c r="J35" s="831"/>
      <c r="K35" s="831"/>
      <c r="L35" s="831"/>
      <c r="M35" s="832"/>
      <c r="N35" s="833"/>
      <c r="O35" s="833"/>
      <c r="P35" s="833"/>
      <c r="Q35" s="833"/>
      <c r="R35" s="833">
        <f>6*6/162.162</f>
        <v>0.22200022200022199</v>
      </c>
      <c r="S35" s="833">
        <f>8*8/162.162</f>
        <v>0.39466706133372798</v>
      </c>
      <c r="T35" s="833">
        <f>10*10/162.162</f>
        <v>0.61666728333394993</v>
      </c>
      <c r="U35" s="833">
        <f>12*12/162.162</f>
        <v>0.88800088800088794</v>
      </c>
      <c r="V35" s="833">
        <f>16*16/162.162</f>
        <v>1.5786682453349119</v>
      </c>
      <c r="W35" s="833">
        <f>20*20/162.162</f>
        <v>2.4666691333357997</v>
      </c>
      <c r="X35" s="833">
        <f>25*25/162.162</f>
        <v>3.8541705208371875</v>
      </c>
      <c r="Y35" s="833">
        <f>32*32/162.162</f>
        <v>6.3146729813396476</v>
      </c>
      <c r="Z35" s="834"/>
    </row>
    <row r="36" spans="1:26" x14ac:dyDescent="0.25">
      <c r="A36" s="792"/>
      <c r="B36" s="815" t="s">
        <v>1695</v>
      </c>
      <c r="C36" s="835"/>
      <c r="D36" s="836"/>
      <c r="E36" s="836"/>
      <c r="F36" s="836"/>
      <c r="G36" s="837"/>
      <c r="H36" s="838"/>
      <c r="I36" s="839"/>
      <c r="J36" s="840"/>
      <c r="K36" s="840"/>
      <c r="L36" s="840"/>
      <c r="M36" s="841"/>
      <c r="N36" s="842"/>
      <c r="O36" s="842"/>
      <c r="P36" s="842"/>
      <c r="Q36" s="842"/>
      <c r="R36" s="843">
        <f>+R35*R34</f>
        <v>0</v>
      </c>
      <c r="S36" s="843">
        <f t="shared" ref="S36" si="6">+S35*S34</f>
        <v>0</v>
      </c>
      <c r="T36" s="843">
        <f>+T35*T34</f>
        <v>0</v>
      </c>
      <c r="U36" s="843">
        <f>+U35*U34</f>
        <v>0</v>
      </c>
      <c r="V36" s="843">
        <f>+V35*V34</f>
        <v>1433.4307667641001</v>
      </c>
      <c r="W36" s="843">
        <f t="shared" ref="W36:Y36" si="7">+W35*W34</f>
        <v>0</v>
      </c>
      <c r="X36" s="843">
        <f t="shared" si="7"/>
        <v>0</v>
      </c>
      <c r="Y36" s="843">
        <f t="shared" si="7"/>
        <v>0</v>
      </c>
      <c r="Z36" s="844">
        <f>Y36+X36+W36+V36+U36+T36+S36+R36</f>
        <v>1433.4307667641001</v>
      </c>
    </row>
    <row r="37" spans="1:26" x14ac:dyDescent="0.25">
      <c r="A37" s="792"/>
      <c r="B37" s="815"/>
      <c r="C37" s="873"/>
      <c r="D37" s="874"/>
      <c r="E37" s="874"/>
      <c r="F37" s="875"/>
      <c r="G37" s="876"/>
      <c r="H37" s="877"/>
      <c r="I37" s="878"/>
      <c r="J37" s="879"/>
      <c r="K37" s="879"/>
      <c r="L37" s="879"/>
      <c r="M37" s="880"/>
      <c r="N37" s="881"/>
      <c r="O37" s="881"/>
      <c r="P37" s="881"/>
      <c r="Q37" s="881"/>
      <c r="R37" s="882"/>
      <c r="S37" s="882"/>
      <c r="T37" s="882"/>
      <c r="U37" s="882"/>
      <c r="V37" s="882"/>
      <c r="W37" s="882"/>
      <c r="X37" s="882"/>
      <c r="Y37" s="882"/>
      <c r="Z37" s="883"/>
    </row>
    <row r="38" spans="1:26" ht="31.2" x14ac:dyDescent="0.25">
      <c r="A38" s="767"/>
      <c r="B38" s="812" t="s">
        <v>1712</v>
      </c>
      <c r="C38" s="802"/>
      <c r="D38" s="803"/>
      <c r="E38" s="803"/>
      <c r="F38" s="803"/>
      <c r="G38" s="804"/>
      <c r="H38" s="803"/>
      <c r="I38" s="805"/>
      <c r="J38" s="806"/>
      <c r="K38" s="806"/>
      <c r="L38" s="806"/>
      <c r="M38" s="807"/>
      <c r="N38" s="808"/>
      <c r="O38" s="808"/>
      <c r="P38" s="809"/>
      <c r="Q38" s="810"/>
      <c r="R38" s="806"/>
      <c r="S38" s="806"/>
      <c r="T38" s="806"/>
      <c r="U38" s="806"/>
      <c r="V38" s="806"/>
      <c r="W38" s="806"/>
      <c r="X38" s="806"/>
      <c r="Y38" s="806"/>
      <c r="Z38" s="811"/>
    </row>
    <row r="39" spans="1:26" x14ac:dyDescent="0.25">
      <c r="A39" s="767"/>
      <c r="B39" s="801" t="s">
        <v>1704</v>
      </c>
      <c r="C39" s="802" t="s">
        <v>1693</v>
      </c>
      <c r="D39" s="803" t="s">
        <v>1687</v>
      </c>
      <c r="E39" s="803">
        <v>32</v>
      </c>
      <c r="F39" s="803">
        <v>4</v>
      </c>
      <c r="G39" s="804">
        <f>F39*E39</f>
        <v>128</v>
      </c>
      <c r="H39" s="803"/>
      <c r="I39" s="805">
        <f>M39+N39+O39+P39+Q39</f>
        <v>4</v>
      </c>
      <c r="J39" s="806">
        <f>G39*I39</f>
        <v>512</v>
      </c>
      <c r="K39" s="806">
        <f>K35*0.888</f>
        <v>0</v>
      </c>
      <c r="L39" s="806"/>
      <c r="M39" s="807">
        <v>4</v>
      </c>
      <c r="N39" s="808"/>
      <c r="O39" s="808"/>
      <c r="P39" s="809"/>
      <c r="Q39" s="810"/>
      <c r="R39" s="806" t="str">
        <f>IF(D39="R6",J39," ")</f>
        <v xml:space="preserve"> </v>
      </c>
      <c r="S39" s="806" t="str">
        <f>IF(D39="R8",J39," ")</f>
        <v xml:space="preserve"> </v>
      </c>
      <c r="T39" s="806" t="str">
        <f>IF(D39="T10",J39," ")</f>
        <v xml:space="preserve"> </v>
      </c>
      <c r="U39" s="806" t="str">
        <f>IF(D39="T12",J39," ")</f>
        <v xml:space="preserve"> </v>
      </c>
      <c r="V39" s="806">
        <f>IF(D39="T16",J39," ")</f>
        <v>512</v>
      </c>
      <c r="W39" s="806" t="str">
        <f>IF(D39="T20",J39," ")</f>
        <v xml:space="preserve"> </v>
      </c>
      <c r="X39" s="806" t="str">
        <f>IF(D39="T25",J39," ")</f>
        <v xml:space="preserve"> </v>
      </c>
      <c r="Y39" s="806" t="str">
        <f>IF(D39="T32",J39," ")</f>
        <v xml:space="preserve"> </v>
      </c>
      <c r="Z39" s="811"/>
    </row>
    <row r="40" spans="1:26" x14ac:dyDescent="0.25">
      <c r="A40" s="767"/>
      <c r="B40" s="801" t="s">
        <v>1705</v>
      </c>
      <c r="C40" s="802" t="s">
        <v>1693</v>
      </c>
      <c r="D40" s="803" t="s">
        <v>1687</v>
      </c>
      <c r="E40" s="803">
        <v>4</v>
      </c>
      <c r="F40" s="803">
        <v>4</v>
      </c>
      <c r="G40" s="804">
        <f>F40*E40</f>
        <v>16</v>
      </c>
      <c r="H40" s="803"/>
      <c r="I40" s="805">
        <f>M40+N40+O40+P40+Q40</f>
        <v>4</v>
      </c>
      <c r="J40" s="806">
        <f>G40*I40</f>
        <v>64</v>
      </c>
      <c r="K40" s="806">
        <f>K36*0.888</f>
        <v>0</v>
      </c>
      <c r="L40" s="806"/>
      <c r="M40" s="807">
        <v>4</v>
      </c>
      <c r="N40" s="808"/>
      <c r="O40" s="808"/>
      <c r="P40" s="809"/>
      <c r="Q40" s="810"/>
      <c r="R40" s="806" t="str">
        <f>IF(D40="R6",J40," ")</f>
        <v xml:space="preserve"> </v>
      </c>
      <c r="S40" s="806" t="str">
        <f>IF(D40="R8",J40," ")</f>
        <v xml:space="preserve"> </v>
      </c>
      <c r="T40" s="806" t="str">
        <f>IF(D40="T10",J40," ")</f>
        <v xml:space="preserve"> </v>
      </c>
      <c r="U40" s="806" t="str">
        <f>IF(D40="T12",J40," ")</f>
        <v xml:space="preserve"> </v>
      </c>
      <c r="V40" s="806">
        <f>IF(D40="T16",J40," ")</f>
        <v>64</v>
      </c>
      <c r="W40" s="806" t="str">
        <f>IF(D40="T20",J40," ")</f>
        <v xml:space="preserve"> </v>
      </c>
      <c r="X40" s="806" t="str">
        <f>IF(D40="T25",J40," ")</f>
        <v xml:space="preserve"> </v>
      </c>
      <c r="Y40" s="806" t="str">
        <f>IF(D40="T32",J40," ")</f>
        <v xml:space="preserve"> </v>
      </c>
      <c r="Z40" s="811"/>
    </row>
    <row r="41" spans="1:26" x14ac:dyDescent="0.25">
      <c r="A41" s="767"/>
      <c r="B41" s="814"/>
      <c r="C41" s="802"/>
      <c r="D41" s="803"/>
      <c r="E41" s="803"/>
      <c r="F41" s="803"/>
      <c r="G41" s="804"/>
      <c r="H41" s="803"/>
      <c r="I41" s="805"/>
      <c r="J41" s="806"/>
      <c r="K41" s="806"/>
      <c r="L41" s="806"/>
      <c r="M41" s="807"/>
      <c r="N41" s="808"/>
      <c r="O41" s="808"/>
      <c r="P41" s="809"/>
      <c r="Q41" s="810"/>
      <c r="R41" s="806"/>
      <c r="S41" s="806"/>
      <c r="T41" s="806"/>
      <c r="U41" s="806"/>
      <c r="V41" s="806"/>
      <c r="W41" s="806"/>
      <c r="X41" s="806"/>
      <c r="Y41" s="806"/>
      <c r="Z41" s="811"/>
    </row>
    <row r="42" spans="1:26" x14ac:dyDescent="0.25">
      <c r="A42" s="767"/>
      <c r="B42" s="815" t="s">
        <v>1681</v>
      </c>
      <c r="C42" s="816"/>
      <c r="D42" s="817"/>
      <c r="E42" s="817"/>
      <c r="F42" s="817"/>
      <c r="G42" s="818"/>
      <c r="H42" s="819"/>
      <c r="I42" s="820"/>
      <c r="J42" s="821"/>
      <c r="K42" s="821"/>
      <c r="L42" s="821"/>
      <c r="M42" s="822"/>
      <c r="N42" s="823"/>
      <c r="O42" s="823"/>
      <c r="P42" s="823"/>
      <c r="Q42" s="823"/>
      <c r="R42" s="824">
        <f t="shared" ref="R42:Y42" si="8">SUM(R37:R41)</f>
        <v>0</v>
      </c>
      <c r="S42" s="824">
        <f t="shared" si="8"/>
        <v>0</v>
      </c>
      <c r="T42" s="824">
        <f t="shared" si="8"/>
        <v>0</v>
      </c>
      <c r="U42" s="824">
        <f t="shared" si="8"/>
        <v>0</v>
      </c>
      <c r="V42" s="824">
        <f t="shared" si="8"/>
        <v>576</v>
      </c>
      <c r="W42" s="824">
        <f t="shared" si="8"/>
        <v>0</v>
      </c>
      <c r="X42" s="824">
        <f t="shared" si="8"/>
        <v>0</v>
      </c>
      <c r="Y42" s="824">
        <f t="shared" si="8"/>
        <v>0</v>
      </c>
      <c r="Z42" s="811"/>
    </row>
    <row r="43" spans="1:26" x14ac:dyDescent="0.25">
      <c r="A43" s="825"/>
      <c r="B43" s="815" t="s">
        <v>1694</v>
      </c>
      <c r="C43" s="826"/>
      <c r="D43" s="827"/>
      <c r="E43" s="827"/>
      <c r="F43" s="827"/>
      <c r="G43" s="828"/>
      <c r="H43" s="829"/>
      <c r="I43" s="830"/>
      <c r="J43" s="831"/>
      <c r="K43" s="831"/>
      <c r="L43" s="831"/>
      <c r="M43" s="832"/>
      <c r="N43" s="833"/>
      <c r="O43" s="833"/>
      <c r="P43" s="833"/>
      <c r="Q43" s="833"/>
      <c r="R43" s="833">
        <f>6*6/162.162</f>
        <v>0.22200022200022199</v>
      </c>
      <c r="S43" s="833">
        <f>8*8/162.162</f>
        <v>0.39466706133372798</v>
      </c>
      <c r="T43" s="833">
        <f>10*10/162.162</f>
        <v>0.61666728333394993</v>
      </c>
      <c r="U43" s="833">
        <f>12*12/162.162</f>
        <v>0.88800088800088794</v>
      </c>
      <c r="V43" s="833">
        <f>16*16/162.162</f>
        <v>1.5786682453349119</v>
      </c>
      <c r="W43" s="833">
        <f>20*20/162.162</f>
        <v>2.4666691333357997</v>
      </c>
      <c r="X43" s="833">
        <f>25*25/162.162</f>
        <v>3.8541705208371875</v>
      </c>
      <c r="Y43" s="833">
        <f>32*32/162.162</f>
        <v>6.3146729813396476</v>
      </c>
      <c r="Z43" s="834"/>
    </row>
    <row r="44" spans="1:26" x14ac:dyDescent="0.25">
      <c r="A44" s="792"/>
      <c r="B44" s="815" t="s">
        <v>1695</v>
      </c>
      <c r="C44" s="835"/>
      <c r="D44" s="836"/>
      <c r="E44" s="836"/>
      <c r="F44" s="836"/>
      <c r="G44" s="837"/>
      <c r="H44" s="838"/>
      <c r="I44" s="839"/>
      <c r="J44" s="840"/>
      <c r="K44" s="840"/>
      <c r="L44" s="840"/>
      <c r="M44" s="841"/>
      <c r="N44" s="842"/>
      <c r="O44" s="842"/>
      <c r="P44" s="842"/>
      <c r="Q44" s="842"/>
      <c r="R44" s="843">
        <f>+R43*R42</f>
        <v>0</v>
      </c>
      <c r="S44" s="843">
        <f t="shared" ref="S44" si="9">+S43*S42</f>
        <v>0</v>
      </c>
      <c r="T44" s="843">
        <f>+T43*T42</f>
        <v>0</v>
      </c>
      <c r="U44" s="843">
        <f>+U43*U42</f>
        <v>0</v>
      </c>
      <c r="V44" s="843">
        <f>+V43*V42</f>
        <v>909.31290931290926</v>
      </c>
      <c r="W44" s="843">
        <f t="shared" ref="W44:Y44" si="10">+W43*W42</f>
        <v>0</v>
      </c>
      <c r="X44" s="843">
        <f t="shared" si="10"/>
        <v>0</v>
      </c>
      <c r="Y44" s="843">
        <f t="shared" si="10"/>
        <v>0</v>
      </c>
      <c r="Z44" s="844">
        <f>Y44+X44+W44+V44+U44+T44+S44+R44</f>
        <v>909.31290931290926</v>
      </c>
    </row>
    <row r="45" spans="1:26" x14ac:dyDescent="0.25">
      <c r="A45" s="792"/>
      <c r="B45" s="815"/>
      <c r="C45" s="873"/>
      <c r="D45" s="874"/>
      <c r="E45" s="874"/>
      <c r="F45" s="875"/>
      <c r="G45" s="876"/>
      <c r="H45" s="877"/>
      <c r="I45" s="878"/>
      <c r="J45" s="879"/>
      <c r="K45" s="879"/>
      <c r="L45" s="879"/>
      <c r="M45" s="880"/>
      <c r="N45" s="881"/>
      <c r="O45" s="881"/>
      <c r="P45" s="881"/>
      <c r="Q45" s="881"/>
      <c r="R45" s="882"/>
      <c r="S45" s="882"/>
      <c r="T45" s="882"/>
      <c r="U45" s="882"/>
      <c r="V45" s="882"/>
      <c r="W45" s="882"/>
      <c r="X45" s="882"/>
      <c r="Y45" s="882"/>
      <c r="Z45" s="883"/>
    </row>
    <row r="46" spans="1:26" x14ac:dyDescent="0.25">
      <c r="A46" s="792"/>
      <c r="B46" s="815"/>
      <c r="C46" s="873"/>
      <c r="D46" s="874"/>
      <c r="E46" s="874"/>
      <c r="F46" s="875"/>
      <c r="G46" s="876"/>
      <c r="H46" s="877"/>
      <c r="I46" s="878"/>
      <c r="J46" s="879"/>
      <c r="K46" s="879"/>
      <c r="L46" s="879"/>
      <c r="M46" s="880"/>
      <c r="N46" s="881"/>
      <c r="O46" s="881"/>
      <c r="P46" s="881"/>
      <c r="Q46" s="881"/>
      <c r="R46" s="882"/>
      <c r="S46" s="882"/>
      <c r="T46" s="882"/>
      <c r="U46" s="882"/>
      <c r="V46" s="882"/>
      <c r="W46" s="882"/>
      <c r="X46" s="882"/>
      <c r="Y46" s="882"/>
      <c r="Z46" s="883"/>
    </row>
    <row r="47" spans="1:26" x14ac:dyDescent="0.25">
      <c r="A47" s="767"/>
      <c r="B47" s="812" t="s">
        <v>1714</v>
      </c>
      <c r="C47" s="802"/>
      <c r="D47" s="803"/>
      <c r="E47" s="803"/>
      <c r="F47" s="803"/>
      <c r="G47" s="804"/>
      <c r="H47" s="803"/>
      <c r="I47" s="805"/>
      <c r="J47" s="806"/>
      <c r="K47" s="806"/>
      <c r="L47" s="806"/>
      <c r="M47" s="807"/>
      <c r="N47" s="808"/>
      <c r="O47" s="808"/>
      <c r="P47" s="809"/>
      <c r="Q47" s="810"/>
      <c r="R47" s="806"/>
      <c r="S47" s="806"/>
      <c r="T47" s="806"/>
      <c r="U47" s="806"/>
      <c r="V47" s="806"/>
      <c r="W47" s="806"/>
      <c r="X47" s="806"/>
      <c r="Y47" s="806"/>
      <c r="Z47" s="811"/>
    </row>
    <row r="48" spans="1:26" x14ac:dyDescent="0.25">
      <c r="A48" s="767"/>
      <c r="B48" s="801" t="s">
        <v>1715</v>
      </c>
      <c r="C48" s="802" t="s">
        <v>127</v>
      </c>
      <c r="D48" s="803" t="s">
        <v>1687</v>
      </c>
      <c r="E48" s="803">
        <v>2</v>
      </c>
      <c r="F48" s="803">
        <v>2</v>
      </c>
      <c r="G48" s="804">
        <f>F48*E48</f>
        <v>4</v>
      </c>
      <c r="H48" s="803"/>
      <c r="I48" s="805">
        <f>M48+N48+O48+P48+Q48</f>
        <v>12.75</v>
      </c>
      <c r="J48" s="806">
        <f>G48*I48</f>
        <v>51</v>
      </c>
      <c r="K48" s="806">
        <f>K44*0.888</f>
        <v>0</v>
      </c>
      <c r="L48" s="806"/>
      <c r="M48" s="807">
        <v>12.75</v>
      </c>
      <c r="N48" s="808"/>
      <c r="O48" s="808"/>
      <c r="P48" s="809"/>
      <c r="Q48" s="810"/>
      <c r="R48" s="806" t="str">
        <f>IF(D48="R6",J48," ")</f>
        <v xml:space="preserve"> </v>
      </c>
      <c r="S48" s="806" t="str">
        <f>IF(D48="R8",J48," ")</f>
        <v xml:space="preserve"> </v>
      </c>
      <c r="T48" s="806" t="str">
        <f>IF(D48="T10",J48," ")</f>
        <v xml:space="preserve"> </v>
      </c>
      <c r="U48" s="806" t="str">
        <f>IF(D48="T12",J48," ")</f>
        <v xml:space="preserve"> </v>
      </c>
      <c r="V48" s="806">
        <f>IF(D48="T16",J48," ")</f>
        <v>51</v>
      </c>
      <c r="W48" s="806" t="str">
        <f>IF(D48="T20",J48," ")</f>
        <v xml:space="preserve"> </v>
      </c>
      <c r="X48" s="806" t="str">
        <f>IF(D48="T25",J48," ")</f>
        <v xml:space="preserve"> </v>
      </c>
      <c r="Y48" s="806" t="str">
        <f>IF(D48="T32",J48," ")</f>
        <v xml:space="preserve"> </v>
      </c>
      <c r="Z48" s="811"/>
    </row>
    <row r="49" spans="1:26" x14ac:dyDescent="0.25">
      <c r="A49" s="767"/>
      <c r="B49" s="801"/>
      <c r="C49" s="802" t="s">
        <v>567</v>
      </c>
      <c r="D49" s="803" t="s">
        <v>1687</v>
      </c>
      <c r="E49" s="803">
        <v>2</v>
      </c>
      <c r="F49" s="803">
        <v>2</v>
      </c>
      <c r="G49" s="804">
        <f>F49*E49</f>
        <v>4</v>
      </c>
      <c r="H49" s="803"/>
      <c r="I49" s="805">
        <f>M49+N49+O49+P49+Q49</f>
        <v>12.75</v>
      </c>
      <c r="J49" s="806">
        <f>G49*I49</f>
        <v>51</v>
      </c>
      <c r="K49" s="806">
        <f>K45*0.888</f>
        <v>0</v>
      </c>
      <c r="L49" s="806"/>
      <c r="M49" s="807">
        <v>12.75</v>
      </c>
      <c r="N49" s="808"/>
      <c r="O49" s="808"/>
      <c r="P49" s="809"/>
      <c r="Q49" s="810"/>
      <c r="R49" s="806" t="str">
        <f>IF(D49="R6",J49," ")</f>
        <v xml:space="preserve"> </v>
      </c>
      <c r="S49" s="806" t="str">
        <f>IF(D49="R8",J49," ")</f>
        <v xml:space="preserve"> </v>
      </c>
      <c r="T49" s="806" t="str">
        <f>IF(D49="T10",J49," ")</f>
        <v xml:space="preserve"> </v>
      </c>
      <c r="U49" s="806" t="str">
        <f>IF(D49="T12",J49," ")</f>
        <v xml:space="preserve"> </v>
      </c>
      <c r="V49" s="806">
        <f>IF(D49="T16",J49," ")</f>
        <v>51</v>
      </c>
      <c r="W49" s="806" t="str">
        <f>IF(D49="T20",J49," ")</f>
        <v xml:space="preserve"> </v>
      </c>
      <c r="X49" s="806" t="str">
        <f>IF(D49="T25",J49," ")</f>
        <v xml:space="preserve"> </v>
      </c>
      <c r="Y49" s="806" t="str">
        <f>IF(D49="T32",J49," ")</f>
        <v xml:space="preserve"> </v>
      </c>
      <c r="Z49" s="811"/>
    </row>
    <row r="50" spans="1:26" x14ac:dyDescent="0.25">
      <c r="A50" s="767"/>
      <c r="B50" s="801"/>
      <c r="C50" s="802" t="s">
        <v>567</v>
      </c>
      <c r="D50" s="803" t="s">
        <v>1687</v>
      </c>
      <c r="E50" s="803">
        <v>2</v>
      </c>
      <c r="F50" s="803">
        <v>1</v>
      </c>
      <c r="G50" s="804">
        <f>F50*E50</f>
        <v>2</v>
      </c>
      <c r="H50" s="803"/>
      <c r="I50" s="805">
        <f>M50+N50+O50+P50+Q50</f>
        <v>1.8</v>
      </c>
      <c r="J50" s="806">
        <f>G50*I50</f>
        <v>3.6</v>
      </c>
      <c r="K50" s="806">
        <f>K46*0.888</f>
        <v>0</v>
      </c>
      <c r="L50" s="806"/>
      <c r="M50" s="807">
        <v>1.8</v>
      </c>
      <c r="N50" s="808"/>
      <c r="O50" s="808"/>
      <c r="P50" s="809"/>
      <c r="Q50" s="810"/>
      <c r="R50" s="806" t="str">
        <f>IF(D50="R6",J50," ")</f>
        <v xml:space="preserve"> </v>
      </c>
      <c r="S50" s="806" t="str">
        <f>IF(D50="R8",J50," ")</f>
        <v xml:space="preserve"> </v>
      </c>
      <c r="T50" s="806" t="str">
        <f>IF(D50="T10",J50," ")</f>
        <v xml:space="preserve"> </v>
      </c>
      <c r="U50" s="806" t="str">
        <f>IF(D50="T12",J50," ")</f>
        <v xml:space="preserve"> </v>
      </c>
      <c r="V50" s="806">
        <f>IF(D50="T16",J50," ")</f>
        <v>3.6</v>
      </c>
      <c r="W50" s="806" t="str">
        <f>IF(D50="T20",J50," ")</f>
        <v xml:space="preserve"> </v>
      </c>
      <c r="X50" s="806" t="str">
        <f>IF(D50="T25",J50," ")</f>
        <v xml:space="preserve"> </v>
      </c>
      <c r="Y50" s="806" t="str">
        <f>IF(D50="T32",J50," ")</f>
        <v xml:space="preserve"> </v>
      </c>
      <c r="Z50" s="811"/>
    </row>
    <row r="51" spans="1:26" x14ac:dyDescent="0.25">
      <c r="A51" s="767"/>
      <c r="B51" s="801"/>
      <c r="C51" s="802" t="s">
        <v>567</v>
      </c>
      <c r="D51" s="803" t="s">
        <v>1687</v>
      </c>
      <c r="E51" s="803">
        <v>2</v>
      </c>
      <c r="F51" s="803">
        <v>2</v>
      </c>
      <c r="G51" s="804">
        <f>F51*E51</f>
        <v>4</v>
      </c>
      <c r="H51" s="803"/>
      <c r="I51" s="805">
        <f>M51+N51+O51+P51+Q51</f>
        <v>2.95</v>
      </c>
      <c r="J51" s="806">
        <f>G51*I51</f>
        <v>11.8</v>
      </c>
      <c r="K51" s="806">
        <f>K47*0.888</f>
        <v>0</v>
      </c>
      <c r="L51" s="806"/>
      <c r="M51" s="807">
        <v>2.95</v>
      </c>
      <c r="N51" s="808"/>
      <c r="O51" s="808"/>
      <c r="P51" s="809"/>
      <c r="Q51" s="810"/>
      <c r="R51" s="806" t="str">
        <f>IF(D51="R6",J51," ")</f>
        <v xml:space="preserve"> </v>
      </c>
      <c r="S51" s="806" t="str">
        <f>IF(D51="R8",J51," ")</f>
        <v xml:space="preserve"> </v>
      </c>
      <c r="T51" s="806" t="str">
        <f>IF(D51="T10",J51," ")</f>
        <v xml:space="preserve"> </v>
      </c>
      <c r="U51" s="806" t="str">
        <f>IF(D51="T12",J51," ")</f>
        <v xml:space="preserve"> </v>
      </c>
      <c r="V51" s="806">
        <f>IF(D51="T16",J51," ")</f>
        <v>11.8</v>
      </c>
      <c r="W51" s="806" t="str">
        <f>IF(D51="T20",J51," ")</f>
        <v xml:space="preserve"> </v>
      </c>
      <c r="X51" s="806" t="str">
        <f>IF(D51="T25",J51," ")</f>
        <v xml:space="preserve"> </v>
      </c>
      <c r="Y51" s="806" t="str">
        <f>IF(D51="T32",J51," ")</f>
        <v xml:space="preserve"> </v>
      </c>
      <c r="Z51" s="811"/>
    </row>
    <row r="52" spans="1:26" x14ac:dyDescent="0.25">
      <c r="A52" s="767"/>
      <c r="B52" s="801"/>
      <c r="C52" s="802" t="s">
        <v>567</v>
      </c>
      <c r="D52" s="803" t="s">
        <v>1687</v>
      </c>
      <c r="E52" s="803">
        <v>2</v>
      </c>
      <c r="F52" s="803">
        <v>2</v>
      </c>
      <c r="G52" s="804">
        <f>F52*E52</f>
        <v>4</v>
      </c>
      <c r="H52" s="803"/>
      <c r="I52" s="805">
        <f>M52+N52+O52+P52+Q52</f>
        <v>2.95</v>
      </c>
      <c r="J52" s="806">
        <f>G52*I52</f>
        <v>11.8</v>
      </c>
      <c r="K52" s="806">
        <f>K48*0.888</f>
        <v>0</v>
      </c>
      <c r="L52" s="806"/>
      <c r="M52" s="807">
        <v>2.95</v>
      </c>
      <c r="N52" s="808"/>
      <c r="O52" s="808"/>
      <c r="P52" s="809"/>
      <c r="Q52" s="810"/>
      <c r="R52" s="806" t="str">
        <f>IF(D52="R6",J52," ")</f>
        <v xml:space="preserve"> </v>
      </c>
      <c r="S52" s="806" t="str">
        <f>IF(D52="R8",J52," ")</f>
        <v xml:space="preserve"> </v>
      </c>
      <c r="T52" s="806" t="str">
        <f>IF(D52="T10",J52," ")</f>
        <v xml:space="preserve"> </v>
      </c>
      <c r="U52" s="806" t="str">
        <f>IF(D52="T12",J52," ")</f>
        <v xml:space="preserve"> </v>
      </c>
      <c r="V52" s="806">
        <f>IF(D52="T16",J52," ")</f>
        <v>11.8</v>
      </c>
      <c r="W52" s="806" t="str">
        <f>IF(D52="T20",J52," ")</f>
        <v xml:space="preserve"> </v>
      </c>
      <c r="X52" s="806" t="str">
        <f>IF(D52="T25",J52," ")</f>
        <v xml:space="preserve"> </v>
      </c>
      <c r="Y52" s="806" t="str">
        <f>IF(D52="T32",J52," ")</f>
        <v xml:space="preserve"> </v>
      </c>
      <c r="Z52" s="811"/>
    </row>
    <row r="53" spans="1:26" x14ac:dyDescent="0.25">
      <c r="A53" s="767"/>
      <c r="B53" s="801"/>
      <c r="C53" s="802"/>
      <c r="D53" s="803"/>
      <c r="E53" s="803"/>
      <c r="F53" s="803"/>
      <c r="G53" s="804"/>
      <c r="H53" s="803"/>
      <c r="I53" s="805"/>
      <c r="J53" s="806"/>
      <c r="K53" s="806"/>
      <c r="L53" s="806"/>
      <c r="M53" s="807"/>
      <c r="N53" s="808"/>
      <c r="O53" s="808"/>
      <c r="P53" s="809"/>
      <c r="Q53" s="810"/>
      <c r="R53" s="806"/>
      <c r="S53" s="806"/>
      <c r="T53" s="806"/>
      <c r="U53" s="806"/>
      <c r="V53" s="806"/>
      <c r="W53" s="806"/>
      <c r="X53" s="806"/>
      <c r="Y53" s="806"/>
      <c r="Z53" s="811"/>
    </row>
    <row r="54" spans="1:26" x14ac:dyDescent="0.25">
      <c r="A54" s="767"/>
      <c r="B54" s="814"/>
      <c r="C54" s="802"/>
      <c r="D54" s="803"/>
      <c r="E54" s="803"/>
      <c r="F54" s="803"/>
      <c r="G54" s="804"/>
      <c r="H54" s="803"/>
      <c r="I54" s="805"/>
      <c r="J54" s="806"/>
      <c r="K54" s="806"/>
      <c r="L54" s="806"/>
      <c r="M54" s="807"/>
      <c r="N54" s="808"/>
      <c r="O54" s="808"/>
      <c r="P54" s="809"/>
      <c r="Q54" s="810"/>
      <c r="R54" s="806"/>
      <c r="S54" s="806"/>
      <c r="T54" s="806"/>
      <c r="U54" s="806"/>
      <c r="V54" s="806"/>
      <c r="W54" s="806"/>
      <c r="X54" s="806"/>
      <c r="Y54" s="806"/>
      <c r="Z54" s="811"/>
    </row>
    <row r="55" spans="1:26" x14ac:dyDescent="0.25">
      <c r="A55" s="767"/>
      <c r="B55" s="815" t="s">
        <v>1681</v>
      </c>
      <c r="C55" s="816"/>
      <c r="D55" s="817"/>
      <c r="E55" s="817"/>
      <c r="F55" s="817"/>
      <c r="G55" s="818"/>
      <c r="H55" s="819"/>
      <c r="I55" s="820"/>
      <c r="J55" s="821"/>
      <c r="K55" s="821"/>
      <c r="L55" s="821"/>
      <c r="M55" s="822"/>
      <c r="N55" s="823"/>
      <c r="O55" s="823"/>
      <c r="P55" s="823"/>
      <c r="Q55" s="823"/>
      <c r="R55" s="824">
        <f t="shared" ref="R55:Y55" si="11">SUM(R46:R54)</f>
        <v>0</v>
      </c>
      <c r="S55" s="824">
        <f t="shared" si="11"/>
        <v>0</v>
      </c>
      <c r="T55" s="824">
        <f t="shared" si="11"/>
        <v>0</v>
      </c>
      <c r="U55" s="824">
        <f t="shared" si="11"/>
        <v>0</v>
      </c>
      <c r="V55" s="824">
        <f t="shared" si="11"/>
        <v>129.19999999999999</v>
      </c>
      <c r="W55" s="824">
        <f t="shared" si="11"/>
        <v>0</v>
      </c>
      <c r="X55" s="824">
        <f t="shared" si="11"/>
        <v>0</v>
      </c>
      <c r="Y55" s="824">
        <f t="shared" si="11"/>
        <v>0</v>
      </c>
      <c r="Z55" s="811"/>
    </row>
    <row r="56" spans="1:26" x14ac:dyDescent="0.25">
      <c r="A56" s="825"/>
      <c r="B56" s="815" t="s">
        <v>1694</v>
      </c>
      <c r="C56" s="826"/>
      <c r="D56" s="827"/>
      <c r="E56" s="827"/>
      <c r="F56" s="827"/>
      <c r="G56" s="828"/>
      <c r="H56" s="829"/>
      <c r="I56" s="830"/>
      <c r="J56" s="831"/>
      <c r="K56" s="831"/>
      <c r="L56" s="831"/>
      <c r="M56" s="832"/>
      <c r="N56" s="833"/>
      <c r="O56" s="833"/>
      <c r="P56" s="833"/>
      <c r="Q56" s="833"/>
      <c r="R56" s="833">
        <f>6*6/162.162</f>
        <v>0.22200022200022199</v>
      </c>
      <c r="S56" s="833">
        <f>8*8/162.162</f>
        <v>0.39466706133372798</v>
      </c>
      <c r="T56" s="833">
        <f>10*10/162.162</f>
        <v>0.61666728333394993</v>
      </c>
      <c r="U56" s="833">
        <f>12*12/162.162</f>
        <v>0.88800088800088794</v>
      </c>
      <c r="V56" s="833">
        <f>16*16/162.162</f>
        <v>1.5786682453349119</v>
      </c>
      <c r="W56" s="833">
        <f>20*20/162.162</f>
        <v>2.4666691333357997</v>
      </c>
      <c r="X56" s="833">
        <f>25*25/162.162</f>
        <v>3.8541705208371875</v>
      </c>
      <c r="Y56" s="833">
        <f>32*32/162.162</f>
        <v>6.3146729813396476</v>
      </c>
      <c r="Z56" s="834"/>
    </row>
    <row r="57" spans="1:26" x14ac:dyDescent="0.25">
      <c r="A57" s="792"/>
      <c r="B57" s="815" t="s">
        <v>1695</v>
      </c>
      <c r="C57" s="835"/>
      <c r="D57" s="836"/>
      <c r="E57" s="836"/>
      <c r="F57" s="836"/>
      <c r="G57" s="837"/>
      <c r="H57" s="838"/>
      <c r="I57" s="839"/>
      <c r="J57" s="840"/>
      <c r="K57" s="840"/>
      <c r="L57" s="840"/>
      <c r="M57" s="841"/>
      <c r="N57" s="842"/>
      <c r="O57" s="842"/>
      <c r="P57" s="842"/>
      <c r="Q57" s="842"/>
      <c r="R57" s="843">
        <f>+R56*R55</f>
        <v>0</v>
      </c>
      <c r="S57" s="843">
        <f t="shared" ref="S57" si="12">+S56*S55</f>
        <v>0</v>
      </c>
      <c r="T57" s="843">
        <f>+T56*T55</f>
        <v>0</v>
      </c>
      <c r="U57" s="843">
        <f>+U56*U55</f>
        <v>0</v>
      </c>
      <c r="V57" s="843">
        <f>+V56*V55</f>
        <v>203.9639372972706</v>
      </c>
      <c r="W57" s="843">
        <f t="shared" ref="W57:Y57" si="13">+W56*W55</f>
        <v>0</v>
      </c>
      <c r="X57" s="843">
        <f t="shared" si="13"/>
        <v>0</v>
      </c>
      <c r="Y57" s="843">
        <f t="shared" si="13"/>
        <v>0</v>
      </c>
      <c r="Z57" s="844">
        <f>Y57+X57+W57+V57+U57+T57+S57+R57</f>
        <v>203.9639372972706</v>
      </c>
    </row>
    <row r="58" spans="1:26" x14ac:dyDescent="0.25">
      <c r="A58" s="792"/>
      <c r="B58" s="815"/>
      <c r="C58" s="873"/>
      <c r="D58" s="874"/>
      <c r="E58" s="874"/>
      <c r="F58" s="875"/>
      <c r="G58" s="876"/>
      <c r="H58" s="877"/>
      <c r="I58" s="878"/>
      <c r="J58" s="879"/>
      <c r="K58" s="879"/>
      <c r="L58" s="879"/>
      <c r="M58" s="880"/>
      <c r="N58" s="881"/>
      <c r="O58" s="881"/>
      <c r="P58" s="881"/>
      <c r="Q58" s="881"/>
      <c r="R58" s="882"/>
      <c r="S58" s="882"/>
      <c r="T58" s="882"/>
      <c r="U58" s="882"/>
      <c r="V58" s="882"/>
      <c r="W58" s="882"/>
      <c r="X58" s="882"/>
      <c r="Y58" s="882"/>
      <c r="Z58" s="883"/>
    </row>
    <row r="59" spans="1:26" x14ac:dyDescent="0.25">
      <c r="A59" s="792"/>
      <c r="B59" s="815"/>
      <c r="C59" s="873"/>
      <c r="D59" s="874"/>
      <c r="E59" s="874"/>
      <c r="F59" s="875"/>
      <c r="G59" s="876"/>
      <c r="H59" s="877"/>
      <c r="I59" s="878"/>
      <c r="J59" s="879"/>
      <c r="K59" s="879"/>
      <c r="L59" s="879"/>
      <c r="M59" s="880"/>
      <c r="N59" s="881"/>
      <c r="O59" s="881"/>
      <c r="P59" s="881"/>
      <c r="Q59" s="881"/>
      <c r="R59" s="882"/>
      <c r="S59" s="882"/>
      <c r="T59" s="882"/>
      <c r="U59" s="882"/>
      <c r="V59" s="882"/>
      <c r="W59" s="882"/>
      <c r="X59" s="882"/>
      <c r="Y59" s="882"/>
      <c r="Z59" s="883"/>
    </row>
    <row r="60" spans="1:26" x14ac:dyDescent="0.25">
      <c r="A60" s="767"/>
      <c r="B60" s="812" t="s">
        <v>1724</v>
      </c>
      <c r="C60" s="802"/>
      <c r="D60" s="803"/>
      <c r="E60" s="803"/>
      <c r="F60" s="803"/>
      <c r="G60" s="804"/>
      <c r="H60" s="803"/>
      <c r="I60" s="805"/>
      <c r="J60" s="806"/>
      <c r="K60" s="806"/>
      <c r="L60" s="806"/>
      <c r="M60" s="807"/>
      <c r="N60" s="808"/>
      <c r="O60" s="808"/>
      <c r="P60" s="809"/>
      <c r="Q60" s="810"/>
      <c r="R60" s="806"/>
      <c r="S60" s="806"/>
      <c r="T60" s="806"/>
      <c r="U60" s="806"/>
      <c r="V60" s="806"/>
      <c r="W60" s="806"/>
      <c r="X60" s="806"/>
      <c r="Y60" s="806"/>
      <c r="Z60" s="811"/>
    </row>
    <row r="61" spans="1:26" x14ac:dyDescent="0.25">
      <c r="A61" s="767"/>
      <c r="B61" s="801"/>
      <c r="C61" s="802" t="s">
        <v>1693</v>
      </c>
      <c r="D61" s="803" t="s">
        <v>1685</v>
      </c>
      <c r="E61" s="803">
        <v>1</v>
      </c>
      <c r="F61" s="803">
        <v>29</v>
      </c>
      <c r="G61" s="804">
        <f>F61*E61</f>
        <v>29</v>
      </c>
      <c r="H61" s="803"/>
      <c r="I61" s="805">
        <f>M61+N61+O61+P61+Q61</f>
        <v>6.5</v>
      </c>
      <c r="J61" s="806">
        <f>G61*I61</f>
        <v>188.5</v>
      </c>
      <c r="K61" s="806">
        <f>K57*0.888</f>
        <v>0</v>
      </c>
      <c r="L61" s="806"/>
      <c r="M61" s="807">
        <v>6.5</v>
      </c>
      <c r="N61" s="808"/>
      <c r="O61" s="808"/>
      <c r="P61" s="809"/>
      <c r="Q61" s="810"/>
      <c r="R61" s="806" t="str">
        <f>IF(D61="R6",J61," ")</f>
        <v xml:space="preserve"> </v>
      </c>
      <c r="S61" s="806" t="str">
        <f>IF(D61="R8",J61," ")</f>
        <v xml:space="preserve"> </v>
      </c>
      <c r="T61" s="806">
        <f>IF(D61="T10",J61," ")</f>
        <v>188.5</v>
      </c>
      <c r="U61" s="806" t="str">
        <f>IF(D61="T12",J61," ")</f>
        <v xml:space="preserve"> </v>
      </c>
      <c r="V61" s="806" t="str">
        <f>IF(D61="T16",J61," ")</f>
        <v xml:space="preserve"> </v>
      </c>
      <c r="W61" s="806" t="str">
        <f>IF(D61="T20",J61," ")</f>
        <v xml:space="preserve"> </v>
      </c>
      <c r="X61" s="806" t="str">
        <f>IF(D61="T25",J61," ")</f>
        <v xml:space="preserve"> </v>
      </c>
      <c r="Y61" s="806" t="str">
        <f>IF(D61="T32",J61," ")</f>
        <v xml:space="preserve"> </v>
      </c>
      <c r="Z61" s="811"/>
    </row>
    <row r="62" spans="1:26" x14ac:dyDescent="0.25">
      <c r="A62" s="767"/>
      <c r="B62" s="801"/>
      <c r="C62" s="802" t="s">
        <v>1693</v>
      </c>
      <c r="D62" s="803" t="s">
        <v>1685</v>
      </c>
      <c r="E62" s="803">
        <v>1</v>
      </c>
      <c r="F62" s="803">
        <v>23</v>
      </c>
      <c r="G62" s="804">
        <f>F62*E62</f>
        <v>23</v>
      </c>
      <c r="H62" s="803"/>
      <c r="I62" s="805">
        <f>M62+N62+O62+P62+Q62</f>
        <v>7.3179999999999996</v>
      </c>
      <c r="J62" s="806">
        <f>G62*I62</f>
        <v>168.31399999999999</v>
      </c>
      <c r="K62" s="806">
        <f>K58*0.888</f>
        <v>0</v>
      </c>
      <c r="L62" s="806"/>
      <c r="M62" s="807">
        <v>7.3179999999999996</v>
      </c>
      <c r="N62" s="808"/>
      <c r="O62" s="808"/>
      <c r="P62" s="809"/>
      <c r="Q62" s="810"/>
      <c r="R62" s="806" t="str">
        <f>IF(D62="R6",J62," ")</f>
        <v xml:space="preserve"> </v>
      </c>
      <c r="S62" s="806" t="str">
        <f>IF(D62="R8",J62," ")</f>
        <v xml:space="preserve"> </v>
      </c>
      <c r="T62" s="806">
        <f>IF(D62="T10",J62," ")</f>
        <v>168.31399999999999</v>
      </c>
      <c r="U62" s="806" t="str">
        <f>IF(D62="T12",J62," ")</f>
        <v xml:space="preserve"> </v>
      </c>
      <c r="V62" s="806" t="str">
        <f>IF(D62="T16",J62," ")</f>
        <v xml:space="preserve"> </v>
      </c>
      <c r="W62" s="806" t="str">
        <f>IF(D62="T20",J62," ")</f>
        <v xml:space="preserve"> </v>
      </c>
      <c r="X62" s="806" t="str">
        <f>IF(D62="T25",J62," ")</f>
        <v xml:space="preserve"> </v>
      </c>
      <c r="Y62" s="806" t="str">
        <f>IF(D62="T32",J62," ")</f>
        <v xml:space="preserve"> </v>
      </c>
      <c r="Z62" s="811"/>
    </row>
    <row r="63" spans="1:26" x14ac:dyDescent="0.25">
      <c r="A63" s="767"/>
      <c r="B63" s="801"/>
      <c r="C63" s="802" t="s">
        <v>1693</v>
      </c>
      <c r="D63" s="803" t="s">
        <v>1685</v>
      </c>
      <c r="E63" s="803">
        <v>1</v>
      </c>
      <c r="F63" s="803">
        <v>23</v>
      </c>
      <c r="G63" s="804">
        <f>F63*E63</f>
        <v>23</v>
      </c>
      <c r="H63" s="803"/>
      <c r="I63" s="805">
        <f>M63+N63+O63+P63+Q63</f>
        <v>1.8</v>
      </c>
      <c r="J63" s="806">
        <f>G63*I63</f>
        <v>41.4</v>
      </c>
      <c r="K63" s="806">
        <f>K59*0.888</f>
        <v>0</v>
      </c>
      <c r="L63" s="806"/>
      <c r="M63" s="807">
        <v>1.8</v>
      </c>
      <c r="N63" s="808"/>
      <c r="O63" s="808"/>
      <c r="P63" s="809"/>
      <c r="Q63" s="810"/>
      <c r="R63" s="806" t="str">
        <f>IF(D63="R6",J63," ")</f>
        <v xml:space="preserve"> </v>
      </c>
      <c r="S63" s="806" t="str">
        <f>IF(D63="R8",J63," ")</f>
        <v xml:space="preserve"> </v>
      </c>
      <c r="T63" s="806">
        <f>IF(D63="T10",J63," ")</f>
        <v>41.4</v>
      </c>
      <c r="U63" s="806" t="str">
        <f>IF(D63="T12",J63," ")</f>
        <v xml:space="preserve"> </v>
      </c>
      <c r="V63" s="806" t="str">
        <f>IF(D63="T16",J63," ")</f>
        <v xml:space="preserve"> </v>
      </c>
      <c r="W63" s="806" t="str">
        <f>IF(D63="T20",J63," ")</f>
        <v xml:space="preserve"> </v>
      </c>
      <c r="X63" s="806" t="str">
        <f>IF(D63="T25",J63," ")</f>
        <v xml:space="preserve"> </v>
      </c>
      <c r="Y63" s="806" t="str">
        <f>IF(D63="T32",J63," ")</f>
        <v xml:space="preserve"> </v>
      </c>
      <c r="Z63" s="811"/>
    </row>
    <row r="64" spans="1:26" x14ac:dyDescent="0.25">
      <c r="A64" s="767"/>
      <c r="B64" s="801"/>
      <c r="C64" s="802" t="s">
        <v>1693</v>
      </c>
      <c r="D64" s="803" t="s">
        <v>1685</v>
      </c>
      <c r="E64" s="803">
        <v>1</v>
      </c>
      <c r="F64" s="803">
        <v>23</v>
      </c>
      <c r="G64" s="804">
        <f>F64*E64</f>
        <v>23</v>
      </c>
      <c r="H64" s="803"/>
      <c r="I64" s="805">
        <f>M64+N64+O64+P64+Q64</f>
        <v>1.3</v>
      </c>
      <c r="J64" s="806">
        <f>G64*I64</f>
        <v>29.900000000000002</v>
      </c>
      <c r="K64" s="806">
        <f>K60*0.888</f>
        <v>0</v>
      </c>
      <c r="L64" s="806"/>
      <c r="M64" s="807">
        <v>1.3</v>
      </c>
      <c r="N64" s="808"/>
      <c r="O64" s="808"/>
      <c r="P64" s="809"/>
      <c r="Q64" s="810"/>
      <c r="R64" s="806" t="str">
        <f>IF(D64="R6",J64," ")</f>
        <v xml:space="preserve"> </v>
      </c>
      <c r="S64" s="806" t="str">
        <f>IF(D64="R8",J64," ")</f>
        <v xml:space="preserve"> </v>
      </c>
      <c r="T64" s="806">
        <f>IF(D64="T10",J64," ")</f>
        <v>29.900000000000002</v>
      </c>
      <c r="U64" s="806" t="str">
        <f>IF(D64="T12",J64," ")</f>
        <v xml:space="preserve"> </v>
      </c>
      <c r="V64" s="806" t="str">
        <f>IF(D64="T16",J64," ")</f>
        <v xml:space="preserve"> </v>
      </c>
      <c r="W64" s="806" t="str">
        <f>IF(D64="T20",J64," ")</f>
        <v xml:space="preserve"> </v>
      </c>
      <c r="X64" s="806" t="str">
        <f>IF(D64="T25",J64," ")</f>
        <v xml:space="preserve"> </v>
      </c>
      <c r="Y64" s="806" t="str">
        <f>IF(D64="T32",J64," ")</f>
        <v xml:space="preserve"> </v>
      </c>
      <c r="Z64" s="811"/>
    </row>
    <row r="65" spans="1:26" x14ac:dyDescent="0.25">
      <c r="A65" s="767"/>
      <c r="B65" s="801"/>
      <c r="C65" s="802"/>
      <c r="D65" s="803"/>
      <c r="E65" s="803"/>
      <c r="F65" s="803"/>
      <c r="G65" s="804"/>
      <c r="H65" s="803"/>
      <c r="I65" s="805"/>
      <c r="J65" s="806"/>
      <c r="K65" s="806"/>
      <c r="L65" s="806"/>
      <c r="M65" s="807"/>
      <c r="N65" s="808"/>
      <c r="O65" s="808"/>
      <c r="P65" s="809"/>
      <c r="Q65" s="810"/>
      <c r="R65" s="806"/>
      <c r="S65" s="806"/>
      <c r="T65" s="806"/>
      <c r="U65" s="806"/>
      <c r="V65" s="806"/>
      <c r="W65" s="806"/>
      <c r="X65" s="806"/>
      <c r="Y65" s="806"/>
      <c r="Z65" s="811"/>
    </row>
    <row r="66" spans="1:26" x14ac:dyDescent="0.25">
      <c r="A66" s="767"/>
      <c r="B66" s="814"/>
      <c r="C66" s="802"/>
      <c r="D66" s="803"/>
      <c r="E66" s="803"/>
      <c r="F66" s="803"/>
      <c r="G66" s="804"/>
      <c r="H66" s="803"/>
      <c r="I66" s="805"/>
      <c r="J66" s="806"/>
      <c r="K66" s="806"/>
      <c r="L66" s="806"/>
      <c r="M66" s="807"/>
      <c r="N66" s="808"/>
      <c r="O66" s="808"/>
      <c r="P66" s="809"/>
      <c r="Q66" s="810"/>
      <c r="R66" s="806"/>
      <c r="S66" s="806"/>
      <c r="T66" s="806"/>
      <c r="U66" s="806"/>
      <c r="V66" s="806"/>
      <c r="W66" s="806"/>
      <c r="X66" s="806"/>
      <c r="Y66" s="806"/>
      <c r="Z66" s="811"/>
    </row>
    <row r="67" spans="1:26" x14ac:dyDescent="0.25">
      <c r="A67" s="767"/>
      <c r="B67" s="815" t="s">
        <v>1681</v>
      </c>
      <c r="C67" s="816"/>
      <c r="D67" s="817"/>
      <c r="E67" s="817"/>
      <c r="F67" s="817"/>
      <c r="G67" s="818"/>
      <c r="H67" s="819"/>
      <c r="I67" s="820"/>
      <c r="J67" s="821"/>
      <c r="K67" s="821"/>
      <c r="L67" s="821"/>
      <c r="M67" s="822"/>
      <c r="N67" s="823"/>
      <c r="O67" s="823"/>
      <c r="P67" s="823"/>
      <c r="Q67" s="823"/>
      <c r="R67" s="824">
        <f t="shared" ref="R67" si="14">SUM(R59:R66)</f>
        <v>0</v>
      </c>
      <c r="S67" s="824">
        <f t="shared" ref="S67" si="15">SUM(S59:S66)</f>
        <v>0</v>
      </c>
      <c r="T67" s="824">
        <f>SUM(T59:T66)</f>
        <v>428.11399999999992</v>
      </c>
      <c r="U67" s="824">
        <f t="shared" ref="U67" si="16">SUM(U59:U66)</f>
        <v>0</v>
      </c>
      <c r="V67" s="824">
        <f t="shared" ref="V67" si="17">SUM(V59:V66)</f>
        <v>0</v>
      </c>
      <c r="W67" s="824">
        <f t="shared" ref="W67" si="18">SUM(W59:W66)</f>
        <v>0</v>
      </c>
      <c r="X67" s="824">
        <f t="shared" ref="X67" si="19">SUM(X59:X66)</f>
        <v>0</v>
      </c>
      <c r="Y67" s="824">
        <f t="shared" ref="Y67" si="20">SUM(Y59:Y66)</f>
        <v>0</v>
      </c>
      <c r="Z67" s="811"/>
    </row>
    <row r="68" spans="1:26" x14ac:dyDescent="0.25">
      <c r="A68" s="825"/>
      <c r="B68" s="815" t="s">
        <v>1694</v>
      </c>
      <c r="C68" s="826"/>
      <c r="D68" s="827"/>
      <c r="E68" s="827"/>
      <c r="F68" s="827"/>
      <c r="G68" s="828"/>
      <c r="H68" s="829"/>
      <c r="I68" s="830"/>
      <c r="J68" s="831"/>
      <c r="K68" s="831"/>
      <c r="L68" s="831"/>
      <c r="M68" s="832"/>
      <c r="N68" s="833"/>
      <c r="O68" s="833"/>
      <c r="P68" s="833"/>
      <c r="Q68" s="833"/>
      <c r="R68" s="833">
        <f>6*6/162.162</f>
        <v>0.22200022200022199</v>
      </c>
      <c r="S68" s="833">
        <f>8*8/162.162</f>
        <v>0.39466706133372798</v>
      </c>
      <c r="T68" s="833">
        <f>10*10/162.162</f>
        <v>0.61666728333394993</v>
      </c>
      <c r="U68" s="833">
        <f>12*12/162.162</f>
        <v>0.88800088800088794</v>
      </c>
      <c r="V68" s="833">
        <f>16*16/162.162</f>
        <v>1.5786682453349119</v>
      </c>
      <c r="W68" s="833">
        <f>20*20/162.162</f>
        <v>2.4666691333357997</v>
      </c>
      <c r="X68" s="833">
        <f>25*25/162.162</f>
        <v>3.8541705208371875</v>
      </c>
      <c r="Y68" s="833">
        <f>32*32/162.162</f>
        <v>6.3146729813396476</v>
      </c>
      <c r="Z68" s="834"/>
    </row>
    <row r="69" spans="1:26" x14ac:dyDescent="0.25">
      <c r="A69" s="792"/>
      <c r="B69" s="815" t="s">
        <v>1695</v>
      </c>
      <c r="C69" s="835"/>
      <c r="D69" s="836"/>
      <c r="E69" s="836"/>
      <c r="F69" s="836"/>
      <c r="G69" s="837"/>
      <c r="H69" s="838"/>
      <c r="I69" s="839"/>
      <c r="J69" s="840"/>
      <c r="K69" s="840"/>
      <c r="L69" s="840"/>
      <c r="M69" s="841"/>
      <c r="N69" s="842"/>
      <c r="O69" s="842"/>
      <c r="P69" s="842"/>
      <c r="Q69" s="842"/>
      <c r="R69" s="843">
        <f>+R68*R67</f>
        <v>0</v>
      </c>
      <c r="S69" s="843">
        <f t="shared" ref="S69" si="21">+S68*S67</f>
        <v>0</v>
      </c>
      <c r="T69" s="843">
        <f>+T68*T67</f>
        <v>264.00389733723057</v>
      </c>
      <c r="U69" s="843">
        <f>+U68*U67</f>
        <v>0</v>
      </c>
      <c r="V69" s="843">
        <f>+V68*V67</f>
        <v>0</v>
      </c>
      <c r="W69" s="843">
        <f t="shared" ref="W69:Y69" si="22">+W68*W67</f>
        <v>0</v>
      </c>
      <c r="X69" s="843">
        <f t="shared" si="22"/>
        <v>0</v>
      </c>
      <c r="Y69" s="843">
        <f t="shared" si="22"/>
        <v>0</v>
      </c>
      <c r="Z69" s="844">
        <f>Y69+X69+W69+V69+U69+T69+S69+R69</f>
        <v>264.00389733723057</v>
      </c>
    </row>
    <row r="70" spans="1:26" x14ac:dyDescent="0.25">
      <c r="A70" s="792"/>
      <c r="B70" s="815"/>
      <c r="C70" s="873"/>
      <c r="D70" s="874"/>
      <c r="E70" s="874"/>
      <c r="F70" s="875"/>
      <c r="G70" s="876"/>
      <c r="H70" s="877"/>
      <c r="I70" s="878"/>
      <c r="J70" s="879"/>
      <c r="K70" s="879"/>
      <c r="L70" s="879"/>
      <c r="M70" s="880"/>
      <c r="N70" s="881"/>
      <c r="O70" s="881"/>
      <c r="P70" s="881"/>
      <c r="Q70" s="881"/>
      <c r="R70" s="882"/>
      <c r="S70" s="882"/>
      <c r="T70" s="882"/>
      <c r="U70" s="882"/>
      <c r="V70" s="882"/>
      <c r="W70" s="882"/>
      <c r="X70" s="882"/>
      <c r="Y70" s="882"/>
      <c r="Z70" s="883"/>
    </row>
    <row r="71" spans="1:26" x14ac:dyDescent="0.25">
      <c r="A71" s="792"/>
      <c r="B71" s="815"/>
      <c r="C71" s="873"/>
      <c r="D71" s="874"/>
      <c r="E71" s="874"/>
      <c r="F71" s="875"/>
      <c r="G71" s="876"/>
      <c r="H71" s="877"/>
      <c r="I71" s="878"/>
      <c r="J71" s="879"/>
      <c r="K71" s="879"/>
      <c r="L71" s="879"/>
      <c r="M71" s="880"/>
      <c r="N71" s="881"/>
      <c r="O71" s="881"/>
      <c r="P71" s="881"/>
      <c r="Q71" s="881"/>
      <c r="R71" s="882"/>
      <c r="S71" s="882"/>
      <c r="T71" s="882"/>
      <c r="U71" s="882"/>
      <c r="V71" s="882"/>
      <c r="W71" s="882"/>
      <c r="X71" s="882"/>
      <c r="Y71" s="882"/>
      <c r="Z71" s="883"/>
    </row>
    <row r="72" spans="1:26" ht="31.2" x14ac:dyDescent="0.25">
      <c r="A72" s="767"/>
      <c r="B72" s="812" t="s">
        <v>1730</v>
      </c>
      <c r="C72" s="802"/>
      <c r="D72" s="803"/>
      <c r="E72" s="803"/>
      <c r="F72" s="803"/>
      <c r="G72" s="804"/>
      <c r="H72" s="803"/>
      <c r="I72" s="805"/>
      <c r="J72" s="806"/>
      <c r="K72" s="806"/>
      <c r="L72" s="806"/>
      <c r="M72" s="807"/>
      <c r="N72" s="808"/>
      <c r="O72" s="808"/>
      <c r="P72" s="809"/>
      <c r="Q72" s="810"/>
      <c r="R72" s="806"/>
      <c r="S72" s="806"/>
      <c r="T72" s="806"/>
      <c r="U72" s="806"/>
      <c r="V72" s="806"/>
      <c r="W72" s="806"/>
      <c r="X72" s="806"/>
      <c r="Y72" s="806"/>
      <c r="Z72" s="811"/>
    </row>
    <row r="73" spans="1:26" x14ac:dyDescent="0.25">
      <c r="A73" s="767"/>
      <c r="B73" s="801" t="s">
        <v>1704</v>
      </c>
      <c r="C73" s="802" t="s">
        <v>1693</v>
      </c>
      <c r="D73" s="803" t="s">
        <v>1687</v>
      </c>
      <c r="E73" s="803">
        <v>23</v>
      </c>
      <c r="F73" s="803">
        <v>4</v>
      </c>
      <c r="G73" s="804">
        <f>F73*E73</f>
        <v>92</v>
      </c>
      <c r="H73" s="803"/>
      <c r="I73" s="805">
        <f>M73+N73+O73+P73+Q73</f>
        <v>4</v>
      </c>
      <c r="J73" s="806">
        <f>G73*I73</f>
        <v>368</v>
      </c>
      <c r="K73" s="806">
        <f>K69*0.888</f>
        <v>0</v>
      </c>
      <c r="L73" s="806"/>
      <c r="M73" s="807">
        <v>4</v>
      </c>
      <c r="N73" s="808"/>
      <c r="O73" s="808"/>
      <c r="P73" s="809"/>
      <c r="Q73" s="810"/>
      <c r="R73" s="806" t="str">
        <f>IF(D73="R6",J73," ")</f>
        <v xml:space="preserve"> </v>
      </c>
      <c r="S73" s="806" t="str">
        <f>IF(D73="R8",J73," ")</f>
        <v xml:space="preserve"> </v>
      </c>
      <c r="T73" s="806" t="str">
        <f>IF(D73="T10",J73," ")</f>
        <v xml:space="preserve"> </v>
      </c>
      <c r="U73" s="806" t="str">
        <f>IF(D73="T12",J73," ")</f>
        <v xml:space="preserve"> </v>
      </c>
      <c r="V73" s="806">
        <f>IF(D73="T16",J73," ")</f>
        <v>368</v>
      </c>
      <c r="W73" s="806" t="str">
        <f>IF(D73="T20",J73," ")</f>
        <v xml:space="preserve"> </v>
      </c>
      <c r="X73" s="806" t="str">
        <f>IF(D73="T25",J73," ")</f>
        <v xml:space="preserve"> </v>
      </c>
      <c r="Y73" s="806" t="str">
        <f>IF(D73="T32",J73," ")</f>
        <v xml:space="preserve"> </v>
      </c>
      <c r="Z73" s="811"/>
    </row>
    <row r="74" spans="1:26" x14ac:dyDescent="0.25">
      <c r="A74" s="767"/>
      <c r="B74" s="801" t="s">
        <v>1705</v>
      </c>
      <c r="C74" s="802" t="s">
        <v>1693</v>
      </c>
      <c r="D74" s="803" t="s">
        <v>1687</v>
      </c>
      <c r="E74" s="803">
        <v>4</v>
      </c>
      <c r="F74" s="803">
        <v>4</v>
      </c>
      <c r="G74" s="804">
        <f>F74*E74</f>
        <v>16</v>
      </c>
      <c r="H74" s="803"/>
      <c r="I74" s="805">
        <f>M74+N74+O74+P74+Q74</f>
        <v>4</v>
      </c>
      <c r="J74" s="806">
        <f>G74*I74</f>
        <v>64</v>
      </c>
      <c r="K74" s="806">
        <f>K70*0.888</f>
        <v>0</v>
      </c>
      <c r="L74" s="806"/>
      <c r="M74" s="807">
        <v>4</v>
      </c>
      <c r="N74" s="808"/>
      <c r="O74" s="808"/>
      <c r="P74" s="809"/>
      <c r="Q74" s="810"/>
      <c r="R74" s="806" t="str">
        <f>IF(D74="R6",J74," ")</f>
        <v xml:space="preserve"> </v>
      </c>
      <c r="S74" s="806" t="str">
        <f>IF(D74="R8",J74," ")</f>
        <v xml:space="preserve"> </v>
      </c>
      <c r="T74" s="806" t="str">
        <f>IF(D74="T10",J74," ")</f>
        <v xml:space="preserve"> </v>
      </c>
      <c r="U74" s="806" t="str">
        <f>IF(D74="T12",J74," ")</f>
        <v xml:space="preserve"> </v>
      </c>
      <c r="V74" s="806">
        <f>IF(D74="T16",J74," ")</f>
        <v>64</v>
      </c>
      <c r="W74" s="806" t="str">
        <f>IF(D74="T20",J74," ")</f>
        <v xml:space="preserve"> </v>
      </c>
      <c r="X74" s="806" t="str">
        <f>IF(D74="T25",J74," ")</f>
        <v xml:space="preserve"> </v>
      </c>
      <c r="Y74" s="806" t="str">
        <f>IF(D74="T32",J74," ")</f>
        <v xml:space="preserve"> </v>
      </c>
      <c r="Z74" s="811"/>
    </row>
    <row r="75" spans="1:26" x14ac:dyDescent="0.25">
      <c r="A75" s="767"/>
      <c r="B75" s="814"/>
      <c r="C75" s="802"/>
      <c r="D75" s="803"/>
      <c r="E75" s="803"/>
      <c r="F75" s="803"/>
      <c r="G75" s="804"/>
      <c r="H75" s="803"/>
      <c r="I75" s="805"/>
      <c r="J75" s="806"/>
      <c r="K75" s="806"/>
      <c r="L75" s="806"/>
      <c r="M75" s="807"/>
      <c r="N75" s="808"/>
      <c r="O75" s="808"/>
      <c r="P75" s="809"/>
      <c r="Q75" s="810"/>
      <c r="R75" s="806"/>
      <c r="S75" s="806"/>
      <c r="T75" s="806"/>
      <c r="U75" s="806"/>
      <c r="V75" s="806"/>
      <c r="W75" s="806"/>
      <c r="X75" s="806"/>
      <c r="Y75" s="806"/>
      <c r="Z75" s="811"/>
    </row>
    <row r="76" spans="1:26" x14ac:dyDescent="0.25">
      <c r="A76" s="767"/>
      <c r="B76" s="815" t="s">
        <v>1681</v>
      </c>
      <c r="C76" s="816"/>
      <c r="D76" s="817"/>
      <c r="E76" s="817"/>
      <c r="F76" s="817"/>
      <c r="G76" s="818"/>
      <c r="H76" s="819"/>
      <c r="I76" s="820"/>
      <c r="J76" s="821"/>
      <c r="K76" s="821"/>
      <c r="L76" s="821"/>
      <c r="M76" s="822"/>
      <c r="N76" s="823"/>
      <c r="O76" s="823"/>
      <c r="P76" s="823"/>
      <c r="Q76" s="823"/>
      <c r="R76" s="824">
        <f t="shared" ref="R76" si="23">SUM(R71:R75)</f>
        <v>0</v>
      </c>
      <c r="S76" s="824">
        <f t="shared" ref="S76" si="24">SUM(S71:S75)</f>
        <v>0</v>
      </c>
      <c r="T76" s="824">
        <f t="shared" ref="T76" si="25">SUM(T71:T75)</f>
        <v>0</v>
      </c>
      <c r="U76" s="824">
        <f t="shared" ref="U76" si="26">SUM(U71:U75)</f>
        <v>0</v>
      </c>
      <c r="V76" s="824">
        <f t="shared" ref="V76" si="27">SUM(V71:V75)</f>
        <v>432</v>
      </c>
      <c r="W76" s="824">
        <f t="shared" ref="W76" si="28">SUM(W71:W75)</f>
        <v>0</v>
      </c>
      <c r="X76" s="824">
        <f t="shared" ref="X76" si="29">SUM(X71:X75)</f>
        <v>0</v>
      </c>
      <c r="Y76" s="824">
        <f t="shared" ref="Y76" si="30">SUM(Y71:Y75)</f>
        <v>0</v>
      </c>
      <c r="Z76" s="811"/>
    </row>
    <row r="77" spans="1:26" x14ac:dyDescent="0.25">
      <c r="A77" s="825"/>
      <c r="B77" s="815" t="s">
        <v>1694</v>
      </c>
      <c r="C77" s="826"/>
      <c r="D77" s="827"/>
      <c r="E77" s="827"/>
      <c r="F77" s="827"/>
      <c r="G77" s="828"/>
      <c r="H77" s="829"/>
      <c r="I77" s="830"/>
      <c r="J77" s="831"/>
      <c r="K77" s="831"/>
      <c r="L77" s="831"/>
      <c r="M77" s="832"/>
      <c r="N77" s="833"/>
      <c r="O77" s="833"/>
      <c r="P77" s="833"/>
      <c r="Q77" s="833"/>
      <c r="R77" s="833">
        <f>6*6/162.162</f>
        <v>0.22200022200022199</v>
      </c>
      <c r="S77" s="833">
        <f>8*8/162.162</f>
        <v>0.39466706133372798</v>
      </c>
      <c r="T77" s="833">
        <f>10*10/162.162</f>
        <v>0.61666728333394993</v>
      </c>
      <c r="U77" s="833">
        <f>12*12/162.162</f>
        <v>0.88800088800088794</v>
      </c>
      <c r="V77" s="833">
        <f>16*16/162.162</f>
        <v>1.5786682453349119</v>
      </c>
      <c r="W77" s="833">
        <f>20*20/162.162</f>
        <v>2.4666691333357997</v>
      </c>
      <c r="X77" s="833">
        <f>25*25/162.162</f>
        <v>3.8541705208371875</v>
      </c>
      <c r="Y77" s="833">
        <f>32*32/162.162</f>
        <v>6.3146729813396476</v>
      </c>
      <c r="Z77" s="834"/>
    </row>
    <row r="78" spans="1:26" x14ac:dyDescent="0.25">
      <c r="A78" s="792"/>
      <c r="B78" s="815" t="s">
        <v>1695</v>
      </c>
      <c r="C78" s="835"/>
      <c r="D78" s="836"/>
      <c r="E78" s="836"/>
      <c r="F78" s="836"/>
      <c r="G78" s="837"/>
      <c r="H78" s="838"/>
      <c r="I78" s="839"/>
      <c r="J78" s="840"/>
      <c r="K78" s="840"/>
      <c r="L78" s="840"/>
      <c r="M78" s="841"/>
      <c r="N78" s="842"/>
      <c r="O78" s="842"/>
      <c r="P78" s="842"/>
      <c r="Q78" s="842"/>
      <c r="R78" s="843">
        <f>+R77*R76</f>
        <v>0</v>
      </c>
      <c r="S78" s="843">
        <f t="shared" ref="S78" si="31">+S77*S76</f>
        <v>0</v>
      </c>
      <c r="T78" s="843">
        <f>+T77*T76</f>
        <v>0</v>
      </c>
      <c r="U78" s="843">
        <f>+U77*U76</f>
        <v>0</v>
      </c>
      <c r="V78" s="843">
        <f>+V77*V76</f>
        <v>681.98468198468197</v>
      </c>
      <c r="W78" s="843">
        <f t="shared" ref="W78:Y78" si="32">+W77*W76</f>
        <v>0</v>
      </c>
      <c r="X78" s="843">
        <f t="shared" si="32"/>
        <v>0</v>
      </c>
      <c r="Y78" s="843">
        <f t="shared" si="32"/>
        <v>0</v>
      </c>
      <c r="Z78" s="844">
        <f>Y78+X78+W78+V78+U78+T78+S78+R78</f>
        <v>681.98468198468197</v>
      </c>
    </row>
    <row r="79" spans="1:26" x14ac:dyDescent="0.25">
      <c r="A79" s="792"/>
      <c r="B79" s="815"/>
      <c r="C79" s="873"/>
      <c r="D79" s="874"/>
      <c r="E79" s="874"/>
      <c r="F79" s="875"/>
      <c r="G79" s="876"/>
      <c r="H79" s="877"/>
      <c r="I79" s="878"/>
      <c r="J79" s="879"/>
      <c r="K79" s="879"/>
      <c r="L79" s="879"/>
      <c r="M79" s="880"/>
      <c r="N79" s="881"/>
      <c r="O79" s="881"/>
      <c r="P79" s="881"/>
      <c r="Q79" s="881"/>
      <c r="R79" s="882"/>
      <c r="S79" s="882"/>
      <c r="T79" s="882"/>
      <c r="U79" s="882"/>
      <c r="V79" s="882"/>
      <c r="W79" s="882"/>
      <c r="X79" s="882"/>
      <c r="Y79" s="882"/>
      <c r="Z79" s="883"/>
    </row>
    <row r="80" spans="1:26" x14ac:dyDescent="0.25">
      <c r="A80" s="767"/>
      <c r="B80" s="812" t="s">
        <v>756</v>
      </c>
      <c r="C80" s="802"/>
      <c r="D80" s="803"/>
      <c r="E80" s="803"/>
      <c r="F80" s="803"/>
      <c r="G80" s="804"/>
      <c r="H80" s="803"/>
      <c r="I80" s="805"/>
      <c r="J80" s="806"/>
      <c r="K80" s="806"/>
      <c r="L80" s="806"/>
      <c r="M80" s="807"/>
      <c r="N80" s="808"/>
      <c r="O80" s="808"/>
      <c r="P80" s="809"/>
      <c r="Q80" s="810"/>
      <c r="R80" s="806"/>
      <c r="S80" s="806"/>
      <c r="T80" s="806"/>
      <c r="U80" s="806"/>
      <c r="V80" s="806"/>
      <c r="W80" s="806"/>
      <c r="X80" s="806"/>
      <c r="Y80" s="806"/>
      <c r="Z80" s="811"/>
    </row>
    <row r="81" spans="1:26" x14ac:dyDescent="0.25">
      <c r="A81" s="767"/>
      <c r="B81" s="801" t="s">
        <v>1605</v>
      </c>
      <c r="C81" s="802" t="s">
        <v>1693</v>
      </c>
      <c r="D81" s="803" t="s">
        <v>1686</v>
      </c>
      <c r="E81" s="803">
        <v>1</v>
      </c>
      <c r="F81" s="803">
        <v>80</v>
      </c>
      <c r="G81" s="804">
        <f>F81*E81</f>
        <v>80</v>
      </c>
      <c r="H81" s="803"/>
      <c r="I81" s="805">
        <f>M81+N81+O81+P81+Q81</f>
        <v>3.57</v>
      </c>
      <c r="J81" s="806">
        <f>G81*I81</f>
        <v>285.59999999999997</v>
      </c>
      <c r="K81" s="806">
        <f>K77*0.888</f>
        <v>0</v>
      </c>
      <c r="L81" s="806"/>
      <c r="M81" s="807">
        <v>3.57</v>
      </c>
      <c r="N81" s="808"/>
      <c r="O81" s="808"/>
      <c r="P81" s="809"/>
      <c r="Q81" s="810"/>
      <c r="R81" s="806" t="str">
        <f>IF(D81="R6",J81," ")</f>
        <v xml:space="preserve"> </v>
      </c>
      <c r="S81" s="806" t="str">
        <f>IF(D81="R8",J81," ")</f>
        <v xml:space="preserve"> </v>
      </c>
      <c r="T81" s="806" t="str">
        <f>IF(D81="T10",J81," ")</f>
        <v xml:space="preserve"> </v>
      </c>
      <c r="U81" s="806">
        <f>IF(D81="T12",J81," ")</f>
        <v>285.59999999999997</v>
      </c>
      <c r="V81" s="806" t="str">
        <f>IF(D81="T16",J81," ")</f>
        <v xml:space="preserve"> </v>
      </c>
      <c r="W81" s="806" t="str">
        <f>IF(D81="T20",J81," ")</f>
        <v xml:space="preserve"> </v>
      </c>
      <c r="X81" s="806" t="str">
        <f>IF(D81="T25",J81," ")</f>
        <v xml:space="preserve"> </v>
      </c>
      <c r="Y81" s="806" t="str">
        <f>IF(D81="T32",J81," ")</f>
        <v xml:space="preserve"> </v>
      </c>
      <c r="Z81" s="811"/>
    </row>
    <row r="82" spans="1:26" x14ac:dyDescent="0.25">
      <c r="A82" s="767"/>
      <c r="B82" s="801" t="s">
        <v>800</v>
      </c>
      <c r="C82" s="802" t="s">
        <v>1693</v>
      </c>
      <c r="D82" s="803" t="s">
        <v>1686</v>
      </c>
      <c r="E82" s="803">
        <v>1</v>
      </c>
      <c r="F82" s="803">
        <v>60</v>
      </c>
      <c r="G82" s="804">
        <f>F82*E82</f>
        <v>60</v>
      </c>
      <c r="H82" s="803"/>
      <c r="I82" s="805">
        <f>M82+N82+O82+P82+Q82</f>
        <v>3</v>
      </c>
      <c r="J82" s="806">
        <f>G82*I82</f>
        <v>180</v>
      </c>
      <c r="K82" s="806">
        <f>K78*0.888</f>
        <v>0</v>
      </c>
      <c r="L82" s="806"/>
      <c r="M82" s="807">
        <v>3</v>
      </c>
      <c r="N82" s="808"/>
      <c r="O82" s="808"/>
      <c r="P82" s="809"/>
      <c r="Q82" s="810"/>
      <c r="R82" s="806" t="str">
        <f>IF(D82="R6",J82," ")</f>
        <v xml:space="preserve"> </v>
      </c>
      <c r="S82" s="806" t="str">
        <f>IF(D82="R8",J82," ")</f>
        <v xml:space="preserve"> </v>
      </c>
      <c r="T82" s="806" t="str">
        <f>IF(D82="T10",J82," ")</f>
        <v xml:space="preserve"> </v>
      </c>
      <c r="U82" s="806">
        <f>IF(D82="T12",J82," ")</f>
        <v>180</v>
      </c>
      <c r="V82" s="806" t="str">
        <f>IF(D82="T16",J82," ")</f>
        <v xml:space="preserve"> </v>
      </c>
      <c r="W82" s="806" t="str">
        <f>IF(D82="T20",J82," ")</f>
        <v xml:space="preserve"> </v>
      </c>
      <c r="X82" s="806" t="str">
        <f>IF(D82="T25",J82," ")</f>
        <v xml:space="preserve"> </v>
      </c>
      <c r="Y82" s="806" t="str">
        <f>IF(D82="T32",J82," ")</f>
        <v xml:space="preserve"> </v>
      </c>
      <c r="Z82" s="811"/>
    </row>
    <row r="83" spans="1:26" x14ac:dyDescent="0.25">
      <c r="A83" s="767"/>
      <c r="B83" s="801" t="s">
        <v>1605</v>
      </c>
      <c r="C83" s="802" t="s">
        <v>1693</v>
      </c>
      <c r="D83" s="803" t="s">
        <v>1686</v>
      </c>
      <c r="E83" s="803">
        <v>1</v>
      </c>
      <c r="F83" s="803">
        <v>15</v>
      </c>
      <c r="G83" s="804">
        <f>F83*E83</f>
        <v>15</v>
      </c>
      <c r="H83" s="803"/>
      <c r="I83" s="805">
        <f>M83+N83+O83+P83+Q83</f>
        <v>9.1999999999999993</v>
      </c>
      <c r="J83" s="806">
        <f>G83*I83</f>
        <v>138</v>
      </c>
      <c r="K83" s="806">
        <f>K79*0.888</f>
        <v>0</v>
      </c>
      <c r="L83" s="806"/>
      <c r="M83" s="807">
        <f>2.3*4</f>
        <v>9.1999999999999993</v>
      </c>
      <c r="N83" s="808"/>
      <c r="O83" s="808"/>
      <c r="P83" s="809"/>
      <c r="Q83" s="810"/>
      <c r="R83" s="806" t="str">
        <f>IF(D83="R6",J83," ")</f>
        <v xml:space="preserve"> </v>
      </c>
      <c r="S83" s="806" t="str">
        <f>IF(D83="R8",J83," ")</f>
        <v xml:space="preserve"> </v>
      </c>
      <c r="T83" s="806" t="str">
        <f>IF(D83="T10",J83," ")</f>
        <v xml:space="preserve"> </v>
      </c>
      <c r="U83" s="806">
        <f>IF(D83="T12",J83," ")</f>
        <v>138</v>
      </c>
      <c r="V83" s="806" t="str">
        <f>IF(D83="T16",J83," ")</f>
        <v xml:space="preserve"> </v>
      </c>
      <c r="W83" s="806" t="str">
        <f>IF(D83="T20",J83," ")</f>
        <v xml:space="preserve"> </v>
      </c>
      <c r="X83" s="806" t="str">
        <f>IF(D83="T25",J83," ")</f>
        <v xml:space="preserve"> </v>
      </c>
      <c r="Y83" s="806" t="str">
        <f>IF(D83="T32",J83," ")</f>
        <v xml:space="preserve"> </v>
      </c>
      <c r="Z83" s="811"/>
    </row>
    <row r="84" spans="1:26" x14ac:dyDescent="0.25">
      <c r="A84" s="767"/>
      <c r="B84" s="814"/>
      <c r="C84" s="802"/>
      <c r="D84" s="803"/>
      <c r="E84" s="803"/>
      <c r="F84" s="803"/>
      <c r="G84" s="804"/>
      <c r="H84" s="803"/>
      <c r="I84" s="805"/>
      <c r="J84" s="806"/>
      <c r="K84" s="806"/>
      <c r="L84" s="806"/>
      <c r="M84" s="807"/>
      <c r="N84" s="808"/>
      <c r="O84" s="808"/>
      <c r="P84" s="809"/>
      <c r="Q84" s="810"/>
      <c r="R84" s="806"/>
      <c r="S84" s="806"/>
      <c r="T84" s="806"/>
      <c r="U84" s="806"/>
      <c r="V84" s="806"/>
      <c r="W84" s="806"/>
      <c r="X84" s="806"/>
      <c r="Y84" s="806"/>
      <c r="Z84" s="811"/>
    </row>
    <row r="85" spans="1:26" x14ac:dyDescent="0.25">
      <c r="A85" s="767"/>
      <c r="B85" s="815" t="s">
        <v>1681</v>
      </c>
      <c r="C85" s="816"/>
      <c r="D85" s="817"/>
      <c r="E85" s="817"/>
      <c r="F85" s="817"/>
      <c r="G85" s="818"/>
      <c r="H85" s="819"/>
      <c r="I85" s="820"/>
      <c r="J85" s="821"/>
      <c r="K85" s="821"/>
      <c r="L85" s="821"/>
      <c r="M85" s="822"/>
      <c r="N85" s="823"/>
      <c r="O85" s="823"/>
      <c r="P85" s="823"/>
      <c r="Q85" s="823"/>
      <c r="R85" s="824">
        <f t="shared" ref="R85:Y85" si="33">SUM(R79:R84)</f>
        <v>0</v>
      </c>
      <c r="S85" s="824">
        <f t="shared" si="33"/>
        <v>0</v>
      </c>
      <c r="T85" s="824">
        <f t="shared" si="33"/>
        <v>0</v>
      </c>
      <c r="U85" s="824">
        <f t="shared" si="33"/>
        <v>603.59999999999991</v>
      </c>
      <c r="V85" s="824">
        <f t="shared" si="33"/>
        <v>0</v>
      </c>
      <c r="W85" s="824">
        <f t="shared" si="33"/>
        <v>0</v>
      </c>
      <c r="X85" s="824">
        <f t="shared" si="33"/>
        <v>0</v>
      </c>
      <c r="Y85" s="824">
        <f t="shared" si="33"/>
        <v>0</v>
      </c>
      <c r="Z85" s="811"/>
    </row>
    <row r="86" spans="1:26" x14ac:dyDescent="0.25">
      <c r="A86" s="825"/>
      <c r="B86" s="815" t="s">
        <v>1694</v>
      </c>
      <c r="C86" s="826"/>
      <c r="D86" s="827"/>
      <c r="E86" s="827"/>
      <c r="F86" s="827"/>
      <c r="G86" s="828"/>
      <c r="H86" s="829"/>
      <c r="I86" s="830"/>
      <c r="J86" s="831"/>
      <c r="K86" s="831"/>
      <c r="L86" s="831"/>
      <c r="M86" s="832"/>
      <c r="N86" s="833"/>
      <c r="O86" s="833"/>
      <c r="P86" s="833"/>
      <c r="Q86" s="833"/>
      <c r="R86" s="833">
        <f>6*6/162.162</f>
        <v>0.22200022200022199</v>
      </c>
      <c r="S86" s="833">
        <f>8*8/162.162</f>
        <v>0.39466706133372798</v>
      </c>
      <c r="T86" s="833">
        <f>10*10/162.162</f>
        <v>0.61666728333394993</v>
      </c>
      <c r="U86" s="833">
        <f>12*12/162.162</f>
        <v>0.88800088800088794</v>
      </c>
      <c r="V86" s="833">
        <f>16*16/162.162</f>
        <v>1.5786682453349119</v>
      </c>
      <c r="W86" s="833">
        <f>20*20/162.162</f>
        <v>2.4666691333357997</v>
      </c>
      <c r="X86" s="833">
        <f>25*25/162.162</f>
        <v>3.8541705208371875</v>
      </c>
      <c r="Y86" s="833">
        <f>32*32/162.162</f>
        <v>6.3146729813396476</v>
      </c>
      <c r="Z86" s="834"/>
    </row>
    <row r="87" spans="1:26" x14ac:dyDescent="0.25">
      <c r="A87" s="792"/>
      <c r="B87" s="815" t="s">
        <v>1695</v>
      </c>
      <c r="C87" s="835"/>
      <c r="D87" s="836"/>
      <c r="E87" s="836"/>
      <c r="F87" s="836"/>
      <c r="G87" s="837"/>
      <c r="H87" s="838"/>
      <c r="I87" s="839"/>
      <c r="J87" s="840"/>
      <c r="K87" s="840"/>
      <c r="L87" s="840"/>
      <c r="M87" s="841"/>
      <c r="N87" s="842"/>
      <c r="O87" s="842"/>
      <c r="P87" s="842"/>
      <c r="Q87" s="842"/>
      <c r="R87" s="843">
        <f>+R86*R85</f>
        <v>0</v>
      </c>
      <c r="S87" s="843">
        <f t="shared" ref="S87" si="34">+S86*S85</f>
        <v>0</v>
      </c>
      <c r="T87" s="843">
        <f>+T86*T85</f>
        <v>0</v>
      </c>
      <c r="U87" s="843">
        <f>+U86*U85</f>
        <v>535.99733599733588</v>
      </c>
      <c r="V87" s="843">
        <f>+V86*V85</f>
        <v>0</v>
      </c>
      <c r="W87" s="843">
        <f t="shared" ref="W87:Y87" si="35">+W86*W85</f>
        <v>0</v>
      </c>
      <c r="X87" s="843">
        <f t="shared" si="35"/>
        <v>0</v>
      </c>
      <c r="Y87" s="843">
        <f t="shared" si="35"/>
        <v>0</v>
      </c>
      <c r="Z87" s="844">
        <f>Y87+X87+W87+V87+U87+T87+S87+R87</f>
        <v>535.99733599733588</v>
      </c>
    </row>
    <row r="88" spans="1:26" x14ac:dyDescent="0.25">
      <c r="A88" s="792"/>
      <c r="B88" s="815"/>
      <c r="C88" s="873"/>
      <c r="D88" s="874"/>
      <c r="E88" s="874"/>
      <c r="F88" s="875"/>
      <c r="G88" s="876"/>
      <c r="H88" s="877"/>
      <c r="I88" s="878"/>
      <c r="J88" s="879"/>
      <c r="K88" s="879"/>
      <c r="L88" s="879"/>
      <c r="M88" s="880"/>
      <c r="N88" s="881"/>
      <c r="O88" s="881"/>
      <c r="P88" s="881"/>
      <c r="Q88" s="881"/>
      <c r="R88" s="882"/>
      <c r="S88" s="882"/>
      <c r="T88" s="882"/>
      <c r="U88" s="882"/>
      <c r="V88" s="882"/>
      <c r="W88" s="882"/>
      <c r="X88" s="882"/>
      <c r="Y88" s="882"/>
      <c r="Z88" s="883"/>
    </row>
    <row r="89" spans="1:26" x14ac:dyDescent="0.25">
      <c r="A89" s="792"/>
      <c r="B89" s="815"/>
      <c r="C89" s="873"/>
      <c r="D89" s="874"/>
      <c r="E89" s="874"/>
      <c r="F89" s="875"/>
      <c r="G89" s="876"/>
      <c r="H89" s="877"/>
      <c r="I89" s="878"/>
      <c r="J89" s="879"/>
      <c r="K89" s="879"/>
      <c r="L89" s="879"/>
      <c r="M89" s="880"/>
      <c r="N89" s="881"/>
      <c r="O89" s="881"/>
      <c r="P89" s="881"/>
      <c r="Q89" s="881"/>
      <c r="R89" s="882"/>
      <c r="S89" s="882"/>
      <c r="T89" s="882"/>
      <c r="U89" s="882"/>
      <c r="V89" s="882"/>
      <c r="W89" s="882"/>
      <c r="X89" s="882"/>
      <c r="Y89" s="882"/>
      <c r="Z89" s="883"/>
    </row>
    <row r="90" spans="1:26" x14ac:dyDescent="0.25">
      <c r="A90" s="792"/>
      <c r="B90" s="815" t="s">
        <v>1750</v>
      </c>
      <c r="C90" s="873"/>
      <c r="D90" s="874"/>
      <c r="E90" s="874"/>
      <c r="F90" s="875"/>
      <c r="G90" s="876"/>
      <c r="H90" s="877"/>
      <c r="I90" s="878"/>
      <c r="J90" s="879"/>
      <c r="K90" s="879"/>
      <c r="L90" s="879"/>
      <c r="M90" s="880"/>
      <c r="N90" s="881"/>
      <c r="O90" s="881"/>
      <c r="P90" s="881"/>
      <c r="Q90" s="881"/>
      <c r="R90" s="882"/>
      <c r="S90" s="882"/>
      <c r="T90" s="882"/>
      <c r="U90" s="882"/>
      <c r="V90" s="882"/>
      <c r="W90" s="882"/>
      <c r="X90" s="882"/>
      <c r="Y90" s="882"/>
      <c r="Z90" s="883"/>
    </row>
    <row r="91" spans="1:26" x14ac:dyDescent="0.25">
      <c r="A91" s="792"/>
      <c r="B91" s="815"/>
      <c r="C91" s="873"/>
      <c r="D91" s="874"/>
      <c r="E91" s="874"/>
      <c r="F91" s="875"/>
      <c r="G91" s="876"/>
      <c r="H91" s="877"/>
      <c r="I91" s="878"/>
      <c r="J91" s="879"/>
      <c r="K91" s="879"/>
      <c r="L91" s="879"/>
      <c r="M91" s="880"/>
      <c r="N91" s="881"/>
      <c r="O91" s="881"/>
      <c r="P91" s="881"/>
      <c r="Q91" s="881"/>
      <c r="R91" s="882"/>
      <c r="S91" s="882"/>
      <c r="T91" s="882"/>
      <c r="U91" s="882"/>
      <c r="V91" s="882"/>
      <c r="W91" s="882"/>
      <c r="X91" s="882"/>
      <c r="Y91" s="882"/>
      <c r="Z91" s="883"/>
    </row>
    <row r="92" spans="1:26" ht="31.2" x14ac:dyDescent="0.25">
      <c r="A92" s="767"/>
      <c r="B92" s="812" t="s">
        <v>1707</v>
      </c>
      <c r="C92" s="802"/>
      <c r="D92" s="803"/>
      <c r="E92" s="803"/>
      <c r="F92" s="803"/>
      <c r="G92" s="804"/>
      <c r="H92" s="803"/>
      <c r="I92" s="805"/>
      <c r="J92" s="806"/>
      <c r="K92" s="806"/>
      <c r="L92" s="806"/>
      <c r="M92" s="807"/>
      <c r="N92" s="808"/>
      <c r="O92" s="808"/>
      <c r="P92" s="809"/>
      <c r="Q92" s="810"/>
      <c r="R92" s="806"/>
      <c r="S92" s="806"/>
      <c r="T92" s="806"/>
      <c r="U92" s="806"/>
      <c r="V92" s="806"/>
      <c r="W92" s="806"/>
      <c r="X92" s="806"/>
      <c r="Y92" s="806"/>
      <c r="Z92" s="811"/>
    </row>
    <row r="93" spans="1:26" x14ac:dyDescent="0.25">
      <c r="A93" s="767"/>
      <c r="B93" s="801" t="s">
        <v>1704</v>
      </c>
      <c r="C93" s="802" t="s">
        <v>1693</v>
      </c>
      <c r="D93" s="803" t="s">
        <v>1683</v>
      </c>
      <c r="E93" s="803">
        <v>32</v>
      </c>
      <c r="F93" s="803">
        <v>9</v>
      </c>
      <c r="G93" s="804">
        <f>F93*E93</f>
        <v>288</v>
      </c>
      <c r="H93" s="803"/>
      <c r="I93" s="805">
        <f>M93+N93+O93+P93+Q93</f>
        <v>1.1000000000000001</v>
      </c>
      <c r="J93" s="806">
        <f>G93*I93</f>
        <v>316.8</v>
      </c>
      <c r="K93" s="806">
        <f>K89*0.888</f>
        <v>0</v>
      </c>
      <c r="L93" s="806"/>
      <c r="M93" s="807">
        <v>1.1000000000000001</v>
      </c>
      <c r="N93" s="808"/>
      <c r="O93" s="808"/>
      <c r="P93" s="809"/>
      <c r="Q93" s="810"/>
      <c r="R93" s="806">
        <f>IF(D93="R6",J93," ")</f>
        <v>316.8</v>
      </c>
      <c r="S93" s="806" t="str">
        <f>IF(D93="R8",J93," ")</f>
        <v xml:space="preserve"> </v>
      </c>
      <c r="T93" s="806" t="str">
        <f>IF(D93="T10",J93," ")</f>
        <v xml:space="preserve"> </v>
      </c>
      <c r="U93" s="806" t="str">
        <f>IF(D93="T12",J93," ")</f>
        <v xml:space="preserve"> </v>
      </c>
      <c r="V93" s="806" t="str">
        <f>IF(D93="T16",J93," ")</f>
        <v xml:space="preserve"> </v>
      </c>
      <c r="W93" s="806" t="str">
        <f>IF(D93="T20",J93," ")</f>
        <v xml:space="preserve"> </v>
      </c>
      <c r="X93" s="806" t="str">
        <f>IF(D93="T25",J93," ")</f>
        <v xml:space="preserve"> </v>
      </c>
      <c r="Y93" s="806" t="str">
        <f>IF(D93="T32",J93," ")</f>
        <v xml:space="preserve"> </v>
      </c>
      <c r="Z93" s="811"/>
    </row>
    <row r="94" spans="1:26" x14ac:dyDescent="0.25">
      <c r="A94" s="767"/>
      <c r="B94" s="801" t="s">
        <v>1705</v>
      </c>
      <c r="C94" s="802" t="s">
        <v>1693</v>
      </c>
      <c r="D94" s="803" t="s">
        <v>1683</v>
      </c>
      <c r="E94" s="803">
        <v>4</v>
      </c>
      <c r="F94" s="803">
        <v>9</v>
      </c>
      <c r="G94" s="804">
        <f>F94*E94</f>
        <v>36</v>
      </c>
      <c r="H94" s="803"/>
      <c r="I94" s="805">
        <f>M94+N94+O94+P94+Q94</f>
        <v>0.9</v>
      </c>
      <c r="J94" s="806">
        <f>G94*I94</f>
        <v>32.4</v>
      </c>
      <c r="K94" s="806">
        <f>K88*0.888</f>
        <v>0</v>
      </c>
      <c r="L94" s="806"/>
      <c r="M94" s="807">
        <v>0.9</v>
      </c>
      <c r="N94" s="808"/>
      <c r="O94" s="808"/>
      <c r="P94" s="809"/>
      <c r="Q94" s="810"/>
      <c r="R94" s="806">
        <f>IF(D94="R6",J94," ")</f>
        <v>32.4</v>
      </c>
      <c r="S94" s="806" t="str">
        <f>IF(D94="R8",J94," ")</f>
        <v xml:space="preserve"> </v>
      </c>
      <c r="T94" s="806" t="str">
        <f>IF(D94="T10",J94," ")</f>
        <v xml:space="preserve"> </v>
      </c>
      <c r="U94" s="806" t="str">
        <f>IF(D94="T12",J94," ")</f>
        <v xml:space="preserve"> </v>
      </c>
      <c r="V94" s="806" t="str">
        <f>IF(D94="T16",J94," ")</f>
        <v xml:space="preserve"> </v>
      </c>
      <c r="W94" s="806" t="str">
        <f>IF(D94="T20",J94," ")</f>
        <v xml:space="preserve"> </v>
      </c>
      <c r="X94" s="806" t="str">
        <f>IF(D94="T25",J94," ")</f>
        <v xml:space="preserve"> </v>
      </c>
      <c r="Y94" s="806" t="str">
        <f>IF(D94="T32",J94," ")</f>
        <v xml:space="preserve"> </v>
      </c>
      <c r="Z94" s="811"/>
    </row>
    <row r="95" spans="1:26" x14ac:dyDescent="0.25">
      <c r="A95" s="767"/>
      <c r="B95" s="801"/>
      <c r="C95" s="802"/>
      <c r="D95" s="803"/>
      <c r="E95" s="803"/>
      <c r="F95" s="803"/>
      <c r="G95" s="804"/>
      <c r="H95" s="803"/>
      <c r="I95" s="805"/>
      <c r="J95" s="806"/>
      <c r="K95" s="806"/>
      <c r="L95" s="806"/>
      <c r="M95" s="807"/>
      <c r="N95" s="808"/>
      <c r="O95" s="808"/>
      <c r="P95" s="809"/>
      <c r="Q95" s="810"/>
      <c r="R95" s="806"/>
      <c r="S95" s="806"/>
      <c r="T95" s="806"/>
      <c r="U95" s="806"/>
      <c r="V95" s="806"/>
      <c r="W95" s="806"/>
      <c r="X95" s="806"/>
      <c r="Y95" s="806"/>
      <c r="Z95" s="811"/>
    </row>
    <row r="96" spans="1:26" x14ac:dyDescent="0.25">
      <c r="A96" s="767"/>
      <c r="B96" s="814"/>
      <c r="C96" s="802"/>
      <c r="D96" s="803"/>
      <c r="E96" s="803"/>
      <c r="F96" s="803"/>
      <c r="G96" s="804"/>
      <c r="H96" s="803"/>
      <c r="I96" s="805"/>
      <c r="J96" s="806"/>
      <c r="K96" s="806"/>
      <c r="L96" s="806"/>
      <c r="M96" s="807"/>
      <c r="N96" s="808"/>
      <c r="O96" s="808"/>
      <c r="P96" s="809"/>
      <c r="Q96" s="810"/>
      <c r="R96" s="806"/>
      <c r="S96" s="806"/>
      <c r="T96" s="806"/>
      <c r="U96" s="806"/>
      <c r="V96" s="806"/>
      <c r="W96" s="806"/>
      <c r="X96" s="806"/>
      <c r="Y96" s="806"/>
      <c r="Z96" s="811"/>
    </row>
    <row r="97" spans="1:26" x14ac:dyDescent="0.25">
      <c r="A97" s="767"/>
      <c r="B97" s="815" t="s">
        <v>1681</v>
      </c>
      <c r="C97" s="816"/>
      <c r="D97" s="817"/>
      <c r="E97" s="817"/>
      <c r="F97" s="817"/>
      <c r="G97" s="818"/>
      <c r="H97" s="819"/>
      <c r="I97" s="820"/>
      <c r="J97" s="821"/>
      <c r="K97" s="821"/>
      <c r="L97" s="821"/>
      <c r="M97" s="822"/>
      <c r="N97" s="823"/>
      <c r="O97" s="823"/>
      <c r="P97" s="823"/>
      <c r="Q97" s="823"/>
      <c r="R97" s="824">
        <f t="shared" ref="R97:Y97" si="36">SUM(R91:R96)</f>
        <v>349.2</v>
      </c>
      <c r="S97" s="824">
        <f t="shared" si="36"/>
        <v>0</v>
      </c>
      <c r="T97" s="824">
        <f t="shared" si="36"/>
        <v>0</v>
      </c>
      <c r="U97" s="824">
        <f t="shared" si="36"/>
        <v>0</v>
      </c>
      <c r="V97" s="824">
        <f t="shared" si="36"/>
        <v>0</v>
      </c>
      <c r="W97" s="824">
        <f t="shared" si="36"/>
        <v>0</v>
      </c>
      <c r="X97" s="824">
        <f t="shared" si="36"/>
        <v>0</v>
      </c>
      <c r="Y97" s="824">
        <f t="shared" si="36"/>
        <v>0</v>
      </c>
      <c r="Z97" s="811"/>
    </row>
    <row r="98" spans="1:26" x14ac:dyDescent="0.25">
      <c r="A98" s="825"/>
      <c r="B98" s="815" t="s">
        <v>1694</v>
      </c>
      <c r="C98" s="826"/>
      <c r="D98" s="827"/>
      <c r="E98" s="827"/>
      <c r="F98" s="827"/>
      <c r="G98" s="828"/>
      <c r="H98" s="829"/>
      <c r="I98" s="830"/>
      <c r="J98" s="831"/>
      <c r="K98" s="831"/>
      <c r="L98" s="831"/>
      <c r="M98" s="832"/>
      <c r="N98" s="833"/>
      <c r="O98" s="833"/>
      <c r="P98" s="833"/>
      <c r="Q98" s="833"/>
      <c r="R98" s="833">
        <f>6*6/162.162</f>
        <v>0.22200022200022199</v>
      </c>
      <c r="S98" s="833">
        <f>8*8/162.162</f>
        <v>0.39466706133372798</v>
      </c>
      <c r="T98" s="833">
        <f>10*10/162.162</f>
        <v>0.61666728333394993</v>
      </c>
      <c r="U98" s="833">
        <f>12*12/162.162</f>
        <v>0.88800088800088794</v>
      </c>
      <c r="V98" s="833">
        <f>16*16/162.162</f>
        <v>1.5786682453349119</v>
      </c>
      <c r="W98" s="833">
        <f>20*20/162.162</f>
        <v>2.4666691333357997</v>
      </c>
      <c r="X98" s="833">
        <f>25*25/162.162</f>
        <v>3.8541705208371875</v>
      </c>
      <c r="Y98" s="833">
        <f>32*32/162.162</f>
        <v>6.3146729813396476</v>
      </c>
      <c r="Z98" s="834"/>
    </row>
    <row r="99" spans="1:26" x14ac:dyDescent="0.25">
      <c r="A99" s="792"/>
      <c r="B99" s="815" t="s">
        <v>1695</v>
      </c>
      <c r="C99" s="835"/>
      <c r="D99" s="836"/>
      <c r="E99" s="836"/>
      <c r="F99" s="836"/>
      <c r="G99" s="837"/>
      <c r="H99" s="838"/>
      <c r="I99" s="839"/>
      <c r="J99" s="840"/>
      <c r="K99" s="840"/>
      <c r="L99" s="840"/>
      <c r="M99" s="841"/>
      <c r="N99" s="842"/>
      <c r="O99" s="842"/>
      <c r="P99" s="842"/>
      <c r="Q99" s="842"/>
      <c r="R99" s="843">
        <f>+R98*R97</f>
        <v>77.522477522477516</v>
      </c>
      <c r="S99" s="843">
        <f t="shared" ref="S99" si="37">+S98*S97</f>
        <v>0</v>
      </c>
      <c r="T99" s="843">
        <f>+T98*T97</f>
        <v>0</v>
      </c>
      <c r="U99" s="843">
        <f>+U98*U97</f>
        <v>0</v>
      </c>
      <c r="V99" s="843">
        <f>+V98*V97</f>
        <v>0</v>
      </c>
      <c r="W99" s="843">
        <f t="shared" ref="W99:Y99" si="38">+W98*W97</f>
        <v>0</v>
      </c>
      <c r="X99" s="843">
        <f t="shared" si="38"/>
        <v>0</v>
      </c>
      <c r="Y99" s="843">
        <f t="shared" si="38"/>
        <v>0</v>
      </c>
      <c r="Z99" s="844">
        <f>Y99+X99+W99+V99+U99+T99+S99+R99</f>
        <v>77.522477522477516</v>
      </c>
    </row>
    <row r="100" spans="1:26" x14ac:dyDescent="0.25">
      <c r="A100" s="792"/>
      <c r="B100" s="815"/>
      <c r="C100" s="873"/>
      <c r="D100" s="874"/>
      <c r="E100" s="874"/>
      <c r="F100" s="875"/>
      <c r="G100" s="876"/>
      <c r="H100" s="877"/>
      <c r="I100" s="878"/>
      <c r="J100" s="879"/>
      <c r="K100" s="879"/>
      <c r="L100" s="879"/>
      <c r="M100" s="880"/>
      <c r="N100" s="881"/>
      <c r="O100" s="881"/>
      <c r="P100" s="881"/>
      <c r="Q100" s="881"/>
      <c r="R100" s="882"/>
      <c r="S100" s="882"/>
      <c r="T100" s="882"/>
      <c r="U100" s="882"/>
      <c r="V100" s="882"/>
      <c r="W100" s="882"/>
      <c r="X100" s="882"/>
      <c r="Y100" s="882"/>
      <c r="Z100" s="883"/>
    </row>
    <row r="101" spans="1:26" x14ac:dyDescent="0.25">
      <c r="A101" s="792"/>
      <c r="B101" s="815"/>
      <c r="C101" s="873"/>
      <c r="D101" s="874"/>
      <c r="E101" s="874"/>
      <c r="F101" s="875"/>
      <c r="G101" s="876"/>
      <c r="H101" s="877"/>
      <c r="I101" s="878"/>
      <c r="J101" s="879"/>
      <c r="K101" s="879"/>
      <c r="L101" s="879"/>
      <c r="M101" s="880"/>
      <c r="N101" s="881"/>
      <c r="O101" s="881"/>
      <c r="P101" s="881"/>
      <c r="Q101" s="881"/>
      <c r="R101" s="882"/>
      <c r="S101" s="882"/>
      <c r="T101" s="882"/>
      <c r="U101" s="882"/>
      <c r="V101" s="882"/>
      <c r="W101" s="882"/>
      <c r="X101" s="882"/>
      <c r="Y101" s="882"/>
      <c r="Z101" s="883"/>
    </row>
    <row r="102" spans="1:26" x14ac:dyDescent="0.25">
      <c r="A102" s="767"/>
      <c r="B102" s="813" t="s">
        <v>1708</v>
      </c>
      <c r="C102" s="802"/>
      <c r="D102" s="803"/>
      <c r="E102" s="803"/>
      <c r="F102" s="803"/>
      <c r="G102" s="804"/>
      <c r="H102" s="803"/>
      <c r="I102" s="805"/>
      <c r="J102" s="806"/>
      <c r="K102" s="806"/>
      <c r="L102" s="806"/>
      <c r="M102" s="807"/>
      <c r="N102" s="808"/>
      <c r="O102" s="808"/>
      <c r="P102" s="809"/>
      <c r="Q102" s="810"/>
      <c r="R102" s="806"/>
      <c r="S102" s="806"/>
      <c r="T102" s="806"/>
      <c r="U102" s="806"/>
      <c r="V102" s="806"/>
      <c r="W102" s="806"/>
      <c r="X102" s="806"/>
      <c r="Y102" s="806"/>
      <c r="Z102" s="811"/>
    </row>
    <row r="103" spans="1:26" x14ac:dyDescent="0.25">
      <c r="A103" s="767"/>
      <c r="B103" s="801" t="s">
        <v>1709</v>
      </c>
      <c r="C103" s="802" t="s">
        <v>1693</v>
      </c>
      <c r="D103" s="803" t="s">
        <v>1683</v>
      </c>
      <c r="E103" s="803">
        <v>1</v>
      </c>
      <c r="F103" s="803">
        <v>1200</v>
      </c>
      <c r="G103" s="804">
        <f>F103*E103</f>
        <v>1200</v>
      </c>
      <c r="H103" s="803"/>
      <c r="I103" s="805">
        <f>M103+N103+O103+P103+Q103</f>
        <v>1.1000000000000001</v>
      </c>
      <c r="J103" s="806">
        <f>G103*I103</f>
        <v>1320</v>
      </c>
      <c r="K103" s="806">
        <f>K99*0.888</f>
        <v>0</v>
      </c>
      <c r="L103" s="806"/>
      <c r="M103" s="807">
        <v>1.1000000000000001</v>
      </c>
      <c r="N103" s="808"/>
      <c r="O103" s="808"/>
      <c r="P103" s="809"/>
      <c r="Q103" s="810"/>
      <c r="R103" s="806">
        <f>IF(D103="R6",J103," ")</f>
        <v>1320</v>
      </c>
      <c r="S103" s="806" t="str">
        <f>IF(D103="R8",J103," ")</f>
        <v xml:space="preserve"> </v>
      </c>
      <c r="T103" s="806" t="str">
        <f>IF(D103="T10",J103," ")</f>
        <v xml:space="preserve"> </v>
      </c>
      <c r="U103" s="806" t="str">
        <f>IF(D103="T12",J103," ")</f>
        <v xml:space="preserve"> </v>
      </c>
      <c r="V103" s="806" t="str">
        <f>IF(D103="T16",J103," ")</f>
        <v xml:space="preserve"> </v>
      </c>
      <c r="W103" s="806" t="str">
        <f>IF(D103="T20",J103," ")</f>
        <v xml:space="preserve"> </v>
      </c>
      <c r="X103" s="806" t="str">
        <f>IF(D103="T25",J103," ")</f>
        <v xml:space="preserve"> </v>
      </c>
      <c r="Y103" s="806" t="str">
        <f>IF(D103="T32",J103," ")</f>
        <v xml:space="preserve"> </v>
      </c>
      <c r="Z103" s="811"/>
    </row>
    <row r="104" spans="1:26" x14ac:dyDescent="0.25">
      <c r="A104" s="767"/>
      <c r="B104" s="801" t="s">
        <v>1710</v>
      </c>
      <c r="C104" s="802" t="s">
        <v>1693</v>
      </c>
      <c r="D104" s="803" t="s">
        <v>1683</v>
      </c>
      <c r="E104" s="803">
        <v>1</v>
      </c>
      <c r="F104" s="803">
        <v>4</v>
      </c>
      <c r="G104" s="804">
        <f>F104*E104</f>
        <v>4</v>
      </c>
      <c r="H104" s="803"/>
      <c r="I104" s="805">
        <f>M104+N104+O104+P104+Q104</f>
        <v>0.97</v>
      </c>
      <c r="J104" s="806">
        <v>320</v>
      </c>
      <c r="K104" s="806">
        <f>K100*0.888</f>
        <v>0</v>
      </c>
      <c r="L104" s="806"/>
      <c r="M104" s="807">
        <v>0.97</v>
      </c>
      <c r="N104" s="808"/>
      <c r="O104" s="808"/>
      <c r="P104" s="809"/>
      <c r="Q104" s="810"/>
      <c r="R104" s="806">
        <f>IF(D104="R6",J104," ")</f>
        <v>320</v>
      </c>
      <c r="S104" s="806" t="str">
        <f>IF(D104="R8",J104," ")</f>
        <v xml:space="preserve"> </v>
      </c>
      <c r="T104" s="806" t="str">
        <f>IF(D104="T10",J104," ")</f>
        <v xml:space="preserve"> </v>
      </c>
      <c r="U104" s="806" t="str">
        <f>IF(D104="T12",J104," ")</f>
        <v xml:space="preserve"> </v>
      </c>
      <c r="V104" s="806" t="str">
        <f>IF(D104="T16",J104," ")</f>
        <v xml:space="preserve"> </v>
      </c>
      <c r="W104" s="806" t="str">
        <f>IF(D104="T20",J104," ")</f>
        <v xml:space="preserve"> </v>
      </c>
      <c r="X104" s="806" t="str">
        <f>IF(D104="T25",J104," ")</f>
        <v xml:space="preserve"> </v>
      </c>
      <c r="Y104" s="806" t="str">
        <f>IF(D104="T32",J104," ")</f>
        <v xml:space="preserve"> </v>
      </c>
      <c r="Z104" s="811"/>
    </row>
    <row r="105" spans="1:26" x14ac:dyDescent="0.25">
      <c r="A105" s="767"/>
      <c r="B105" s="814"/>
      <c r="C105" s="802"/>
      <c r="D105" s="803"/>
      <c r="E105" s="803"/>
      <c r="F105" s="803"/>
      <c r="G105" s="804"/>
      <c r="H105" s="803"/>
      <c r="I105" s="805"/>
      <c r="J105" s="806"/>
      <c r="K105" s="806"/>
      <c r="L105" s="806"/>
      <c r="M105" s="807"/>
      <c r="N105" s="808"/>
      <c r="O105" s="808"/>
      <c r="P105" s="809"/>
      <c r="Q105" s="810"/>
      <c r="R105" s="806"/>
      <c r="S105" s="806"/>
      <c r="T105" s="806"/>
      <c r="U105" s="806"/>
      <c r="V105" s="806"/>
      <c r="W105" s="806"/>
      <c r="X105" s="806"/>
      <c r="Y105" s="806"/>
      <c r="Z105" s="811"/>
    </row>
    <row r="106" spans="1:26" x14ac:dyDescent="0.25">
      <c r="A106" s="767"/>
      <c r="B106" s="815" t="s">
        <v>1681</v>
      </c>
      <c r="C106" s="816"/>
      <c r="D106" s="817"/>
      <c r="E106" s="817"/>
      <c r="F106" s="817"/>
      <c r="G106" s="818"/>
      <c r="H106" s="819"/>
      <c r="I106" s="820"/>
      <c r="J106" s="821"/>
      <c r="K106" s="821"/>
      <c r="L106" s="821"/>
      <c r="M106" s="822"/>
      <c r="N106" s="823"/>
      <c r="O106" s="823"/>
      <c r="P106" s="823"/>
      <c r="Q106" s="823"/>
      <c r="R106" s="824">
        <f t="shared" ref="R106:Y106" si="39">SUM(R101:R105)</f>
        <v>1640</v>
      </c>
      <c r="S106" s="824">
        <f t="shared" si="39"/>
        <v>0</v>
      </c>
      <c r="T106" s="824">
        <f t="shared" si="39"/>
        <v>0</v>
      </c>
      <c r="U106" s="824">
        <f t="shared" si="39"/>
        <v>0</v>
      </c>
      <c r="V106" s="824">
        <f t="shared" si="39"/>
        <v>0</v>
      </c>
      <c r="W106" s="824">
        <f t="shared" si="39"/>
        <v>0</v>
      </c>
      <c r="X106" s="824">
        <f t="shared" si="39"/>
        <v>0</v>
      </c>
      <c r="Y106" s="824">
        <f t="shared" si="39"/>
        <v>0</v>
      </c>
      <c r="Z106" s="811"/>
    </row>
    <row r="107" spans="1:26" x14ac:dyDescent="0.25">
      <c r="A107" s="825"/>
      <c r="B107" s="815" t="s">
        <v>1694</v>
      </c>
      <c r="C107" s="826"/>
      <c r="D107" s="827"/>
      <c r="E107" s="827"/>
      <c r="F107" s="827"/>
      <c r="G107" s="828"/>
      <c r="H107" s="829"/>
      <c r="I107" s="830"/>
      <c r="J107" s="831"/>
      <c r="K107" s="831"/>
      <c r="L107" s="831"/>
      <c r="M107" s="832"/>
      <c r="N107" s="833"/>
      <c r="O107" s="833"/>
      <c r="P107" s="833"/>
      <c r="Q107" s="833"/>
      <c r="R107" s="833">
        <f>6*6/162.162</f>
        <v>0.22200022200022199</v>
      </c>
      <c r="S107" s="833">
        <f>8*8/162.162</f>
        <v>0.39466706133372798</v>
      </c>
      <c r="T107" s="833">
        <f>10*10/162.162</f>
        <v>0.61666728333394993</v>
      </c>
      <c r="U107" s="833">
        <f>12*12/162.162</f>
        <v>0.88800088800088794</v>
      </c>
      <c r="V107" s="833">
        <f>16*16/162.162</f>
        <v>1.5786682453349119</v>
      </c>
      <c r="W107" s="833">
        <f>20*20/162.162</f>
        <v>2.4666691333357997</v>
      </c>
      <c r="X107" s="833">
        <f>25*25/162.162</f>
        <v>3.8541705208371875</v>
      </c>
      <c r="Y107" s="833">
        <f>32*32/162.162</f>
        <v>6.3146729813396476</v>
      </c>
      <c r="Z107" s="834"/>
    </row>
    <row r="108" spans="1:26" x14ac:dyDescent="0.25">
      <c r="A108" s="792"/>
      <c r="B108" s="815" t="s">
        <v>1695</v>
      </c>
      <c r="C108" s="835"/>
      <c r="D108" s="836"/>
      <c r="E108" s="836"/>
      <c r="F108" s="836"/>
      <c r="G108" s="837"/>
      <c r="H108" s="838"/>
      <c r="I108" s="839"/>
      <c r="J108" s="840"/>
      <c r="K108" s="840"/>
      <c r="L108" s="840"/>
      <c r="M108" s="841"/>
      <c r="N108" s="842"/>
      <c r="O108" s="842"/>
      <c r="P108" s="842"/>
      <c r="Q108" s="842"/>
      <c r="R108" s="843">
        <f>+R107*R106</f>
        <v>364.08036408036406</v>
      </c>
      <c r="S108" s="843">
        <f t="shared" ref="S108" si="40">+S107*S106</f>
        <v>0</v>
      </c>
      <c r="T108" s="843">
        <f>+T107*T106</f>
        <v>0</v>
      </c>
      <c r="U108" s="843">
        <f>+U107*U106</f>
        <v>0</v>
      </c>
      <c r="V108" s="843">
        <f>+V107*V106</f>
        <v>0</v>
      </c>
      <c r="W108" s="843">
        <f t="shared" ref="W108:Y108" si="41">+W107*W106</f>
        <v>0</v>
      </c>
      <c r="X108" s="843">
        <f t="shared" si="41"/>
        <v>0</v>
      </c>
      <c r="Y108" s="843">
        <f t="shared" si="41"/>
        <v>0</v>
      </c>
      <c r="Z108" s="844">
        <f>Y108+X108+W108+V108+U108+T108+S108+R108</f>
        <v>364.08036408036406</v>
      </c>
    </row>
    <row r="109" spans="1:26" x14ac:dyDescent="0.25">
      <c r="A109" s="792"/>
      <c r="B109" s="815"/>
      <c r="C109" s="873"/>
      <c r="D109" s="874"/>
      <c r="E109" s="874"/>
      <c r="F109" s="875"/>
      <c r="G109" s="876"/>
      <c r="H109" s="877"/>
      <c r="I109" s="878"/>
      <c r="J109" s="879"/>
      <c r="K109" s="879"/>
      <c r="L109" s="879"/>
      <c r="M109" s="880"/>
      <c r="N109" s="881"/>
      <c r="O109" s="881"/>
      <c r="P109" s="881"/>
      <c r="Q109" s="881"/>
      <c r="R109" s="882"/>
      <c r="S109" s="882"/>
      <c r="T109" s="882"/>
      <c r="U109" s="882"/>
      <c r="V109" s="882"/>
      <c r="W109" s="882"/>
      <c r="X109" s="882"/>
      <c r="Y109" s="882"/>
      <c r="Z109" s="883"/>
    </row>
    <row r="110" spans="1:26" ht="31.2" x14ac:dyDescent="0.25">
      <c r="A110" s="767"/>
      <c r="B110" s="812" t="s">
        <v>1712</v>
      </c>
      <c r="C110" s="802"/>
      <c r="D110" s="803"/>
      <c r="E110" s="803"/>
      <c r="F110" s="803"/>
      <c r="G110" s="804"/>
      <c r="H110" s="803"/>
      <c r="I110" s="805"/>
      <c r="J110" s="806"/>
      <c r="K110" s="806"/>
      <c r="L110" s="806"/>
      <c r="M110" s="807"/>
      <c r="N110" s="808"/>
      <c r="O110" s="808"/>
      <c r="P110" s="809"/>
      <c r="Q110" s="810"/>
      <c r="R110" s="806"/>
      <c r="S110" s="806"/>
      <c r="T110" s="806"/>
      <c r="U110" s="806"/>
      <c r="V110" s="806"/>
      <c r="W110" s="806"/>
      <c r="X110" s="806"/>
      <c r="Y110" s="806"/>
      <c r="Z110" s="811"/>
    </row>
    <row r="111" spans="1:26" x14ac:dyDescent="0.25">
      <c r="A111" s="767"/>
      <c r="B111" s="801" t="s">
        <v>1704</v>
      </c>
      <c r="C111" s="802" t="s">
        <v>1693</v>
      </c>
      <c r="D111" s="803" t="s">
        <v>1683</v>
      </c>
      <c r="E111" s="803">
        <v>32</v>
      </c>
      <c r="F111" s="803">
        <v>27</v>
      </c>
      <c r="G111" s="804">
        <f>F111*E111</f>
        <v>864</v>
      </c>
      <c r="H111" s="803"/>
      <c r="I111" s="805">
        <f>M111+N111+O111+P111+Q111</f>
        <v>1.1000000000000001</v>
      </c>
      <c r="J111" s="806">
        <f>G111*I111</f>
        <v>950.40000000000009</v>
      </c>
      <c r="K111" s="806">
        <f>K107*0.888</f>
        <v>0</v>
      </c>
      <c r="L111" s="806"/>
      <c r="M111" s="807">
        <v>1.1000000000000001</v>
      </c>
      <c r="N111" s="808"/>
      <c r="O111" s="808"/>
      <c r="P111" s="809"/>
      <c r="Q111" s="810"/>
      <c r="R111" s="806">
        <f>IF(D111="R6",J111," ")</f>
        <v>950.40000000000009</v>
      </c>
      <c r="S111" s="806" t="str">
        <f>IF(D111="R8",J111," ")</f>
        <v xml:space="preserve"> </v>
      </c>
      <c r="T111" s="806" t="str">
        <f>IF(D111="T10",J111," ")</f>
        <v xml:space="preserve"> </v>
      </c>
      <c r="U111" s="806" t="str">
        <f>IF(D111="T12",J111," ")</f>
        <v xml:space="preserve"> </v>
      </c>
      <c r="V111" s="806" t="str">
        <f>IF(D111="T16",J111," ")</f>
        <v xml:space="preserve"> </v>
      </c>
      <c r="W111" s="806" t="str">
        <f>IF(D111="T20",J111," ")</f>
        <v xml:space="preserve"> </v>
      </c>
      <c r="X111" s="806" t="str">
        <f>IF(D111="T25",J111," ")</f>
        <v xml:space="preserve"> </v>
      </c>
      <c r="Y111" s="806" t="str">
        <f>IF(D111="T32",J111," ")</f>
        <v xml:space="preserve"> </v>
      </c>
      <c r="Z111" s="811"/>
    </row>
    <row r="112" spans="1:26" x14ac:dyDescent="0.25">
      <c r="A112" s="767"/>
      <c r="B112" s="801" t="s">
        <v>1705</v>
      </c>
      <c r="C112" s="802" t="s">
        <v>1693</v>
      </c>
      <c r="D112" s="803" t="s">
        <v>1683</v>
      </c>
      <c r="E112" s="803">
        <v>4</v>
      </c>
      <c r="F112" s="803">
        <v>27</v>
      </c>
      <c r="G112" s="804">
        <f>F112*E112</f>
        <v>108</v>
      </c>
      <c r="H112" s="803"/>
      <c r="I112" s="805">
        <f>M112+N112+O112+P112+Q112</f>
        <v>0.9</v>
      </c>
      <c r="J112" s="806">
        <f>G112*I112</f>
        <v>97.2</v>
      </c>
      <c r="K112" s="806">
        <f>K108*0.888</f>
        <v>0</v>
      </c>
      <c r="L112" s="806"/>
      <c r="M112" s="807">
        <v>0.9</v>
      </c>
      <c r="N112" s="808"/>
      <c r="O112" s="808"/>
      <c r="P112" s="809"/>
      <c r="Q112" s="810"/>
      <c r="R112" s="806">
        <f>IF(D112="R6",J112," ")</f>
        <v>97.2</v>
      </c>
      <c r="S112" s="806" t="str">
        <f>IF(D112="R8",J112," ")</f>
        <v xml:space="preserve"> </v>
      </c>
      <c r="T112" s="806" t="str">
        <f>IF(D112="T10",J112," ")</f>
        <v xml:space="preserve"> </v>
      </c>
      <c r="U112" s="806" t="str">
        <f>IF(D112="T12",J112," ")</f>
        <v xml:space="preserve"> </v>
      </c>
      <c r="V112" s="806" t="str">
        <f>IF(D112="T16",J112," ")</f>
        <v xml:space="preserve"> </v>
      </c>
      <c r="W112" s="806" t="str">
        <f>IF(D112="T20",J112," ")</f>
        <v xml:space="preserve"> </v>
      </c>
      <c r="X112" s="806" t="str">
        <f>IF(D112="T25",J112," ")</f>
        <v xml:space="preserve"> </v>
      </c>
      <c r="Y112" s="806" t="str">
        <f>IF(D112="T32",J112," ")</f>
        <v xml:space="preserve"> </v>
      </c>
      <c r="Z112" s="811"/>
    </row>
    <row r="113" spans="1:26" x14ac:dyDescent="0.25">
      <c r="A113" s="767"/>
      <c r="B113" s="814"/>
      <c r="C113" s="802"/>
      <c r="D113" s="803"/>
      <c r="E113" s="803"/>
      <c r="F113" s="803"/>
      <c r="G113" s="804"/>
      <c r="H113" s="803"/>
      <c r="I113" s="805"/>
      <c r="J113" s="806"/>
      <c r="K113" s="806"/>
      <c r="L113" s="806"/>
      <c r="M113" s="807"/>
      <c r="N113" s="808"/>
      <c r="O113" s="808"/>
      <c r="P113" s="809"/>
      <c r="Q113" s="810"/>
      <c r="R113" s="806"/>
      <c r="S113" s="806"/>
      <c r="T113" s="806"/>
      <c r="U113" s="806"/>
      <c r="V113" s="806"/>
      <c r="W113" s="806"/>
      <c r="X113" s="806"/>
      <c r="Y113" s="806"/>
      <c r="Z113" s="811"/>
    </row>
    <row r="114" spans="1:26" x14ac:dyDescent="0.25">
      <c r="A114" s="767"/>
      <c r="B114" s="815" t="s">
        <v>1681</v>
      </c>
      <c r="C114" s="816"/>
      <c r="D114" s="817"/>
      <c r="E114" s="817"/>
      <c r="F114" s="817"/>
      <c r="G114" s="818"/>
      <c r="H114" s="819"/>
      <c r="I114" s="820"/>
      <c r="J114" s="821"/>
      <c r="K114" s="821"/>
      <c r="L114" s="821"/>
      <c r="M114" s="822"/>
      <c r="N114" s="823"/>
      <c r="O114" s="823"/>
      <c r="P114" s="823"/>
      <c r="Q114" s="823"/>
      <c r="R114" s="824">
        <f t="shared" ref="R114:Y114" si="42">SUM(R109:R113)</f>
        <v>1047.6000000000001</v>
      </c>
      <c r="S114" s="824">
        <f t="shared" si="42"/>
        <v>0</v>
      </c>
      <c r="T114" s="824">
        <f t="shared" si="42"/>
        <v>0</v>
      </c>
      <c r="U114" s="824">
        <f t="shared" si="42"/>
        <v>0</v>
      </c>
      <c r="V114" s="824">
        <f t="shared" si="42"/>
        <v>0</v>
      </c>
      <c r="W114" s="824">
        <f t="shared" si="42"/>
        <v>0</v>
      </c>
      <c r="X114" s="824">
        <f t="shared" si="42"/>
        <v>0</v>
      </c>
      <c r="Y114" s="824">
        <f t="shared" si="42"/>
        <v>0</v>
      </c>
      <c r="Z114" s="811"/>
    </row>
    <row r="115" spans="1:26" x14ac:dyDescent="0.25">
      <c r="A115" s="825"/>
      <c r="B115" s="815" t="s">
        <v>1694</v>
      </c>
      <c r="C115" s="826"/>
      <c r="D115" s="827"/>
      <c r="E115" s="827"/>
      <c r="F115" s="827"/>
      <c r="G115" s="828"/>
      <c r="H115" s="829"/>
      <c r="I115" s="830"/>
      <c r="J115" s="831"/>
      <c r="K115" s="831"/>
      <c r="L115" s="831"/>
      <c r="M115" s="832"/>
      <c r="N115" s="833"/>
      <c r="O115" s="833"/>
      <c r="P115" s="833"/>
      <c r="Q115" s="833"/>
      <c r="R115" s="833">
        <f>6*6/162.162</f>
        <v>0.22200022200022199</v>
      </c>
      <c r="S115" s="833">
        <f>8*8/162.162</f>
        <v>0.39466706133372798</v>
      </c>
      <c r="T115" s="833">
        <f>10*10/162.162</f>
        <v>0.61666728333394993</v>
      </c>
      <c r="U115" s="833">
        <f>12*12/162.162</f>
        <v>0.88800088800088794</v>
      </c>
      <c r="V115" s="833">
        <f>16*16/162.162</f>
        <v>1.5786682453349119</v>
      </c>
      <c r="W115" s="833">
        <f>20*20/162.162</f>
        <v>2.4666691333357997</v>
      </c>
      <c r="X115" s="833">
        <f>25*25/162.162</f>
        <v>3.8541705208371875</v>
      </c>
      <c r="Y115" s="833">
        <f>32*32/162.162</f>
        <v>6.3146729813396476</v>
      </c>
      <c r="Z115" s="834"/>
    </row>
    <row r="116" spans="1:26" x14ac:dyDescent="0.25">
      <c r="A116" s="792"/>
      <c r="B116" s="815" t="s">
        <v>1695</v>
      </c>
      <c r="C116" s="835"/>
      <c r="D116" s="836"/>
      <c r="E116" s="836"/>
      <c r="F116" s="836"/>
      <c r="G116" s="837"/>
      <c r="H116" s="838"/>
      <c r="I116" s="839"/>
      <c r="J116" s="840"/>
      <c r="K116" s="840"/>
      <c r="L116" s="840"/>
      <c r="M116" s="841"/>
      <c r="N116" s="842"/>
      <c r="O116" s="842"/>
      <c r="P116" s="842"/>
      <c r="Q116" s="842"/>
      <c r="R116" s="843">
        <f>+R115*R114</f>
        <v>232.56743256743258</v>
      </c>
      <c r="S116" s="843">
        <f t="shared" ref="S116" si="43">+S115*S114</f>
        <v>0</v>
      </c>
      <c r="T116" s="843">
        <f>+T115*T114</f>
        <v>0</v>
      </c>
      <c r="U116" s="843">
        <f>+U115*U114</f>
        <v>0</v>
      </c>
      <c r="V116" s="843">
        <f>+V115*V114</f>
        <v>0</v>
      </c>
      <c r="W116" s="843">
        <f t="shared" ref="W116:Y116" si="44">+W115*W114</f>
        <v>0</v>
      </c>
      <c r="X116" s="843">
        <f t="shared" si="44"/>
        <v>0</v>
      </c>
      <c r="Y116" s="843">
        <f t="shared" si="44"/>
        <v>0</v>
      </c>
      <c r="Z116" s="844">
        <f>Y116+X116+W116+V116+U116+T116+S116+R116</f>
        <v>232.56743256743258</v>
      </c>
    </row>
    <row r="117" spans="1:26" x14ac:dyDescent="0.25">
      <c r="A117" s="792"/>
      <c r="B117" s="815"/>
      <c r="C117" s="873"/>
      <c r="D117" s="874"/>
      <c r="E117" s="874"/>
      <c r="F117" s="875"/>
      <c r="G117" s="876"/>
      <c r="H117" s="877"/>
      <c r="I117" s="878"/>
      <c r="J117" s="879"/>
      <c r="K117" s="879"/>
      <c r="L117" s="879"/>
      <c r="M117" s="880"/>
      <c r="N117" s="881"/>
      <c r="O117" s="881"/>
      <c r="P117" s="881"/>
      <c r="Q117" s="881"/>
      <c r="R117" s="882"/>
      <c r="S117" s="882"/>
      <c r="T117" s="882"/>
      <c r="U117" s="882"/>
      <c r="V117" s="882"/>
      <c r="W117" s="882"/>
      <c r="X117" s="882"/>
      <c r="Y117" s="882"/>
      <c r="Z117" s="883"/>
    </row>
    <row r="118" spans="1:26" x14ac:dyDescent="0.25">
      <c r="A118" s="767"/>
      <c r="B118" s="812" t="s">
        <v>1714</v>
      </c>
      <c r="C118" s="802"/>
      <c r="D118" s="803"/>
      <c r="E118" s="803"/>
      <c r="F118" s="803"/>
      <c r="G118" s="804"/>
      <c r="H118" s="803"/>
      <c r="I118" s="805"/>
      <c r="J118" s="806"/>
      <c r="K118" s="806"/>
      <c r="L118" s="806"/>
      <c r="M118" s="807"/>
      <c r="N118" s="808"/>
      <c r="O118" s="808"/>
      <c r="P118" s="809"/>
      <c r="Q118" s="810"/>
      <c r="R118" s="806"/>
      <c r="S118" s="806"/>
      <c r="T118" s="806"/>
      <c r="U118" s="806"/>
      <c r="V118" s="806"/>
      <c r="W118" s="806"/>
      <c r="X118" s="806"/>
      <c r="Y118" s="806"/>
      <c r="Z118" s="811"/>
    </row>
    <row r="119" spans="1:26" x14ac:dyDescent="0.25">
      <c r="A119" s="767"/>
      <c r="B119" s="801" t="s">
        <v>1715</v>
      </c>
      <c r="C119" s="802" t="s">
        <v>127</v>
      </c>
      <c r="D119" s="803" t="s">
        <v>1683</v>
      </c>
      <c r="E119" s="803">
        <v>1</v>
      </c>
      <c r="F119" s="803">
        <v>85</v>
      </c>
      <c r="G119" s="804">
        <f>F119*E119</f>
        <v>85</v>
      </c>
      <c r="H119" s="803"/>
      <c r="I119" s="805">
        <f>M119+N119+O119+P119+Q119</f>
        <v>1.4</v>
      </c>
      <c r="J119" s="806">
        <f>G119*I119</f>
        <v>118.99999999999999</v>
      </c>
      <c r="K119" s="806">
        <f>K115*0.888</f>
        <v>0</v>
      </c>
      <c r="L119" s="806">
        <v>12.75</v>
      </c>
      <c r="M119" s="807">
        <v>1.4</v>
      </c>
      <c r="N119" s="808"/>
      <c r="O119" s="808"/>
      <c r="P119" s="809"/>
      <c r="Q119" s="810"/>
      <c r="R119" s="806">
        <f>IF(D119="R6",J119," ")</f>
        <v>118.99999999999999</v>
      </c>
      <c r="S119" s="806" t="str">
        <f>IF(D119="R8",J119," ")</f>
        <v xml:space="preserve"> </v>
      </c>
      <c r="T119" s="806" t="str">
        <f>IF(D119="T10",J119," ")</f>
        <v xml:space="preserve"> </v>
      </c>
      <c r="U119" s="806" t="str">
        <f>IF(D119="T12",J119," ")</f>
        <v xml:space="preserve"> </v>
      </c>
      <c r="V119" s="806" t="str">
        <f>IF(D119="T16",J119," ")</f>
        <v xml:space="preserve"> </v>
      </c>
      <c r="W119" s="806" t="str">
        <f>IF(D119="T20",J119," ")</f>
        <v xml:space="preserve"> </v>
      </c>
      <c r="X119" s="806" t="str">
        <f>IF(D119="T25",J119," ")</f>
        <v xml:space="preserve"> </v>
      </c>
      <c r="Y119" s="806" t="str">
        <f>IF(D119="T32",J119," ")</f>
        <v xml:space="preserve"> </v>
      </c>
      <c r="Z119" s="811"/>
    </row>
    <row r="120" spans="1:26" x14ac:dyDescent="0.25">
      <c r="A120" s="767"/>
      <c r="B120" s="801"/>
      <c r="C120" s="802"/>
      <c r="D120" s="803"/>
      <c r="E120" s="803"/>
      <c r="F120" s="803"/>
      <c r="G120" s="804"/>
      <c r="H120" s="803"/>
      <c r="I120" s="805"/>
      <c r="J120" s="806"/>
      <c r="K120" s="806"/>
      <c r="L120" s="806"/>
      <c r="M120" s="807"/>
      <c r="N120" s="808"/>
      <c r="O120" s="808"/>
      <c r="P120" s="809"/>
      <c r="Q120" s="810"/>
      <c r="R120" s="806"/>
      <c r="S120" s="806"/>
      <c r="T120" s="806"/>
      <c r="U120" s="806"/>
      <c r="V120" s="806"/>
      <c r="W120" s="806"/>
      <c r="X120" s="806"/>
      <c r="Y120" s="806"/>
      <c r="Z120" s="811"/>
    </row>
    <row r="121" spans="1:26" x14ac:dyDescent="0.25">
      <c r="A121" s="767"/>
      <c r="B121" s="814"/>
      <c r="C121" s="802"/>
      <c r="D121" s="803"/>
      <c r="E121" s="803"/>
      <c r="F121" s="803"/>
      <c r="G121" s="804"/>
      <c r="H121" s="803"/>
      <c r="I121" s="805"/>
      <c r="J121" s="806"/>
      <c r="K121" s="806"/>
      <c r="L121" s="806"/>
      <c r="M121" s="807"/>
      <c r="N121" s="808"/>
      <c r="O121" s="808"/>
      <c r="P121" s="809"/>
      <c r="Q121" s="810"/>
      <c r="R121" s="806"/>
      <c r="S121" s="806"/>
      <c r="T121" s="806"/>
      <c r="U121" s="806"/>
      <c r="V121" s="806"/>
      <c r="W121" s="806"/>
      <c r="X121" s="806"/>
      <c r="Y121" s="806"/>
      <c r="Z121" s="811"/>
    </row>
    <row r="122" spans="1:26" x14ac:dyDescent="0.25">
      <c r="A122" s="767"/>
      <c r="B122" s="815" t="s">
        <v>1681</v>
      </c>
      <c r="C122" s="816"/>
      <c r="D122" s="817"/>
      <c r="E122" s="817"/>
      <c r="F122" s="817"/>
      <c r="G122" s="818"/>
      <c r="H122" s="819"/>
      <c r="I122" s="820"/>
      <c r="J122" s="821"/>
      <c r="K122" s="821"/>
      <c r="L122" s="821"/>
      <c r="M122" s="822"/>
      <c r="N122" s="823"/>
      <c r="O122" s="823"/>
      <c r="P122" s="823"/>
      <c r="Q122" s="823"/>
      <c r="R122" s="824">
        <f t="shared" ref="R122:Y122" si="45">SUM(R117:R121)</f>
        <v>118.99999999999999</v>
      </c>
      <c r="S122" s="824">
        <f t="shared" si="45"/>
        <v>0</v>
      </c>
      <c r="T122" s="824">
        <f t="shared" si="45"/>
        <v>0</v>
      </c>
      <c r="U122" s="824">
        <f t="shared" si="45"/>
        <v>0</v>
      </c>
      <c r="V122" s="824">
        <f t="shared" si="45"/>
        <v>0</v>
      </c>
      <c r="W122" s="824">
        <f t="shared" si="45"/>
        <v>0</v>
      </c>
      <c r="X122" s="824">
        <f t="shared" si="45"/>
        <v>0</v>
      </c>
      <c r="Y122" s="824">
        <f t="shared" si="45"/>
        <v>0</v>
      </c>
      <c r="Z122" s="811"/>
    </row>
    <row r="123" spans="1:26" x14ac:dyDescent="0.25">
      <c r="A123" s="825"/>
      <c r="B123" s="815" t="s">
        <v>1694</v>
      </c>
      <c r="C123" s="826"/>
      <c r="D123" s="827"/>
      <c r="E123" s="827"/>
      <c r="F123" s="827"/>
      <c r="G123" s="828"/>
      <c r="H123" s="829"/>
      <c r="I123" s="830"/>
      <c r="J123" s="831"/>
      <c r="K123" s="831"/>
      <c r="L123" s="831"/>
      <c r="M123" s="832"/>
      <c r="N123" s="833"/>
      <c r="O123" s="833"/>
      <c r="P123" s="833"/>
      <c r="Q123" s="833"/>
      <c r="R123" s="833">
        <f>6*6/162.162</f>
        <v>0.22200022200022199</v>
      </c>
      <c r="S123" s="833">
        <f>8*8/162.162</f>
        <v>0.39466706133372798</v>
      </c>
      <c r="T123" s="833">
        <f>10*10/162.162</f>
        <v>0.61666728333394993</v>
      </c>
      <c r="U123" s="833">
        <f>12*12/162.162</f>
        <v>0.88800088800088794</v>
      </c>
      <c r="V123" s="833">
        <f>16*16/162.162</f>
        <v>1.5786682453349119</v>
      </c>
      <c r="W123" s="833">
        <f>20*20/162.162</f>
        <v>2.4666691333357997</v>
      </c>
      <c r="X123" s="833">
        <f>25*25/162.162</f>
        <v>3.8541705208371875</v>
      </c>
      <c r="Y123" s="833">
        <f>32*32/162.162</f>
        <v>6.3146729813396476</v>
      </c>
      <c r="Z123" s="834"/>
    </row>
    <row r="124" spans="1:26" x14ac:dyDescent="0.25">
      <c r="A124" s="792"/>
      <c r="B124" s="815" t="s">
        <v>1695</v>
      </c>
      <c r="C124" s="835"/>
      <c r="D124" s="836"/>
      <c r="E124" s="836"/>
      <c r="F124" s="836"/>
      <c r="G124" s="837"/>
      <c r="H124" s="838"/>
      <c r="I124" s="839"/>
      <c r="J124" s="840"/>
      <c r="K124" s="840"/>
      <c r="L124" s="840"/>
      <c r="M124" s="841"/>
      <c r="N124" s="842"/>
      <c r="O124" s="842"/>
      <c r="P124" s="842"/>
      <c r="Q124" s="842"/>
      <c r="R124" s="843">
        <f>+R123*R122</f>
        <v>26.418026418026415</v>
      </c>
      <c r="S124" s="843">
        <f t="shared" ref="S124" si="46">+S123*S122</f>
        <v>0</v>
      </c>
      <c r="T124" s="843">
        <f>+T123*T122</f>
        <v>0</v>
      </c>
      <c r="U124" s="843">
        <f>+U123*U122</f>
        <v>0</v>
      </c>
      <c r="V124" s="843">
        <f>+V123*V122</f>
        <v>0</v>
      </c>
      <c r="W124" s="843">
        <f t="shared" ref="W124:Y124" si="47">+W123*W122</f>
        <v>0</v>
      </c>
      <c r="X124" s="843">
        <f t="shared" si="47"/>
        <v>0</v>
      </c>
      <c r="Y124" s="843">
        <f t="shared" si="47"/>
        <v>0</v>
      </c>
      <c r="Z124" s="844">
        <f>Y124+X124+W124+V124+U124+T124+S124+R124</f>
        <v>26.418026418026415</v>
      </c>
    </row>
    <row r="125" spans="1:26" x14ac:dyDescent="0.25">
      <c r="A125" s="792"/>
      <c r="B125" s="815"/>
      <c r="C125" s="873"/>
      <c r="D125" s="874"/>
      <c r="E125" s="874"/>
      <c r="F125" s="875"/>
      <c r="G125" s="876"/>
      <c r="H125" s="877"/>
      <c r="I125" s="878"/>
      <c r="J125" s="879"/>
      <c r="K125" s="879"/>
      <c r="L125" s="879"/>
      <c r="M125" s="880"/>
      <c r="N125" s="881"/>
      <c r="O125" s="881"/>
      <c r="P125" s="881"/>
      <c r="Q125" s="881"/>
      <c r="R125" s="882"/>
      <c r="S125" s="882"/>
      <c r="T125" s="882"/>
      <c r="U125" s="882"/>
      <c r="V125" s="882"/>
      <c r="W125" s="882"/>
      <c r="X125" s="882"/>
      <c r="Y125" s="882"/>
      <c r="Z125" s="883"/>
    </row>
    <row r="126" spans="1:26" ht="31.2" x14ac:dyDescent="0.25">
      <c r="A126" s="767"/>
      <c r="B126" s="812" t="s">
        <v>1730</v>
      </c>
      <c r="C126" s="802"/>
      <c r="D126" s="803"/>
      <c r="E126" s="803"/>
      <c r="F126" s="803"/>
      <c r="G126" s="804"/>
      <c r="H126" s="803"/>
      <c r="I126" s="805"/>
      <c r="J126" s="806"/>
      <c r="K126" s="806"/>
      <c r="L126" s="806"/>
      <c r="M126" s="807"/>
      <c r="N126" s="808"/>
      <c r="O126" s="808"/>
      <c r="P126" s="809"/>
      <c r="Q126" s="810"/>
      <c r="R126" s="806"/>
      <c r="S126" s="806"/>
      <c r="T126" s="806"/>
      <c r="U126" s="806"/>
      <c r="V126" s="806"/>
      <c r="W126" s="806"/>
      <c r="X126" s="806"/>
      <c r="Y126" s="806"/>
      <c r="Z126" s="811"/>
    </row>
    <row r="127" spans="1:26" x14ac:dyDescent="0.25">
      <c r="A127" s="767"/>
      <c r="B127" s="801" t="s">
        <v>1704</v>
      </c>
      <c r="C127" s="802" t="s">
        <v>1693</v>
      </c>
      <c r="D127" s="803" t="s">
        <v>1683</v>
      </c>
      <c r="E127" s="803">
        <v>23</v>
      </c>
      <c r="F127" s="803">
        <f>F111</f>
        <v>27</v>
      </c>
      <c r="G127" s="804">
        <f>F127*E127</f>
        <v>621</v>
      </c>
      <c r="H127" s="803"/>
      <c r="I127" s="805">
        <f>M127+N127+O127+P127+Q127</f>
        <v>1.1000000000000001</v>
      </c>
      <c r="J127" s="806">
        <f>G127*I127</f>
        <v>683.1</v>
      </c>
      <c r="K127" s="806">
        <f>K123*0.888</f>
        <v>0</v>
      </c>
      <c r="L127" s="806"/>
      <c r="M127" s="807">
        <v>1.1000000000000001</v>
      </c>
      <c r="N127" s="808"/>
      <c r="O127" s="808"/>
      <c r="P127" s="809"/>
      <c r="Q127" s="810"/>
      <c r="R127" s="806">
        <f>IF(D127="R6",J127," ")</f>
        <v>683.1</v>
      </c>
      <c r="S127" s="806" t="str">
        <f>IF(D127="R8",J127," ")</f>
        <v xml:space="preserve"> </v>
      </c>
      <c r="T127" s="806" t="str">
        <f>IF(D127="T10",J127," ")</f>
        <v xml:space="preserve"> </v>
      </c>
      <c r="U127" s="806" t="str">
        <f>IF(D127="T12",J127," ")</f>
        <v xml:space="preserve"> </v>
      </c>
      <c r="V127" s="806" t="str">
        <f>IF(D127="T16",J127," ")</f>
        <v xml:space="preserve"> </v>
      </c>
      <c r="W127" s="806" t="str">
        <f>IF(D127="T20",J127," ")</f>
        <v xml:space="preserve"> </v>
      </c>
      <c r="X127" s="806" t="str">
        <f>IF(D127="T25",J127," ")</f>
        <v xml:space="preserve"> </v>
      </c>
      <c r="Y127" s="806" t="str">
        <f>IF(D127="T32",J127," ")</f>
        <v xml:space="preserve"> </v>
      </c>
      <c r="Z127" s="811"/>
    </row>
    <row r="128" spans="1:26" x14ac:dyDescent="0.25">
      <c r="A128" s="767"/>
      <c r="B128" s="801" t="s">
        <v>1705</v>
      </c>
      <c r="C128" s="802" t="s">
        <v>1693</v>
      </c>
      <c r="D128" s="803" t="s">
        <v>1683</v>
      </c>
      <c r="E128" s="803">
        <v>4</v>
      </c>
      <c r="F128" s="803">
        <f>F127</f>
        <v>27</v>
      </c>
      <c r="G128" s="804">
        <f>F128*E128</f>
        <v>108</v>
      </c>
      <c r="H128" s="803"/>
      <c r="I128" s="805">
        <f>M128+N128+O128+P128+Q128</f>
        <v>0.8</v>
      </c>
      <c r="J128" s="806">
        <f>G128*I128</f>
        <v>86.4</v>
      </c>
      <c r="K128" s="806">
        <f>K124*0.888</f>
        <v>0</v>
      </c>
      <c r="L128" s="806"/>
      <c r="M128" s="807">
        <v>0.8</v>
      </c>
      <c r="N128" s="808"/>
      <c r="O128" s="808"/>
      <c r="P128" s="809"/>
      <c r="Q128" s="810"/>
      <c r="R128" s="806">
        <f>IF(D128="R6",J128," ")</f>
        <v>86.4</v>
      </c>
      <c r="S128" s="806" t="str">
        <f>IF(D128="R8",J128," ")</f>
        <v xml:space="preserve"> </v>
      </c>
      <c r="T128" s="806" t="str">
        <f>IF(D128="T10",J128," ")</f>
        <v xml:space="preserve"> </v>
      </c>
      <c r="U128" s="806" t="str">
        <f>IF(D128="T12",J128," ")</f>
        <v xml:space="preserve"> </v>
      </c>
      <c r="V128" s="806" t="str">
        <f>IF(D128="T16",J128," ")</f>
        <v xml:space="preserve"> </v>
      </c>
      <c r="W128" s="806" t="str">
        <f>IF(D128="T20",J128," ")</f>
        <v xml:space="preserve"> </v>
      </c>
      <c r="X128" s="806" t="str">
        <f>IF(D128="T25",J128," ")</f>
        <v xml:space="preserve"> </v>
      </c>
      <c r="Y128" s="806" t="str">
        <f>IF(D128="T32",J128," ")</f>
        <v xml:space="preserve"> </v>
      </c>
      <c r="Z128" s="811"/>
    </row>
    <row r="129" spans="1:26" x14ac:dyDescent="0.25">
      <c r="A129" s="767"/>
      <c r="B129" s="814"/>
      <c r="C129" s="802"/>
      <c r="D129" s="803"/>
      <c r="E129" s="803"/>
      <c r="F129" s="803"/>
      <c r="G129" s="804"/>
      <c r="H129" s="803"/>
      <c r="I129" s="805"/>
      <c r="J129" s="806"/>
      <c r="K129" s="806"/>
      <c r="L129" s="806"/>
      <c r="M129" s="807"/>
      <c r="N129" s="808"/>
      <c r="O129" s="808"/>
      <c r="P129" s="809"/>
      <c r="Q129" s="810"/>
      <c r="R129" s="806"/>
      <c r="S129" s="806"/>
      <c r="T129" s="806"/>
      <c r="U129" s="806"/>
      <c r="V129" s="806"/>
      <c r="W129" s="806"/>
      <c r="X129" s="806"/>
      <c r="Y129" s="806"/>
      <c r="Z129" s="811"/>
    </row>
    <row r="130" spans="1:26" x14ac:dyDescent="0.25">
      <c r="A130" s="767"/>
      <c r="B130" s="815" t="s">
        <v>1681</v>
      </c>
      <c r="C130" s="816"/>
      <c r="D130" s="817"/>
      <c r="E130" s="817"/>
      <c r="F130" s="817"/>
      <c r="G130" s="818"/>
      <c r="H130" s="819"/>
      <c r="I130" s="820"/>
      <c r="J130" s="821"/>
      <c r="K130" s="821"/>
      <c r="L130" s="821"/>
      <c r="M130" s="822"/>
      <c r="N130" s="823"/>
      <c r="O130" s="823"/>
      <c r="P130" s="823"/>
      <c r="Q130" s="823"/>
      <c r="R130" s="824">
        <f t="shared" ref="R130" si="48">SUM(R125:R129)</f>
        <v>769.5</v>
      </c>
      <c r="S130" s="824">
        <f t="shared" ref="S130:Y130" si="49">SUM(S125:S129)</f>
        <v>0</v>
      </c>
      <c r="T130" s="824">
        <f t="shared" si="49"/>
        <v>0</v>
      </c>
      <c r="U130" s="824">
        <f t="shared" si="49"/>
        <v>0</v>
      </c>
      <c r="V130" s="824">
        <f t="shared" si="49"/>
        <v>0</v>
      </c>
      <c r="W130" s="824">
        <f t="shared" si="49"/>
        <v>0</v>
      </c>
      <c r="X130" s="824">
        <f t="shared" si="49"/>
        <v>0</v>
      </c>
      <c r="Y130" s="824">
        <f t="shared" si="49"/>
        <v>0</v>
      </c>
      <c r="Z130" s="811"/>
    </row>
    <row r="131" spans="1:26" x14ac:dyDescent="0.25">
      <c r="A131" s="825"/>
      <c r="B131" s="815" t="s">
        <v>1694</v>
      </c>
      <c r="C131" s="826"/>
      <c r="D131" s="827"/>
      <c r="E131" s="827"/>
      <c r="F131" s="827"/>
      <c r="G131" s="828"/>
      <c r="H131" s="829"/>
      <c r="I131" s="830"/>
      <c r="J131" s="831"/>
      <c r="K131" s="831"/>
      <c r="L131" s="831"/>
      <c r="M131" s="832"/>
      <c r="N131" s="833"/>
      <c r="O131" s="833"/>
      <c r="P131" s="833"/>
      <c r="Q131" s="833"/>
      <c r="R131" s="833">
        <f>6*6/162.162</f>
        <v>0.22200022200022199</v>
      </c>
      <c r="S131" s="833">
        <f>8*8/162.162</f>
        <v>0.39466706133372798</v>
      </c>
      <c r="T131" s="833">
        <f>10*10/162.162</f>
        <v>0.61666728333394993</v>
      </c>
      <c r="U131" s="833">
        <f>12*12/162.162</f>
        <v>0.88800088800088794</v>
      </c>
      <c r="V131" s="833">
        <f>16*16/162.162</f>
        <v>1.5786682453349119</v>
      </c>
      <c r="W131" s="833">
        <f>20*20/162.162</f>
        <v>2.4666691333357997</v>
      </c>
      <c r="X131" s="833">
        <f>25*25/162.162</f>
        <v>3.8541705208371875</v>
      </c>
      <c r="Y131" s="833">
        <f>32*32/162.162</f>
        <v>6.3146729813396476</v>
      </c>
      <c r="Z131" s="834"/>
    </row>
    <row r="132" spans="1:26" x14ac:dyDescent="0.25">
      <c r="A132" s="792"/>
      <c r="B132" s="815" t="s">
        <v>1695</v>
      </c>
      <c r="C132" s="835"/>
      <c r="D132" s="836"/>
      <c r="E132" s="836"/>
      <c r="F132" s="836"/>
      <c r="G132" s="837"/>
      <c r="H132" s="838"/>
      <c r="I132" s="839"/>
      <c r="J132" s="840"/>
      <c r="K132" s="840"/>
      <c r="L132" s="840"/>
      <c r="M132" s="841"/>
      <c r="N132" s="842"/>
      <c r="O132" s="842"/>
      <c r="P132" s="842"/>
      <c r="Q132" s="842"/>
      <c r="R132" s="843">
        <f>+R131*R130</f>
        <v>170.82917082917081</v>
      </c>
      <c r="S132" s="843">
        <f t="shared" ref="S132" si="50">+S131*S130</f>
        <v>0</v>
      </c>
      <c r="T132" s="843">
        <f>+T131*T130</f>
        <v>0</v>
      </c>
      <c r="U132" s="843">
        <f>+U131*U130</f>
        <v>0</v>
      </c>
      <c r="V132" s="843">
        <f>+V131*V130</f>
        <v>0</v>
      </c>
      <c r="W132" s="843">
        <f t="shared" ref="W132:Y132" si="51">+W131*W130</f>
        <v>0</v>
      </c>
      <c r="X132" s="843">
        <f t="shared" si="51"/>
        <v>0</v>
      </c>
      <c r="Y132" s="843">
        <f t="shared" si="51"/>
        <v>0</v>
      </c>
      <c r="Z132" s="844">
        <f>Y132+X132+W132+V132+U132+T132+S132+R132</f>
        <v>170.82917082917081</v>
      </c>
    </row>
    <row r="133" spans="1:26" x14ac:dyDescent="0.25">
      <c r="A133" s="792"/>
      <c r="B133" s="815"/>
      <c r="C133" s="873"/>
      <c r="D133" s="874"/>
      <c r="E133" s="874"/>
      <c r="F133" s="875"/>
      <c r="G133" s="876"/>
      <c r="H133" s="877"/>
      <c r="I133" s="878"/>
      <c r="J133" s="879"/>
      <c r="K133" s="879"/>
      <c r="L133" s="879"/>
      <c r="M133" s="880"/>
      <c r="N133" s="881"/>
      <c r="O133" s="881"/>
      <c r="P133" s="881"/>
      <c r="Q133" s="881"/>
      <c r="R133" s="882"/>
      <c r="S133" s="882"/>
      <c r="T133" s="882"/>
      <c r="U133" s="882"/>
      <c r="V133" s="882"/>
      <c r="W133" s="882"/>
      <c r="X133" s="882"/>
      <c r="Y133" s="882"/>
      <c r="Z133" s="883"/>
    </row>
    <row r="134" spans="1:26" x14ac:dyDescent="0.25">
      <c r="A134" s="792"/>
      <c r="B134" s="815"/>
      <c r="C134" s="873"/>
      <c r="D134" s="874"/>
      <c r="E134" s="874"/>
      <c r="F134" s="875"/>
      <c r="G134" s="876"/>
      <c r="H134" s="877"/>
      <c r="I134" s="878"/>
      <c r="J134" s="879"/>
      <c r="K134" s="879"/>
      <c r="L134" s="879"/>
      <c r="M134" s="880"/>
      <c r="N134" s="881"/>
      <c r="O134" s="881"/>
      <c r="P134" s="881"/>
      <c r="Q134" s="881"/>
      <c r="R134" s="882"/>
      <c r="S134" s="882"/>
      <c r="T134" s="882"/>
      <c r="U134" s="882"/>
      <c r="V134" s="882"/>
      <c r="W134" s="882"/>
      <c r="X134" s="882"/>
      <c r="Y134" s="882"/>
      <c r="Z134" s="883"/>
    </row>
    <row r="135" spans="1:26" x14ac:dyDescent="0.25">
      <c r="A135" s="792"/>
      <c r="B135" s="815"/>
      <c r="C135" s="873"/>
      <c r="D135" s="874"/>
      <c r="E135" s="874"/>
      <c r="F135" s="875"/>
      <c r="G135" s="876"/>
      <c r="H135" s="877"/>
      <c r="I135" s="878"/>
      <c r="J135" s="879"/>
      <c r="K135" s="879"/>
      <c r="L135" s="879"/>
      <c r="M135" s="880"/>
      <c r="N135" s="881"/>
      <c r="O135" s="881"/>
      <c r="P135" s="881"/>
      <c r="Q135" s="881"/>
      <c r="R135" s="882"/>
      <c r="S135" s="882"/>
      <c r="T135" s="882"/>
      <c r="U135" s="882"/>
      <c r="V135" s="882"/>
      <c r="W135" s="882"/>
      <c r="X135" s="882"/>
      <c r="Y135" s="882"/>
      <c r="Z135" s="883"/>
    </row>
    <row r="136" spans="1:26" x14ac:dyDescent="0.25">
      <c r="A136" s="792"/>
      <c r="B136" s="815"/>
      <c r="C136" s="873"/>
      <c r="D136" s="874"/>
      <c r="E136" s="874"/>
      <c r="F136" s="875"/>
      <c r="G136" s="876"/>
      <c r="H136" s="877"/>
      <c r="I136" s="878"/>
      <c r="J136" s="879"/>
      <c r="K136" s="879"/>
      <c r="L136" s="879"/>
      <c r="M136" s="880"/>
      <c r="N136" s="881"/>
      <c r="O136" s="881"/>
      <c r="P136" s="881"/>
      <c r="Q136" s="881"/>
      <c r="R136" s="882"/>
      <c r="S136" s="882"/>
      <c r="T136" s="882"/>
      <c r="U136" s="882"/>
      <c r="V136" s="882"/>
      <c r="W136" s="882"/>
      <c r="X136" s="882"/>
      <c r="Y136" s="882"/>
      <c r="Z136" s="883"/>
    </row>
    <row r="137" spans="1:26" x14ac:dyDescent="0.25">
      <c r="A137" s="792"/>
      <c r="B137" s="815"/>
      <c r="C137" s="873"/>
      <c r="D137" s="874"/>
      <c r="E137" s="874"/>
      <c r="F137" s="875"/>
      <c r="G137" s="876"/>
      <c r="H137" s="877"/>
      <c r="I137" s="878"/>
      <c r="J137" s="879"/>
      <c r="K137" s="879"/>
      <c r="L137" s="879"/>
      <c r="M137" s="880"/>
      <c r="N137" s="881"/>
      <c r="O137" s="881"/>
      <c r="P137" s="881"/>
      <c r="Q137" s="881"/>
      <c r="R137" s="882"/>
      <c r="S137" s="882"/>
      <c r="T137" s="882"/>
      <c r="U137" s="882"/>
      <c r="V137" s="882"/>
      <c r="W137" s="882"/>
      <c r="X137" s="882"/>
      <c r="Y137" s="882"/>
      <c r="Z137" s="883"/>
    </row>
    <row r="138" spans="1:26" x14ac:dyDescent="0.25">
      <c r="A138" s="792"/>
      <c r="B138" s="815"/>
      <c r="C138" s="873"/>
      <c r="D138" s="874"/>
      <c r="E138" s="874"/>
      <c r="F138" s="875"/>
      <c r="G138" s="876"/>
      <c r="H138" s="877"/>
      <c r="I138" s="878"/>
      <c r="J138" s="879"/>
      <c r="K138" s="879"/>
      <c r="L138" s="879"/>
      <c r="M138" s="880"/>
      <c r="N138" s="881"/>
      <c r="O138" s="881"/>
      <c r="P138" s="881"/>
      <c r="Q138" s="881"/>
      <c r="R138" s="882"/>
      <c r="S138" s="882"/>
      <c r="T138" s="882"/>
      <c r="U138" s="882"/>
      <c r="V138" s="882"/>
      <c r="W138" s="882"/>
      <c r="X138" s="882"/>
      <c r="Y138" s="882"/>
      <c r="Z138" s="883"/>
    </row>
    <row r="139" spans="1:26" x14ac:dyDescent="0.25">
      <c r="A139" s="792"/>
      <c r="B139" s="815"/>
      <c r="C139" s="873"/>
      <c r="D139" s="874"/>
      <c r="E139" s="874"/>
      <c r="F139" s="875"/>
      <c r="G139" s="876"/>
      <c r="H139" s="877"/>
      <c r="I139" s="878"/>
      <c r="J139" s="879"/>
      <c r="K139" s="879"/>
      <c r="L139" s="879"/>
      <c r="M139" s="880"/>
      <c r="N139" s="881"/>
      <c r="O139" s="881"/>
      <c r="P139" s="881"/>
      <c r="Q139" s="881"/>
      <c r="R139" s="882"/>
      <c r="S139" s="882"/>
      <c r="T139" s="882"/>
      <c r="U139" s="882"/>
      <c r="V139" s="882"/>
      <c r="W139" s="882"/>
      <c r="X139" s="882"/>
      <c r="Y139" s="882"/>
      <c r="Z139" s="883"/>
    </row>
    <row r="140" spans="1:26" x14ac:dyDescent="0.25">
      <c r="A140" s="792"/>
      <c r="B140" s="815"/>
      <c r="C140" s="873"/>
      <c r="D140" s="874"/>
      <c r="E140" s="874"/>
      <c r="F140" s="875"/>
      <c r="G140" s="876"/>
      <c r="H140" s="877"/>
      <c r="I140" s="878"/>
      <c r="J140" s="879"/>
      <c r="K140" s="879"/>
      <c r="L140" s="879"/>
      <c r="M140" s="880"/>
      <c r="N140" s="881"/>
      <c r="O140" s="881"/>
      <c r="P140" s="881"/>
      <c r="Q140" s="881"/>
      <c r="R140" s="882"/>
      <c r="S140" s="882"/>
      <c r="T140" s="882"/>
      <c r="U140" s="882"/>
      <c r="V140" s="882"/>
      <c r="W140" s="882"/>
      <c r="X140" s="882"/>
      <c r="Y140" s="882"/>
      <c r="Z140" s="883"/>
    </row>
    <row r="141" spans="1:26" x14ac:dyDescent="0.25">
      <c r="A141" s="792"/>
      <c r="B141" s="815"/>
      <c r="C141" s="873"/>
      <c r="D141" s="874"/>
      <c r="E141" s="874"/>
      <c r="F141" s="875"/>
      <c r="G141" s="876"/>
      <c r="H141" s="877"/>
      <c r="I141" s="878"/>
      <c r="J141" s="879"/>
      <c r="K141" s="879"/>
      <c r="L141" s="879"/>
      <c r="M141" s="880"/>
      <c r="N141" s="881"/>
      <c r="O141" s="881"/>
      <c r="P141" s="881"/>
      <c r="Q141" s="881"/>
      <c r="R141" s="882"/>
      <c r="S141" s="882"/>
      <c r="T141" s="882"/>
      <c r="U141" s="882"/>
      <c r="V141" s="882"/>
      <c r="W141" s="882"/>
      <c r="X141" s="882"/>
      <c r="Y141" s="882"/>
      <c r="Z141" s="883"/>
    </row>
    <row r="142" spans="1:26" x14ac:dyDescent="0.25">
      <c r="A142" s="792"/>
      <c r="B142" s="815"/>
      <c r="C142" s="873"/>
      <c r="D142" s="874"/>
      <c r="E142" s="874"/>
      <c r="F142" s="875"/>
      <c r="G142" s="876"/>
      <c r="H142" s="877"/>
      <c r="I142" s="878"/>
      <c r="J142" s="879"/>
      <c r="K142" s="879"/>
      <c r="L142" s="879"/>
      <c r="M142" s="880"/>
      <c r="N142" s="881"/>
      <c r="O142" s="881"/>
      <c r="P142" s="881"/>
      <c r="Q142" s="881"/>
      <c r="R142" s="882"/>
      <c r="S142" s="882"/>
      <c r="T142" s="882"/>
      <c r="U142" s="882"/>
      <c r="V142" s="882"/>
      <c r="W142" s="882"/>
      <c r="X142" s="882"/>
      <c r="Y142" s="882"/>
      <c r="Z142" s="883"/>
    </row>
    <row r="143" spans="1:26" x14ac:dyDescent="0.25">
      <c r="A143" s="792"/>
      <c r="B143" s="815"/>
      <c r="C143" s="873"/>
      <c r="D143" s="874"/>
      <c r="E143" s="874"/>
      <c r="F143" s="875"/>
      <c r="G143" s="876"/>
      <c r="H143" s="877"/>
      <c r="I143" s="878"/>
      <c r="J143" s="879"/>
      <c r="K143" s="879"/>
      <c r="L143" s="879"/>
      <c r="M143" s="880"/>
      <c r="N143" s="881"/>
      <c r="O143" s="881"/>
      <c r="P143" s="881"/>
      <c r="Q143" s="881"/>
      <c r="R143" s="882"/>
      <c r="S143" s="882"/>
      <c r="T143" s="882"/>
      <c r="U143" s="882"/>
      <c r="V143" s="882"/>
      <c r="W143" s="882"/>
      <c r="X143" s="882"/>
      <c r="Y143" s="882"/>
      <c r="Z143" s="883"/>
    </row>
    <row r="144" spans="1:26" x14ac:dyDescent="0.25">
      <c r="A144" s="792"/>
      <c r="B144" s="815"/>
      <c r="C144" s="873"/>
      <c r="D144" s="874"/>
      <c r="E144" s="874"/>
      <c r="F144" s="875"/>
      <c r="G144" s="876"/>
      <c r="H144" s="877"/>
      <c r="I144" s="878"/>
      <c r="J144" s="879"/>
      <c r="K144" s="879"/>
      <c r="L144" s="879"/>
      <c r="M144" s="880"/>
      <c r="N144" s="881"/>
      <c r="O144" s="881"/>
      <c r="P144" s="881"/>
      <c r="Q144" s="881"/>
      <c r="R144" s="882"/>
      <c r="S144" s="882"/>
      <c r="T144" s="882"/>
      <c r="U144" s="882"/>
      <c r="V144" s="882"/>
      <c r="W144" s="882"/>
      <c r="X144" s="882"/>
      <c r="Y144" s="882"/>
      <c r="Z144" s="883"/>
    </row>
    <row r="145" spans="1:26" x14ac:dyDescent="0.25">
      <c r="A145" s="792"/>
      <c r="B145" s="815"/>
      <c r="C145" s="873"/>
      <c r="D145" s="874"/>
      <c r="E145" s="874"/>
      <c r="F145" s="875"/>
      <c r="G145" s="876"/>
      <c r="H145" s="877"/>
      <c r="I145" s="878"/>
      <c r="J145" s="879"/>
      <c r="K145" s="879"/>
      <c r="L145" s="879"/>
      <c r="M145" s="880"/>
      <c r="N145" s="881"/>
      <c r="O145" s="881"/>
      <c r="P145" s="881"/>
      <c r="Q145" s="881"/>
      <c r="R145" s="882"/>
      <c r="S145" s="882"/>
      <c r="T145" s="882"/>
      <c r="U145" s="882"/>
      <c r="V145" s="882"/>
      <c r="W145" s="882"/>
      <c r="X145" s="882"/>
      <c r="Y145" s="882"/>
      <c r="Z145" s="883"/>
    </row>
    <row r="146" spans="1:26" x14ac:dyDescent="0.25">
      <c r="A146" s="792"/>
      <c r="B146" s="815"/>
      <c r="C146" s="873"/>
      <c r="D146" s="874"/>
      <c r="E146" s="874"/>
      <c r="F146" s="875"/>
      <c r="G146" s="876"/>
      <c r="H146" s="877"/>
      <c r="I146" s="878"/>
      <c r="J146" s="879"/>
      <c r="K146" s="879"/>
      <c r="L146" s="879"/>
      <c r="M146" s="880"/>
      <c r="N146" s="881"/>
      <c r="O146" s="881"/>
      <c r="P146" s="881"/>
      <c r="Q146" s="881"/>
      <c r="R146" s="882"/>
      <c r="S146" s="882"/>
      <c r="T146" s="882"/>
      <c r="U146" s="882"/>
      <c r="V146" s="882"/>
      <c r="W146" s="882"/>
      <c r="X146" s="882"/>
      <c r="Y146" s="882"/>
      <c r="Z146" s="883"/>
    </row>
    <row r="147" spans="1:26" x14ac:dyDescent="0.25">
      <c r="A147" s="792"/>
      <c r="B147" s="815"/>
      <c r="C147" s="873"/>
      <c r="D147" s="874"/>
      <c r="E147" s="874"/>
      <c r="F147" s="875"/>
      <c r="G147" s="876"/>
      <c r="H147" s="877"/>
      <c r="I147" s="878"/>
      <c r="J147" s="879"/>
      <c r="K147" s="879"/>
      <c r="L147" s="879"/>
      <c r="M147" s="880"/>
      <c r="N147" s="881"/>
      <c r="O147" s="881"/>
      <c r="P147" s="881"/>
      <c r="Q147" s="881"/>
      <c r="R147" s="882"/>
      <c r="S147" s="882"/>
      <c r="T147" s="882"/>
      <c r="U147" s="882"/>
      <c r="V147" s="882"/>
      <c r="W147" s="882"/>
      <c r="X147" s="882"/>
      <c r="Y147" s="882"/>
      <c r="Z147" s="883"/>
    </row>
    <row r="148" spans="1:26" x14ac:dyDescent="0.25">
      <c r="A148" s="792"/>
      <c r="B148" s="815"/>
      <c r="C148" s="873"/>
      <c r="D148" s="874"/>
      <c r="E148" s="874"/>
      <c r="F148" s="875"/>
      <c r="G148" s="876"/>
      <c r="H148" s="877"/>
      <c r="I148" s="878"/>
      <c r="J148" s="879"/>
      <c r="K148" s="879"/>
      <c r="L148" s="879"/>
      <c r="M148" s="880"/>
      <c r="N148" s="881"/>
      <c r="O148" s="881"/>
      <c r="P148" s="881"/>
      <c r="Q148" s="881"/>
      <c r="R148" s="882"/>
      <c r="S148" s="882"/>
      <c r="T148" s="882"/>
      <c r="U148" s="882"/>
      <c r="V148" s="882"/>
      <c r="W148" s="882"/>
      <c r="X148" s="882"/>
      <c r="Y148" s="882"/>
      <c r="Z148" s="883"/>
    </row>
    <row r="149" spans="1:26" x14ac:dyDescent="0.25">
      <c r="A149" s="845"/>
      <c r="B149" s="815"/>
      <c r="C149" s="846"/>
      <c r="D149" s="2816"/>
      <c r="E149" s="2816"/>
      <c r="F149" s="847"/>
      <c r="G149" s="846"/>
      <c r="H149" s="848"/>
      <c r="I149" s="849"/>
      <c r="J149" s="849"/>
      <c r="K149" s="849"/>
      <c r="L149" s="849"/>
      <c r="M149" s="850"/>
      <c r="N149" s="850"/>
      <c r="O149" s="850"/>
      <c r="P149" s="851"/>
      <c r="Q149" s="851"/>
      <c r="R149" s="852"/>
      <c r="S149" s="852"/>
      <c r="T149" s="852"/>
      <c r="U149" s="852"/>
      <c r="V149" s="852"/>
      <c r="W149" s="852"/>
      <c r="X149" s="852"/>
      <c r="Y149" s="852"/>
      <c r="Z149" s="853"/>
    </row>
    <row r="150" spans="1:26" x14ac:dyDescent="0.25">
      <c r="A150" s="854"/>
      <c r="B150" s="855"/>
      <c r="C150" s="856"/>
      <c r="D150" s="857"/>
      <c r="E150" s="857"/>
      <c r="F150" s="857"/>
      <c r="G150" s="856"/>
      <c r="H150" s="858" t="s">
        <v>1696</v>
      </c>
      <c r="I150" s="859"/>
      <c r="J150" s="859"/>
      <c r="K150" s="859"/>
      <c r="L150" s="859"/>
      <c r="M150" s="860"/>
      <c r="N150" s="860"/>
      <c r="O150" s="860"/>
      <c r="P150" s="861"/>
      <c r="Q150" s="861"/>
      <c r="R150" s="862"/>
      <c r="S150" s="855"/>
      <c r="T150" s="855"/>
      <c r="U150" s="862"/>
      <c r="V150" s="862"/>
      <c r="W150" s="855"/>
      <c r="X150" s="855"/>
      <c r="Y150" s="855"/>
      <c r="Z150" s="855"/>
    </row>
    <row r="151" spans="1:26" x14ac:dyDescent="0.25">
      <c r="A151" s="854"/>
      <c r="B151" s="855"/>
      <c r="C151" s="856"/>
      <c r="D151" s="857"/>
      <c r="E151" s="857"/>
      <c r="F151" s="857"/>
      <c r="G151" s="856"/>
      <c r="H151" s="858" t="str">
        <f>T6</f>
        <v>T10</v>
      </c>
      <c r="I151" s="859"/>
      <c r="J151" s="859"/>
      <c r="K151" s="859"/>
      <c r="L151" s="859"/>
      <c r="M151" s="860"/>
      <c r="N151" s="860"/>
      <c r="O151" s="860"/>
      <c r="P151" s="861"/>
      <c r="Q151" s="861"/>
      <c r="R151" s="855"/>
      <c r="S151" s="855"/>
      <c r="T151" s="863"/>
      <c r="U151" s="863"/>
      <c r="V151" s="855"/>
      <c r="W151" s="855"/>
      <c r="X151" s="855"/>
      <c r="Y151" s="855"/>
      <c r="Z151" s="855"/>
    </row>
    <row r="152" spans="1:26" x14ac:dyDescent="0.25">
      <c r="A152" s="854"/>
      <c r="B152" s="855"/>
      <c r="C152" s="856"/>
      <c r="D152" s="857"/>
      <c r="E152" s="857"/>
      <c r="F152" s="857"/>
      <c r="G152" s="856"/>
      <c r="H152" s="858" t="str">
        <f>U6</f>
        <v>T12</v>
      </c>
      <c r="I152" s="859" t="e">
        <f>#REF!+#REF!</f>
        <v>#REF!</v>
      </c>
      <c r="J152" s="864" t="s">
        <v>1314</v>
      </c>
      <c r="K152" s="859"/>
      <c r="L152" s="859"/>
      <c r="M152" s="860"/>
      <c r="N152" s="2817"/>
      <c r="O152" s="2817"/>
      <c r="P152" s="861"/>
      <c r="Q152" s="861"/>
      <c r="R152" s="855"/>
      <c r="S152" s="855"/>
      <c r="T152" s="855"/>
      <c r="U152" s="862">
        <f>U18+V18+T18+W18</f>
        <v>1387.4125874125873</v>
      </c>
      <c r="V152" s="855"/>
      <c r="W152" s="855"/>
      <c r="X152" s="855"/>
      <c r="Y152" s="855"/>
      <c r="Z152" s="855"/>
    </row>
    <row r="153" spans="1:26" x14ac:dyDescent="0.25">
      <c r="A153" s="854"/>
      <c r="B153" s="855"/>
      <c r="C153" s="856"/>
      <c r="D153" s="857"/>
      <c r="E153" s="857"/>
      <c r="F153" s="857"/>
      <c r="G153" s="856"/>
      <c r="H153" s="858" t="str">
        <f>V6</f>
        <v>T16</v>
      </c>
      <c r="I153" s="859" t="e">
        <f>#REF!+#REF!+#REF!+#REF!+#REF!+#REF!+#REF!+#REF!+#REF!+#REF!</f>
        <v>#REF!</v>
      </c>
      <c r="J153" s="864" t="s">
        <v>1314</v>
      </c>
      <c r="K153" s="859"/>
      <c r="L153" s="859"/>
      <c r="M153" s="860"/>
      <c r="N153" s="860"/>
      <c r="O153" s="860"/>
      <c r="P153" s="861"/>
      <c r="Q153" s="861"/>
      <c r="R153" s="855"/>
      <c r="S153" s="855"/>
      <c r="T153" s="855"/>
      <c r="U153" s="855"/>
      <c r="V153" s="855"/>
      <c r="W153" s="855"/>
      <c r="X153" s="855"/>
      <c r="Y153" s="855"/>
      <c r="Z153" s="855"/>
    </row>
    <row r="154" spans="1:26" x14ac:dyDescent="0.25">
      <c r="A154" s="854"/>
      <c r="B154" s="855"/>
      <c r="C154" s="856"/>
      <c r="D154" s="857"/>
      <c r="E154" s="857"/>
      <c r="F154" s="857"/>
      <c r="G154" s="856"/>
      <c r="H154" s="858" t="str">
        <f>W6</f>
        <v>T20</v>
      </c>
      <c r="I154" s="859" t="e">
        <f>#REF!+#REF!+#REF!</f>
        <v>#REF!</v>
      </c>
      <c r="J154" s="864" t="s">
        <v>1314</v>
      </c>
      <c r="K154" s="859"/>
      <c r="L154" s="859"/>
      <c r="M154" s="860"/>
      <c r="N154" s="860"/>
      <c r="O154" s="860"/>
      <c r="P154" s="861"/>
      <c r="Q154" s="861"/>
      <c r="R154" s="855"/>
      <c r="S154" s="855"/>
      <c r="T154" s="855"/>
      <c r="U154" s="855">
        <f>U152/1000</f>
        <v>1.3874125874125873</v>
      </c>
      <c r="V154" s="855"/>
      <c r="W154" s="855"/>
      <c r="X154" s="855"/>
      <c r="Y154" s="855"/>
      <c r="Z154" s="855"/>
    </row>
    <row r="155" spans="1:26" x14ac:dyDescent="0.25">
      <c r="A155" s="854"/>
      <c r="B155" s="855"/>
      <c r="C155" s="856"/>
      <c r="D155" s="857"/>
      <c r="E155" s="857"/>
      <c r="F155" s="857"/>
      <c r="G155" s="856"/>
      <c r="H155" s="865"/>
      <c r="I155" s="859"/>
      <c r="J155" s="859"/>
      <c r="K155" s="859"/>
      <c r="L155" s="859"/>
      <c r="M155" s="860"/>
      <c r="N155" s="860"/>
      <c r="O155" s="860"/>
      <c r="P155" s="861"/>
      <c r="Q155" s="861"/>
      <c r="R155" s="862"/>
      <c r="S155" s="855"/>
      <c r="T155" s="862"/>
      <c r="U155" s="863"/>
      <c r="V155" s="862"/>
      <c r="W155" s="855"/>
      <c r="X155" s="855"/>
      <c r="Y155" s="855"/>
      <c r="Z155" s="855"/>
    </row>
    <row r="156" spans="1:26" x14ac:dyDescent="0.25">
      <c r="H156" s="866" t="s">
        <v>1037</v>
      </c>
    </row>
    <row r="157" spans="1:26" x14ac:dyDescent="0.25">
      <c r="H157" s="866" t="s">
        <v>1686</v>
      </c>
      <c r="I157" s="868" t="e">
        <f>#REF!</f>
        <v>#REF!</v>
      </c>
      <c r="J157" s="766" t="s">
        <v>1314</v>
      </c>
      <c r="K157" s="766">
        <f>6*0.888</f>
        <v>5.3280000000000003</v>
      </c>
      <c r="L157" s="766" t="e">
        <f>K157*I157</f>
        <v>#REF!</v>
      </c>
      <c r="U157" s="869">
        <f>U154*165000</f>
        <v>228923.07692307691</v>
      </c>
    </row>
    <row r="158" spans="1:26" x14ac:dyDescent="0.25">
      <c r="H158" s="866" t="s">
        <v>1687</v>
      </c>
      <c r="I158" s="868" t="e">
        <f>#REF!+#REF!+#REF!</f>
        <v>#REF!</v>
      </c>
      <c r="J158" s="766" t="s">
        <v>1314</v>
      </c>
      <c r="K158" s="766">
        <f>6*1.579</f>
        <v>9.4740000000000002</v>
      </c>
      <c r="L158" s="766" t="e">
        <f>K158*I158</f>
        <v>#REF!</v>
      </c>
      <c r="R158" s="870"/>
      <c r="U158" s="870" t="e">
        <f>L161*165000</f>
        <v>#REF!</v>
      </c>
      <c r="V158" s="870"/>
      <c r="W158" s="871"/>
      <c r="X158" s="871"/>
      <c r="Y158" s="871"/>
    </row>
    <row r="159" spans="1:26" x14ac:dyDescent="0.25">
      <c r="L159" s="766" t="e">
        <f>L158+L157</f>
        <v>#REF!</v>
      </c>
      <c r="U159" s="872" t="e">
        <f>L167*165000</f>
        <v>#REF!</v>
      </c>
    </row>
    <row r="161" spans="8:21" x14ac:dyDescent="0.25">
      <c r="L161" s="766" t="e">
        <f>L159/1000</f>
        <v>#REF!</v>
      </c>
      <c r="U161" s="872" t="e">
        <f>U158+U157+U159</f>
        <v>#REF!</v>
      </c>
    </row>
    <row r="162" spans="8:21" x14ac:dyDescent="0.25">
      <c r="H162" s="766" t="s">
        <v>1697</v>
      </c>
    </row>
    <row r="163" spans="8:21" x14ac:dyDescent="0.25">
      <c r="H163" s="858" t="s">
        <v>1685</v>
      </c>
      <c r="I163" s="868" t="e">
        <f>#REF!+#REF!</f>
        <v>#REF!</v>
      </c>
      <c r="K163" s="766">
        <f>6*0.617</f>
        <v>3.702</v>
      </c>
      <c r="L163" s="766" t="e">
        <f>K163*I163</f>
        <v>#REF!</v>
      </c>
    </row>
    <row r="164" spans="8:21" x14ac:dyDescent="0.25">
      <c r="H164" s="858" t="s">
        <v>1686</v>
      </c>
      <c r="I164" s="868" t="e">
        <f>#REF!+#REF!</f>
        <v>#REF!</v>
      </c>
      <c r="K164" s="766">
        <f>6*0.888</f>
        <v>5.3280000000000003</v>
      </c>
      <c r="L164" s="766" t="e">
        <f>K164*I164</f>
        <v>#REF!</v>
      </c>
    </row>
    <row r="166" spans="8:21" x14ac:dyDescent="0.25">
      <c r="L166" s="766" t="e">
        <f>SUM(L163:L165)</f>
        <v>#REF!</v>
      </c>
    </row>
    <row r="167" spans="8:21" x14ac:dyDescent="0.25">
      <c r="L167" s="766" t="e">
        <f>L166/1000</f>
        <v>#REF!</v>
      </c>
    </row>
    <row r="193" spans="12:13" x14ac:dyDescent="0.25">
      <c r="L193" s="766">
        <f>16250</f>
        <v>16250</v>
      </c>
    </row>
    <row r="197" spans="12:13" x14ac:dyDescent="0.25">
      <c r="L197" s="766">
        <f>1200+600</f>
        <v>1800</v>
      </c>
      <c r="M197" s="867" t="s">
        <v>1698</v>
      </c>
    </row>
  </sheetData>
  <mergeCells count="33">
    <mergeCell ref="B5:B7"/>
    <mergeCell ref="C5:C7"/>
    <mergeCell ref="D5:D7"/>
    <mergeCell ref="E5:E7"/>
    <mergeCell ref="F5:F7"/>
    <mergeCell ref="B1:Z1"/>
    <mergeCell ref="O2:Q2"/>
    <mergeCell ref="O3:Q3"/>
    <mergeCell ref="S3:T3"/>
    <mergeCell ref="O4:Q4"/>
    <mergeCell ref="Z5:Z7"/>
    <mergeCell ref="M6:M7"/>
    <mergeCell ref="N6:N7"/>
    <mergeCell ref="O6:O7"/>
    <mergeCell ref="P6:P7"/>
    <mergeCell ref="Q6:Q7"/>
    <mergeCell ref="R6:R7"/>
    <mergeCell ref="S6:S7"/>
    <mergeCell ref="T6:T7"/>
    <mergeCell ref="U6:U7"/>
    <mergeCell ref="R5:X5"/>
    <mergeCell ref="V6:V7"/>
    <mergeCell ref="W6:W7"/>
    <mergeCell ref="J5:J7"/>
    <mergeCell ref="X6:X7"/>
    <mergeCell ref="Y6:Y7"/>
    <mergeCell ref="D149:E149"/>
    <mergeCell ref="N152:O152"/>
    <mergeCell ref="H5:H7"/>
    <mergeCell ref="I5:I7"/>
    <mergeCell ref="G5:G7"/>
    <mergeCell ref="K5:K7"/>
    <mergeCell ref="L5:L7"/>
  </mergeCells>
  <printOptions horizontalCentered="1"/>
  <pageMargins left="0.7" right="0.7" top="0.75" bottom="0.75" header="0.3" footer="0.3"/>
  <pageSetup paperSize="8"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682"/>
  <sheetViews>
    <sheetView view="pageBreakPreview" zoomScaleNormal="100" zoomScaleSheetLayoutView="100" workbookViewId="0">
      <pane ySplit="1" topLeftCell="A3521" activePane="bottomLeft" state="frozen"/>
      <selection pane="bottomLeft" activeCell="G3538" sqref="G3538"/>
    </sheetView>
  </sheetViews>
  <sheetFormatPr defaultRowHeight="13.2" x14ac:dyDescent="0.25"/>
  <cols>
    <col min="1" max="1" width="5.88671875" style="298" bestFit="1" customWidth="1"/>
    <col min="2" max="2" width="41.33203125" style="287" bestFit="1" customWidth="1"/>
    <col min="3" max="3" width="3.44140625" style="287" customWidth="1"/>
    <col min="4" max="4" width="3" style="287" bestFit="1" customWidth="1"/>
    <col min="5" max="5" width="6" style="287" bestFit="1" customWidth="1"/>
    <col min="6" max="6" width="10.44140625" style="311" bestFit="1" customWidth="1"/>
    <col min="7" max="7" width="8.88671875" style="311" bestFit="1" customWidth="1"/>
    <col min="8" max="8" width="11.44140625" style="311" bestFit="1" customWidth="1"/>
    <col min="9" max="9" width="10.109375" style="297" bestFit="1" customWidth="1"/>
    <col min="10" max="10" width="11.44140625" style="297" bestFit="1" customWidth="1"/>
    <col min="11" max="11" width="7.88671875" style="297" bestFit="1" customWidth="1"/>
    <col min="12" max="13" width="11.44140625" style="297" bestFit="1" customWidth="1"/>
    <col min="14" max="14" width="11.44140625" style="297" customWidth="1"/>
    <col min="15" max="15" width="5" style="287" bestFit="1" customWidth="1"/>
    <col min="16" max="16" width="20.88671875" style="287" customWidth="1"/>
    <col min="17" max="17" width="14.109375" style="287" bestFit="1" customWidth="1"/>
    <col min="18" max="19" width="11.33203125" style="287" bestFit="1" customWidth="1"/>
    <col min="20" max="20" width="12.88671875" style="287" bestFit="1" customWidth="1"/>
    <col min="21" max="21" width="14.109375" style="287" bestFit="1" customWidth="1"/>
    <col min="22" max="23" width="8.88671875" style="287"/>
    <col min="24" max="24" width="13.109375" style="287" bestFit="1" customWidth="1"/>
    <col min="25" max="25" width="8.88671875" style="287"/>
    <col min="26" max="26" width="15.109375" style="287" bestFit="1" customWidth="1"/>
    <col min="27" max="28" width="11.5546875" style="287" bestFit="1" customWidth="1"/>
    <col min="29" max="262" width="8.88671875" style="287"/>
    <col min="263" max="263" width="7" style="287" bestFit="1" customWidth="1"/>
    <col min="264" max="264" width="20.5546875" style="287" bestFit="1" customWidth="1"/>
    <col min="265" max="265" width="3.44140625" style="287" customWidth="1"/>
    <col min="266" max="266" width="3.6640625" style="287" customWidth="1"/>
    <col min="267" max="267" width="5.44140625" style="287" bestFit="1" customWidth="1"/>
    <col min="268" max="268" width="9.33203125" style="287" bestFit="1" customWidth="1"/>
    <col min="269" max="269" width="7.6640625" style="287" customWidth="1"/>
    <col min="270" max="270" width="9.109375" style="287" customWidth="1"/>
    <col min="271" max="272" width="10.5546875" style="287" bestFit="1" customWidth="1"/>
    <col min="273" max="273" width="5.33203125" style="287" bestFit="1" customWidth="1"/>
    <col min="274" max="275" width="11.33203125" style="287" bestFit="1" customWidth="1"/>
    <col min="276" max="276" width="12.88671875" style="287" bestFit="1" customWidth="1"/>
    <col min="277" max="277" width="10.5546875" style="287" bestFit="1" customWidth="1"/>
    <col min="278" max="281" width="8.88671875" style="287"/>
    <col min="282" max="282" width="15.109375" style="287" bestFit="1" customWidth="1"/>
    <col min="283" max="284" width="11.5546875" style="287" bestFit="1" customWidth="1"/>
    <col min="285" max="518" width="8.88671875" style="287"/>
    <col min="519" max="519" width="7" style="287" bestFit="1" customWidth="1"/>
    <col min="520" max="520" width="20.5546875" style="287" bestFit="1" customWidth="1"/>
    <col min="521" max="521" width="3.44140625" style="287" customWidth="1"/>
    <col min="522" max="522" width="3.6640625" style="287" customWidth="1"/>
    <col min="523" max="523" width="5.44140625" style="287" bestFit="1" customWidth="1"/>
    <col min="524" max="524" width="9.33203125" style="287" bestFit="1" customWidth="1"/>
    <col min="525" max="525" width="7.6640625" style="287" customWidth="1"/>
    <col min="526" max="526" width="9.109375" style="287" customWidth="1"/>
    <col min="527" max="528" width="10.5546875" style="287" bestFit="1" customWidth="1"/>
    <col min="529" max="529" width="5.33203125" style="287" bestFit="1" customWidth="1"/>
    <col min="530" max="531" width="11.33203125" style="287" bestFit="1" customWidth="1"/>
    <col min="532" max="532" width="12.88671875" style="287" bestFit="1" customWidth="1"/>
    <col min="533" max="533" width="10.5546875" style="287" bestFit="1" customWidth="1"/>
    <col min="534" max="537" width="8.88671875" style="287"/>
    <col min="538" max="538" width="15.109375" style="287" bestFit="1" customWidth="1"/>
    <col min="539" max="540" width="11.5546875" style="287" bestFit="1" customWidth="1"/>
    <col min="541" max="774" width="8.88671875" style="287"/>
    <col min="775" max="775" width="7" style="287" bestFit="1" customWidth="1"/>
    <col min="776" max="776" width="20.5546875" style="287" bestFit="1" customWidth="1"/>
    <col min="777" max="777" width="3.44140625" style="287" customWidth="1"/>
    <col min="778" max="778" width="3.6640625" style="287" customWidth="1"/>
    <col min="779" max="779" width="5.44140625" style="287" bestFit="1" customWidth="1"/>
    <col min="780" max="780" width="9.33203125" style="287" bestFit="1" customWidth="1"/>
    <col min="781" max="781" width="7.6640625" style="287" customWidth="1"/>
    <col min="782" max="782" width="9.109375" style="287" customWidth="1"/>
    <col min="783" max="784" width="10.5546875" style="287" bestFit="1" customWidth="1"/>
    <col min="785" max="785" width="5.33203125" style="287" bestFit="1" customWidth="1"/>
    <col min="786" max="787" width="11.33203125" style="287" bestFit="1" customWidth="1"/>
    <col min="788" max="788" width="12.88671875" style="287" bestFit="1" customWidth="1"/>
    <col min="789" max="789" width="10.5546875" style="287" bestFit="1" customWidth="1"/>
    <col min="790" max="793" width="8.88671875" style="287"/>
    <col min="794" max="794" width="15.109375" style="287" bestFit="1" customWidth="1"/>
    <col min="795" max="796" width="11.5546875" style="287" bestFit="1" customWidth="1"/>
    <col min="797" max="1030" width="8.88671875" style="287"/>
    <col min="1031" max="1031" width="7" style="287" bestFit="1" customWidth="1"/>
    <col min="1032" max="1032" width="20.5546875" style="287" bestFit="1" customWidth="1"/>
    <col min="1033" max="1033" width="3.44140625" style="287" customWidth="1"/>
    <col min="1034" max="1034" width="3.6640625" style="287" customWidth="1"/>
    <col min="1035" max="1035" width="5.44140625" style="287" bestFit="1" customWidth="1"/>
    <col min="1036" max="1036" width="9.33203125" style="287" bestFit="1" customWidth="1"/>
    <col min="1037" max="1037" width="7.6640625" style="287" customWidth="1"/>
    <col min="1038" max="1038" width="9.109375" style="287" customWidth="1"/>
    <col min="1039" max="1040" width="10.5546875" style="287" bestFit="1" customWidth="1"/>
    <col min="1041" max="1041" width="5.33203125" style="287" bestFit="1" customWidth="1"/>
    <col min="1042" max="1043" width="11.33203125" style="287" bestFit="1" customWidth="1"/>
    <col min="1044" max="1044" width="12.88671875" style="287" bestFit="1" customWidth="1"/>
    <col min="1045" max="1045" width="10.5546875" style="287" bestFit="1" customWidth="1"/>
    <col min="1046" max="1049" width="8.88671875" style="287"/>
    <col min="1050" max="1050" width="15.109375" style="287" bestFit="1" customWidth="1"/>
    <col min="1051" max="1052" width="11.5546875" style="287" bestFit="1" customWidth="1"/>
    <col min="1053" max="1286" width="8.88671875" style="287"/>
    <col min="1287" max="1287" width="7" style="287" bestFit="1" customWidth="1"/>
    <col min="1288" max="1288" width="20.5546875" style="287" bestFit="1" customWidth="1"/>
    <col min="1289" max="1289" width="3.44140625" style="287" customWidth="1"/>
    <col min="1290" max="1290" width="3.6640625" style="287" customWidth="1"/>
    <col min="1291" max="1291" width="5.44140625" style="287" bestFit="1" customWidth="1"/>
    <col min="1292" max="1292" width="9.33203125" style="287" bestFit="1" customWidth="1"/>
    <col min="1293" max="1293" width="7.6640625" style="287" customWidth="1"/>
    <col min="1294" max="1294" width="9.109375" style="287" customWidth="1"/>
    <col min="1295" max="1296" width="10.5546875" style="287" bestFit="1" customWidth="1"/>
    <col min="1297" max="1297" width="5.33203125" style="287" bestFit="1" customWidth="1"/>
    <col min="1298" max="1299" width="11.33203125" style="287" bestFit="1" customWidth="1"/>
    <col min="1300" max="1300" width="12.88671875" style="287" bestFit="1" customWidth="1"/>
    <col min="1301" max="1301" width="10.5546875" style="287" bestFit="1" customWidth="1"/>
    <col min="1302" max="1305" width="8.88671875" style="287"/>
    <col min="1306" max="1306" width="15.109375" style="287" bestFit="1" customWidth="1"/>
    <col min="1307" max="1308" width="11.5546875" style="287" bestFit="1" customWidth="1"/>
    <col min="1309" max="1542" width="8.88671875" style="287"/>
    <col min="1543" max="1543" width="7" style="287" bestFit="1" customWidth="1"/>
    <col min="1544" max="1544" width="20.5546875" style="287" bestFit="1" customWidth="1"/>
    <col min="1545" max="1545" width="3.44140625" style="287" customWidth="1"/>
    <col min="1546" max="1546" width="3.6640625" style="287" customWidth="1"/>
    <col min="1547" max="1547" width="5.44140625" style="287" bestFit="1" customWidth="1"/>
    <col min="1548" max="1548" width="9.33203125" style="287" bestFit="1" customWidth="1"/>
    <col min="1549" max="1549" width="7.6640625" style="287" customWidth="1"/>
    <col min="1550" max="1550" width="9.109375" style="287" customWidth="1"/>
    <col min="1551" max="1552" width="10.5546875" style="287" bestFit="1" customWidth="1"/>
    <col min="1553" max="1553" width="5.33203125" style="287" bestFit="1" customWidth="1"/>
    <col min="1554" max="1555" width="11.33203125" style="287" bestFit="1" customWidth="1"/>
    <col min="1556" max="1556" width="12.88671875" style="287" bestFit="1" customWidth="1"/>
    <col min="1557" max="1557" width="10.5546875" style="287" bestFit="1" customWidth="1"/>
    <col min="1558" max="1561" width="8.88671875" style="287"/>
    <col min="1562" max="1562" width="15.109375" style="287" bestFit="1" customWidth="1"/>
    <col min="1563" max="1564" width="11.5546875" style="287" bestFit="1" customWidth="1"/>
    <col min="1565" max="1798" width="8.88671875" style="287"/>
    <col min="1799" max="1799" width="7" style="287" bestFit="1" customWidth="1"/>
    <col min="1800" max="1800" width="20.5546875" style="287" bestFit="1" customWidth="1"/>
    <col min="1801" max="1801" width="3.44140625" style="287" customWidth="1"/>
    <col min="1802" max="1802" width="3.6640625" style="287" customWidth="1"/>
    <col min="1803" max="1803" width="5.44140625" style="287" bestFit="1" customWidth="1"/>
    <col min="1804" max="1804" width="9.33203125" style="287" bestFit="1" customWidth="1"/>
    <col min="1805" max="1805" width="7.6640625" style="287" customWidth="1"/>
    <col min="1806" max="1806" width="9.109375" style="287" customWidth="1"/>
    <col min="1807" max="1808" width="10.5546875" style="287" bestFit="1" customWidth="1"/>
    <col min="1809" max="1809" width="5.33203125" style="287" bestFit="1" customWidth="1"/>
    <col min="1810" max="1811" width="11.33203125" style="287" bestFit="1" customWidth="1"/>
    <col min="1812" max="1812" width="12.88671875" style="287" bestFit="1" customWidth="1"/>
    <col min="1813" max="1813" width="10.5546875" style="287" bestFit="1" customWidth="1"/>
    <col min="1814" max="1817" width="8.88671875" style="287"/>
    <col min="1818" max="1818" width="15.109375" style="287" bestFit="1" customWidth="1"/>
    <col min="1819" max="1820" width="11.5546875" style="287" bestFit="1" customWidth="1"/>
    <col min="1821" max="2054" width="8.88671875" style="287"/>
    <col min="2055" max="2055" width="7" style="287" bestFit="1" customWidth="1"/>
    <col min="2056" max="2056" width="20.5546875" style="287" bestFit="1" customWidth="1"/>
    <col min="2057" max="2057" width="3.44140625" style="287" customWidth="1"/>
    <col min="2058" max="2058" width="3.6640625" style="287" customWidth="1"/>
    <col min="2059" max="2059" width="5.44140625" style="287" bestFit="1" customWidth="1"/>
    <col min="2060" max="2060" width="9.33203125" style="287" bestFit="1" customWidth="1"/>
    <col min="2061" max="2061" width="7.6640625" style="287" customWidth="1"/>
    <col min="2062" max="2062" width="9.109375" style="287" customWidth="1"/>
    <col min="2063" max="2064" width="10.5546875" style="287" bestFit="1" customWidth="1"/>
    <col min="2065" max="2065" width="5.33203125" style="287" bestFit="1" customWidth="1"/>
    <col min="2066" max="2067" width="11.33203125" style="287" bestFit="1" customWidth="1"/>
    <col min="2068" max="2068" width="12.88671875" style="287" bestFit="1" customWidth="1"/>
    <col min="2069" max="2069" width="10.5546875" style="287" bestFit="1" customWidth="1"/>
    <col min="2070" max="2073" width="8.88671875" style="287"/>
    <col min="2074" max="2074" width="15.109375" style="287" bestFit="1" customWidth="1"/>
    <col min="2075" max="2076" width="11.5546875" style="287" bestFit="1" customWidth="1"/>
    <col min="2077" max="2310" width="8.88671875" style="287"/>
    <col min="2311" max="2311" width="7" style="287" bestFit="1" customWidth="1"/>
    <col min="2312" max="2312" width="20.5546875" style="287" bestFit="1" customWidth="1"/>
    <col min="2313" max="2313" width="3.44140625" style="287" customWidth="1"/>
    <col min="2314" max="2314" width="3.6640625" style="287" customWidth="1"/>
    <col min="2315" max="2315" width="5.44140625" style="287" bestFit="1" customWidth="1"/>
    <col min="2316" max="2316" width="9.33203125" style="287" bestFit="1" customWidth="1"/>
    <col min="2317" max="2317" width="7.6640625" style="287" customWidth="1"/>
    <col min="2318" max="2318" width="9.109375" style="287" customWidth="1"/>
    <col min="2319" max="2320" width="10.5546875" style="287" bestFit="1" customWidth="1"/>
    <col min="2321" max="2321" width="5.33203125" style="287" bestFit="1" customWidth="1"/>
    <col min="2322" max="2323" width="11.33203125" style="287" bestFit="1" customWidth="1"/>
    <col min="2324" max="2324" width="12.88671875" style="287" bestFit="1" customWidth="1"/>
    <col min="2325" max="2325" width="10.5546875" style="287" bestFit="1" customWidth="1"/>
    <col min="2326" max="2329" width="8.88671875" style="287"/>
    <col min="2330" max="2330" width="15.109375" style="287" bestFit="1" customWidth="1"/>
    <col min="2331" max="2332" width="11.5546875" style="287" bestFit="1" customWidth="1"/>
    <col min="2333" max="2566" width="8.88671875" style="287"/>
    <col min="2567" max="2567" width="7" style="287" bestFit="1" customWidth="1"/>
    <col min="2568" max="2568" width="20.5546875" style="287" bestFit="1" customWidth="1"/>
    <col min="2569" max="2569" width="3.44140625" style="287" customWidth="1"/>
    <col min="2570" max="2570" width="3.6640625" style="287" customWidth="1"/>
    <col min="2571" max="2571" width="5.44140625" style="287" bestFit="1" customWidth="1"/>
    <col min="2572" max="2572" width="9.33203125" style="287" bestFit="1" customWidth="1"/>
    <col min="2573" max="2573" width="7.6640625" style="287" customWidth="1"/>
    <col min="2574" max="2574" width="9.109375" style="287" customWidth="1"/>
    <col min="2575" max="2576" width="10.5546875" style="287" bestFit="1" customWidth="1"/>
    <col min="2577" max="2577" width="5.33203125" style="287" bestFit="1" customWidth="1"/>
    <col min="2578" max="2579" width="11.33203125" style="287" bestFit="1" customWidth="1"/>
    <col min="2580" max="2580" width="12.88671875" style="287" bestFit="1" customWidth="1"/>
    <col min="2581" max="2581" width="10.5546875" style="287" bestFit="1" customWidth="1"/>
    <col min="2582" max="2585" width="8.88671875" style="287"/>
    <col min="2586" max="2586" width="15.109375" style="287" bestFit="1" customWidth="1"/>
    <col min="2587" max="2588" width="11.5546875" style="287" bestFit="1" customWidth="1"/>
    <col min="2589" max="2822" width="8.88671875" style="287"/>
    <col min="2823" max="2823" width="7" style="287" bestFit="1" customWidth="1"/>
    <col min="2824" max="2824" width="20.5546875" style="287" bestFit="1" customWidth="1"/>
    <col min="2825" max="2825" width="3.44140625" style="287" customWidth="1"/>
    <col min="2826" max="2826" width="3.6640625" style="287" customWidth="1"/>
    <col min="2827" max="2827" width="5.44140625" style="287" bestFit="1" customWidth="1"/>
    <col min="2828" max="2828" width="9.33203125" style="287" bestFit="1" customWidth="1"/>
    <col min="2829" max="2829" width="7.6640625" style="287" customWidth="1"/>
    <col min="2830" max="2830" width="9.109375" style="287" customWidth="1"/>
    <col min="2831" max="2832" width="10.5546875" style="287" bestFit="1" customWidth="1"/>
    <col min="2833" max="2833" width="5.33203125" style="287" bestFit="1" customWidth="1"/>
    <col min="2834" max="2835" width="11.33203125" style="287" bestFit="1" customWidth="1"/>
    <col min="2836" max="2836" width="12.88671875" style="287" bestFit="1" customWidth="1"/>
    <col min="2837" max="2837" width="10.5546875" style="287" bestFit="1" customWidth="1"/>
    <col min="2838" max="2841" width="8.88671875" style="287"/>
    <col min="2842" max="2842" width="15.109375" style="287" bestFit="1" customWidth="1"/>
    <col min="2843" max="2844" width="11.5546875" style="287" bestFit="1" customWidth="1"/>
    <col min="2845" max="3078" width="8.88671875" style="287"/>
    <col min="3079" max="3079" width="7" style="287" bestFit="1" customWidth="1"/>
    <col min="3080" max="3080" width="20.5546875" style="287" bestFit="1" customWidth="1"/>
    <col min="3081" max="3081" width="3.44140625" style="287" customWidth="1"/>
    <col min="3082" max="3082" width="3.6640625" style="287" customWidth="1"/>
    <col min="3083" max="3083" width="5.44140625" style="287" bestFit="1" customWidth="1"/>
    <col min="3084" max="3084" width="9.33203125" style="287" bestFit="1" customWidth="1"/>
    <col min="3085" max="3085" width="7.6640625" style="287" customWidth="1"/>
    <col min="3086" max="3086" width="9.109375" style="287" customWidth="1"/>
    <col min="3087" max="3088" width="10.5546875" style="287" bestFit="1" customWidth="1"/>
    <col min="3089" max="3089" width="5.33203125" style="287" bestFit="1" customWidth="1"/>
    <col min="3090" max="3091" width="11.33203125" style="287" bestFit="1" customWidth="1"/>
    <col min="3092" max="3092" width="12.88671875" style="287" bestFit="1" customWidth="1"/>
    <col min="3093" max="3093" width="10.5546875" style="287" bestFit="1" customWidth="1"/>
    <col min="3094" max="3097" width="8.88671875" style="287"/>
    <col min="3098" max="3098" width="15.109375" style="287" bestFit="1" customWidth="1"/>
    <col min="3099" max="3100" width="11.5546875" style="287" bestFit="1" customWidth="1"/>
    <col min="3101" max="3334" width="8.88671875" style="287"/>
    <col min="3335" max="3335" width="7" style="287" bestFit="1" customWidth="1"/>
    <col min="3336" max="3336" width="20.5546875" style="287" bestFit="1" customWidth="1"/>
    <col min="3337" max="3337" width="3.44140625" style="287" customWidth="1"/>
    <col min="3338" max="3338" width="3.6640625" style="287" customWidth="1"/>
    <col min="3339" max="3339" width="5.44140625" style="287" bestFit="1" customWidth="1"/>
    <col min="3340" max="3340" width="9.33203125" style="287" bestFit="1" customWidth="1"/>
    <col min="3341" max="3341" width="7.6640625" style="287" customWidth="1"/>
    <col min="3342" max="3342" width="9.109375" style="287" customWidth="1"/>
    <col min="3343" max="3344" width="10.5546875" style="287" bestFit="1" customWidth="1"/>
    <col min="3345" max="3345" width="5.33203125" style="287" bestFit="1" customWidth="1"/>
    <col min="3346" max="3347" width="11.33203125" style="287" bestFit="1" customWidth="1"/>
    <col min="3348" max="3348" width="12.88671875" style="287" bestFit="1" customWidth="1"/>
    <col min="3349" max="3349" width="10.5546875" style="287" bestFit="1" customWidth="1"/>
    <col min="3350" max="3353" width="8.88671875" style="287"/>
    <col min="3354" max="3354" width="15.109375" style="287" bestFit="1" customWidth="1"/>
    <col min="3355" max="3356" width="11.5546875" style="287" bestFit="1" customWidth="1"/>
    <col min="3357" max="3590" width="8.88671875" style="287"/>
    <col min="3591" max="3591" width="7" style="287" bestFit="1" customWidth="1"/>
    <col min="3592" max="3592" width="20.5546875" style="287" bestFit="1" customWidth="1"/>
    <col min="3593" max="3593" width="3.44140625" style="287" customWidth="1"/>
    <col min="3594" max="3594" width="3.6640625" style="287" customWidth="1"/>
    <col min="3595" max="3595" width="5.44140625" style="287" bestFit="1" customWidth="1"/>
    <col min="3596" max="3596" width="9.33203125" style="287" bestFit="1" customWidth="1"/>
    <col min="3597" max="3597" width="7.6640625" style="287" customWidth="1"/>
    <col min="3598" max="3598" width="9.109375" style="287" customWidth="1"/>
    <col min="3599" max="3600" width="10.5546875" style="287" bestFit="1" customWidth="1"/>
    <col min="3601" max="3601" width="5.33203125" style="287" bestFit="1" customWidth="1"/>
    <col min="3602" max="3603" width="11.33203125" style="287" bestFit="1" customWidth="1"/>
    <col min="3604" max="3604" width="12.88671875" style="287" bestFit="1" customWidth="1"/>
    <col min="3605" max="3605" width="10.5546875" style="287" bestFit="1" customWidth="1"/>
    <col min="3606" max="3609" width="8.88671875" style="287"/>
    <col min="3610" max="3610" width="15.109375" style="287" bestFit="1" customWidth="1"/>
    <col min="3611" max="3612" width="11.5546875" style="287" bestFit="1" customWidth="1"/>
    <col min="3613" max="3846" width="8.88671875" style="287"/>
    <col min="3847" max="3847" width="7" style="287" bestFit="1" customWidth="1"/>
    <col min="3848" max="3848" width="20.5546875" style="287" bestFit="1" customWidth="1"/>
    <col min="3849" max="3849" width="3.44140625" style="287" customWidth="1"/>
    <col min="3850" max="3850" width="3.6640625" style="287" customWidth="1"/>
    <col min="3851" max="3851" width="5.44140625" style="287" bestFit="1" customWidth="1"/>
    <col min="3852" max="3852" width="9.33203125" style="287" bestFit="1" customWidth="1"/>
    <col min="3853" max="3853" width="7.6640625" style="287" customWidth="1"/>
    <col min="3854" max="3854" width="9.109375" style="287" customWidth="1"/>
    <col min="3855" max="3856" width="10.5546875" style="287" bestFit="1" customWidth="1"/>
    <col min="3857" max="3857" width="5.33203125" style="287" bestFit="1" customWidth="1"/>
    <col min="3858" max="3859" width="11.33203125" style="287" bestFit="1" customWidth="1"/>
    <col min="3860" max="3860" width="12.88671875" style="287" bestFit="1" customWidth="1"/>
    <col min="3861" max="3861" width="10.5546875" style="287" bestFit="1" customWidth="1"/>
    <col min="3862" max="3865" width="8.88671875" style="287"/>
    <col min="3866" max="3866" width="15.109375" style="287" bestFit="1" customWidth="1"/>
    <col min="3867" max="3868" width="11.5546875" style="287" bestFit="1" customWidth="1"/>
    <col min="3869" max="4102" width="8.88671875" style="287"/>
    <col min="4103" max="4103" width="7" style="287" bestFit="1" customWidth="1"/>
    <col min="4104" max="4104" width="20.5546875" style="287" bestFit="1" customWidth="1"/>
    <col min="4105" max="4105" width="3.44140625" style="287" customWidth="1"/>
    <col min="4106" max="4106" width="3.6640625" style="287" customWidth="1"/>
    <col min="4107" max="4107" width="5.44140625" style="287" bestFit="1" customWidth="1"/>
    <col min="4108" max="4108" width="9.33203125" style="287" bestFit="1" customWidth="1"/>
    <col min="4109" max="4109" width="7.6640625" style="287" customWidth="1"/>
    <col min="4110" max="4110" width="9.109375" style="287" customWidth="1"/>
    <col min="4111" max="4112" width="10.5546875" style="287" bestFit="1" customWidth="1"/>
    <col min="4113" max="4113" width="5.33203125" style="287" bestFit="1" customWidth="1"/>
    <col min="4114" max="4115" width="11.33203125" style="287" bestFit="1" customWidth="1"/>
    <col min="4116" max="4116" width="12.88671875" style="287" bestFit="1" customWidth="1"/>
    <col min="4117" max="4117" width="10.5546875" style="287" bestFit="1" customWidth="1"/>
    <col min="4118" max="4121" width="8.88671875" style="287"/>
    <col min="4122" max="4122" width="15.109375" style="287" bestFit="1" customWidth="1"/>
    <col min="4123" max="4124" width="11.5546875" style="287" bestFit="1" customWidth="1"/>
    <col min="4125" max="4358" width="8.88671875" style="287"/>
    <col min="4359" max="4359" width="7" style="287" bestFit="1" customWidth="1"/>
    <col min="4360" max="4360" width="20.5546875" style="287" bestFit="1" customWidth="1"/>
    <col min="4361" max="4361" width="3.44140625" style="287" customWidth="1"/>
    <col min="4362" max="4362" width="3.6640625" style="287" customWidth="1"/>
    <col min="4363" max="4363" width="5.44140625" style="287" bestFit="1" customWidth="1"/>
    <col min="4364" max="4364" width="9.33203125" style="287" bestFit="1" customWidth="1"/>
    <col min="4365" max="4365" width="7.6640625" style="287" customWidth="1"/>
    <col min="4366" max="4366" width="9.109375" style="287" customWidth="1"/>
    <col min="4367" max="4368" width="10.5546875" style="287" bestFit="1" customWidth="1"/>
    <col min="4369" max="4369" width="5.33203125" style="287" bestFit="1" customWidth="1"/>
    <col min="4370" max="4371" width="11.33203125" style="287" bestFit="1" customWidth="1"/>
    <col min="4372" max="4372" width="12.88671875" style="287" bestFit="1" customWidth="1"/>
    <col min="4373" max="4373" width="10.5546875" style="287" bestFit="1" customWidth="1"/>
    <col min="4374" max="4377" width="8.88671875" style="287"/>
    <col min="4378" max="4378" width="15.109375" style="287" bestFit="1" customWidth="1"/>
    <col min="4379" max="4380" width="11.5546875" style="287" bestFit="1" customWidth="1"/>
    <col min="4381" max="4614" width="8.88671875" style="287"/>
    <col min="4615" max="4615" width="7" style="287" bestFit="1" customWidth="1"/>
    <col min="4616" max="4616" width="20.5546875" style="287" bestFit="1" customWidth="1"/>
    <col min="4617" max="4617" width="3.44140625" style="287" customWidth="1"/>
    <col min="4618" max="4618" width="3.6640625" style="287" customWidth="1"/>
    <col min="4619" max="4619" width="5.44140625" style="287" bestFit="1" customWidth="1"/>
    <col min="4620" max="4620" width="9.33203125" style="287" bestFit="1" customWidth="1"/>
    <col min="4621" max="4621" width="7.6640625" style="287" customWidth="1"/>
    <col min="4622" max="4622" width="9.109375" style="287" customWidth="1"/>
    <col min="4623" max="4624" width="10.5546875" style="287" bestFit="1" customWidth="1"/>
    <col min="4625" max="4625" width="5.33203125" style="287" bestFit="1" customWidth="1"/>
    <col min="4626" max="4627" width="11.33203125" style="287" bestFit="1" customWidth="1"/>
    <col min="4628" max="4628" width="12.88671875" style="287" bestFit="1" customWidth="1"/>
    <col min="4629" max="4629" width="10.5546875" style="287" bestFit="1" customWidth="1"/>
    <col min="4630" max="4633" width="8.88671875" style="287"/>
    <col min="4634" max="4634" width="15.109375" style="287" bestFit="1" customWidth="1"/>
    <col min="4635" max="4636" width="11.5546875" style="287" bestFit="1" customWidth="1"/>
    <col min="4637" max="4870" width="8.88671875" style="287"/>
    <col min="4871" max="4871" width="7" style="287" bestFit="1" customWidth="1"/>
    <col min="4872" max="4872" width="20.5546875" style="287" bestFit="1" customWidth="1"/>
    <col min="4873" max="4873" width="3.44140625" style="287" customWidth="1"/>
    <col min="4874" max="4874" width="3.6640625" style="287" customWidth="1"/>
    <col min="4875" max="4875" width="5.44140625" style="287" bestFit="1" customWidth="1"/>
    <col min="4876" max="4876" width="9.33203125" style="287" bestFit="1" customWidth="1"/>
    <col min="4877" max="4877" width="7.6640625" style="287" customWidth="1"/>
    <col min="4878" max="4878" width="9.109375" style="287" customWidth="1"/>
    <col min="4879" max="4880" width="10.5546875" style="287" bestFit="1" customWidth="1"/>
    <col min="4881" max="4881" width="5.33203125" style="287" bestFit="1" customWidth="1"/>
    <col min="4882" max="4883" width="11.33203125" style="287" bestFit="1" customWidth="1"/>
    <col min="4884" max="4884" width="12.88671875" style="287" bestFit="1" customWidth="1"/>
    <col min="4885" max="4885" width="10.5546875" style="287" bestFit="1" customWidth="1"/>
    <col min="4886" max="4889" width="8.88671875" style="287"/>
    <col min="4890" max="4890" width="15.109375" style="287" bestFit="1" customWidth="1"/>
    <col min="4891" max="4892" width="11.5546875" style="287" bestFit="1" customWidth="1"/>
    <col min="4893" max="5126" width="8.88671875" style="287"/>
    <col min="5127" max="5127" width="7" style="287" bestFit="1" customWidth="1"/>
    <col min="5128" max="5128" width="20.5546875" style="287" bestFit="1" customWidth="1"/>
    <col min="5129" max="5129" width="3.44140625" style="287" customWidth="1"/>
    <col min="5130" max="5130" width="3.6640625" style="287" customWidth="1"/>
    <col min="5131" max="5131" width="5.44140625" style="287" bestFit="1" customWidth="1"/>
    <col min="5132" max="5132" width="9.33203125" style="287" bestFit="1" customWidth="1"/>
    <col min="5133" max="5133" width="7.6640625" style="287" customWidth="1"/>
    <col min="5134" max="5134" width="9.109375" style="287" customWidth="1"/>
    <col min="5135" max="5136" width="10.5546875" style="287" bestFit="1" customWidth="1"/>
    <col min="5137" max="5137" width="5.33203125" style="287" bestFit="1" customWidth="1"/>
    <col min="5138" max="5139" width="11.33203125" style="287" bestFit="1" customWidth="1"/>
    <col min="5140" max="5140" width="12.88671875" style="287" bestFit="1" customWidth="1"/>
    <col min="5141" max="5141" width="10.5546875" style="287" bestFit="1" customWidth="1"/>
    <col min="5142" max="5145" width="8.88671875" style="287"/>
    <col min="5146" max="5146" width="15.109375" style="287" bestFit="1" customWidth="1"/>
    <col min="5147" max="5148" width="11.5546875" style="287" bestFit="1" customWidth="1"/>
    <col min="5149" max="5382" width="8.88671875" style="287"/>
    <col min="5383" max="5383" width="7" style="287" bestFit="1" customWidth="1"/>
    <col min="5384" max="5384" width="20.5546875" style="287" bestFit="1" customWidth="1"/>
    <col min="5385" max="5385" width="3.44140625" style="287" customWidth="1"/>
    <col min="5386" max="5386" width="3.6640625" style="287" customWidth="1"/>
    <col min="5387" max="5387" width="5.44140625" style="287" bestFit="1" customWidth="1"/>
    <col min="5388" max="5388" width="9.33203125" style="287" bestFit="1" customWidth="1"/>
    <col min="5389" max="5389" width="7.6640625" style="287" customWidth="1"/>
    <col min="5390" max="5390" width="9.109375" style="287" customWidth="1"/>
    <col min="5391" max="5392" width="10.5546875" style="287" bestFit="1" customWidth="1"/>
    <col min="5393" max="5393" width="5.33203125" style="287" bestFit="1" customWidth="1"/>
    <col min="5394" max="5395" width="11.33203125" style="287" bestFit="1" customWidth="1"/>
    <col min="5396" max="5396" width="12.88671875" style="287" bestFit="1" customWidth="1"/>
    <col min="5397" max="5397" width="10.5546875" style="287" bestFit="1" customWidth="1"/>
    <col min="5398" max="5401" width="8.88671875" style="287"/>
    <col min="5402" max="5402" width="15.109375" style="287" bestFit="1" customWidth="1"/>
    <col min="5403" max="5404" width="11.5546875" style="287" bestFit="1" customWidth="1"/>
    <col min="5405" max="5638" width="8.88671875" style="287"/>
    <col min="5639" max="5639" width="7" style="287" bestFit="1" customWidth="1"/>
    <col min="5640" max="5640" width="20.5546875" style="287" bestFit="1" customWidth="1"/>
    <col min="5641" max="5641" width="3.44140625" style="287" customWidth="1"/>
    <col min="5642" max="5642" width="3.6640625" style="287" customWidth="1"/>
    <col min="5643" max="5643" width="5.44140625" style="287" bestFit="1" customWidth="1"/>
    <col min="5644" max="5644" width="9.33203125" style="287" bestFit="1" customWidth="1"/>
    <col min="5645" max="5645" width="7.6640625" style="287" customWidth="1"/>
    <col min="5646" max="5646" width="9.109375" style="287" customWidth="1"/>
    <col min="5647" max="5648" width="10.5546875" style="287" bestFit="1" customWidth="1"/>
    <col min="5649" max="5649" width="5.33203125" style="287" bestFit="1" customWidth="1"/>
    <col min="5650" max="5651" width="11.33203125" style="287" bestFit="1" customWidth="1"/>
    <col min="5652" max="5652" width="12.88671875" style="287" bestFit="1" customWidth="1"/>
    <col min="5653" max="5653" width="10.5546875" style="287" bestFit="1" customWidth="1"/>
    <col min="5654" max="5657" width="8.88671875" style="287"/>
    <col min="5658" max="5658" width="15.109375" style="287" bestFit="1" customWidth="1"/>
    <col min="5659" max="5660" width="11.5546875" style="287" bestFit="1" customWidth="1"/>
    <col min="5661" max="5894" width="8.88671875" style="287"/>
    <col min="5895" max="5895" width="7" style="287" bestFit="1" customWidth="1"/>
    <col min="5896" max="5896" width="20.5546875" style="287" bestFit="1" customWidth="1"/>
    <col min="5897" max="5897" width="3.44140625" style="287" customWidth="1"/>
    <col min="5898" max="5898" width="3.6640625" style="287" customWidth="1"/>
    <col min="5899" max="5899" width="5.44140625" style="287" bestFit="1" customWidth="1"/>
    <col min="5900" max="5900" width="9.33203125" style="287" bestFit="1" customWidth="1"/>
    <col min="5901" max="5901" width="7.6640625" style="287" customWidth="1"/>
    <col min="5902" max="5902" width="9.109375" style="287" customWidth="1"/>
    <col min="5903" max="5904" width="10.5546875" style="287" bestFit="1" customWidth="1"/>
    <col min="5905" max="5905" width="5.33203125" style="287" bestFit="1" customWidth="1"/>
    <col min="5906" max="5907" width="11.33203125" style="287" bestFit="1" customWidth="1"/>
    <col min="5908" max="5908" width="12.88671875" style="287" bestFit="1" customWidth="1"/>
    <col min="5909" max="5909" width="10.5546875" style="287" bestFit="1" customWidth="1"/>
    <col min="5910" max="5913" width="8.88671875" style="287"/>
    <col min="5914" max="5914" width="15.109375" style="287" bestFit="1" customWidth="1"/>
    <col min="5915" max="5916" width="11.5546875" style="287" bestFit="1" customWidth="1"/>
    <col min="5917" max="6150" width="8.88671875" style="287"/>
    <col min="6151" max="6151" width="7" style="287" bestFit="1" customWidth="1"/>
    <col min="6152" max="6152" width="20.5546875" style="287" bestFit="1" customWidth="1"/>
    <col min="6153" max="6153" width="3.44140625" style="287" customWidth="1"/>
    <col min="6154" max="6154" width="3.6640625" style="287" customWidth="1"/>
    <col min="6155" max="6155" width="5.44140625" style="287" bestFit="1" customWidth="1"/>
    <col min="6156" max="6156" width="9.33203125" style="287" bestFit="1" customWidth="1"/>
    <col min="6157" max="6157" width="7.6640625" style="287" customWidth="1"/>
    <col min="6158" max="6158" width="9.109375" style="287" customWidth="1"/>
    <col min="6159" max="6160" width="10.5546875" style="287" bestFit="1" customWidth="1"/>
    <col min="6161" max="6161" width="5.33203125" style="287" bestFit="1" customWidth="1"/>
    <col min="6162" max="6163" width="11.33203125" style="287" bestFit="1" customWidth="1"/>
    <col min="6164" max="6164" width="12.88671875" style="287" bestFit="1" customWidth="1"/>
    <col min="6165" max="6165" width="10.5546875" style="287" bestFit="1" customWidth="1"/>
    <col min="6166" max="6169" width="8.88671875" style="287"/>
    <col min="6170" max="6170" width="15.109375" style="287" bestFit="1" customWidth="1"/>
    <col min="6171" max="6172" width="11.5546875" style="287" bestFit="1" customWidth="1"/>
    <col min="6173" max="6406" width="8.88671875" style="287"/>
    <col min="6407" max="6407" width="7" style="287" bestFit="1" customWidth="1"/>
    <col min="6408" max="6408" width="20.5546875" style="287" bestFit="1" customWidth="1"/>
    <col min="6409" max="6409" width="3.44140625" style="287" customWidth="1"/>
    <col min="6410" max="6410" width="3.6640625" style="287" customWidth="1"/>
    <col min="6411" max="6411" width="5.44140625" style="287" bestFit="1" customWidth="1"/>
    <col min="6412" max="6412" width="9.33203125" style="287" bestFit="1" customWidth="1"/>
    <col min="6413" max="6413" width="7.6640625" style="287" customWidth="1"/>
    <col min="6414" max="6414" width="9.109375" style="287" customWidth="1"/>
    <col min="6415" max="6416" width="10.5546875" style="287" bestFit="1" customWidth="1"/>
    <col min="6417" max="6417" width="5.33203125" style="287" bestFit="1" customWidth="1"/>
    <col min="6418" max="6419" width="11.33203125" style="287" bestFit="1" customWidth="1"/>
    <col min="6420" max="6420" width="12.88671875" style="287" bestFit="1" customWidth="1"/>
    <col min="6421" max="6421" width="10.5546875" style="287" bestFit="1" customWidth="1"/>
    <col min="6422" max="6425" width="8.88671875" style="287"/>
    <col min="6426" max="6426" width="15.109375" style="287" bestFit="1" customWidth="1"/>
    <col min="6427" max="6428" width="11.5546875" style="287" bestFit="1" customWidth="1"/>
    <col min="6429" max="6662" width="8.88671875" style="287"/>
    <col min="6663" max="6663" width="7" style="287" bestFit="1" customWidth="1"/>
    <col min="6664" max="6664" width="20.5546875" style="287" bestFit="1" customWidth="1"/>
    <col min="6665" max="6665" width="3.44140625" style="287" customWidth="1"/>
    <col min="6666" max="6666" width="3.6640625" style="287" customWidth="1"/>
    <col min="6667" max="6667" width="5.44140625" style="287" bestFit="1" customWidth="1"/>
    <col min="6668" max="6668" width="9.33203125" style="287" bestFit="1" customWidth="1"/>
    <col min="6669" max="6669" width="7.6640625" style="287" customWidth="1"/>
    <col min="6670" max="6670" width="9.109375" style="287" customWidth="1"/>
    <col min="6671" max="6672" width="10.5546875" style="287" bestFit="1" customWidth="1"/>
    <col min="6673" max="6673" width="5.33203125" style="287" bestFit="1" customWidth="1"/>
    <col min="6674" max="6675" width="11.33203125" style="287" bestFit="1" customWidth="1"/>
    <col min="6676" max="6676" width="12.88671875" style="287" bestFit="1" customWidth="1"/>
    <col min="6677" max="6677" width="10.5546875" style="287" bestFit="1" customWidth="1"/>
    <col min="6678" max="6681" width="8.88671875" style="287"/>
    <col min="6682" max="6682" width="15.109375" style="287" bestFit="1" customWidth="1"/>
    <col min="6683" max="6684" width="11.5546875" style="287" bestFit="1" customWidth="1"/>
    <col min="6685" max="6918" width="8.88671875" style="287"/>
    <col min="6919" max="6919" width="7" style="287" bestFit="1" customWidth="1"/>
    <col min="6920" max="6920" width="20.5546875" style="287" bestFit="1" customWidth="1"/>
    <col min="6921" max="6921" width="3.44140625" style="287" customWidth="1"/>
    <col min="6922" max="6922" width="3.6640625" style="287" customWidth="1"/>
    <col min="6923" max="6923" width="5.44140625" style="287" bestFit="1" customWidth="1"/>
    <col min="6924" max="6924" width="9.33203125" style="287" bestFit="1" customWidth="1"/>
    <col min="6925" max="6925" width="7.6640625" style="287" customWidth="1"/>
    <col min="6926" max="6926" width="9.109375" style="287" customWidth="1"/>
    <col min="6927" max="6928" width="10.5546875" style="287" bestFit="1" customWidth="1"/>
    <col min="6929" max="6929" width="5.33203125" style="287" bestFit="1" customWidth="1"/>
    <col min="6930" max="6931" width="11.33203125" style="287" bestFit="1" customWidth="1"/>
    <col min="6932" max="6932" width="12.88671875" style="287" bestFit="1" customWidth="1"/>
    <col min="6933" max="6933" width="10.5546875" style="287" bestFit="1" customWidth="1"/>
    <col min="6934" max="6937" width="8.88671875" style="287"/>
    <col min="6938" max="6938" width="15.109375" style="287" bestFit="1" customWidth="1"/>
    <col min="6939" max="6940" width="11.5546875" style="287" bestFit="1" customWidth="1"/>
    <col min="6941" max="7174" width="8.88671875" style="287"/>
    <col min="7175" max="7175" width="7" style="287" bestFit="1" customWidth="1"/>
    <col min="7176" max="7176" width="20.5546875" style="287" bestFit="1" customWidth="1"/>
    <col min="7177" max="7177" width="3.44140625" style="287" customWidth="1"/>
    <col min="7178" max="7178" width="3.6640625" style="287" customWidth="1"/>
    <col min="7179" max="7179" width="5.44140625" style="287" bestFit="1" customWidth="1"/>
    <col min="7180" max="7180" width="9.33203125" style="287" bestFit="1" customWidth="1"/>
    <col min="7181" max="7181" width="7.6640625" style="287" customWidth="1"/>
    <col min="7182" max="7182" width="9.109375" style="287" customWidth="1"/>
    <col min="7183" max="7184" width="10.5546875" style="287" bestFit="1" customWidth="1"/>
    <col min="7185" max="7185" width="5.33203125" style="287" bestFit="1" customWidth="1"/>
    <col min="7186" max="7187" width="11.33203125" style="287" bestFit="1" customWidth="1"/>
    <col min="7188" max="7188" width="12.88671875" style="287" bestFit="1" customWidth="1"/>
    <col min="7189" max="7189" width="10.5546875" style="287" bestFit="1" customWidth="1"/>
    <col min="7190" max="7193" width="8.88671875" style="287"/>
    <col min="7194" max="7194" width="15.109375" style="287" bestFit="1" customWidth="1"/>
    <col min="7195" max="7196" width="11.5546875" style="287" bestFit="1" customWidth="1"/>
    <col min="7197" max="7430" width="8.88671875" style="287"/>
    <col min="7431" max="7431" width="7" style="287" bestFit="1" customWidth="1"/>
    <col min="7432" max="7432" width="20.5546875" style="287" bestFit="1" customWidth="1"/>
    <col min="7433" max="7433" width="3.44140625" style="287" customWidth="1"/>
    <col min="7434" max="7434" width="3.6640625" style="287" customWidth="1"/>
    <col min="7435" max="7435" width="5.44140625" style="287" bestFit="1" customWidth="1"/>
    <col min="7436" max="7436" width="9.33203125" style="287" bestFit="1" customWidth="1"/>
    <col min="7437" max="7437" width="7.6640625" style="287" customWidth="1"/>
    <col min="7438" max="7438" width="9.109375" style="287" customWidth="1"/>
    <col min="7439" max="7440" width="10.5546875" style="287" bestFit="1" customWidth="1"/>
    <col min="7441" max="7441" width="5.33203125" style="287" bestFit="1" customWidth="1"/>
    <col min="7442" max="7443" width="11.33203125" style="287" bestFit="1" customWidth="1"/>
    <col min="7444" max="7444" width="12.88671875" style="287" bestFit="1" customWidth="1"/>
    <col min="7445" max="7445" width="10.5546875" style="287" bestFit="1" customWidth="1"/>
    <col min="7446" max="7449" width="8.88671875" style="287"/>
    <col min="7450" max="7450" width="15.109375" style="287" bestFit="1" customWidth="1"/>
    <col min="7451" max="7452" width="11.5546875" style="287" bestFit="1" customWidth="1"/>
    <col min="7453" max="7686" width="8.88671875" style="287"/>
    <col min="7687" max="7687" width="7" style="287" bestFit="1" customWidth="1"/>
    <col min="7688" max="7688" width="20.5546875" style="287" bestFit="1" customWidth="1"/>
    <col min="7689" max="7689" width="3.44140625" style="287" customWidth="1"/>
    <col min="7690" max="7690" width="3.6640625" style="287" customWidth="1"/>
    <col min="7691" max="7691" width="5.44140625" style="287" bestFit="1" customWidth="1"/>
    <col min="7692" max="7692" width="9.33203125" style="287" bestFit="1" customWidth="1"/>
    <col min="7693" max="7693" width="7.6640625" style="287" customWidth="1"/>
    <col min="7694" max="7694" width="9.109375" style="287" customWidth="1"/>
    <col min="7695" max="7696" width="10.5546875" style="287" bestFit="1" customWidth="1"/>
    <col min="7697" max="7697" width="5.33203125" style="287" bestFit="1" customWidth="1"/>
    <col min="7698" max="7699" width="11.33203125" style="287" bestFit="1" customWidth="1"/>
    <col min="7700" max="7700" width="12.88671875" style="287" bestFit="1" customWidth="1"/>
    <col min="7701" max="7701" width="10.5546875" style="287" bestFit="1" customWidth="1"/>
    <col min="7702" max="7705" width="8.88671875" style="287"/>
    <col min="7706" max="7706" width="15.109375" style="287" bestFit="1" customWidth="1"/>
    <col min="7707" max="7708" width="11.5546875" style="287" bestFit="1" customWidth="1"/>
    <col min="7709" max="7942" width="8.88671875" style="287"/>
    <col min="7943" max="7943" width="7" style="287" bestFit="1" customWidth="1"/>
    <col min="7944" max="7944" width="20.5546875" style="287" bestFit="1" customWidth="1"/>
    <col min="7945" max="7945" width="3.44140625" style="287" customWidth="1"/>
    <col min="7946" max="7946" width="3.6640625" style="287" customWidth="1"/>
    <col min="7947" max="7947" width="5.44140625" style="287" bestFit="1" customWidth="1"/>
    <col min="7948" max="7948" width="9.33203125" style="287" bestFit="1" customWidth="1"/>
    <col min="7949" max="7949" width="7.6640625" style="287" customWidth="1"/>
    <col min="7950" max="7950" width="9.109375" style="287" customWidth="1"/>
    <col min="7951" max="7952" width="10.5546875" style="287" bestFit="1" customWidth="1"/>
    <col min="7953" max="7953" width="5.33203125" style="287" bestFit="1" customWidth="1"/>
    <col min="7954" max="7955" width="11.33203125" style="287" bestFit="1" customWidth="1"/>
    <col min="7956" max="7956" width="12.88671875" style="287" bestFit="1" customWidth="1"/>
    <col min="7957" max="7957" width="10.5546875" style="287" bestFit="1" customWidth="1"/>
    <col min="7958" max="7961" width="8.88671875" style="287"/>
    <col min="7962" max="7962" width="15.109375" style="287" bestFit="1" customWidth="1"/>
    <col min="7963" max="7964" width="11.5546875" style="287" bestFit="1" customWidth="1"/>
    <col min="7965" max="8198" width="8.88671875" style="287"/>
    <col min="8199" max="8199" width="7" style="287" bestFit="1" customWidth="1"/>
    <col min="8200" max="8200" width="20.5546875" style="287" bestFit="1" customWidth="1"/>
    <col min="8201" max="8201" width="3.44140625" style="287" customWidth="1"/>
    <col min="8202" max="8202" width="3.6640625" style="287" customWidth="1"/>
    <col min="8203" max="8203" width="5.44140625" style="287" bestFit="1" customWidth="1"/>
    <col min="8204" max="8204" width="9.33203125" style="287" bestFit="1" customWidth="1"/>
    <col min="8205" max="8205" width="7.6640625" style="287" customWidth="1"/>
    <col min="8206" max="8206" width="9.109375" style="287" customWidth="1"/>
    <col min="8207" max="8208" width="10.5546875" style="287" bestFit="1" customWidth="1"/>
    <col min="8209" max="8209" width="5.33203125" style="287" bestFit="1" customWidth="1"/>
    <col min="8210" max="8211" width="11.33203125" style="287" bestFit="1" customWidth="1"/>
    <col min="8212" max="8212" width="12.88671875" style="287" bestFit="1" customWidth="1"/>
    <col min="8213" max="8213" width="10.5546875" style="287" bestFit="1" customWidth="1"/>
    <col min="8214" max="8217" width="8.88671875" style="287"/>
    <col min="8218" max="8218" width="15.109375" style="287" bestFit="1" customWidth="1"/>
    <col min="8219" max="8220" width="11.5546875" style="287" bestFit="1" customWidth="1"/>
    <col min="8221" max="8454" width="8.88671875" style="287"/>
    <col min="8455" max="8455" width="7" style="287" bestFit="1" customWidth="1"/>
    <col min="8456" max="8456" width="20.5546875" style="287" bestFit="1" customWidth="1"/>
    <col min="8457" max="8457" width="3.44140625" style="287" customWidth="1"/>
    <col min="8458" max="8458" width="3.6640625" style="287" customWidth="1"/>
    <col min="8459" max="8459" width="5.44140625" style="287" bestFit="1" customWidth="1"/>
    <col min="8460" max="8460" width="9.33203125" style="287" bestFit="1" customWidth="1"/>
    <col min="8461" max="8461" width="7.6640625" style="287" customWidth="1"/>
    <col min="8462" max="8462" width="9.109375" style="287" customWidth="1"/>
    <col min="8463" max="8464" width="10.5546875" style="287" bestFit="1" customWidth="1"/>
    <col min="8465" max="8465" width="5.33203125" style="287" bestFit="1" customWidth="1"/>
    <col min="8466" max="8467" width="11.33203125" style="287" bestFit="1" customWidth="1"/>
    <col min="8468" max="8468" width="12.88671875" style="287" bestFit="1" customWidth="1"/>
    <col min="8469" max="8469" width="10.5546875" style="287" bestFit="1" customWidth="1"/>
    <col min="8470" max="8473" width="8.88671875" style="287"/>
    <col min="8474" max="8474" width="15.109375" style="287" bestFit="1" customWidth="1"/>
    <col min="8475" max="8476" width="11.5546875" style="287" bestFit="1" customWidth="1"/>
    <col min="8477" max="8710" width="8.88671875" style="287"/>
    <col min="8711" max="8711" width="7" style="287" bestFit="1" customWidth="1"/>
    <col min="8712" max="8712" width="20.5546875" style="287" bestFit="1" customWidth="1"/>
    <col min="8713" max="8713" width="3.44140625" style="287" customWidth="1"/>
    <col min="8714" max="8714" width="3.6640625" style="287" customWidth="1"/>
    <col min="8715" max="8715" width="5.44140625" style="287" bestFit="1" customWidth="1"/>
    <col min="8716" max="8716" width="9.33203125" style="287" bestFit="1" customWidth="1"/>
    <col min="8717" max="8717" width="7.6640625" style="287" customWidth="1"/>
    <col min="8718" max="8718" width="9.109375" style="287" customWidth="1"/>
    <col min="8719" max="8720" width="10.5546875" style="287" bestFit="1" customWidth="1"/>
    <col min="8721" max="8721" width="5.33203125" style="287" bestFit="1" customWidth="1"/>
    <col min="8722" max="8723" width="11.33203125" style="287" bestFit="1" customWidth="1"/>
    <col min="8724" max="8724" width="12.88671875" style="287" bestFit="1" customWidth="1"/>
    <col min="8725" max="8725" width="10.5546875" style="287" bestFit="1" customWidth="1"/>
    <col min="8726" max="8729" width="8.88671875" style="287"/>
    <col min="8730" max="8730" width="15.109375" style="287" bestFit="1" customWidth="1"/>
    <col min="8731" max="8732" width="11.5546875" style="287" bestFit="1" customWidth="1"/>
    <col min="8733" max="8966" width="8.88671875" style="287"/>
    <col min="8967" max="8967" width="7" style="287" bestFit="1" customWidth="1"/>
    <col min="8968" max="8968" width="20.5546875" style="287" bestFit="1" customWidth="1"/>
    <col min="8969" max="8969" width="3.44140625" style="287" customWidth="1"/>
    <col min="8970" max="8970" width="3.6640625" style="287" customWidth="1"/>
    <col min="8971" max="8971" width="5.44140625" style="287" bestFit="1" customWidth="1"/>
    <col min="8972" max="8972" width="9.33203125" style="287" bestFit="1" customWidth="1"/>
    <col min="8973" max="8973" width="7.6640625" style="287" customWidth="1"/>
    <col min="8974" max="8974" width="9.109375" style="287" customWidth="1"/>
    <col min="8975" max="8976" width="10.5546875" style="287" bestFit="1" customWidth="1"/>
    <col min="8977" max="8977" width="5.33203125" style="287" bestFit="1" customWidth="1"/>
    <col min="8978" max="8979" width="11.33203125" style="287" bestFit="1" customWidth="1"/>
    <col min="8980" max="8980" width="12.88671875" style="287" bestFit="1" customWidth="1"/>
    <col min="8981" max="8981" width="10.5546875" style="287" bestFit="1" customWidth="1"/>
    <col min="8982" max="8985" width="8.88671875" style="287"/>
    <col min="8986" max="8986" width="15.109375" style="287" bestFit="1" customWidth="1"/>
    <col min="8987" max="8988" width="11.5546875" style="287" bestFit="1" customWidth="1"/>
    <col min="8989" max="9222" width="8.88671875" style="287"/>
    <col min="9223" max="9223" width="7" style="287" bestFit="1" customWidth="1"/>
    <col min="9224" max="9224" width="20.5546875" style="287" bestFit="1" customWidth="1"/>
    <col min="9225" max="9225" width="3.44140625" style="287" customWidth="1"/>
    <col min="9226" max="9226" width="3.6640625" style="287" customWidth="1"/>
    <col min="9227" max="9227" width="5.44140625" style="287" bestFit="1" customWidth="1"/>
    <col min="9228" max="9228" width="9.33203125" style="287" bestFit="1" customWidth="1"/>
    <col min="9229" max="9229" width="7.6640625" style="287" customWidth="1"/>
    <col min="9230" max="9230" width="9.109375" style="287" customWidth="1"/>
    <col min="9231" max="9232" width="10.5546875" style="287" bestFit="1" customWidth="1"/>
    <col min="9233" max="9233" width="5.33203125" style="287" bestFit="1" customWidth="1"/>
    <col min="9234" max="9235" width="11.33203125" style="287" bestFit="1" customWidth="1"/>
    <col min="9236" max="9236" width="12.88671875" style="287" bestFit="1" customWidth="1"/>
    <col min="9237" max="9237" width="10.5546875" style="287" bestFit="1" customWidth="1"/>
    <col min="9238" max="9241" width="8.88671875" style="287"/>
    <col min="9242" max="9242" width="15.109375" style="287" bestFit="1" customWidth="1"/>
    <col min="9243" max="9244" width="11.5546875" style="287" bestFit="1" customWidth="1"/>
    <col min="9245" max="9478" width="8.88671875" style="287"/>
    <col min="9479" max="9479" width="7" style="287" bestFit="1" customWidth="1"/>
    <col min="9480" max="9480" width="20.5546875" style="287" bestFit="1" customWidth="1"/>
    <col min="9481" max="9481" width="3.44140625" style="287" customWidth="1"/>
    <col min="9482" max="9482" width="3.6640625" style="287" customWidth="1"/>
    <col min="9483" max="9483" width="5.44140625" style="287" bestFit="1" customWidth="1"/>
    <col min="9484" max="9484" width="9.33203125" style="287" bestFit="1" customWidth="1"/>
    <col min="9485" max="9485" width="7.6640625" style="287" customWidth="1"/>
    <col min="9486" max="9486" width="9.109375" style="287" customWidth="1"/>
    <col min="9487" max="9488" width="10.5546875" style="287" bestFit="1" customWidth="1"/>
    <col min="9489" max="9489" width="5.33203125" style="287" bestFit="1" customWidth="1"/>
    <col min="9490" max="9491" width="11.33203125" style="287" bestFit="1" customWidth="1"/>
    <col min="9492" max="9492" width="12.88671875" style="287" bestFit="1" customWidth="1"/>
    <col min="9493" max="9493" width="10.5546875" style="287" bestFit="1" customWidth="1"/>
    <col min="9494" max="9497" width="8.88671875" style="287"/>
    <col min="9498" max="9498" width="15.109375" style="287" bestFit="1" customWidth="1"/>
    <col min="9499" max="9500" width="11.5546875" style="287" bestFit="1" customWidth="1"/>
    <col min="9501" max="9734" width="8.88671875" style="287"/>
    <col min="9735" max="9735" width="7" style="287" bestFit="1" customWidth="1"/>
    <col min="9736" max="9736" width="20.5546875" style="287" bestFit="1" customWidth="1"/>
    <col min="9737" max="9737" width="3.44140625" style="287" customWidth="1"/>
    <col min="9738" max="9738" width="3.6640625" style="287" customWidth="1"/>
    <col min="9739" max="9739" width="5.44140625" style="287" bestFit="1" customWidth="1"/>
    <col min="9740" max="9740" width="9.33203125" style="287" bestFit="1" customWidth="1"/>
    <col min="9741" max="9741" width="7.6640625" style="287" customWidth="1"/>
    <col min="9742" max="9742" width="9.109375" style="287" customWidth="1"/>
    <col min="9743" max="9744" width="10.5546875" style="287" bestFit="1" customWidth="1"/>
    <col min="9745" max="9745" width="5.33203125" style="287" bestFit="1" customWidth="1"/>
    <col min="9746" max="9747" width="11.33203125" style="287" bestFit="1" customWidth="1"/>
    <col min="9748" max="9748" width="12.88671875" style="287" bestFit="1" customWidth="1"/>
    <col min="9749" max="9749" width="10.5546875" style="287" bestFit="1" customWidth="1"/>
    <col min="9750" max="9753" width="8.88671875" style="287"/>
    <col min="9754" max="9754" width="15.109375" style="287" bestFit="1" customWidth="1"/>
    <col min="9755" max="9756" width="11.5546875" style="287" bestFit="1" customWidth="1"/>
    <col min="9757" max="9990" width="8.88671875" style="287"/>
    <col min="9991" max="9991" width="7" style="287" bestFit="1" customWidth="1"/>
    <col min="9992" max="9992" width="20.5546875" style="287" bestFit="1" customWidth="1"/>
    <col min="9993" max="9993" width="3.44140625" style="287" customWidth="1"/>
    <col min="9994" max="9994" width="3.6640625" style="287" customWidth="1"/>
    <col min="9995" max="9995" width="5.44140625" style="287" bestFit="1" customWidth="1"/>
    <col min="9996" max="9996" width="9.33203125" style="287" bestFit="1" customWidth="1"/>
    <col min="9997" max="9997" width="7.6640625" style="287" customWidth="1"/>
    <col min="9998" max="9998" width="9.109375" style="287" customWidth="1"/>
    <col min="9999" max="10000" width="10.5546875" style="287" bestFit="1" customWidth="1"/>
    <col min="10001" max="10001" width="5.33203125" style="287" bestFit="1" customWidth="1"/>
    <col min="10002" max="10003" width="11.33203125" style="287" bestFit="1" customWidth="1"/>
    <col min="10004" max="10004" width="12.88671875" style="287" bestFit="1" customWidth="1"/>
    <col min="10005" max="10005" width="10.5546875" style="287" bestFit="1" customWidth="1"/>
    <col min="10006" max="10009" width="8.88671875" style="287"/>
    <col min="10010" max="10010" width="15.109375" style="287" bestFit="1" customWidth="1"/>
    <col min="10011" max="10012" width="11.5546875" style="287" bestFit="1" customWidth="1"/>
    <col min="10013" max="10246" width="8.88671875" style="287"/>
    <col min="10247" max="10247" width="7" style="287" bestFit="1" customWidth="1"/>
    <col min="10248" max="10248" width="20.5546875" style="287" bestFit="1" customWidth="1"/>
    <col min="10249" max="10249" width="3.44140625" style="287" customWidth="1"/>
    <col min="10250" max="10250" width="3.6640625" style="287" customWidth="1"/>
    <col min="10251" max="10251" width="5.44140625" style="287" bestFit="1" customWidth="1"/>
    <col min="10252" max="10252" width="9.33203125" style="287" bestFit="1" customWidth="1"/>
    <col min="10253" max="10253" width="7.6640625" style="287" customWidth="1"/>
    <col min="10254" max="10254" width="9.109375" style="287" customWidth="1"/>
    <col min="10255" max="10256" width="10.5546875" style="287" bestFit="1" customWidth="1"/>
    <col min="10257" max="10257" width="5.33203125" style="287" bestFit="1" customWidth="1"/>
    <col min="10258" max="10259" width="11.33203125" style="287" bestFit="1" customWidth="1"/>
    <col min="10260" max="10260" width="12.88671875" style="287" bestFit="1" customWidth="1"/>
    <col min="10261" max="10261" width="10.5546875" style="287" bestFit="1" customWidth="1"/>
    <col min="10262" max="10265" width="8.88671875" style="287"/>
    <col min="10266" max="10266" width="15.109375" style="287" bestFit="1" customWidth="1"/>
    <col min="10267" max="10268" width="11.5546875" style="287" bestFit="1" customWidth="1"/>
    <col min="10269" max="10502" width="8.88671875" style="287"/>
    <col min="10503" max="10503" width="7" style="287" bestFit="1" customWidth="1"/>
    <col min="10504" max="10504" width="20.5546875" style="287" bestFit="1" customWidth="1"/>
    <col min="10505" max="10505" width="3.44140625" style="287" customWidth="1"/>
    <col min="10506" max="10506" width="3.6640625" style="287" customWidth="1"/>
    <col min="10507" max="10507" width="5.44140625" style="287" bestFit="1" customWidth="1"/>
    <col min="10508" max="10508" width="9.33203125" style="287" bestFit="1" customWidth="1"/>
    <col min="10509" max="10509" width="7.6640625" style="287" customWidth="1"/>
    <col min="10510" max="10510" width="9.109375" style="287" customWidth="1"/>
    <col min="10511" max="10512" width="10.5546875" style="287" bestFit="1" customWidth="1"/>
    <col min="10513" max="10513" width="5.33203125" style="287" bestFit="1" customWidth="1"/>
    <col min="10514" max="10515" width="11.33203125" style="287" bestFit="1" customWidth="1"/>
    <col min="10516" max="10516" width="12.88671875" style="287" bestFit="1" customWidth="1"/>
    <col min="10517" max="10517" width="10.5546875" style="287" bestFit="1" customWidth="1"/>
    <col min="10518" max="10521" width="8.88671875" style="287"/>
    <col min="10522" max="10522" width="15.109375" style="287" bestFit="1" customWidth="1"/>
    <col min="10523" max="10524" width="11.5546875" style="287" bestFit="1" customWidth="1"/>
    <col min="10525" max="10758" width="8.88671875" style="287"/>
    <col min="10759" max="10759" width="7" style="287" bestFit="1" customWidth="1"/>
    <col min="10760" max="10760" width="20.5546875" style="287" bestFit="1" customWidth="1"/>
    <col min="10761" max="10761" width="3.44140625" style="287" customWidth="1"/>
    <col min="10762" max="10762" width="3.6640625" style="287" customWidth="1"/>
    <col min="10763" max="10763" width="5.44140625" style="287" bestFit="1" customWidth="1"/>
    <col min="10764" max="10764" width="9.33203125" style="287" bestFit="1" customWidth="1"/>
    <col min="10765" max="10765" width="7.6640625" style="287" customWidth="1"/>
    <col min="10766" max="10766" width="9.109375" style="287" customWidth="1"/>
    <col min="10767" max="10768" width="10.5546875" style="287" bestFit="1" customWidth="1"/>
    <col min="10769" max="10769" width="5.33203125" style="287" bestFit="1" customWidth="1"/>
    <col min="10770" max="10771" width="11.33203125" style="287" bestFit="1" customWidth="1"/>
    <col min="10772" max="10772" width="12.88671875" style="287" bestFit="1" customWidth="1"/>
    <col min="10773" max="10773" width="10.5546875" style="287" bestFit="1" customWidth="1"/>
    <col min="10774" max="10777" width="8.88671875" style="287"/>
    <col min="10778" max="10778" width="15.109375" style="287" bestFit="1" customWidth="1"/>
    <col min="10779" max="10780" width="11.5546875" style="287" bestFit="1" customWidth="1"/>
    <col min="10781" max="11014" width="8.88671875" style="287"/>
    <col min="11015" max="11015" width="7" style="287" bestFit="1" customWidth="1"/>
    <col min="11016" max="11016" width="20.5546875" style="287" bestFit="1" customWidth="1"/>
    <col min="11017" max="11017" width="3.44140625" style="287" customWidth="1"/>
    <col min="11018" max="11018" width="3.6640625" style="287" customWidth="1"/>
    <col min="11019" max="11019" width="5.44140625" style="287" bestFit="1" customWidth="1"/>
    <col min="11020" max="11020" width="9.33203125" style="287" bestFit="1" customWidth="1"/>
    <col min="11021" max="11021" width="7.6640625" style="287" customWidth="1"/>
    <col min="11022" max="11022" width="9.109375" style="287" customWidth="1"/>
    <col min="11023" max="11024" width="10.5546875" style="287" bestFit="1" customWidth="1"/>
    <col min="11025" max="11025" width="5.33203125" style="287" bestFit="1" customWidth="1"/>
    <col min="11026" max="11027" width="11.33203125" style="287" bestFit="1" customWidth="1"/>
    <col min="11028" max="11028" width="12.88671875" style="287" bestFit="1" customWidth="1"/>
    <col min="11029" max="11029" width="10.5546875" style="287" bestFit="1" customWidth="1"/>
    <col min="11030" max="11033" width="8.88671875" style="287"/>
    <col min="11034" max="11034" width="15.109375" style="287" bestFit="1" customWidth="1"/>
    <col min="11035" max="11036" width="11.5546875" style="287" bestFit="1" customWidth="1"/>
    <col min="11037" max="11270" width="8.88671875" style="287"/>
    <col min="11271" max="11271" width="7" style="287" bestFit="1" customWidth="1"/>
    <col min="11272" max="11272" width="20.5546875" style="287" bestFit="1" customWidth="1"/>
    <col min="11273" max="11273" width="3.44140625" style="287" customWidth="1"/>
    <col min="11274" max="11274" width="3.6640625" style="287" customWidth="1"/>
    <col min="11275" max="11275" width="5.44140625" style="287" bestFit="1" customWidth="1"/>
    <col min="11276" max="11276" width="9.33203125" style="287" bestFit="1" customWidth="1"/>
    <col min="11277" max="11277" width="7.6640625" style="287" customWidth="1"/>
    <col min="11278" max="11278" width="9.109375" style="287" customWidth="1"/>
    <col min="11279" max="11280" width="10.5546875" style="287" bestFit="1" customWidth="1"/>
    <col min="11281" max="11281" width="5.33203125" style="287" bestFit="1" customWidth="1"/>
    <col min="11282" max="11283" width="11.33203125" style="287" bestFit="1" customWidth="1"/>
    <col min="11284" max="11284" width="12.88671875" style="287" bestFit="1" customWidth="1"/>
    <col min="11285" max="11285" width="10.5546875" style="287" bestFit="1" customWidth="1"/>
    <col min="11286" max="11289" width="8.88671875" style="287"/>
    <col min="11290" max="11290" width="15.109375" style="287" bestFit="1" customWidth="1"/>
    <col min="11291" max="11292" width="11.5546875" style="287" bestFit="1" customWidth="1"/>
    <col min="11293" max="11526" width="8.88671875" style="287"/>
    <col min="11527" max="11527" width="7" style="287" bestFit="1" customWidth="1"/>
    <col min="11528" max="11528" width="20.5546875" style="287" bestFit="1" customWidth="1"/>
    <col min="11529" max="11529" width="3.44140625" style="287" customWidth="1"/>
    <col min="11530" max="11530" width="3.6640625" style="287" customWidth="1"/>
    <col min="11531" max="11531" width="5.44140625" style="287" bestFit="1" customWidth="1"/>
    <col min="11532" max="11532" width="9.33203125" style="287" bestFit="1" customWidth="1"/>
    <col min="11533" max="11533" width="7.6640625" style="287" customWidth="1"/>
    <col min="11534" max="11534" width="9.109375" style="287" customWidth="1"/>
    <col min="11535" max="11536" width="10.5546875" style="287" bestFit="1" customWidth="1"/>
    <col min="11537" max="11537" width="5.33203125" style="287" bestFit="1" customWidth="1"/>
    <col min="11538" max="11539" width="11.33203125" style="287" bestFit="1" customWidth="1"/>
    <col min="11540" max="11540" width="12.88671875" style="287" bestFit="1" customWidth="1"/>
    <col min="11541" max="11541" width="10.5546875" style="287" bestFit="1" customWidth="1"/>
    <col min="11542" max="11545" width="8.88671875" style="287"/>
    <col min="11546" max="11546" width="15.109375" style="287" bestFit="1" customWidth="1"/>
    <col min="11547" max="11548" width="11.5546875" style="287" bestFit="1" customWidth="1"/>
    <col min="11549" max="11782" width="8.88671875" style="287"/>
    <col min="11783" max="11783" width="7" style="287" bestFit="1" customWidth="1"/>
    <col min="11784" max="11784" width="20.5546875" style="287" bestFit="1" customWidth="1"/>
    <col min="11785" max="11785" width="3.44140625" style="287" customWidth="1"/>
    <col min="11786" max="11786" width="3.6640625" style="287" customWidth="1"/>
    <col min="11787" max="11787" width="5.44140625" style="287" bestFit="1" customWidth="1"/>
    <col min="11788" max="11788" width="9.33203125" style="287" bestFit="1" customWidth="1"/>
    <col min="11789" max="11789" width="7.6640625" style="287" customWidth="1"/>
    <col min="11790" max="11790" width="9.109375" style="287" customWidth="1"/>
    <col min="11791" max="11792" width="10.5546875" style="287" bestFit="1" customWidth="1"/>
    <col min="11793" max="11793" width="5.33203125" style="287" bestFit="1" customWidth="1"/>
    <col min="11794" max="11795" width="11.33203125" style="287" bestFit="1" customWidth="1"/>
    <col min="11796" max="11796" width="12.88671875" style="287" bestFit="1" customWidth="1"/>
    <col min="11797" max="11797" width="10.5546875" style="287" bestFit="1" customWidth="1"/>
    <col min="11798" max="11801" width="8.88671875" style="287"/>
    <col min="11802" max="11802" width="15.109375" style="287" bestFit="1" customWidth="1"/>
    <col min="11803" max="11804" width="11.5546875" style="287" bestFit="1" customWidth="1"/>
    <col min="11805" max="12038" width="8.88671875" style="287"/>
    <col min="12039" max="12039" width="7" style="287" bestFit="1" customWidth="1"/>
    <col min="12040" max="12040" width="20.5546875" style="287" bestFit="1" customWidth="1"/>
    <col min="12041" max="12041" width="3.44140625" style="287" customWidth="1"/>
    <col min="12042" max="12042" width="3.6640625" style="287" customWidth="1"/>
    <col min="12043" max="12043" width="5.44140625" style="287" bestFit="1" customWidth="1"/>
    <col min="12044" max="12044" width="9.33203125" style="287" bestFit="1" customWidth="1"/>
    <col min="12045" max="12045" width="7.6640625" style="287" customWidth="1"/>
    <col min="12046" max="12046" width="9.109375" style="287" customWidth="1"/>
    <col min="12047" max="12048" width="10.5546875" style="287" bestFit="1" customWidth="1"/>
    <col min="12049" max="12049" width="5.33203125" style="287" bestFit="1" customWidth="1"/>
    <col min="12050" max="12051" width="11.33203125" style="287" bestFit="1" customWidth="1"/>
    <col min="12052" max="12052" width="12.88671875" style="287" bestFit="1" customWidth="1"/>
    <col min="12053" max="12053" width="10.5546875" style="287" bestFit="1" customWidth="1"/>
    <col min="12054" max="12057" width="8.88671875" style="287"/>
    <col min="12058" max="12058" width="15.109375" style="287" bestFit="1" customWidth="1"/>
    <col min="12059" max="12060" width="11.5546875" style="287" bestFit="1" customWidth="1"/>
    <col min="12061" max="12294" width="8.88671875" style="287"/>
    <col min="12295" max="12295" width="7" style="287" bestFit="1" customWidth="1"/>
    <col min="12296" max="12296" width="20.5546875" style="287" bestFit="1" customWidth="1"/>
    <col min="12297" max="12297" width="3.44140625" style="287" customWidth="1"/>
    <col min="12298" max="12298" width="3.6640625" style="287" customWidth="1"/>
    <col min="12299" max="12299" width="5.44140625" style="287" bestFit="1" customWidth="1"/>
    <col min="12300" max="12300" width="9.33203125" style="287" bestFit="1" customWidth="1"/>
    <col min="12301" max="12301" width="7.6640625" style="287" customWidth="1"/>
    <col min="12302" max="12302" width="9.109375" style="287" customWidth="1"/>
    <col min="12303" max="12304" width="10.5546875" style="287" bestFit="1" customWidth="1"/>
    <col min="12305" max="12305" width="5.33203125" style="287" bestFit="1" customWidth="1"/>
    <col min="12306" max="12307" width="11.33203125" style="287" bestFit="1" customWidth="1"/>
    <col min="12308" max="12308" width="12.88671875" style="287" bestFit="1" customWidth="1"/>
    <col min="12309" max="12309" width="10.5546875" style="287" bestFit="1" customWidth="1"/>
    <col min="12310" max="12313" width="8.88671875" style="287"/>
    <col min="12314" max="12314" width="15.109375" style="287" bestFit="1" customWidth="1"/>
    <col min="12315" max="12316" width="11.5546875" style="287" bestFit="1" customWidth="1"/>
    <col min="12317" max="12550" width="8.88671875" style="287"/>
    <col min="12551" max="12551" width="7" style="287" bestFit="1" customWidth="1"/>
    <col min="12552" max="12552" width="20.5546875" style="287" bestFit="1" customWidth="1"/>
    <col min="12553" max="12553" width="3.44140625" style="287" customWidth="1"/>
    <col min="12554" max="12554" width="3.6640625" style="287" customWidth="1"/>
    <col min="12555" max="12555" width="5.44140625" style="287" bestFit="1" customWidth="1"/>
    <col min="12556" max="12556" width="9.33203125" style="287" bestFit="1" customWidth="1"/>
    <col min="12557" max="12557" width="7.6640625" style="287" customWidth="1"/>
    <col min="12558" max="12558" width="9.109375" style="287" customWidth="1"/>
    <col min="12559" max="12560" width="10.5546875" style="287" bestFit="1" customWidth="1"/>
    <col min="12561" max="12561" width="5.33203125" style="287" bestFit="1" customWidth="1"/>
    <col min="12562" max="12563" width="11.33203125" style="287" bestFit="1" customWidth="1"/>
    <col min="12564" max="12564" width="12.88671875" style="287" bestFit="1" customWidth="1"/>
    <col min="12565" max="12565" width="10.5546875" style="287" bestFit="1" customWidth="1"/>
    <col min="12566" max="12569" width="8.88671875" style="287"/>
    <col min="12570" max="12570" width="15.109375" style="287" bestFit="1" customWidth="1"/>
    <col min="12571" max="12572" width="11.5546875" style="287" bestFit="1" customWidth="1"/>
    <col min="12573" max="12806" width="8.88671875" style="287"/>
    <col min="12807" max="12807" width="7" style="287" bestFit="1" customWidth="1"/>
    <col min="12808" max="12808" width="20.5546875" style="287" bestFit="1" customWidth="1"/>
    <col min="12809" max="12809" width="3.44140625" style="287" customWidth="1"/>
    <col min="12810" max="12810" width="3.6640625" style="287" customWidth="1"/>
    <col min="12811" max="12811" width="5.44140625" style="287" bestFit="1" customWidth="1"/>
    <col min="12812" max="12812" width="9.33203125" style="287" bestFit="1" customWidth="1"/>
    <col min="12813" max="12813" width="7.6640625" style="287" customWidth="1"/>
    <col min="12814" max="12814" width="9.109375" style="287" customWidth="1"/>
    <col min="12815" max="12816" width="10.5546875" style="287" bestFit="1" customWidth="1"/>
    <col min="12817" max="12817" width="5.33203125" style="287" bestFit="1" customWidth="1"/>
    <col min="12818" max="12819" width="11.33203125" style="287" bestFit="1" customWidth="1"/>
    <col min="12820" max="12820" width="12.88671875" style="287" bestFit="1" customWidth="1"/>
    <col min="12821" max="12821" width="10.5546875" style="287" bestFit="1" customWidth="1"/>
    <col min="12822" max="12825" width="8.88671875" style="287"/>
    <col min="12826" max="12826" width="15.109375" style="287" bestFit="1" customWidth="1"/>
    <col min="12827" max="12828" width="11.5546875" style="287" bestFit="1" customWidth="1"/>
    <col min="12829" max="13062" width="8.88671875" style="287"/>
    <col min="13063" max="13063" width="7" style="287" bestFit="1" customWidth="1"/>
    <col min="13064" max="13064" width="20.5546875" style="287" bestFit="1" customWidth="1"/>
    <col min="13065" max="13065" width="3.44140625" style="287" customWidth="1"/>
    <col min="13066" max="13066" width="3.6640625" style="287" customWidth="1"/>
    <col min="13067" max="13067" width="5.44140625" style="287" bestFit="1" customWidth="1"/>
    <col min="13068" max="13068" width="9.33203125" style="287" bestFit="1" customWidth="1"/>
    <col min="13069" max="13069" width="7.6640625" style="287" customWidth="1"/>
    <col min="13070" max="13070" width="9.109375" style="287" customWidth="1"/>
    <col min="13071" max="13072" width="10.5546875" style="287" bestFit="1" customWidth="1"/>
    <col min="13073" max="13073" width="5.33203125" style="287" bestFit="1" customWidth="1"/>
    <col min="13074" max="13075" width="11.33203125" style="287" bestFit="1" customWidth="1"/>
    <col min="13076" max="13076" width="12.88671875" style="287" bestFit="1" customWidth="1"/>
    <col min="13077" max="13077" width="10.5546875" style="287" bestFit="1" customWidth="1"/>
    <col min="13078" max="13081" width="8.88671875" style="287"/>
    <col min="13082" max="13082" width="15.109375" style="287" bestFit="1" customWidth="1"/>
    <col min="13083" max="13084" width="11.5546875" style="287" bestFit="1" customWidth="1"/>
    <col min="13085" max="13318" width="8.88671875" style="287"/>
    <col min="13319" max="13319" width="7" style="287" bestFit="1" customWidth="1"/>
    <col min="13320" max="13320" width="20.5546875" style="287" bestFit="1" customWidth="1"/>
    <col min="13321" max="13321" width="3.44140625" style="287" customWidth="1"/>
    <col min="13322" max="13322" width="3.6640625" style="287" customWidth="1"/>
    <col min="13323" max="13323" width="5.44140625" style="287" bestFit="1" customWidth="1"/>
    <col min="13324" max="13324" width="9.33203125" style="287" bestFit="1" customWidth="1"/>
    <col min="13325" max="13325" width="7.6640625" style="287" customWidth="1"/>
    <col min="13326" max="13326" width="9.109375" style="287" customWidth="1"/>
    <col min="13327" max="13328" width="10.5546875" style="287" bestFit="1" customWidth="1"/>
    <col min="13329" max="13329" width="5.33203125" style="287" bestFit="1" customWidth="1"/>
    <col min="13330" max="13331" width="11.33203125" style="287" bestFit="1" customWidth="1"/>
    <col min="13332" max="13332" width="12.88671875" style="287" bestFit="1" customWidth="1"/>
    <col min="13333" max="13333" width="10.5546875" style="287" bestFit="1" customWidth="1"/>
    <col min="13334" max="13337" width="8.88671875" style="287"/>
    <col min="13338" max="13338" width="15.109375" style="287" bestFit="1" customWidth="1"/>
    <col min="13339" max="13340" width="11.5546875" style="287" bestFit="1" customWidth="1"/>
    <col min="13341" max="13574" width="8.88671875" style="287"/>
    <col min="13575" max="13575" width="7" style="287" bestFit="1" customWidth="1"/>
    <col min="13576" max="13576" width="20.5546875" style="287" bestFit="1" customWidth="1"/>
    <col min="13577" max="13577" width="3.44140625" style="287" customWidth="1"/>
    <col min="13578" max="13578" width="3.6640625" style="287" customWidth="1"/>
    <col min="13579" max="13579" width="5.44140625" style="287" bestFit="1" customWidth="1"/>
    <col min="13580" max="13580" width="9.33203125" style="287" bestFit="1" customWidth="1"/>
    <col min="13581" max="13581" width="7.6640625" style="287" customWidth="1"/>
    <col min="13582" max="13582" width="9.109375" style="287" customWidth="1"/>
    <col min="13583" max="13584" width="10.5546875" style="287" bestFit="1" customWidth="1"/>
    <col min="13585" max="13585" width="5.33203125" style="287" bestFit="1" customWidth="1"/>
    <col min="13586" max="13587" width="11.33203125" style="287" bestFit="1" customWidth="1"/>
    <col min="13588" max="13588" width="12.88671875" style="287" bestFit="1" customWidth="1"/>
    <col min="13589" max="13589" width="10.5546875" style="287" bestFit="1" customWidth="1"/>
    <col min="13590" max="13593" width="8.88671875" style="287"/>
    <col min="13594" max="13594" width="15.109375" style="287" bestFit="1" customWidth="1"/>
    <col min="13595" max="13596" width="11.5546875" style="287" bestFit="1" customWidth="1"/>
    <col min="13597" max="13830" width="8.88671875" style="287"/>
    <col min="13831" max="13831" width="7" style="287" bestFit="1" customWidth="1"/>
    <col min="13832" max="13832" width="20.5546875" style="287" bestFit="1" customWidth="1"/>
    <col min="13833" max="13833" width="3.44140625" style="287" customWidth="1"/>
    <col min="13834" max="13834" width="3.6640625" style="287" customWidth="1"/>
    <col min="13835" max="13835" width="5.44140625" style="287" bestFit="1" customWidth="1"/>
    <col min="13836" max="13836" width="9.33203125" style="287" bestFit="1" customWidth="1"/>
    <col min="13837" max="13837" width="7.6640625" style="287" customWidth="1"/>
    <col min="13838" max="13838" width="9.109375" style="287" customWidth="1"/>
    <col min="13839" max="13840" width="10.5546875" style="287" bestFit="1" customWidth="1"/>
    <col min="13841" max="13841" width="5.33203125" style="287" bestFit="1" customWidth="1"/>
    <col min="13842" max="13843" width="11.33203125" style="287" bestFit="1" customWidth="1"/>
    <col min="13844" max="13844" width="12.88671875" style="287" bestFit="1" customWidth="1"/>
    <col min="13845" max="13845" width="10.5546875" style="287" bestFit="1" customWidth="1"/>
    <col min="13846" max="13849" width="8.88671875" style="287"/>
    <col min="13850" max="13850" width="15.109375" style="287" bestFit="1" customWidth="1"/>
    <col min="13851" max="13852" width="11.5546875" style="287" bestFit="1" customWidth="1"/>
    <col min="13853" max="14086" width="8.88671875" style="287"/>
    <col min="14087" max="14087" width="7" style="287" bestFit="1" customWidth="1"/>
    <col min="14088" max="14088" width="20.5546875" style="287" bestFit="1" customWidth="1"/>
    <col min="14089" max="14089" width="3.44140625" style="287" customWidth="1"/>
    <col min="14090" max="14090" width="3.6640625" style="287" customWidth="1"/>
    <col min="14091" max="14091" width="5.44140625" style="287" bestFit="1" customWidth="1"/>
    <col min="14092" max="14092" width="9.33203125" style="287" bestFit="1" customWidth="1"/>
    <col min="14093" max="14093" width="7.6640625" style="287" customWidth="1"/>
    <col min="14094" max="14094" width="9.109375" style="287" customWidth="1"/>
    <col min="14095" max="14096" width="10.5546875" style="287" bestFit="1" customWidth="1"/>
    <col min="14097" max="14097" width="5.33203125" style="287" bestFit="1" customWidth="1"/>
    <col min="14098" max="14099" width="11.33203125" style="287" bestFit="1" customWidth="1"/>
    <col min="14100" max="14100" width="12.88671875" style="287" bestFit="1" customWidth="1"/>
    <col min="14101" max="14101" width="10.5546875" style="287" bestFit="1" customWidth="1"/>
    <col min="14102" max="14105" width="8.88671875" style="287"/>
    <col min="14106" max="14106" width="15.109375" style="287" bestFit="1" customWidth="1"/>
    <col min="14107" max="14108" width="11.5546875" style="287" bestFit="1" customWidth="1"/>
    <col min="14109" max="14342" width="8.88671875" style="287"/>
    <col min="14343" max="14343" width="7" style="287" bestFit="1" customWidth="1"/>
    <col min="14344" max="14344" width="20.5546875" style="287" bestFit="1" customWidth="1"/>
    <col min="14345" max="14345" width="3.44140625" style="287" customWidth="1"/>
    <col min="14346" max="14346" width="3.6640625" style="287" customWidth="1"/>
    <col min="14347" max="14347" width="5.44140625" style="287" bestFit="1" customWidth="1"/>
    <col min="14348" max="14348" width="9.33203125" style="287" bestFit="1" customWidth="1"/>
    <col min="14349" max="14349" width="7.6640625" style="287" customWidth="1"/>
    <col min="14350" max="14350" width="9.109375" style="287" customWidth="1"/>
    <col min="14351" max="14352" width="10.5546875" style="287" bestFit="1" customWidth="1"/>
    <col min="14353" max="14353" width="5.33203125" style="287" bestFit="1" customWidth="1"/>
    <col min="14354" max="14355" width="11.33203125" style="287" bestFit="1" customWidth="1"/>
    <col min="14356" max="14356" width="12.88671875" style="287" bestFit="1" customWidth="1"/>
    <col min="14357" max="14357" width="10.5546875" style="287" bestFit="1" customWidth="1"/>
    <col min="14358" max="14361" width="8.88671875" style="287"/>
    <col min="14362" max="14362" width="15.109375" style="287" bestFit="1" customWidth="1"/>
    <col min="14363" max="14364" width="11.5546875" style="287" bestFit="1" customWidth="1"/>
    <col min="14365" max="14598" width="8.88671875" style="287"/>
    <col min="14599" max="14599" width="7" style="287" bestFit="1" customWidth="1"/>
    <col min="14600" max="14600" width="20.5546875" style="287" bestFit="1" customWidth="1"/>
    <col min="14601" max="14601" width="3.44140625" style="287" customWidth="1"/>
    <col min="14602" max="14602" width="3.6640625" style="287" customWidth="1"/>
    <col min="14603" max="14603" width="5.44140625" style="287" bestFit="1" customWidth="1"/>
    <col min="14604" max="14604" width="9.33203125" style="287" bestFit="1" customWidth="1"/>
    <col min="14605" max="14605" width="7.6640625" style="287" customWidth="1"/>
    <col min="14606" max="14606" width="9.109375" style="287" customWidth="1"/>
    <col min="14607" max="14608" width="10.5546875" style="287" bestFit="1" customWidth="1"/>
    <col min="14609" max="14609" width="5.33203125" style="287" bestFit="1" customWidth="1"/>
    <col min="14610" max="14611" width="11.33203125" style="287" bestFit="1" customWidth="1"/>
    <col min="14612" max="14612" width="12.88671875" style="287" bestFit="1" customWidth="1"/>
    <col min="14613" max="14613" width="10.5546875" style="287" bestFit="1" customWidth="1"/>
    <col min="14614" max="14617" width="8.88671875" style="287"/>
    <col min="14618" max="14618" width="15.109375" style="287" bestFit="1" customWidth="1"/>
    <col min="14619" max="14620" width="11.5546875" style="287" bestFit="1" customWidth="1"/>
    <col min="14621" max="14854" width="8.88671875" style="287"/>
    <col min="14855" max="14855" width="7" style="287" bestFit="1" customWidth="1"/>
    <col min="14856" max="14856" width="20.5546875" style="287" bestFit="1" customWidth="1"/>
    <col min="14857" max="14857" width="3.44140625" style="287" customWidth="1"/>
    <col min="14858" max="14858" width="3.6640625" style="287" customWidth="1"/>
    <col min="14859" max="14859" width="5.44140625" style="287" bestFit="1" customWidth="1"/>
    <col min="14860" max="14860" width="9.33203125" style="287" bestFit="1" customWidth="1"/>
    <col min="14861" max="14861" width="7.6640625" style="287" customWidth="1"/>
    <col min="14862" max="14862" width="9.109375" style="287" customWidth="1"/>
    <col min="14863" max="14864" width="10.5546875" style="287" bestFit="1" customWidth="1"/>
    <col min="14865" max="14865" width="5.33203125" style="287" bestFit="1" customWidth="1"/>
    <col min="14866" max="14867" width="11.33203125" style="287" bestFit="1" customWidth="1"/>
    <col min="14868" max="14868" width="12.88671875" style="287" bestFit="1" customWidth="1"/>
    <col min="14869" max="14869" width="10.5546875" style="287" bestFit="1" customWidth="1"/>
    <col min="14870" max="14873" width="8.88671875" style="287"/>
    <col min="14874" max="14874" width="15.109375" style="287" bestFit="1" customWidth="1"/>
    <col min="14875" max="14876" width="11.5546875" style="287" bestFit="1" customWidth="1"/>
    <col min="14877" max="15110" width="8.88671875" style="287"/>
    <col min="15111" max="15111" width="7" style="287" bestFit="1" customWidth="1"/>
    <col min="15112" max="15112" width="20.5546875" style="287" bestFit="1" customWidth="1"/>
    <col min="15113" max="15113" width="3.44140625" style="287" customWidth="1"/>
    <col min="15114" max="15114" width="3.6640625" style="287" customWidth="1"/>
    <col min="15115" max="15115" width="5.44140625" style="287" bestFit="1" customWidth="1"/>
    <col min="15116" max="15116" width="9.33203125" style="287" bestFit="1" customWidth="1"/>
    <col min="15117" max="15117" width="7.6640625" style="287" customWidth="1"/>
    <col min="15118" max="15118" width="9.109375" style="287" customWidth="1"/>
    <col min="15119" max="15120" width="10.5546875" style="287" bestFit="1" customWidth="1"/>
    <col min="15121" max="15121" width="5.33203125" style="287" bestFit="1" customWidth="1"/>
    <col min="15122" max="15123" width="11.33203125" style="287" bestFit="1" customWidth="1"/>
    <col min="15124" max="15124" width="12.88671875" style="287" bestFit="1" customWidth="1"/>
    <col min="15125" max="15125" width="10.5546875" style="287" bestFit="1" customWidth="1"/>
    <col min="15126" max="15129" width="8.88671875" style="287"/>
    <col min="15130" max="15130" width="15.109375" style="287" bestFit="1" customWidth="1"/>
    <col min="15131" max="15132" width="11.5546875" style="287" bestFit="1" customWidth="1"/>
    <col min="15133" max="15366" width="8.88671875" style="287"/>
    <col min="15367" max="15367" width="7" style="287" bestFit="1" customWidth="1"/>
    <col min="15368" max="15368" width="20.5546875" style="287" bestFit="1" customWidth="1"/>
    <col min="15369" max="15369" width="3.44140625" style="287" customWidth="1"/>
    <col min="15370" max="15370" width="3.6640625" style="287" customWidth="1"/>
    <col min="15371" max="15371" width="5.44140625" style="287" bestFit="1" customWidth="1"/>
    <col min="15372" max="15372" width="9.33203125" style="287" bestFit="1" customWidth="1"/>
    <col min="15373" max="15373" width="7.6640625" style="287" customWidth="1"/>
    <col min="15374" max="15374" width="9.109375" style="287" customWidth="1"/>
    <col min="15375" max="15376" width="10.5546875" style="287" bestFit="1" customWidth="1"/>
    <col min="15377" max="15377" width="5.33203125" style="287" bestFit="1" customWidth="1"/>
    <col min="15378" max="15379" width="11.33203125" style="287" bestFit="1" customWidth="1"/>
    <col min="15380" max="15380" width="12.88671875" style="287" bestFit="1" customWidth="1"/>
    <col min="15381" max="15381" width="10.5546875" style="287" bestFit="1" customWidth="1"/>
    <col min="15382" max="15385" width="8.88671875" style="287"/>
    <col min="15386" max="15386" width="15.109375" style="287" bestFit="1" customWidth="1"/>
    <col min="15387" max="15388" width="11.5546875" style="287" bestFit="1" customWidth="1"/>
    <col min="15389" max="15622" width="8.88671875" style="287"/>
    <col min="15623" max="15623" width="7" style="287" bestFit="1" customWidth="1"/>
    <col min="15624" max="15624" width="20.5546875" style="287" bestFit="1" customWidth="1"/>
    <col min="15625" max="15625" width="3.44140625" style="287" customWidth="1"/>
    <col min="15626" max="15626" width="3.6640625" style="287" customWidth="1"/>
    <col min="15627" max="15627" width="5.44140625" style="287" bestFit="1" customWidth="1"/>
    <col min="15628" max="15628" width="9.33203125" style="287" bestFit="1" customWidth="1"/>
    <col min="15629" max="15629" width="7.6640625" style="287" customWidth="1"/>
    <col min="15630" max="15630" width="9.109375" style="287" customWidth="1"/>
    <col min="15631" max="15632" width="10.5546875" style="287" bestFit="1" customWidth="1"/>
    <col min="15633" max="15633" width="5.33203125" style="287" bestFit="1" customWidth="1"/>
    <col min="15634" max="15635" width="11.33203125" style="287" bestFit="1" customWidth="1"/>
    <col min="15636" max="15636" width="12.88671875" style="287" bestFit="1" customWidth="1"/>
    <col min="15637" max="15637" width="10.5546875" style="287" bestFit="1" customWidth="1"/>
    <col min="15638" max="15641" width="8.88671875" style="287"/>
    <col min="15642" max="15642" width="15.109375" style="287" bestFit="1" customWidth="1"/>
    <col min="15643" max="15644" width="11.5546875" style="287" bestFit="1" customWidth="1"/>
    <col min="15645" max="15878" width="8.88671875" style="287"/>
    <col min="15879" max="15879" width="7" style="287" bestFit="1" customWidth="1"/>
    <col min="15880" max="15880" width="20.5546875" style="287" bestFit="1" customWidth="1"/>
    <col min="15881" max="15881" width="3.44140625" style="287" customWidth="1"/>
    <col min="15882" max="15882" width="3.6640625" style="287" customWidth="1"/>
    <col min="15883" max="15883" width="5.44140625" style="287" bestFit="1" customWidth="1"/>
    <col min="15884" max="15884" width="9.33203125" style="287" bestFit="1" customWidth="1"/>
    <col min="15885" max="15885" width="7.6640625" style="287" customWidth="1"/>
    <col min="15886" max="15886" width="9.109375" style="287" customWidth="1"/>
    <col min="15887" max="15888" width="10.5546875" style="287" bestFit="1" customWidth="1"/>
    <col min="15889" max="15889" width="5.33203125" style="287" bestFit="1" customWidth="1"/>
    <col min="15890" max="15891" width="11.33203125" style="287" bestFit="1" customWidth="1"/>
    <col min="15892" max="15892" width="12.88671875" style="287" bestFit="1" customWidth="1"/>
    <col min="15893" max="15893" width="10.5546875" style="287" bestFit="1" customWidth="1"/>
    <col min="15894" max="15897" width="8.88671875" style="287"/>
    <col min="15898" max="15898" width="15.109375" style="287" bestFit="1" customWidth="1"/>
    <col min="15899" max="15900" width="11.5546875" style="287" bestFit="1" customWidth="1"/>
    <col min="15901" max="16134" width="8.88671875" style="287"/>
    <col min="16135" max="16135" width="7" style="287" bestFit="1" customWidth="1"/>
    <col min="16136" max="16136" width="20.5546875" style="287" bestFit="1" customWidth="1"/>
    <col min="16137" max="16137" width="3.44140625" style="287" customWidth="1"/>
    <col min="16138" max="16138" width="3.6640625" style="287" customWidth="1"/>
    <col min="16139" max="16139" width="5.44140625" style="287" bestFit="1" customWidth="1"/>
    <col min="16140" max="16140" width="9.33203125" style="287" bestFit="1" customWidth="1"/>
    <col min="16141" max="16141" width="7.6640625" style="287" customWidth="1"/>
    <col min="16142" max="16142" width="9.109375" style="287" customWidth="1"/>
    <col min="16143" max="16144" width="10.5546875" style="287" bestFit="1" customWidth="1"/>
    <col min="16145" max="16145" width="5.33203125" style="287" bestFit="1" customWidth="1"/>
    <col min="16146" max="16147" width="11.33203125" style="287" bestFit="1" customWidth="1"/>
    <col min="16148" max="16148" width="12.88671875" style="287" bestFit="1" customWidth="1"/>
    <col min="16149" max="16149" width="10.5546875" style="287" bestFit="1" customWidth="1"/>
    <col min="16150" max="16153" width="8.88671875" style="287"/>
    <col min="16154" max="16154" width="15.109375" style="287" bestFit="1" customWidth="1"/>
    <col min="16155" max="16156" width="11.5546875" style="287" bestFit="1" customWidth="1"/>
    <col min="16157" max="16384" width="8.88671875" style="287"/>
  </cols>
  <sheetData>
    <row r="1" spans="1:22" ht="13.8" thickBot="1" x14ac:dyDescent="0.3">
      <c r="A1" s="282" t="s">
        <v>683</v>
      </c>
      <c r="B1" s="283" t="s">
        <v>684</v>
      </c>
      <c r="C1" s="2845" t="s">
        <v>685</v>
      </c>
      <c r="D1" s="2845"/>
      <c r="E1" s="2845"/>
      <c r="F1" s="308" t="s">
        <v>686</v>
      </c>
      <c r="G1" s="308" t="s">
        <v>687</v>
      </c>
      <c r="H1" s="308" t="s">
        <v>688</v>
      </c>
      <c r="I1" s="284" t="s">
        <v>689</v>
      </c>
      <c r="J1" s="284" t="s">
        <v>690</v>
      </c>
      <c r="K1" s="299"/>
      <c r="L1" s="299"/>
      <c r="M1" s="285"/>
      <c r="N1" s="1074"/>
      <c r="O1" s="286" t="s">
        <v>691</v>
      </c>
      <c r="P1" s="404"/>
      <c r="Q1" s="404"/>
    </row>
    <row r="2" spans="1:22" ht="13.8" thickBot="1" x14ac:dyDescent="0.3">
      <c r="A2" s="288"/>
      <c r="B2" s="289"/>
      <c r="C2" s="290"/>
      <c r="D2" s="289"/>
      <c r="E2" s="289"/>
      <c r="F2" s="309"/>
      <c r="G2" s="309"/>
      <c r="H2" s="309"/>
      <c r="I2" s="291"/>
      <c r="J2" s="291"/>
      <c r="K2" s="299">
        <v>1.1000000000000001</v>
      </c>
      <c r="L2" s="299"/>
      <c r="M2" s="285"/>
      <c r="N2" s="1075"/>
      <c r="O2" s="289"/>
      <c r="P2" s="404"/>
      <c r="Q2" s="404"/>
    </row>
    <row r="3" spans="1:22" ht="12.6" customHeight="1" thickTop="1" thickBot="1" x14ac:dyDescent="0.3">
      <c r="A3" s="292"/>
      <c r="B3" s="2846"/>
      <c r="C3" s="2847"/>
      <c r="D3" s="2847"/>
      <c r="E3" s="2847"/>
      <c r="F3" s="2848"/>
      <c r="G3" s="310"/>
      <c r="H3" s="310"/>
      <c r="I3" s="295"/>
      <c r="J3" s="295"/>
      <c r="K3" s="300">
        <f t="shared" ref="K3:K66" si="0">$K$2</f>
        <v>1.1000000000000001</v>
      </c>
      <c r="L3" s="300">
        <f t="shared" ref="L3:L5" si="1">K3*J3</f>
        <v>0</v>
      </c>
      <c r="M3" s="285">
        <f t="shared" ref="M3:M5" si="2">ROUND(L3,1)</f>
        <v>0</v>
      </c>
      <c r="N3" s="1076">
        <f t="shared" ref="N3:N5" si="3">ROUNDUP(M3,0)</f>
        <v>0</v>
      </c>
      <c r="O3" s="294"/>
      <c r="P3" s="404">
        <v>1.1000000000000001</v>
      </c>
      <c r="Q3" s="404"/>
    </row>
    <row r="4" spans="1:22" ht="12.6" customHeight="1" thickTop="1" thickBot="1" x14ac:dyDescent="0.3">
      <c r="A4" s="292"/>
      <c r="B4" s="293" t="s">
        <v>1847</v>
      </c>
      <c r="C4" s="294"/>
      <c r="D4" s="294"/>
      <c r="E4" s="294"/>
      <c r="F4" s="310"/>
      <c r="G4" s="310"/>
      <c r="H4" s="310"/>
      <c r="I4" s="295"/>
      <c r="J4" s="295">
        <v>615</v>
      </c>
      <c r="K4" s="300">
        <v>1.03</v>
      </c>
      <c r="L4" s="300">
        <f t="shared" si="1"/>
        <v>633.45000000000005</v>
      </c>
      <c r="M4" s="285">
        <f t="shared" si="2"/>
        <v>633.5</v>
      </c>
      <c r="N4" s="1076">
        <f t="shared" si="3"/>
        <v>634</v>
      </c>
      <c r="O4" s="294"/>
      <c r="P4" s="404"/>
      <c r="Q4" s="404"/>
    </row>
    <row r="5" spans="1:22" ht="12.6" customHeight="1" thickTop="1" thickBot="1" x14ac:dyDescent="0.3">
      <c r="A5" s="292"/>
      <c r="B5" s="293"/>
      <c r="C5" s="294"/>
      <c r="D5" s="294"/>
      <c r="E5" s="294"/>
      <c r="F5" s="310"/>
      <c r="G5" s="310"/>
      <c r="H5" s="310"/>
      <c r="I5" s="295"/>
      <c r="J5" s="295"/>
      <c r="K5" s="300">
        <f t="shared" si="0"/>
        <v>1.1000000000000001</v>
      </c>
      <c r="L5" s="300">
        <f t="shared" si="1"/>
        <v>0</v>
      </c>
      <c r="M5" s="285">
        <f t="shared" si="2"/>
        <v>0</v>
      </c>
      <c r="N5" s="1076">
        <f t="shared" si="3"/>
        <v>0</v>
      </c>
      <c r="O5" s="294"/>
      <c r="P5" s="404"/>
      <c r="Q5" s="404"/>
      <c r="R5" s="301"/>
      <c r="S5" s="301"/>
      <c r="T5" s="301"/>
      <c r="U5" s="301"/>
      <c r="V5" s="301"/>
    </row>
    <row r="6" spans="1:22" ht="12.6" customHeight="1" thickTop="1" thickBot="1" x14ac:dyDescent="0.3">
      <c r="A6" s="292"/>
      <c r="B6" s="293"/>
      <c r="C6" s="294"/>
      <c r="D6" s="294"/>
      <c r="E6" s="294"/>
      <c r="F6" s="310"/>
      <c r="G6" s="310"/>
      <c r="H6" s="310"/>
      <c r="I6" s="295"/>
      <c r="J6" s="295"/>
      <c r="K6" s="300">
        <f t="shared" si="0"/>
        <v>1.1000000000000001</v>
      </c>
      <c r="L6" s="300">
        <f>K6*J6</f>
        <v>0</v>
      </c>
      <c r="M6" s="285">
        <f>ROUND(L6,1)</f>
        <v>0</v>
      </c>
      <c r="N6" s="1076">
        <f>ROUNDUP(M6,0)</f>
        <v>0</v>
      </c>
      <c r="O6" s="294"/>
      <c r="P6" s="404"/>
      <c r="Q6" s="404"/>
      <c r="R6" s="301"/>
      <c r="S6" s="301"/>
      <c r="T6" s="301"/>
      <c r="U6" s="301"/>
      <c r="V6" s="301"/>
    </row>
    <row r="7" spans="1:22" ht="12.6" customHeight="1" thickTop="1" thickBot="1" x14ac:dyDescent="0.3">
      <c r="A7" s="292"/>
      <c r="B7" s="293" t="s">
        <v>694</v>
      </c>
      <c r="C7" s="294"/>
      <c r="D7" s="294"/>
      <c r="E7" s="294"/>
      <c r="F7" s="310"/>
      <c r="G7" s="310"/>
      <c r="H7" s="310"/>
      <c r="I7" s="295"/>
      <c r="J7" s="295">
        <v>290</v>
      </c>
      <c r="K7" s="300">
        <f t="shared" si="0"/>
        <v>1.1000000000000001</v>
      </c>
      <c r="L7" s="300">
        <f t="shared" ref="L7:L70" si="4">K7*J7</f>
        <v>319</v>
      </c>
      <c r="M7" s="285">
        <f t="shared" ref="M7:M70" si="5">ROUND(L7,1)</f>
        <v>319</v>
      </c>
      <c r="N7" s="1076">
        <f t="shared" ref="N7:N70" si="6">ROUNDUP(M7,0)</f>
        <v>319</v>
      </c>
      <c r="O7" s="294"/>
      <c r="P7" s="404"/>
      <c r="Q7" s="404"/>
      <c r="R7" s="301"/>
      <c r="S7" s="301"/>
      <c r="T7" s="301"/>
      <c r="U7" s="301"/>
      <c r="V7" s="301"/>
    </row>
    <row r="8" spans="1:22" ht="22.8" customHeight="1" thickTop="1" thickBot="1" x14ac:dyDescent="0.3">
      <c r="A8" s="292"/>
      <c r="B8" s="293"/>
      <c r="C8" s="294"/>
      <c r="D8" s="294"/>
      <c r="E8" s="294"/>
      <c r="F8" s="310"/>
      <c r="G8" s="310"/>
      <c r="H8" s="310"/>
      <c r="I8" s="295"/>
      <c r="J8" s="295">
        <f>J7*10.76</f>
        <v>3120.4</v>
      </c>
      <c r="K8" s="300">
        <f t="shared" si="0"/>
        <v>1.1000000000000001</v>
      </c>
      <c r="L8" s="300">
        <f t="shared" si="4"/>
        <v>3432.4400000000005</v>
      </c>
      <c r="M8" s="285">
        <f t="shared" si="5"/>
        <v>3432.4</v>
      </c>
      <c r="N8" s="1076">
        <f t="shared" si="6"/>
        <v>3433</v>
      </c>
      <c r="O8" s="294"/>
      <c r="P8" s="404"/>
      <c r="Q8" s="404"/>
      <c r="R8" s="301"/>
      <c r="S8" s="301"/>
      <c r="T8" s="301"/>
      <c r="U8" s="301"/>
      <c r="V8" s="301"/>
    </row>
    <row r="9" spans="1:22" ht="12.6" customHeight="1" thickTop="1" thickBot="1" x14ac:dyDescent="0.3">
      <c r="A9" s="292"/>
      <c r="B9" s="293"/>
      <c r="C9" s="294"/>
      <c r="D9" s="294"/>
      <c r="E9" s="294"/>
      <c r="F9" s="310"/>
      <c r="G9" s="310"/>
      <c r="H9" s="310"/>
      <c r="I9" s="295"/>
      <c r="J9" s="295"/>
      <c r="K9" s="300">
        <f t="shared" si="0"/>
        <v>1.1000000000000001</v>
      </c>
      <c r="L9" s="300">
        <f t="shared" si="4"/>
        <v>0</v>
      </c>
      <c r="M9" s="285">
        <f t="shared" si="5"/>
        <v>0</v>
      </c>
      <c r="N9" s="1076">
        <f t="shared" si="6"/>
        <v>0</v>
      </c>
      <c r="O9" s="294"/>
      <c r="P9" s="404"/>
      <c r="Q9" s="404"/>
      <c r="R9" s="301"/>
      <c r="S9" s="301"/>
      <c r="T9" s="301"/>
      <c r="U9" s="301"/>
      <c r="V9" s="301"/>
    </row>
    <row r="10" spans="1:22" ht="12.6" customHeight="1" thickTop="1" thickBot="1" x14ac:dyDescent="0.3">
      <c r="A10" s="292"/>
      <c r="B10" s="293"/>
      <c r="C10" s="294"/>
      <c r="D10" s="294"/>
      <c r="E10" s="294"/>
      <c r="F10" s="310"/>
      <c r="G10" s="310"/>
      <c r="H10" s="310"/>
      <c r="I10" s="295"/>
      <c r="J10" s="295"/>
      <c r="K10" s="300">
        <f t="shared" si="0"/>
        <v>1.1000000000000001</v>
      </c>
      <c r="L10" s="300">
        <f t="shared" si="4"/>
        <v>0</v>
      </c>
      <c r="M10" s="285">
        <f t="shared" si="5"/>
        <v>0</v>
      </c>
      <c r="N10" s="1076">
        <f t="shared" si="6"/>
        <v>0</v>
      </c>
      <c r="O10" s="294"/>
      <c r="P10" s="404"/>
      <c r="Q10" s="404"/>
      <c r="R10" s="301"/>
      <c r="S10" s="301"/>
      <c r="T10" s="301"/>
      <c r="U10" s="301"/>
      <c r="V10" s="301"/>
    </row>
    <row r="11" spans="1:22" ht="12.6" customHeight="1" thickTop="1" thickBot="1" x14ac:dyDescent="0.3">
      <c r="A11" s="292"/>
      <c r="B11" s="293"/>
      <c r="C11" s="294"/>
      <c r="D11" s="294"/>
      <c r="E11" s="294"/>
      <c r="F11" s="310"/>
      <c r="G11" s="310"/>
      <c r="H11" s="310"/>
      <c r="I11" s="295"/>
      <c r="J11" s="295"/>
      <c r="K11" s="300">
        <f t="shared" si="0"/>
        <v>1.1000000000000001</v>
      </c>
      <c r="L11" s="300">
        <f t="shared" si="4"/>
        <v>0</v>
      </c>
      <c r="M11" s="285">
        <f t="shared" si="5"/>
        <v>0</v>
      </c>
      <c r="N11" s="1076">
        <f t="shared" si="6"/>
        <v>0</v>
      </c>
      <c r="O11" s="294"/>
      <c r="P11" s="404"/>
      <c r="Q11" s="404"/>
      <c r="R11" s="301"/>
      <c r="S11" s="301"/>
      <c r="T11" s="301"/>
      <c r="U11" s="301"/>
      <c r="V11" s="301"/>
    </row>
    <row r="12" spans="1:22" ht="12.6" customHeight="1" thickTop="1" thickBot="1" x14ac:dyDescent="0.3">
      <c r="A12" s="292"/>
      <c r="B12" s="293"/>
      <c r="C12" s="294"/>
      <c r="D12" s="294"/>
      <c r="E12" s="294"/>
      <c r="F12" s="310"/>
      <c r="G12" s="310"/>
      <c r="H12" s="310"/>
      <c r="I12" s="295"/>
      <c r="J12" s="295"/>
      <c r="K12" s="300">
        <f t="shared" si="0"/>
        <v>1.1000000000000001</v>
      </c>
      <c r="L12" s="300">
        <f t="shared" si="4"/>
        <v>0</v>
      </c>
      <c r="M12" s="285">
        <f t="shared" si="5"/>
        <v>0</v>
      </c>
      <c r="N12" s="1076">
        <f t="shared" si="6"/>
        <v>0</v>
      </c>
      <c r="O12" s="294"/>
      <c r="P12" s="404"/>
      <c r="Q12" s="404"/>
      <c r="R12" s="301"/>
      <c r="S12" s="301"/>
      <c r="T12" s="301"/>
      <c r="U12" s="301"/>
      <c r="V12" s="301"/>
    </row>
    <row r="13" spans="1:22" ht="12.6" customHeight="1" thickTop="1" thickBot="1" x14ac:dyDescent="0.3">
      <c r="A13" s="292"/>
      <c r="B13" s="293"/>
      <c r="C13" s="294"/>
      <c r="D13" s="294"/>
      <c r="E13" s="294"/>
      <c r="F13" s="310"/>
      <c r="G13" s="310"/>
      <c r="H13" s="310"/>
      <c r="I13" s="295"/>
      <c r="J13" s="295"/>
      <c r="K13" s="300">
        <f t="shared" si="0"/>
        <v>1.1000000000000001</v>
      </c>
      <c r="L13" s="300">
        <f t="shared" si="4"/>
        <v>0</v>
      </c>
      <c r="M13" s="285">
        <f t="shared" si="5"/>
        <v>0</v>
      </c>
      <c r="N13" s="1076">
        <f t="shared" si="6"/>
        <v>0</v>
      </c>
      <c r="O13" s="294"/>
      <c r="P13" s="404"/>
      <c r="Q13" s="404"/>
      <c r="R13" s="301"/>
      <c r="S13" s="301"/>
      <c r="T13" s="301"/>
      <c r="U13" s="301"/>
      <c r="V13" s="301"/>
    </row>
    <row r="14" spans="1:22" ht="12.6" customHeight="1" thickTop="1" thickBot="1" x14ac:dyDescent="0.3">
      <c r="A14" s="292"/>
      <c r="B14" s="293"/>
      <c r="C14" s="294"/>
      <c r="D14" s="294"/>
      <c r="E14" s="294"/>
      <c r="F14" s="310"/>
      <c r="G14" s="310"/>
      <c r="H14" s="310"/>
      <c r="I14" s="295"/>
      <c r="J14" s="295"/>
      <c r="K14" s="300">
        <f t="shared" si="0"/>
        <v>1.1000000000000001</v>
      </c>
      <c r="L14" s="300">
        <f t="shared" si="4"/>
        <v>0</v>
      </c>
      <c r="M14" s="285">
        <f t="shared" si="5"/>
        <v>0</v>
      </c>
      <c r="N14" s="1076">
        <f t="shared" si="6"/>
        <v>0</v>
      </c>
      <c r="O14" s="294"/>
      <c r="P14" s="404"/>
      <c r="Q14" s="404"/>
      <c r="R14" s="301"/>
      <c r="S14" s="301"/>
      <c r="T14" s="301"/>
      <c r="U14" s="301"/>
      <c r="V14" s="301"/>
    </row>
    <row r="15" spans="1:22" ht="12.6" customHeight="1" thickTop="1" thickBot="1" x14ac:dyDescent="0.3">
      <c r="A15" s="292"/>
      <c r="B15" s="293"/>
      <c r="C15" s="294"/>
      <c r="D15" s="294"/>
      <c r="E15" s="294"/>
      <c r="F15" s="310"/>
      <c r="G15" s="310"/>
      <c r="H15" s="310"/>
      <c r="I15" s="295"/>
      <c r="J15" s="295"/>
      <c r="K15" s="300">
        <f t="shared" si="0"/>
        <v>1.1000000000000001</v>
      </c>
      <c r="L15" s="300">
        <f t="shared" si="4"/>
        <v>0</v>
      </c>
      <c r="M15" s="285">
        <f t="shared" si="5"/>
        <v>0</v>
      </c>
      <c r="N15" s="1076">
        <f t="shared" si="6"/>
        <v>0</v>
      </c>
      <c r="O15" s="294"/>
      <c r="P15" s="404"/>
      <c r="Q15" s="404"/>
      <c r="R15" s="301"/>
      <c r="S15" s="301"/>
      <c r="T15" s="301"/>
      <c r="U15" s="301"/>
      <c r="V15" s="301"/>
    </row>
    <row r="16" spans="1:22" ht="12.6" customHeight="1" thickTop="1" thickBot="1" x14ac:dyDescent="0.3">
      <c r="A16" s="292"/>
      <c r="B16" s="293"/>
      <c r="C16" s="294"/>
      <c r="D16" s="294"/>
      <c r="E16" s="294"/>
      <c r="F16" s="310"/>
      <c r="G16" s="310"/>
      <c r="H16" s="310"/>
      <c r="I16" s="295"/>
      <c r="J16" s="295"/>
      <c r="K16" s="300">
        <f t="shared" si="0"/>
        <v>1.1000000000000001</v>
      </c>
      <c r="L16" s="300">
        <f t="shared" si="4"/>
        <v>0</v>
      </c>
      <c r="M16" s="285">
        <f t="shared" si="5"/>
        <v>0</v>
      </c>
      <c r="N16" s="1076">
        <f t="shared" si="6"/>
        <v>0</v>
      </c>
      <c r="O16" s="294"/>
      <c r="P16" s="404"/>
      <c r="Q16" s="404"/>
      <c r="R16" s="301"/>
      <c r="S16" s="301"/>
      <c r="T16" s="301"/>
      <c r="U16" s="301"/>
      <c r="V16" s="301"/>
    </row>
    <row r="17" spans="1:22" ht="12.6" customHeight="1" thickTop="1" thickBot="1" x14ac:dyDescent="0.3">
      <c r="A17" s="292"/>
      <c r="B17" s="293"/>
      <c r="C17" s="294"/>
      <c r="D17" s="294"/>
      <c r="E17" s="294"/>
      <c r="F17" s="310"/>
      <c r="G17" s="310"/>
      <c r="H17" s="310"/>
      <c r="I17" s="295"/>
      <c r="J17" s="295"/>
      <c r="K17" s="300">
        <f t="shared" si="0"/>
        <v>1.1000000000000001</v>
      </c>
      <c r="L17" s="300">
        <f t="shared" si="4"/>
        <v>0</v>
      </c>
      <c r="M17" s="285">
        <f t="shared" si="5"/>
        <v>0</v>
      </c>
      <c r="N17" s="1076">
        <f t="shared" si="6"/>
        <v>0</v>
      </c>
      <c r="O17" s="294"/>
      <c r="P17" s="404"/>
      <c r="Q17" s="404"/>
      <c r="R17" s="301"/>
      <c r="S17" s="301"/>
      <c r="T17" s="301"/>
      <c r="U17" s="301"/>
      <c r="V17" s="301"/>
    </row>
    <row r="18" spans="1:22" ht="12.6" customHeight="1" thickTop="1" thickBot="1" x14ac:dyDescent="0.3">
      <c r="A18" s="292"/>
      <c r="B18" s="293"/>
      <c r="C18" s="294"/>
      <c r="D18" s="294"/>
      <c r="E18" s="294"/>
      <c r="F18" s="310"/>
      <c r="G18" s="310"/>
      <c r="H18" s="310"/>
      <c r="I18" s="295"/>
      <c r="J18" s="295"/>
      <c r="K18" s="300">
        <f t="shared" si="0"/>
        <v>1.1000000000000001</v>
      </c>
      <c r="L18" s="300">
        <f t="shared" si="4"/>
        <v>0</v>
      </c>
      <c r="M18" s="285">
        <f t="shared" si="5"/>
        <v>0</v>
      </c>
      <c r="N18" s="1076">
        <f t="shared" si="6"/>
        <v>0</v>
      </c>
      <c r="O18" s="294"/>
      <c r="P18" s="404"/>
      <c r="Q18" s="404"/>
      <c r="R18" s="301"/>
      <c r="S18" s="301"/>
      <c r="T18" s="301"/>
      <c r="U18" s="301"/>
      <c r="V18" s="301"/>
    </row>
    <row r="19" spans="1:22" ht="12.6" customHeight="1" thickTop="1" thickBot="1" x14ac:dyDescent="0.3">
      <c r="A19" s="292"/>
      <c r="B19" s="293"/>
      <c r="C19" s="294"/>
      <c r="D19" s="294"/>
      <c r="E19" s="294"/>
      <c r="F19" s="310"/>
      <c r="G19" s="310"/>
      <c r="H19" s="310"/>
      <c r="I19" s="295"/>
      <c r="J19" s="295"/>
      <c r="K19" s="300">
        <f t="shared" si="0"/>
        <v>1.1000000000000001</v>
      </c>
      <c r="L19" s="300">
        <f t="shared" si="4"/>
        <v>0</v>
      </c>
      <c r="M19" s="285">
        <f t="shared" si="5"/>
        <v>0</v>
      </c>
      <c r="N19" s="1076">
        <f t="shared" si="6"/>
        <v>0</v>
      </c>
      <c r="O19" s="294"/>
      <c r="P19" s="404"/>
      <c r="Q19" s="404"/>
      <c r="R19" s="301"/>
      <c r="S19" s="301"/>
      <c r="T19" s="301"/>
      <c r="U19" s="301"/>
      <c r="V19" s="301"/>
    </row>
    <row r="20" spans="1:22" ht="12.6" customHeight="1" thickTop="1" thickBot="1" x14ac:dyDescent="0.3">
      <c r="A20" s="292"/>
      <c r="B20" s="293"/>
      <c r="C20" s="294"/>
      <c r="D20" s="294"/>
      <c r="E20" s="294"/>
      <c r="F20" s="310"/>
      <c r="G20" s="310"/>
      <c r="H20" s="310"/>
      <c r="I20" s="295"/>
      <c r="J20" s="295"/>
      <c r="K20" s="300">
        <f t="shared" si="0"/>
        <v>1.1000000000000001</v>
      </c>
      <c r="L20" s="300">
        <f t="shared" si="4"/>
        <v>0</v>
      </c>
      <c r="M20" s="285">
        <f t="shared" si="5"/>
        <v>0</v>
      </c>
      <c r="N20" s="1076">
        <f t="shared" si="6"/>
        <v>0</v>
      </c>
      <c r="O20" s="294"/>
      <c r="P20" s="404"/>
      <c r="Q20" s="404"/>
      <c r="R20" s="301"/>
      <c r="S20" s="301"/>
      <c r="T20" s="301"/>
      <c r="U20" s="301"/>
      <c r="V20" s="301"/>
    </row>
    <row r="21" spans="1:22" ht="12.6" customHeight="1" thickTop="1" thickBot="1" x14ac:dyDescent="0.3">
      <c r="A21" s="292"/>
      <c r="B21" s="293"/>
      <c r="C21" s="294"/>
      <c r="D21" s="294"/>
      <c r="E21" s="294"/>
      <c r="F21" s="310"/>
      <c r="G21" s="310"/>
      <c r="H21" s="310"/>
      <c r="I21" s="295"/>
      <c r="J21" s="295"/>
      <c r="K21" s="300">
        <f t="shared" si="0"/>
        <v>1.1000000000000001</v>
      </c>
      <c r="L21" s="300">
        <f t="shared" si="4"/>
        <v>0</v>
      </c>
      <c r="M21" s="285">
        <f t="shared" si="5"/>
        <v>0</v>
      </c>
      <c r="N21" s="1076">
        <f t="shared" si="6"/>
        <v>0</v>
      </c>
      <c r="O21" s="294"/>
      <c r="P21" s="404"/>
      <c r="Q21" s="404"/>
      <c r="R21" s="301"/>
      <c r="S21" s="301"/>
      <c r="T21" s="301"/>
      <c r="U21" s="301"/>
      <c r="V21" s="301"/>
    </row>
    <row r="22" spans="1:22" ht="12.6" customHeight="1" thickTop="1" thickBot="1" x14ac:dyDescent="0.3">
      <c r="A22" s="292"/>
      <c r="B22" s="293"/>
      <c r="C22" s="294"/>
      <c r="D22" s="294"/>
      <c r="E22" s="294"/>
      <c r="F22" s="310"/>
      <c r="G22" s="310"/>
      <c r="H22" s="310"/>
      <c r="I22" s="295"/>
      <c r="J22" s="295"/>
      <c r="K22" s="300">
        <f t="shared" si="0"/>
        <v>1.1000000000000001</v>
      </c>
      <c r="L22" s="300">
        <f t="shared" si="4"/>
        <v>0</v>
      </c>
      <c r="M22" s="285">
        <f t="shared" si="5"/>
        <v>0</v>
      </c>
      <c r="N22" s="1076">
        <f t="shared" si="6"/>
        <v>0</v>
      </c>
      <c r="O22" s="294"/>
      <c r="P22" s="404"/>
      <c r="Q22" s="404"/>
      <c r="R22" s="301"/>
      <c r="S22" s="301"/>
      <c r="T22" s="301"/>
      <c r="U22" s="301"/>
      <c r="V22" s="301"/>
    </row>
    <row r="23" spans="1:22" ht="12.6" customHeight="1" thickTop="1" thickBot="1" x14ac:dyDescent="0.3">
      <c r="A23" s="292"/>
      <c r="B23" s="293"/>
      <c r="C23" s="294"/>
      <c r="D23" s="294"/>
      <c r="E23" s="294"/>
      <c r="F23" s="310"/>
      <c r="G23" s="310"/>
      <c r="H23" s="310"/>
      <c r="I23" s="295"/>
      <c r="J23" s="295"/>
      <c r="K23" s="300">
        <f t="shared" si="0"/>
        <v>1.1000000000000001</v>
      </c>
      <c r="L23" s="300">
        <f t="shared" si="4"/>
        <v>0</v>
      </c>
      <c r="M23" s="285">
        <f t="shared" si="5"/>
        <v>0</v>
      </c>
      <c r="N23" s="1076">
        <f t="shared" si="6"/>
        <v>0</v>
      </c>
      <c r="O23" s="294"/>
      <c r="P23" s="404"/>
      <c r="Q23" s="404"/>
      <c r="R23" s="301"/>
      <c r="S23" s="301"/>
      <c r="T23" s="301"/>
      <c r="U23" s="301"/>
      <c r="V23" s="301"/>
    </row>
    <row r="24" spans="1:22" ht="12.6" customHeight="1" thickTop="1" thickBot="1" x14ac:dyDescent="0.3">
      <c r="A24" s="292"/>
      <c r="B24" s="293"/>
      <c r="C24" s="294"/>
      <c r="D24" s="294"/>
      <c r="E24" s="294"/>
      <c r="F24" s="310"/>
      <c r="G24" s="310"/>
      <c r="H24" s="310"/>
      <c r="I24" s="295"/>
      <c r="J24" s="295"/>
      <c r="K24" s="300">
        <f t="shared" si="0"/>
        <v>1.1000000000000001</v>
      </c>
      <c r="L24" s="300">
        <f t="shared" si="4"/>
        <v>0</v>
      </c>
      <c r="M24" s="285">
        <f t="shared" si="5"/>
        <v>0</v>
      </c>
      <c r="N24" s="1076">
        <f t="shared" si="6"/>
        <v>0</v>
      </c>
      <c r="O24" s="294"/>
      <c r="P24" s="404"/>
      <c r="Q24" s="404"/>
      <c r="R24" s="301"/>
      <c r="S24" s="301"/>
      <c r="T24" s="301"/>
      <c r="U24" s="301"/>
      <c r="V24" s="301"/>
    </row>
    <row r="25" spans="1:22" ht="12.6" customHeight="1" thickTop="1" thickBot="1" x14ac:dyDescent="0.3">
      <c r="A25" s="292"/>
      <c r="B25" s="293"/>
      <c r="C25" s="294"/>
      <c r="D25" s="294"/>
      <c r="E25" s="294"/>
      <c r="F25" s="310"/>
      <c r="G25" s="310"/>
      <c r="H25" s="310"/>
      <c r="I25" s="295"/>
      <c r="J25" s="295"/>
      <c r="K25" s="300">
        <f t="shared" si="0"/>
        <v>1.1000000000000001</v>
      </c>
      <c r="L25" s="300">
        <f t="shared" si="4"/>
        <v>0</v>
      </c>
      <c r="M25" s="285">
        <f t="shared" si="5"/>
        <v>0</v>
      </c>
      <c r="N25" s="1076">
        <f t="shared" si="6"/>
        <v>0</v>
      </c>
      <c r="O25" s="294"/>
      <c r="P25" s="404"/>
      <c r="Q25" s="404"/>
      <c r="R25" s="301"/>
      <c r="S25" s="301"/>
      <c r="T25" s="301"/>
      <c r="U25" s="301"/>
      <c r="V25" s="301"/>
    </row>
    <row r="26" spans="1:22" ht="12.6" customHeight="1" thickTop="1" thickBot="1" x14ac:dyDescent="0.3">
      <c r="A26" s="292"/>
      <c r="B26" s="293"/>
      <c r="C26" s="294"/>
      <c r="D26" s="294"/>
      <c r="E26" s="294"/>
      <c r="F26" s="310"/>
      <c r="G26" s="310"/>
      <c r="H26" s="310"/>
      <c r="I26" s="295"/>
      <c r="J26" s="295"/>
      <c r="K26" s="300">
        <f t="shared" si="0"/>
        <v>1.1000000000000001</v>
      </c>
      <c r="L26" s="300">
        <f t="shared" si="4"/>
        <v>0</v>
      </c>
      <c r="M26" s="285">
        <f t="shared" si="5"/>
        <v>0</v>
      </c>
      <c r="N26" s="1076">
        <f t="shared" si="6"/>
        <v>0</v>
      </c>
      <c r="O26" s="294"/>
      <c r="P26" s="404"/>
      <c r="Q26" s="404"/>
      <c r="R26" s="301"/>
      <c r="S26" s="301"/>
      <c r="T26" s="301"/>
      <c r="U26" s="301"/>
      <c r="V26" s="301"/>
    </row>
    <row r="27" spans="1:22" ht="12.6" customHeight="1" thickTop="1" thickBot="1" x14ac:dyDescent="0.3">
      <c r="A27" s="292"/>
      <c r="B27" s="293"/>
      <c r="C27" s="294"/>
      <c r="D27" s="294"/>
      <c r="E27" s="294"/>
      <c r="F27" s="310"/>
      <c r="G27" s="310"/>
      <c r="H27" s="310"/>
      <c r="I27" s="295"/>
      <c r="J27" s="295"/>
      <c r="K27" s="300">
        <f t="shared" si="0"/>
        <v>1.1000000000000001</v>
      </c>
      <c r="L27" s="300">
        <f t="shared" si="4"/>
        <v>0</v>
      </c>
      <c r="M27" s="285">
        <f t="shared" si="5"/>
        <v>0</v>
      </c>
      <c r="N27" s="1076">
        <f t="shared" si="6"/>
        <v>0</v>
      </c>
      <c r="O27" s="294"/>
      <c r="P27" s="404"/>
      <c r="Q27" s="404"/>
      <c r="R27" s="301"/>
      <c r="S27" s="301"/>
      <c r="T27" s="301"/>
      <c r="U27" s="301"/>
      <c r="V27" s="301"/>
    </row>
    <row r="28" spans="1:22" ht="12.6" customHeight="1" thickTop="1" thickBot="1" x14ac:dyDescent="0.3">
      <c r="A28" s="292"/>
      <c r="B28" s="293"/>
      <c r="C28" s="294"/>
      <c r="D28" s="294"/>
      <c r="E28" s="294"/>
      <c r="F28" s="310"/>
      <c r="G28" s="310"/>
      <c r="H28" s="310"/>
      <c r="I28" s="295"/>
      <c r="J28" s="295"/>
      <c r="K28" s="300">
        <f t="shared" si="0"/>
        <v>1.1000000000000001</v>
      </c>
      <c r="L28" s="300">
        <f t="shared" si="4"/>
        <v>0</v>
      </c>
      <c r="M28" s="285">
        <f t="shared" si="5"/>
        <v>0</v>
      </c>
      <c r="N28" s="1076">
        <f t="shared" si="6"/>
        <v>0</v>
      </c>
      <c r="O28" s="294"/>
      <c r="P28" s="404"/>
      <c r="Q28" s="404"/>
      <c r="R28" s="301"/>
      <c r="S28" s="301"/>
      <c r="T28" s="301"/>
      <c r="U28" s="301"/>
      <c r="V28" s="301"/>
    </row>
    <row r="29" spans="1:22" ht="12.6" customHeight="1" thickTop="1" thickBot="1" x14ac:dyDescent="0.3">
      <c r="A29" s="292"/>
      <c r="B29" s="293"/>
      <c r="C29" s="294"/>
      <c r="D29" s="294"/>
      <c r="E29" s="294"/>
      <c r="F29" s="310"/>
      <c r="G29" s="310"/>
      <c r="H29" s="310"/>
      <c r="I29" s="295"/>
      <c r="J29" s="295"/>
      <c r="K29" s="300">
        <f t="shared" si="0"/>
        <v>1.1000000000000001</v>
      </c>
      <c r="L29" s="300">
        <f t="shared" si="4"/>
        <v>0</v>
      </c>
      <c r="M29" s="285">
        <f t="shared" si="5"/>
        <v>0</v>
      </c>
      <c r="N29" s="1076">
        <f t="shared" si="6"/>
        <v>0</v>
      </c>
      <c r="O29" s="294"/>
      <c r="P29" s="404"/>
      <c r="Q29" s="404"/>
      <c r="R29" s="301"/>
      <c r="S29" s="301"/>
      <c r="T29" s="301"/>
      <c r="U29" s="301"/>
      <c r="V29" s="301"/>
    </row>
    <row r="30" spans="1:22" ht="12.6" customHeight="1" thickTop="1" thickBot="1" x14ac:dyDescent="0.3">
      <c r="A30" s="292"/>
      <c r="B30" s="293"/>
      <c r="C30" s="294"/>
      <c r="D30" s="294"/>
      <c r="E30" s="294"/>
      <c r="F30" s="310"/>
      <c r="G30" s="310"/>
      <c r="H30" s="310"/>
      <c r="I30" s="295"/>
      <c r="J30" s="295"/>
      <c r="K30" s="300">
        <f t="shared" si="0"/>
        <v>1.1000000000000001</v>
      </c>
      <c r="L30" s="300">
        <f t="shared" si="4"/>
        <v>0</v>
      </c>
      <c r="M30" s="285">
        <f t="shared" si="5"/>
        <v>0</v>
      </c>
      <c r="N30" s="1076">
        <f t="shared" si="6"/>
        <v>0</v>
      </c>
      <c r="O30" s="294"/>
      <c r="P30" s="404"/>
      <c r="Q30" s="404"/>
      <c r="R30" s="301"/>
      <c r="S30" s="301"/>
      <c r="T30" s="301"/>
      <c r="U30" s="301"/>
      <c r="V30" s="301"/>
    </row>
    <row r="31" spans="1:22" ht="12.6" customHeight="1" thickTop="1" thickBot="1" x14ac:dyDescent="0.3">
      <c r="A31" s="292"/>
      <c r="B31" s="293"/>
      <c r="C31" s="294"/>
      <c r="D31" s="294"/>
      <c r="E31" s="294"/>
      <c r="F31" s="310"/>
      <c r="G31" s="310"/>
      <c r="H31" s="310"/>
      <c r="I31" s="295"/>
      <c r="J31" s="295"/>
      <c r="K31" s="300">
        <f t="shared" si="0"/>
        <v>1.1000000000000001</v>
      </c>
      <c r="L31" s="300">
        <f t="shared" si="4"/>
        <v>0</v>
      </c>
      <c r="M31" s="285">
        <f t="shared" si="5"/>
        <v>0</v>
      </c>
      <c r="N31" s="1076">
        <f t="shared" si="6"/>
        <v>0</v>
      </c>
      <c r="O31" s="294"/>
      <c r="P31" s="404"/>
      <c r="Q31" s="404"/>
      <c r="R31" s="301"/>
      <c r="S31" s="301"/>
      <c r="T31" s="301"/>
      <c r="U31" s="301"/>
      <c r="V31" s="301"/>
    </row>
    <row r="32" spans="1:22" ht="12.6" customHeight="1" thickTop="1" thickBot="1" x14ac:dyDescent="0.3">
      <c r="A32" s="292"/>
      <c r="B32" s="293"/>
      <c r="C32" s="294"/>
      <c r="D32" s="294"/>
      <c r="E32" s="294"/>
      <c r="F32" s="310"/>
      <c r="G32" s="310"/>
      <c r="H32" s="310"/>
      <c r="I32" s="295"/>
      <c r="J32" s="295"/>
      <c r="K32" s="300">
        <f t="shared" si="0"/>
        <v>1.1000000000000001</v>
      </c>
      <c r="L32" s="300">
        <f t="shared" si="4"/>
        <v>0</v>
      </c>
      <c r="M32" s="285">
        <f t="shared" si="5"/>
        <v>0</v>
      </c>
      <c r="N32" s="1076">
        <f t="shared" si="6"/>
        <v>0</v>
      </c>
      <c r="O32" s="294"/>
      <c r="P32" s="404"/>
      <c r="Q32" s="404"/>
      <c r="R32" s="301"/>
      <c r="S32" s="301"/>
      <c r="T32" s="301"/>
      <c r="U32" s="301"/>
      <c r="V32" s="301"/>
    </row>
    <row r="33" spans="1:22" ht="12.6" customHeight="1" thickTop="1" thickBot="1" x14ac:dyDescent="0.3">
      <c r="A33" s="292"/>
      <c r="B33" s="293"/>
      <c r="C33" s="294"/>
      <c r="D33" s="294"/>
      <c r="E33" s="294"/>
      <c r="F33" s="310"/>
      <c r="G33" s="310"/>
      <c r="H33" s="310"/>
      <c r="I33" s="295"/>
      <c r="J33" s="295"/>
      <c r="K33" s="300">
        <f t="shared" si="0"/>
        <v>1.1000000000000001</v>
      </c>
      <c r="L33" s="300">
        <f t="shared" si="4"/>
        <v>0</v>
      </c>
      <c r="M33" s="285">
        <f t="shared" si="5"/>
        <v>0</v>
      </c>
      <c r="N33" s="1076">
        <f t="shared" si="6"/>
        <v>0</v>
      </c>
      <c r="O33" s="294"/>
      <c r="P33" s="404"/>
      <c r="Q33" s="404"/>
      <c r="R33" s="301"/>
      <c r="S33" s="301"/>
      <c r="T33" s="301"/>
      <c r="U33" s="301"/>
      <c r="V33" s="301"/>
    </row>
    <row r="34" spans="1:22" ht="12.6" customHeight="1" thickTop="1" thickBot="1" x14ac:dyDescent="0.3">
      <c r="A34" s="292"/>
      <c r="B34" s="293"/>
      <c r="C34" s="294"/>
      <c r="D34" s="294"/>
      <c r="E34" s="294"/>
      <c r="F34" s="310"/>
      <c r="G34" s="310"/>
      <c r="H34" s="310"/>
      <c r="I34" s="295"/>
      <c r="J34" s="295"/>
      <c r="K34" s="300">
        <f t="shared" si="0"/>
        <v>1.1000000000000001</v>
      </c>
      <c r="L34" s="300">
        <f t="shared" si="4"/>
        <v>0</v>
      </c>
      <c r="M34" s="285">
        <f t="shared" si="5"/>
        <v>0</v>
      </c>
      <c r="N34" s="1076">
        <f t="shared" si="6"/>
        <v>0</v>
      </c>
      <c r="O34" s="294"/>
      <c r="P34" s="404"/>
      <c r="Q34" s="404"/>
      <c r="R34" s="301"/>
      <c r="S34" s="301"/>
      <c r="T34" s="301"/>
      <c r="U34" s="301"/>
      <c r="V34" s="301"/>
    </row>
    <row r="35" spans="1:22" ht="12.6" customHeight="1" thickTop="1" thickBot="1" x14ac:dyDescent="0.3">
      <c r="A35" s="292"/>
      <c r="B35" s="293"/>
      <c r="C35" s="294"/>
      <c r="D35" s="294"/>
      <c r="E35" s="294"/>
      <c r="F35" s="310"/>
      <c r="G35" s="310"/>
      <c r="H35" s="310"/>
      <c r="I35" s="295"/>
      <c r="J35" s="295"/>
      <c r="K35" s="300">
        <f t="shared" si="0"/>
        <v>1.1000000000000001</v>
      </c>
      <c r="L35" s="300">
        <f t="shared" si="4"/>
        <v>0</v>
      </c>
      <c r="M35" s="285">
        <f t="shared" si="5"/>
        <v>0</v>
      </c>
      <c r="N35" s="1076">
        <f t="shared" si="6"/>
        <v>0</v>
      </c>
      <c r="O35" s="294"/>
      <c r="P35" s="404"/>
      <c r="Q35" s="404"/>
      <c r="R35" s="301"/>
      <c r="S35" s="301"/>
      <c r="T35" s="301"/>
      <c r="U35" s="301"/>
      <c r="V35" s="301"/>
    </row>
    <row r="36" spans="1:22" ht="12.6" customHeight="1" thickTop="1" thickBot="1" x14ac:dyDescent="0.3">
      <c r="A36" s="292"/>
      <c r="B36" s="293"/>
      <c r="C36" s="294"/>
      <c r="D36" s="294"/>
      <c r="E36" s="294"/>
      <c r="F36" s="310"/>
      <c r="G36" s="310"/>
      <c r="H36" s="310"/>
      <c r="I36" s="295"/>
      <c r="J36" s="295"/>
      <c r="K36" s="300">
        <f t="shared" si="0"/>
        <v>1.1000000000000001</v>
      </c>
      <c r="L36" s="300">
        <f t="shared" si="4"/>
        <v>0</v>
      </c>
      <c r="M36" s="285">
        <f t="shared" si="5"/>
        <v>0</v>
      </c>
      <c r="N36" s="1076">
        <f t="shared" si="6"/>
        <v>0</v>
      </c>
      <c r="O36" s="294"/>
      <c r="P36" s="404"/>
      <c r="Q36" s="404"/>
      <c r="R36" s="301"/>
      <c r="S36" s="301"/>
      <c r="T36" s="301"/>
      <c r="U36" s="301"/>
      <c r="V36" s="301"/>
    </row>
    <row r="37" spans="1:22" ht="12.6" customHeight="1" thickTop="1" thickBot="1" x14ac:dyDescent="0.3">
      <c r="A37" s="292"/>
      <c r="B37" s="293"/>
      <c r="C37" s="294"/>
      <c r="D37" s="294"/>
      <c r="E37" s="294"/>
      <c r="F37" s="310"/>
      <c r="G37" s="310"/>
      <c r="H37" s="310"/>
      <c r="I37" s="295"/>
      <c r="J37" s="295"/>
      <c r="K37" s="300">
        <f t="shared" si="0"/>
        <v>1.1000000000000001</v>
      </c>
      <c r="L37" s="300">
        <f t="shared" si="4"/>
        <v>0</v>
      </c>
      <c r="M37" s="285">
        <f t="shared" si="5"/>
        <v>0</v>
      </c>
      <c r="N37" s="1076">
        <f t="shared" si="6"/>
        <v>0</v>
      </c>
      <c r="O37" s="294"/>
      <c r="P37" s="404"/>
      <c r="Q37" s="404"/>
      <c r="R37" s="301"/>
      <c r="S37" s="301"/>
      <c r="T37" s="301"/>
      <c r="U37" s="301"/>
      <c r="V37" s="301"/>
    </row>
    <row r="38" spans="1:22" ht="12.6" customHeight="1" thickTop="1" thickBot="1" x14ac:dyDescent="0.3">
      <c r="A38" s="292"/>
      <c r="B38" s="293"/>
      <c r="C38" s="294"/>
      <c r="D38" s="294"/>
      <c r="E38" s="294"/>
      <c r="F38" s="310"/>
      <c r="G38" s="310"/>
      <c r="H38" s="310"/>
      <c r="I38" s="295"/>
      <c r="J38" s="295"/>
      <c r="K38" s="300">
        <f t="shared" si="0"/>
        <v>1.1000000000000001</v>
      </c>
      <c r="L38" s="300">
        <f t="shared" si="4"/>
        <v>0</v>
      </c>
      <c r="M38" s="285">
        <f t="shared" si="5"/>
        <v>0</v>
      </c>
      <c r="N38" s="1076">
        <f t="shared" si="6"/>
        <v>0</v>
      </c>
      <c r="O38" s="294"/>
      <c r="P38" s="404"/>
      <c r="Q38" s="404"/>
      <c r="R38" s="301"/>
      <c r="S38" s="301"/>
      <c r="T38" s="301"/>
      <c r="U38" s="301"/>
      <c r="V38" s="301"/>
    </row>
    <row r="39" spans="1:22" ht="12.6" customHeight="1" thickTop="1" thickBot="1" x14ac:dyDescent="0.3">
      <c r="A39" s="292"/>
      <c r="B39" s="293"/>
      <c r="C39" s="294"/>
      <c r="D39" s="294"/>
      <c r="E39" s="294"/>
      <c r="F39" s="310"/>
      <c r="G39" s="310"/>
      <c r="H39" s="310"/>
      <c r="I39" s="295"/>
      <c r="J39" s="295"/>
      <c r="K39" s="300">
        <f t="shared" si="0"/>
        <v>1.1000000000000001</v>
      </c>
      <c r="L39" s="300">
        <f t="shared" si="4"/>
        <v>0</v>
      </c>
      <c r="M39" s="285">
        <f t="shared" si="5"/>
        <v>0</v>
      </c>
      <c r="N39" s="1076">
        <f t="shared" si="6"/>
        <v>0</v>
      </c>
      <c r="O39" s="294"/>
      <c r="P39" s="404"/>
      <c r="Q39" s="404"/>
      <c r="R39" s="301"/>
      <c r="S39" s="301"/>
      <c r="T39" s="301"/>
      <c r="U39" s="301"/>
      <c r="V39" s="301"/>
    </row>
    <row r="40" spans="1:22" ht="12.6" customHeight="1" thickTop="1" thickBot="1" x14ac:dyDescent="0.3">
      <c r="A40" s="292"/>
      <c r="B40" s="293"/>
      <c r="C40" s="294"/>
      <c r="D40" s="294"/>
      <c r="E40" s="294"/>
      <c r="F40" s="310"/>
      <c r="G40" s="310"/>
      <c r="H40" s="310"/>
      <c r="I40" s="295"/>
      <c r="J40" s="295"/>
      <c r="K40" s="300">
        <f t="shared" si="0"/>
        <v>1.1000000000000001</v>
      </c>
      <c r="L40" s="300">
        <f t="shared" si="4"/>
        <v>0</v>
      </c>
      <c r="M40" s="285">
        <f t="shared" si="5"/>
        <v>0</v>
      </c>
      <c r="N40" s="1076">
        <f t="shared" si="6"/>
        <v>0</v>
      </c>
      <c r="O40" s="294"/>
      <c r="P40" s="404"/>
      <c r="Q40" s="404"/>
      <c r="R40" s="301"/>
      <c r="S40" s="301"/>
      <c r="T40" s="301"/>
      <c r="U40" s="301"/>
      <c r="V40" s="301"/>
    </row>
    <row r="41" spans="1:22" ht="12.6" customHeight="1" thickTop="1" thickBot="1" x14ac:dyDescent="0.3">
      <c r="A41" s="292"/>
      <c r="B41" s="293"/>
      <c r="C41" s="294"/>
      <c r="D41" s="294"/>
      <c r="E41" s="294"/>
      <c r="F41" s="310"/>
      <c r="G41" s="310"/>
      <c r="H41" s="310"/>
      <c r="I41" s="295"/>
      <c r="J41" s="295"/>
      <c r="K41" s="300">
        <f t="shared" si="0"/>
        <v>1.1000000000000001</v>
      </c>
      <c r="L41" s="300">
        <f t="shared" si="4"/>
        <v>0</v>
      </c>
      <c r="M41" s="285">
        <f t="shared" si="5"/>
        <v>0</v>
      </c>
      <c r="N41" s="1076">
        <f t="shared" si="6"/>
        <v>0</v>
      </c>
      <c r="O41" s="294"/>
      <c r="P41" s="404"/>
      <c r="Q41" s="404"/>
      <c r="R41" s="301"/>
      <c r="S41" s="301"/>
      <c r="T41" s="301"/>
      <c r="U41" s="301"/>
      <c r="V41" s="301"/>
    </row>
    <row r="42" spans="1:22" ht="12.6" customHeight="1" thickTop="1" thickBot="1" x14ac:dyDescent="0.3">
      <c r="A42" s="292"/>
      <c r="B42" s="293"/>
      <c r="C42" s="294"/>
      <c r="D42" s="294"/>
      <c r="E42" s="294"/>
      <c r="F42" s="310"/>
      <c r="G42" s="310"/>
      <c r="H42" s="310"/>
      <c r="I42" s="295"/>
      <c r="J42" s="295"/>
      <c r="K42" s="300">
        <f t="shared" si="0"/>
        <v>1.1000000000000001</v>
      </c>
      <c r="L42" s="300">
        <f t="shared" si="4"/>
        <v>0</v>
      </c>
      <c r="M42" s="285">
        <f t="shared" si="5"/>
        <v>0</v>
      </c>
      <c r="N42" s="1076">
        <f t="shared" si="6"/>
        <v>0</v>
      </c>
      <c r="O42" s="294"/>
      <c r="P42" s="404"/>
      <c r="Q42" s="404"/>
      <c r="R42" s="301"/>
      <c r="S42" s="301"/>
      <c r="T42" s="301"/>
      <c r="U42" s="301"/>
      <c r="V42" s="301"/>
    </row>
    <row r="43" spans="1:22" ht="12.6" customHeight="1" thickTop="1" thickBot="1" x14ac:dyDescent="0.3">
      <c r="A43" s="292"/>
      <c r="B43" s="293"/>
      <c r="C43" s="294"/>
      <c r="D43" s="294"/>
      <c r="E43" s="294"/>
      <c r="F43" s="310"/>
      <c r="G43" s="310"/>
      <c r="H43" s="310"/>
      <c r="I43" s="295"/>
      <c r="J43" s="295"/>
      <c r="K43" s="300">
        <f t="shared" si="0"/>
        <v>1.1000000000000001</v>
      </c>
      <c r="L43" s="300">
        <f t="shared" si="4"/>
        <v>0</v>
      </c>
      <c r="M43" s="285">
        <f t="shared" si="5"/>
        <v>0</v>
      </c>
      <c r="N43" s="1076">
        <f t="shared" si="6"/>
        <v>0</v>
      </c>
      <c r="O43" s="294"/>
      <c r="P43" s="404"/>
      <c r="Q43" s="404"/>
      <c r="R43" s="301"/>
      <c r="S43" s="301"/>
      <c r="T43" s="301"/>
      <c r="U43" s="301"/>
      <c r="V43" s="301"/>
    </row>
    <row r="44" spans="1:22" ht="12.6" customHeight="1" thickTop="1" thickBot="1" x14ac:dyDescent="0.3">
      <c r="A44" s="292"/>
      <c r="B44" s="293"/>
      <c r="C44" s="294"/>
      <c r="D44" s="294"/>
      <c r="E44" s="294"/>
      <c r="F44" s="310"/>
      <c r="G44" s="310"/>
      <c r="H44" s="310"/>
      <c r="I44" s="295"/>
      <c r="J44" s="295"/>
      <c r="K44" s="300">
        <f t="shared" si="0"/>
        <v>1.1000000000000001</v>
      </c>
      <c r="L44" s="300">
        <f t="shared" si="4"/>
        <v>0</v>
      </c>
      <c r="M44" s="285">
        <f t="shared" si="5"/>
        <v>0</v>
      </c>
      <c r="N44" s="1076">
        <f t="shared" si="6"/>
        <v>0</v>
      </c>
      <c r="O44" s="294"/>
      <c r="P44" s="404"/>
      <c r="Q44" s="404"/>
      <c r="R44" s="301"/>
      <c r="S44" s="301"/>
      <c r="T44" s="301"/>
      <c r="U44" s="301"/>
      <c r="V44" s="301"/>
    </row>
    <row r="45" spans="1:22" ht="12.6" customHeight="1" thickTop="1" thickBot="1" x14ac:dyDescent="0.3">
      <c r="A45" s="292"/>
      <c r="B45" s="293"/>
      <c r="C45" s="294"/>
      <c r="D45" s="294"/>
      <c r="E45" s="294"/>
      <c r="F45" s="310"/>
      <c r="G45" s="310"/>
      <c r="H45" s="310"/>
      <c r="I45" s="295"/>
      <c r="J45" s="295"/>
      <c r="K45" s="300">
        <f t="shared" si="0"/>
        <v>1.1000000000000001</v>
      </c>
      <c r="L45" s="300">
        <f t="shared" si="4"/>
        <v>0</v>
      </c>
      <c r="M45" s="285">
        <f t="shared" si="5"/>
        <v>0</v>
      </c>
      <c r="N45" s="1076">
        <f t="shared" si="6"/>
        <v>0</v>
      </c>
      <c r="O45" s="294"/>
      <c r="P45" s="404"/>
      <c r="Q45" s="404"/>
      <c r="R45" s="301"/>
      <c r="S45" s="301"/>
      <c r="T45" s="301"/>
      <c r="U45" s="301"/>
      <c r="V45" s="301"/>
    </row>
    <row r="46" spans="1:22" ht="12.6" customHeight="1" thickTop="1" thickBot="1" x14ac:dyDescent="0.3">
      <c r="A46" s="292"/>
      <c r="B46" s="293"/>
      <c r="C46" s="294"/>
      <c r="D46" s="294"/>
      <c r="E46" s="294"/>
      <c r="F46" s="310"/>
      <c r="G46" s="310"/>
      <c r="H46" s="310"/>
      <c r="I46" s="295"/>
      <c r="J46" s="295"/>
      <c r="K46" s="300">
        <f t="shared" si="0"/>
        <v>1.1000000000000001</v>
      </c>
      <c r="L46" s="300">
        <f t="shared" si="4"/>
        <v>0</v>
      </c>
      <c r="M46" s="285">
        <f t="shared" si="5"/>
        <v>0</v>
      </c>
      <c r="N46" s="1076">
        <f t="shared" si="6"/>
        <v>0</v>
      </c>
      <c r="O46" s="294"/>
      <c r="P46" s="404"/>
      <c r="Q46" s="404"/>
      <c r="R46" s="301"/>
      <c r="S46" s="301"/>
      <c r="T46" s="301"/>
      <c r="U46" s="301"/>
      <c r="V46" s="301"/>
    </row>
    <row r="47" spans="1:22" ht="12.6" customHeight="1" thickTop="1" thickBot="1" x14ac:dyDescent="0.3">
      <c r="A47" s="292"/>
      <c r="B47" s="293"/>
      <c r="C47" s="294"/>
      <c r="D47" s="294"/>
      <c r="E47" s="294"/>
      <c r="F47" s="310"/>
      <c r="G47" s="310"/>
      <c r="H47" s="310"/>
      <c r="I47" s="295"/>
      <c r="J47" s="295"/>
      <c r="K47" s="300">
        <f t="shared" si="0"/>
        <v>1.1000000000000001</v>
      </c>
      <c r="L47" s="300">
        <f t="shared" si="4"/>
        <v>0</v>
      </c>
      <c r="M47" s="285">
        <f t="shared" si="5"/>
        <v>0</v>
      </c>
      <c r="N47" s="1076">
        <f t="shared" si="6"/>
        <v>0</v>
      </c>
      <c r="O47" s="294"/>
      <c r="P47" s="404"/>
      <c r="Q47" s="404"/>
      <c r="R47" s="301"/>
      <c r="S47" s="301"/>
      <c r="T47" s="301"/>
      <c r="U47" s="301"/>
      <c r="V47" s="301"/>
    </row>
    <row r="48" spans="1:22" ht="12.6" customHeight="1" thickTop="1" thickBot="1" x14ac:dyDescent="0.3">
      <c r="A48" s="292"/>
      <c r="B48" s="293"/>
      <c r="C48" s="294"/>
      <c r="D48" s="294"/>
      <c r="E48" s="294"/>
      <c r="F48" s="310"/>
      <c r="G48" s="310"/>
      <c r="H48" s="310"/>
      <c r="I48" s="295"/>
      <c r="J48" s="295"/>
      <c r="K48" s="300">
        <f t="shared" si="0"/>
        <v>1.1000000000000001</v>
      </c>
      <c r="L48" s="300">
        <f t="shared" si="4"/>
        <v>0</v>
      </c>
      <c r="M48" s="285">
        <f t="shared" si="5"/>
        <v>0</v>
      </c>
      <c r="N48" s="1076">
        <f t="shared" si="6"/>
        <v>0</v>
      </c>
      <c r="O48" s="294"/>
      <c r="P48" s="404"/>
      <c r="Q48" s="404"/>
      <c r="R48" s="301"/>
      <c r="S48" s="301"/>
      <c r="T48" s="301"/>
      <c r="U48" s="301"/>
      <c r="V48" s="301"/>
    </row>
    <row r="49" spans="1:22" ht="12.6" customHeight="1" thickTop="1" thickBot="1" x14ac:dyDescent="0.3">
      <c r="A49" s="292"/>
      <c r="B49" s="293"/>
      <c r="C49" s="294"/>
      <c r="D49" s="294"/>
      <c r="E49" s="294"/>
      <c r="F49" s="310"/>
      <c r="G49" s="310"/>
      <c r="H49" s="310"/>
      <c r="I49" s="295"/>
      <c r="J49" s="295"/>
      <c r="K49" s="300">
        <f t="shared" si="0"/>
        <v>1.1000000000000001</v>
      </c>
      <c r="L49" s="300">
        <f t="shared" si="4"/>
        <v>0</v>
      </c>
      <c r="M49" s="285">
        <f t="shared" si="5"/>
        <v>0</v>
      </c>
      <c r="N49" s="1076">
        <f t="shared" si="6"/>
        <v>0</v>
      </c>
      <c r="O49" s="294"/>
      <c r="P49" s="404"/>
      <c r="Q49" s="404"/>
      <c r="R49" s="301"/>
      <c r="S49" s="301"/>
      <c r="T49" s="301"/>
      <c r="U49" s="301"/>
      <c r="V49" s="301"/>
    </row>
    <row r="50" spans="1:22" ht="12.6" customHeight="1" thickTop="1" thickBot="1" x14ac:dyDescent="0.3">
      <c r="A50" s="292"/>
      <c r="B50" s="293"/>
      <c r="C50" s="294"/>
      <c r="D50" s="294"/>
      <c r="E50" s="294"/>
      <c r="F50" s="310"/>
      <c r="G50" s="310"/>
      <c r="H50" s="310"/>
      <c r="I50" s="295"/>
      <c r="J50" s="295"/>
      <c r="K50" s="300">
        <f t="shared" si="0"/>
        <v>1.1000000000000001</v>
      </c>
      <c r="L50" s="300">
        <f t="shared" si="4"/>
        <v>0</v>
      </c>
      <c r="M50" s="285">
        <f t="shared" si="5"/>
        <v>0</v>
      </c>
      <c r="N50" s="1076">
        <f t="shared" si="6"/>
        <v>0</v>
      </c>
      <c r="O50" s="294"/>
      <c r="P50" s="404"/>
      <c r="Q50" s="404"/>
      <c r="R50" s="301"/>
      <c r="S50" s="301"/>
      <c r="T50" s="301"/>
      <c r="U50" s="301"/>
      <c r="V50" s="301"/>
    </row>
    <row r="51" spans="1:22" ht="12.6" customHeight="1" thickTop="1" thickBot="1" x14ac:dyDescent="0.3">
      <c r="A51" s="292"/>
      <c r="B51" s="293"/>
      <c r="C51" s="294"/>
      <c r="D51" s="294"/>
      <c r="E51" s="294"/>
      <c r="F51" s="310"/>
      <c r="G51" s="310"/>
      <c r="H51" s="310"/>
      <c r="I51" s="295"/>
      <c r="J51" s="295"/>
      <c r="K51" s="300">
        <f t="shared" si="0"/>
        <v>1.1000000000000001</v>
      </c>
      <c r="L51" s="300">
        <f t="shared" si="4"/>
        <v>0</v>
      </c>
      <c r="M51" s="285">
        <f t="shared" si="5"/>
        <v>0</v>
      </c>
      <c r="N51" s="1076">
        <f t="shared" si="6"/>
        <v>0</v>
      </c>
      <c r="O51" s="294"/>
      <c r="P51" s="404"/>
      <c r="Q51" s="404"/>
      <c r="R51" s="301"/>
      <c r="S51" s="301"/>
      <c r="T51" s="301"/>
      <c r="U51" s="301"/>
      <c r="V51" s="301"/>
    </row>
    <row r="52" spans="1:22" ht="12.6" customHeight="1" thickTop="1" thickBot="1" x14ac:dyDescent="0.3">
      <c r="A52" s="292"/>
      <c r="B52" s="293"/>
      <c r="C52" s="294"/>
      <c r="D52" s="294"/>
      <c r="E52" s="294"/>
      <c r="F52" s="310"/>
      <c r="G52" s="310"/>
      <c r="H52" s="310"/>
      <c r="I52" s="295"/>
      <c r="J52" s="295"/>
      <c r="K52" s="300">
        <f t="shared" si="0"/>
        <v>1.1000000000000001</v>
      </c>
      <c r="L52" s="300">
        <f t="shared" si="4"/>
        <v>0</v>
      </c>
      <c r="M52" s="285">
        <f t="shared" si="5"/>
        <v>0</v>
      </c>
      <c r="N52" s="1076">
        <f t="shared" si="6"/>
        <v>0</v>
      </c>
      <c r="O52" s="294"/>
      <c r="P52" s="404"/>
      <c r="Q52" s="404"/>
      <c r="R52" s="301"/>
      <c r="S52" s="301"/>
      <c r="T52" s="301"/>
      <c r="U52" s="301"/>
      <c r="V52" s="301"/>
    </row>
    <row r="53" spans="1:22" ht="12.6" customHeight="1" thickTop="1" thickBot="1" x14ac:dyDescent="0.3">
      <c r="A53" s="292"/>
      <c r="B53" s="293"/>
      <c r="C53" s="294"/>
      <c r="D53" s="294"/>
      <c r="E53" s="294"/>
      <c r="F53" s="310"/>
      <c r="G53" s="310"/>
      <c r="H53" s="310"/>
      <c r="I53" s="295"/>
      <c r="J53" s="295"/>
      <c r="K53" s="300">
        <f t="shared" si="0"/>
        <v>1.1000000000000001</v>
      </c>
      <c r="L53" s="300">
        <f t="shared" si="4"/>
        <v>0</v>
      </c>
      <c r="M53" s="285">
        <f t="shared" si="5"/>
        <v>0</v>
      </c>
      <c r="N53" s="1076">
        <f t="shared" si="6"/>
        <v>0</v>
      </c>
      <c r="O53" s="294"/>
      <c r="P53" s="404"/>
      <c r="Q53" s="404"/>
      <c r="R53" s="301"/>
      <c r="S53" s="301"/>
      <c r="T53" s="301"/>
      <c r="U53" s="301"/>
      <c r="V53" s="301"/>
    </row>
    <row r="54" spans="1:22" ht="12.6" customHeight="1" thickTop="1" thickBot="1" x14ac:dyDescent="0.3">
      <c r="A54" s="292"/>
      <c r="B54" s="293"/>
      <c r="C54" s="294"/>
      <c r="D54" s="294"/>
      <c r="E54" s="294"/>
      <c r="F54" s="310"/>
      <c r="G54" s="310"/>
      <c r="H54" s="310"/>
      <c r="I54" s="295"/>
      <c r="J54" s="295"/>
      <c r="K54" s="300">
        <f t="shared" si="0"/>
        <v>1.1000000000000001</v>
      </c>
      <c r="L54" s="300">
        <f t="shared" si="4"/>
        <v>0</v>
      </c>
      <c r="M54" s="285">
        <f t="shared" si="5"/>
        <v>0</v>
      </c>
      <c r="N54" s="1076">
        <f t="shared" si="6"/>
        <v>0</v>
      </c>
      <c r="O54" s="294"/>
      <c r="P54" s="404"/>
      <c r="Q54" s="404"/>
      <c r="R54" s="301"/>
      <c r="S54" s="301"/>
      <c r="T54" s="301"/>
      <c r="U54" s="301"/>
      <c r="V54" s="301"/>
    </row>
    <row r="55" spans="1:22" ht="12.6" customHeight="1" thickTop="1" thickBot="1" x14ac:dyDescent="0.3">
      <c r="A55" s="292"/>
      <c r="B55" s="293"/>
      <c r="C55" s="294"/>
      <c r="D55" s="294"/>
      <c r="E55" s="294"/>
      <c r="F55" s="310"/>
      <c r="G55" s="310"/>
      <c r="H55" s="310"/>
      <c r="I55" s="295"/>
      <c r="J55" s="295"/>
      <c r="K55" s="300">
        <f t="shared" si="0"/>
        <v>1.1000000000000001</v>
      </c>
      <c r="L55" s="300">
        <f t="shared" si="4"/>
        <v>0</v>
      </c>
      <c r="M55" s="285">
        <f t="shared" si="5"/>
        <v>0</v>
      </c>
      <c r="N55" s="1076">
        <f t="shared" si="6"/>
        <v>0</v>
      </c>
      <c r="O55" s="294"/>
      <c r="P55" s="404"/>
      <c r="Q55" s="404"/>
      <c r="R55" s="301"/>
      <c r="S55" s="301"/>
      <c r="T55" s="301"/>
      <c r="U55" s="301"/>
      <c r="V55" s="301"/>
    </row>
    <row r="56" spans="1:22" ht="12.6" customHeight="1" thickTop="1" thickBot="1" x14ac:dyDescent="0.3">
      <c r="A56" s="292"/>
      <c r="B56" s="293"/>
      <c r="C56" s="294"/>
      <c r="D56" s="294"/>
      <c r="E56" s="294"/>
      <c r="F56" s="310"/>
      <c r="G56" s="310"/>
      <c r="H56" s="310"/>
      <c r="I56" s="295"/>
      <c r="J56" s="295"/>
      <c r="K56" s="300">
        <f t="shared" si="0"/>
        <v>1.1000000000000001</v>
      </c>
      <c r="L56" s="300">
        <f t="shared" si="4"/>
        <v>0</v>
      </c>
      <c r="M56" s="285">
        <f t="shared" si="5"/>
        <v>0</v>
      </c>
      <c r="N56" s="1076">
        <f t="shared" si="6"/>
        <v>0</v>
      </c>
      <c r="O56" s="294"/>
      <c r="P56" s="404"/>
      <c r="Q56" s="404"/>
      <c r="R56" s="301"/>
      <c r="S56" s="301"/>
      <c r="T56" s="301"/>
      <c r="U56" s="301"/>
      <c r="V56" s="301"/>
    </row>
    <row r="57" spans="1:22" ht="12.6" customHeight="1" thickTop="1" thickBot="1" x14ac:dyDescent="0.3">
      <c r="A57" s="292"/>
      <c r="B57" s="293"/>
      <c r="C57" s="294"/>
      <c r="D57" s="294"/>
      <c r="E57" s="294"/>
      <c r="F57" s="310"/>
      <c r="G57" s="310"/>
      <c r="H57" s="310"/>
      <c r="I57" s="295"/>
      <c r="J57" s="295"/>
      <c r="K57" s="300">
        <f t="shared" si="0"/>
        <v>1.1000000000000001</v>
      </c>
      <c r="L57" s="300">
        <f t="shared" si="4"/>
        <v>0</v>
      </c>
      <c r="M57" s="285">
        <f t="shared" si="5"/>
        <v>0</v>
      </c>
      <c r="N57" s="1076">
        <f t="shared" si="6"/>
        <v>0</v>
      </c>
      <c r="O57" s="294"/>
      <c r="P57" s="404"/>
      <c r="Q57" s="404"/>
      <c r="R57" s="301"/>
      <c r="S57" s="301"/>
      <c r="T57" s="301"/>
      <c r="U57" s="301"/>
      <c r="V57" s="301"/>
    </row>
    <row r="58" spans="1:22" ht="12.6" customHeight="1" thickTop="1" thickBot="1" x14ac:dyDescent="0.3">
      <c r="A58" s="292"/>
      <c r="B58" s="293"/>
      <c r="C58" s="294"/>
      <c r="D58" s="294"/>
      <c r="E58" s="294"/>
      <c r="F58" s="310"/>
      <c r="G58" s="310"/>
      <c r="H58" s="310"/>
      <c r="I58" s="295"/>
      <c r="J58" s="295"/>
      <c r="K58" s="300">
        <f t="shared" si="0"/>
        <v>1.1000000000000001</v>
      </c>
      <c r="L58" s="300">
        <f t="shared" si="4"/>
        <v>0</v>
      </c>
      <c r="M58" s="285">
        <f t="shared" si="5"/>
        <v>0</v>
      </c>
      <c r="N58" s="1076">
        <f t="shared" si="6"/>
        <v>0</v>
      </c>
      <c r="O58" s="294"/>
      <c r="P58" s="404"/>
      <c r="Q58" s="404"/>
      <c r="R58" s="301"/>
      <c r="S58" s="301"/>
      <c r="T58" s="301"/>
      <c r="U58" s="301"/>
      <c r="V58" s="301"/>
    </row>
    <row r="59" spans="1:22" ht="12.6" customHeight="1" thickTop="1" thickBot="1" x14ac:dyDescent="0.3">
      <c r="A59" s="292"/>
      <c r="B59" s="293"/>
      <c r="C59" s="294"/>
      <c r="D59" s="294"/>
      <c r="E59" s="294"/>
      <c r="F59" s="310"/>
      <c r="G59" s="310"/>
      <c r="H59" s="310"/>
      <c r="I59" s="295"/>
      <c r="J59" s="295"/>
      <c r="K59" s="300">
        <f t="shared" si="0"/>
        <v>1.1000000000000001</v>
      </c>
      <c r="L59" s="300">
        <f t="shared" si="4"/>
        <v>0</v>
      </c>
      <c r="M59" s="285">
        <f t="shared" si="5"/>
        <v>0</v>
      </c>
      <c r="N59" s="1076">
        <f t="shared" si="6"/>
        <v>0</v>
      </c>
      <c r="O59" s="294"/>
      <c r="P59" s="404"/>
      <c r="Q59" s="404"/>
      <c r="R59" s="301"/>
      <c r="S59" s="301"/>
      <c r="T59" s="301"/>
      <c r="U59" s="301"/>
      <c r="V59" s="301"/>
    </row>
    <row r="60" spans="1:22" ht="12.6" customHeight="1" thickTop="1" thickBot="1" x14ac:dyDescent="0.3">
      <c r="A60" s="292"/>
      <c r="B60" s="293"/>
      <c r="C60" s="294"/>
      <c r="D60" s="294"/>
      <c r="E60" s="294"/>
      <c r="F60" s="310"/>
      <c r="G60" s="310"/>
      <c r="H60" s="310"/>
      <c r="I60" s="295"/>
      <c r="J60" s="295"/>
      <c r="K60" s="300">
        <f t="shared" si="0"/>
        <v>1.1000000000000001</v>
      </c>
      <c r="L60" s="300">
        <f t="shared" si="4"/>
        <v>0</v>
      </c>
      <c r="M60" s="285">
        <f t="shared" si="5"/>
        <v>0</v>
      </c>
      <c r="N60" s="1076">
        <f t="shared" si="6"/>
        <v>0</v>
      </c>
      <c r="O60" s="294"/>
      <c r="P60" s="404"/>
      <c r="Q60" s="404"/>
      <c r="R60" s="301"/>
      <c r="S60" s="301"/>
      <c r="T60" s="301"/>
      <c r="U60" s="301"/>
      <c r="V60" s="301"/>
    </row>
    <row r="61" spans="1:22" ht="12.6" customHeight="1" thickTop="1" thickBot="1" x14ac:dyDescent="0.3">
      <c r="A61" s="292"/>
      <c r="B61" s="293"/>
      <c r="C61" s="294"/>
      <c r="D61" s="294"/>
      <c r="E61" s="294"/>
      <c r="F61" s="310"/>
      <c r="G61" s="310"/>
      <c r="H61" s="310"/>
      <c r="I61" s="295"/>
      <c r="J61" s="295"/>
      <c r="K61" s="300">
        <f t="shared" si="0"/>
        <v>1.1000000000000001</v>
      </c>
      <c r="L61" s="300">
        <f t="shared" si="4"/>
        <v>0</v>
      </c>
      <c r="M61" s="285">
        <f t="shared" si="5"/>
        <v>0</v>
      </c>
      <c r="N61" s="1076">
        <f t="shared" si="6"/>
        <v>0</v>
      </c>
      <c r="O61" s="294"/>
      <c r="P61" s="404"/>
      <c r="Q61" s="404"/>
      <c r="R61" s="301"/>
      <c r="S61" s="301"/>
      <c r="T61" s="301"/>
      <c r="U61" s="301"/>
      <c r="V61" s="301"/>
    </row>
    <row r="62" spans="1:22" ht="12.6" customHeight="1" thickTop="1" thickBot="1" x14ac:dyDescent="0.3">
      <c r="A62" s="292"/>
      <c r="B62" s="293"/>
      <c r="C62" s="294"/>
      <c r="D62" s="294"/>
      <c r="E62" s="294"/>
      <c r="F62" s="310"/>
      <c r="G62" s="310"/>
      <c r="H62" s="310"/>
      <c r="I62" s="295"/>
      <c r="J62" s="295"/>
      <c r="K62" s="300">
        <f t="shared" si="0"/>
        <v>1.1000000000000001</v>
      </c>
      <c r="L62" s="300">
        <f t="shared" si="4"/>
        <v>0</v>
      </c>
      <c r="M62" s="285">
        <f t="shared" si="5"/>
        <v>0</v>
      </c>
      <c r="N62" s="1076">
        <f t="shared" si="6"/>
        <v>0</v>
      </c>
      <c r="O62" s="294"/>
      <c r="P62" s="404"/>
      <c r="Q62" s="404"/>
      <c r="R62" s="301"/>
      <c r="S62" s="301"/>
      <c r="T62" s="301"/>
      <c r="U62" s="301"/>
      <c r="V62" s="301"/>
    </row>
    <row r="63" spans="1:22" ht="12.6" customHeight="1" thickTop="1" thickBot="1" x14ac:dyDescent="0.3">
      <c r="A63" s="292"/>
      <c r="B63" s="293"/>
      <c r="C63" s="294"/>
      <c r="D63" s="294"/>
      <c r="E63" s="294"/>
      <c r="F63" s="310"/>
      <c r="G63" s="310"/>
      <c r="H63" s="310"/>
      <c r="I63" s="295"/>
      <c r="J63" s="295"/>
      <c r="K63" s="300">
        <f t="shared" si="0"/>
        <v>1.1000000000000001</v>
      </c>
      <c r="L63" s="300">
        <f t="shared" si="4"/>
        <v>0</v>
      </c>
      <c r="M63" s="285">
        <f t="shared" si="5"/>
        <v>0</v>
      </c>
      <c r="N63" s="1076">
        <f t="shared" si="6"/>
        <v>0</v>
      </c>
      <c r="O63" s="294"/>
      <c r="P63" s="404"/>
      <c r="Q63" s="404"/>
      <c r="R63" s="301"/>
      <c r="S63" s="301"/>
      <c r="T63" s="301"/>
      <c r="U63" s="301"/>
      <c r="V63" s="301"/>
    </row>
    <row r="64" spans="1:22" ht="12.6" customHeight="1" thickTop="1" thickBot="1" x14ac:dyDescent="0.3">
      <c r="A64" s="292"/>
      <c r="B64" s="293"/>
      <c r="C64" s="294"/>
      <c r="D64" s="294"/>
      <c r="E64" s="294"/>
      <c r="F64" s="310"/>
      <c r="G64" s="310"/>
      <c r="H64" s="310"/>
      <c r="I64" s="295"/>
      <c r="J64" s="295"/>
      <c r="K64" s="300">
        <f t="shared" si="0"/>
        <v>1.1000000000000001</v>
      </c>
      <c r="L64" s="300">
        <f t="shared" si="4"/>
        <v>0</v>
      </c>
      <c r="M64" s="285">
        <f t="shared" si="5"/>
        <v>0</v>
      </c>
      <c r="N64" s="1076">
        <f t="shared" si="6"/>
        <v>0</v>
      </c>
      <c r="O64" s="294"/>
      <c r="P64" s="404"/>
      <c r="Q64" s="404"/>
      <c r="R64" s="301"/>
      <c r="S64" s="301"/>
      <c r="T64" s="301"/>
      <c r="U64" s="301"/>
      <c r="V64" s="301"/>
    </row>
    <row r="65" spans="1:22" ht="12.6" customHeight="1" thickTop="1" thickBot="1" x14ac:dyDescent="0.3">
      <c r="A65" s="292"/>
      <c r="B65" s="293"/>
      <c r="C65" s="294"/>
      <c r="D65" s="294"/>
      <c r="E65" s="294"/>
      <c r="F65" s="310"/>
      <c r="G65" s="310"/>
      <c r="H65" s="310"/>
      <c r="I65" s="295"/>
      <c r="J65" s="295"/>
      <c r="K65" s="300">
        <f t="shared" si="0"/>
        <v>1.1000000000000001</v>
      </c>
      <c r="L65" s="300">
        <f t="shared" si="4"/>
        <v>0</v>
      </c>
      <c r="M65" s="285">
        <f t="shared" si="5"/>
        <v>0</v>
      </c>
      <c r="N65" s="1076">
        <f t="shared" si="6"/>
        <v>0</v>
      </c>
      <c r="O65" s="294"/>
      <c r="P65" s="404"/>
      <c r="Q65" s="404"/>
      <c r="R65" s="301"/>
      <c r="S65" s="301"/>
      <c r="T65" s="301"/>
      <c r="U65" s="301"/>
      <c r="V65" s="301"/>
    </row>
    <row r="66" spans="1:22" ht="12.6" customHeight="1" thickTop="1" thickBot="1" x14ac:dyDescent="0.3">
      <c r="A66" s="292"/>
      <c r="B66" s="293"/>
      <c r="C66" s="294"/>
      <c r="D66" s="294"/>
      <c r="E66" s="294"/>
      <c r="F66" s="310"/>
      <c r="G66" s="310"/>
      <c r="H66" s="310"/>
      <c r="I66" s="295"/>
      <c r="J66" s="295"/>
      <c r="K66" s="300">
        <f t="shared" si="0"/>
        <v>1.1000000000000001</v>
      </c>
      <c r="L66" s="300">
        <f t="shared" si="4"/>
        <v>0</v>
      </c>
      <c r="M66" s="285">
        <f t="shared" si="5"/>
        <v>0</v>
      </c>
      <c r="N66" s="1076">
        <f t="shared" si="6"/>
        <v>0</v>
      </c>
      <c r="O66" s="294"/>
      <c r="P66" s="404"/>
      <c r="Q66" s="404"/>
      <c r="R66" s="301"/>
      <c r="S66" s="301"/>
      <c r="T66" s="301"/>
      <c r="U66" s="301"/>
      <c r="V66" s="301"/>
    </row>
    <row r="67" spans="1:22" ht="12.6" customHeight="1" thickTop="1" thickBot="1" x14ac:dyDescent="0.3">
      <c r="A67" s="292"/>
      <c r="B67" s="293"/>
      <c r="C67" s="294"/>
      <c r="D67" s="294"/>
      <c r="E67" s="294"/>
      <c r="F67" s="310"/>
      <c r="G67" s="310"/>
      <c r="H67" s="310"/>
      <c r="I67" s="295"/>
      <c r="J67" s="295"/>
      <c r="K67" s="300">
        <f t="shared" ref="K67:K130" si="7">$K$2</f>
        <v>1.1000000000000001</v>
      </c>
      <c r="L67" s="300">
        <f t="shared" si="4"/>
        <v>0</v>
      </c>
      <c r="M67" s="285">
        <f t="shared" si="5"/>
        <v>0</v>
      </c>
      <c r="N67" s="1076">
        <f t="shared" si="6"/>
        <v>0</v>
      </c>
      <c r="O67" s="294"/>
      <c r="P67" s="404"/>
      <c r="Q67" s="404"/>
      <c r="R67" s="301"/>
      <c r="S67" s="301"/>
      <c r="T67" s="301"/>
      <c r="U67" s="301"/>
      <c r="V67" s="301"/>
    </row>
    <row r="68" spans="1:22" ht="12.6" customHeight="1" thickTop="1" thickBot="1" x14ac:dyDescent="0.3">
      <c r="A68" s="292"/>
      <c r="B68" s="293"/>
      <c r="C68" s="294"/>
      <c r="D68" s="294"/>
      <c r="E68" s="294"/>
      <c r="F68" s="310"/>
      <c r="G68" s="310"/>
      <c r="H68" s="310"/>
      <c r="I68" s="295"/>
      <c r="J68" s="295"/>
      <c r="K68" s="300">
        <f t="shared" si="7"/>
        <v>1.1000000000000001</v>
      </c>
      <c r="L68" s="300">
        <f t="shared" si="4"/>
        <v>0</v>
      </c>
      <c r="M68" s="285">
        <f t="shared" si="5"/>
        <v>0</v>
      </c>
      <c r="N68" s="1076">
        <f t="shared" si="6"/>
        <v>0</v>
      </c>
      <c r="O68" s="294"/>
      <c r="P68" s="404"/>
      <c r="Q68" s="404"/>
      <c r="R68" s="301"/>
      <c r="S68" s="301"/>
      <c r="T68" s="301"/>
      <c r="U68" s="301"/>
      <c r="V68" s="301"/>
    </row>
    <row r="69" spans="1:22" ht="12.6" customHeight="1" thickTop="1" thickBot="1" x14ac:dyDescent="0.3">
      <c r="A69" s="292"/>
      <c r="B69" s="293"/>
      <c r="C69" s="294"/>
      <c r="D69" s="294"/>
      <c r="E69" s="294"/>
      <c r="F69" s="310"/>
      <c r="G69" s="310"/>
      <c r="H69" s="310"/>
      <c r="I69" s="295"/>
      <c r="J69" s="295"/>
      <c r="K69" s="300">
        <f t="shared" si="7"/>
        <v>1.1000000000000001</v>
      </c>
      <c r="L69" s="300">
        <f t="shared" si="4"/>
        <v>0</v>
      </c>
      <c r="M69" s="285">
        <f t="shared" si="5"/>
        <v>0</v>
      </c>
      <c r="N69" s="1076">
        <f t="shared" si="6"/>
        <v>0</v>
      </c>
      <c r="O69" s="294"/>
      <c r="P69" s="404"/>
      <c r="Q69" s="404"/>
      <c r="R69" s="301"/>
      <c r="S69" s="301"/>
      <c r="T69" s="301"/>
      <c r="U69" s="301"/>
      <c r="V69" s="301"/>
    </row>
    <row r="70" spans="1:22" ht="12.6" customHeight="1" thickTop="1" thickBot="1" x14ac:dyDescent="0.3">
      <c r="A70" s="292"/>
      <c r="B70" s="293"/>
      <c r="C70" s="294"/>
      <c r="D70" s="294"/>
      <c r="E70" s="294"/>
      <c r="F70" s="310"/>
      <c r="G70" s="310"/>
      <c r="H70" s="310"/>
      <c r="I70" s="295"/>
      <c r="J70" s="295"/>
      <c r="K70" s="300">
        <f t="shared" si="7"/>
        <v>1.1000000000000001</v>
      </c>
      <c r="L70" s="300">
        <f t="shared" si="4"/>
        <v>0</v>
      </c>
      <c r="M70" s="285">
        <f t="shared" si="5"/>
        <v>0</v>
      </c>
      <c r="N70" s="1076">
        <f t="shared" si="6"/>
        <v>0</v>
      </c>
      <c r="O70" s="294"/>
      <c r="P70" s="404"/>
      <c r="Q70" s="404"/>
      <c r="R70" s="301"/>
      <c r="S70" s="301"/>
      <c r="T70" s="301"/>
      <c r="U70" s="301"/>
      <c r="V70" s="301"/>
    </row>
    <row r="71" spans="1:22" ht="12.6" customHeight="1" thickTop="1" thickBot="1" x14ac:dyDescent="0.3">
      <c r="A71" s="292"/>
      <c r="B71" s="293"/>
      <c r="C71" s="294"/>
      <c r="D71" s="294"/>
      <c r="E71" s="294"/>
      <c r="F71" s="310"/>
      <c r="G71" s="310"/>
      <c r="H71" s="310"/>
      <c r="I71" s="295"/>
      <c r="J71" s="295"/>
      <c r="K71" s="300">
        <f t="shared" si="7"/>
        <v>1.1000000000000001</v>
      </c>
      <c r="L71" s="300">
        <f t="shared" ref="L71:L134" si="8">K71*J71</f>
        <v>0</v>
      </c>
      <c r="M71" s="285">
        <f t="shared" ref="M71:M134" si="9">ROUND(L71,1)</f>
        <v>0</v>
      </c>
      <c r="N71" s="1076">
        <f t="shared" ref="N71:N134" si="10">ROUNDUP(M71,0)</f>
        <v>0</v>
      </c>
      <c r="O71" s="294"/>
      <c r="P71" s="404"/>
      <c r="Q71" s="404"/>
      <c r="R71" s="301"/>
      <c r="S71" s="301"/>
      <c r="T71" s="301"/>
      <c r="U71" s="301"/>
      <c r="V71" s="301"/>
    </row>
    <row r="72" spans="1:22" ht="12.6" customHeight="1" thickTop="1" thickBot="1" x14ac:dyDescent="0.3">
      <c r="A72" s="292"/>
      <c r="B72" s="293"/>
      <c r="C72" s="294"/>
      <c r="D72" s="294"/>
      <c r="E72" s="294"/>
      <c r="F72" s="310"/>
      <c r="G72" s="310"/>
      <c r="H72" s="310"/>
      <c r="I72" s="295"/>
      <c r="J72" s="295"/>
      <c r="K72" s="300">
        <f t="shared" si="7"/>
        <v>1.1000000000000001</v>
      </c>
      <c r="L72" s="300">
        <f t="shared" si="8"/>
        <v>0</v>
      </c>
      <c r="M72" s="285">
        <f t="shared" si="9"/>
        <v>0</v>
      </c>
      <c r="N72" s="1076">
        <f t="shared" si="10"/>
        <v>0</v>
      </c>
      <c r="O72" s="294"/>
      <c r="P72" s="404"/>
      <c r="Q72" s="404"/>
      <c r="R72" s="301"/>
      <c r="S72" s="301"/>
      <c r="T72" s="301"/>
      <c r="U72" s="301"/>
      <c r="V72" s="301"/>
    </row>
    <row r="73" spans="1:22" ht="12.6" customHeight="1" thickTop="1" thickBot="1" x14ac:dyDescent="0.3">
      <c r="A73" s="292"/>
      <c r="B73" s="293"/>
      <c r="C73" s="294"/>
      <c r="D73" s="294"/>
      <c r="E73" s="294"/>
      <c r="F73" s="310"/>
      <c r="G73" s="310"/>
      <c r="H73" s="310"/>
      <c r="I73" s="295"/>
      <c r="J73" s="295"/>
      <c r="K73" s="300">
        <f t="shared" si="7"/>
        <v>1.1000000000000001</v>
      </c>
      <c r="L73" s="300">
        <f t="shared" si="8"/>
        <v>0</v>
      </c>
      <c r="M73" s="285">
        <f t="shared" si="9"/>
        <v>0</v>
      </c>
      <c r="N73" s="1076">
        <f t="shared" si="10"/>
        <v>0</v>
      </c>
      <c r="O73" s="294"/>
      <c r="P73" s="404"/>
      <c r="Q73" s="404"/>
      <c r="R73" s="301"/>
      <c r="S73" s="301"/>
      <c r="T73" s="301"/>
      <c r="U73" s="301"/>
      <c r="V73" s="301"/>
    </row>
    <row r="74" spans="1:22" ht="12.6" customHeight="1" thickTop="1" thickBot="1" x14ac:dyDescent="0.3">
      <c r="A74" s="292"/>
      <c r="B74" s="293"/>
      <c r="C74" s="294"/>
      <c r="D74" s="294"/>
      <c r="E74" s="294"/>
      <c r="F74" s="310"/>
      <c r="G74" s="310"/>
      <c r="H74" s="310"/>
      <c r="I74" s="295"/>
      <c r="J74" s="295"/>
      <c r="K74" s="300">
        <f t="shared" si="7"/>
        <v>1.1000000000000001</v>
      </c>
      <c r="L74" s="300">
        <f t="shared" si="8"/>
        <v>0</v>
      </c>
      <c r="M74" s="285">
        <f t="shared" si="9"/>
        <v>0</v>
      </c>
      <c r="N74" s="1076">
        <f t="shared" si="10"/>
        <v>0</v>
      </c>
      <c r="O74" s="294"/>
      <c r="P74" s="404"/>
      <c r="Q74" s="404"/>
      <c r="R74" s="301"/>
      <c r="S74" s="301"/>
      <c r="T74" s="301"/>
      <c r="U74" s="301"/>
      <c r="V74" s="301"/>
    </row>
    <row r="75" spans="1:22" ht="12.6" customHeight="1" thickTop="1" thickBot="1" x14ac:dyDescent="0.3">
      <c r="A75" s="292"/>
      <c r="B75" s="293"/>
      <c r="C75" s="294"/>
      <c r="D75" s="294"/>
      <c r="E75" s="294"/>
      <c r="F75" s="310"/>
      <c r="G75" s="310"/>
      <c r="H75" s="310"/>
      <c r="I75" s="295"/>
      <c r="J75" s="295"/>
      <c r="K75" s="300">
        <f t="shared" si="7"/>
        <v>1.1000000000000001</v>
      </c>
      <c r="L75" s="300">
        <f t="shared" si="8"/>
        <v>0</v>
      </c>
      <c r="M75" s="285">
        <f t="shared" si="9"/>
        <v>0</v>
      </c>
      <c r="N75" s="1076">
        <f t="shared" si="10"/>
        <v>0</v>
      </c>
      <c r="O75" s="294"/>
      <c r="P75" s="404"/>
      <c r="Q75" s="404"/>
      <c r="R75" s="301"/>
      <c r="S75" s="301"/>
      <c r="T75" s="301"/>
      <c r="U75" s="301"/>
      <c r="V75" s="301"/>
    </row>
    <row r="76" spans="1:22" ht="12.6" customHeight="1" thickTop="1" thickBot="1" x14ac:dyDescent="0.3">
      <c r="A76" s="292"/>
      <c r="B76" s="293"/>
      <c r="C76" s="294"/>
      <c r="D76" s="294"/>
      <c r="E76" s="294"/>
      <c r="F76" s="310"/>
      <c r="G76" s="310"/>
      <c r="H76" s="310"/>
      <c r="I76" s="295"/>
      <c r="J76" s="295"/>
      <c r="K76" s="300">
        <f t="shared" si="7"/>
        <v>1.1000000000000001</v>
      </c>
      <c r="L76" s="300">
        <f t="shared" si="8"/>
        <v>0</v>
      </c>
      <c r="M76" s="285">
        <f t="shared" si="9"/>
        <v>0</v>
      </c>
      <c r="N76" s="1076">
        <f t="shared" si="10"/>
        <v>0</v>
      </c>
      <c r="O76" s="294"/>
      <c r="P76" s="404"/>
      <c r="Q76" s="404"/>
      <c r="R76" s="301"/>
      <c r="S76" s="301"/>
      <c r="T76" s="301"/>
      <c r="U76" s="301"/>
      <c r="V76" s="301"/>
    </row>
    <row r="77" spans="1:22" ht="12.6" customHeight="1" thickTop="1" thickBot="1" x14ac:dyDescent="0.3">
      <c r="A77" s="292"/>
      <c r="B77" s="293"/>
      <c r="C77" s="294"/>
      <c r="D77" s="294"/>
      <c r="E77" s="294"/>
      <c r="F77" s="310"/>
      <c r="G77" s="310"/>
      <c r="H77" s="310"/>
      <c r="I77" s="295"/>
      <c r="J77" s="295"/>
      <c r="K77" s="300">
        <f t="shared" si="7"/>
        <v>1.1000000000000001</v>
      </c>
      <c r="L77" s="300">
        <f t="shared" si="8"/>
        <v>0</v>
      </c>
      <c r="M77" s="285">
        <f t="shared" si="9"/>
        <v>0</v>
      </c>
      <c r="N77" s="1076">
        <f t="shared" si="10"/>
        <v>0</v>
      </c>
      <c r="O77" s="294"/>
      <c r="P77" s="404"/>
      <c r="Q77" s="404"/>
      <c r="R77" s="301"/>
      <c r="S77" s="301"/>
      <c r="T77" s="301"/>
      <c r="U77" s="301"/>
      <c r="V77" s="301"/>
    </row>
    <row r="78" spans="1:22" ht="12.6" customHeight="1" thickTop="1" thickBot="1" x14ac:dyDescent="0.3">
      <c r="A78" s="292"/>
      <c r="B78" s="293"/>
      <c r="C78" s="294"/>
      <c r="D78" s="294"/>
      <c r="E78" s="294"/>
      <c r="F78" s="310"/>
      <c r="G78" s="310"/>
      <c r="H78" s="310"/>
      <c r="I78" s="295"/>
      <c r="J78" s="295"/>
      <c r="K78" s="300">
        <f t="shared" si="7"/>
        <v>1.1000000000000001</v>
      </c>
      <c r="L78" s="300">
        <f t="shared" si="8"/>
        <v>0</v>
      </c>
      <c r="M78" s="285">
        <f t="shared" si="9"/>
        <v>0</v>
      </c>
      <c r="N78" s="1076">
        <f t="shared" si="10"/>
        <v>0</v>
      </c>
      <c r="O78" s="294"/>
      <c r="P78" s="404"/>
      <c r="Q78" s="404"/>
      <c r="R78" s="301"/>
      <c r="S78" s="301"/>
      <c r="T78" s="301"/>
      <c r="U78" s="301"/>
      <c r="V78" s="301"/>
    </row>
    <row r="79" spans="1:22" ht="12.6" customHeight="1" thickTop="1" thickBot="1" x14ac:dyDescent="0.3">
      <c r="A79" s="292"/>
      <c r="B79" s="293"/>
      <c r="C79" s="294"/>
      <c r="D79" s="294"/>
      <c r="E79" s="294"/>
      <c r="F79" s="310"/>
      <c r="G79" s="310"/>
      <c r="H79" s="310"/>
      <c r="I79" s="295"/>
      <c r="J79" s="295"/>
      <c r="K79" s="300">
        <f t="shared" si="7"/>
        <v>1.1000000000000001</v>
      </c>
      <c r="L79" s="300">
        <f t="shared" si="8"/>
        <v>0</v>
      </c>
      <c r="M79" s="285">
        <f t="shared" si="9"/>
        <v>0</v>
      </c>
      <c r="N79" s="1076">
        <f t="shared" si="10"/>
        <v>0</v>
      </c>
      <c r="O79" s="294"/>
      <c r="P79" s="404"/>
      <c r="Q79" s="404"/>
      <c r="R79" s="301"/>
      <c r="S79" s="301"/>
      <c r="T79" s="301"/>
      <c r="U79" s="301"/>
      <c r="V79" s="301"/>
    </row>
    <row r="80" spans="1:22" ht="12.6" customHeight="1" thickTop="1" thickBot="1" x14ac:dyDescent="0.3">
      <c r="A80" s="292"/>
      <c r="B80" s="293"/>
      <c r="C80" s="294"/>
      <c r="D80" s="294"/>
      <c r="E80" s="294"/>
      <c r="F80" s="310"/>
      <c r="G80" s="310"/>
      <c r="H80" s="310"/>
      <c r="I80" s="295"/>
      <c r="J80" s="295"/>
      <c r="K80" s="300">
        <f t="shared" si="7"/>
        <v>1.1000000000000001</v>
      </c>
      <c r="L80" s="300">
        <f t="shared" si="8"/>
        <v>0</v>
      </c>
      <c r="M80" s="285">
        <f t="shared" si="9"/>
        <v>0</v>
      </c>
      <c r="N80" s="1076">
        <f t="shared" si="10"/>
        <v>0</v>
      </c>
      <c r="O80" s="294"/>
      <c r="P80" s="404"/>
      <c r="Q80" s="404"/>
      <c r="R80" s="301"/>
      <c r="S80" s="301"/>
      <c r="T80" s="301"/>
      <c r="U80" s="301"/>
      <c r="V80" s="301"/>
    </row>
    <row r="81" spans="1:22" ht="12.6" customHeight="1" thickTop="1" thickBot="1" x14ac:dyDescent="0.3">
      <c r="A81" s="292"/>
      <c r="B81" s="293"/>
      <c r="C81" s="294"/>
      <c r="D81" s="294"/>
      <c r="E81" s="294"/>
      <c r="F81" s="310"/>
      <c r="G81" s="310"/>
      <c r="H81" s="310"/>
      <c r="I81" s="295"/>
      <c r="J81" s="295"/>
      <c r="K81" s="300">
        <f t="shared" si="7"/>
        <v>1.1000000000000001</v>
      </c>
      <c r="L81" s="300">
        <f t="shared" si="8"/>
        <v>0</v>
      </c>
      <c r="M81" s="285">
        <f t="shared" si="9"/>
        <v>0</v>
      </c>
      <c r="N81" s="1076">
        <f t="shared" si="10"/>
        <v>0</v>
      </c>
      <c r="O81" s="294"/>
      <c r="P81" s="404"/>
      <c r="Q81" s="404"/>
      <c r="R81" s="301"/>
      <c r="S81" s="301"/>
      <c r="T81" s="301"/>
      <c r="U81" s="301"/>
      <c r="V81" s="301"/>
    </row>
    <row r="82" spans="1:22" ht="12.6" customHeight="1" thickTop="1" thickBot="1" x14ac:dyDescent="0.3">
      <c r="A82" s="292"/>
      <c r="B82" s="293"/>
      <c r="C82" s="294"/>
      <c r="D82" s="294"/>
      <c r="E82" s="294"/>
      <c r="F82" s="310"/>
      <c r="G82" s="310"/>
      <c r="H82" s="310"/>
      <c r="I82" s="295"/>
      <c r="J82" s="295"/>
      <c r="K82" s="300">
        <f t="shared" si="7"/>
        <v>1.1000000000000001</v>
      </c>
      <c r="L82" s="300">
        <f t="shared" si="8"/>
        <v>0</v>
      </c>
      <c r="M82" s="285">
        <f t="shared" si="9"/>
        <v>0</v>
      </c>
      <c r="N82" s="1076">
        <f t="shared" si="10"/>
        <v>0</v>
      </c>
      <c r="O82" s="294"/>
      <c r="P82" s="404"/>
      <c r="Q82" s="404"/>
      <c r="R82" s="301"/>
      <c r="S82" s="301"/>
      <c r="T82" s="301"/>
      <c r="U82" s="301"/>
      <c r="V82" s="301"/>
    </row>
    <row r="83" spans="1:22" ht="12.6" customHeight="1" thickTop="1" thickBot="1" x14ac:dyDescent="0.3">
      <c r="A83" s="292"/>
      <c r="B83" s="293"/>
      <c r="C83" s="294"/>
      <c r="D83" s="294"/>
      <c r="E83" s="294"/>
      <c r="F83" s="310"/>
      <c r="G83" s="310"/>
      <c r="H83" s="310"/>
      <c r="I83" s="295"/>
      <c r="J83" s="295"/>
      <c r="K83" s="300">
        <f t="shared" si="7"/>
        <v>1.1000000000000001</v>
      </c>
      <c r="L83" s="300">
        <f t="shared" si="8"/>
        <v>0</v>
      </c>
      <c r="M83" s="285">
        <f t="shared" si="9"/>
        <v>0</v>
      </c>
      <c r="N83" s="1076">
        <f t="shared" si="10"/>
        <v>0</v>
      </c>
      <c r="O83" s="294"/>
      <c r="P83" s="404"/>
      <c r="Q83" s="404"/>
      <c r="R83" s="301"/>
      <c r="S83" s="301"/>
      <c r="T83" s="301"/>
      <c r="U83" s="301"/>
      <c r="V83" s="301"/>
    </row>
    <row r="84" spans="1:22" ht="12.6" customHeight="1" thickTop="1" thickBot="1" x14ac:dyDescent="0.3">
      <c r="A84" s="292"/>
      <c r="B84" s="293"/>
      <c r="C84" s="294"/>
      <c r="D84" s="294"/>
      <c r="E84" s="294"/>
      <c r="F84" s="310"/>
      <c r="G84" s="310"/>
      <c r="H84" s="310"/>
      <c r="I84" s="295"/>
      <c r="J84" s="295"/>
      <c r="K84" s="300">
        <f t="shared" si="7"/>
        <v>1.1000000000000001</v>
      </c>
      <c r="L84" s="300">
        <f t="shared" si="8"/>
        <v>0</v>
      </c>
      <c r="M84" s="285">
        <f t="shared" si="9"/>
        <v>0</v>
      </c>
      <c r="N84" s="1076">
        <f t="shared" si="10"/>
        <v>0</v>
      </c>
      <c r="O84" s="294"/>
      <c r="P84" s="404"/>
      <c r="Q84" s="404"/>
      <c r="R84" s="301"/>
      <c r="S84" s="301"/>
      <c r="T84" s="301"/>
      <c r="U84" s="301"/>
      <c r="V84" s="301"/>
    </row>
    <row r="85" spans="1:22" ht="12.6" customHeight="1" thickTop="1" thickBot="1" x14ac:dyDescent="0.3">
      <c r="A85" s="292"/>
      <c r="B85" s="293"/>
      <c r="C85" s="294"/>
      <c r="D85" s="294"/>
      <c r="E85" s="294"/>
      <c r="F85" s="310"/>
      <c r="G85" s="310"/>
      <c r="H85" s="310"/>
      <c r="I85" s="295"/>
      <c r="J85" s="295"/>
      <c r="K85" s="300">
        <f t="shared" si="7"/>
        <v>1.1000000000000001</v>
      </c>
      <c r="L85" s="300">
        <f t="shared" si="8"/>
        <v>0</v>
      </c>
      <c r="M85" s="285">
        <f t="shared" si="9"/>
        <v>0</v>
      </c>
      <c r="N85" s="1076">
        <f t="shared" si="10"/>
        <v>0</v>
      </c>
      <c r="O85" s="294"/>
      <c r="P85" s="404"/>
      <c r="Q85" s="404"/>
      <c r="R85" s="301"/>
      <c r="S85" s="301"/>
      <c r="T85" s="301"/>
      <c r="U85" s="301"/>
      <c r="V85" s="301"/>
    </row>
    <row r="86" spans="1:22" ht="12.6" customHeight="1" thickTop="1" thickBot="1" x14ac:dyDescent="0.3">
      <c r="A86" s="292"/>
      <c r="B86" s="293"/>
      <c r="C86" s="294"/>
      <c r="D86" s="294"/>
      <c r="E86" s="294"/>
      <c r="F86" s="310"/>
      <c r="G86" s="310"/>
      <c r="H86" s="310"/>
      <c r="I86" s="295"/>
      <c r="J86" s="295"/>
      <c r="K86" s="300">
        <f t="shared" si="7"/>
        <v>1.1000000000000001</v>
      </c>
      <c r="L86" s="300">
        <f t="shared" si="8"/>
        <v>0</v>
      </c>
      <c r="M86" s="285">
        <f t="shared" si="9"/>
        <v>0</v>
      </c>
      <c r="N86" s="1076">
        <f t="shared" si="10"/>
        <v>0</v>
      </c>
      <c r="O86" s="294"/>
      <c r="P86" s="404"/>
      <c r="Q86" s="404"/>
      <c r="R86" s="301"/>
      <c r="S86" s="301"/>
      <c r="T86" s="301"/>
      <c r="U86" s="301"/>
      <c r="V86" s="301"/>
    </row>
    <row r="87" spans="1:22" ht="12.6" customHeight="1" thickTop="1" thickBot="1" x14ac:dyDescent="0.3">
      <c r="A87" s="292"/>
      <c r="B87" s="293"/>
      <c r="C87" s="294"/>
      <c r="D87" s="294"/>
      <c r="E87" s="294"/>
      <c r="F87" s="310"/>
      <c r="G87" s="310"/>
      <c r="H87" s="310"/>
      <c r="I87" s="295"/>
      <c r="J87" s="295"/>
      <c r="K87" s="300">
        <f t="shared" si="7"/>
        <v>1.1000000000000001</v>
      </c>
      <c r="L87" s="300">
        <f t="shared" si="8"/>
        <v>0</v>
      </c>
      <c r="M87" s="285">
        <f t="shared" si="9"/>
        <v>0</v>
      </c>
      <c r="N87" s="1076">
        <f t="shared" si="10"/>
        <v>0</v>
      </c>
      <c r="O87" s="294"/>
      <c r="P87" s="404"/>
      <c r="Q87" s="404"/>
      <c r="R87" s="301"/>
      <c r="S87" s="301"/>
      <c r="T87" s="301"/>
      <c r="U87" s="301"/>
      <c r="V87" s="301"/>
    </row>
    <row r="88" spans="1:22" ht="12.6" customHeight="1" thickTop="1" thickBot="1" x14ac:dyDescent="0.3">
      <c r="A88" s="292"/>
      <c r="B88" s="293"/>
      <c r="C88" s="294"/>
      <c r="D88" s="294"/>
      <c r="E88" s="294"/>
      <c r="F88" s="310"/>
      <c r="G88" s="310"/>
      <c r="H88" s="310"/>
      <c r="I88" s="295"/>
      <c r="J88" s="295"/>
      <c r="K88" s="300">
        <f t="shared" si="7"/>
        <v>1.1000000000000001</v>
      </c>
      <c r="L88" s="300">
        <f t="shared" si="8"/>
        <v>0</v>
      </c>
      <c r="M88" s="285">
        <f t="shared" si="9"/>
        <v>0</v>
      </c>
      <c r="N88" s="1076">
        <f t="shared" si="10"/>
        <v>0</v>
      </c>
      <c r="O88" s="294"/>
      <c r="P88" s="404"/>
      <c r="Q88" s="404"/>
      <c r="R88" s="301"/>
      <c r="S88" s="301"/>
      <c r="T88" s="301"/>
      <c r="U88" s="301"/>
      <c r="V88" s="301"/>
    </row>
    <row r="89" spans="1:22" ht="12.6" customHeight="1" thickTop="1" thickBot="1" x14ac:dyDescent="0.3">
      <c r="A89" s="292"/>
      <c r="B89" s="293"/>
      <c r="C89" s="294"/>
      <c r="D89" s="294"/>
      <c r="E89" s="294"/>
      <c r="F89" s="310"/>
      <c r="G89" s="310"/>
      <c r="H89" s="310"/>
      <c r="I89" s="295"/>
      <c r="J89" s="295"/>
      <c r="K89" s="300">
        <f t="shared" si="7"/>
        <v>1.1000000000000001</v>
      </c>
      <c r="L89" s="300">
        <f t="shared" si="8"/>
        <v>0</v>
      </c>
      <c r="M89" s="285">
        <f t="shared" si="9"/>
        <v>0</v>
      </c>
      <c r="N89" s="1076">
        <f t="shared" si="10"/>
        <v>0</v>
      </c>
      <c r="O89" s="294"/>
      <c r="P89" s="404"/>
      <c r="Q89" s="404"/>
      <c r="R89" s="301"/>
      <c r="S89" s="301"/>
      <c r="T89" s="301"/>
      <c r="U89" s="301"/>
      <c r="V89" s="301"/>
    </row>
    <row r="90" spans="1:22" ht="12.6" customHeight="1" thickTop="1" thickBot="1" x14ac:dyDescent="0.3">
      <c r="A90" s="292"/>
      <c r="B90" s="293"/>
      <c r="C90" s="294"/>
      <c r="D90" s="294"/>
      <c r="E90" s="294"/>
      <c r="F90" s="310"/>
      <c r="G90" s="310"/>
      <c r="H90" s="310"/>
      <c r="I90" s="295"/>
      <c r="J90" s="295"/>
      <c r="K90" s="300">
        <f t="shared" si="7"/>
        <v>1.1000000000000001</v>
      </c>
      <c r="L90" s="300">
        <f t="shared" si="8"/>
        <v>0</v>
      </c>
      <c r="M90" s="285">
        <f t="shared" si="9"/>
        <v>0</v>
      </c>
      <c r="N90" s="1076">
        <f t="shared" si="10"/>
        <v>0</v>
      </c>
      <c r="O90" s="294"/>
      <c r="P90" s="404"/>
      <c r="Q90" s="404"/>
      <c r="R90" s="301"/>
      <c r="S90" s="301"/>
      <c r="T90" s="301"/>
      <c r="U90" s="301"/>
      <c r="V90" s="301"/>
    </row>
    <row r="91" spans="1:22" ht="12.6" customHeight="1" thickTop="1" thickBot="1" x14ac:dyDescent="0.3">
      <c r="A91" s="292"/>
      <c r="B91" s="293"/>
      <c r="C91" s="294"/>
      <c r="D91" s="294"/>
      <c r="E91" s="294"/>
      <c r="F91" s="310"/>
      <c r="G91" s="310"/>
      <c r="H91" s="310"/>
      <c r="I91" s="295"/>
      <c r="J91" s="295"/>
      <c r="K91" s="300">
        <f t="shared" si="7"/>
        <v>1.1000000000000001</v>
      </c>
      <c r="L91" s="300">
        <f t="shared" si="8"/>
        <v>0</v>
      </c>
      <c r="M91" s="285">
        <f t="shared" si="9"/>
        <v>0</v>
      </c>
      <c r="N91" s="1076">
        <f t="shared" si="10"/>
        <v>0</v>
      </c>
      <c r="O91" s="294"/>
      <c r="P91" s="404"/>
      <c r="Q91" s="404"/>
      <c r="R91" s="301"/>
      <c r="S91" s="301"/>
      <c r="T91" s="301"/>
      <c r="U91" s="301"/>
      <c r="V91" s="301"/>
    </row>
    <row r="92" spans="1:22" ht="12.6" customHeight="1" thickTop="1" thickBot="1" x14ac:dyDescent="0.3">
      <c r="A92" s="292"/>
      <c r="B92" s="293"/>
      <c r="C92" s="294"/>
      <c r="D92" s="294"/>
      <c r="E92" s="294"/>
      <c r="F92" s="310"/>
      <c r="G92" s="310"/>
      <c r="H92" s="310"/>
      <c r="I92" s="295"/>
      <c r="J92" s="295"/>
      <c r="K92" s="300">
        <f t="shared" si="7"/>
        <v>1.1000000000000001</v>
      </c>
      <c r="L92" s="300">
        <f t="shared" si="8"/>
        <v>0</v>
      </c>
      <c r="M92" s="285">
        <f t="shared" si="9"/>
        <v>0</v>
      </c>
      <c r="N92" s="1076">
        <f t="shared" si="10"/>
        <v>0</v>
      </c>
      <c r="O92" s="294"/>
      <c r="P92" s="404"/>
      <c r="Q92" s="404"/>
      <c r="R92" s="301"/>
      <c r="S92" s="301"/>
      <c r="T92" s="301"/>
      <c r="U92" s="301"/>
      <c r="V92" s="301"/>
    </row>
    <row r="93" spans="1:22" ht="12.6" customHeight="1" thickTop="1" thickBot="1" x14ac:dyDescent="0.3">
      <c r="A93" s="292"/>
      <c r="B93" s="293"/>
      <c r="C93" s="294"/>
      <c r="D93" s="294"/>
      <c r="E93" s="294"/>
      <c r="F93" s="310"/>
      <c r="G93" s="310"/>
      <c r="H93" s="310"/>
      <c r="I93" s="295"/>
      <c r="J93" s="295"/>
      <c r="K93" s="300">
        <f t="shared" si="7"/>
        <v>1.1000000000000001</v>
      </c>
      <c r="L93" s="300">
        <f t="shared" si="8"/>
        <v>0</v>
      </c>
      <c r="M93" s="285">
        <f t="shared" si="9"/>
        <v>0</v>
      </c>
      <c r="N93" s="1076">
        <f t="shared" si="10"/>
        <v>0</v>
      </c>
      <c r="O93" s="294"/>
      <c r="P93" s="404"/>
      <c r="Q93" s="404"/>
      <c r="R93" s="301"/>
      <c r="S93" s="301"/>
      <c r="T93" s="301"/>
      <c r="U93" s="301"/>
      <c r="V93" s="301"/>
    </row>
    <row r="94" spans="1:22" ht="12.6" customHeight="1" thickTop="1" thickBot="1" x14ac:dyDescent="0.3">
      <c r="A94" s="292"/>
      <c r="B94" s="293"/>
      <c r="C94" s="294"/>
      <c r="D94" s="294"/>
      <c r="E94" s="294"/>
      <c r="F94" s="310"/>
      <c r="G94" s="310"/>
      <c r="H94" s="310"/>
      <c r="I94" s="295"/>
      <c r="J94" s="295"/>
      <c r="K94" s="300">
        <f t="shared" si="7"/>
        <v>1.1000000000000001</v>
      </c>
      <c r="L94" s="300">
        <f t="shared" si="8"/>
        <v>0</v>
      </c>
      <c r="M94" s="285">
        <f t="shared" si="9"/>
        <v>0</v>
      </c>
      <c r="N94" s="1076">
        <f t="shared" si="10"/>
        <v>0</v>
      </c>
      <c r="O94" s="294"/>
      <c r="P94" s="404"/>
      <c r="Q94" s="404"/>
      <c r="R94" s="301"/>
      <c r="S94" s="301"/>
      <c r="T94" s="301"/>
      <c r="U94" s="301"/>
      <c r="V94" s="301"/>
    </row>
    <row r="95" spans="1:22" ht="12.6" customHeight="1" thickTop="1" thickBot="1" x14ac:dyDescent="0.3">
      <c r="A95" s="292"/>
      <c r="B95" s="293"/>
      <c r="C95" s="294"/>
      <c r="D95" s="294"/>
      <c r="E95" s="294"/>
      <c r="F95" s="310"/>
      <c r="G95" s="310"/>
      <c r="H95" s="310"/>
      <c r="I95" s="295"/>
      <c r="J95" s="295"/>
      <c r="K95" s="300">
        <f t="shared" si="7"/>
        <v>1.1000000000000001</v>
      </c>
      <c r="L95" s="300">
        <f t="shared" si="8"/>
        <v>0</v>
      </c>
      <c r="M95" s="285">
        <f t="shared" si="9"/>
        <v>0</v>
      </c>
      <c r="N95" s="1076">
        <f t="shared" si="10"/>
        <v>0</v>
      </c>
      <c r="O95" s="294"/>
      <c r="P95" s="404"/>
      <c r="Q95" s="404"/>
      <c r="R95" s="301"/>
      <c r="S95" s="301"/>
      <c r="T95" s="301"/>
      <c r="U95" s="301"/>
      <c r="V95" s="301"/>
    </row>
    <row r="96" spans="1:22" ht="12.6" customHeight="1" thickTop="1" thickBot="1" x14ac:dyDescent="0.3">
      <c r="A96" s="292"/>
      <c r="B96" s="293"/>
      <c r="C96" s="294"/>
      <c r="D96" s="294"/>
      <c r="E96" s="294"/>
      <c r="F96" s="310"/>
      <c r="G96" s="310"/>
      <c r="H96" s="310"/>
      <c r="I96" s="295"/>
      <c r="J96" s="295"/>
      <c r="K96" s="300">
        <f t="shared" si="7"/>
        <v>1.1000000000000001</v>
      </c>
      <c r="L96" s="300">
        <f t="shared" si="8"/>
        <v>0</v>
      </c>
      <c r="M96" s="285">
        <f t="shared" si="9"/>
        <v>0</v>
      </c>
      <c r="N96" s="1076">
        <f t="shared" si="10"/>
        <v>0</v>
      </c>
      <c r="O96" s="294"/>
      <c r="P96" s="404"/>
      <c r="Q96" s="404"/>
      <c r="R96" s="301"/>
      <c r="S96" s="301"/>
      <c r="T96" s="301"/>
      <c r="U96" s="301"/>
      <c r="V96" s="301"/>
    </row>
    <row r="97" spans="1:22" ht="12.6" customHeight="1" thickTop="1" thickBot="1" x14ac:dyDescent="0.3">
      <c r="A97" s="292"/>
      <c r="B97" s="293"/>
      <c r="C97" s="294"/>
      <c r="D97" s="294"/>
      <c r="E97" s="294"/>
      <c r="F97" s="310"/>
      <c r="G97" s="310"/>
      <c r="H97" s="310"/>
      <c r="I97" s="295"/>
      <c r="J97" s="295"/>
      <c r="K97" s="300">
        <f t="shared" si="7"/>
        <v>1.1000000000000001</v>
      </c>
      <c r="L97" s="300">
        <f t="shared" si="8"/>
        <v>0</v>
      </c>
      <c r="M97" s="285">
        <f t="shared" si="9"/>
        <v>0</v>
      </c>
      <c r="N97" s="1076">
        <f t="shared" si="10"/>
        <v>0</v>
      </c>
      <c r="O97" s="294"/>
      <c r="P97" s="404"/>
      <c r="Q97" s="404"/>
      <c r="R97" s="301"/>
      <c r="S97" s="301"/>
      <c r="T97" s="301"/>
      <c r="U97" s="301"/>
      <c r="V97" s="301"/>
    </row>
    <row r="98" spans="1:22" ht="12.6" customHeight="1" thickTop="1" thickBot="1" x14ac:dyDescent="0.3">
      <c r="A98" s="292"/>
      <c r="B98" s="293"/>
      <c r="C98" s="294"/>
      <c r="D98" s="294"/>
      <c r="E98" s="294"/>
      <c r="F98" s="310"/>
      <c r="G98" s="310"/>
      <c r="H98" s="310"/>
      <c r="I98" s="295"/>
      <c r="J98" s="295"/>
      <c r="K98" s="300">
        <f t="shared" si="7"/>
        <v>1.1000000000000001</v>
      </c>
      <c r="L98" s="300">
        <f t="shared" si="8"/>
        <v>0</v>
      </c>
      <c r="M98" s="285">
        <f t="shared" si="9"/>
        <v>0</v>
      </c>
      <c r="N98" s="1076">
        <f t="shared" si="10"/>
        <v>0</v>
      </c>
      <c r="O98" s="294"/>
      <c r="P98" s="404"/>
      <c r="Q98" s="404"/>
      <c r="R98" s="301"/>
      <c r="S98" s="301"/>
      <c r="T98" s="301"/>
      <c r="U98" s="301"/>
      <c r="V98" s="301"/>
    </row>
    <row r="99" spans="1:22" ht="12.6" customHeight="1" thickTop="1" thickBot="1" x14ac:dyDescent="0.3">
      <c r="A99" s="292"/>
      <c r="B99" s="293"/>
      <c r="C99" s="294"/>
      <c r="D99" s="294"/>
      <c r="E99" s="294"/>
      <c r="F99" s="310"/>
      <c r="G99" s="310"/>
      <c r="H99" s="310"/>
      <c r="I99" s="295"/>
      <c r="J99" s="295"/>
      <c r="K99" s="300">
        <f t="shared" si="7"/>
        <v>1.1000000000000001</v>
      </c>
      <c r="L99" s="300">
        <f t="shared" si="8"/>
        <v>0</v>
      </c>
      <c r="M99" s="285">
        <f t="shared" si="9"/>
        <v>0</v>
      </c>
      <c r="N99" s="1076">
        <f t="shared" si="10"/>
        <v>0</v>
      </c>
      <c r="O99" s="294"/>
      <c r="P99" s="404"/>
      <c r="Q99" s="404"/>
      <c r="R99" s="301"/>
      <c r="S99" s="301"/>
      <c r="T99" s="301"/>
      <c r="U99" s="301"/>
      <c r="V99" s="301"/>
    </row>
    <row r="100" spans="1:22" ht="12.6" customHeight="1" thickTop="1" thickBot="1" x14ac:dyDescent="0.3">
      <c r="A100" s="292"/>
      <c r="B100" s="293"/>
      <c r="C100" s="294"/>
      <c r="D100" s="294"/>
      <c r="E100" s="294"/>
      <c r="F100" s="310"/>
      <c r="G100" s="310"/>
      <c r="H100" s="310"/>
      <c r="I100" s="295"/>
      <c r="J100" s="295"/>
      <c r="K100" s="300">
        <f t="shared" si="7"/>
        <v>1.1000000000000001</v>
      </c>
      <c r="L100" s="300">
        <f t="shared" si="8"/>
        <v>0</v>
      </c>
      <c r="M100" s="285">
        <f t="shared" si="9"/>
        <v>0</v>
      </c>
      <c r="N100" s="1076">
        <f t="shared" si="10"/>
        <v>0</v>
      </c>
      <c r="O100" s="294"/>
      <c r="P100" s="404"/>
      <c r="Q100" s="404"/>
      <c r="R100" s="301"/>
      <c r="S100" s="301"/>
      <c r="T100" s="301"/>
      <c r="U100" s="301"/>
      <c r="V100" s="301"/>
    </row>
    <row r="101" spans="1:22" ht="12.6" customHeight="1" thickTop="1" thickBot="1" x14ac:dyDescent="0.3">
      <c r="A101" s="292"/>
      <c r="B101" s="293"/>
      <c r="C101" s="294"/>
      <c r="D101" s="294"/>
      <c r="E101" s="294"/>
      <c r="F101" s="310"/>
      <c r="G101" s="310"/>
      <c r="H101" s="310"/>
      <c r="I101" s="295"/>
      <c r="J101" s="295"/>
      <c r="K101" s="300">
        <f t="shared" si="7"/>
        <v>1.1000000000000001</v>
      </c>
      <c r="L101" s="300">
        <f t="shared" si="8"/>
        <v>0</v>
      </c>
      <c r="M101" s="285">
        <f t="shared" si="9"/>
        <v>0</v>
      </c>
      <c r="N101" s="1076">
        <f t="shared" si="10"/>
        <v>0</v>
      </c>
      <c r="O101" s="294"/>
      <c r="P101" s="404"/>
      <c r="Q101" s="404"/>
      <c r="R101" s="301"/>
      <c r="S101" s="301"/>
      <c r="T101" s="301"/>
      <c r="U101" s="301"/>
      <c r="V101" s="301"/>
    </row>
    <row r="102" spans="1:22" ht="12.6" customHeight="1" thickTop="1" thickBot="1" x14ac:dyDescent="0.3">
      <c r="A102" s="292"/>
      <c r="B102" s="293"/>
      <c r="C102" s="294"/>
      <c r="D102" s="294"/>
      <c r="E102" s="294"/>
      <c r="F102" s="310"/>
      <c r="G102" s="310"/>
      <c r="H102" s="310"/>
      <c r="I102" s="295"/>
      <c r="J102" s="295"/>
      <c r="K102" s="300">
        <f t="shared" si="7"/>
        <v>1.1000000000000001</v>
      </c>
      <c r="L102" s="300">
        <f t="shared" si="8"/>
        <v>0</v>
      </c>
      <c r="M102" s="285">
        <f t="shared" si="9"/>
        <v>0</v>
      </c>
      <c r="N102" s="1076">
        <f t="shared" si="10"/>
        <v>0</v>
      </c>
      <c r="O102" s="294"/>
      <c r="P102" s="404"/>
      <c r="Q102" s="404"/>
      <c r="R102" s="301"/>
      <c r="S102" s="301"/>
      <c r="T102" s="301"/>
      <c r="U102" s="301"/>
      <c r="V102" s="301"/>
    </row>
    <row r="103" spans="1:22" ht="12.6" customHeight="1" thickTop="1" thickBot="1" x14ac:dyDescent="0.3">
      <c r="A103" s="292"/>
      <c r="B103" s="293"/>
      <c r="C103" s="294"/>
      <c r="D103" s="294"/>
      <c r="E103" s="294"/>
      <c r="F103" s="310"/>
      <c r="G103" s="310"/>
      <c r="H103" s="310"/>
      <c r="I103" s="295"/>
      <c r="J103" s="295"/>
      <c r="K103" s="300">
        <f t="shared" si="7"/>
        <v>1.1000000000000001</v>
      </c>
      <c r="L103" s="300">
        <f t="shared" si="8"/>
        <v>0</v>
      </c>
      <c r="M103" s="285">
        <f t="shared" si="9"/>
        <v>0</v>
      </c>
      <c r="N103" s="1076">
        <f t="shared" si="10"/>
        <v>0</v>
      </c>
      <c r="O103" s="294"/>
      <c r="P103" s="404"/>
      <c r="Q103" s="404"/>
      <c r="R103" s="301"/>
      <c r="S103" s="301"/>
      <c r="T103" s="301"/>
      <c r="U103" s="301"/>
      <c r="V103" s="301"/>
    </row>
    <row r="104" spans="1:22" ht="12.6" customHeight="1" thickTop="1" thickBot="1" x14ac:dyDescent="0.3">
      <c r="A104" s="292"/>
      <c r="B104" s="293"/>
      <c r="C104" s="294"/>
      <c r="D104" s="294"/>
      <c r="E104" s="294"/>
      <c r="F104" s="310"/>
      <c r="G104" s="310"/>
      <c r="H104" s="310"/>
      <c r="I104" s="295"/>
      <c r="J104" s="295"/>
      <c r="K104" s="300">
        <f t="shared" si="7"/>
        <v>1.1000000000000001</v>
      </c>
      <c r="L104" s="300">
        <f t="shared" si="8"/>
        <v>0</v>
      </c>
      <c r="M104" s="285">
        <f t="shared" si="9"/>
        <v>0</v>
      </c>
      <c r="N104" s="1076">
        <f t="shared" si="10"/>
        <v>0</v>
      </c>
      <c r="O104" s="294"/>
      <c r="P104" s="404"/>
      <c r="Q104" s="404"/>
      <c r="R104" s="301"/>
      <c r="S104" s="301"/>
      <c r="T104" s="301"/>
      <c r="U104" s="301"/>
      <c r="V104" s="301"/>
    </row>
    <row r="105" spans="1:22" ht="12.6" customHeight="1" thickTop="1" thickBot="1" x14ac:dyDescent="0.3">
      <c r="A105" s="292"/>
      <c r="B105" s="293"/>
      <c r="C105" s="294"/>
      <c r="D105" s="294"/>
      <c r="E105" s="294"/>
      <c r="F105" s="310"/>
      <c r="G105" s="310"/>
      <c r="H105" s="310"/>
      <c r="I105" s="295"/>
      <c r="J105" s="295"/>
      <c r="K105" s="300">
        <f t="shared" si="7"/>
        <v>1.1000000000000001</v>
      </c>
      <c r="L105" s="300">
        <f t="shared" si="8"/>
        <v>0</v>
      </c>
      <c r="M105" s="285">
        <f t="shared" si="9"/>
        <v>0</v>
      </c>
      <c r="N105" s="1076">
        <f t="shared" si="10"/>
        <v>0</v>
      </c>
      <c r="O105" s="294"/>
      <c r="P105" s="404"/>
      <c r="Q105" s="404"/>
      <c r="R105" s="301"/>
      <c r="S105" s="301"/>
      <c r="T105" s="301"/>
      <c r="U105" s="301"/>
      <c r="V105" s="301"/>
    </row>
    <row r="106" spans="1:22" ht="12.6" customHeight="1" thickTop="1" thickBot="1" x14ac:dyDescent="0.3">
      <c r="A106" s="292"/>
      <c r="B106" s="293"/>
      <c r="C106" s="294"/>
      <c r="D106" s="294"/>
      <c r="E106" s="294"/>
      <c r="F106" s="310"/>
      <c r="G106" s="310"/>
      <c r="H106" s="310"/>
      <c r="I106" s="295"/>
      <c r="J106" s="295"/>
      <c r="K106" s="300">
        <f t="shared" si="7"/>
        <v>1.1000000000000001</v>
      </c>
      <c r="L106" s="300">
        <f t="shared" si="8"/>
        <v>0</v>
      </c>
      <c r="M106" s="285">
        <f t="shared" si="9"/>
        <v>0</v>
      </c>
      <c r="N106" s="1076">
        <f t="shared" si="10"/>
        <v>0</v>
      </c>
      <c r="O106" s="294"/>
      <c r="P106" s="404"/>
      <c r="Q106" s="404"/>
      <c r="R106" s="301"/>
      <c r="S106" s="301"/>
      <c r="T106" s="301"/>
      <c r="U106" s="301"/>
      <c r="V106" s="301"/>
    </row>
    <row r="107" spans="1:22" ht="12.6" customHeight="1" thickTop="1" thickBot="1" x14ac:dyDescent="0.3">
      <c r="A107" s="292"/>
      <c r="B107" s="293"/>
      <c r="C107" s="294"/>
      <c r="D107" s="294"/>
      <c r="E107" s="294"/>
      <c r="F107" s="310"/>
      <c r="G107" s="310"/>
      <c r="H107" s="310"/>
      <c r="I107" s="295"/>
      <c r="J107" s="295"/>
      <c r="K107" s="300">
        <f t="shared" si="7"/>
        <v>1.1000000000000001</v>
      </c>
      <c r="L107" s="300">
        <f t="shared" si="8"/>
        <v>0</v>
      </c>
      <c r="M107" s="285">
        <f t="shared" si="9"/>
        <v>0</v>
      </c>
      <c r="N107" s="1076">
        <f t="shared" si="10"/>
        <v>0</v>
      </c>
      <c r="O107" s="294"/>
      <c r="P107" s="404"/>
      <c r="Q107" s="404"/>
      <c r="R107" s="301"/>
      <c r="S107" s="301"/>
      <c r="T107" s="301"/>
      <c r="U107" s="301"/>
      <c r="V107" s="301"/>
    </row>
    <row r="108" spans="1:22" ht="12.6" customHeight="1" thickTop="1" thickBot="1" x14ac:dyDescent="0.3">
      <c r="A108" s="292"/>
      <c r="B108" s="293"/>
      <c r="C108" s="294"/>
      <c r="D108" s="294"/>
      <c r="E108" s="294"/>
      <c r="F108" s="310"/>
      <c r="G108" s="310"/>
      <c r="H108" s="310"/>
      <c r="I108" s="295"/>
      <c r="J108" s="295"/>
      <c r="K108" s="300">
        <f t="shared" si="7"/>
        <v>1.1000000000000001</v>
      </c>
      <c r="L108" s="300">
        <f t="shared" si="8"/>
        <v>0</v>
      </c>
      <c r="M108" s="285">
        <f t="shared" si="9"/>
        <v>0</v>
      </c>
      <c r="N108" s="1076">
        <f t="shared" si="10"/>
        <v>0</v>
      </c>
      <c r="O108" s="294"/>
      <c r="P108" s="404"/>
      <c r="Q108" s="404"/>
      <c r="R108" s="301"/>
      <c r="S108" s="301"/>
      <c r="T108" s="301"/>
      <c r="U108" s="301"/>
      <c r="V108" s="301"/>
    </row>
    <row r="109" spans="1:22" ht="12.6" customHeight="1" thickTop="1" thickBot="1" x14ac:dyDescent="0.3">
      <c r="A109" s="292"/>
      <c r="B109" s="293"/>
      <c r="C109" s="294"/>
      <c r="D109" s="294"/>
      <c r="E109" s="294"/>
      <c r="F109" s="310"/>
      <c r="G109" s="310"/>
      <c r="H109" s="310"/>
      <c r="I109" s="295"/>
      <c r="J109" s="295"/>
      <c r="K109" s="300">
        <f t="shared" si="7"/>
        <v>1.1000000000000001</v>
      </c>
      <c r="L109" s="300">
        <f t="shared" si="8"/>
        <v>0</v>
      </c>
      <c r="M109" s="285">
        <f t="shared" si="9"/>
        <v>0</v>
      </c>
      <c r="N109" s="1076">
        <f t="shared" si="10"/>
        <v>0</v>
      </c>
      <c r="O109" s="294"/>
      <c r="P109" s="404"/>
      <c r="Q109" s="404"/>
      <c r="R109" s="301"/>
      <c r="S109" s="301"/>
      <c r="T109" s="301"/>
      <c r="U109" s="301"/>
      <c r="V109" s="301"/>
    </row>
    <row r="110" spans="1:22" ht="12.6" customHeight="1" thickTop="1" thickBot="1" x14ac:dyDescent="0.3">
      <c r="A110" s="292"/>
      <c r="B110" s="293"/>
      <c r="C110" s="294"/>
      <c r="D110" s="294"/>
      <c r="E110" s="294"/>
      <c r="F110" s="310"/>
      <c r="G110" s="310"/>
      <c r="H110" s="310"/>
      <c r="I110" s="295"/>
      <c r="J110" s="295"/>
      <c r="K110" s="300">
        <f t="shared" si="7"/>
        <v>1.1000000000000001</v>
      </c>
      <c r="L110" s="300">
        <f t="shared" si="8"/>
        <v>0</v>
      </c>
      <c r="M110" s="285">
        <f t="shared" si="9"/>
        <v>0</v>
      </c>
      <c r="N110" s="1076">
        <f t="shared" si="10"/>
        <v>0</v>
      </c>
      <c r="O110" s="294"/>
      <c r="P110" s="404"/>
      <c r="Q110" s="404"/>
      <c r="R110" s="301"/>
      <c r="S110" s="301"/>
      <c r="T110" s="301"/>
      <c r="U110" s="301"/>
      <c r="V110" s="301"/>
    </row>
    <row r="111" spans="1:22" ht="12.6" customHeight="1" thickTop="1" thickBot="1" x14ac:dyDescent="0.3">
      <c r="A111" s="292"/>
      <c r="B111" s="293"/>
      <c r="C111" s="294"/>
      <c r="D111" s="294"/>
      <c r="E111" s="294"/>
      <c r="F111" s="310"/>
      <c r="G111" s="310"/>
      <c r="H111" s="310"/>
      <c r="I111" s="295"/>
      <c r="J111" s="295"/>
      <c r="K111" s="300">
        <f t="shared" si="7"/>
        <v>1.1000000000000001</v>
      </c>
      <c r="L111" s="300">
        <f t="shared" si="8"/>
        <v>0</v>
      </c>
      <c r="M111" s="285">
        <f t="shared" si="9"/>
        <v>0</v>
      </c>
      <c r="N111" s="1076">
        <f t="shared" si="10"/>
        <v>0</v>
      </c>
      <c r="O111" s="294"/>
      <c r="P111" s="404"/>
      <c r="Q111" s="404"/>
      <c r="R111" s="301"/>
      <c r="S111" s="301"/>
      <c r="T111" s="301"/>
      <c r="U111" s="301"/>
      <c r="V111" s="301"/>
    </row>
    <row r="112" spans="1:22" ht="12.6" customHeight="1" thickTop="1" thickBot="1" x14ac:dyDescent="0.3">
      <c r="A112" s="292"/>
      <c r="B112" s="293"/>
      <c r="C112" s="294"/>
      <c r="D112" s="294"/>
      <c r="E112" s="294"/>
      <c r="F112" s="310"/>
      <c r="G112" s="310"/>
      <c r="H112" s="310"/>
      <c r="I112" s="295"/>
      <c r="J112" s="295"/>
      <c r="K112" s="300">
        <f t="shared" si="7"/>
        <v>1.1000000000000001</v>
      </c>
      <c r="L112" s="300">
        <f t="shared" si="8"/>
        <v>0</v>
      </c>
      <c r="M112" s="285">
        <f t="shared" si="9"/>
        <v>0</v>
      </c>
      <c r="N112" s="1076">
        <f t="shared" si="10"/>
        <v>0</v>
      </c>
      <c r="O112" s="294"/>
      <c r="P112" s="404"/>
      <c r="Q112" s="404"/>
      <c r="R112" s="301"/>
      <c r="S112" s="301"/>
      <c r="T112" s="301"/>
      <c r="U112" s="301"/>
      <c r="V112" s="301"/>
    </row>
    <row r="113" spans="1:22" ht="12.6" customHeight="1" thickTop="1" thickBot="1" x14ac:dyDescent="0.3">
      <c r="A113" s="292"/>
      <c r="B113" s="293"/>
      <c r="C113" s="294"/>
      <c r="D113" s="294"/>
      <c r="E113" s="294"/>
      <c r="F113" s="310"/>
      <c r="G113" s="310"/>
      <c r="H113" s="310"/>
      <c r="I113" s="295"/>
      <c r="J113" s="295"/>
      <c r="K113" s="300">
        <f t="shared" si="7"/>
        <v>1.1000000000000001</v>
      </c>
      <c r="L113" s="300">
        <f t="shared" si="8"/>
        <v>0</v>
      </c>
      <c r="M113" s="285">
        <f t="shared" si="9"/>
        <v>0</v>
      </c>
      <c r="N113" s="1076">
        <f t="shared" si="10"/>
        <v>0</v>
      </c>
      <c r="O113" s="294"/>
      <c r="P113" s="404"/>
      <c r="Q113" s="404"/>
      <c r="R113" s="301"/>
      <c r="S113" s="301"/>
      <c r="T113" s="301"/>
      <c r="U113" s="301"/>
      <c r="V113" s="301"/>
    </row>
    <row r="114" spans="1:22" ht="12.6" customHeight="1" thickTop="1" thickBot="1" x14ac:dyDescent="0.3">
      <c r="A114" s="292"/>
      <c r="B114" s="293"/>
      <c r="C114" s="294"/>
      <c r="D114" s="294"/>
      <c r="E114" s="294"/>
      <c r="F114" s="310"/>
      <c r="G114" s="310"/>
      <c r="H114" s="310"/>
      <c r="I114" s="295"/>
      <c r="J114" s="295"/>
      <c r="K114" s="300">
        <f t="shared" si="7"/>
        <v>1.1000000000000001</v>
      </c>
      <c r="L114" s="300">
        <f t="shared" si="8"/>
        <v>0</v>
      </c>
      <c r="M114" s="285">
        <f t="shared" si="9"/>
        <v>0</v>
      </c>
      <c r="N114" s="1076">
        <f t="shared" si="10"/>
        <v>0</v>
      </c>
      <c r="O114" s="294"/>
      <c r="P114" s="404"/>
      <c r="Q114" s="404"/>
      <c r="R114" s="301"/>
      <c r="S114" s="301"/>
      <c r="T114" s="301"/>
      <c r="U114" s="301"/>
      <c r="V114" s="301"/>
    </row>
    <row r="115" spans="1:22" ht="12.6" customHeight="1" thickTop="1" thickBot="1" x14ac:dyDescent="0.3">
      <c r="A115" s="292"/>
      <c r="B115" s="293"/>
      <c r="C115" s="294"/>
      <c r="D115" s="294"/>
      <c r="E115" s="294"/>
      <c r="F115" s="310"/>
      <c r="G115" s="310"/>
      <c r="H115" s="310"/>
      <c r="I115" s="295"/>
      <c r="J115" s="295"/>
      <c r="K115" s="300">
        <f t="shared" si="7"/>
        <v>1.1000000000000001</v>
      </c>
      <c r="L115" s="300">
        <f t="shared" si="8"/>
        <v>0</v>
      </c>
      <c r="M115" s="285">
        <f t="shared" si="9"/>
        <v>0</v>
      </c>
      <c r="N115" s="1076">
        <f t="shared" si="10"/>
        <v>0</v>
      </c>
      <c r="O115" s="294"/>
      <c r="P115" s="404"/>
      <c r="Q115" s="404"/>
      <c r="R115" s="301"/>
      <c r="S115" s="301"/>
      <c r="T115" s="301"/>
      <c r="U115" s="301"/>
      <c r="V115" s="301"/>
    </row>
    <row r="116" spans="1:22" ht="12.6" customHeight="1" thickTop="1" thickBot="1" x14ac:dyDescent="0.3">
      <c r="A116" s="292"/>
      <c r="B116" s="293"/>
      <c r="C116" s="294"/>
      <c r="D116" s="294"/>
      <c r="E116" s="294"/>
      <c r="F116" s="310"/>
      <c r="G116" s="310"/>
      <c r="H116" s="310"/>
      <c r="I116" s="295"/>
      <c r="J116" s="295"/>
      <c r="K116" s="300">
        <f t="shared" si="7"/>
        <v>1.1000000000000001</v>
      </c>
      <c r="L116" s="300">
        <f t="shared" si="8"/>
        <v>0</v>
      </c>
      <c r="M116" s="285">
        <f t="shared" si="9"/>
        <v>0</v>
      </c>
      <c r="N116" s="1076">
        <f t="shared" si="10"/>
        <v>0</v>
      </c>
      <c r="O116" s="294"/>
      <c r="P116" s="404"/>
      <c r="Q116" s="404"/>
      <c r="R116" s="301"/>
      <c r="S116" s="301"/>
      <c r="T116" s="301"/>
      <c r="U116" s="301"/>
      <c r="V116" s="301"/>
    </row>
    <row r="117" spans="1:22" ht="12.6" customHeight="1" thickTop="1" thickBot="1" x14ac:dyDescent="0.3">
      <c r="A117" s="292"/>
      <c r="B117" s="293"/>
      <c r="C117" s="294"/>
      <c r="D117" s="294"/>
      <c r="E117" s="294"/>
      <c r="F117" s="310"/>
      <c r="G117" s="310"/>
      <c r="H117" s="310"/>
      <c r="I117" s="295"/>
      <c r="J117" s="295"/>
      <c r="K117" s="300">
        <f t="shared" si="7"/>
        <v>1.1000000000000001</v>
      </c>
      <c r="L117" s="300">
        <f t="shared" si="8"/>
        <v>0</v>
      </c>
      <c r="M117" s="285">
        <f t="shared" si="9"/>
        <v>0</v>
      </c>
      <c r="N117" s="1076">
        <f t="shared" si="10"/>
        <v>0</v>
      </c>
      <c r="O117" s="294"/>
      <c r="P117" s="404"/>
      <c r="Q117" s="404"/>
      <c r="R117" s="301"/>
      <c r="S117" s="301"/>
      <c r="T117" s="301"/>
      <c r="U117" s="301"/>
      <c r="V117" s="301"/>
    </row>
    <row r="118" spans="1:22" ht="12.6" customHeight="1" thickTop="1" thickBot="1" x14ac:dyDescent="0.3">
      <c r="A118" s="292"/>
      <c r="B118" s="293"/>
      <c r="C118" s="294"/>
      <c r="D118" s="294"/>
      <c r="E118" s="294"/>
      <c r="F118" s="310"/>
      <c r="G118" s="310"/>
      <c r="H118" s="310"/>
      <c r="I118" s="295"/>
      <c r="J118" s="295"/>
      <c r="K118" s="300">
        <f t="shared" si="7"/>
        <v>1.1000000000000001</v>
      </c>
      <c r="L118" s="300">
        <f t="shared" si="8"/>
        <v>0</v>
      </c>
      <c r="M118" s="285">
        <f t="shared" si="9"/>
        <v>0</v>
      </c>
      <c r="N118" s="1076">
        <f t="shared" si="10"/>
        <v>0</v>
      </c>
      <c r="O118" s="294"/>
      <c r="P118" s="404"/>
      <c r="Q118" s="404"/>
      <c r="R118" s="301"/>
      <c r="S118" s="301"/>
      <c r="T118" s="301"/>
      <c r="U118" s="301"/>
      <c r="V118" s="301"/>
    </row>
    <row r="119" spans="1:22" ht="12.6" customHeight="1" thickTop="1" thickBot="1" x14ac:dyDescent="0.3">
      <c r="A119" s="292"/>
      <c r="B119" s="293"/>
      <c r="C119" s="294"/>
      <c r="D119" s="294"/>
      <c r="E119" s="294"/>
      <c r="F119" s="310"/>
      <c r="G119" s="310"/>
      <c r="H119" s="310"/>
      <c r="I119" s="295"/>
      <c r="J119" s="295"/>
      <c r="K119" s="300">
        <f t="shared" si="7"/>
        <v>1.1000000000000001</v>
      </c>
      <c r="L119" s="300">
        <f t="shared" si="8"/>
        <v>0</v>
      </c>
      <c r="M119" s="285">
        <f t="shared" si="9"/>
        <v>0</v>
      </c>
      <c r="N119" s="1076">
        <f t="shared" si="10"/>
        <v>0</v>
      </c>
      <c r="O119" s="294"/>
      <c r="P119" s="404"/>
      <c r="Q119" s="404"/>
      <c r="R119" s="301"/>
      <c r="S119" s="301"/>
      <c r="T119" s="301"/>
      <c r="U119" s="301"/>
      <c r="V119" s="301"/>
    </row>
    <row r="120" spans="1:22" ht="12.6" customHeight="1" thickTop="1" thickBot="1" x14ac:dyDescent="0.3">
      <c r="A120" s="292"/>
      <c r="B120" s="293"/>
      <c r="C120" s="294"/>
      <c r="D120" s="294"/>
      <c r="E120" s="294"/>
      <c r="F120" s="310"/>
      <c r="G120" s="310"/>
      <c r="H120" s="310"/>
      <c r="I120" s="295"/>
      <c r="J120" s="295"/>
      <c r="K120" s="300">
        <f t="shared" si="7"/>
        <v>1.1000000000000001</v>
      </c>
      <c r="L120" s="300">
        <f t="shared" si="8"/>
        <v>0</v>
      </c>
      <c r="M120" s="285">
        <f t="shared" si="9"/>
        <v>0</v>
      </c>
      <c r="N120" s="1076">
        <f t="shared" si="10"/>
        <v>0</v>
      </c>
      <c r="O120" s="294"/>
      <c r="P120" s="404"/>
      <c r="Q120" s="404"/>
      <c r="R120" s="301"/>
      <c r="S120" s="301"/>
      <c r="T120" s="301"/>
      <c r="U120" s="301"/>
      <c r="V120" s="301"/>
    </row>
    <row r="121" spans="1:22" ht="12.6" customHeight="1" thickTop="1" thickBot="1" x14ac:dyDescent="0.3">
      <c r="A121" s="292"/>
      <c r="B121" s="293"/>
      <c r="C121" s="294"/>
      <c r="D121" s="294"/>
      <c r="E121" s="294"/>
      <c r="F121" s="310"/>
      <c r="G121" s="310"/>
      <c r="H121" s="310"/>
      <c r="I121" s="295"/>
      <c r="J121" s="295"/>
      <c r="K121" s="300">
        <f t="shared" si="7"/>
        <v>1.1000000000000001</v>
      </c>
      <c r="L121" s="300">
        <f t="shared" si="8"/>
        <v>0</v>
      </c>
      <c r="M121" s="285">
        <f t="shared" si="9"/>
        <v>0</v>
      </c>
      <c r="N121" s="1076">
        <f t="shared" si="10"/>
        <v>0</v>
      </c>
      <c r="O121" s="294"/>
      <c r="P121" s="404"/>
      <c r="Q121" s="404"/>
      <c r="R121" s="301"/>
      <c r="S121" s="301"/>
      <c r="T121" s="301"/>
      <c r="U121" s="301"/>
      <c r="V121" s="301"/>
    </row>
    <row r="122" spans="1:22" ht="12.6" customHeight="1" thickTop="1" thickBot="1" x14ac:dyDescent="0.3">
      <c r="A122" s="292"/>
      <c r="B122" s="293"/>
      <c r="C122" s="294"/>
      <c r="D122" s="294"/>
      <c r="E122" s="294"/>
      <c r="F122" s="310"/>
      <c r="G122" s="310"/>
      <c r="H122" s="310"/>
      <c r="I122" s="295"/>
      <c r="J122" s="295"/>
      <c r="K122" s="300">
        <f t="shared" si="7"/>
        <v>1.1000000000000001</v>
      </c>
      <c r="L122" s="300">
        <f t="shared" si="8"/>
        <v>0</v>
      </c>
      <c r="M122" s="285">
        <f t="shared" si="9"/>
        <v>0</v>
      </c>
      <c r="N122" s="1076">
        <f t="shared" si="10"/>
        <v>0</v>
      </c>
      <c r="O122" s="294"/>
      <c r="P122" s="404"/>
      <c r="Q122" s="404"/>
      <c r="R122" s="301"/>
      <c r="S122" s="301"/>
      <c r="T122" s="301"/>
      <c r="U122" s="301"/>
      <c r="V122" s="301"/>
    </row>
    <row r="123" spans="1:22" ht="12.6" customHeight="1" thickTop="1" thickBot="1" x14ac:dyDescent="0.3">
      <c r="A123" s="292"/>
      <c r="B123" s="293"/>
      <c r="C123" s="294"/>
      <c r="D123" s="294"/>
      <c r="E123" s="294"/>
      <c r="F123" s="310"/>
      <c r="G123" s="310"/>
      <c r="H123" s="310"/>
      <c r="I123" s="295"/>
      <c r="J123" s="295"/>
      <c r="K123" s="300">
        <f t="shared" si="7"/>
        <v>1.1000000000000001</v>
      </c>
      <c r="L123" s="300">
        <f t="shared" si="8"/>
        <v>0</v>
      </c>
      <c r="M123" s="285">
        <f t="shared" si="9"/>
        <v>0</v>
      </c>
      <c r="N123" s="1076">
        <f t="shared" si="10"/>
        <v>0</v>
      </c>
      <c r="O123" s="294"/>
      <c r="P123" s="404"/>
      <c r="Q123" s="404"/>
      <c r="R123" s="301"/>
      <c r="S123" s="301"/>
      <c r="T123" s="301"/>
      <c r="U123" s="301"/>
      <c r="V123" s="301"/>
    </row>
    <row r="124" spans="1:22" ht="12.6" customHeight="1" thickTop="1" thickBot="1" x14ac:dyDescent="0.3">
      <c r="A124" s="292"/>
      <c r="B124" s="293"/>
      <c r="C124" s="294"/>
      <c r="D124" s="294"/>
      <c r="E124" s="294"/>
      <c r="F124" s="310"/>
      <c r="G124" s="310"/>
      <c r="H124" s="310"/>
      <c r="I124" s="295"/>
      <c r="J124" s="295"/>
      <c r="K124" s="300">
        <f t="shared" si="7"/>
        <v>1.1000000000000001</v>
      </c>
      <c r="L124" s="300">
        <f t="shared" si="8"/>
        <v>0</v>
      </c>
      <c r="M124" s="285">
        <f t="shared" si="9"/>
        <v>0</v>
      </c>
      <c r="N124" s="1076">
        <f t="shared" si="10"/>
        <v>0</v>
      </c>
      <c r="O124" s="294"/>
      <c r="P124" s="404"/>
      <c r="Q124" s="404"/>
      <c r="R124" s="301"/>
      <c r="S124" s="301"/>
      <c r="T124" s="301"/>
      <c r="U124" s="301"/>
      <c r="V124" s="301"/>
    </row>
    <row r="125" spans="1:22" ht="12.6" customHeight="1" thickTop="1" thickBot="1" x14ac:dyDescent="0.3">
      <c r="A125" s="292"/>
      <c r="B125" s="293"/>
      <c r="C125" s="294"/>
      <c r="D125" s="294"/>
      <c r="E125" s="294"/>
      <c r="F125" s="310"/>
      <c r="G125" s="310"/>
      <c r="H125" s="310"/>
      <c r="I125" s="295"/>
      <c r="J125" s="295"/>
      <c r="K125" s="300">
        <f t="shared" si="7"/>
        <v>1.1000000000000001</v>
      </c>
      <c r="L125" s="300">
        <f t="shared" si="8"/>
        <v>0</v>
      </c>
      <c r="M125" s="285">
        <f t="shared" si="9"/>
        <v>0</v>
      </c>
      <c r="N125" s="1076">
        <f t="shared" si="10"/>
        <v>0</v>
      </c>
      <c r="O125" s="294"/>
      <c r="P125" s="404"/>
      <c r="Q125" s="404"/>
      <c r="R125" s="301"/>
      <c r="S125" s="301"/>
      <c r="T125" s="301"/>
      <c r="U125" s="301"/>
      <c r="V125" s="301"/>
    </row>
    <row r="126" spans="1:22" ht="12.6" customHeight="1" thickTop="1" thickBot="1" x14ac:dyDescent="0.3">
      <c r="A126" s="292"/>
      <c r="B126" s="293"/>
      <c r="C126" s="294"/>
      <c r="D126" s="294"/>
      <c r="E126" s="294"/>
      <c r="F126" s="310"/>
      <c r="G126" s="310"/>
      <c r="H126" s="310"/>
      <c r="I126" s="295"/>
      <c r="J126" s="295"/>
      <c r="K126" s="300">
        <f t="shared" si="7"/>
        <v>1.1000000000000001</v>
      </c>
      <c r="L126" s="300">
        <f t="shared" si="8"/>
        <v>0</v>
      </c>
      <c r="M126" s="285">
        <f t="shared" si="9"/>
        <v>0</v>
      </c>
      <c r="N126" s="1076">
        <f t="shared" si="10"/>
        <v>0</v>
      </c>
      <c r="O126" s="294"/>
      <c r="P126" s="404"/>
      <c r="Q126" s="404"/>
      <c r="R126" s="301"/>
      <c r="S126" s="301"/>
      <c r="T126" s="301"/>
      <c r="U126" s="301"/>
      <c r="V126" s="301"/>
    </row>
    <row r="127" spans="1:22" ht="12.6" customHeight="1" thickTop="1" thickBot="1" x14ac:dyDescent="0.3">
      <c r="A127" s="292"/>
      <c r="B127" s="293"/>
      <c r="C127" s="294"/>
      <c r="D127" s="294"/>
      <c r="E127" s="294"/>
      <c r="F127" s="310"/>
      <c r="G127" s="310"/>
      <c r="H127" s="310"/>
      <c r="I127" s="295"/>
      <c r="J127" s="295"/>
      <c r="K127" s="300">
        <f t="shared" si="7"/>
        <v>1.1000000000000001</v>
      </c>
      <c r="L127" s="300">
        <f t="shared" si="8"/>
        <v>0</v>
      </c>
      <c r="M127" s="285">
        <f t="shared" si="9"/>
        <v>0</v>
      </c>
      <c r="N127" s="1076">
        <f t="shared" si="10"/>
        <v>0</v>
      </c>
      <c r="O127" s="294"/>
      <c r="P127" s="404"/>
      <c r="Q127" s="404"/>
      <c r="R127" s="301"/>
      <c r="S127" s="301"/>
      <c r="T127" s="301"/>
      <c r="U127" s="301"/>
      <c r="V127" s="301"/>
    </row>
    <row r="128" spans="1:22" ht="12.6" customHeight="1" thickTop="1" thickBot="1" x14ac:dyDescent="0.3">
      <c r="A128" s="292"/>
      <c r="B128" s="293"/>
      <c r="C128" s="294"/>
      <c r="D128" s="294"/>
      <c r="E128" s="294"/>
      <c r="F128" s="310"/>
      <c r="G128" s="310"/>
      <c r="H128" s="310"/>
      <c r="I128" s="295"/>
      <c r="J128" s="295"/>
      <c r="K128" s="300">
        <f t="shared" si="7"/>
        <v>1.1000000000000001</v>
      </c>
      <c r="L128" s="300">
        <f t="shared" si="8"/>
        <v>0</v>
      </c>
      <c r="M128" s="285">
        <f t="shared" si="9"/>
        <v>0</v>
      </c>
      <c r="N128" s="1076">
        <f t="shared" si="10"/>
        <v>0</v>
      </c>
      <c r="O128" s="294"/>
      <c r="P128" s="404"/>
      <c r="Q128" s="404"/>
      <c r="R128" s="301"/>
      <c r="S128" s="301"/>
      <c r="T128" s="301"/>
      <c r="U128" s="301"/>
      <c r="V128" s="301"/>
    </row>
    <row r="129" spans="1:22" ht="12.6" customHeight="1" thickTop="1" thickBot="1" x14ac:dyDescent="0.3">
      <c r="A129" s="292"/>
      <c r="B129" s="293"/>
      <c r="C129" s="294"/>
      <c r="D129" s="294"/>
      <c r="E129" s="294"/>
      <c r="F129" s="310"/>
      <c r="G129" s="310"/>
      <c r="H129" s="310"/>
      <c r="I129" s="295"/>
      <c r="J129" s="295"/>
      <c r="K129" s="300">
        <f t="shared" si="7"/>
        <v>1.1000000000000001</v>
      </c>
      <c r="L129" s="300">
        <f t="shared" si="8"/>
        <v>0</v>
      </c>
      <c r="M129" s="285">
        <f t="shared" si="9"/>
        <v>0</v>
      </c>
      <c r="N129" s="1076">
        <f t="shared" si="10"/>
        <v>0</v>
      </c>
      <c r="O129" s="294"/>
      <c r="P129" s="404"/>
      <c r="Q129" s="404"/>
      <c r="R129" s="301"/>
      <c r="S129" s="301"/>
      <c r="T129" s="301"/>
      <c r="U129" s="301"/>
      <c r="V129" s="301"/>
    </row>
    <row r="130" spans="1:22" ht="12.6" customHeight="1" thickTop="1" thickBot="1" x14ac:dyDescent="0.3">
      <c r="A130" s="292"/>
      <c r="B130" s="293"/>
      <c r="C130" s="294"/>
      <c r="D130" s="294"/>
      <c r="E130" s="294"/>
      <c r="F130" s="310"/>
      <c r="G130" s="310"/>
      <c r="H130" s="310"/>
      <c r="I130" s="295"/>
      <c r="J130" s="295"/>
      <c r="K130" s="300">
        <f t="shared" si="7"/>
        <v>1.1000000000000001</v>
      </c>
      <c r="L130" s="300">
        <f t="shared" si="8"/>
        <v>0</v>
      </c>
      <c r="M130" s="285">
        <f t="shared" si="9"/>
        <v>0</v>
      </c>
      <c r="N130" s="1076">
        <f t="shared" si="10"/>
        <v>0</v>
      </c>
      <c r="O130" s="294"/>
      <c r="P130" s="404"/>
      <c r="Q130" s="404"/>
      <c r="R130" s="301"/>
      <c r="S130" s="301"/>
      <c r="T130" s="301"/>
      <c r="U130" s="301"/>
      <c r="V130" s="301"/>
    </row>
    <row r="131" spans="1:22" ht="12.6" customHeight="1" thickTop="1" thickBot="1" x14ac:dyDescent="0.3">
      <c r="A131" s="292"/>
      <c r="B131" s="293"/>
      <c r="C131" s="294"/>
      <c r="D131" s="294"/>
      <c r="E131" s="294"/>
      <c r="F131" s="310"/>
      <c r="G131" s="310"/>
      <c r="H131" s="310"/>
      <c r="I131" s="295"/>
      <c r="J131" s="295"/>
      <c r="K131" s="300">
        <f t="shared" ref="K131:K194" si="11">$K$2</f>
        <v>1.1000000000000001</v>
      </c>
      <c r="L131" s="300">
        <f t="shared" si="8"/>
        <v>0</v>
      </c>
      <c r="M131" s="285">
        <f t="shared" si="9"/>
        <v>0</v>
      </c>
      <c r="N131" s="1076">
        <f t="shared" si="10"/>
        <v>0</v>
      </c>
      <c r="O131" s="294"/>
      <c r="P131" s="404"/>
      <c r="Q131" s="404"/>
      <c r="R131" s="301"/>
      <c r="S131" s="301"/>
      <c r="T131" s="301"/>
      <c r="U131" s="301"/>
      <c r="V131" s="301"/>
    </row>
    <row r="132" spans="1:22" ht="12.6" customHeight="1" thickTop="1" thickBot="1" x14ac:dyDescent="0.3">
      <c r="A132" s="292"/>
      <c r="B132" s="293"/>
      <c r="C132" s="294"/>
      <c r="D132" s="294"/>
      <c r="E132" s="294"/>
      <c r="F132" s="310"/>
      <c r="G132" s="310"/>
      <c r="H132" s="310"/>
      <c r="I132" s="295"/>
      <c r="J132" s="295"/>
      <c r="K132" s="300">
        <f t="shared" si="11"/>
        <v>1.1000000000000001</v>
      </c>
      <c r="L132" s="300">
        <f t="shared" si="8"/>
        <v>0</v>
      </c>
      <c r="M132" s="285">
        <f t="shared" si="9"/>
        <v>0</v>
      </c>
      <c r="N132" s="1076">
        <f t="shared" si="10"/>
        <v>0</v>
      </c>
      <c r="O132" s="294"/>
      <c r="P132" s="404"/>
      <c r="Q132" s="404"/>
      <c r="R132" s="301"/>
      <c r="S132" s="301"/>
      <c r="T132" s="301"/>
      <c r="U132" s="301"/>
      <c r="V132" s="301"/>
    </row>
    <row r="133" spans="1:22" ht="12.6" customHeight="1" thickTop="1" thickBot="1" x14ac:dyDescent="0.3">
      <c r="A133" s="292"/>
      <c r="B133" s="293"/>
      <c r="C133" s="294"/>
      <c r="D133" s="294"/>
      <c r="E133" s="294"/>
      <c r="F133" s="310"/>
      <c r="G133" s="310"/>
      <c r="H133" s="310"/>
      <c r="I133" s="295"/>
      <c r="J133" s="295"/>
      <c r="K133" s="300">
        <f t="shared" si="11"/>
        <v>1.1000000000000001</v>
      </c>
      <c r="L133" s="300">
        <f t="shared" si="8"/>
        <v>0</v>
      </c>
      <c r="M133" s="285">
        <f t="shared" si="9"/>
        <v>0</v>
      </c>
      <c r="N133" s="1076">
        <f t="shared" si="10"/>
        <v>0</v>
      </c>
      <c r="O133" s="294"/>
      <c r="P133" s="404"/>
      <c r="Q133" s="404"/>
      <c r="R133" s="301"/>
      <c r="S133" s="301"/>
      <c r="T133" s="301"/>
      <c r="U133" s="301"/>
      <c r="V133" s="301"/>
    </row>
    <row r="134" spans="1:22" ht="12.6" customHeight="1" thickTop="1" thickBot="1" x14ac:dyDescent="0.3">
      <c r="A134" s="292"/>
      <c r="B134" s="293"/>
      <c r="C134" s="294"/>
      <c r="D134" s="294"/>
      <c r="E134" s="294"/>
      <c r="F134" s="310"/>
      <c r="G134" s="310"/>
      <c r="H134" s="310"/>
      <c r="I134" s="295"/>
      <c r="J134" s="295"/>
      <c r="K134" s="300">
        <f t="shared" si="11"/>
        <v>1.1000000000000001</v>
      </c>
      <c r="L134" s="300">
        <f t="shared" si="8"/>
        <v>0</v>
      </c>
      <c r="M134" s="285">
        <f t="shared" si="9"/>
        <v>0</v>
      </c>
      <c r="N134" s="1076">
        <f t="shared" si="10"/>
        <v>0</v>
      </c>
      <c r="O134" s="294"/>
      <c r="P134" s="404"/>
      <c r="Q134" s="404"/>
      <c r="R134" s="301"/>
      <c r="S134" s="301"/>
      <c r="T134" s="301"/>
      <c r="U134" s="301"/>
      <c r="V134" s="301"/>
    </row>
    <row r="135" spans="1:22" ht="12.6" customHeight="1" thickTop="1" thickBot="1" x14ac:dyDescent="0.3">
      <c r="A135" s="292"/>
      <c r="B135" s="293"/>
      <c r="C135" s="294"/>
      <c r="D135" s="294"/>
      <c r="E135" s="294"/>
      <c r="F135" s="310"/>
      <c r="G135" s="310"/>
      <c r="H135" s="310"/>
      <c r="I135" s="295"/>
      <c r="J135" s="295"/>
      <c r="K135" s="300">
        <f t="shared" si="11"/>
        <v>1.1000000000000001</v>
      </c>
      <c r="L135" s="300">
        <f t="shared" ref="L135:L198" si="12">K135*J135</f>
        <v>0</v>
      </c>
      <c r="M135" s="285">
        <f t="shared" ref="M135:M198" si="13">ROUND(L135,1)</f>
        <v>0</v>
      </c>
      <c r="N135" s="1076">
        <f t="shared" ref="N135:N198" si="14">ROUNDUP(M135,0)</f>
        <v>0</v>
      </c>
      <c r="O135" s="294"/>
      <c r="P135" s="404"/>
      <c r="Q135" s="404"/>
      <c r="R135" s="301"/>
      <c r="S135" s="301"/>
      <c r="T135" s="301"/>
      <c r="U135" s="301"/>
      <c r="V135" s="301"/>
    </row>
    <row r="136" spans="1:22" ht="12.6" customHeight="1" thickTop="1" thickBot="1" x14ac:dyDescent="0.3">
      <c r="A136" s="292"/>
      <c r="B136" s="293"/>
      <c r="C136" s="294"/>
      <c r="D136" s="294"/>
      <c r="E136" s="294"/>
      <c r="F136" s="310"/>
      <c r="G136" s="310"/>
      <c r="H136" s="310"/>
      <c r="I136" s="295"/>
      <c r="J136" s="295"/>
      <c r="K136" s="300">
        <f t="shared" si="11"/>
        <v>1.1000000000000001</v>
      </c>
      <c r="L136" s="300">
        <f t="shared" si="12"/>
        <v>0</v>
      </c>
      <c r="M136" s="285">
        <f t="shared" si="13"/>
        <v>0</v>
      </c>
      <c r="N136" s="1076">
        <f t="shared" si="14"/>
        <v>0</v>
      </c>
      <c r="O136" s="294"/>
      <c r="P136" s="404"/>
      <c r="Q136" s="404"/>
      <c r="R136" s="301"/>
      <c r="S136" s="301"/>
      <c r="T136" s="301"/>
      <c r="U136" s="301"/>
      <c r="V136" s="301"/>
    </row>
    <row r="137" spans="1:22" ht="12.6" customHeight="1" thickTop="1" thickBot="1" x14ac:dyDescent="0.3">
      <c r="A137" s="292"/>
      <c r="B137" s="293"/>
      <c r="C137" s="294"/>
      <c r="D137" s="294"/>
      <c r="E137" s="294"/>
      <c r="F137" s="310"/>
      <c r="G137" s="310"/>
      <c r="H137" s="310"/>
      <c r="I137" s="295"/>
      <c r="J137" s="295"/>
      <c r="K137" s="300">
        <f t="shared" si="11"/>
        <v>1.1000000000000001</v>
      </c>
      <c r="L137" s="300">
        <f t="shared" si="12"/>
        <v>0</v>
      </c>
      <c r="M137" s="285">
        <f t="shared" si="13"/>
        <v>0</v>
      </c>
      <c r="N137" s="1076">
        <f t="shared" si="14"/>
        <v>0</v>
      </c>
      <c r="O137" s="294"/>
      <c r="P137" s="404"/>
      <c r="Q137" s="404"/>
      <c r="R137" s="301"/>
      <c r="S137" s="301"/>
      <c r="T137" s="301"/>
      <c r="U137" s="301"/>
      <c r="V137" s="301"/>
    </row>
    <row r="138" spans="1:22" ht="12.6" customHeight="1" thickTop="1" thickBot="1" x14ac:dyDescent="0.3">
      <c r="A138" s="292"/>
      <c r="B138" s="293"/>
      <c r="C138" s="294"/>
      <c r="D138" s="294"/>
      <c r="E138" s="294"/>
      <c r="F138" s="310"/>
      <c r="G138" s="310"/>
      <c r="H138" s="310"/>
      <c r="I138" s="295"/>
      <c r="J138" s="295"/>
      <c r="K138" s="300">
        <f t="shared" si="11"/>
        <v>1.1000000000000001</v>
      </c>
      <c r="L138" s="300">
        <f t="shared" si="12"/>
        <v>0</v>
      </c>
      <c r="M138" s="285">
        <f t="shared" si="13"/>
        <v>0</v>
      </c>
      <c r="N138" s="1076">
        <f t="shared" si="14"/>
        <v>0</v>
      </c>
      <c r="O138" s="294"/>
      <c r="P138" s="404"/>
      <c r="Q138" s="404"/>
      <c r="R138" s="301"/>
      <c r="S138" s="301"/>
      <c r="T138" s="301"/>
      <c r="U138" s="301"/>
      <c r="V138" s="301"/>
    </row>
    <row r="139" spans="1:22" ht="12.6" customHeight="1" thickTop="1" thickBot="1" x14ac:dyDescent="0.3">
      <c r="A139" s="292"/>
      <c r="B139" s="293"/>
      <c r="C139" s="294"/>
      <c r="D139" s="294"/>
      <c r="E139" s="294"/>
      <c r="F139" s="310"/>
      <c r="G139" s="310"/>
      <c r="H139" s="310"/>
      <c r="I139" s="295"/>
      <c r="J139" s="295"/>
      <c r="K139" s="300">
        <f t="shared" si="11"/>
        <v>1.1000000000000001</v>
      </c>
      <c r="L139" s="300">
        <f t="shared" si="12"/>
        <v>0</v>
      </c>
      <c r="M139" s="285">
        <f t="shared" si="13"/>
        <v>0</v>
      </c>
      <c r="N139" s="1076">
        <f t="shared" si="14"/>
        <v>0</v>
      </c>
      <c r="O139" s="294"/>
      <c r="P139" s="404"/>
      <c r="Q139" s="404"/>
      <c r="R139" s="301"/>
      <c r="S139" s="301"/>
      <c r="T139" s="301"/>
      <c r="U139" s="301"/>
      <c r="V139" s="301"/>
    </row>
    <row r="140" spans="1:22" ht="12.6" customHeight="1" thickTop="1" thickBot="1" x14ac:dyDescent="0.3">
      <c r="A140" s="292"/>
      <c r="B140" s="293"/>
      <c r="C140" s="294"/>
      <c r="D140" s="294"/>
      <c r="E140" s="294"/>
      <c r="F140" s="310"/>
      <c r="G140" s="310"/>
      <c r="H140" s="310"/>
      <c r="I140" s="295"/>
      <c r="J140" s="295"/>
      <c r="K140" s="300">
        <f t="shared" si="11"/>
        <v>1.1000000000000001</v>
      </c>
      <c r="L140" s="300">
        <f t="shared" si="12"/>
        <v>0</v>
      </c>
      <c r="M140" s="285">
        <f t="shared" si="13"/>
        <v>0</v>
      </c>
      <c r="N140" s="1076">
        <f t="shared" si="14"/>
        <v>0</v>
      </c>
      <c r="O140" s="294"/>
      <c r="P140" s="404"/>
      <c r="Q140" s="404"/>
      <c r="R140" s="301"/>
      <c r="S140" s="301"/>
      <c r="T140" s="301"/>
      <c r="U140" s="301"/>
      <c r="V140" s="301"/>
    </row>
    <row r="141" spans="1:22" ht="12.6" customHeight="1" thickTop="1" thickBot="1" x14ac:dyDescent="0.3">
      <c r="A141" s="292"/>
      <c r="B141" s="293"/>
      <c r="C141" s="294"/>
      <c r="D141" s="294"/>
      <c r="E141" s="294"/>
      <c r="F141" s="310"/>
      <c r="G141" s="310"/>
      <c r="H141" s="310"/>
      <c r="I141" s="295"/>
      <c r="J141" s="295"/>
      <c r="K141" s="300">
        <f t="shared" si="11"/>
        <v>1.1000000000000001</v>
      </c>
      <c r="L141" s="300">
        <f t="shared" si="12"/>
        <v>0</v>
      </c>
      <c r="M141" s="285">
        <f t="shared" si="13"/>
        <v>0</v>
      </c>
      <c r="N141" s="1076">
        <f t="shared" si="14"/>
        <v>0</v>
      </c>
      <c r="O141" s="294"/>
      <c r="P141" s="404"/>
      <c r="Q141" s="404"/>
      <c r="R141" s="301"/>
      <c r="S141" s="301"/>
      <c r="T141" s="301"/>
      <c r="U141" s="301"/>
      <c r="V141" s="301"/>
    </row>
    <row r="142" spans="1:22" ht="12.6" customHeight="1" thickTop="1" thickBot="1" x14ac:dyDescent="0.3">
      <c r="A142" s="292"/>
      <c r="B142" s="293"/>
      <c r="C142" s="294"/>
      <c r="D142" s="294"/>
      <c r="E142" s="294"/>
      <c r="F142" s="310"/>
      <c r="G142" s="310"/>
      <c r="H142" s="310"/>
      <c r="I142" s="295"/>
      <c r="J142" s="295"/>
      <c r="K142" s="300">
        <f t="shared" si="11"/>
        <v>1.1000000000000001</v>
      </c>
      <c r="L142" s="300">
        <f t="shared" si="12"/>
        <v>0</v>
      </c>
      <c r="M142" s="285">
        <f t="shared" si="13"/>
        <v>0</v>
      </c>
      <c r="N142" s="1076">
        <f t="shared" si="14"/>
        <v>0</v>
      </c>
      <c r="O142" s="294"/>
      <c r="P142" s="404"/>
      <c r="Q142" s="404"/>
      <c r="R142" s="301"/>
      <c r="S142" s="301"/>
      <c r="T142" s="301"/>
      <c r="U142" s="301"/>
      <c r="V142" s="301"/>
    </row>
    <row r="143" spans="1:22" ht="12.6" customHeight="1" thickTop="1" thickBot="1" x14ac:dyDescent="0.3">
      <c r="A143" s="292"/>
      <c r="B143" s="293"/>
      <c r="C143" s="294"/>
      <c r="D143" s="294"/>
      <c r="E143" s="294"/>
      <c r="F143" s="310"/>
      <c r="G143" s="310"/>
      <c r="H143" s="310"/>
      <c r="I143" s="295"/>
      <c r="J143" s="295"/>
      <c r="K143" s="300">
        <f t="shared" si="11"/>
        <v>1.1000000000000001</v>
      </c>
      <c r="L143" s="300">
        <f t="shared" si="12"/>
        <v>0</v>
      </c>
      <c r="M143" s="285">
        <f t="shared" si="13"/>
        <v>0</v>
      </c>
      <c r="N143" s="1076">
        <f t="shared" si="14"/>
        <v>0</v>
      </c>
      <c r="O143" s="294"/>
      <c r="P143" s="404"/>
      <c r="Q143" s="404"/>
      <c r="R143" s="301"/>
      <c r="S143" s="301"/>
      <c r="T143" s="301"/>
      <c r="U143" s="301"/>
      <c r="V143" s="301"/>
    </row>
    <row r="144" spans="1:22" ht="12.6" customHeight="1" thickTop="1" thickBot="1" x14ac:dyDescent="0.3">
      <c r="A144" s="292"/>
      <c r="B144" s="293"/>
      <c r="C144" s="294"/>
      <c r="D144" s="294"/>
      <c r="E144" s="294"/>
      <c r="F144" s="310"/>
      <c r="G144" s="310"/>
      <c r="H144" s="310"/>
      <c r="I144" s="295"/>
      <c r="J144" s="295"/>
      <c r="K144" s="300">
        <f t="shared" si="11"/>
        <v>1.1000000000000001</v>
      </c>
      <c r="L144" s="300">
        <f t="shared" si="12"/>
        <v>0</v>
      </c>
      <c r="M144" s="285">
        <f t="shared" si="13"/>
        <v>0</v>
      </c>
      <c r="N144" s="1076">
        <f t="shared" si="14"/>
        <v>0</v>
      </c>
      <c r="O144" s="294"/>
      <c r="P144" s="404"/>
      <c r="Q144" s="404"/>
      <c r="R144" s="301"/>
      <c r="S144" s="301"/>
      <c r="T144" s="301"/>
      <c r="U144" s="301"/>
      <c r="V144" s="301"/>
    </row>
    <row r="145" spans="1:22" ht="12.6" customHeight="1" thickTop="1" thickBot="1" x14ac:dyDescent="0.3">
      <c r="A145" s="292"/>
      <c r="B145" s="293"/>
      <c r="C145" s="294"/>
      <c r="D145" s="294"/>
      <c r="E145" s="294"/>
      <c r="F145" s="310"/>
      <c r="G145" s="310"/>
      <c r="H145" s="310"/>
      <c r="I145" s="295"/>
      <c r="J145" s="295"/>
      <c r="K145" s="300">
        <f t="shared" si="11"/>
        <v>1.1000000000000001</v>
      </c>
      <c r="L145" s="300">
        <f t="shared" si="12"/>
        <v>0</v>
      </c>
      <c r="M145" s="285">
        <f t="shared" si="13"/>
        <v>0</v>
      </c>
      <c r="N145" s="1076">
        <f t="shared" si="14"/>
        <v>0</v>
      </c>
      <c r="O145" s="294"/>
      <c r="P145" s="404"/>
      <c r="Q145" s="404"/>
      <c r="R145" s="301"/>
      <c r="S145" s="301"/>
      <c r="T145" s="301"/>
      <c r="U145" s="301"/>
      <c r="V145" s="301"/>
    </row>
    <row r="146" spans="1:22" ht="12.6" customHeight="1" thickTop="1" thickBot="1" x14ac:dyDescent="0.3">
      <c r="A146" s="292"/>
      <c r="B146" s="293"/>
      <c r="C146" s="294"/>
      <c r="D146" s="294"/>
      <c r="E146" s="294"/>
      <c r="F146" s="310"/>
      <c r="G146" s="310"/>
      <c r="H146" s="310"/>
      <c r="I146" s="295"/>
      <c r="J146" s="295"/>
      <c r="K146" s="300">
        <f t="shared" si="11"/>
        <v>1.1000000000000001</v>
      </c>
      <c r="L146" s="300">
        <f t="shared" si="12"/>
        <v>0</v>
      </c>
      <c r="M146" s="285">
        <f t="shared" si="13"/>
        <v>0</v>
      </c>
      <c r="N146" s="1076">
        <f t="shared" si="14"/>
        <v>0</v>
      </c>
      <c r="O146" s="294"/>
      <c r="P146" s="404"/>
      <c r="Q146" s="404"/>
      <c r="R146" s="301"/>
      <c r="S146" s="301"/>
      <c r="T146" s="301"/>
      <c r="U146" s="301"/>
      <c r="V146" s="301"/>
    </row>
    <row r="147" spans="1:22" ht="12.6" customHeight="1" thickTop="1" thickBot="1" x14ac:dyDescent="0.3">
      <c r="A147" s="292"/>
      <c r="B147" s="293"/>
      <c r="C147" s="294"/>
      <c r="D147" s="294"/>
      <c r="E147" s="294"/>
      <c r="F147" s="310"/>
      <c r="G147" s="310"/>
      <c r="H147" s="310"/>
      <c r="I147" s="295"/>
      <c r="J147" s="295"/>
      <c r="K147" s="300">
        <f t="shared" si="11"/>
        <v>1.1000000000000001</v>
      </c>
      <c r="L147" s="300">
        <f t="shared" si="12"/>
        <v>0</v>
      </c>
      <c r="M147" s="285">
        <f t="shared" si="13"/>
        <v>0</v>
      </c>
      <c r="N147" s="1076">
        <f t="shared" si="14"/>
        <v>0</v>
      </c>
      <c r="O147" s="294"/>
      <c r="P147" s="404"/>
      <c r="Q147" s="404"/>
      <c r="R147" s="301"/>
      <c r="S147" s="301"/>
      <c r="T147" s="301"/>
      <c r="U147" s="301"/>
      <c r="V147" s="301"/>
    </row>
    <row r="148" spans="1:22" ht="12.6" customHeight="1" thickTop="1" thickBot="1" x14ac:dyDescent="0.3">
      <c r="A148" s="292"/>
      <c r="B148" s="293"/>
      <c r="C148" s="294"/>
      <c r="D148" s="294"/>
      <c r="E148" s="294"/>
      <c r="F148" s="310"/>
      <c r="G148" s="310"/>
      <c r="H148" s="310"/>
      <c r="I148" s="295"/>
      <c r="J148" s="295"/>
      <c r="K148" s="300">
        <f t="shared" si="11"/>
        <v>1.1000000000000001</v>
      </c>
      <c r="L148" s="300">
        <f t="shared" si="12"/>
        <v>0</v>
      </c>
      <c r="M148" s="285">
        <f t="shared" si="13"/>
        <v>0</v>
      </c>
      <c r="N148" s="1076">
        <f t="shared" si="14"/>
        <v>0</v>
      </c>
      <c r="O148" s="294"/>
      <c r="P148" s="404"/>
      <c r="Q148" s="404"/>
      <c r="R148" s="301"/>
      <c r="S148" s="301"/>
      <c r="T148" s="301"/>
      <c r="U148" s="301"/>
      <c r="V148" s="301"/>
    </row>
    <row r="149" spans="1:22" ht="12.6" customHeight="1" thickTop="1" thickBot="1" x14ac:dyDescent="0.3">
      <c r="A149" s="292"/>
      <c r="B149" s="293"/>
      <c r="C149" s="294"/>
      <c r="D149" s="294"/>
      <c r="E149" s="294"/>
      <c r="F149" s="310"/>
      <c r="G149" s="310"/>
      <c r="H149" s="310"/>
      <c r="I149" s="295"/>
      <c r="J149" s="295"/>
      <c r="K149" s="300">
        <f t="shared" si="11"/>
        <v>1.1000000000000001</v>
      </c>
      <c r="L149" s="300">
        <f t="shared" si="12"/>
        <v>0</v>
      </c>
      <c r="M149" s="285">
        <f t="shared" si="13"/>
        <v>0</v>
      </c>
      <c r="N149" s="1076">
        <f t="shared" si="14"/>
        <v>0</v>
      </c>
      <c r="O149" s="294"/>
      <c r="P149" s="404"/>
      <c r="Q149" s="404"/>
      <c r="R149" s="301"/>
      <c r="S149" s="301"/>
      <c r="T149" s="301"/>
      <c r="U149" s="301"/>
      <c r="V149" s="301"/>
    </row>
    <row r="150" spans="1:22" ht="12.6" customHeight="1" thickTop="1" thickBot="1" x14ac:dyDescent="0.3">
      <c r="A150" s="292"/>
      <c r="B150" s="293"/>
      <c r="C150" s="294"/>
      <c r="D150" s="294"/>
      <c r="E150" s="294"/>
      <c r="F150" s="310"/>
      <c r="G150" s="310"/>
      <c r="H150" s="310"/>
      <c r="I150" s="295"/>
      <c r="J150" s="295"/>
      <c r="K150" s="300">
        <f t="shared" si="11"/>
        <v>1.1000000000000001</v>
      </c>
      <c r="L150" s="300">
        <f t="shared" si="12"/>
        <v>0</v>
      </c>
      <c r="M150" s="285">
        <f t="shared" si="13"/>
        <v>0</v>
      </c>
      <c r="N150" s="1076">
        <f t="shared" si="14"/>
        <v>0</v>
      </c>
      <c r="O150" s="294"/>
      <c r="P150" s="404"/>
      <c r="Q150" s="404"/>
      <c r="R150" s="301"/>
      <c r="S150" s="301"/>
      <c r="T150" s="301"/>
      <c r="U150" s="301"/>
      <c r="V150" s="301"/>
    </row>
    <row r="151" spans="1:22" ht="12.6" customHeight="1" thickTop="1" thickBot="1" x14ac:dyDescent="0.3">
      <c r="A151" s="292"/>
      <c r="B151" s="293"/>
      <c r="C151" s="294"/>
      <c r="D151" s="294"/>
      <c r="E151" s="294"/>
      <c r="F151" s="310"/>
      <c r="G151" s="310"/>
      <c r="H151" s="310"/>
      <c r="I151" s="295"/>
      <c r="J151" s="295"/>
      <c r="K151" s="300">
        <f t="shared" si="11"/>
        <v>1.1000000000000001</v>
      </c>
      <c r="L151" s="300">
        <f t="shared" si="12"/>
        <v>0</v>
      </c>
      <c r="M151" s="285">
        <f t="shared" si="13"/>
        <v>0</v>
      </c>
      <c r="N151" s="1076">
        <f t="shared" si="14"/>
        <v>0</v>
      </c>
      <c r="O151" s="294"/>
      <c r="P151" s="404"/>
      <c r="Q151" s="404"/>
      <c r="R151" s="301"/>
      <c r="S151" s="301"/>
      <c r="T151" s="301"/>
      <c r="U151" s="301"/>
      <c r="V151" s="301"/>
    </row>
    <row r="152" spans="1:22" ht="12.6" customHeight="1" thickTop="1" thickBot="1" x14ac:dyDescent="0.3">
      <c r="A152" s="292"/>
      <c r="B152" s="293"/>
      <c r="C152" s="294"/>
      <c r="D152" s="294"/>
      <c r="E152" s="294"/>
      <c r="F152" s="310"/>
      <c r="G152" s="310"/>
      <c r="H152" s="310"/>
      <c r="I152" s="295"/>
      <c r="J152" s="295"/>
      <c r="K152" s="300">
        <f t="shared" si="11"/>
        <v>1.1000000000000001</v>
      </c>
      <c r="L152" s="300">
        <f t="shared" si="12"/>
        <v>0</v>
      </c>
      <c r="M152" s="285">
        <f t="shared" si="13"/>
        <v>0</v>
      </c>
      <c r="N152" s="1076">
        <f t="shared" si="14"/>
        <v>0</v>
      </c>
      <c r="O152" s="294"/>
      <c r="P152" s="404"/>
      <c r="Q152" s="404"/>
      <c r="R152" s="301"/>
      <c r="S152" s="301"/>
      <c r="T152" s="301"/>
      <c r="U152" s="301"/>
      <c r="V152" s="301"/>
    </row>
    <row r="153" spans="1:22" ht="12.6" customHeight="1" thickTop="1" thickBot="1" x14ac:dyDescent="0.3">
      <c r="A153" s="292"/>
      <c r="B153" s="293"/>
      <c r="C153" s="294"/>
      <c r="D153" s="294"/>
      <c r="E153" s="294"/>
      <c r="F153" s="310"/>
      <c r="G153" s="310"/>
      <c r="H153" s="310"/>
      <c r="I153" s="295"/>
      <c r="J153" s="295"/>
      <c r="K153" s="300">
        <f t="shared" si="11"/>
        <v>1.1000000000000001</v>
      </c>
      <c r="L153" s="300">
        <f t="shared" si="12"/>
        <v>0</v>
      </c>
      <c r="M153" s="285">
        <f t="shared" si="13"/>
        <v>0</v>
      </c>
      <c r="N153" s="1076">
        <f t="shared" si="14"/>
        <v>0</v>
      </c>
      <c r="O153" s="294"/>
      <c r="P153" s="404"/>
      <c r="Q153" s="404"/>
      <c r="R153" s="301"/>
      <c r="S153" s="301"/>
      <c r="T153" s="301"/>
      <c r="U153" s="301"/>
      <c r="V153" s="301"/>
    </row>
    <row r="154" spans="1:22" ht="12.6" customHeight="1" thickTop="1" thickBot="1" x14ac:dyDescent="0.3">
      <c r="A154" s="292"/>
      <c r="B154" s="293"/>
      <c r="C154" s="294"/>
      <c r="D154" s="294"/>
      <c r="E154" s="294"/>
      <c r="F154" s="310"/>
      <c r="G154" s="310"/>
      <c r="H154" s="310"/>
      <c r="I154" s="295"/>
      <c r="J154" s="295"/>
      <c r="K154" s="300">
        <f t="shared" si="11"/>
        <v>1.1000000000000001</v>
      </c>
      <c r="L154" s="300">
        <f t="shared" si="12"/>
        <v>0</v>
      </c>
      <c r="M154" s="285">
        <f t="shared" si="13"/>
        <v>0</v>
      </c>
      <c r="N154" s="1076">
        <f t="shared" si="14"/>
        <v>0</v>
      </c>
      <c r="O154" s="294"/>
      <c r="P154" s="404"/>
      <c r="Q154" s="404"/>
      <c r="R154" s="301"/>
      <c r="S154" s="301"/>
      <c r="T154" s="301"/>
      <c r="U154" s="301"/>
      <c r="V154" s="301"/>
    </row>
    <row r="155" spans="1:22" ht="12.6" customHeight="1" thickTop="1" thickBot="1" x14ac:dyDescent="0.3">
      <c r="A155" s="292"/>
      <c r="B155" s="293"/>
      <c r="C155" s="294"/>
      <c r="D155" s="294"/>
      <c r="E155" s="294"/>
      <c r="F155" s="310"/>
      <c r="G155" s="310"/>
      <c r="H155" s="310"/>
      <c r="I155" s="295"/>
      <c r="J155" s="295"/>
      <c r="K155" s="300">
        <f t="shared" si="11"/>
        <v>1.1000000000000001</v>
      </c>
      <c r="L155" s="300">
        <f t="shared" si="12"/>
        <v>0</v>
      </c>
      <c r="M155" s="285">
        <f t="shared" si="13"/>
        <v>0</v>
      </c>
      <c r="N155" s="1076">
        <f t="shared" si="14"/>
        <v>0</v>
      </c>
      <c r="O155" s="294"/>
      <c r="P155" s="404"/>
      <c r="Q155" s="404"/>
      <c r="R155" s="301"/>
      <c r="S155" s="301"/>
      <c r="T155" s="301"/>
      <c r="U155" s="301"/>
      <c r="V155" s="301"/>
    </row>
    <row r="156" spans="1:22" ht="12.6" customHeight="1" thickTop="1" thickBot="1" x14ac:dyDescent="0.3">
      <c r="A156" s="292"/>
      <c r="B156" s="293"/>
      <c r="C156" s="294"/>
      <c r="D156" s="294"/>
      <c r="E156" s="294"/>
      <c r="F156" s="310"/>
      <c r="G156" s="310"/>
      <c r="H156" s="310"/>
      <c r="I156" s="295"/>
      <c r="J156" s="295"/>
      <c r="K156" s="300">
        <f t="shared" si="11"/>
        <v>1.1000000000000001</v>
      </c>
      <c r="L156" s="300">
        <f t="shared" si="12"/>
        <v>0</v>
      </c>
      <c r="M156" s="285">
        <f t="shared" si="13"/>
        <v>0</v>
      </c>
      <c r="N156" s="1076">
        <f t="shared" si="14"/>
        <v>0</v>
      </c>
      <c r="O156" s="294"/>
      <c r="P156" s="404"/>
      <c r="Q156" s="404"/>
      <c r="R156" s="301"/>
      <c r="S156" s="301"/>
      <c r="T156" s="301"/>
      <c r="U156" s="301"/>
      <c r="V156" s="301"/>
    </row>
    <row r="157" spans="1:22" ht="12.6" customHeight="1" thickTop="1" thickBot="1" x14ac:dyDescent="0.3">
      <c r="A157" s="292"/>
      <c r="B157" s="293"/>
      <c r="C157" s="294"/>
      <c r="D157" s="294"/>
      <c r="E157" s="294"/>
      <c r="F157" s="310"/>
      <c r="G157" s="310"/>
      <c r="H157" s="310"/>
      <c r="I157" s="295"/>
      <c r="J157" s="295"/>
      <c r="K157" s="300">
        <f t="shared" si="11"/>
        <v>1.1000000000000001</v>
      </c>
      <c r="L157" s="300">
        <f t="shared" si="12"/>
        <v>0</v>
      </c>
      <c r="M157" s="285">
        <f t="shared" si="13"/>
        <v>0</v>
      </c>
      <c r="N157" s="1076">
        <f t="shared" si="14"/>
        <v>0</v>
      </c>
      <c r="O157" s="294"/>
      <c r="P157" s="404"/>
      <c r="Q157" s="404"/>
      <c r="R157" s="301"/>
      <c r="S157" s="301"/>
      <c r="T157" s="301"/>
      <c r="U157" s="301"/>
      <c r="V157" s="301"/>
    </row>
    <row r="158" spans="1:22" ht="12.6" customHeight="1" thickTop="1" thickBot="1" x14ac:dyDescent="0.3">
      <c r="A158" s="292"/>
      <c r="B158" s="293"/>
      <c r="C158" s="294"/>
      <c r="D158" s="294"/>
      <c r="E158" s="294"/>
      <c r="F158" s="310"/>
      <c r="G158" s="310"/>
      <c r="H158" s="310"/>
      <c r="I158" s="295"/>
      <c r="J158" s="295"/>
      <c r="K158" s="300">
        <f t="shared" si="11"/>
        <v>1.1000000000000001</v>
      </c>
      <c r="L158" s="300">
        <f t="shared" si="12"/>
        <v>0</v>
      </c>
      <c r="M158" s="285">
        <f t="shared" si="13"/>
        <v>0</v>
      </c>
      <c r="N158" s="1076">
        <f t="shared" si="14"/>
        <v>0</v>
      </c>
      <c r="O158" s="294"/>
      <c r="P158" s="404"/>
      <c r="Q158" s="404"/>
      <c r="R158" s="301"/>
      <c r="S158" s="301"/>
      <c r="T158" s="301"/>
      <c r="U158" s="301"/>
      <c r="V158" s="301"/>
    </row>
    <row r="159" spans="1:22" ht="12.6" customHeight="1" thickTop="1" thickBot="1" x14ac:dyDescent="0.3">
      <c r="A159" s="292"/>
      <c r="B159" s="293"/>
      <c r="C159" s="294"/>
      <c r="D159" s="294"/>
      <c r="E159" s="294"/>
      <c r="F159" s="310"/>
      <c r="G159" s="310"/>
      <c r="H159" s="310"/>
      <c r="I159" s="295"/>
      <c r="J159" s="295"/>
      <c r="K159" s="300">
        <f t="shared" si="11"/>
        <v>1.1000000000000001</v>
      </c>
      <c r="L159" s="300">
        <f t="shared" si="12"/>
        <v>0</v>
      </c>
      <c r="M159" s="285">
        <f t="shared" si="13"/>
        <v>0</v>
      </c>
      <c r="N159" s="1076">
        <f t="shared" si="14"/>
        <v>0</v>
      </c>
      <c r="O159" s="294"/>
      <c r="P159" s="404"/>
      <c r="Q159" s="404"/>
      <c r="R159" s="301"/>
      <c r="S159" s="301"/>
      <c r="T159" s="301"/>
      <c r="U159" s="301"/>
      <c r="V159" s="301"/>
    </row>
    <row r="160" spans="1:22" ht="12.6" customHeight="1" thickTop="1" thickBot="1" x14ac:dyDescent="0.3">
      <c r="A160" s="292"/>
      <c r="B160" s="293"/>
      <c r="C160" s="294"/>
      <c r="D160" s="294"/>
      <c r="E160" s="294"/>
      <c r="F160" s="310"/>
      <c r="G160" s="310"/>
      <c r="H160" s="310"/>
      <c r="I160" s="295"/>
      <c r="J160" s="295"/>
      <c r="K160" s="300">
        <f t="shared" si="11"/>
        <v>1.1000000000000001</v>
      </c>
      <c r="L160" s="300">
        <f t="shared" si="12"/>
        <v>0</v>
      </c>
      <c r="M160" s="285">
        <f t="shared" si="13"/>
        <v>0</v>
      </c>
      <c r="N160" s="1076">
        <f t="shared" si="14"/>
        <v>0</v>
      </c>
      <c r="O160" s="294"/>
      <c r="P160" s="404"/>
      <c r="Q160" s="404"/>
      <c r="R160" s="301"/>
      <c r="S160" s="301"/>
      <c r="T160" s="301"/>
      <c r="U160" s="301"/>
      <c r="V160" s="301"/>
    </row>
    <row r="161" spans="1:22" ht="12.6" customHeight="1" thickTop="1" thickBot="1" x14ac:dyDescent="0.3">
      <c r="A161" s="292"/>
      <c r="B161" s="293"/>
      <c r="C161" s="294"/>
      <c r="D161" s="294"/>
      <c r="E161" s="294"/>
      <c r="F161" s="310"/>
      <c r="G161" s="310"/>
      <c r="H161" s="310"/>
      <c r="I161" s="295"/>
      <c r="J161" s="295"/>
      <c r="K161" s="300">
        <f t="shared" si="11"/>
        <v>1.1000000000000001</v>
      </c>
      <c r="L161" s="300">
        <f t="shared" si="12"/>
        <v>0</v>
      </c>
      <c r="M161" s="285">
        <f t="shared" si="13"/>
        <v>0</v>
      </c>
      <c r="N161" s="1076">
        <f t="shared" si="14"/>
        <v>0</v>
      </c>
      <c r="O161" s="294"/>
      <c r="P161" s="404"/>
      <c r="Q161" s="404"/>
      <c r="R161" s="301"/>
      <c r="S161" s="301"/>
      <c r="T161" s="301"/>
      <c r="U161" s="301"/>
      <c r="V161" s="301"/>
    </row>
    <row r="162" spans="1:22" ht="12.6" customHeight="1" thickTop="1" thickBot="1" x14ac:dyDescent="0.3">
      <c r="A162" s="292"/>
      <c r="B162" s="293"/>
      <c r="C162" s="294"/>
      <c r="D162" s="294"/>
      <c r="E162" s="294"/>
      <c r="F162" s="310"/>
      <c r="G162" s="310"/>
      <c r="H162" s="310"/>
      <c r="I162" s="295"/>
      <c r="J162" s="295"/>
      <c r="K162" s="300">
        <f t="shared" si="11"/>
        <v>1.1000000000000001</v>
      </c>
      <c r="L162" s="300">
        <f t="shared" si="12"/>
        <v>0</v>
      </c>
      <c r="M162" s="285">
        <f t="shared" si="13"/>
        <v>0</v>
      </c>
      <c r="N162" s="1076">
        <f t="shared" si="14"/>
        <v>0</v>
      </c>
      <c r="O162" s="294"/>
      <c r="P162" s="404"/>
      <c r="Q162" s="404"/>
      <c r="R162" s="301"/>
      <c r="S162" s="301"/>
      <c r="T162" s="301"/>
      <c r="U162" s="301"/>
      <c r="V162" s="301"/>
    </row>
    <row r="163" spans="1:22" ht="12.6" customHeight="1" thickTop="1" thickBot="1" x14ac:dyDescent="0.3">
      <c r="A163" s="292"/>
      <c r="B163" s="293"/>
      <c r="C163" s="294"/>
      <c r="D163" s="294"/>
      <c r="E163" s="294"/>
      <c r="F163" s="310"/>
      <c r="G163" s="310"/>
      <c r="H163" s="310"/>
      <c r="I163" s="295"/>
      <c r="J163" s="295"/>
      <c r="K163" s="300">
        <f t="shared" si="11"/>
        <v>1.1000000000000001</v>
      </c>
      <c r="L163" s="300">
        <f t="shared" si="12"/>
        <v>0</v>
      </c>
      <c r="M163" s="285">
        <f t="shared" si="13"/>
        <v>0</v>
      </c>
      <c r="N163" s="1076">
        <f t="shared" si="14"/>
        <v>0</v>
      </c>
      <c r="O163" s="294"/>
      <c r="P163" s="404"/>
      <c r="Q163" s="404"/>
      <c r="R163" s="301"/>
      <c r="S163" s="301"/>
      <c r="T163" s="301"/>
      <c r="U163" s="301"/>
      <c r="V163" s="301"/>
    </row>
    <row r="164" spans="1:22" ht="12.6" customHeight="1" thickTop="1" thickBot="1" x14ac:dyDescent="0.3">
      <c r="A164" s="292"/>
      <c r="B164" s="293"/>
      <c r="C164" s="294"/>
      <c r="D164" s="294"/>
      <c r="E164" s="294"/>
      <c r="F164" s="310"/>
      <c r="G164" s="310"/>
      <c r="H164" s="310"/>
      <c r="I164" s="295"/>
      <c r="J164" s="295"/>
      <c r="K164" s="300">
        <f t="shared" si="11"/>
        <v>1.1000000000000001</v>
      </c>
      <c r="L164" s="300">
        <f t="shared" si="12"/>
        <v>0</v>
      </c>
      <c r="M164" s="285">
        <f t="shared" si="13"/>
        <v>0</v>
      </c>
      <c r="N164" s="1076">
        <f t="shared" si="14"/>
        <v>0</v>
      </c>
      <c r="O164" s="294"/>
      <c r="P164" s="404"/>
      <c r="Q164" s="404"/>
      <c r="R164" s="301"/>
      <c r="S164" s="301"/>
      <c r="T164" s="301"/>
      <c r="U164" s="301"/>
      <c r="V164" s="301"/>
    </row>
    <row r="165" spans="1:22" ht="12.6" customHeight="1" thickTop="1" thickBot="1" x14ac:dyDescent="0.3">
      <c r="A165" s="292"/>
      <c r="B165" s="293"/>
      <c r="C165" s="294"/>
      <c r="D165" s="294"/>
      <c r="E165" s="294"/>
      <c r="F165" s="310"/>
      <c r="G165" s="310"/>
      <c r="H165" s="310"/>
      <c r="I165" s="295"/>
      <c r="J165" s="295"/>
      <c r="K165" s="300">
        <f t="shared" si="11"/>
        <v>1.1000000000000001</v>
      </c>
      <c r="L165" s="300">
        <f t="shared" si="12"/>
        <v>0</v>
      </c>
      <c r="M165" s="285">
        <f t="shared" si="13"/>
        <v>0</v>
      </c>
      <c r="N165" s="1076">
        <f t="shared" si="14"/>
        <v>0</v>
      </c>
      <c r="O165" s="294"/>
      <c r="P165" s="404"/>
      <c r="Q165" s="404"/>
      <c r="R165" s="301"/>
      <c r="S165" s="301"/>
      <c r="T165" s="301"/>
      <c r="U165" s="301"/>
      <c r="V165" s="301"/>
    </row>
    <row r="166" spans="1:22" ht="12.6" customHeight="1" thickTop="1" thickBot="1" x14ac:dyDescent="0.3">
      <c r="A166" s="292"/>
      <c r="B166" s="293"/>
      <c r="C166" s="294"/>
      <c r="D166" s="294"/>
      <c r="E166" s="294"/>
      <c r="F166" s="310"/>
      <c r="G166" s="310"/>
      <c r="H166" s="310"/>
      <c r="I166" s="295"/>
      <c r="J166" s="295"/>
      <c r="K166" s="300">
        <f t="shared" si="11"/>
        <v>1.1000000000000001</v>
      </c>
      <c r="L166" s="300">
        <f t="shared" si="12"/>
        <v>0</v>
      </c>
      <c r="M166" s="285">
        <f t="shared" si="13"/>
        <v>0</v>
      </c>
      <c r="N166" s="1076">
        <f t="shared" si="14"/>
        <v>0</v>
      </c>
      <c r="O166" s="294"/>
      <c r="P166" s="404"/>
      <c r="Q166" s="404"/>
      <c r="R166" s="301"/>
      <c r="S166" s="301"/>
      <c r="T166" s="301"/>
      <c r="U166" s="301"/>
      <c r="V166" s="301"/>
    </row>
    <row r="167" spans="1:22" ht="12.6" customHeight="1" thickTop="1" thickBot="1" x14ac:dyDescent="0.3">
      <c r="A167" s="292"/>
      <c r="B167" s="293"/>
      <c r="C167" s="294"/>
      <c r="D167" s="294"/>
      <c r="E167" s="294"/>
      <c r="F167" s="310"/>
      <c r="G167" s="310"/>
      <c r="H167" s="310"/>
      <c r="I167" s="295"/>
      <c r="J167" s="295"/>
      <c r="K167" s="300">
        <f t="shared" si="11"/>
        <v>1.1000000000000001</v>
      </c>
      <c r="L167" s="300">
        <f t="shared" si="12"/>
        <v>0</v>
      </c>
      <c r="M167" s="285">
        <f t="shared" si="13"/>
        <v>0</v>
      </c>
      <c r="N167" s="1076">
        <f t="shared" si="14"/>
        <v>0</v>
      </c>
      <c r="O167" s="294"/>
      <c r="P167" s="404"/>
      <c r="Q167" s="404"/>
      <c r="R167" s="301"/>
      <c r="S167" s="301"/>
      <c r="T167" s="301"/>
      <c r="U167" s="301"/>
      <c r="V167" s="301"/>
    </row>
    <row r="168" spans="1:22" ht="12.6" customHeight="1" thickTop="1" thickBot="1" x14ac:dyDescent="0.3">
      <c r="A168" s="292"/>
      <c r="B168" s="293"/>
      <c r="C168" s="294"/>
      <c r="D168" s="294"/>
      <c r="E168" s="294"/>
      <c r="F168" s="310"/>
      <c r="G168" s="310"/>
      <c r="H168" s="310"/>
      <c r="I168" s="295"/>
      <c r="J168" s="295"/>
      <c r="K168" s="300">
        <f t="shared" si="11"/>
        <v>1.1000000000000001</v>
      </c>
      <c r="L168" s="300">
        <f t="shared" si="12"/>
        <v>0</v>
      </c>
      <c r="M168" s="285">
        <f t="shared" si="13"/>
        <v>0</v>
      </c>
      <c r="N168" s="1076">
        <f t="shared" si="14"/>
        <v>0</v>
      </c>
      <c r="O168" s="294"/>
      <c r="P168" s="404"/>
      <c r="Q168" s="404"/>
      <c r="R168" s="301"/>
      <c r="S168" s="301"/>
      <c r="T168" s="301"/>
      <c r="U168" s="301"/>
      <c r="V168" s="301"/>
    </row>
    <row r="169" spans="1:22" ht="12.6" customHeight="1" thickTop="1" thickBot="1" x14ac:dyDescent="0.3">
      <c r="A169" s="292"/>
      <c r="B169" s="293"/>
      <c r="C169" s="294"/>
      <c r="D169" s="294"/>
      <c r="E169" s="294"/>
      <c r="F169" s="310"/>
      <c r="G169" s="310"/>
      <c r="H169" s="310"/>
      <c r="I169" s="295"/>
      <c r="J169" s="295"/>
      <c r="K169" s="300">
        <f t="shared" si="11"/>
        <v>1.1000000000000001</v>
      </c>
      <c r="L169" s="300">
        <f t="shared" si="12"/>
        <v>0</v>
      </c>
      <c r="M169" s="285">
        <f t="shared" si="13"/>
        <v>0</v>
      </c>
      <c r="N169" s="1076">
        <f t="shared" si="14"/>
        <v>0</v>
      </c>
      <c r="O169" s="294"/>
      <c r="P169" s="404"/>
      <c r="Q169" s="404"/>
      <c r="R169" s="301"/>
      <c r="S169" s="301"/>
      <c r="T169" s="301"/>
      <c r="U169" s="301"/>
      <c r="V169" s="301"/>
    </row>
    <row r="170" spans="1:22" ht="12.6" customHeight="1" thickTop="1" thickBot="1" x14ac:dyDescent="0.3">
      <c r="A170" s="292"/>
      <c r="B170" s="293"/>
      <c r="C170" s="294"/>
      <c r="D170" s="294"/>
      <c r="E170" s="294"/>
      <c r="F170" s="310"/>
      <c r="G170" s="310"/>
      <c r="H170" s="310"/>
      <c r="I170" s="295"/>
      <c r="J170" s="295"/>
      <c r="K170" s="300">
        <f t="shared" si="11"/>
        <v>1.1000000000000001</v>
      </c>
      <c r="L170" s="300">
        <f t="shared" si="12"/>
        <v>0</v>
      </c>
      <c r="M170" s="285">
        <f t="shared" si="13"/>
        <v>0</v>
      </c>
      <c r="N170" s="1076">
        <f t="shared" si="14"/>
        <v>0</v>
      </c>
      <c r="O170" s="294"/>
      <c r="P170" s="404"/>
      <c r="Q170" s="404"/>
      <c r="R170" s="301"/>
      <c r="S170" s="301"/>
      <c r="T170" s="301"/>
      <c r="U170" s="301"/>
      <c r="V170" s="301"/>
    </row>
    <row r="171" spans="1:22" ht="12.6" customHeight="1" thickTop="1" thickBot="1" x14ac:dyDescent="0.3">
      <c r="A171" s="292"/>
      <c r="B171" s="293"/>
      <c r="C171" s="294"/>
      <c r="D171" s="294"/>
      <c r="E171" s="294"/>
      <c r="F171" s="310"/>
      <c r="G171" s="310"/>
      <c r="H171" s="310"/>
      <c r="I171" s="295"/>
      <c r="J171" s="295"/>
      <c r="K171" s="300">
        <f t="shared" si="11"/>
        <v>1.1000000000000001</v>
      </c>
      <c r="L171" s="300">
        <f t="shared" si="12"/>
        <v>0</v>
      </c>
      <c r="M171" s="285">
        <f t="shared" si="13"/>
        <v>0</v>
      </c>
      <c r="N171" s="1076">
        <f t="shared" si="14"/>
        <v>0</v>
      </c>
      <c r="O171" s="294"/>
      <c r="P171" s="404"/>
      <c r="Q171" s="404"/>
      <c r="R171" s="301"/>
      <c r="S171" s="301"/>
      <c r="T171" s="301"/>
      <c r="U171" s="301"/>
      <c r="V171" s="301"/>
    </row>
    <row r="172" spans="1:22" ht="12.6" customHeight="1" thickTop="1" thickBot="1" x14ac:dyDescent="0.3">
      <c r="A172" s="292"/>
      <c r="B172" s="293"/>
      <c r="C172" s="294"/>
      <c r="D172" s="294"/>
      <c r="E172" s="294"/>
      <c r="F172" s="310"/>
      <c r="G172" s="310"/>
      <c r="H172" s="310"/>
      <c r="I172" s="295"/>
      <c r="J172" s="295"/>
      <c r="K172" s="300">
        <f t="shared" si="11"/>
        <v>1.1000000000000001</v>
      </c>
      <c r="L172" s="300">
        <f t="shared" si="12"/>
        <v>0</v>
      </c>
      <c r="M172" s="285">
        <f t="shared" si="13"/>
        <v>0</v>
      </c>
      <c r="N172" s="1076">
        <f t="shared" si="14"/>
        <v>0</v>
      </c>
      <c r="O172" s="294"/>
      <c r="P172" s="404"/>
      <c r="Q172" s="404"/>
      <c r="R172" s="301"/>
      <c r="S172" s="301"/>
      <c r="T172" s="301"/>
      <c r="U172" s="301"/>
      <c r="V172" s="301"/>
    </row>
    <row r="173" spans="1:22" ht="12.6" customHeight="1" thickTop="1" thickBot="1" x14ac:dyDescent="0.3">
      <c r="A173" s="292"/>
      <c r="B173" s="293"/>
      <c r="C173" s="294"/>
      <c r="D173" s="294"/>
      <c r="E173" s="294"/>
      <c r="F173" s="310"/>
      <c r="G173" s="310"/>
      <c r="H173" s="310"/>
      <c r="I173" s="295"/>
      <c r="J173" s="295"/>
      <c r="K173" s="300">
        <f t="shared" si="11"/>
        <v>1.1000000000000001</v>
      </c>
      <c r="L173" s="300">
        <f t="shared" si="12"/>
        <v>0</v>
      </c>
      <c r="M173" s="285">
        <f t="shared" si="13"/>
        <v>0</v>
      </c>
      <c r="N173" s="1076">
        <f t="shared" si="14"/>
        <v>0</v>
      </c>
      <c r="O173" s="294"/>
      <c r="P173" s="404"/>
      <c r="Q173" s="404"/>
      <c r="R173" s="301"/>
      <c r="S173" s="301"/>
      <c r="T173" s="301"/>
      <c r="U173" s="301"/>
      <c r="V173" s="301"/>
    </row>
    <row r="174" spans="1:22" ht="12.6" customHeight="1" thickTop="1" thickBot="1" x14ac:dyDescent="0.3">
      <c r="A174" s="292"/>
      <c r="B174" s="293"/>
      <c r="C174" s="294"/>
      <c r="D174" s="294"/>
      <c r="E174" s="294"/>
      <c r="F174" s="310"/>
      <c r="G174" s="310"/>
      <c r="H174" s="310"/>
      <c r="I174" s="295"/>
      <c r="J174" s="295"/>
      <c r="K174" s="300">
        <f t="shared" si="11"/>
        <v>1.1000000000000001</v>
      </c>
      <c r="L174" s="300">
        <f t="shared" si="12"/>
        <v>0</v>
      </c>
      <c r="M174" s="285">
        <f t="shared" si="13"/>
        <v>0</v>
      </c>
      <c r="N174" s="1076">
        <f t="shared" si="14"/>
        <v>0</v>
      </c>
      <c r="O174" s="294"/>
      <c r="P174" s="404"/>
      <c r="Q174" s="404"/>
      <c r="R174" s="301"/>
      <c r="S174" s="301"/>
      <c r="T174" s="301"/>
      <c r="U174" s="301"/>
      <c r="V174" s="301"/>
    </row>
    <row r="175" spans="1:22" ht="12.6" customHeight="1" thickTop="1" thickBot="1" x14ac:dyDescent="0.3">
      <c r="A175" s="292"/>
      <c r="B175" s="293"/>
      <c r="C175" s="294"/>
      <c r="D175" s="294"/>
      <c r="E175" s="294"/>
      <c r="F175" s="310"/>
      <c r="G175" s="310"/>
      <c r="H175" s="310"/>
      <c r="I175" s="295"/>
      <c r="J175" s="295"/>
      <c r="K175" s="300">
        <f t="shared" si="11"/>
        <v>1.1000000000000001</v>
      </c>
      <c r="L175" s="300">
        <f t="shared" si="12"/>
        <v>0</v>
      </c>
      <c r="M175" s="285">
        <f t="shared" si="13"/>
        <v>0</v>
      </c>
      <c r="N175" s="1076">
        <f t="shared" si="14"/>
        <v>0</v>
      </c>
      <c r="O175" s="294"/>
      <c r="P175" s="404"/>
      <c r="Q175" s="404"/>
      <c r="R175" s="301"/>
      <c r="S175" s="301"/>
      <c r="T175" s="301"/>
      <c r="U175" s="301"/>
      <c r="V175" s="301"/>
    </row>
    <row r="176" spans="1:22" ht="12.6" customHeight="1" thickTop="1" thickBot="1" x14ac:dyDescent="0.3">
      <c r="A176" s="292"/>
      <c r="B176" s="293"/>
      <c r="C176" s="294"/>
      <c r="D176" s="294"/>
      <c r="E176" s="294"/>
      <c r="F176" s="310"/>
      <c r="G176" s="310"/>
      <c r="H176" s="310"/>
      <c r="I176" s="295"/>
      <c r="J176" s="295"/>
      <c r="K176" s="300">
        <f t="shared" si="11"/>
        <v>1.1000000000000001</v>
      </c>
      <c r="L176" s="300">
        <f t="shared" si="12"/>
        <v>0</v>
      </c>
      <c r="M176" s="285">
        <f t="shared" si="13"/>
        <v>0</v>
      </c>
      <c r="N176" s="1076">
        <f t="shared" si="14"/>
        <v>0</v>
      </c>
      <c r="O176" s="294"/>
      <c r="P176" s="404"/>
      <c r="Q176" s="404"/>
      <c r="R176" s="301"/>
      <c r="S176" s="301"/>
      <c r="T176" s="301"/>
      <c r="U176" s="301"/>
      <c r="V176" s="301"/>
    </row>
    <row r="177" spans="1:22" ht="12.6" customHeight="1" thickTop="1" thickBot="1" x14ac:dyDescent="0.3">
      <c r="A177" s="292"/>
      <c r="B177" s="293"/>
      <c r="C177" s="294"/>
      <c r="D177" s="294"/>
      <c r="E177" s="294"/>
      <c r="F177" s="310"/>
      <c r="G177" s="310"/>
      <c r="H177" s="310"/>
      <c r="I177" s="295"/>
      <c r="J177" s="295"/>
      <c r="K177" s="300">
        <f t="shared" si="11"/>
        <v>1.1000000000000001</v>
      </c>
      <c r="L177" s="300">
        <f t="shared" si="12"/>
        <v>0</v>
      </c>
      <c r="M177" s="285">
        <f t="shared" si="13"/>
        <v>0</v>
      </c>
      <c r="N177" s="1076">
        <f t="shared" si="14"/>
        <v>0</v>
      </c>
      <c r="O177" s="294"/>
      <c r="P177" s="404"/>
      <c r="Q177" s="404"/>
      <c r="R177" s="301"/>
      <c r="S177" s="301"/>
      <c r="T177" s="301"/>
      <c r="U177" s="301"/>
      <c r="V177" s="301"/>
    </row>
    <row r="178" spans="1:22" ht="12.6" customHeight="1" thickTop="1" thickBot="1" x14ac:dyDescent="0.3">
      <c r="A178" s="292"/>
      <c r="B178" s="293"/>
      <c r="C178" s="294"/>
      <c r="D178" s="294"/>
      <c r="E178" s="294"/>
      <c r="F178" s="310"/>
      <c r="G178" s="310"/>
      <c r="H178" s="310"/>
      <c r="I178" s="295"/>
      <c r="J178" s="295"/>
      <c r="K178" s="300">
        <f t="shared" si="11"/>
        <v>1.1000000000000001</v>
      </c>
      <c r="L178" s="300">
        <f t="shared" si="12"/>
        <v>0</v>
      </c>
      <c r="M178" s="285">
        <f t="shared" si="13"/>
        <v>0</v>
      </c>
      <c r="N178" s="1076">
        <f t="shared" si="14"/>
        <v>0</v>
      </c>
      <c r="O178" s="294"/>
      <c r="P178" s="404"/>
      <c r="Q178" s="404"/>
      <c r="R178" s="301"/>
      <c r="S178" s="301"/>
      <c r="T178" s="301"/>
      <c r="U178" s="301"/>
      <c r="V178" s="301"/>
    </row>
    <row r="179" spans="1:22" ht="12.6" customHeight="1" thickTop="1" thickBot="1" x14ac:dyDescent="0.3">
      <c r="A179" s="292"/>
      <c r="B179" s="293"/>
      <c r="C179" s="294"/>
      <c r="D179" s="294"/>
      <c r="E179" s="294"/>
      <c r="F179" s="310"/>
      <c r="G179" s="310"/>
      <c r="H179" s="310"/>
      <c r="I179" s="295"/>
      <c r="J179" s="295"/>
      <c r="K179" s="300">
        <f t="shared" si="11"/>
        <v>1.1000000000000001</v>
      </c>
      <c r="L179" s="300">
        <f t="shared" si="12"/>
        <v>0</v>
      </c>
      <c r="M179" s="285">
        <f t="shared" si="13"/>
        <v>0</v>
      </c>
      <c r="N179" s="1076">
        <f t="shared" si="14"/>
        <v>0</v>
      </c>
      <c r="O179" s="294"/>
      <c r="P179" s="404"/>
      <c r="Q179" s="404"/>
      <c r="R179" s="301"/>
      <c r="S179" s="301"/>
      <c r="T179" s="301"/>
      <c r="U179" s="301"/>
      <c r="V179" s="301"/>
    </row>
    <row r="180" spans="1:22" ht="12.6" customHeight="1" thickTop="1" thickBot="1" x14ac:dyDescent="0.3">
      <c r="A180" s="292"/>
      <c r="B180" s="293"/>
      <c r="C180" s="294"/>
      <c r="D180" s="294"/>
      <c r="E180" s="294"/>
      <c r="F180" s="310"/>
      <c r="G180" s="310"/>
      <c r="H180" s="310"/>
      <c r="I180" s="295"/>
      <c r="J180" s="295"/>
      <c r="K180" s="300">
        <f t="shared" si="11"/>
        <v>1.1000000000000001</v>
      </c>
      <c r="L180" s="300">
        <f t="shared" si="12"/>
        <v>0</v>
      </c>
      <c r="M180" s="285">
        <f t="shared" si="13"/>
        <v>0</v>
      </c>
      <c r="N180" s="1076">
        <f t="shared" si="14"/>
        <v>0</v>
      </c>
      <c r="O180" s="294"/>
      <c r="P180" s="404"/>
      <c r="Q180" s="404"/>
      <c r="R180" s="301"/>
      <c r="S180" s="301"/>
      <c r="T180" s="301"/>
      <c r="U180" s="301"/>
      <c r="V180" s="301"/>
    </row>
    <row r="181" spans="1:22" ht="12.6" customHeight="1" thickTop="1" thickBot="1" x14ac:dyDescent="0.3">
      <c r="A181" s="292"/>
      <c r="B181" s="293"/>
      <c r="C181" s="294"/>
      <c r="D181" s="294"/>
      <c r="E181" s="294"/>
      <c r="F181" s="310"/>
      <c r="G181" s="310"/>
      <c r="H181" s="310"/>
      <c r="I181" s="295"/>
      <c r="J181" s="295"/>
      <c r="K181" s="300">
        <f t="shared" si="11"/>
        <v>1.1000000000000001</v>
      </c>
      <c r="L181" s="300">
        <f t="shared" si="12"/>
        <v>0</v>
      </c>
      <c r="M181" s="285">
        <f t="shared" si="13"/>
        <v>0</v>
      </c>
      <c r="N181" s="1076">
        <f t="shared" si="14"/>
        <v>0</v>
      </c>
      <c r="O181" s="294"/>
      <c r="P181" s="404"/>
      <c r="Q181" s="404"/>
      <c r="R181" s="301"/>
      <c r="S181" s="301"/>
      <c r="T181" s="301"/>
      <c r="U181" s="301"/>
      <c r="V181" s="301"/>
    </row>
    <row r="182" spans="1:22" ht="12.6" customHeight="1" thickTop="1" thickBot="1" x14ac:dyDescent="0.3">
      <c r="A182" s="292"/>
      <c r="B182" s="293"/>
      <c r="C182" s="294"/>
      <c r="D182" s="294"/>
      <c r="E182" s="294"/>
      <c r="F182" s="310"/>
      <c r="G182" s="310"/>
      <c r="H182" s="310"/>
      <c r="I182" s="295"/>
      <c r="J182" s="295"/>
      <c r="K182" s="300">
        <f t="shared" si="11"/>
        <v>1.1000000000000001</v>
      </c>
      <c r="L182" s="300">
        <f t="shared" si="12"/>
        <v>0</v>
      </c>
      <c r="M182" s="285">
        <f t="shared" si="13"/>
        <v>0</v>
      </c>
      <c r="N182" s="1076">
        <f t="shared" si="14"/>
        <v>0</v>
      </c>
      <c r="O182" s="294"/>
      <c r="P182" s="404"/>
      <c r="Q182" s="404"/>
      <c r="R182" s="301"/>
      <c r="S182" s="301"/>
      <c r="T182" s="301"/>
      <c r="U182" s="301"/>
      <c r="V182" s="301"/>
    </row>
    <row r="183" spans="1:22" ht="12.6" customHeight="1" thickTop="1" thickBot="1" x14ac:dyDescent="0.3">
      <c r="A183" s="292"/>
      <c r="B183" s="293"/>
      <c r="C183" s="294"/>
      <c r="D183" s="294"/>
      <c r="E183" s="294"/>
      <c r="F183" s="310"/>
      <c r="G183" s="310"/>
      <c r="H183" s="310"/>
      <c r="I183" s="295"/>
      <c r="J183" s="295"/>
      <c r="K183" s="300">
        <f t="shared" si="11"/>
        <v>1.1000000000000001</v>
      </c>
      <c r="L183" s="300">
        <f t="shared" si="12"/>
        <v>0</v>
      </c>
      <c r="M183" s="285">
        <f t="shared" si="13"/>
        <v>0</v>
      </c>
      <c r="N183" s="1076">
        <f t="shared" si="14"/>
        <v>0</v>
      </c>
      <c r="O183" s="294"/>
      <c r="P183" s="404"/>
      <c r="Q183" s="404"/>
      <c r="R183" s="301"/>
      <c r="S183" s="301"/>
      <c r="T183" s="301"/>
      <c r="U183" s="301"/>
      <c r="V183" s="301"/>
    </row>
    <row r="184" spans="1:22" ht="12.6" customHeight="1" thickTop="1" thickBot="1" x14ac:dyDescent="0.3">
      <c r="A184" s="292"/>
      <c r="B184" s="293"/>
      <c r="C184" s="294"/>
      <c r="D184" s="294"/>
      <c r="E184" s="294"/>
      <c r="F184" s="310"/>
      <c r="G184" s="310"/>
      <c r="H184" s="310"/>
      <c r="I184" s="295"/>
      <c r="J184" s="295"/>
      <c r="K184" s="300">
        <f t="shared" si="11"/>
        <v>1.1000000000000001</v>
      </c>
      <c r="L184" s="300">
        <f t="shared" si="12"/>
        <v>0</v>
      </c>
      <c r="M184" s="285">
        <f t="shared" si="13"/>
        <v>0</v>
      </c>
      <c r="N184" s="1076">
        <f t="shared" si="14"/>
        <v>0</v>
      </c>
      <c r="O184" s="294"/>
      <c r="P184" s="404"/>
      <c r="Q184" s="404"/>
      <c r="R184" s="301"/>
      <c r="S184" s="301"/>
      <c r="T184" s="301"/>
      <c r="U184" s="301"/>
      <c r="V184" s="301"/>
    </row>
    <row r="185" spans="1:22" ht="12.6" customHeight="1" thickTop="1" thickBot="1" x14ac:dyDescent="0.3">
      <c r="A185" s="292"/>
      <c r="B185" s="293"/>
      <c r="C185" s="294"/>
      <c r="D185" s="294"/>
      <c r="E185" s="294"/>
      <c r="F185" s="310"/>
      <c r="G185" s="310"/>
      <c r="H185" s="310"/>
      <c r="I185" s="295"/>
      <c r="J185" s="295"/>
      <c r="K185" s="300">
        <f t="shared" si="11"/>
        <v>1.1000000000000001</v>
      </c>
      <c r="L185" s="300">
        <f t="shared" si="12"/>
        <v>0</v>
      </c>
      <c r="M185" s="285">
        <f t="shared" si="13"/>
        <v>0</v>
      </c>
      <c r="N185" s="1076">
        <f t="shared" si="14"/>
        <v>0</v>
      </c>
      <c r="O185" s="294"/>
      <c r="P185" s="404"/>
      <c r="Q185" s="404"/>
      <c r="R185" s="301"/>
      <c r="S185" s="301"/>
      <c r="T185" s="301"/>
      <c r="U185" s="301"/>
      <c r="V185" s="301"/>
    </row>
    <row r="186" spans="1:22" ht="12.6" customHeight="1" thickTop="1" thickBot="1" x14ac:dyDescent="0.3">
      <c r="A186" s="292"/>
      <c r="B186" s="293"/>
      <c r="C186" s="294"/>
      <c r="D186" s="294"/>
      <c r="E186" s="294"/>
      <c r="F186" s="310"/>
      <c r="G186" s="310"/>
      <c r="H186" s="310"/>
      <c r="I186" s="295"/>
      <c r="J186" s="295"/>
      <c r="K186" s="300">
        <f t="shared" si="11"/>
        <v>1.1000000000000001</v>
      </c>
      <c r="L186" s="300">
        <f t="shared" si="12"/>
        <v>0</v>
      </c>
      <c r="M186" s="285">
        <f t="shared" si="13"/>
        <v>0</v>
      </c>
      <c r="N186" s="1076">
        <f t="shared" si="14"/>
        <v>0</v>
      </c>
      <c r="O186" s="294"/>
      <c r="P186" s="404"/>
      <c r="Q186" s="404"/>
      <c r="R186" s="301"/>
      <c r="S186" s="301"/>
      <c r="T186" s="301"/>
      <c r="U186" s="301"/>
      <c r="V186" s="301"/>
    </row>
    <row r="187" spans="1:22" ht="12.6" customHeight="1" thickTop="1" thickBot="1" x14ac:dyDescent="0.3">
      <c r="A187" s="292"/>
      <c r="B187" s="293"/>
      <c r="C187" s="294"/>
      <c r="D187" s="294"/>
      <c r="E187" s="294"/>
      <c r="F187" s="310"/>
      <c r="G187" s="310"/>
      <c r="H187" s="310"/>
      <c r="I187" s="295"/>
      <c r="J187" s="295"/>
      <c r="K187" s="300">
        <f t="shared" si="11"/>
        <v>1.1000000000000001</v>
      </c>
      <c r="L187" s="300">
        <f t="shared" si="12"/>
        <v>0</v>
      </c>
      <c r="M187" s="285">
        <f t="shared" si="13"/>
        <v>0</v>
      </c>
      <c r="N187" s="1076">
        <f t="shared" si="14"/>
        <v>0</v>
      </c>
      <c r="O187" s="294"/>
      <c r="P187" s="404"/>
      <c r="Q187" s="404"/>
      <c r="R187" s="301"/>
      <c r="S187" s="301"/>
      <c r="T187" s="301"/>
      <c r="U187" s="301"/>
      <c r="V187" s="301"/>
    </row>
    <row r="188" spans="1:22" ht="12.6" customHeight="1" thickTop="1" thickBot="1" x14ac:dyDescent="0.3">
      <c r="A188" s="292"/>
      <c r="B188" s="293"/>
      <c r="C188" s="294"/>
      <c r="D188" s="294"/>
      <c r="E188" s="294"/>
      <c r="F188" s="310"/>
      <c r="G188" s="310"/>
      <c r="H188" s="310"/>
      <c r="I188" s="295"/>
      <c r="J188" s="295"/>
      <c r="K188" s="300">
        <f t="shared" si="11"/>
        <v>1.1000000000000001</v>
      </c>
      <c r="L188" s="300">
        <f t="shared" si="12"/>
        <v>0</v>
      </c>
      <c r="M188" s="285">
        <f t="shared" si="13"/>
        <v>0</v>
      </c>
      <c r="N188" s="1076">
        <f t="shared" si="14"/>
        <v>0</v>
      </c>
      <c r="O188" s="294"/>
      <c r="P188" s="404"/>
      <c r="Q188" s="404"/>
      <c r="R188" s="301"/>
      <c r="S188" s="301"/>
      <c r="T188" s="301"/>
      <c r="U188" s="301"/>
      <c r="V188" s="301"/>
    </row>
    <row r="189" spans="1:22" ht="12.6" customHeight="1" thickTop="1" thickBot="1" x14ac:dyDescent="0.3">
      <c r="A189" s="292"/>
      <c r="B189" s="293"/>
      <c r="C189" s="294"/>
      <c r="D189" s="294"/>
      <c r="E189" s="294"/>
      <c r="F189" s="310"/>
      <c r="G189" s="310"/>
      <c r="H189" s="310"/>
      <c r="I189" s="295"/>
      <c r="J189" s="295"/>
      <c r="K189" s="300">
        <f t="shared" si="11"/>
        <v>1.1000000000000001</v>
      </c>
      <c r="L189" s="300">
        <f t="shared" si="12"/>
        <v>0</v>
      </c>
      <c r="M189" s="285">
        <f t="shared" si="13"/>
        <v>0</v>
      </c>
      <c r="N189" s="1076">
        <f t="shared" si="14"/>
        <v>0</v>
      </c>
      <c r="O189" s="294"/>
      <c r="P189" s="404"/>
      <c r="Q189" s="404"/>
      <c r="R189" s="301"/>
      <c r="S189" s="301"/>
      <c r="T189" s="301"/>
      <c r="U189" s="301"/>
      <c r="V189" s="301"/>
    </row>
    <row r="190" spans="1:22" ht="12.6" customHeight="1" thickTop="1" thickBot="1" x14ac:dyDescent="0.3">
      <c r="A190" s="292"/>
      <c r="B190" s="293"/>
      <c r="C190" s="294"/>
      <c r="D190" s="294"/>
      <c r="E190" s="294"/>
      <c r="F190" s="310"/>
      <c r="G190" s="310"/>
      <c r="H190" s="310"/>
      <c r="I190" s="295"/>
      <c r="J190" s="295"/>
      <c r="K190" s="300">
        <f t="shared" si="11"/>
        <v>1.1000000000000001</v>
      </c>
      <c r="L190" s="300">
        <f t="shared" si="12"/>
        <v>0</v>
      </c>
      <c r="M190" s="285">
        <f t="shared" si="13"/>
        <v>0</v>
      </c>
      <c r="N190" s="1076">
        <f t="shared" si="14"/>
        <v>0</v>
      </c>
      <c r="O190" s="294"/>
      <c r="P190" s="404"/>
      <c r="Q190" s="404"/>
      <c r="R190" s="301"/>
      <c r="S190" s="301"/>
      <c r="T190" s="301"/>
      <c r="U190" s="301"/>
      <c r="V190" s="301"/>
    </row>
    <row r="191" spans="1:22" ht="12.6" customHeight="1" thickTop="1" thickBot="1" x14ac:dyDescent="0.3">
      <c r="A191" s="292"/>
      <c r="B191" s="293"/>
      <c r="C191" s="294"/>
      <c r="D191" s="294"/>
      <c r="E191" s="294"/>
      <c r="F191" s="310"/>
      <c r="G191" s="310"/>
      <c r="H191" s="310"/>
      <c r="I191" s="295"/>
      <c r="J191" s="295"/>
      <c r="K191" s="300">
        <f t="shared" si="11"/>
        <v>1.1000000000000001</v>
      </c>
      <c r="L191" s="300">
        <f t="shared" si="12"/>
        <v>0</v>
      </c>
      <c r="M191" s="285">
        <f t="shared" si="13"/>
        <v>0</v>
      </c>
      <c r="N191" s="1076">
        <f t="shared" si="14"/>
        <v>0</v>
      </c>
      <c r="O191" s="294"/>
      <c r="P191" s="404"/>
      <c r="Q191" s="404"/>
      <c r="R191" s="301"/>
      <c r="S191" s="301"/>
      <c r="T191" s="301"/>
      <c r="U191" s="301"/>
      <c r="V191" s="301"/>
    </row>
    <row r="192" spans="1:22" ht="12.6" customHeight="1" thickTop="1" thickBot="1" x14ac:dyDescent="0.3">
      <c r="A192" s="292"/>
      <c r="B192" s="293"/>
      <c r="C192" s="294"/>
      <c r="D192" s="294"/>
      <c r="E192" s="294"/>
      <c r="F192" s="310"/>
      <c r="G192" s="310"/>
      <c r="H192" s="310"/>
      <c r="I192" s="295"/>
      <c r="J192" s="295"/>
      <c r="K192" s="300">
        <f t="shared" si="11"/>
        <v>1.1000000000000001</v>
      </c>
      <c r="L192" s="300">
        <f t="shared" si="12"/>
        <v>0</v>
      </c>
      <c r="M192" s="285">
        <f t="shared" si="13"/>
        <v>0</v>
      </c>
      <c r="N192" s="1076">
        <f t="shared" si="14"/>
        <v>0</v>
      </c>
      <c r="O192" s="294"/>
      <c r="P192" s="404"/>
      <c r="Q192" s="404"/>
      <c r="R192" s="301"/>
      <c r="S192" s="301"/>
      <c r="T192" s="301"/>
      <c r="U192" s="301"/>
      <c r="V192" s="301"/>
    </row>
    <row r="193" spans="1:22" ht="12.6" customHeight="1" thickTop="1" thickBot="1" x14ac:dyDescent="0.3">
      <c r="A193" s="292"/>
      <c r="B193" s="293"/>
      <c r="C193" s="294"/>
      <c r="D193" s="294"/>
      <c r="E193" s="294"/>
      <c r="F193" s="310"/>
      <c r="G193" s="310"/>
      <c r="H193" s="310"/>
      <c r="I193" s="295"/>
      <c r="J193" s="295"/>
      <c r="K193" s="300">
        <f t="shared" si="11"/>
        <v>1.1000000000000001</v>
      </c>
      <c r="L193" s="300">
        <f t="shared" si="12"/>
        <v>0</v>
      </c>
      <c r="M193" s="285">
        <f t="shared" si="13"/>
        <v>0</v>
      </c>
      <c r="N193" s="1076">
        <f t="shared" si="14"/>
        <v>0</v>
      </c>
      <c r="O193" s="294"/>
      <c r="P193" s="404"/>
      <c r="Q193" s="404"/>
      <c r="R193" s="301"/>
      <c r="S193" s="301"/>
      <c r="T193" s="301"/>
      <c r="U193" s="301"/>
      <c r="V193" s="301"/>
    </row>
    <row r="194" spans="1:22" ht="12.6" customHeight="1" thickTop="1" thickBot="1" x14ac:dyDescent="0.3">
      <c r="A194" s="292"/>
      <c r="B194" s="293"/>
      <c r="C194" s="294"/>
      <c r="D194" s="294"/>
      <c r="E194" s="294"/>
      <c r="F194" s="310"/>
      <c r="G194" s="310"/>
      <c r="H194" s="310"/>
      <c r="I194" s="295"/>
      <c r="J194" s="295"/>
      <c r="K194" s="300">
        <f t="shared" si="11"/>
        <v>1.1000000000000001</v>
      </c>
      <c r="L194" s="300">
        <f t="shared" si="12"/>
        <v>0</v>
      </c>
      <c r="M194" s="285">
        <f t="shared" si="13"/>
        <v>0</v>
      </c>
      <c r="N194" s="1076">
        <f t="shared" si="14"/>
        <v>0</v>
      </c>
      <c r="O194" s="294"/>
      <c r="P194" s="404"/>
      <c r="Q194" s="404"/>
      <c r="R194" s="301"/>
      <c r="S194" s="301"/>
      <c r="T194" s="301"/>
      <c r="U194" s="301"/>
      <c r="V194" s="301"/>
    </row>
    <row r="195" spans="1:22" ht="12.6" customHeight="1" thickTop="1" thickBot="1" x14ac:dyDescent="0.3">
      <c r="A195" s="292"/>
      <c r="B195" s="293"/>
      <c r="C195" s="294"/>
      <c r="D195" s="294"/>
      <c r="E195" s="294"/>
      <c r="F195" s="310"/>
      <c r="G195" s="310"/>
      <c r="H195" s="310"/>
      <c r="I195" s="295"/>
      <c r="J195" s="295"/>
      <c r="K195" s="300">
        <f t="shared" ref="K195:K258" si="15">$K$2</f>
        <v>1.1000000000000001</v>
      </c>
      <c r="L195" s="300">
        <f t="shared" si="12"/>
        <v>0</v>
      </c>
      <c r="M195" s="285">
        <f t="shared" si="13"/>
        <v>0</v>
      </c>
      <c r="N195" s="1076">
        <f t="shared" si="14"/>
        <v>0</v>
      </c>
      <c r="O195" s="294"/>
      <c r="P195" s="404"/>
      <c r="Q195" s="404"/>
      <c r="R195" s="301"/>
      <c r="S195" s="301"/>
      <c r="T195" s="301"/>
      <c r="U195" s="301"/>
      <c r="V195" s="301"/>
    </row>
    <row r="196" spans="1:22" ht="12.6" customHeight="1" thickTop="1" thickBot="1" x14ac:dyDescent="0.3">
      <c r="A196" s="292"/>
      <c r="B196" s="293"/>
      <c r="C196" s="294"/>
      <c r="D196" s="294"/>
      <c r="E196" s="294"/>
      <c r="F196" s="310"/>
      <c r="G196" s="310"/>
      <c r="H196" s="310"/>
      <c r="I196" s="295"/>
      <c r="J196" s="295"/>
      <c r="K196" s="300">
        <f t="shared" si="15"/>
        <v>1.1000000000000001</v>
      </c>
      <c r="L196" s="300">
        <f t="shared" si="12"/>
        <v>0</v>
      </c>
      <c r="M196" s="285">
        <f t="shared" si="13"/>
        <v>0</v>
      </c>
      <c r="N196" s="1076">
        <f t="shared" si="14"/>
        <v>0</v>
      </c>
      <c r="O196" s="294"/>
      <c r="P196" s="404"/>
      <c r="Q196" s="404"/>
      <c r="R196" s="301"/>
      <c r="S196" s="301"/>
      <c r="T196" s="301"/>
      <c r="U196" s="301"/>
      <c r="V196" s="301"/>
    </row>
    <row r="197" spans="1:22" ht="12.6" customHeight="1" thickTop="1" thickBot="1" x14ac:dyDescent="0.3">
      <c r="A197" s="292"/>
      <c r="B197" s="293"/>
      <c r="C197" s="294"/>
      <c r="D197" s="294"/>
      <c r="E197" s="294"/>
      <c r="F197" s="310"/>
      <c r="G197" s="310"/>
      <c r="H197" s="310"/>
      <c r="I197" s="295"/>
      <c r="J197" s="295"/>
      <c r="K197" s="300">
        <f t="shared" si="15"/>
        <v>1.1000000000000001</v>
      </c>
      <c r="L197" s="300">
        <f t="shared" si="12"/>
        <v>0</v>
      </c>
      <c r="M197" s="285">
        <f t="shared" si="13"/>
        <v>0</v>
      </c>
      <c r="N197" s="1076">
        <f t="shared" si="14"/>
        <v>0</v>
      </c>
      <c r="O197" s="294"/>
      <c r="P197" s="404"/>
      <c r="Q197" s="404"/>
      <c r="R197" s="301"/>
      <c r="S197" s="301"/>
      <c r="T197" s="301"/>
      <c r="U197" s="301"/>
      <c r="V197" s="301"/>
    </row>
    <row r="198" spans="1:22" ht="12.6" customHeight="1" thickTop="1" thickBot="1" x14ac:dyDescent="0.3">
      <c r="A198" s="292"/>
      <c r="B198" s="293"/>
      <c r="C198" s="294"/>
      <c r="D198" s="294"/>
      <c r="E198" s="294"/>
      <c r="F198" s="310"/>
      <c r="G198" s="310"/>
      <c r="H198" s="310"/>
      <c r="I198" s="295"/>
      <c r="J198" s="295"/>
      <c r="K198" s="300">
        <f t="shared" si="15"/>
        <v>1.1000000000000001</v>
      </c>
      <c r="L198" s="300">
        <f t="shared" si="12"/>
        <v>0</v>
      </c>
      <c r="M198" s="285">
        <f t="shared" si="13"/>
        <v>0</v>
      </c>
      <c r="N198" s="1076">
        <f t="shared" si="14"/>
        <v>0</v>
      </c>
      <c r="O198" s="294"/>
      <c r="P198" s="404"/>
      <c r="Q198" s="404"/>
      <c r="R198" s="301"/>
      <c r="S198" s="301"/>
      <c r="T198" s="301"/>
      <c r="U198" s="301"/>
      <c r="V198" s="301"/>
    </row>
    <row r="199" spans="1:22" ht="12.6" customHeight="1" thickTop="1" thickBot="1" x14ac:dyDescent="0.3">
      <c r="A199" s="292"/>
      <c r="B199" s="293"/>
      <c r="C199" s="294"/>
      <c r="D199" s="294"/>
      <c r="E199" s="294"/>
      <c r="F199" s="310"/>
      <c r="G199" s="310"/>
      <c r="H199" s="310"/>
      <c r="I199" s="295"/>
      <c r="J199" s="295"/>
      <c r="K199" s="300">
        <f t="shared" si="15"/>
        <v>1.1000000000000001</v>
      </c>
      <c r="L199" s="300">
        <f t="shared" ref="L199:L262" si="16">K199*J199</f>
        <v>0</v>
      </c>
      <c r="M199" s="285">
        <f t="shared" ref="M199:M262" si="17">ROUND(L199,1)</f>
        <v>0</v>
      </c>
      <c r="N199" s="1076">
        <f t="shared" ref="N199:N262" si="18">ROUNDUP(M199,0)</f>
        <v>0</v>
      </c>
      <c r="O199" s="294"/>
      <c r="P199" s="404"/>
      <c r="Q199" s="404"/>
      <c r="R199" s="301"/>
      <c r="S199" s="301"/>
      <c r="T199" s="301"/>
      <c r="U199" s="301"/>
      <c r="V199" s="301"/>
    </row>
    <row r="200" spans="1:22" ht="12.6" customHeight="1" thickTop="1" thickBot="1" x14ac:dyDescent="0.3">
      <c r="A200" s="292"/>
      <c r="B200" s="293"/>
      <c r="C200" s="294"/>
      <c r="D200" s="294"/>
      <c r="E200" s="294"/>
      <c r="F200" s="310"/>
      <c r="G200" s="310"/>
      <c r="H200" s="310"/>
      <c r="I200" s="295"/>
      <c r="J200" s="295"/>
      <c r="K200" s="300">
        <f t="shared" si="15"/>
        <v>1.1000000000000001</v>
      </c>
      <c r="L200" s="300">
        <f t="shared" si="16"/>
        <v>0</v>
      </c>
      <c r="M200" s="285">
        <f t="shared" si="17"/>
        <v>0</v>
      </c>
      <c r="N200" s="1076">
        <f t="shared" si="18"/>
        <v>0</v>
      </c>
      <c r="O200" s="294"/>
      <c r="P200" s="404"/>
      <c r="Q200" s="404"/>
      <c r="R200" s="301"/>
      <c r="S200" s="301"/>
      <c r="T200" s="301"/>
      <c r="U200" s="301"/>
      <c r="V200" s="301"/>
    </row>
    <row r="201" spans="1:22" ht="12.6" customHeight="1" thickTop="1" thickBot="1" x14ac:dyDescent="0.3">
      <c r="A201" s="292"/>
      <c r="B201" s="293"/>
      <c r="C201" s="294"/>
      <c r="D201" s="294"/>
      <c r="E201" s="294"/>
      <c r="F201" s="310"/>
      <c r="G201" s="310"/>
      <c r="H201" s="310"/>
      <c r="I201" s="295"/>
      <c r="J201" s="295"/>
      <c r="K201" s="300">
        <f t="shared" si="15"/>
        <v>1.1000000000000001</v>
      </c>
      <c r="L201" s="300">
        <f t="shared" si="16"/>
        <v>0</v>
      </c>
      <c r="M201" s="285">
        <f t="shared" si="17"/>
        <v>0</v>
      </c>
      <c r="N201" s="1076">
        <f t="shared" si="18"/>
        <v>0</v>
      </c>
      <c r="O201" s="294"/>
      <c r="P201" s="404"/>
      <c r="Q201" s="404"/>
      <c r="R201" s="301"/>
      <c r="S201" s="301"/>
      <c r="T201" s="301"/>
      <c r="U201" s="301"/>
      <c r="V201" s="301"/>
    </row>
    <row r="202" spans="1:22" ht="12.6" customHeight="1" thickTop="1" thickBot="1" x14ac:dyDescent="0.3">
      <c r="A202" s="292"/>
      <c r="B202" s="293"/>
      <c r="C202" s="294"/>
      <c r="D202" s="294"/>
      <c r="E202" s="294"/>
      <c r="F202" s="310"/>
      <c r="G202" s="310"/>
      <c r="H202" s="310"/>
      <c r="I202" s="295"/>
      <c r="J202" s="295"/>
      <c r="K202" s="300">
        <f t="shared" si="15"/>
        <v>1.1000000000000001</v>
      </c>
      <c r="L202" s="300">
        <f t="shared" si="16"/>
        <v>0</v>
      </c>
      <c r="M202" s="285">
        <f t="shared" si="17"/>
        <v>0</v>
      </c>
      <c r="N202" s="1076">
        <f t="shared" si="18"/>
        <v>0</v>
      </c>
      <c r="O202" s="294"/>
      <c r="P202" s="404"/>
      <c r="Q202" s="404"/>
      <c r="R202" s="301"/>
      <c r="S202" s="301"/>
      <c r="T202" s="301"/>
      <c r="U202" s="301"/>
      <c r="V202" s="301"/>
    </row>
    <row r="203" spans="1:22" ht="12.6" customHeight="1" thickTop="1" thickBot="1" x14ac:dyDescent="0.3">
      <c r="A203" s="292"/>
      <c r="B203" s="293"/>
      <c r="C203" s="294"/>
      <c r="D203" s="294"/>
      <c r="E203" s="294"/>
      <c r="F203" s="310"/>
      <c r="G203" s="310"/>
      <c r="H203" s="310"/>
      <c r="I203" s="295"/>
      <c r="J203" s="295"/>
      <c r="K203" s="300">
        <f t="shared" si="15"/>
        <v>1.1000000000000001</v>
      </c>
      <c r="L203" s="300">
        <f t="shared" si="16"/>
        <v>0</v>
      </c>
      <c r="M203" s="285">
        <f t="shared" si="17"/>
        <v>0</v>
      </c>
      <c r="N203" s="1076">
        <f t="shared" si="18"/>
        <v>0</v>
      </c>
      <c r="O203" s="294"/>
      <c r="P203" s="404"/>
      <c r="Q203" s="404"/>
      <c r="R203" s="301"/>
      <c r="S203" s="301"/>
      <c r="T203" s="301"/>
      <c r="U203" s="301"/>
      <c r="V203" s="301"/>
    </row>
    <row r="204" spans="1:22" ht="12.6" customHeight="1" thickTop="1" thickBot="1" x14ac:dyDescent="0.3">
      <c r="A204" s="292"/>
      <c r="B204" s="293"/>
      <c r="C204" s="294"/>
      <c r="D204" s="294"/>
      <c r="E204" s="294"/>
      <c r="F204" s="310"/>
      <c r="G204" s="310"/>
      <c r="H204" s="310"/>
      <c r="I204" s="295"/>
      <c r="J204" s="295"/>
      <c r="K204" s="300">
        <f t="shared" si="15"/>
        <v>1.1000000000000001</v>
      </c>
      <c r="L204" s="300">
        <f t="shared" si="16"/>
        <v>0</v>
      </c>
      <c r="M204" s="285">
        <f t="shared" si="17"/>
        <v>0</v>
      </c>
      <c r="N204" s="1076">
        <f t="shared" si="18"/>
        <v>0</v>
      </c>
      <c r="O204" s="294"/>
      <c r="P204" s="404"/>
      <c r="Q204" s="404"/>
      <c r="R204" s="301"/>
      <c r="S204" s="301"/>
      <c r="T204" s="301"/>
      <c r="U204" s="301"/>
      <c r="V204" s="301"/>
    </row>
    <row r="205" spans="1:22" ht="12.6" customHeight="1" thickTop="1" thickBot="1" x14ac:dyDescent="0.3">
      <c r="A205" s="292"/>
      <c r="B205" s="293"/>
      <c r="C205" s="294"/>
      <c r="D205" s="294"/>
      <c r="E205" s="294"/>
      <c r="F205" s="310"/>
      <c r="G205" s="310"/>
      <c r="H205" s="310"/>
      <c r="I205" s="295"/>
      <c r="J205" s="295"/>
      <c r="K205" s="300">
        <f t="shared" si="15"/>
        <v>1.1000000000000001</v>
      </c>
      <c r="L205" s="300">
        <f t="shared" si="16"/>
        <v>0</v>
      </c>
      <c r="M205" s="285">
        <f t="shared" si="17"/>
        <v>0</v>
      </c>
      <c r="N205" s="1076">
        <f t="shared" si="18"/>
        <v>0</v>
      </c>
      <c r="O205" s="294"/>
      <c r="P205" s="404"/>
      <c r="Q205" s="404"/>
      <c r="R205" s="301"/>
      <c r="S205" s="301"/>
      <c r="T205" s="301"/>
      <c r="U205" s="301"/>
      <c r="V205" s="301"/>
    </row>
    <row r="206" spans="1:22" ht="12.6" customHeight="1" thickTop="1" thickBot="1" x14ac:dyDescent="0.3">
      <c r="A206" s="292"/>
      <c r="B206" s="293"/>
      <c r="C206" s="294"/>
      <c r="D206" s="294"/>
      <c r="E206" s="294"/>
      <c r="F206" s="310"/>
      <c r="G206" s="310"/>
      <c r="H206" s="310"/>
      <c r="I206" s="295"/>
      <c r="J206" s="295"/>
      <c r="K206" s="300">
        <f t="shared" si="15"/>
        <v>1.1000000000000001</v>
      </c>
      <c r="L206" s="300">
        <f t="shared" si="16"/>
        <v>0</v>
      </c>
      <c r="M206" s="285">
        <f t="shared" si="17"/>
        <v>0</v>
      </c>
      <c r="N206" s="1076">
        <f t="shared" si="18"/>
        <v>0</v>
      </c>
      <c r="O206" s="294"/>
      <c r="P206" s="404"/>
      <c r="Q206" s="404"/>
      <c r="R206" s="301"/>
      <c r="S206" s="301"/>
      <c r="T206" s="301"/>
      <c r="U206" s="301"/>
      <c r="V206" s="301"/>
    </row>
    <row r="207" spans="1:22" ht="12.6" customHeight="1" thickTop="1" thickBot="1" x14ac:dyDescent="0.3">
      <c r="A207" s="292"/>
      <c r="B207" s="293"/>
      <c r="C207" s="294"/>
      <c r="D207" s="294"/>
      <c r="E207" s="294"/>
      <c r="F207" s="310"/>
      <c r="G207" s="310"/>
      <c r="H207" s="310"/>
      <c r="I207" s="295"/>
      <c r="J207" s="295"/>
      <c r="K207" s="300">
        <f t="shared" si="15"/>
        <v>1.1000000000000001</v>
      </c>
      <c r="L207" s="300">
        <f t="shared" si="16"/>
        <v>0</v>
      </c>
      <c r="M207" s="285">
        <f t="shared" si="17"/>
        <v>0</v>
      </c>
      <c r="N207" s="1076">
        <f t="shared" si="18"/>
        <v>0</v>
      </c>
      <c r="O207" s="294"/>
      <c r="P207" s="404"/>
      <c r="Q207" s="404"/>
      <c r="R207" s="301"/>
      <c r="S207" s="301"/>
      <c r="T207" s="301"/>
      <c r="U207" s="301"/>
      <c r="V207" s="301"/>
    </row>
    <row r="208" spans="1:22" ht="12.6" customHeight="1" thickTop="1" thickBot="1" x14ac:dyDescent="0.3">
      <c r="A208" s="292"/>
      <c r="B208" s="293"/>
      <c r="C208" s="294"/>
      <c r="D208" s="294"/>
      <c r="E208" s="294"/>
      <c r="F208" s="310"/>
      <c r="G208" s="310"/>
      <c r="H208" s="310"/>
      <c r="I208" s="295"/>
      <c r="J208" s="295"/>
      <c r="K208" s="300">
        <f t="shared" si="15"/>
        <v>1.1000000000000001</v>
      </c>
      <c r="L208" s="300">
        <f t="shared" si="16"/>
        <v>0</v>
      </c>
      <c r="M208" s="285">
        <f t="shared" si="17"/>
        <v>0</v>
      </c>
      <c r="N208" s="1076">
        <f t="shared" si="18"/>
        <v>0</v>
      </c>
      <c r="O208" s="294"/>
      <c r="P208" s="404"/>
      <c r="Q208" s="404"/>
      <c r="R208" s="301"/>
      <c r="S208" s="301"/>
      <c r="T208" s="301"/>
      <c r="U208" s="301"/>
      <c r="V208" s="301"/>
    </row>
    <row r="209" spans="1:22" ht="12.6" customHeight="1" thickTop="1" thickBot="1" x14ac:dyDescent="0.3">
      <c r="A209" s="292"/>
      <c r="B209" s="293"/>
      <c r="C209" s="294"/>
      <c r="D209" s="294"/>
      <c r="E209" s="294"/>
      <c r="F209" s="310"/>
      <c r="G209" s="310"/>
      <c r="H209" s="310"/>
      <c r="I209" s="295"/>
      <c r="J209" s="295"/>
      <c r="K209" s="300">
        <f t="shared" si="15"/>
        <v>1.1000000000000001</v>
      </c>
      <c r="L209" s="300">
        <f t="shared" si="16"/>
        <v>0</v>
      </c>
      <c r="M209" s="285">
        <f t="shared" si="17"/>
        <v>0</v>
      </c>
      <c r="N209" s="1076">
        <f t="shared" si="18"/>
        <v>0</v>
      </c>
      <c r="O209" s="294"/>
      <c r="P209" s="404"/>
      <c r="Q209" s="404"/>
      <c r="R209" s="301"/>
      <c r="S209" s="301"/>
      <c r="T209" s="301"/>
      <c r="U209" s="301"/>
      <c r="V209" s="301"/>
    </row>
    <row r="210" spans="1:22" ht="12.6" customHeight="1" thickTop="1" thickBot="1" x14ac:dyDescent="0.3">
      <c r="A210" s="292"/>
      <c r="B210" s="293"/>
      <c r="C210" s="294"/>
      <c r="D210" s="294"/>
      <c r="E210" s="294"/>
      <c r="F210" s="310"/>
      <c r="G210" s="310"/>
      <c r="H210" s="310"/>
      <c r="I210" s="295"/>
      <c r="J210" s="295"/>
      <c r="K210" s="300">
        <f t="shared" si="15"/>
        <v>1.1000000000000001</v>
      </c>
      <c r="L210" s="300">
        <f t="shared" si="16"/>
        <v>0</v>
      </c>
      <c r="M210" s="285">
        <f t="shared" si="17"/>
        <v>0</v>
      </c>
      <c r="N210" s="1076">
        <f t="shared" si="18"/>
        <v>0</v>
      </c>
      <c r="O210" s="294"/>
      <c r="P210" s="404"/>
      <c r="Q210" s="404"/>
      <c r="R210" s="301"/>
      <c r="S210" s="301"/>
      <c r="T210" s="301"/>
      <c r="U210" s="301"/>
      <c r="V210" s="301"/>
    </row>
    <row r="211" spans="1:22" ht="12.6" customHeight="1" thickTop="1" thickBot="1" x14ac:dyDescent="0.3">
      <c r="A211" s="292"/>
      <c r="B211" s="293"/>
      <c r="C211" s="294"/>
      <c r="D211" s="294"/>
      <c r="E211" s="294"/>
      <c r="F211" s="310"/>
      <c r="G211" s="310"/>
      <c r="H211" s="310"/>
      <c r="I211" s="295"/>
      <c r="J211" s="295"/>
      <c r="K211" s="300">
        <f t="shared" si="15"/>
        <v>1.1000000000000001</v>
      </c>
      <c r="L211" s="300">
        <f t="shared" si="16"/>
        <v>0</v>
      </c>
      <c r="M211" s="285">
        <f t="shared" si="17"/>
        <v>0</v>
      </c>
      <c r="N211" s="1076">
        <f t="shared" si="18"/>
        <v>0</v>
      </c>
      <c r="O211" s="294"/>
      <c r="P211" s="404"/>
      <c r="Q211" s="404"/>
      <c r="R211" s="301"/>
      <c r="S211" s="301"/>
      <c r="T211" s="301"/>
      <c r="U211" s="301"/>
      <c r="V211" s="301"/>
    </row>
    <row r="212" spans="1:22" ht="12.6" customHeight="1" thickTop="1" thickBot="1" x14ac:dyDescent="0.3">
      <c r="A212" s="292"/>
      <c r="B212" s="293"/>
      <c r="C212" s="294"/>
      <c r="D212" s="294"/>
      <c r="E212" s="294"/>
      <c r="F212" s="310"/>
      <c r="G212" s="310"/>
      <c r="H212" s="310"/>
      <c r="I212" s="295"/>
      <c r="J212" s="295"/>
      <c r="K212" s="300">
        <f t="shared" si="15"/>
        <v>1.1000000000000001</v>
      </c>
      <c r="L212" s="300">
        <f t="shared" si="16"/>
        <v>0</v>
      </c>
      <c r="M212" s="285">
        <f t="shared" si="17"/>
        <v>0</v>
      </c>
      <c r="N212" s="1076">
        <f t="shared" si="18"/>
        <v>0</v>
      </c>
      <c r="O212" s="294"/>
      <c r="P212" s="404"/>
      <c r="Q212" s="404"/>
      <c r="R212" s="301"/>
      <c r="S212" s="301"/>
      <c r="T212" s="301"/>
      <c r="U212" s="301"/>
      <c r="V212" s="301"/>
    </row>
    <row r="213" spans="1:22" ht="12.6" customHeight="1" thickTop="1" thickBot="1" x14ac:dyDescent="0.3">
      <c r="A213" s="292"/>
      <c r="B213" s="293"/>
      <c r="C213" s="294"/>
      <c r="D213" s="294"/>
      <c r="E213" s="294"/>
      <c r="F213" s="310"/>
      <c r="G213" s="310"/>
      <c r="H213" s="310"/>
      <c r="I213" s="295"/>
      <c r="J213" s="295"/>
      <c r="K213" s="300">
        <f t="shared" si="15"/>
        <v>1.1000000000000001</v>
      </c>
      <c r="L213" s="300">
        <f t="shared" si="16"/>
        <v>0</v>
      </c>
      <c r="M213" s="285">
        <f t="shared" si="17"/>
        <v>0</v>
      </c>
      <c r="N213" s="1076">
        <f t="shared" si="18"/>
        <v>0</v>
      </c>
      <c r="O213" s="294"/>
      <c r="P213" s="404"/>
      <c r="Q213" s="404"/>
      <c r="R213" s="301"/>
      <c r="S213" s="301"/>
      <c r="T213" s="301"/>
      <c r="U213" s="301"/>
      <c r="V213" s="301"/>
    </row>
    <row r="214" spans="1:22" ht="12.6" customHeight="1" thickTop="1" thickBot="1" x14ac:dyDescent="0.3">
      <c r="A214" s="292"/>
      <c r="B214" s="293"/>
      <c r="C214" s="294"/>
      <c r="D214" s="294"/>
      <c r="E214" s="294"/>
      <c r="F214" s="310"/>
      <c r="G214" s="310"/>
      <c r="H214" s="310"/>
      <c r="I214" s="295"/>
      <c r="J214" s="295"/>
      <c r="K214" s="300">
        <f t="shared" si="15"/>
        <v>1.1000000000000001</v>
      </c>
      <c r="L214" s="300">
        <f t="shared" si="16"/>
        <v>0</v>
      </c>
      <c r="M214" s="285">
        <f t="shared" si="17"/>
        <v>0</v>
      </c>
      <c r="N214" s="1076">
        <f t="shared" si="18"/>
        <v>0</v>
      </c>
      <c r="O214" s="294"/>
      <c r="P214" s="404"/>
      <c r="Q214" s="404"/>
      <c r="R214" s="301"/>
      <c r="S214" s="301"/>
      <c r="T214" s="301"/>
      <c r="U214" s="301"/>
      <c r="V214" s="301"/>
    </row>
    <row r="215" spans="1:22" ht="12.6" customHeight="1" thickTop="1" thickBot="1" x14ac:dyDescent="0.3">
      <c r="A215" s="292"/>
      <c r="B215" s="293"/>
      <c r="C215" s="294"/>
      <c r="D215" s="294"/>
      <c r="E215" s="294"/>
      <c r="F215" s="310"/>
      <c r="G215" s="310"/>
      <c r="H215" s="310"/>
      <c r="I215" s="295"/>
      <c r="J215" s="295"/>
      <c r="K215" s="300">
        <f t="shared" si="15"/>
        <v>1.1000000000000001</v>
      </c>
      <c r="L215" s="300">
        <f t="shared" si="16"/>
        <v>0</v>
      </c>
      <c r="M215" s="285">
        <f t="shared" si="17"/>
        <v>0</v>
      </c>
      <c r="N215" s="1076">
        <f t="shared" si="18"/>
        <v>0</v>
      </c>
      <c r="O215" s="294"/>
      <c r="P215" s="404"/>
      <c r="Q215" s="404"/>
      <c r="R215" s="301"/>
      <c r="S215" s="301"/>
      <c r="T215" s="301"/>
      <c r="U215" s="301"/>
      <c r="V215" s="301"/>
    </row>
    <row r="216" spans="1:22" ht="12.6" customHeight="1" thickTop="1" thickBot="1" x14ac:dyDescent="0.3">
      <c r="A216" s="292"/>
      <c r="B216" s="293"/>
      <c r="C216" s="294"/>
      <c r="D216" s="294"/>
      <c r="E216" s="294"/>
      <c r="F216" s="310"/>
      <c r="G216" s="310"/>
      <c r="H216" s="310"/>
      <c r="I216" s="295"/>
      <c r="J216" s="295"/>
      <c r="K216" s="300">
        <f t="shared" si="15"/>
        <v>1.1000000000000001</v>
      </c>
      <c r="L216" s="300">
        <f t="shared" si="16"/>
        <v>0</v>
      </c>
      <c r="M216" s="285">
        <f t="shared" si="17"/>
        <v>0</v>
      </c>
      <c r="N216" s="1076">
        <f t="shared" si="18"/>
        <v>0</v>
      </c>
      <c r="O216" s="294"/>
      <c r="P216" s="404"/>
      <c r="Q216" s="404"/>
      <c r="R216" s="301"/>
      <c r="S216" s="301"/>
      <c r="T216" s="301"/>
      <c r="U216" s="301"/>
      <c r="V216" s="301"/>
    </row>
    <row r="217" spans="1:22" ht="12.6" customHeight="1" thickTop="1" thickBot="1" x14ac:dyDescent="0.3">
      <c r="A217" s="292"/>
      <c r="B217" s="293"/>
      <c r="C217" s="294"/>
      <c r="D217" s="294"/>
      <c r="E217" s="294"/>
      <c r="F217" s="310"/>
      <c r="G217" s="310"/>
      <c r="H217" s="310"/>
      <c r="I217" s="295"/>
      <c r="J217" s="295"/>
      <c r="K217" s="300">
        <f t="shared" si="15"/>
        <v>1.1000000000000001</v>
      </c>
      <c r="L217" s="300">
        <f t="shared" si="16"/>
        <v>0</v>
      </c>
      <c r="M217" s="285">
        <f t="shared" si="17"/>
        <v>0</v>
      </c>
      <c r="N217" s="1076">
        <f t="shared" si="18"/>
        <v>0</v>
      </c>
      <c r="O217" s="294"/>
      <c r="P217" s="404"/>
      <c r="Q217" s="404"/>
      <c r="R217" s="301"/>
      <c r="S217" s="301"/>
      <c r="T217" s="301"/>
      <c r="U217" s="301"/>
      <c r="V217" s="301"/>
    </row>
    <row r="218" spans="1:22" ht="12.6" customHeight="1" thickTop="1" thickBot="1" x14ac:dyDescent="0.3">
      <c r="A218" s="292"/>
      <c r="B218" s="293"/>
      <c r="C218" s="294"/>
      <c r="D218" s="294"/>
      <c r="E218" s="294"/>
      <c r="F218" s="310"/>
      <c r="G218" s="310"/>
      <c r="H218" s="310"/>
      <c r="I218" s="295"/>
      <c r="J218" s="295"/>
      <c r="K218" s="300">
        <f t="shared" si="15"/>
        <v>1.1000000000000001</v>
      </c>
      <c r="L218" s="300">
        <f t="shared" si="16"/>
        <v>0</v>
      </c>
      <c r="M218" s="285">
        <f t="shared" si="17"/>
        <v>0</v>
      </c>
      <c r="N218" s="1076">
        <f t="shared" si="18"/>
        <v>0</v>
      </c>
      <c r="O218" s="294"/>
      <c r="P218" s="404"/>
      <c r="Q218" s="404"/>
      <c r="R218" s="301"/>
      <c r="S218" s="301"/>
      <c r="T218" s="301"/>
      <c r="U218" s="301"/>
      <c r="V218" s="301"/>
    </row>
    <row r="219" spans="1:22" ht="12.6" customHeight="1" thickTop="1" thickBot="1" x14ac:dyDescent="0.3">
      <c r="A219" s="292"/>
      <c r="B219" s="293"/>
      <c r="C219" s="294"/>
      <c r="D219" s="294"/>
      <c r="E219" s="294"/>
      <c r="F219" s="310"/>
      <c r="G219" s="310"/>
      <c r="H219" s="310"/>
      <c r="I219" s="295"/>
      <c r="J219" s="295"/>
      <c r="K219" s="300">
        <f t="shared" si="15"/>
        <v>1.1000000000000001</v>
      </c>
      <c r="L219" s="300">
        <f t="shared" si="16"/>
        <v>0</v>
      </c>
      <c r="M219" s="285">
        <f t="shared" si="17"/>
        <v>0</v>
      </c>
      <c r="N219" s="1076">
        <f t="shared" si="18"/>
        <v>0</v>
      </c>
      <c r="O219" s="294"/>
      <c r="P219" s="404"/>
      <c r="Q219" s="404"/>
      <c r="R219" s="301"/>
      <c r="S219" s="301"/>
      <c r="T219" s="301"/>
      <c r="U219" s="301"/>
      <c r="V219" s="301"/>
    </row>
    <row r="220" spans="1:22" ht="12.6" customHeight="1" thickTop="1" thickBot="1" x14ac:dyDescent="0.3">
      <c r="A220" s="292"/>
      <c r="B220" s="293"/>
      <c r="C220" s="294"/>
      <c r="D220" s="294"/>
      <c r="E220" s="294"/>
      <c r="F220" s="310"/>
      <c r="G220" s="310"/>
      <c r="H220" s="310"/>
      <c r="I220" s="295"/>
      <c r="J220" s="295"/>
      <c r="K220" s="300">
        <f t="shared" si="15"/>
        <v>1.1000000000000001</v>
      </c>
      <c r="L220" s="300">
        <f t="shared" si="16"/>
        <v>0</v>
      </c>
      <c r="M220" s="285">
        <f t="shared" si="17"/>
        <v>0</v>
      </c>
      <c r="N220" s="1076">
        <f t="shared" si="18"/>
        <v>0</v>
      </c>
      <c r="O220" s="294"/>
      <c r="P220" s="404"/>
      <c r="Q220" s="404"/>
      <c r="R220" s="301"/>
      <c r="S220" s="301"/>
      <c r="T220" s="301"/>
      <c r="U220" s="301"/>
      <c r="V220" s="301"/>
    </row>
    <row r="221" spans="1:22" ht="12.6" customHeight="1" thickTop="1" thickBot="1" x14ac:dyDescent="0.3">
      <c r="A221" s="292"/>
      <c r="B221" s="293"/>
      <c r="C221" s="294"/>
      <c r="D221" s="294"/>
      <c r="E221" s="294"/>
      <c r="F221" s="310"/>
      <c r="G221" s="310"/>
      <c r="H221" s="310"/>
      <c r="I221" s="295"/>
      <c r="J221" s="295"/>
      <c r="K221" s="300">
        <f t="shared" si="15"/>
        <v>1.1000000000000001</v>
      </c>
      <c r="L221" s="300">
        <f t="shared" si="16"/>
        <v>0</v>
      </c>
      <c r="M221" s="285">
        <f t="shared" si="17"/>
        <v>0</v>
      </c>
      <c r="N221" s="1076">
        <f t="shared" si="18"/>
        <v>0</v>
      </c>
      <c r="O221" s="294"/>
      <c r="P221" s="404"/>
      <c r="Q221" s="404"/>
      <c r="R221" s="301"/>
      <c r="S221" s="301"/>
      <c r="T221" s="301"/>
      <c r="U221" s="301"/>
      <c r="V221" s="301"/>
    </row>
    <row r="222" spans="1:22" ht="12.6" customHeight="1" thickTop="1" thickBot="1" x14ac:dyDescent="0.3">
      <c r="A222" s="292"/>
      <c r="B222" s="293"/>
      <c r="C222" s="294"/>
      <c r="D222" s="294"/>
      <c r="E222" s="294"/>
      <c r="F222" s="310"/>
      <c r="G222" s="310"/>
      <c r="H222" s="310"/>
      <c r="I222" s="295"/>
      <c r="J222" s="295"/>
      <c r="K222" s="300">
        <f t="shared" si="15"/>
        <v>1.1000000000000001</v>
      </c>
      <c r="L222" s="300">
        <f t="shared" si="16"/>
        <v>0</v>
      </c>
      <c r="M222" s="285">
        <f t="shared" si="17"/>
        <v>0</v>
      </c>
      <c r="N222" s="1076">
        <f t="shared" si="18"/>
        <v>0</v>
      </c>
      <c r="O222" s="294"/>
      <c r="P222" s="404"/>
      <c r="Q222" s="404"/>
      <c r="R222" s="301"/>
      <c r="S222" s="301"/>
      <c r="T222" s="301"/>
      <c r="U222" s="301"/>
      <c r="V222" s="301"/>
    </row>
    <row r="223" spans="1:22" ht="12.6" customHeight="1" thickTop="1" thickBot="1" x14ac:dyDescent="0.3">
      <c r="A223" s="292"/>
      <c r="B223" s="293"/>
      <c r="C223" s="294"/>
      <c r="D223" s="294"/>
      <c r="E223" s="294"/>
      <c r="F223" s="310"/>
      <c r="G223" s="310"/>
      <c r="H223" s="310"/>
      <c r="I223" s="295"/>
      <c r="J223" s="295"/>
      <c r="K223" s="300">
        <f t="shared" si="15"/>
        <v>1.1000000000000001</v>
      </c>
      <c r="L223" s="300">
        <f t="shared" si="16"/>
        <v>0</v>
      </c>
      <c r="M223" s="285">
        <f t="shared" si="17"/>
        <v>0</v>
      </c>
      <c r="N223" s="1076">
        <f t="shared" si="18"/>
        <v>0</v>
      </c>
      <c r="O223" s="294"/>
      <c r="P223" s="404"/>
      <c r="Q223" s="404"/>
      <c r="R223" s="301"/>
      <c r="S223" s="301"/>
      <c r="T223" s="301"/>
      <c r="U223" s="301"/>
      <c r="V223" s="301"/>
    </row>
    <row r="224" spans="1:22" ht="12.6" customHeight="1" thickTop="1" thickBot="1" x14ac:dyDescent="0.3">
      <c r="A224" s="292"/>
      <c r="B224" s="293"/>
      <c r="C224" s="294"/>
      <c r="D224" s="294"/>
      <c r="E224" s="294"/>
      <c r="F224" s="310"/>
      <c r="G224" s="310"/>
      <c r="H224" s="310"/>
      <c r="I224" s="295"/>
      <c r="J224" s="295"/>
      <c r="K224" s="300">
        <f t="shared" si="15"/>
        <v>1.1000000000000001</v>
      </c>
      <c r="L224" s="300">
        <f t="shared" si="16"/>
        <v>0</v>
      </c>
      <c r="M224" s="285">
        <f t="shared" si="17"/>
        <v>0</v>
      </c>
      <c r="N224" s="1076">
        <f t="shared" si="18"/>
        <v>0</v>
      </c>
      <c r="O224" s="294"/>
      <c r="P224" s="404"/>
      <c r="Q224" s="404"/>
      <c r="R224" s="301"/>
      <c r="S224" s="301"/>
      <c r="T224" s="301"/>
      <c r="U224" s="301"/>
      <c r="V224" s="301"/>
    </row>
    <row r="225" spans="1:22" ht="12.6" customHeight="1" thickTop="1" thickBot="1" x14ac:dyDescent="0.3">
      <c r="A225" s="292"/>
      <c r="B225" s="293"/>
      <c r="C225" s="294"/>
      <c r="D225" s="294"/>
      <c r="E225" s="294"/>
      <c r="F225" s="310"/>
      <c r="G225" s="310"/>
      <c r="H225" s="310"/>
      <c r="I225" s="295"/>
      <c r="J225" s="295"/>
      <c r="K225" s="300">
        <f t="shared" si="15"/>
        <v>1.1000000000000001</v>
      </c>
      <c r="L225" s="300">
        <f t="shared" si="16"/>
        <v>0</v>
      </c>
      <c r="M225" s="285">
        <f t="shared" si="17"/>
        <v>0</v>
      </c>
      <c r="N225" s="1076">
        <f t="shared" si="18"/>
        <v>0</v>
      </c>
      <c r="O225" s="294"/>
      <c r="P225" s="404"/>
      <c r="Q225" s="404"/>
      <c r="R225" s="301"/>
      <c r="S225" s="301"/>
      <c r="T225" s="301"/>
      <c r="U225" s="301"/>
      <c r="V225" s="301"/>
    </row>
    <row r="226" spans="1:22" ht="12.6" customHeight="1" thickTop="1" thickBot="1" x14ac:dyDescent="0.3">
      <c r="A226" s="292"/>
      <c r="B226" s="293"/>
      <c r="C226" s="294"/>
      <c r="D226" s="294"/>
      <c r="E226" s="294"/>
      <c r="F226" s="310"/>
      <c r="G226" s="310"/>
      <c r="H226" s="310"/>
      <c r="I226" s="295"/>
      <c r="J226" s="295"/>
      <c r="K226" s="300">
        <f t="shared" si="15"/>
        <v>1.1000000000000001</v>
      </c>
      <c r="L226" s="300">
        <f t="shared" si="16"/>
        <v>0</v>
      </c>
      <c r="M226" s="285">
        <f t="shared" si="17"/>
        <v>0</v>
      </c>
      <c r="N226" s="1076">
        <f t="shared" si="18"/>
        <v>0</v>
      </c>
      <c r="O226" s="294"/>
      <c r="P226" s="404"/>
      <c r="Q226" s="404"/>
      <c r="R226" s="301"/>
      <c r="S226" s="301"/>
      <c r="T226" s="301"/>
      <c r="U226" s="301"/>
      <c r="V226" s="301"/>
    </row>
    <row r="227" spans="1:22" ht="12.6" customHeight="1" thickTop="1" thickBot="1" x14ac:dyDescent="0.3">
      <c r="A227" s="292"/>
      <c r="B227" s="293"/>
      <c r="C227" s="294"/>
      <c r="D227" s="294"/>
      <c r="E227" s="294"/>
      <c r="F227" s="310"/>
      <c r="G227" s="310"/>
      <c r="H227" s="310"/>
      <c r="I227" s="295"/>
      <c r="J227" s="295"/>
      <c r="K227" s="300">
        <f t="shared" si="15"/>
        <v>1.1000000000000001</v>
      </c>
      <c r="L227" s="300">
        <f t="shared" si="16"/>
        <v>0</v>
      </c>
      <c r="M227" s="285">
        <f t="shared" si="17"/>
        <v>0</v>
      </c>
      <c r="N227" s="1076">
        <f t="shared" si="18"/>
        <v>0</v>
      </c>
      <c r="O227" s="294"/>
      <c r="P227" s="404"/>
      <c r="Q227" s="404"/>
      <c r="R227" s="301"/>
      <c r="S227" s="301"/>
      <c r="T227" s="301"/>
      <c r="U227" s="301"/>
      <c r="V227" s="301"/>
    </row>
    <row r="228" spans="1:22" ht="12.6" customHeight="1" thickTop="1" thickBot="1" x14ac:dyDescent="0.3">
      <c r="A228" s="292"/>
      <c r="B228" s="293"/>
      <c r="C228" s="294"/>
      <c r="D228" s="294"/>
      <c r="E228" s="294"/>
      <c r="F228" s="310"/>
      <c r="G228" s="310"/>
      <c r="H228" s="310"/>
      <c r="I228" s="295"/>
      <c r="J228" s="295"/>
      <c r="K228" s="300">
        <f t="shared" si="15"/>
        <v>1.1000000000000001</v>
      </c>
      <c r="L228" s="300">
        <f t="shared" si="16"/>
        <v>0</v>
      </c>
      <c r="M228" s="285">
        <f t="shared" si="17"/>
        <v>0</v>
      </c>
      <c r="N228" s="1076">
        <f t="shared" si="18"/>
        <v>0</v>
      </c>
      <c r="O228" s="294"/>
      <c r="P228" s="404"/>
      <c r="Q228" s="404"/>
      <c r="R228" s="301"/>
      <c r="S228" s="301"/>
      <c r="T228" s="301"/>
      <c r="U228" s="301"/>
      <c r="V228" s="301"/>
    </row>
    <row r="229" spans="1:22" ht="12.6" customHeight="1" thickTop="1" thickBot="1" x14ac:dyDescent="0.3">
      <c r="A229" s="292"/>
      <c r="B229" s="293"/>
      <c r="C229" s="294"/>
      <c r="D229" s="294"/>
      <c r="E229" s="294"/>
      <c r="F229" s="310"/>
      <c r="G229" s="310"/>
      <c r="H229" s="310"/>
      <c r="I229" s="295"/>
      <c r="J229" s="295"/>
      <c r="K229" s="300">
        <f t="shared" si="15"/>
        <v>1.1000000000000001</v>
      </c>
      <c r="L229" s="300">
        <f t="shared" si="16"/>
        <v>0</v>
      </c>
      <c r="M229" s="285">
        <f t="shared" si="17"/>
        <v>0</v>
      </c>
      <c r="N229" s="1076">
        <f t="shared" si="18"/>
        <v>0</v>
      </c>
      <c r="O229" s="294"/>
      <c r="P229" s="404"/>
      <c r="Q229" s="404"/>
      <c r="R229" s="301"/>
      <c r="S229" s="301"/>
      <c r="T229" s="301"/>
      <c r="U229" s="301"/>
      <c r="V229" s="301"/>
    </row>
    <row r="230" spans="1:22" ht="12.6" customHeight="1" thickTop="1" thickBot="1" x14ac:dyDescent="0.3">
      <c r="A230" s="292"/>
      <c r="B230" s="293"/>
      <c r="C230" s="294"/>
      <c r="D230" s="294"/>
      <c r="E230" s="294"/>
      <c r="F230" s="310"/>
      <c r="G230" s="310"/>
      <c r="H230" s="310"/>
      <c r="I230" s="295"/>
      <c r="J230" s="295"/>
      <c r="K230" s="300">
        <f t="shared" si="15"/>
        <v>1.1000000000000001</v>
      </c>
      <c r="L230" s="300">
        <f t="shared" si="16"/>
        <v>0</v>
      </c>
      <c r="M230" s="285">
        <f t="shared" si="17"/>
        <v>0</v>
      </c>
      <c r="N230" s="1076">
        <f t="shared" si="18"/>
        <v>0</v>
      </c>
      <c r="O230" s="294"/>
      <c r="P230" s="404"/>
      <c r="Q230" s="404"/>
      <c r="R230" s="301"/>
      <c r="S230" s="301"/>
      <c r="T230" s="301"/>
      <c r="U230" s="301"/>
      <c r="V230" s="301"/>
    </row>
    <row r="231" spans="1:22" ht="12.6" customHeight="1" thickTop="1" thickBot="1" x14ac:dyDescent="0.3">
      <c r="A231" s="292"/>
      <c r="B231" s="293"/>
      <c r="C231" s="294"/>
      <c r="D231" s="294"/>
      <c r="E231" s="294"/>
      <c r="F231" s="310"/>
      <c r="G231" s="310"/>
      <c r="H231" s="310"/>
      <c r="I231" s="295"/>
      <c r="J231" s="295"/>
      <c r="K231" s="300">
        <f t="shared" si="15"/>
        <v>1.1000000000000001</v>
      </c>
      <c r="L231" s="300">
        <f t="shared" si="16"/>
        <v>0</v>
      </c>
      <c r="M231" s="285">
        <f t="shared" si="17"/>
        <v>0</v>
      </c>
      <c r="N231" s="1076">
        <f t="shared" si="18"/>
        <v>0</v>
      </c>
      <c r="O231" s="294"/>
      <c r="P231" s="404"/>
      <c r="Q231" s="404"/>
      <c r="R231" s="301"/>
      <c r="S231" s="301"/>
      <c r="T231" s="301"/>
      <c r="U231" s="301"/>
      <c r="V231" s="301"/>
    </row>
    <row r="232" spans="1:22" ht="12.6" customHeight="1" thickTop="1" thickBot="1" x14ac:dyDescent="0.3">
      <c r="A232" s="292"/>
      <c r="B232" s="293"/>
      <c r="C232" s="294"/>
      <c r="D232" s="294"/>
      <c r="E232" s="294"/>
      <c r="F232" s="310"/>
      <c r="G232" s="310"/>
      <c r="H232" s="310"/>
      <c r="I232" s="295"/>
      <c r="J232" s="295"/>
      <c r="K232" s="300">
        <f t="shared" si="15"/>
        <v>1.1000000000000001</v>
      </c>
      <c r="L232" s="300">
        <f t="shared" si="16"/>
        <v>0</v>
      </c>
      <c r="M232" s="285">
        <f t="shared" si="17"/>
        <v>0</v>
      </c>
      <c r="N232" s="1076">
        <f t="shared" si="18"/>
        <v>0</v>
      </c>
      <c r="O232" s="294"/>
      <c r="P232" s="404"/>
      <c r="Q232" s="404"/>
      <c r="R232" s="301"/>
      <c r="S232" s="301"/>
      <c r="T232" s="301"/>
      <c r="U232" s="301"/>
      <c r="V232" s="301"/>
    </row>
    <row r="233" spans="1:22" ht="12.6" customHeight="1" thickTop="1" thickBot="1" x14ac:dyDescent="0.3">
      <c r="A233" s="292"/>
      <c r="B233" s="293"/>
      <c r="C233" s="294"/>
      <c r="D233" s="294"/>
      <c r="E233" s="294"/>
      <c r="F233" s="310"/>
      <c r="G233" s="310"/>
      <c r="H233" s="310"/>
      <c r="I233" s="295"/>
      <c r="J233" s="295"/>
      <c r="K233" s="300">
        <f t="shared" si="15"/>
        <v>1.1000000000000001</v>
      </c>
      <c r="L233" s="300">
        <f t="shared" si="16"/>
        <v>0</v>
      </c>
      <c r="M233" s="285">
        <f t="shared" si="17"/>
        <v>0</v>
      </c>
      <c r="N233" s="1076">
        <f t="shared" si="18"/>
        <v>0</v>
      </c>
      <c r="O233" s="294"/>
      <c r="P233" s="404"/>
      <c r="Q233" s="404"/>
      <c r="R233" s="301"/>
      <c r="S233" s="301"/>
      <c r="T233" s="301"/>
      <c r="U233" s="301"/>
      <c r="V233" s="301"/>
    </row>
    <row r="234" spans="1:22" ht="12.6" customHeight="1" thickTop="1" thickBot="1" x14ac:dyDescent="0.3">
      <c r="A234" s="292"/>
      <c r="B234" s="293"/>
      <c r="C234" s="294"/>
      <c r="D234" s="294"/>
      <c r="E234" s="294"/>
      <c r="F234" s="310"/>
      <c r="G234" s="310"/>
      <c r="H234" s="310"/>
      <c r="I234" s="295"/>
      <c r="J234" s="295"/>
      <c r="K234" s="300">
        <f t="shared" si="15"/>
        <v>1.1000000000000001</v>
      </c>
      <c r="L234" s="300">
        <f t="shared" si="16"/>
        <v>0</v>
      </c>
      <c r="M234" s="285">
        <f t="shared" si="17"/>
        <v>0</v>
      </c>
      <c r="N234" s="1076">
        <f t="shared" si="18"/>
        <v>0</v>
      </c>
      <c r="O234" s="294"/>
      <c r="P234" s="404"/>
      <c r="Q234" s="404"/>
      <c r="R234" s="301"/>
      <c r="S234" s="301"/>
      <c r="T234" s="301"/>
      <c r="U234" s="301"/>
      <c r="V234" s="301"/>
    </row>
    <row r="235" spans="1:22" ht="12.6" customHeight="1" thickTop="1" thickBot="1" x14ac:dyDescent="0.3">
      <c r="A235" s="292"/>
      <c r="B235" s="293"/>
      <c r="C235" s="294"/>
      <c r="D235" s="294"/>
      <c r="E235" s="294"/>
      <c r="F235" s="310"/>
      <c r="G235" s="310"/>
      <c r="H235" s="310"/>
      <c r="I235" s="295"/>
      <c r="J235" s="295"/>
      <c r="K235" s="300">
        <f t="shared" si="15"/>
        <v>1.1000000000000001</v>
      </c>
      <c r="L235" s="300">
        <f t="shared" si="16"/>
        <v>0</v>
      </c>
      <c r="M235" s="285">
        <f t="shared" si="17"/>
        <v>0</v>
      </c>
      <c r="N235" s="1076">
        <f t="shared" si="18"/>
        <v>0</v>
      </c>
      <c r="O235" s="294"/>
      <c r="P235" s="404"/>
      <c r="Q235" s="404"/>
      <c r="R235" s="301"/>
      <c r="S235" s="301"/>
      <c r="T235" s="301"/>
      <c r="U235" s="301"/>
      <c r="V235" s="301"/>
    </row>
    <row r="236" spans="1:22" ht="12.6" customHeight="1" thickTop="1" thickBot="1" x14ac:dyDescent="0.3">
      <c r="A236" s="292"/>
      <c r="B236" s="293"/>
      <c r="C236" s="294"/>
      <c r="D236" s="294"/>
      <c r="E236" s="294"/>
      <c r="F236" s="310"/>
      <c r="G236" s="310"/>
      <c r="H236" s="310"/>
      <c r="I236" s="295"/>
      <c r="J236" s="295"/>
      <c r="K236" s="300">
        <f t="shared" si="15"/>
        <v>1.1000000000000001</v>
      </c>
      <c r="L236" s="300">
        <f t="shared" si="16"/>
        <v>0</v>
      </c>
      <c r="M236" s="285">
        <f t="shared" si="17"/>
        <v>0</v>
      </c>
      <c r="N236" s="1076">
        <f t="shared" si="18"/>
        <v>0</v>
      </c>
      <c r="O236" s="294"/>
      <c r="P236" s="404"/>
      <c r="Q236" s="404"/>
      <c r="R236" s="301"/>
      <c r="S236" s="301"/>
      <c r="T236" s="301"/>
      <c r="U236" s="301"/>
      <c r="V236" s="301"/>
    </row>
    <row r="237" spans="1:22" ht="12.6" customHeight="1" thickTop="1" thickBot="1" x14ac:dyDescent="0.3">
      <c r="A237" s="292"/>
      <c r="B237" s="293"/>
      <c r="C237" s="294"/>
      <c r="D237" s="294"/>
      <c r="E237" s="294"/>
      <c r="F237" s="310"/>
      <c r="G237" s="310"/>
      <c r="H237" s="310"/>
      <c r="I237" s="295"/>
      <c r="J237" s="295"/>
      <c r="K237" s="300">
        <f t="shared" si="15"/>
        <v>1.1000000000000001</v>
      </c>
      <c r="L237" s="300">
        <f t="shared" si="16"/>
        <v>0</v>
      </c>
      <c r="M237" s="285">
        <f t="shared" si="17"/>
        <v>0</v>
      </c>
      <c r="N237" s="1076">
        <f t="shared" si="18"/>
        <v>0</v>
      </c>
      <c r="O237" s="294"/>
      <c r="P237" s="404"/>
      <c r="Q237" s="404"/>
      <c r="R237" s="301"/>
      <c r="S237" s="301"/>
      <c r="T237" s="301"/>
      <c r="U237" s="301"/>
      <c r="V237" s="301"/>
    </row>
    <row r="238" spans="1:22" ht="12.6" customHeight="1" thickTop="1" thickBot="1" x14ac:dyDescent="0.3">
      <c r="A238" s="292"/>
      <c r="B238" s="293"/>
      <c r="C238" s="294"/>
      <c r="D238" s="294"/>
      <c r="E238" s="294"/>
      <c r="F238" s="310"/>
      <c r="G238" s="310"/>
      <c r="H238" s="310"/>
      <c r="I238" s="295"/>
      <c r="J238" s="295"/>
      <c r="K238" s="300">
        <f t="shared" si="15"/>
        <v>1.1000000000000001</v>
      </c>
      <c r="L238" s="300">
        <f t="shared" si="16"/>
        <v>0</v>
      </c>
      <c r="M238" s="285">
        <f t="shared" si="17"/>
        <v>0</v>
      </c>
      <c r="N238" s="1076">
        <f t="shared" si="18"/>
        <v>0</v>
      </c>
      <c r="O238" s="294"/>
      <c r="P238" s="404"/>
      <c r="Q238" s="404"/>
      <c r="R238" s="301"/>
      <c r="S238" s="301"/>
      <c r="T238" s="301"/>
      <c r="U238" s="301"/>
      <c r="V238" s="301"/>
    </row>
    <row r="239" spans="1:22" ht="12.6" customHeight="1" thickTop="1" thickBot="1" x14ac:dyDescent="0.3">
      <c r="A239" s="292"/>
      <c r="B239" s="293"/>
      <c r="C239" s="294"/>
      <c r="D239" s="294"/>
      <c r="E239" s="294"/>
      <c r="F239" s="310"/>
      <c r="G239" s="310"/>
      <c r="H239" s="310"/>
      <c r="I239" s="295"/>
      <c r="J239" s="295"/>
      <c r="K239" s="300">
        <f t="shared" si="15"/>
        <v>1.1000000000000001</v>
      </c>
      <c r="L239" s="300">
        <f t="shared" si="16"/>
        <v>0</v>
      </c>
      <c r="M239" s="285">
        <f t="shared" si="17"/>
        <v>0</v>
      </c>
      <c r="N239" s="1076">
        <f t="shared" si="18"/>
        <v>0</v>
      </c>
      <c r="O239" s="294"/>
      <c r="P239" s="404"/>
      <c r="Q239" s="404"/>
      <c r="R239" s="301"/>
      <c r="S239" s="301"/>
      <c r="T239" s="301"/>
      <c r="U239" s="301"/>
      <c r="V239" s="301"/>
    </row>
    <row r="240" spans="1:22" ht="12.6" customHeight="1" thickTop="1" thickBot="1" x14ac:dyDescent="0.3">
      <c r="A240" s="292"/>
      <c r="B240" s="293"/>
      <c r="C240" s="294"/>
      <c r="D240" s="294"/>
      <c r="E240" s="294"/>
      <c r="F240" s="310"/>
      <c r="G240" s="310"/>
      <c r="H240" s="310"/>
      <c r="I240" s="295"/>
      <c r="J240" s="295"/>
      <c r="K240" s="300">
        <f t="shared" si="15"/>
        <v>1.1000000000000001</v>
      </c>
      <c r="L240" s="300">
        <f t="shared" si="16"/>
        <v>0</v>
      </c>
      <c r="M240" s="285">
        <f t="shared" si="17"/>
        <v>0</v>
      </c>
      <c r="N240" s="1076">
        <f t="shared" si="18"/>
        <v>0</v>
      </c>
      <c r="O240" s="294"/>
      <c r="P240" s="404"/>
      <c r="Q240" s="404"/>
      <c r="R240" s="301"/>
      <c r="S240" s="301"/>
      <c r="T240" s="301"/>
      <c r="U240" s="301"/>
      <c r="V240" s="301"/>
    </row>
    <row r="241" spans="1:22" ht="12.6" customHeight="1" thickTop="1" thickBot="1" x14ac:dyDescent="0.3">
      <c r="A241" s="292"/>
      <c r="B241" s="293"/>
      <c r="C241" s="294"/>
      <c r="D241" s="294"/>
      <c r="E241" s="294"/>
      <c r="F241" s="310"/>
      <c r="G241" s="310"/>
      <c r="H241" s="310"/>
      <c r="I241" s="295"/>
      <c r="J241" s="295"/>
      <c r="K241" s="300">
        <f t="shared" si="15"/>
        <v>1.1000000000000001</v>
      </c>
      <c r="L241" s="300">
        <f t="shared" si="16"/>
        <v>0</v>
      </c>
      <c r="M241" s="285">
        <f t="shared" si="17"/>
        <v>0</v>
      </c>
      <c r="N241" s="1076">
        <f t="shared" si="18"/>
        <v>0</v>
      </c>
      <c r="O241" s="294"/>
      <c r="P241" s="404"/>
      <c r="Q241" s="404"/>
      <c r="R241" s="301"/>
      <c r="S241" s="301"/>
      <c r="T241" s="301"/>
      <c r="U241" s="301"/>
      <c r="V241" s="301"/>
    </row>
    <row r="242" spans="1:22" ht="12.6" customHeight="1" thickTop="1" thickBot="1" x14ac:dyDescent="0.3">
      <c r="A242" s="292"/>
      <c r="B242" s="293"/>
      <c r="C242" s="294"/>
      <c r="D242" s="294"/>
      <c r="E242" s="294"/>
      <c r="F242" s="310"/>
      <c r="G242" s="310"/>
      <c r="H242" s="310"/>
      <c r="I242" s="295"/>
      <c r="J242" s="295"/>
      <c r="K242" s="300">
        <f t="shared" si="15"/>
        <v>1.1000000000000001</v>
      </c>
      <c r="L242" s="300">
        <f t="shared" si="16"/>
        <v>0</v>
      </c>
      <c r="M242" s="285">
        <f t="shared" si="17"/>
        <v>0</v>
      </c>
      <c r="N242" s="1076">
        <f t="shared" si="18"/>
        <v>0</v>
      </c>
      <c r="O242" s="294"/>
      <c r="P242" s="404"/>
      <c r="Q242" s="404"/>
      <c r="R242" s="301"/>
      <c r="S242" s="301"/>
      <c r="T242" s="301"/>
      <c r="U242" s="301"/>
      <c r="V242" s="301"/>
    </row>
    <row r="243" spans="1:22" ht="12.6" customHeight="1" thickTop="1" thickBot="1" x14ac:dyDescent="0.3">
      <c r="A243" s="292"/>
      <c r="B243" s="293"/>
      <c r="C243" s="294"/>
      <c r="D243" s="294"/>
      <c r="E243" s="294"/>
      <c r="F243" s="310"/>
      <c r="G243" s="310"/>
      <c r="H243" s="310"/>
      <c r="I243" s="295"/>
      <c r="J243" s="295"/>
      <c r="K243" s="300">
        <f t="shared" si="15"/>
        <v>1.1000000000000001</v>
      </c>
      <c r="L243" s="300">
        <f t="shared" si="16"/>
        <v>0</v>
      </c>
      <c r="M243" s="285">
        <f t="shared" si="17"/>
        <v>0</v>
      </c>
      <c r="N243" s="1076">
        <f t="shared" si="18"/>
        <v>0</v>
      </c>
      <c r="O243" s="294"/>
      <c r="P243" s="404"/>
      <c r="Q243" s="404"/>
      <c r="R243" s="301"/>
      <c r="S243" s="301"/>
      <c r="T243" s="301"/>
      <c r="U243" s="301"/>
      <c r="V243" s="301"/>
    </row>
    <row r="244" spans="1:22" ht="12.6" customHeight="1" thickTop="1" thickBot="1" x14ac:dyDescent="0.3">
      <c r="A244" s="292"/>
      <c r="B244" s="293"/>
      <c r="C244" s="294"/>
      <c r="D244" s="294"/>
      <c r="E244" s="294"/>
      <c r="F244" s="310"/>
      <c r="G244" s="310"/>
      <c r="H244" s="310"/>
      <c r="I244" s="295"/>
      <c r="J244" s="295"/>
      <c r="K244" s="300">
        <f t="shared" si="15"/>
        <v>1.1000000000000001</v>
      </c>
      <c r="L244" s="300">
        <f t="shared" si="16"/>
        <v>0</v>
      </c>
      <c r="M244" s="285">
        <f t="shared" si="17"/>
        <v>0</v>
      </c>
      <c r="N244" s="1076">
        <f t="shared" si="18"/>
        <v>0</v>
      </c>
      <c r="O244" s="294"/>
      <c r="P244" s="404"/>
      <c r="Q244" s="404"/>
      <c r="R244" s="301"/>
      <c r="S244" s="301"/>
      <c r="T244" s="301"/>
      <c r="U244" s="301"/>
      <c r="V244" s="301"/>
    </row>
    <row r="245" spans="1:22" ht="12.6" customHeight="1" thickTop="1" thickBot="1" x14ac:dyDescent="0.3">
      <c r="A245" s="292"/>
      <c r="B245" s="293"/>
      <c r="C245" s="294"/>
      <c r="D245" s="294"/>
      <c r="E245" s="294"/>
      <c r="F245" s="310"/>
      <c r="G245" s="310"/>
      <c r="H245" s="310"/>
      <c r="I245" s="295"/>
      <c r="J245" s="295"/>
      <c r="K245" s="300">
        <f t="shared" si="15"/>
        <v>1.1000000000000001</v>
      </c>
      <c r="L245" s="300">
        <f t="shared" si="16"/>
        <v>0</v>
      </c>
      <c r="M245" s="285">
        <f t="shared" si="17"/>
        <v>0</v>
      </c>
      <c r="N245" s="1076">
        <f t="shared" si="18"/>
        <v>0</v>
      </c>
      <c r="O245" s="294"/>
      <c r="P245" s="404"/>
      <c r="Q245" s="404"/>
      <c r="R245" s="301"/>
      <c r="S245" s="301"/>
      <c r="T245" s="301"/>
      <c r="U245" s="301"/>
      <c r="V245" s="301"/>
    </row>
    <row r="246" spans="1:22" ht="12.6" customHeight="1" thickTop="1" thickBot="1" x14ac:dyDescent="0.3">
      <c r="A246" s="292"/>
      <c r="B246" s="293"/>
      <c r="C246" s="294"/>
      <c r="D246" s="294"/>
      <c r="E246" s="294"/>
      <c r="F246" s="310"/>
      <c r="G246" s="310"/>
      <c r="H246" s="310"/>
      <c r="I246" s="295"/>
      <c r="J246" s="295"/>
      <c r="K246" s="300">
        <f t="shared" si="15"/>
        <v>1.1000000000000001</v>
      </c>
      <c r="L246" s="300">
        <f t="shared" si="16"/>
        <v>0</v>
      </c>
      <c r="M246" s="285">
        <f t="shared" si="17"/>
        <v>0</v>
      </c>
      <c r="N246" s="1076">
        <f t="shared" si="18"/>
        <v>0</v>
      </c>
      <c r="O246" s="294"/>
      <c r="P246" s="404"/>
      <c r="Q246" s="404"/>
      <c r="R246" s="301"/>
      <c r="S246" s="301"/>
      <c r="T246" s="301"/>
      <c r="U246" s="301"/>
      <c r="V246" s="301"/>
    </row>
    <row r="247" spans="1:22" ht="12.6" customHeight="1" thickTop="1" thickBot="1" x14ac:dyDescent="0.3">
      <c r="A247" s="292"/>
      <c r="B247" s="293"/>
      <c r="C247" s="294"/>
      <c r="D247" s="294"/>
      <c r="E247" s="294"/>
      <c r="F247" s="310"/>
      <c r="G247" s="310"/>
      <c r="H247" s="310"/>
      <c r="I247" s="295"/>
      <c r="J247" s="295"/>
      <c r="K247" s="300">
        <f t="shared" si="15"/>
        <v>1.1000000000000001</v>
      </c>
      <c r="L247" s="300">
        <f t="shared" si="16"/>
        <v>0</v>
      </c>
      <c r="M247" s="285">
        <f t="shared" si="17"/>
        <v>0</v>
      </c>
      <c r="N247" s="1076">
        <f t="shared" si="18"/>
        <v>0</v>
      </c>
      <c r="O247" s="294"/>
      <c r="P247" s="404"/>
      <c r="Q247" s="404"/>
      <c r="R247" s="301"/>
      <c r="S247" s="301"/>
      <c r="T247" s="301"/>
      <c r="U247" s="301"/>
      <c r="V247" s="301"/>
    </row>
    <row r="248" spans="1:22" ht="12.6" customHeight="1" thickTop="1" thickBot="1" x14ac:dyDescent="0.3">
      <c r="A248" s="292"/>
      <c r="B248" s="293"/>
      <c r="C248" s="294"/>
      <c r="D248" s="294"/>
      <c r="E248" s="294"/>
      <c r="F248" s="310"/>
      <c r="G248" s="310"/>
      <c r="H248" s="310"/>
      <c r="I248" s="295"/>
      <c r="J248" s="295"/>
      <c r="K248" s="300">
        <f t="shared" si="15"/>
        <v>1.1000000000000001</v>
      </c>
      <c r="L248" s="300">
        <f t="shared" si="16"/>
        <v>0</v>
      </c>
      <c r="M248" s="285">
        <f t="shared" si="17"/>
        <v>0</v>
      </c>
      <c r="N248" s="1076">
        <f t="shared" si="18"/>
        <v>0</v>
      </c>
      <c r="O248" s="294"/>
      <c r="P248" s="404"/>
      <c r="Q248" s="404"/>
      <c r="R248" s="301"/>
      <c r="S248" s="301"/>
      <c r="T248" s="301"/>
      <c r="U248" s="301"/>
      <c r="V248" s="301"/>
    </row>
    <row r="249" spans="1:22" ht="12.6" customHeight="1" thickTop="1" thickBot="1" x14ac:dyDescent="0.3">
      <c r="A249" s="292"/>
      <c r="B249" s="293"/>
      <c r="C249" s="294"/>
      <c r="D249" s="294"/>
      <c r="E249" s="294"/>
      <c r="F249" s="310"/>
      <c r="G249" s="310"/>
      <c r="H249" s="310"/>
      <c r="I249" s="295"/>
      <c r="J249" s="295"/>
      <c r="K249" s="300">
        <f t="shared" si="15"/>
        <v>1.1000000000000001</v>
      </c>
      <c r="L249" s="300">
        <f t="shared" si="16"/>
        <v>0</v>
      </c>
      <c r="M249" s="285">
        <f t="shared" si="17"/>
        <v>0</v>
      </c>
      <c r="N249" s="1076">
        <f t="shared" si="18"/>
        <v>0</v>
      </c>
      <c r="O249" s="294"/>
      <c r="P249" s="404"/>
      <c r="Q249" s="404"/>
      <c r="R249" s="301"/>
      <c r="S249" s="301"/>
      <c r="T249" s="301"/>
      <c r="U249" s="301"/>
      <c r="V249" s="301"/>
    </row>
    <row r="250" spans="1:22" ht="12.6" customHeight="1" thickTop="1" thickBot="1" x14ac:dyDescent="0.3">
      <c r="A250" s="292"/>
      <c r="B250" s="293"/>
      <c r="C250" s="294"/>
      <c r="D250" s="294"/>
      <c r="E250" s="294"/>
      <c r="F250" s="310"/>
      <c r="G250" s="310"/>
      <c r="H250" s="310"/>
      <c r="I250" s="295"/>
      <c r="J250" s="295"/>
      <c r="K250" s="300">
        <f t="shared" si="15"/>
        <v>1.1000000000000001</v>
      </c>
      <c r="L250" s="300">
        <f t="shared" si="16"/>
        <v>0</v>
      </c>
      <c r="M250" s="285">
        <f t="shared" si="17"/>
        <v>0</v>
      </c>
      <c r="N250" s="1076">
        <f t="shared" si="18"/>
        <v>0</v>
      </c>
      <c r="O250" s="294"/>
      <c r="P250" s="404"/>
      <c r="Q250" s="404"/>
      <c r="R250" s="301"/>
      <c r="S250" s="301"/>
      <c r="T250" s="301"/>
      <c r="U250" s="301"/>
      <c r="V250" s="301"/>
    </row>
    <row r="251" spans="1:22" ht="12.6" customHeight="1" thickTop="1" thickBot="1" x14ac:dyDescent="0.3">
      <c r="A251" s="292"/>
      <c r="B251" s="293"/>
      <c r="C251" s="294"/>
      <c r="D251" s="294"/>
      <c r="E251" s="294"/>
      <c r="F251" s="310"/>
      <c r="G251" s="310"/>
      <c r="H251" s="310"/>
      <c r="I251" s="295"/>
      <c r="J251" s="295"/>
      <c r="K251" s="300">
        <f t="shared" si="15"/>
        <v>1.1000000000000001</v>
      </c>
      <c r="L251" s="300">
        <f t="shared" si="16"/>
        <v>0</v>
      </c>
      <c r="M251" s="285">
        <f t="shared" si="17"/>
        <v>0</v>
      </c>
      <c r="N251" s="1076">
        <f t="shared" si="18"/>
        <v>0</v>
      </c>
      <c r="O251" s="294"/>
      <c r="P251" s="404"/>
      <c r="Q251" s="404"/>
      <c r="R251" s="301"/>
      <c r="S251" s="301"/>
      <c r="T251" s="301"/>
      <c r="U251" s="301"/>
      <c r="V251" s="301"/>
    </row>
    <row r="252" spans="1:22" ht="12.6" customHeight="1" thickTop="1" thickBot="1" x14ac:dyDescent="0.3">
      <c r="A252" s="292"/>
      <c r="B252" s="293"/>
      <c r="C252" s="294"/>
      <c r="D252" s="294"/>
      <c r="E252" s="294"/>
      <c r="F252" s="310"/>
      <c r="G252" s="310"/>
      <c r="H252" s="310"/>
      <c r="I252" s="295"/>
      <c r="J252" s="295"/>
      <c r="K252" s="300">
        <f t="shared" si="15"/>
        <v>1.1000000000000001</v>
      </c>
      <c r="L252" s="300">
        <f t="shared" si="16"/>
        <v>0</v>
      </c>
      <c r="M252" s="285">
        <f t="shared" si="17"/>
        <v>0</v>
      </c>
      <c r="N252" s="1076">
        <f t="shared" si="18"/>
        <v>0</v>
      </c>
      <c r="O252" s="294"/>
      <c r="P252" s="404"/>
      <c r="Q252" s="404"/>
      <c r="R252" s="301"/>
      <c r="S252" s="301"/>
      <c r="T252" s="301"/>
      <c r="U252" s="301"/>
      <c r="V252" s="301"/>
    </row>
    <row r="253" spans="1:22" ht="12.6" customHeight="1" thickTop="1" thickBot="1" x14ac:dyDescent="0.3">
      <c r="A253" s="292"/>
      <c r="B253" s="293"/>
      <c r="C253" s="294"/>
      <c r="D253" s="294"/>
      <c r="E253" s="294"/>
      <c r="F253" s="310"/>
      <c r="G253" s="310"/>
      <c r="H253" s="310"/>
      <c r="I253" s="295"/>
      <c r="J253" s="295"/>
      <c r="K253" s="300">
        <f t="shared" si="15"/>
        <v>1.1000000000000001</v>
      </c>
      <c r="L253" s="300">
        <f t="shared" si="16"/>
        <v>0</v>
      </c>
      <c r="M253" s="285">
        <f t="shared" si="17"/>
        <v>0</v>
      </c>
      <c r="N253" s="1076">
        <f t="shared" si="18"/>
        <v>0</v>
      </c>
      <c r="O253" s="294"/>
      <c r="P253" s="404"/>
      <c r="Q253" s="404"/>
      <c r="R253" s="301"/>
      <c r="S253" s="301"/>
      <c r="T253" s="301"/>
      <c r="U253" s="301"/>
      <c r="V253" s="301"/>
    </row>
    <row r="254" spans="1:22" ht="12.6" customHeight="1" thickTop="1" thickBot="1" x14ac:dyDescent="0.3">
      <c r="A254" s="292"/>
      <c r="B254" s="293"/>
      <c r="C254" s="294"/>
      <c r="D254" s="294"/>
      <c r="E254" s="294"/>
      <c r="F254" s="310"/>
      <c r="G254" s="310"/>
      <c r="H254" s="310"/>
      <c r="I254" s="295"/>
      <c r="J254" s="295"/>
      <c r="K254" s="300">
        <f t="shared" si="15"/>
        <v>1.1000000000000001</v>
      </c>
      <c r="L254" s="300">
        <f t="shared" si="16"/>
        <v>0</v>
      </c>
      <c r="M254" s="285">
        <f t="shared" si="17"/>
        <v>0</v>
      </c>
      <c r="N254" s="1076">
        <f t="shared" si="18"/>
        <v>0</v>
      </c>
      <c r="O254" s="294"/>
      <c r="P254" s="404"/>
      <c r="Q254" s="404"/>
      <c r="R254" s="301"/>
      <c r="S254" s="301"/>
      <c r="T254" s="301"/>
      <c r="U254" s="301"/>
      <c r="V254" s="301"/>
    </row>
    <row r="255" spans="1:22" ht="12.6" customHeight="1" thickTop="1" thickBot="1" x14ac:dyDescent="0.3">
      <c r="A255" s="292"/>
      <c r="B255" s="293"/>
      <c r="C255" s="294"/>
      <c r="D255" s="294"/>
      <c r="E255" s="294"/>
      <c r="F255" s="310"/>
      <c r="G255" s="310"/>
      <c r="H255" s="310"/>
      <c r="I255" s="295"/>
      <c r="J255" s="295"/>
      <c r="K255" s="300">
        <f t="shared" si="15"/>
        <v>1.1000000000000001</v>
      </c>
      <c r="L255" s="300">
        <f t="shared" si="16"/>
        <v>0</v>
      </c>
      <c r="M255" s="285">
        <f t="shared" si="17"/>
        <v>0</v>
      </c>
      <c r="N255" s="1076">
        <f t="shared" si="18"/>
        <v>0</v>
      </c>
      <c r="O255" s="294"/>
      <c r="P255" s="404"/>
      <c r="Q255" s="404"/>
      <c r="R255" s="301"/>
      <c r="S255" s="301"/>
      <c r="T255" s="301"/>
      <c r="U255" s="301"/>
      <c r="V255" s="301"/>
    </row>
    <row r="256" spans="1:22" ht="12.6" customHeight="1" thickTop="1" thickBot="1" x14ac:dyDescent="0.3">
      <c r="A256" s="292"/>
      <c r="B256" s="293"/>
      <c r="C256" s="294"/>
      <c r="D256" s="294"/>
      <c r="E256" s="294"/>
      <c r="F256" s="310"/>
      <c r="G256" s="310"/>
      <c r="H256" s="310"/>
      <c r="I256" s="295"/>
      <c r="J256" s="295"/>
      <c r="K256" s="300">
        <f t="shared" si="15"/>
        <v>1.1000000000000001</v>
      </c>
      <c r="L256" s="300">
        <f t="shared" si="16"/>
        <v>0</v>
      </c>
      <c r="M256" s="285">
        <f t="shared" si="17"/>
        <v>0</v>
      </c>
      <c r="N256" s="1076">
        <f t="shared" si="18"/>
        <v>0</v>
      </c>
      <c r="O256" s="294"/>
      <c r="P256" s="404"/>
      <c r="Q256" s="404"/>
      <c r="R256" s="301"/>
      <c r="S256" s="301"/>
      <c r="T256" s="301"/>
      <c r="U256" s="301"/>
      <c r="V256" s="301"/>
    </row>
    <row r="257" spans="1:22" ht="12.6" customHeight="1" thickTop="1" thickBot="1" x14ac:dyDescent="0.3">
      <c r="A257" s="292"/>
      <c r="B257" s="293"/>
      <c r="C257" s="294"/>
      <c r="D257" s="294"/>
      <c r="E257" s="294"/>
      <c r="F257" s="310"/>
      <c r="G257" s="310"/>
      <c r="H257" s="310"/>
      <c r="I257" s="295"/>
      <c r="J257" s="295"/>
      <c r="K257" s="300">
        <f t="shared" si="15"/>
        <v>1.1000000000000001</v>
      </c>
      <c r="L257" s="300">
        <f t="shared" si="16"/>
        <v>0</v>
      </c>
      <c r="M257" s="285">
        <f t="shared" si="17"/>
        <v>0</v>
      </c>
      <c r="N257" s="1076">
        <f t="shared" si="18"/>
        <v>0</v>
      </c>
      <c r="O257" s="294"/>
      <c r="P257" s="404"/>
      <c r="Q257" s="404"/>
      <c r="R257" s="301"/>
      <c r="S257" s="301"/>
      <c r="T257" s="301"/>
      <c r="U257" s="301"/>
      <c r="V257" s="301"/>
    </row>
    <row r="258" spans="1:22" ht="12.6" customHeight="1" thickTop="1" thickBot="1" x14ac:dyDescent="0.3">
      <c r="A258" s="292"/>
      <c r="B258" s="293"/>
      <c r="C258" s="294"/>
      <c r="D258" s="294"/>
      <c r="E258" s="294"/>
      <c r="F258" s="310"/>
      <c r="G258" s="310"/>
      <c r="H258" s="310"/>
      <c r="I258" s="295"/>
      <c r="J258" s="295"/>
      <c r="K258" s="300">
        <f t="shared" si="15"/>
        <v>1.1000000000000001</v>
      </c>
      <c r="L258" s="300">
        <f t="shared" si="16"/>
        <v>0</v>
      </c>
      <c r="M258" s="285">
        <f t="shared" si="17"/>
        <v>0</v>
      </c>
      <c r="N258" s="1076">
        <f t="shared" si="18"/>
        <v>0</v>
      </c>
      <c r="O258" s="294"/>
      <c r="P258" s="404"/>
      <c r="Q258" s="404"/>
      <c r="R258" s="301"/>
      <c r="S258" s="301"/>
      <c r="T258" s="301"/>
      <c r="U258" s="301"/>
      <c r="V258" s="301"/>
    </row>
    <row r="259" spans="1:22" ht="12.6" customHeight="1" thickTop="1" thickBot="1" x14ac:dyDescent="0.3">
      <c r="A259" s="292"/>
      <c r="B259" s="293"/>
      <c r="C259" s="294"/>
      <c r="D259" s="294"/>
      <c r="E259" s="294"/>
      <c r="F259" s="310"/>
      <c r="G259" s="310"/>
      <c r="H259" s="310"/>
      <c r="I259" s="295"/>
      <c r="J259" s="295"/>
      <c r="K259" s="300">
        <f t="shared" ref="K259:K322" si="19">$K$2</f>
        <v>1.1000000000000001</v>
      </c>
      <c r="L259" s="300">
        <f t="shared" si="16"/>
        <v>0</v>
      </c>
      <c r="M259" s="285">
        <f t="shared" si="17"/>
        <v>0</v>
      </c>
      <c r="N259" s="1076">
        <f t="shared" si="18"/>
        <v>0</v>
      </c>
      <c r="O259" s="294"/>
      <c r="P259" s="404"/>
      <c r="Q259" s="404"/>
      <c r="R259" s="301"/>
      <c r="S259" s="301"/>
      <c r="T259" s="301"/>
      <c r="U259" s="301"/>
      <c r="V259" s="301"/>
    </row>
    <row r="260" spans="1:22" ht="12.6" customHeight="1" thickTop="1" thickBot="1" x14ac:dyDescent="0.3">
      <c r="A260" s="292"/>
      <c r="B260" s="293"/>
      <c r="C260" s="294"/>
      <c r="D260" s="294"/>
      <c r="E260" s="294"/>
      <c r="F260" s="310"/>
      <c r="G260" s="310"/>
      <c r="H260" s="310"/>
      <c r="I260" s="295"/>
      <c r="J260" s="295"/>
      <c r="K260" s="300">
        <f t="shared" si="19"/>
        <v>1.1000000000000001</v>
      </c>
      <c r="L260" s="300">
        <f t="shared" si="16"/>
        <v>0</v>
      </c>
      <c r="M260" s="285">
        <f t="shared" si="17"/>
        <v>0</v>
      </c>
      <c r="N260" s="1076">
        <f t="shared" si="18"/>
        <v>0</v>
      </c>
      <c r="O260" s="294"/>
      <c r="P260" s="404"/>
      <c r="Q260" s="404"/>
      <c r="R260" s="301"/>
      <c r="S260" s="301"/>
      <c r="T260" s="301"/>
      <c r="U260" s="301"/>
      <c r="V260" s="301"/>
    </row>
    <row r="261" spans="1:22" ht="12.6" customHeight="1" thickTop="1" thickBot="1" x14ac:dyDescent="0.3">
      <c r="A261" s="292"/>
      <c r="B261" s="293"/>
      <c r="C261" s="294"/>
      <c r="D261" s="294"/>
      <c r="E261" s="294"/>
      <c r="F261" s="310"/>
      <c r="G261" s="310"/>
      <c r="H261" s="310"/>
      <c r="I261" s="295"/>
      <c r="J261" s="295"/>
      <c r="K261" s="300">
        <f t="shared" si="19"/>
        <v>1.1000000000000001</v>
      </c>
      <c r="L261" s="300">
        <f t="shared" si="16"/>
        <v>0</v>
      </c>
      <c r="M261" s="285">
        <f t="shared" si="17"/>
        <v>0</v>
      </c>
      <c r="N261" s="1076">
        <f t="shared" si="18"/>
        <v>0</v>
      </c>
      <c r="O261" s="294"/>
      <c r="P261" s="404"/>
      <c r="Q261" s="404"/>
      <c r="R261" s="301"/>
      <c r="S261" s="301"/>
      <c r="T261" s="301"/>
      <c r="U261" s="301"/>
      <c r="V261" s="301"/>
    </row>
    <row r="262" spans="1:22" ht="12.6" customHeight="1" thickTop="1" thickBot="1" x14ac:dyDescent="0.3">
      <c r="A262" s="292"/>
      <c r="B262" s="293"/>
      <c r="C262" s="294"/>
      <c r="D262" s="294"/>
      <c r="E262" s="294"/>
      <c r="F262" s="310"/>
      <c r="G262" s="310"/>
      <c r="H262" s="310"/>
      <c r="I262" s="295"/>
      <c r="J262" s="295"/>
      <c r="K262" s="300">
        <f t="shared" si="19"/>
        <v>1.1000000000000001</v>
      </c>
      <c r="L262" s="300">
        <f t="shared" si="16"/>
        <v>0</v>
      </c>
      <c r="M262" s="285">
        <f t="shared" si="17"/>
        <v>0</v>
      </c>
      <c r="N262" s="1076">
        <f t="shared" si="18"/>
        <v>0</v>
      </c>
      <c r="O262" s="294"/>
      <c r="P262" s="404"/>
      <c r="Q262" s="404"/>
      <c r="R262" s="301"/>
      <c r="S262" s="301"/>
      <c r="T262" s="301"/>
      <c r="U262" s="301"/>
      <c r="V262" s="301"/>
    </row>
    <row r="263" spans="1:22" ht="12.6" customHeight="1" thickTop="1" thickBot="1" x14ac:dyDescent="0.3">
      <c r="A263" s="292"/>
      <c r="B263" s="293"/>
      <c r="C263" s="294"/>
      <c r="D263" s="294"/>
      <c r="E263" s="294"/>
      <c r="F263" s="310"/>
      <c r="G263" s="310"/>
      <c r="H263" s="310"/>
      <c r="I263" s="295"/>
      <c r="J263" s="295"/>
      <c r="K263" s="300">
        <f t="shared" si="19"/>
        <v>1.1000000000000001</v>
      </c>
      <c r="L263" s="300">
        <f t="shared" ref="L263:L326" si="20">K263*J263</f>
        <v>0</v>
      </c>
      <c r="M263" s="285">
        <f t="shared" ref="M263:M326" si="21">ROUND(L263,1)</f>
        <v>0</v>
      </c>
      <c r="N263" s="1076">
        <f t="shared" ref="N263:N326" si="22">ROUNDUP(M263,0)</f>
        <v>0</v>
      </c>
      <c r="O263" s="294"/>
      <c r="P263" s="404"/>
      <c r="Q263" s="404"/>
      <c r="R263" s="301"/>
      <c r="S263" s="301"/>
      <c r="T263" s="301"/>
      <c r="U263" s="301"/>
      <c r="V263" s="301"/>
    </row>
    <row r="264" spans="1:22" ht="12.6" customHeight="1" thickTop="1" thickBot="1" x14ac:dyDescent="0.3">
      <c r="A264" s="292"/>
      <c r="B264" s="293"/>
      <c r="C264" s="294"/>
      <c r="D264" s="294"/>
      <c r="E264" s="294"/>
      <c r="F264" s="310"/>
      <c r="G264" s="310"/>
      <c r="H264" s="310"/>
      <c r="I264" s="295"/>
      <c r="J264" s="295"/>
      <c r="K264" s="300">
        <f t="shared" si="19"/>
        <v>1.1000000000000001</v>
      </c>
      <c r="L264" s="300">
        <f t="shared" si="20"/>
        <v>0</v>
      </c>
      <c r="M264" s="285">
        <f t="shared" si="21"/>
        <v>0</v>
      </c>
      <c r="N264" s="1076">
        <f t="shared" si="22"/>
        <v>0</v>
      </c>
      <c r="O264" s="294"/>
      <c r="P264" s="404"/>
      <c r="Q264" s="404"/>
      <c r="R264" s="301"/>
      <c r="S264" s="301"/>
      <c r="T264" s="301"/>
      <c r="U264" s="301"/>
      <c r="V264" s="301"/>
    </row>
    <row r="265" spans="1:22" ht="12.6" customHeight="1" thickTop="1" thickBot="1" x14ac:dyDescent="0.3">
      <c r="A265" s="292"/>
      <c r="B265" s="293"/>
      <c r="C265" s="294"/>
      <c r="D265" s="294"/>
      <c r="E265" s="294"/>
      <c r="F265" s="310"/>
      <c r="G265" s="310"/>
      <c r="H265" s="310"/>
      <c r="I265" s="295"/>
      <c r="J265" s="295"/>
      <c r="K265" s="300">
        <f t="shared" si="19"/>
        <v>1.1000000000000001</v>
      </c>
      <c r="L265" s="300">
        <f t="shared" si="20"/>
        <v>0</v>
      </c>
      <c r="M265" s="285">
        <f t="shared" si="21"/>
        <v>0</v>
      </c>
      <c r="N265" s="1076">
        <f t="shared" si="22"/>
        <v>0</v>
      </c>
      <c r="O265" s="294"/>
      <c r="P265" s="404"/>
      <c r="Q265" s="404"/>
      <c r="R265" s="301"/>
      <c r="S265" s="301"/>
      <c r="T265" s="301"/>
      <c r="U265" s="301"/>
      <c r="V265" s="301"/>
    </row>
    <row r="266" spans="1:22" ht="12.6" customHeight="1" thickTop="1" thickBot="1" x14ac:dyDescent="0.3">
      <c r="A266" s="292"/>
      <c r="B266" s="293"/>
      <c r="C266" s="294"/>
      <c r="D266" s="294"/>
      <c r="E266" s="294"/>
      <c r="F266" s="310"/>
      <c r="G266" s="310"/>
      <c r="H266" s="310"/>
      <c r="I266" s="295"/>
      <c r="J266" s="295"/>
      <c r="K266" s="300">
        <f t="shared" si="19"/>
        <v>1.1000000000000001</v>
      </c>
      <c r="L266" s="300">
        <f t="shared" si="20"/>
        <v>0</v>
      </c>
      <c r="M266" s="285">
        <f t="shared" si="21"/>
        <v>0</v>
      </c>
      <c r="N266" s="1076">
        <f t="shared" si="22"/>
        <v>0</v>
      </c>
      <c r="O266" s="294"/>
      <c r="P266" s="404"/>
      <c r="Q266" s="404"/>
      <c r="R266" s="301"/>
      <c r="S266" s="301"/>
      <c r="T266" s="301"/>
      <c r="U266" s="301"/>
      <c r="V266" s="301"/>
    </row>
    <row r="267" spans="1:22" ht="12.6" customHeight="1" thickTop="1" thickBot="1" x14ac:dyDescent="0.3">
      <c r="A267" s="292"/>
      <c r="B267" s="293"/>
      <c r="C267" s="294"/>
      <c r="D267" s="294"/>
      <c r="E267" s="294"/>
      <c r="F267" s="310"/>
      <c r="G267" s="310"/>
      <c r="H267" s="310"/>
      <c r="I267" s="295"/>
      <c r="J267" s="295"/>
      <c r="K267" s="300">
        <f t="shared" si="19"/>
        <v>1.1000000000000001</v>
      </c>
      <c r="L267" s="300">
        <f t="shared" si="20"/>
        <v>0</v>
      </c>
      <c r="M267" s="285">
        <f t="shared" si="21"/>
        <v>0</v>
      </c>
      <c r="N267" s="1076">
        <f t="shared" si="22"/>
        <v>0</v>
      </c>
      <c r="O267" s="294"/>
      <c r="P267" s="404"/>
      <c r="Q267" s="404"/>
      <c r="R267" s="301"/>
      <c r="S267" s="301"/>
      <c r="T267" s="301"/>
      <c r="U267" s="301"/>
      <c r="V267" s="301"/>
    </row>
    <row r="268" spans="1:22" ht="12.6" customHeight="1" thickTop="1" thickBot="1" x14ac:dyDescent="0.3">
      <c r="A268" s="292"/>
      <c r="B268" s="293"/>
      <c r="C268" s="294"/>
      <c r="D268" s="294"/>
      <c r="E268" s="294"/>
      <c r="F268" s="310"/>
      <c r="G268" s="310"/>
      <c r="H268" s="310"/>
      <c r="I268" s="295"/>
      <c r="J268" s="295"/>
      <c r="K268" s="300">
        <f t="shared" si="19"/>
        <v>1.1000000000000001</v>
      </c>
      <c r="L268" s="300">
        <f t="shared" si="20"/>
        <v>0</v>
      </c>
      <c r="M268" s="285">
        <f t="shared" si="21"/>
        <v>0</v>
      </c>
      <c r="N268" s="1076">
        <f t="shared" si="22"/>
        <v>0</v>
      </c>
      <c r="O268" s="294"/>
      <c r="P268" s="404"/>
      <c r="Q268" s="404"/>
      <c r="R268" s="301"/>
      <c r="S268" s="301"/>
      <c r="T268" s="301"/>
      <c r="U268" s="301"/>
      <c r="V268" s="301"/>
    </row>
    <row r="269" spans="1:22" ht="12.6" customHeight="1" thickTop="1" thickBot="1" x14ac:dyDescent="0.3">
      <c r="A269" s="292"/>
      <c r="B269" s="293"/>
      <c r="C269" s="294"/>
      <c r="D269" s="294"/>
      <c r="E269" s="294"/>
      <c r="F269" s="310"/>
      <c r="G269" s="310"/>
      <c r="H269" s="310"/>
      <c r="I269" s="295"/>
      <c r="J269" s="295"/>
      <c r="K269" s="300">
        <f t="shared" si="19"/>
        <v>1.1000000000000001</v>
      </c>
      <c r="L269" s="300">
        <f t="shared" si="20"/>
        <v>0</v>
      </c>
      <c r="M269" s="285">
        <f t="shared" si="21"/>
        <v>0</v>
      </c>
      <c r="N269" s="1076">
        <f t="shared" si="22"/>
        <v>0</v>
      </c>
      <c r="O269" s="294"/>
      <c r="P269" s="404"/>
      <c r="Q269" s="404"/>
      <c r="R269" s="301"/>
      <c r="S269" s="301"/>
      <c r="T269" s="301"/>
      <c r="U269" s="301"/>
      <c r="V269" s="301"/>
    </row>
    <row r="270" spans="1:22" ht="12.6" customHeight="1" thickTop="1" thickBot="1" x14ac:dyDescent="0.3">
      <c r="A270" s="292"/>
      <c r="B270" s="293"/>
      <c r="C270" s="294"/>
      <c r="D270" s="294"/>
      <c r="E270" s="294"/>
      <c r="F270" s="310"/>
      <c r="G270" s="310"/>
      <c r="H270" s="310"/>
      <c r="I270" s="295"/>
      <c r="J270" s="295"/>
      <c r="K270" s="300">
        <f t="shared" si="19"/>
        <v>1.1000000000000001</v>
      </c>
      <c r="L270" s="300">
        <f t="shared" si="20"/>
        <v>0</v>
      </c>
      <c r="M270" s="285">
        <f t="shared" si="21"/>
        <v>0</v>
      </c>
      <c r="N270" s="1076">
        <f t="shared" si="22"/>
        <v>0</v>
      </c>
      <c r="O270" s="294"/>
      <c r="P270" s="404"/>
      <c r="Q270" s="404"/>
      <c r="R270" s="301"/>
      <c r="S270" s="301"/>
      <c r="T270" s="301"/>
      <c r="U270" s="301"/>
      <c r="V270" s="301"/>
    </row>
    <row r="271" spans="1:22" ht="12.6" customHeight="1" thickTop="1" thickBot="1" x14ac:dyDescent="0.3">
      <c r="A271" s="292"/>
      <c r="B271" s="293"/>
      <c r="C271" s="294"/>
      <c r="D271" s="294"/>
      <c r="E271" s="294"/>
      <c r="F271" s="310"/>
      <c r="G271" s="310"/>
      <c r="H271" s="310"/>
      <c r="I271" s="295"/>
      <c r="J271" s="295"/>
      <c r="K271" s="300">
        <f t="shared" si="19"/>
        <v>1.1000000000000001</v>
      </c>
      <c r="L271" s="300">
        <f t="shared" si="20"/>
        <v>0</v>
      </c>
      <c r="M271" s="285">
        <f t="shared" si="21"/>
        <v>0</v>
      </c>
      <c r="N271" s="1076">
        <f t="shared" si="22"/>
        <v>0</v>
      </c>
      <c r="O271" s="294"/>
      <c r="P271" s="404"/>
      <c r="Q271" s="404"/>
      <c r="R271" s="301"/>
      <c r="S271" s="301"/>
      <c r="T271" s="301"/>
      <c r="U271" s="301"/>
      <c r="V271" s="301"/>
    </row>
    <row r="272" spans="1:22" ht="12.6" customHeight="1" thickTop="1" thickBot="1" x14ac:dyDescent="0.3">
      <c r="A272" s="292"/>
      <c r="B272" s="293"/>
      <c r="C272" s="294"/>
      <c r="D272" s="294"/>
      <c r="E272" s="294"/>
      <c r="F272" s="310"/>
      <c r="G272" s="310"/>
      <c r="H272" s="310"/>
      <c r="I272" s="295"/>
      <c r="J272" s="295"/>
      <c r="K272" s="300">
        <f t="shared" si="19"/>
        <v>1.1000000000000001</v>
      </c>
      <c r="L272" s="300">
        <f t="shared" si="20"/>
        <v>0</v>
      </c>
      <c r="M272" s="285">
        <f t="shared" si="21"/>
        <v>0</v>
      </c>
      <c r="N272" s="1076">
        <f t="shared" si="22"/>
        <v>0</v>
      </c>
      <c r="O272" s="294"/>
      <c r="P272" s="404"/>
      <c r="Q272" s="404"/>
      <c r="R272" s="301"/>
      <c r="S272" s="301"/>
      <c r="T272" s="301"/>
      <c r="U272" s="301"/>
      <c r="V272" s="301"/>
    </row>
    <row r="273" spans="1:22" ht="12.6" customHeight="1" thickTop="1" thickBot="1" x14ac:dyDescent="0.3">
      <c r="A273" s="292"/>
      <c r="B273" s="293"/>
      <c r="C273" s="294"/>
      <c r="D273" s="294"/>
      <c r="E273" s="294"/>
      <c r="F273" s="310"/>
      <c r="G273" s="310"/>
      <c r="H273" s="310"/>
      <c r="I273" s="295"/>
      <c r="J273" s="295"/>
      <c r="K273" s="300">
        <f t="shared" si="19"/>
        <v>1.1000000000000001</v>
      </c>
      <c r="L273" s="300">
        <f t="shared" si="20"/>
        <v>0</v>
      </c>
      <c r="M273" s="285">
        <f t="shared" si="21"/>
        <v>0</v>
      </c>
      <c r="N273" s="1076">
        <f t="shared" si="22"/>
        <v>0</v>
      </c>
      <c r="O273" s="294"/>
      <c r="P273" s="404"/>
      <c r="Q273" s="404"/>
      <c r="R273" s="301"/>
      <c r="S273" s="301"/>
      <c r="T273" s="301"/>
      <c r="U273" s="301"/>
      <c r="V273" s="301"/>
    </row>
    <row r="274" spans="1:22" ht="12.6" customHeight="1" thickTop="1" thickBot="1" x14ac:dyDescent="0.3">
      <c r="A274" s="292"/>
      <c r="B274" s="293"/>
      <c r="C274" s="294"/>
      <c r="D274" s="294"/>
      <c r="E274" s="294"/>
      <c r="F274" s="310"/>
      <c r="G274" s="310"/>
      <c r="H274" s="310"/>
      <c r="I274" s="295"/>
      <c r="J274" s="295"/>
      <c r="K274" s="300">
        <f t="shared" si="19"/>
        <v>1.1000000000000001</v>
      </c>
      <c r="L274" s="300">
        <f t="shared" si="20"/>
        <v>0</v>
      </c>
      <c r="M274" s="285">
        <f t="shared" si="21"/>
        <v>0</v>
      </c>
      <c r="N274" s="1076">
        <f t="shared" si="22"/>
        <v>0</v>
      </c>
      <c r="O274" s="294"/>
      <c r="P274" s="404"/>
      <c r="Q274" s="404"/>
      <c r="R274" s="301"/>
      <c r="S274" s="301"/>
      <c r="T274" s="301"/>
      <c r="U274" s="301"/>
      <c r="V274" s="301"/>
    </row>
    <row r="275" spans="1:22" ht="12.6" customHeight="1" thickTop="1" thickBot="1" x14ac:dyDescent="0.3">
      <c r="A275" s="292"/>
      <c r="B275" s="293"/>
      <c r="C275" s="294"/>
      <c r="D275" s="294"/>
      <c r="E275" s="294"/>
      <c r="F275" s="310"/>
      <c r="G275" s="310"/>
      <c r="H275" s="310"/>
      <c r="I275" s="295"/>
      <c r="J275" s="295"/>
      <c r="K275" s="300">
        <f t="shared" si="19"/>
        <v>1.1000000000000001</v>
      </c>
      <c r="L275" s="300">
        <f t="shared" si="20"/>
        <v>0</v>
      </c>
      <c r="M275" s="285">
        <f t="shared" si="21"/>
        <v>0</v>
      </c>
      <c r="N275" s="1076">
        <f t="shared" si="22"/>
        <v>0</v>
      </c>
      <c r="O275" s="294"/>
      <c r="P275" s="404"/>
      <c r="Q275" s="404"/>
      <c r="R275" s="301"/>
      <c r="S275" s="301"/>
      <c r="T275" s="301"/>
      <c r="U275" s="301"/>
      <c r="V275" s="301"/>
    </row>
    <row r="276" spans="1:22" ht="12.6" customHeight="1" thickTop="1" thickBot="1" x14ac:dyDescent="0.3">
      <c r="A276" s="292"/>
      <c r="B276" s="293"/>
      <c r="C276" s="294"/>
      <c r="D276" s="294"/>
      <c r="E276" s="294"/>
      <c r="F276" s="310"/>
      <c r="G276" s="310"/>
      <c r="H276" s="310"/>
      <c r="I276" s="295"/>
      <c r="J276" s="295"/>
      <c r="K276" s="300">
        <f t="shared" si="19"/>
        <v>1.1000000000000001</v>
      </c>
      <c r="L276" s="300">
        <f t="shared" si="20"/>
        <v>0</v>
      </c>
      <c r="M276" s="285">
        <f t="shared" si="21"/>
        <v>0</v>
      </c>
      <c r="N276" s="1076">
        <f t="shared" si="22"/>
        <v>0</v>
      </c>
      <c r="O276" s="294"/>
      <c r="P276" s="404"/>
      <c r="Q276" s="404"/>
      <c r="R276" s="301"/>
      <c r="S276" s="301"/>
      <c r="T276" s="301"/>
      <c r="U276" s="301"/>
      <c r="V276" s="301"/>
    </row>
    <row r="277" spans="1:22" ht="12.6" customHeight="1" thickTop="1" thickBot="1" x14ac:dyDescent="0.3">
      <c r="A277" s="292"/>
      <c r="B277" s="293"/>
      <c r="C277" s="294"/>
      <c r="D277" s="294"/>
      <c r="E277" s="294"/>
      <c r="F277" s="310"/>
      <c r="G277" s="310"/>
      <c r="H277" s="310"/>
      <c r="I277" s="295"/>
      <c r="J277" s="295"/>
      <c r="K277" s="300">
        <f t="shared" si="19"/>
        <v>1.1000000000000001</v>
      </c>
      <c r="L277" s="300">
        <f t="shared" si="20"/>
        <v>0</v>
      </c>
      <c r="M277" s="285">
        <f t="shared" si="21"/>
        <v>0</v>
      </c>
      <c r="N277" s="1076">
        <f t="shared" si="22"/>
        <v>0</v>
      </c>
      <c r="O277" s="294"/>
      <c r="P277" s="404"/>
      <c r="Q277" s="404"/>
      <c r="R277" s="301"/>
      <c r="S277" s="301"/>
      <c r="T277" s="301"/>
      <c r="U277" s="301"/>
      <c r="V277" s="301"/>
    </row>
    <row r="278" spans="1:22" ht="12.6" customHeight="1" thickTop="1" thickBot="1" x14ac:dyDescent="0.3">
      <c r="A278" s="292"/>
      <c r="B278" s="293"/>
      <c r="C278" s="294"/>
      <c r="D278" s="294"/>
      <c r="E278" s="294"/>
      <c r="F278" s="310"/>
      <c r="G278" s="310"/>
      <c r="H278" s="310"/>
      <c r="I278" s="295"/>
      <c r="J278" s="295"/>
      <c r="K278" s="300">
        <f t="shared" si="19"/>
        <v>1.1000000000000001</v>
      </c>
      <c r="L278" s="300">
        <f t="shared" si="20"/>
        <v>0</v>
      </c>
      <c r="M278" s="285">
        <f t="shared" si="21"/>
        <v>0</v>
      </c>
      <c r="N278" s="1076">
        <f t="shared" si="22"/>
        <v>0</v>
      </c>
      <c r="O278" s="294"/>
      <c r="P278" s="404"/>
      <c r="Q278" s="404"/>
      <c r="R278" s="301"/>
      <c r="S278" s="301"/>
      <c r="T278" s="301"/>
      <c r="U278" s="301"/>
      <c r="V278" s="301"/>
    </row>
    <row r="279" spans="1:22" ht="12.6" customHeight="1" thickTop="1" thickBot="1" x14ac:dyDescent="0.3">
      <c r="A279" s="292"/>
      <c r="B279" s="293"/>
      <c r="C279" s="294"/>
      <c r="D279" s="294"/>
      <c r="E279" s="294"/>
      <c r="F279" s="310"/>
      <c r="G279" s="310"/>
      <c r="H279" s="310"/>
      <c r="I279" s="295"/>
      <c r="J279" s="295"/>
      <c r="K279" s="300">
        <f t="shared" si="19"/>
        <v>1.1000000000000001</v>
      </c>
      <c r="L279" s="300">
        <f t="shared" si="20"/>
        <v>0</v>
      </c>
      <c r="M279" s="285">
        <f t="shared" si="21"/>
        <v>0</v>
      </c>
      <c r="N279" s="1076">
        <f t="shared" si="22"/>
        <v>0</v>
      </c>
      <c r="O279" s="294"/>
      <c r="P279" s="404"/>
      <c r="Q279" s="404"/>
      <c r="R279" s="301"/>
      <c r="S279" s="301"/>
      <c r="T279" s="301"/>
      <c r="U279" s="301"/>
      <c r="V279" s="301"/>
    </row>
    <row r="280" spans="1:22" ht="12.6" customHeight="1" thickTop="1" thickBot="1" x14ac:dyDescent="0.3">
      <c r="A280" s="292"/>
      <c r="B280" s="293"/>
      <c r="C280" s="294"/>
      <c r="D280" s="294"/>
      <c r="E280" s="294"/>
      <c r="F280" s="310"/>
      <c r="G280" s="310"/>
      <c r="H280" s="310"/>
      <c r="I280" s="295"/>
      <c r="J280" s="295"/>
      <c r="K280" s="300">
        <f t="shared" si="19"/>
        <v>1.1000000000000001</v>
      </c>
      <c r="L280" s="300">
        <f t="shared" si="20"/>
        <v>0</v>
      </c>
      <c r="M280" s="285">
        <f t="shared" si="21"/>
        <v>0</v>
      </c>
      <c r="N280" s="1076">
        <f t="shared" si="22"/>
        <v>0</v>
      </c>
      <c r="O280" s="294"/>
      <c r="P280" s="404"/>
      <c r="Q280" s="404"/>
      <c r="R280" s="301"/>
      <c r="S280" s="301"/>
      <c r="T280" s="301"/>
      <c r="U280" s="301"/>
      <c r="V280" s="301"/>
    </row>
    <row r="281" spans="1:22" ht="12.6" customHeight="1" thickTop="1" thickBot="1" x14ac:dyDescent="0.3">
      <c r="A281" s="292"/>
      <c r="B281" s="293"/>
      <c r="C281" s="294"/>
      <c r="D281" s="294"/>
      <c r="E281" s="294"/>
      <c r="F281" s="310"/>
      <c r="G281" s="310"/>
      <c r="H281" s="310"/>
      <c r="I281" s="295"/>
      <c r="J281" s="295"/>
      <c r="K281" s="300">
        <f t="shared" si="19"/>
        <v>1.1000000000000001</v>
      </c>
      <c r="L281" s="300">
        <f t="shared" si="20"/>
        <v>0</v>
      </c>
      <c r="M281" s="285">
        <f t="shared" si="21"/>
        <v>0</v>
      </c>
      <c r="N281" s="1076">
        <f t="shared" si="22"/>
        <v>0</v>
      </c>
      <c r="O281" s="294"/>
      <c r="P281" s="404"/>
      <c r="Q281" s="404"/>
      <c r="R281" s="301"/>
      <c r="S281" s="301"/>
      <c r="T281" s="301"/>
      <c r="U281" s="301"/>
      <c r="V281" s="301"/>
    </row>
    <row r="282" spans="1:22" ht="12.6" customHeight="1" thickTop="1" thickBot="1" x14ac:dyDescent="0.3">
      <c r="A282" s="292"/>
      <c r="B282" s="293"/>
      <c r="C282" s="294"/>
      <c r="D282" s="294"/>
      <c r="E282" s="294"/>
      <c r="F282" s="310"/>
      <c r="G282" s="310"/>
      <c r="H282" s="310"/>
      <c r="I282" s="295"/>
      <c r="J282" s="295"/>
      <c r="K282" s="300">
        <f t="shared" si="19"/>
        <v>1.1000000000000001</v>
      </c>
      <c r="L282" s="300">
        <f t="shared" si="20"/>
        <v>0</v>
      </c>
      <c r="M282" s="285">
        <f t="shared" si="21"/>
        <v>0</v>
      </c>
      <c r="N282" s="1076">
        <f t="shared" si="22"/>
        <v>0</v>
      </c>
      <c r="O282" s="294"/>
      <c r="P282" s="404"/>
      <c r="Q282" s="404"/>
      <c r="R282" s="301"/>
      <c r="S282" s="301"/>
      <c r="T282" s="301"/>
      <c r="U282" s="301"/>
      <c r="V282" s="301"/>
    </row>
    <row r="283" spans="1:22" ht="12.6" customHeight="1" thickTop="1" thickBot="1" x14ac:dyDescent="0.3">
      <c r="A283" s="292"/>
      <c r="B283" s="293"/>
      <c r="C283" s="294"/>
      <c r="D283" s="294"/>
      <c r="E283" s="294"/>
      <c r="F283" s="310"/>
      <c r="G283" s="310"/>
      <c r="H283" s="310"/>
      <c r="I283" s="295"/>
      <c r="J283" s="295"/>
      <c r="K283" s="300">
        <f t="shared" si="19"/>
        <v>1.1000000000000001</v>
      </c>
      <c r="L283" s="300">
        <f t="shared" si="20"/>
        <v>0</v>
      </c>
      <c r="M283" s="285">
        <f t="shared" si="21"/>
        <v>0</v>
      </c>
      <c r="N283" s="1076">
        <f t="shared" si="22"/>
        <v>0</v>
      </c>
      <c r="O283" s="294"/>
      <c r="P283" s="404"/>
      <c r="Q283" s="404"/>
      <c r="R283" s="301"/>
      <c r="S283" s="301"/>
      <c r="T283" s="301"/>
      <c r="U283" s="301"/>
      <c r="V283" s="301"/>
    </row>
    <row r="284" spans="1:22" ht="12.6" customHeight="1" thickTop="1" thickBot="1" x14ac:dyDescent="0.3">
      <c r="A284" s="292"/>
      <c r="B284" s="293"/>
      <c r="C284" s="294"/>
      <c r="D284" s="294"/>
      <c r="E284" s="294"/>
      <c r="F284" s="310"/>
      <c r="G284" s="310"/>
      <c r="H284" s="310"/>
      <c r="I284" s="295"/>
      <c r="J284" s="295"/>
      <c r="K284" s="300">
        <f t="shared" si="19"/>
        <v>1.1000000000000001</v>
      </c>
      <c r="L284" s="300">
        <f t="shared" si="20"/>
        <v>0</v>
      </c>
      <c r="M284" s="285">
        <f t="shared" si="21"/>
        <v>0</v>
      </c>
      <c r="N284" s="1076">
        <f t="shared" si="22"/>
        <v>0</v>
      </c>
      <c r="O284" s="294"/>
      <c r="P284" s="404"/>
      <c r="Q284" s="404"/>
      <c r="R284" s="301"/>
      <c r="S284" s="301"/>
      <c r="T284" s="301"/>
      <c r="U284" s="301"/>
      <c r="V284" s="301"/>
    </row>
    <row r="285" spans="1:22" ht="12.6" customHeight="1" thickTop="1" thickBot="1" x14ac:dyDescent="0.3">
      <c r="A285" s="292"/>
      <c r="B285" s="293"/>
      <c r="C285" s="294"/>
      <c r="D285" s="294"/>
      <c r="E285" s="294"/>
      <c r="F285" s="310"/>
      <c r="G285" s="310"/>
      <c r="H285" s="310"/>
      <c r="I285" s="295"/>
      <c r="J285" s="295"/>
      <c r="K285" s="300">
        <f t="shared" si="19"/>
        <v>1.1000000000000001</v>
      </c>
      <c r="L285" s="300">
        <f t="shared" si="20"/>
        <v>0</v>
      </c>
      <c r="M285" s="285">
        <f t="shared" si="21"/>
        <v>0</v>
      </c>
      <c r="N285" s="1076">
        <f t="shared" si="22"/>
        <v>0</v>
      </c>
      <c r="O285" s="294"/>
      <c r="P285" s="404"/>
      <c r="Q285" s="404"/>
      <c r="R285" s="301"/>
      <c r="S285" s="301"/>
      <c r="T285" s="301"/>
      <c r="U285" s="301"/>
      <c r="V285" s="301"/>
    </row>
    <row r="286" spans="1:22" ht="12.6" customHeight="1" thickTop="1" thickBot="1" x14ac:dyDescent="0.3">
      <c r="A286" s="292"/>
      <c r="B286" s="293"/>
      <c r="C286" s="294"/>
      <c r="D286" s="294"/>
      <c r="E286" s="294"/>
      <c r="F286" s="310"/>
      <c r="G286" s="310"/>
      <c r="H286" s="310"/>
      <c r="I286" s="295"/>
      <c r="J286" s="295"/>
      <c r="K286" s="300">
        <f t="shared" si="19"/>
        <v>1.1000000000000001</v>
      </c>
      <c r="L286" s="300">
        <f t="shared" si="20"/>
        <v>0</v>
      </c>
      <c r="M286" s="285">
        <f t="shared" si="21"/>
        <v>0</v>
      </c>
      <c r="N286" s="1076">
        <f t="shared" si="22"/>
        <v>0</v>
      </c>
      <c r="O286" s="294"/>
      <c r="P286" s="404"/>
      <c r="Q286" s="404"/>
      <c r="R286" s="301"/>
      <c r="S286" s="301"/>
      <c r="T286" s="301"/>
      <c r="U286" s="301"/>
      <c r="V286" s="301"/>
    </row>
    <row r="287" spans="1:22" ht="12.6" customHeight="1" thickTop="1" thickBot="1" x14ac:dyDescent="0.3">
      <c r="A287" s="292"/>
      <c r="B287" s="293"/>
      <c r="C287" s="294"/>
      <c r="D287" s="294"/>
      <c r="E287" s="294"/>
      <c r="F287" s="310"/>
      <c r="G287" s="310"/>
      <c r="H287" s="310"/>
      <c r="I287" s="295"/>
      <c r="J287" s="295"/>
      <c r="K287" s="300">
        <f t="shared" si="19"/>
        <v>1.1000000000000001</v>
      </c>
      <c r="L287" s="300">
        <f t="shared" si="20"/>
        <v>0</v>
      </c>
      <c r="M287" s="285">
        <f t="shared" si="21"/>
        <v>0</v>
      </c>
      <c r="N287" s="1076">
        <f t="shared" si="22"/>
        <v>0</v>
      </c>
      <c r="O287" s="294"/>
      <c r="P287" s="404"/>
      <c r="Q287" s="404"/>
      <c r="R287" s="301"/>
      <c r="S287" s="301"/>
      <c r="T287" s="301"/>
      <c r="U287" s="301"/>
      <c r="V287" s="301"/>
    </row>
    <row r="288" spans="1:22" ht="12.6" customHeight="1" thickTop="1" thickBot="1" x14ac:dyDescent="0.3">
      <c r="A288" s="292"/>
      <c r="B288" s="293"/>
      <c r="C288" s="294"/>
      <c r="D288" s="294"/>
      <c r="E288" s="294"/>
      <c r="F288" s="310"/>
      <c r="G288" s="310"/>
      <c r="H288" s="310"/>
      <c r="I288" s="295"/>
      <c r="J288" s="295"/>
      <c r="K288" s="300">
        <f t="shared" si="19"/>
        <v>1.1000000000000001</v>
      </c>
      <c r="L288" s="300">
        <f t="shared" si="20"/>
        <v>0</v>
      </c>
      <c r="M288" s="285">
        <f t="shared" si="21"/>
        <v>0</v>
      </c>
      <c r="N288" s="1076">
        <f t="shared" si="22"/>
        <v>0</v>
      </c>
      <c r="O288" s="294"/>
      <c r="P288" s="404"/>
      <c r="Q288" s="404"/>
      <c r="R288" s="301"/>
      <c r="S288" s="301"/>
      <c r="T288" s="301"/>
      <c r="U288" s="301"/>
      <c r="V288" s="301"/>
    </row>
    <row r="289" spans="1:22" ht="12.6" customHeight="1" thickTop="1" thickBot="1" x14ac:dyDescent="0.3">
      <c r="A289" s="292"/>
      <c r="B289" s="293"/>
      <c r="C289" s="294"/>
      <c r="D289" s="294"/>
      <c r="E289" s="294"/>
      <c r="F289" s="310"/>
      <c r="G289" s="310"/>
      <c r="H289" s="310"/>
      <c r="I289" s="295"/>
      <c r="J289" s="295"/>
      <c r="K289" s="300">
        <f t="shared" si="19"/>
        <v>1.1000000000000001</v>
      </c>
      <c r="L289" s="300">
        <f t="shared" si="20"/>
        <v>0</v>
      </c>
      <c r="M289" s="285">
        <f t="shared" si="21"/>
        <v>0</v>
      </c>
      <c r="N289" s="1076">
        <f t="shared" si="22"/>
        <v>0</v>
      </c>
      <c r="O289" s="294"/>
      <c r="P289" s="404"/>
      <c r="Q289" s="404"/>
      <c r="R289" s="301"/>
      <c r="S289" s="301"/>
      <c r="T289" s="301"/>
      <c r="U289" s="301"/>
      <c r="V289" s="301"/>
    </row>
    <row r="290" spans="1:22" ht="12.6" customHeight="1" thickTop="1" thickBot="1" x14ac:dyDescent="0.3">
      <c r="A290" s="292"/>
      <c r="B290" s="293"/>
      <c r="C290" s="294"/>
      <c r="D290" s="294"/>
      <c r="E290" s="294"/>
      <c r="F290" s="310"/>
      <c r="G290" s="310"/>
      <c r="H290" s="310"/>
      <c r="I290" s="295"/>
      <c r="J290" s="295"/>
      <c r="K290" s="300">
        <f t="shared" si="19"/>
        <v>1.1000000000000001</v>
      </c>
      <c r="L290" s="300">
        <f t="shared" si="20"/>
        <v>0</v>
      </c>
      <c r="M290" s="285">
        <f t="shared" si="21"/>
        <v>0</v>
      </c>
      <c r="N290" s="1076">
        <f t="shared" si="22"/>
        <v>0</v>
      </c>
      <c r="O290" s="294"/>
      <c r="P290" s="404"/>
      <c r="Q290" s="404"/>
      <c r="R290" s="301"/>
      <c r="S290" s="301"/>
      <c r="T290" s="301"/>
      <c r="U290" s="301"/>
      <c r="V290" s="301"/>
    </row>
    <row r="291" spans="1:22" ht="12.6" customHeight="1" thickTop="1" thickBot="1" x14ac:dyDescent="0.3">
      <c r="A291" s="292"/>
      <c r="B291" s="293"/>
      <c r="C291" s="294"/>
      <c r="D291" s="294"/>
      <c r="E291" s="294"/>
      <c r="F291" s="310"/>
      <c r="G291" s="310"/>
      <c r="H291" s="310"/>
      <c r="I291" s="295"/>
      <c r="J291" s="295"/>
      <c r="K291" s="300">
        <f t="shared" si="19"/>
        <v>1.1000000000000001</v>
      </c>
      <c r="L291" s="300">
        <f t="shared" si="20"/>
        <v>0</v>
      </c>
      <c r="M291" s="285">
        <f t="shared" si="21"/>
        <v>0</v>
      </c>
      <c r="N291" s="1076">
        <f t="shared" si="22"/>
        <v>0</v>
      </c>
      <c r="O291" s="294"/>
      <c r="P291" s="404"/>
      <c r="Q291" s="404"/>
      <c r="R291" s="301"/>
      <c r="S291" s="301"/>
      <c r="T291" s="301"/>
      <c r="U291" s="301"/>
      <c r="V291" s="301"/>
    </row>
    <row r="292" spans="1:22" ht="12.6" customHeight="1" thickTop="1" thickBot="1" x14ac:dyDescent="0.3">
      <c r="A292" s="292"/>
      <c r="B292" s="293"/>
      <c r="C292" s="294"/>
      <c r="D292" s="294"/>
      <c r="E292" s="294"/>
      <c r="F292" s="310"/>
      <c r="G292" s="310"/>
      <c r="H292" s="310"/>
      <c r="I292" s="295"/>
      <c r="J292" s="295"/>
      <c r="K292" s="300">
        <f t="shared" si="19"/>
        <v>1.1000000000000001</v>
      </c>
      <c r="L292" s="300">
        <f t="shared" si="20"/>
        <v>0</v>
      </c>
      <c r="M292" s="285">
        <f t="shared" si="21"/>
        <v>0</v>
      </c>
      <c r="N292" s="1076">
        <f t="shared" si="22"/>
        <v>0</v>
      </c>
      <c r="O292" s="294"/>
      <c r="P292" s="404"/>
      <c r="Q292" s="404"/>
      <c r="R292" s="301"/>
      <c r="S292" s="301"/>
      <c r="T292" s="301"/>
      <c r="U292" s="301"/>
      <c r="V292" s="301"/>
    </row>
    <row r="293" spans="1:22" ht="12.6" customHeight="1" thickTop="1" thickBot="1" x14ac:dyDescent="0.3">
      <c r="A293" s="292"/>
      <c r="B293" s="293"/>
      <c r="C293" s="294"/>
      <c r="D293" s="294"/>
      <c r="E293" s="294"/>
      <c r="F293" s="310"/>
      <c r="G293" s="310"/>
      <c r="H293" s="310"/>
      <c r="I293" s="295"/>
      <c r="J293" s="295"/>
      <c r="K293" s="300">
        <f t="shared" si="19"/>
        <v>1.1000000000000001</v>
      </c>
      <c r="L293" s="300">
        <f t="shared" si="20"/>
        <v>0</v>
      </c>
      <c r="M293" s="285">
        <f t="shared" si="21"/>
        <v>0</v>
      </c>
      <c r="N293" s="1076">
        <f t="shared" si="22"/>
        <v>0</v>
      </c>
      <c r="O293" s="294"/>
      <c r="P293" s="404"/>
      <c r="Q293" s="404"/>
      <c r="R293" s="301"/>
      <c r="S293" s="301"/>
      <c r="T293" s="301"/>
      <c r="U293" s="301"/>
      <c r="V293" s="301"/>
    </row>
    <row r="294" spans="1:22" ht="12.6" customHeight="1" thickTop="1" thickBot="1" x14ac:dyDescent="0.3">
      <c r="A294" s="292"/>
      <c r="B294" s="293"/>
      <c r="C294" s="294"/>
      <c r="D294" s="294"/>
      <c r="E294" s="294"/>
      <c r="F294" s="310"/>
      <c r="G294" s="310"/>
      <c r="H294" s="310"/>
      <c r="I294" s="295"/>
      <c r="J294" s="295"/>
      <c r="K294" s="300">
        <f t="shared" si="19"/>
        <v>1.1000000000000001</v>
      </c>
      <c r="L294" s="300">
        <f t="shared" si="20"/>
        <v>0</v>
      </c>
      <c r="M294" s="285">
        <f t="shared" si="21"/>
        <v>0</v>
      </c>
      <c r="N294" s="1076">
        <f t="shared" si="22"/>
        <v>0</v>
      </c>
      <c r="O294" s="294"/>
      <c r="P294" s="404"/>
      <c r="Q294" s="404"/>
      <c r="R294" s="301"/>
      <c r="S294" s="301"/>
      <c r="T294" s="301"/>
      <c r="U294" s="301"/>
      <c r="V294" s="301"/>
    </row>
    <row r="295" spans="1:22" ht="12.6" customHeight="1" thickTop="1" thickBot="1" x14ac:dyDescent="0.3">
      <c r="A295" s="292"/>
      <c r="B295" s="293"/>
      <c r="C295" s="294"/>
      <c r="D295" s="294"/>
      <c r="E295" s="294"/>
      <c r="F295" s="310"/>
      <c r="G295" s="310"/>
      <c r="H295" s="310"/>
      <c r="I295" s="295"/>
      <c r="J295" s="295"/>
      <c r="K295" s="300">
        <f t="shared" si="19"/>
        <v>1.1000000000000001</v>
      </c>
      <c r="L295" s="300">
        <f t="shared" si="20"/>
        <v>0</v>
      </c>
      <c r="M295" s="285">
        <f t="shared" si="21"/>
        <v>0</v>
      </c>
      <c r="N295" s="1076">
        <f t="shared" si="22"/>
        <v>0</v>
      </c>
      <c r="O295" s="294"/>
      <c r="P295" s="404"/>
      <c r="Q295" s="404"/>
      <c r="R295" s="301"/>
      <c r="S295" s="301"/>
      <c r="T295" s="301"/>
      <c r="U295" s="301"/>
      <c r="V295" s="301"/>
    </row>
    <row r="296" spans="1:22" ht="12.6" customHeight="1" thickTop="1" thickBot="1" x14ac:dyDescent="0.3">
      <c r="A296" s="292"/>
      <c r="B296" s="293"/>
      <c r="C296" s="294"/>
      <c r="D296" s="294"/>
      <c r="E296" s="294"/>
      <c r="F296" s="310"/>
      <c r="G296" s="310"/>
      <c r="H296" s="310"/>
      <c r="I296" s="295"/>
      <c r="J296" s="295"/>
      <c r="K296" s="300">
        <f t="shared" si="19"/>
        <v>1.1000000000000001</v>
      </c>
      <c r="L296" s="300">
        <f t="shared" si="20"/>
        <v>0</v>
      </c>
      <c r="M296" s="285">
        <f t="shared" si="21"/>
        <v>0</v>
      </c>
      <c r="N296" s="1076">
        <f t="shared" si="22"/>
        <v>0</v>
      </c>
      <c r="O296" s="294"/>
      <c r="P296" s="404"/>
      <c r="Q296" s="404"/>
      <c r="R296" s="301"/>
      <c r="S296" s="301"/>
      <c r="T296" s="301"/>
      <c r="U296" s="301"/>
      <c r="V296" s="301"/>
    </row>
    <row r="297" spans="1:22" ht="12.6" customHeight="1" thickTop="1" thickBot="1" x14ac:dyDescent="0.3">
      <c r="A297" s="292"/>
      <c r="B297" s="293"/>
      <c r="C297" s="294"/>
      <c r="D297" s="294"/>
      <c r="E297" s="294"/>
      <c r="F297" s="310"/>
      <c r="G297" s="310"/>
      <c r="H297" s="310"/>
      <c r="I297" s="295"/>
      <c r="J297" s="295"/>
      <c r="K297" s="300">
        <f t="shared" si="19"/>
        <v>1.1000000000000001</v>
      </c>
      <c r="L297" s="300">
        <f t="shared" si="20"/>
        <v>0</v>
      </c>
      <c r="M297" s="285">
        <f t="shared" si="21"/>
        <v>0</v>
      </c>
      <c r="N297" s="1076">
        <f t="shared" si="22"/>
        <v>0</v>
      </c>
      <c r="O297" s="294"/>
      <c r="P297" s="404"/>
      <c r="Q297" s="404"/>
      <c r="R297" s="301"/>
      <c r="S297" s="301"/>
      <c r="T297" s="301"/>
      <c r="U297" s="301"/>
      <c r="V297" s="301"/>
    </row>
    <row r="298" spans="1:22" ht="12.6" customHeight="1" thickTop="1" thickBot="1" x14ac:dyDescent="0.3">
      <c r="A298" s="292"/>
      <c r="B298" s="293"/>
      <c r="C298" s="294"/>
      <c r="D298" s="294"/>
      <c r="E298" s="294"/>
      <c r="F298" s="310"/>
      <c r="G298" s="310"/>
      <c r="H298" s="310"/>
      <c r="I298" s="295"/>
      <c r="J298" s="295"/>
      <c r="K298" s="300">
        <f t="shared" si="19"/>
        <v>1.1000000000000001</v>
      </c>
      <c r="L298" s="300">
        <f t="shared" si="20"/>
        <v>0</v>
      </c>
      <c r="M298" s="285">
        <f t="shared" si="21"/>
        <v>0</v>
      </c>
      <c r="N298" s="1076">
        <f t="shared" si="22"/>
        <v>0</v>
      </c>
      <c r="O298" s="294"/>
      <c r="P298" s="404"/>
      <c r="Q298" s="404"/>
      <c r="R298" s="301"/>
      <c r="S298" s="301"/>
      <c r="T298" s="301"/>
      <c r="U298" s="301"/>
      <c r="V298" s="301"/>
    </row>
    <row r="299" spans="1:22" ht="12.6" customHeight="1" thickTop="1" thickBot="1" x14ac:dyDescent="0.3">
      <c r="A299" s="292"/>
      <c r="B299" s="293"/>
      <c r="C299" s="294"/>
      <c r="D299" s="294"/>
      <c r="E299" s="294"/>
      <c r="F299" s="310"/>
      <c r="G299" s="310"/>
      <c r="H299" s="310"/>
      <c r="I299" s="295"/>
      <c r="J299" s="295"/>
      <c r="K299" s="300">
        <f t="shared" si="19"/>
        <v>1.1000000000000001</v>
      </c>
      <c r="L299" s="300">
        <f t="shared" si="20"/>
        <v>0</v>
      </c>
      <c r="M299" s="285">
        <f t="shared" si="21"/>
        <v>0</v>
      </c>
      <c r="N299" s="1076">
        <f t="shared" si="22"/>
        <v>0</v>
      </c>
      <c r="O299" s="294"/>
      <c r="P299" s="404"/>
      <c r="Q299" s="404"/>
      <c r="R299" s="301"/>
      <c r="S299" s="301"/>
      <c r="T299" s="301"/>
      <c r="U299" s="301"/>
      <c r="V299" s="301"/>
    </row>
    <row r="300" spans="1:22" ht="12.6" customHeight="1" thickTop="1" thickBot="1" x14ac:dyDescent="0.3">
      <c r="A300" s="292"/>
      <c r="B300" s="293"/>
      <c r="C300" s="294"/>
      <c r="D300" s="294"/>
      <c r="E300" s="294"/>
      <c r="F300" s="310"/>
      <c r="G300" s="310"/>
      <c r="H300" s="310"/>
      <c r="I300" s="295"/>
      <c r="J300" s="295"/>
      <c r="K300" s="300">
        <f t="shared" si="19"/>
        <v>1.1000000000000001</v>
      </c>
      <c r="L300" s="300">
        <f t="shared" si="20"/>
        <v>0</v>
      </c>
      <c r="M300" s="285">
        <f t="shared" si="21"/>
        <v>0</v>
      </c>
      <c r="N300" s="1076">
        <f t="shared" si="22"/>
        <v>0</v>
      </c>
      <c r="O300" s="294"/>
      <c r="P300" s="404"/>
      <c r="Q300" s="404"/>
      <c r="R300" s="301"/>
      <c r="S300" s="301"/>
      <c r="T300" s="301"/>
      <c r="U300" s="301"/>
      <c r="V300" s="301"/>
    </row>
    <row r="301" spans="1:22" ht="12.6" customHeight="1" thickTop="1" thickBot="1" x14ac:dyDescent="0.3">
      <c r="A301" s="292"/>
      <c r="B301" s="293"/>
      <c r="C301" s="294"/>
      <c r="D301" s="294"/>
      <c r="E301" s="294"/>
      <c r="F301" s="310"/>
      <c r="G301" s="310"/>
      <c r="H301" s="310"/>
      <c r="I301" s="295"/>
      <c r="J301" s="295"/>
      <c r="K301" s="300">
        <f t="shared" si="19"/>
        <v>1.1000000000000001</v>
      </c>
      <c r="L301" s="300">
        <f t="shared" si="20"/>
        <v>0</v>
      </c>
      <c r="M301" s="285">
        <f t="shared" si="21"/>
        <v>0</v>
      </c>
      <c r="N301" s="1076">
        <f t="shared" si="22"/>
        <v>0</v>
      </c>
      <c r="O301" s="294"/>
      <c r="P301" s="404"/>
      <c r="Q301" s="404"/>
      <c r="R301" s="301"/>
      <c r="S301" s="301"/>
      <c r="T301" s="301"/>
      <c r="U301" s="301"/>
      <c r="V301" s="301"/>
    </row>
    <row r="302" spans="1:22" ht="12.6" customHeight="1" thickTop="1" thickBot="1" x14ac:dyDescent="0.3">
      <c r="A302" s="292"/>
      <c r="B302" s="293"/>
      <c r="C302" s="294"/>
      <c r="D302" s="294"/>
      <c r="E302" s="294"/>
      <c r="F302" s="310"/>
      <c r="G302" s="310"/>
      <c r="H302" s="310"/>
      <c r="I302" s="295"/>
      <c r="J302" s="295"/>
      <c r="K302" s="300">
        <f t="shared" si="19"/>
        <v>1.1000000000000001</v>
      </c>
      <c r="L302" s="300">
        <f t="shared" si="20"/>
        <v>0</v>
      </c>
      <c r="M302" s="285">
        <f t="shared" si="21"/>
        <v>0</v>
      </c>
      <c r="N302" s="1076">
        <f t="shared" si="22"/>
        <v>0</v>
      </c>
      <c r="O302" s="294"/>
      <c r="P302" s="404"/>
      <c r="Q302" s="404"/>
      <c r="R302" s="301"/>
      <c r="S302" s="301"/>
      <c r="T302" s="301"/>
      <c r="U302" s="301"/>
      <c r="V302" s="301"/>
    </row>
    <row r="303" spans="1:22" ht="12.6" customHeight="1" thickTop="1" thickBot="1" x14ac:dyDescent="0.3">
      <c r="A303" s="292"/>
      <c r="B303" s="293"/>
      <c r="C303" s="294"/>
      <c r="D303" s="294"/>
      <c r="E303" s="294"/>
      <c r="F303" s="310"/>
      <c r="G303" s="310"/>
      <c r="H303" s="310"/>
      <c r="I303" s="295"/>
      <c r="J303" s="295"/>
      <c r="K303" s="300">
        <f t="shared" si="19"/>
        <v>1.1000000000000001</v>
      </c>
      <c r="L303" s="300">
        <f t="shared" si="20"/>
        <v>0</v>
      </c>
      <c r="M303" s="285">
        <f t="shared" si="21"/>
        <v>0</v>
      </c>
      <c r="N303" s="1076">
        <f t="shared" si="22"/>
        <v>0</v>
      </c>
      <c r="O303" s="294"/>
      <c r="P303" s="404"/>
      <c r="Q303" s="404"/>
      <c r="R303" s="301"/>
      <c r="S303" s="301"/>
      <c r="T303" s="301"/>
      <c r="U303" s="301"/>
      <c r="V303" s="301"/>
    </row>
    <row r="304" spans="1:22" ht="12.6" customHeight="1" thickTop="1" thickBot="1" x14ac:dyDescent="0.3">
      <c r="A304" s="292"/>
      <c r="B304" s="293"/>
      <c r="C304" s="294"/>
      <c r="D304" s="294"/>
      <c r="E304" s="294"/>
      <c r="F304" s="310"/>
      <c r="G304" s="310"/>
      <c r="H304" s="310"/>
      <c r="I304" s="295"/>
      <c r="J304" s="295"/>
      <c r="K304" s="300">
        <f t="shared" si="19"/>
        <v>1.1000000000000001</v>
      </c>
      <c r="L304" s="300">
        <f t="shared" si="20"/>
        <v>0</v>
      </c>
      <c r="M304" s="285">
        <f t="shared" si="21"/>
        <v>0</v>
      </c>
      <c r="N304" s="1076">
        <f t="shared" si="22"/>
        <v>0</v>
      </c>
      <c r="O304" s="294"/>
      <c r="P304" s="404"/>
      <c r="Q304" s="404"/>
      <c r="R304" s="301"/>
      <c r="S304" s="301"/>
      <c r="T304" s="301"/>
      <c r="U304" s="301"/>
      <c r="V304" s="301"/>
    </row>
    <row r="305" spans="1:22" ht="12.6" customHeight="1" thickTop="1" thickBot="1" x14ac:dyDescent="0.3">
      <c r="A305" s="292"/>
      <c r="B305" s="293"/>
      <c r="C305" s="294"/>
      <c r="D305" s="294"/>
      <c r="E305" s="294"/>
      <c r="F305" s="310"/>
      <c r="G305" s="310"/>
      <c r="H305" s="310"/>
      <c r="I305" s="295"/>
      <c r="J305" s="295"/>
      <c r="K305" s="300">
        <f t="shared" si="19"/>
        <v>1.1000000000000001</v>
      </c>
      <c r="L305" s="300">
        <f t="shared" si="20"/>
        <v>0</v>
      </c>
      <c r="M305" s="285">
        <f t="shared" si="21"/>
        <v>0</v>
      </c>
      <c r="N305" s="1076">
        <f t="shared" si="22"/>
        <v>0</v>
      </c>
      <c r="O305" s="294"/>
      <c r="P305" s="404"/>
      <c r="Q305" s="404"/>
      <c r="R305" s="301"/>
      <c r="S305" s="301"/>
      <c r="T305" s="301"/>
      <c r="U305" s="301"/>
      <c r="V305" s="301"/>
    </row>
    <row r="306" spans="1:22" ht="12.6" customHeight="1" thickTop="1" thickBot="1" x14ac:dyDescent="0.3">
      <c r="A306" s="292"/>
      <c r="B306" s="293"/>
      <c r="C306" s="294"/>
      <c r="D306" s="294"/>
      <c r="E306" s="294"/>
      <c r="F306" s="310"/>
      <c r="G306" s="310"/>
      <c r="H306" s="310"/>
      <c r="I306" s="295"/>
      <c r="J306" s="295"/>
      <c r="K306" s="300">
        <f t="shared" si="19"/>
        <v>1.1000000000000001</v>
      </c>
      <c r="L306" s="300">
        <f t="shared" si="20"/>
        <v>0</v>
      </c>
      <c r="M306" s="285">
        <f t="shared" si="21"/>
        <v>0</v>
      </c>
      <c r="N306" s="1076">
        <f t="shared" si="22"/>
        <v>0</v>
      </c>
      <c r="O306" s="294"/>
      <c r="P306" s="404"/>
      <c r="Q306" s="404"/>
      <c r="R306" s="301"/>
      <c r="S306" s="301"/>
      <c r="T306" s="301"/>
      <c r="U306" s="301"/>
      <c r="V306" s="301"/>
    </row>
    <row r="307" spans="1:22" ht="12.6" customHeight="1" thickTop="1" thickBot="1" x14ac:dyDescent="0.3">
      <c r="A307" s="292"/>
      <c r="B307" s="293"/>
      <c r="C307" s="294"/>
      <c r="D307" s="294"/>
      <c r="E307" s="294"/>
      <c r="F307" s="310"/>
      <c r="G307" s="310"/>
      <c r="H307" s="310"/>
      <c r="I307" s="295"/>
      <c r="J307" s="295"/>
      <c r="K307" s="300">
        <f t="shared" si="19"/>
        <v>1.1000000000000001</v>
      </c>
      <c r="L307" s="300">
        <f t="shared" si="20"/>
        <v>0</v>
      </c>
      <c r="M307" s="285">
        <f t="shared" si="21"/>
        <v>0</v>
      </c>
      <c r="N307" s="1076">
        <f t="shared" si="22"/>
        <v>0</v>
      </c>
      <c r="O307" s="294"/>
      <c r="P307" s="404"/>
      <c r="Q307" s="404"/>
      <c r="R307" s="301"/>
      <c r="S307" s="301"/>
      <c r="T307" s="301"/>
      <c r="U307" s="301"/>
      <c r="V307" s="301"/>
    </row>
    <row r="308" spans="1:22" ht="12.6" customHeight="1" thickTop="1" thickBot="1" x14ac:dyDescent="0.3">
      <c r="A308" s="292"/>
      <c r="B308" s="293"/>
      <c r="C308" s="294"/>
      <c r="D308" s="294"/>
      <c r="E308" s="294"/>
      <c r="F308" s="310"/>
      <c r="G308" s="310"/>
      <c r="H308" s="310"/>
      <c r="I308" s="295"/>
      <c r="J308" s="295"/>
      <c r="K308" s="300">
        <f t="shared" si="19"/>
        <v>1.1000000000000001</v>
      </c>
      <c r="L308" s="300">
        <f t="shared" si="20"/>
        <v>0</v>
      </c>
      <c r="M308" s="285">
        <f t="shared" si="21"/>
        <v>0</v>
      </c>
      <c r="N308" s="1076">
        <f t="shared" si="22"/>
        <v>0</v>
      </c>
      <c r="O308" s="294"/>
      <c r="P308" s="404"/>
      <c r="Q308" s="404"/>
      <c r="R308" s="301"/>
      <c r="S308" s="301"/>
      <c r="T308" s="301"/>
      <c r="U308" s="301"/>
      <c r="V308" s="301"/>
    </row>
    <row r="309" spans="1:22" ht="12.6" customHeight="1" thickTop="1" thickBot="1" x14ac:dyDescent="0.3">
      <c r="A309" s="292"/>
      <c r="B309" s="293"/>
      <c r="C309" s="294"/>
      <c r="D309" s="294"/>
      <c r="E309" s="294"/>
      <c r="F309" s="310"/>
      <c r="G309" s="310"/>
      <c r="H309" s="310"/>
      <c r="I309" s="295"/>
      <c r="J309" s="295"/>
      <c r="K309" s="300">
        <f t="shared" si="19"/>
        <v>1.1000000000000001</v>
      </c>
      <c r="L309" s="300">
        <f t="shared" si="20"/>
        <v>0</v>
      </c>
      <c r="M309" s="285">
        <f t="shared" si="21"/>
        <v>0</v>
      </c>
      <c r="N309" s="1076">
        <f t="shared" si="22"/>
        <v>0</v>
      </c>
      <c r="O309" s="294"/>
      <c r="P309" s="404"/>
      <c r="Q309" s="404"/>
      <c r="R309" s="301"/>
      <c r="S309" s="301"/>
      <c r="T309" s="301"/>
      <c r="U309" s="301"/>
      <c r="V309" s="301"/>
    </row>
    <row r="310" spans="1:22" ht="12.6" customHeight="1" thickTop="1" thickBot="1" x14ac:dyDescent="0.3">
      <c r="A310" s="292"/>
      <c r="B310" s="293"/>
      <c r="C310" s="294"/>
      <c r="D310" s="294"/>
      <c r="E310" s="294"/>
      <c r="F310" s="310"/>
      <c r="G310" s="310"/>
      <c r="H310" s="310"/>
      <c r="I310" s="295"/>
      <c r="J310" s="295"/>
      <c r="K310" s="300">
        <f t="shared" si="19"/>
        <v>1.1000000000000001</v>
      </c>
      <c r="L310" s="300">
        <f t="shared" si="20"/>
        <v>0</v>
      </c>
      <c r="M310" s="285">
        <f t="shared" si="21"/>
        <v>0</v>
      </c>
      <c r="N310" s="1076">
        <f t="shared" si="22"/>
        <v>0</v>
      </c>
      <c r="O310" s="294"/>
      <c r="P310" s="404"/>
      <c r="Q310" s="404"/>
      <c r="R310" s="301"/>
      <c r="S310" s="301"/>
      <c r="T310" s="301"/>
      <c r="U310" s="301"/>
      <c r="V310" s="301"/>
    </row>
    <row r="311" spans="1:22" ht="12.6" customHeight="1" thickTop="1" thickBot="1" x14ac:dyDescent="0.3">
      <c r="A311" s="292"/>
      <c r="B311" s="293"/>
      <c r="C311" s="294"/>
      <c r="D311" s="294"/>
      <c r="E311" s="294"/>
      <c r="F311" s="310"/>
      <c r="G311" s="310"/>
      <c r="H311" s="310"/>
      <c r="I311" s="295"/>
      <c r="J311" s="295"/>
      <c r="K311" s="300">
        <f t="shared" si="19"/>
        <v>1.1000000000000001</v>
      </c>
      <c r="L311" s="300">
        <f t="shared" si="20"/>
        <v>0</v>
      </c>
      <c r="M311" s="285">
        <f t="shared" si="21"/>
        <v>0</v>
      </c>
      <c r="N311" s="1076">
        <f t="shared" si="22"/>
        <v>0</v>
      </c>
      <c r="O311" s="294"/>
      <c r="P311" s="404"/>
      <c r="Q311" s="404"/>
      <c r="R311" s="301"/>
      <c r="S311" s="301"/>
      <c r="T311" s="301"/>
      <c r="U311" s="301"/>
      <c r="V311" s="301"/>
    </row>
    <row r="312" spans="1:22" ht="12.6" customHeight="1" thickTop="1" thickBot="1" x14ac:dyDescent="0.3">
      <c r="A312" s="292"/>
      <c r="B312" s="293"/>
      <c r="C312" s="294"/>
      <c r="D312" s="294"/>
      <c r="E312" s="294"/>
      <c r="F312" s="310"/>
      <c r="G312" s="310"/>
      <c r="H312" s="310"/>
      <c r="I312" s="295"/>
      <c r="J312" s="295"/>
      <c r="K312" s="300">
        <f t="shared" si="19"/>
        <v>1.1000000000000001</v>
      </c>
      <c r="L312" s="300">
        <f t="shared" si="20"/>
        <v>0</v>
      </c>
      <c r="M312" s="285">
        <f t="shared" si="21"/>
        <v>0</v>
      </c>
      <c r="N312" s="1076">
        <f t="shared" si="22"/>
        <v>0</v>
      </c>
      <c r="O312" s="294"/>
      <c r="P312" s="404"/>
      <c r="Q312" s="404"/>
      <c r="R312" s="301"/>
      <c r="S312" s="301"/>
      <c r="T312" s="301"/>
      <c r="U312" s="301"/>
      <c r="V312" s="301"/>
    </row>
    <row r="313" spans="1:22" ht="12.6" customHeight="1" thickTop="1" thickBot="1" x14ac:dyDescent="0.3">
      <c r="A313" s="292"/>
      <c r="B313" s="293"/>
      <c r="C313" s="294"/>
      <c r="D313" s="294"/>
      <c r="E313" s="294"/>
      <c r="F313" s="310"/>
      <c r="G313" s="310"/>
      <c r="H313" s="310"/>
      <c r="I313" s="295"/>
      <c r="J313" s="295"/>
      <c r="K313" s="300">
        <f t="shared" si="19"/>
        <v>1.1000000000000001</v>
      </c>
      <c r="L313" s="300">
        <f t="shared" si="20"/>
        <v>0</v>
      </c>
      <c r="M313" s="285">
        <f t="shared" si="21"/>
        <v>0</v>
      </c>
      <c r="N313" s="1076">
        <f t="shared" si="22"/>
        <v>0</v>
      </c>
      <c r="O313" s="294"/>
      <c r="P313" s="404"/>
      <c r="Q313" s="404"/>
      <c r="R313" s="301"/>
      <c r="S313" s="301"/>
      <c r="T313" s="301"/>
      <c r="U313" s="301"/>
      <c r="V313" s="301"/>
    </row>
    <row r="314" spans="1:22" ht="12.6" customHeight="1" thickTop="1" thickBot="1" x14ac:dyDescent="0.3">
      <c r="A314" s="292"/>
      <c r="B314" s="293"/>
      <c r="C314" s="294"/>
      <c r="D314" s="294"/>
      <c r="E314" s="294"/>
      <c r="F314" s="310"/>
      <c r="G314" s="310"/>
      <c r="H314" s="310"/>
      <c r="I314" s="295"/>
      <c r="J314" s="295"/>
      <c r="K314" s="300">
        <f t="shared" si="19"/>
        <v>1.1000000000000001</v>
      </c>
      <c r="L314" s="300">
        <f t="shared" si="20"/>
        <v>0</v>
      </c>
      <c r="M314" s="285">
        <f t="shared" si="21"/>
        <v>0</v>
      </c>
      <c r="N314" s="1076">
        <f t="shared" si="22"/>
        <v>0</v>
      </c>
      <c r="O314" s="294"/>
      <c r="P314" s="404"/>
      <c r="Q314" s="404"/>
      <c r="R314" s="301"/>
      <c r="S314" s="301"/>
      <c r="T314" s="301"/>
      <c r="U314" s="301"/>
      <c r="V314" s="301"/>
    </row>
    <row r="315" spans="1:22" ht="12.6" customHeight="1" thickTop="1" thickBot="1" x14ac:dyDescent="0.3">
      <c r="A315" s="292"/>
      <c r="B315" s="293"/>
      <c r="C315" s="294"/>
      <c r="D315" s="294"/>
      <c r="E315" s="294"/>
      <c r="F315" s="310"/>
      <c r="G315" s="310"/>
      <c r="H315" s="310"/>
      <c r="I315" s="295"/>
      <c r="J315" s="295"/>
      <c r="K315" s="300">
        <f t="shared" si="19"/>
        <v>1.1000000000000001</v>
      </c>
      <c r="L315" s="300">
        <f t="shared" si="20"/>
        <v>0</v>
      </c>
      <c r="M315" s="285">
        <f t="shared" si="21"/>
        <v>0</v>
      </c>
      <c r="N315" s="1076">
        <f t="shared" si="22"/>
        <v>0</v>
      </c>
      <c r="O315" s="294"/>
      <c r="P315" s="404"/>
      <c r="Q315" s="404"/>
      <c r="R315" s="301"/>
      <c r="S315" s="301"/>
      <c r="T315" s="301"/>
      <c r="U315" s="301"/>
      <c r="V315" s="301"/>
    </row>
    <row r="316" spans="1:22" ht="12.6" customHeight="1" thickTop="1" thickBot="1" x14ac:dyDescent="0.3">
      <c r="A316" s="292"/>
      <c r="B316" s="293"/>
      <c r="C316" s="294"/>
      <c r="D316" s="294"/>
      <c r="E316" s="294"/>
      <c r="F316" s="310"/>
      <c r="G316" s="310"/>
      <c r="H316" s="310"/>
      <c r="I316" s="295"/>
      <c r="J316" s="295"/>
      <c r="K316" s="300">
        <f t="shared" si="19"/>
        <v>1.1000000000000001</v>
      </c>
      <c r="L316" s="300">
        <f t="shared" si="20"/>
        <v>0</v>
      </c>
      <c r="M316" s="285">
        <f t="shared" si="21"/>
        <v>0</v>
      </c>
      <c r="N316" s="1076">
        <f t="shared" si="22"/>
        <v>0</v>
      </c>
      <c r="O316" s="294"/>
      <c r="P316" s="404"/>
      <c r="Q316" s="404"/>
      <c r="R316" s="301"/>
      <c r="S316" s="301"/>
      <c r="T316" s="301"/>
      <c r="U316" s="301"/>
      <c r="V316" s="301"/>
    </row>
    <row r="317" spans="1:22" ht="12.6" customHeight="1" thickTop="1" thickBot="1" x14ac:dyDescent="0.3">
      <c r="A317" s="292"/>
      <c r="B317" s="293"/>
      <c r="C317" s="294"/>
      <c r="D317" s="294"/>
      <c r="E317" s="294"/>
      <c r="F317" s="310"/>
      <c r="G317" s="310"/>
      <c r="H317" s="310"/>
      <c r="I317" s="295"/>
      <c r="J317" s="295"/>
      <c r="K317" s="300">
        <f t="shared" si="19"/>
        <v>1.1000000000000001</v>
      </c>
      <c r="L317" s="300">
        <f t="shared" si="20"/>
        <v>0</v>
      </c>
      <c r="M317" s="285">
        <f t="shared" si="21"/>
        <v>0</v>
      </c>
      <c r="N317" s="1076">
        <f t="shared" si="22"/>
        <v>0</v>
      </c>
      <c r="O317" s="294"/>
      <c r="P317" s="404"/>
      <c r="Q317" s="404"/>
      <c r="R317" s="301"/>
      <c r="S317" s="301"/>
      <c r="T317" s="301"/>
      <c r="U317" s="301"/>
      <c r="V317" s="301"/>
    </row>
    <row r="318" spans="1:22" ht="12.6" customHeight="1" thickTop="1" thickBot="1" x14ac:dyDescent="0.3">
      <c r="A318" s="292"/>
      <c r="B318" s="293"/>
      <c r="C318" s="294"/>
      <c r="D318" s="294"/>
      <c r="E318" s="294"/>
      <c r="F318" s="310"/>
      <c r="G318" s="310"/>
      <c r="H318" s="310"/>
      <c r="I318" s="295"/>
      <c r="J318" s="295"/>
      <c r="K318" s="300">
        <f t="shared" si="19"/>
        <v>1.1000000000000001</v>
      </c>
      <c r="L318" s="300">
        <f t="shared" si="20"/>
        <v>0</v>
      </c>
      <c r="M318" s="285">
        <f t="shared" si="21"/>
        <v>0</v>
      </c>
      <c r="N318" s="1076">
        <f t="shared" si="22"/>
        <v>0</v>
      </c>
      <c r="O318" s="294"/>
      <c r="P318" s="404"/>
      <c r="Q318" s="404"/>
      <c r="R318" s="301"/>
      <c r="S318" s="301"/>
      <c r="T318" s="301"/>
      <c r="U318" s="301"/>
      <c r="V318" s="301"/>
    </row>
    <row r="319" spans="1:22" ht="12.6" customHeight="1" thickTop="1" thickBot="1" x14ac:dyDescent="0.3">
      <c r="A319" s="292"/>
      <c r="B319" s="293"/>
      <c r="C319" s="294"/>
      <c r="D319" s="294"/>
      <c r="E319" s="294"/>
      <c r="F319" s="310"/>
      <c r="G319" s="310"/>
      <c r="H319" s="310"/>
      <c r="I319" s="295"/>
      <c r="J319" s="295"/>
      <c r="K319" s="300">
        <f t="shared" si="19"/>
        <v>1.1000000000000001</v>
      </c>
      <c r="L319" s="300">
        <f t="shared" si="20"/>
        <v>0</v>
      </c>
      <c r="M319" s="285">
        <f t="shared" si="21"/>
        <v>0</v>
      </c>
      <c r="N319" s="1076">
        <f t="shared" si="22"/>
        <v>0</v>
      </c>
      <c r="O319" s="294"/>
      <c r="P319" s="404"/>
      <c r="Q319" s="404"/>
      <c r="R319" s="301"/>
      <c r="S319" s="301"/>
      <c r="T319" s="301"/>
      <c r="U319" s="301"/>
      <c r="V319" s="301"/>
    </row>
    <row r="320" spans="1:22" ht="12.6" customHeight="1" thickTop="1" thickBot="1" x14ac:dyDescent="0.3">
      <c r="A320" s="292"/>
      <c r="B320" s="293"/>
      <c r="C320" s="294"/>
      <c r="D320" s="294"/>
      <c r="E320" s="294"/>
      <c r="F320" s="310"/>
      <c r="G320" s="310"/>
      <c r="H320" s="310"/>
      <c r="I320" s="295"/>
      <c r="J320" s="295"/>
      <c r="K320" s="300">
        <f t="shared" si="19"/>
        <v>1.1000000000000001</v>
      </c>
      <c r="L320" s="300">
        <f t="shared" si="20"/>
        <v>0</v>
      </c>
      <c r="M320" s="285">
        <f t="shared" si="21"/>
        <v>0</v>
      </c>
      <c r="N320" s="1076">
        <f t="shared" si="22"/>
        <v>0</v>
      </c>
      <c r="O320" s="294"/>
      <c r="P320" s="404"/>
      <c r="Q320" s="404"/>
      <c r="R320" s="301"/>
      <c r="S320" s="301"/>
      <c r="T320" s="301"/>
      <c r="U320" s="301"/>
      <c r="V320" s="301"/>
    </row>
    <row r="321" spans="1:22" ht="12.6" customHeight="1" thickTop="1" thickBot="1" x14ac:dyDescent="0.3">
      <c r="A321" s="292"/>
      <c r="B321" s="293"/>
      <c r="C321" s="294"/>
      <c r="D321" s="294"/>
      <c r="E321" s="294"/>
      <c r="F321" s="310"/>
      <c r="G321" s="310"/>
      <c r="H321" s="310"/>
      <c r="I321" s="295"/>
      <c r="J321" s="295"/>
      <c r="K321" s="300">
        <f t="shared" si="19"/>
        <v>1.1000000000000001</v>
      </c>
      <c r="L321" s="300">
        <f t="shared" si="20"/>
        <v>0</v>
      </c>
      <c r="M321" s="285">
        <f t="shared" si="21"/>
        <v>0</v>
      </c>
      <c r="N321" s="1076">
        <f t="shared" si="22"/>
        <v>0</v>
      </c>
      <c r="O321" s="294"/>
      <c r="P321" s="404"/>
      <c r="Q321" s="404"/>
      <c r="R321" s="301"/>
      <c r="S321" s="301"/>
      <c r="T321" s="301"/>
      <c r="U321" s="301"/>
      <c r="V321" s="301"/>
    </row>
    <row r="322" spans="1:22" ht="12.6" customHeight="1" thickTop="1" thickBot="1" x14ac:dyDescent="0.3">
      <c r="A322" s="292"/>
      <c r="B322" s="293"/>
      <c r="C322" s="294"/>
      <c r="D322" s="294"/>
      <c r="E322" s="294"/>
      <c r="F322" s="310"/>
      <c r="G322" s="310"/>
      <c r="H322" s="310"/>
      <c r="I322" s="295"/>
      <c r="J322" s="295"/>
      <c r="K322" s="300">
        <f t="shared" si="19"/>
        <v>1.1000000000000001</v>
      </c>
      <c r="L322" s="300">
        <f t="shared" si="20"/>
        <v>0</v>
      </c>
      <c r="M322" s="285">
        <f t="shared" si="21"/>
        <v>0</v>
      </c>
      <c r="N322" s="1076">
        <f t="shared" si="22"/>
        <v>0</v>
      </c>
      <c r="O322" s="294"/>
      <c r="P322" s="404"/>
      <c r="Q322" s="404"/>
      <c r="R322" s="301"/>
      <c r="S322" s="301"/>
      <c r="T322" s="301"/>
      <c r="U322" s="301"/>
      <c r="V322" s="301"/>
    </row>
    <row r="323" spans="1:22" ht="12.6" customHeight="1" thickTop="1" thickBot="1" x14ac:dyDescent="0.3">
      <c r="A323" s="292"/>
      <c r="B323" s="293"/>
      <c r="C323" s="294"/>
      <c r="D323" s="294"/>
      <c r="E323" s="294"/>
      <c r="F323" s="310"/>
      <c r="G323" s="310"/>
      <c r="H323" s="310"/>
      <c r="I323" s="295"/>
      <c r="J323" s="295"/>
      <c r="K323" s="300">
        <f t="shared" ref="K323:K386" si="23">$K$2</f>
        <v>1.1000000000000001</v>
      </c>
      <c r="L323" s="300">
        <f t="shared" si="20"/>
        <v>0</v>
      </c>
      <c r="M323" s="285">
        <f t="shared" si="21"/>
        <v>0</v>
      </c>
      <c r="N323" s="1076">
        <f t="shared" si="22"/>
        <v>0</v>
      </c>
      <c r="O323" s="294"/>
      <c r="P323" s="404"/>
      <c r="Q323" s="404"/>
      <c r="R323" s="301"/>
      <c r="S323" s="301"/>
      <c r="T323" s="301"/>
      <c r="U323" s="301"/>
      <c r="V323" s="301"/>
    </row>
    <row r="324" spans="1:22" ht="12.6" customHeight="1" thickTop="1" thickBot="1" x14ac:dyDescent="0.3">
      <c r="A324" s="292"/>
      <c r="B324" s="293"/>
      <c r="C324" s="294"/>
      <c r="D324" s="294"/>
      <c r="E324" s="294"/>
      <c r="F324" s="310"/>
      <c r="G324" s="310"/>
      <c r="H324" s="310"/>
      <c r="I324" s="295"/>
      <c r="J324" s="295"/>
      <c r="K324" s="300">
        <f t="shared" si="23"/>
        <v>1.1000000000000001</v>
      </c>
      <c r="L324" s="300">
        <f t="shared" si="20"/>
        <v>0</v>
      </c>
      <c r="M324" s="285">
        <f t="shared" si="21"/>
        <v>0</v>
      </c>
      <c r="N324" s="1076">
        <f t="shared" si="22"/>
        <v>0</v>
      </c>
      <c r="O324" s="294"/>
      <c r="P324" s="404"/>
      <c r="Q324" s="404"/>
      <c r="R324" s="301"/>
      <c r="S324" s="301"/>
      <c r="T324" s="301"/>
      <c r="U324" s="301"/>
      <c r="V324" s="301"/>
    </row>
    <row r="325" spans="1:22" ht="12.6" customHeight="1" thickTop="1" thickBot="1" x14ac:dyDescent="0.3">
      <c r="A325" s="292"/>
      <c r="B325" s="293"/>
      <c r="C325" s="294"/>
      <c r="D325" s="294"/>
      <c r="E325" s="294"/>
      <c r="F325" s="310"/>
      <c r="G325" s="310"/>
      <c r="H325" s="310"/>
      <c r="I325" s="295"/>
      <c r="J325" s="295"/>
      <c r="K325" s="300">
        <f t="shared" si="23"/>
        <v>1.1000000000000001</v>
      </c>
      <c r="L325" s="300">
        <f t="shared" si="20"/>
        <v>0</v>
      </c>
      <c r="M325" s="285">
        <f t="shared" si="21"/>
        <v>0</v>
      </c>
      <c r="N325" s="1076">
        <f t="shared" si="22"/>
        <v>0</v>
      </c>
      <c r="O325" s="294"/>
      <c r="P325" s="404"/>
      <c r="Q325" s="404"/>
      <c r="R325" s="301"/>
      <c r="S325" s="301"/>
      <c r="T325" s="301"/>
      <c r="U325" s="301"/>
      <c r="V325" s="301"/>
    </row>
    <row r="326" spans="1:22" ht="12.6" customHeight="1" thickTop="1" thickBot="1" x14ac:dyDescent="0.3">
      <c r="A326" s="292"/>
      <c r="B326" s="293"/>
      <c r="C326" s="294"/>
      <c r="D326" s="294"/>
      <c r="E326" s="294"/>
      <c r="F326" s="310"/>
      <c r="G326" s="310"/>
      <c r="H326" s="310"/>
      <c r="I326" s="295"/>
      <c r="J326" s="295"/>
      <c r="K326" s="300">
        <f t="shared" si="23"/>
        <v>1.1000000000000001</v>
      </c>
      <c r="L326" s="300">
        <f t="shared" si="20"/>
        <v>0</v>
      </c>
      <c r="M326" s="285">
        <f t="shared" si="21"/>
        <v>0</v>
      </c>
      <c r="N326" s="1076">
        <f t="shared" si="22"/>
        <v>0</v>
      </c>
      <c r="O326" s="294"/>
      <c r="P326" s="404"/>
      <c r="Q326" s="404"/>
      <c r="R326" s="301"/>
      <c r="S326" s="301"/>
      <c r="T326" s="301"/>
      <c r="U326" s="301"/>
      <c r="V326" s="301"/>
    </row>
    <row r="327" spans="1:22" ht="12.6" customHeight="1" thickTop="1" thickBot="1" x14ac:dyDescent="0.3">
      <c r="A327" s="292"/>
      <c r="B327" s="293"/>
      <c r="C327" s="294"/>
      <c r="D327" s="294"/>
      <c r="E327" s="294"/>
      <c r="F327" s="310"/>
      <c r="G327" s="310"/>
      <c r="H327" s="310"/>
      <c r="I327" s="295"/>
      <c r="J327" s="295"/>
      <c r="K327" s="300">
        <f t="shared" si="23"/>
        <v>1.1000000000000001</v>
      </c>
      <c r="L327" s="300">
        <f t="shared" ref="L327:L390" si="24">K327*J327</f>
        <v>0</v>
      </c>
      <c r="M327" s="285">
        <f t="shared" ref="M327:M390" si="25">ROUND(L327,1)</f>
        <v>0</v>
      </c>
      <c r="N327" s="1076">
        <f t="shared" ref="N327:N390" si="26">ROUNDUP(M327,0)</f>
        <v>0</v>
      </c>
      <c r="O327" s="294"/>
      <c r="P327" s="404"/>
      <c r="Q327" s="404"/>
      <c r="R327" s="301"/>
      <c r="S327" s="301"/>
      <c r="T327" s="301"/>
      <c r="U327" s="301"/>
      <c r="V327" s="301"/>
    </row>
    <row r="328" spans="1:22" ht="12.6" customHeight="1" thickTop="1" thickBot="1" x14ac:dyDescent="0.3">
      <c r="A328" s="292"/>
      <c r="B328" s="293"/>
      <c r="C328" s="294"/>
      <c r="D328" s="294"/>
      <c r="E328" s="294"/>
      <c r="F328" s="310"/>
      <c r="G328" s="310"/>
      <c r="H328" s="310"/>
      <c r="I328" s="295"/>
      <c r="J328" s="295"/>
      <c r="K328" s="300">
        <f t="shared" si="23"/>
        <v>1.1000000000000001</v>
      </c>
      <c r="L328" s="300">
        <f t="shared" si="24"/>
        <v>0</v>
      </c>
      <c r="M328" s="285">
        <f t="shared" si="25"/>
        <v>0</v>
      </c>
      <c r="N328" s="1076">
        <f t="shared" si="26"/>
        <v>0</v>
      </c>
      <c r="O328" s="294"/>
      <c r="P328" s="404"/>
      <c r="Q328" s="404"/>
      <c r="R328" s="301"/>
      <c r="S328" s="301"/>
      <c r="T328" s="301"/>
      <c r="U328" s="301"/>
      <c r="V328" s="301"/>
    </row>
    <row r="329" spans="1:22" ht="12.6" customHeight="1" thickTop="1" thickBot="1" x14ac:dyDescent="0.3">
      <c r="A329" s="292"/>
      <c r="B329" s="293"/>
      <c r="C329" s="294"/>
      <c r="D329" s="294"/>
      <c r="E329" s="294"/>
      <c r="F329" s="310"/>
      <c r="G329" s="310"/>
      <c r="H329" s="310"/>
      <c r="I329" s="295"/>
      <c r="J329" s="295"/>
      <c r="K329" s="300">
        <f t="shared" si="23"/>
        <v>1.1000000000000001</v>
      </c>
      <c r="L329" s="300">
        <f t="shared" si="24"/>
        <v>0</v>
      </c>
      <c r="M329" s="285">
        <f t="shared" si="25"/>
        <v>0</v>
      </c>
      <c r="N329" s="1076">
        <f t="shared" si="26"/>
        <v>0</v>
      </c>
      <c r="O329" s="294"/>
      <c r="P329" s="404"/>
      <c r="Q329" s="404"/>
      <c r="R329" s="301"/>
      <c r="S329" s="301"/>
      <c r="T329" s="301"/>
      <c r="U329" s="301"/>
      <c r="V329" s="301"/>
    </row>
    <row r="330" spans="1:22" ht="12.6" customHeight="1" thickTop="1" thickBot="1" x14ac:dyDescent="0.3">
      <c r="A330" s="292"/>
      <c r="B330" s="293"/>
      <c r="C330" s="294"/>
      <c r="D330" s="294"/>
      <c r="E330" s="294"/>
      <c r="F330" s="310"/>
      <c r="G330" s="310"/>
      <c r="H330" s="310"/>
      <c r="I330" s="295"/>
      <c r="J330" s="295"/>
      <c r="K330" s="300">
        <f t="shared" si="23"/>
        <v>1.1000000000000001</v>
      </c>
      <c r="L330" s="300">
        <f t="shared" si="24"/>
        <v>0</v>
      </c>
      <c r="M330" s="285">
        <f t="shared" si="25"/>
        <v>0</v>
      </c>
      <c r="N330" s="1076">
        <f t="shared" si="26"/>
        <v>0</v>
      </c>
      <c r="O330" s="294"/>
      <c r="P330" s="404"/>
      <c r="Q330" s="404"/>
      <c r="R330" s="301"/>
      <c r="S330" s="301"/>
      <c r="T330" s="301"/>
      <c r="U330" s="301"/>
      <c r="V330" s="301"/>
    </row>
    <row r="331" spans="1:22" ht="12.6" customHeight="1" thickTop="1" thickBot="1" x14ac:dyDescent="0.3">
      <c r="A331" s="292"/>
      <c r="B331" s="293"/>
      <c r="C331" s="294"/>
      <c r="D331" s="294"/>
      <c r="E331" s="294"/>
      <c r="F331" s="310"/>
      <c r="G331" s="310"/>
      <c r="H331" s="310"/>
      <c r="I331" s="295"/>
      <c r="J331" s="295"/>
      <c r="K331" s="300">
        <f t="shared" si="23"/>
        <v>1.1000000000000001</v>
      </c>
      <c r="L331" s="300">
        <f t="shared" si="24"/>
        <v>0</v>
      </c>
      <c r="M331" s="285">
        <f t="shared" si="25"/>
        <v>0</v>
      </c>
      <c r="N331" s="1076">
        <f t="shared" si="26"/>
        <v>0</v>
      </c>
      <c r="O331" s="294"/>
      <c r="P331" s="404"/>
      <c r="Q331" s="404"/>
      <c r="R331" s="301"/>
      <c r="S331" s="301"/>
      <c r="T331" s="301"/>
      <c r="U331" s="301"/>
      <c r="V331" s="301"/>
    </row>
    <row r="332" spans="1:22" ht="12.6" customHeight="1" thickTop="1" thickBot="1" x14ac:dyDescent="0.3">
      <c r="A332" s="292"/>
      <c r="B332" s="293"/>
      <c r="C332" s="294"/>
      <c r="D332" s="294"/>
      <c r="E332" s="294"/>
      <c r="F332" s="310"/>
      <c r="G332" s="310"/>
      <c r="H332" s="310"/>
      <c r="I332" s="295"/>
      <c r="J332" s="295"/>
      <c r="K332" s="300">
        <f t="shared" si="23"/>
        <v>1.1000000000000001</v>
      </c>
      <c r="L332" s="300">
        <f t="shared" si="24"/>
        <v>0</v>
      </c>
      <c r="M332" s="285">
        <f t="shared" si="25"/>
        <v>0</v>
      </c>
      <c r="N332" s="1076">
        <f t="shared" si="26"/>
        <v>0</v>
      </c>
      <c r="O332" s="294"/>
      <c r="P332" s="404"/>
      <c r="Q332" s="404"/>
      <c r="R332" s="301"/>
      <c r="S332" s="301"/>
      <c r="T332" s="301"/>
      <c r="U332" s="301"/>
      <c r="V332" s="301"/>
    </row>
    <row r="333" spans="1:22" ht="12.6" customHeight="1" thickTop="1" thickBot="1" x14ac:dyDescent="0.3">
      <c r="A333" s="292"/>
      <c r="B333" s="293"/>
      <c r="C333" s="294"/>
      <c r="D333" s="294"/>
      <c r="E333" s="294"/>
      <c r="F333" s="310"/>
      <c r="G333" s="310"/>
      <c r="H333" s="310"/>
      <c r="I333" s="295"/>
      <c r="J333" s="295"/>
      <c r="K333" s="300">
        <f t="shared" si="23"/>
        <v>1.1000000000000001</v>
      </c>
      <c r="L333" s="300">
        <f t="shared" si="24"/>
        <v>0</v>
      </c>
      <c r="M333" s="285">
        <f t="shared" si="25"/>
        <v>0</v>
      </c>
      <c r="N333" s="1076">
        <f t="shared" si="26"/>
        <v>0</v>
      </c>
      <c r="O333" s="294"/>
      <c r="P333" s="404"/>
      <c r="Q333" s="404"/>
      <c r="R333" s="301"/>
      <c r="S333" s="301"/>
      <c r="T333" s="301"/>
      <c r="U333" s="301"/>
      <c r="V333" s="301"/>
    </row>
    <row r="334" spans="1:22" ht="12.6" customHeight="1" thickTop="1" thickBot="1" x14ac:dyDescent="0.3">
      <c r="A334" s="292"/>
      <c r="B334" s="293"/>
      <c r="C334" s="294"/>
      <c r="D334" s="294"/>
      <c r="E334" s="294"/>
      <c r="F334" s="310"/>
      <c r="G334" s="310"/>
      <c r="H334" s="310"/>
      <c r="I334" s="295"/>
      <c r="J334" s="295"/>
      <c r="K334" s="300">
        <f t="shared" si="23"/>
        <v>1.1000000000000001</v>
      </c>
      <c r="L334" s="300">
        <f t="shared" si="24"/>
        <v>0</v>
      </c>
      <c r="M334" s="285">
        <f t="shared" si="25"/>
        <v>0</v>
      </c>
      <c r="N334" s="1076">
        <f t="shared" si="26"/>
        <v>0</v>
      </c>
      <c r="O334" s="294"/>
      <c r="P334" s="404"/>
      <c r="Q334" s="404"/>
      <c r="R334" s="301"/>
      <c r="S334" s="301"/>
      <c r="T334" s="301"/>
      <c r="U334" s="301"/>
      <c r="V334" s="301"/>
    </row>
    <row r="335" spans="1:22" ht="12.6" customHeight="1" thickTop="1" thickBot="1" x14ac:dyDescent="0.3">
      <c r="A335" s="292"/>
      <c r="B335" s="293"/>
      <c r="C335" s="294"/>
      <c r="D335" s="294"/>
      <c r="E335" s="294"/>
      <c r="F335" s="310"/>
      <c r="G335" s="310"/>
      <c r="H335" s="310"/>
      <c r="I335" s="295"/>
      <c r="J335" s="295"/>
      <c r="K335" s="300">
        <f t="shared" si="23"/>
        <v>1.1000000000000001</v>
      </c>
      <c r="L335" s="300">
        <f t="shared" si="24"/>
        <v>0</v>
      </c>
      <c r="M335" s="285">
        <f t="shared" si="25"/>
        <v>0</v>
      </c>
      <c r="N335" s="1076">
        <f t="shared" si="26"/>
        <v>0</v>
      </c>
      <c r="O335" s="294"/>
      <c r="P335" s="404"/>
      <c r="Q335" s="404"/>
      <c r="R335" s="301"/>
      <c r="S335" s="301"/>
      <c r="T335" s="301"/>
      <c r="U335" s="301"/>
      <c r="V335" s="301"/>
    </row>
    <row r="336" spans="1:22" ht="12.6" customHeight="1" thickTop="1" thickBot="1" x14ac:dyDescent="0.3">
      <c r="A336" s="292"/>
      <c r="B336" s="293"/>
      <c r="C336" s="294"/>
      <c r="D336" s="294"/>
      <c r="E336" s="294"/>
      <c r="F336" s="310"/>
      <c r="G336" s="310"/>
      <c r="H336" s="310"/>
      <c r="I336" s="295"/>
      <c r="J336" s="295"/>
      <c r="K336" s="300">
        <f t="shared" si="23"/>
        <v>1.1000000000000001</v>
      </c>
      <c r="L336" s="300">
        <f t="shared" si="24"/>
        <v>0</v>
      </c>
      <c r="M336" s="285">
        <f t="shared" si="25"/>
        <v>0</v>
      </c>
      <c r="N336" s="1076">
        <f t="shared" si="26"/>
        <v>0</v>
      </c>
      <c r="O336" s="294"/>
      <c r="P336" s="404"/>
      <c r="Q336" s="404"/>
      <c r="R336" s="301"/>
      <c r="S336" s="301"/>
      <c r="T336" s="301"/>
      <c r="U336" s="301"/>
      <c r="V336" s="301"/>
    </row>
    <row r="337" spans="1:22" ht="12.6" customHeight="1" thickTop="1" thickBot="1" x14ac:dyDescent="0.3">
      <c r="A337" s="292"/>
      <c r="B337" s="293"/>
      <c r="C337" s="294"/>
      <c r="D337" s="294"/>
      <c r="E337" s="294"/>
      <c r="F337" s="310"/>
      <c r="G337" s="310"/>
      <c r="H337" s="310"/>
      <c r="I337" s="295"/>
      <c r="J337" s="295"/>
      <c r="K337" s="300">
        <f t="shared" si="23"/>
        <v>1.1000000000000001</v>
      </c>
      <c r="L337" s="300">
        <f t="shared" si="24"/>
        <v>0</v>
      </c>
      <c r="M337" s="285">
        <f t="shared" si="25"/>
        <v>0</v>
      </c>
      <c r="N337" s="1076">
        <f t="shared" si="26"/>
        <v>0</v>
      </c>
      <c r="O337" s="294"/>
      <c r="P337" s="404"/>
      <c r="Q337" s="404"/>
      <c r="R337" s="301"/>
      <c r="S337" s="301"/>
      <c r="T337" s="301"/>
      <c r="U337" s="301"/>
      <c r="V337" s="301"/>
    </row>
    <row r="338" spans="1:22" ht="12.6" customHeight="1" thickTop="1" thickBot="1" x14ac:dyDescent="0.3">
      <c r="A338" s="292"/>
      <c r="B338" s="293"/>
      <c r="C338" s="294"/>
      <c r="D338" s="294"/>
      <c r="E338" s="294"/>
      <c r="F338" s="310"/>
      <c r="G338" s="310"/>
      <c r="H338" s="310"/>
      <c r="I338" s="295"/>
      <c r="J338" s="295"/>
      <c r="K338" s="300">
        <f t="shared" si="23"/>
        <v>1.1000000000000001</v>
      </c>
      <c r="L338" s="300">
        <f t="shared" si="24"/>
        <v>0</v>
      </c>
      <c r="M338" s="285">
        <f t="shared" si="25"/>
        <v>0</v>
      </c>
      <c r="N338" s="1076">
        <f t="shared" si="26"/>
        <v>0</v>
      </c>
      <c r="O338" s="294"/>
      <c r="P338" s="404"/>
      <c r="Q338" s="404"/>
      <c r="R338" s="301"/>
      <c r="S338" s="301"/>
      <c r="T338" s="301"/>
      <c r="U338" s="301"/>
      <c r="V338" s="301"/>
    </row>
    <row r="339" spans="1:22" ht="12.6" customHeight="1" thickTop="1" thickBot="1" x14ac:dyDescent="0.3">
      <c r="A339" s="292"/>
      <c r="B339" s="293"/>
      <c r="C339" s="294"/>
      <c r="D339" s="294"/>
      <c r="E339" s="294"/>
      <c r="F339" s="310"/>
      <c r="G339" s="310"/>
      <c r="H339" s="310"/>
      <c r="I339" s="295"/>
      <c r="J339" s="295"/>
      <c r="K339" s="300">
        <f t="shared" si="23"/>
        <v>1.1000000000000001</v>
      </c>
      <c r="L339" s="300">
        <f t="shared" si="24"/>
        <v>0</v>
      </c>
      <c r="M339" s="285">
        <f t="shared" si="25"/>
        <v>0</v>
      </c>
      <c r="N339" s="1076">
        <f t="shared" si="26"/>
        <v>0</v>
      </c>
      <c r="O339" s="294"/>
      <c r="P339" s="404"/>
      <c r="Q339" s="404"/>
      <c r="R339" s="301"/>
      <c r="S339" s="301"/>
      <c r="T339" s="301"/>
      <c r="U339" s="301"/>
      <c r="V339" s="301"/>
    </row>
    <row r="340" spans="1:22" ht="12.6" customHeight="1" thickTop="1" thickBot="1" x14ac:dyDescent="0.3">
      <c r="A340" s="292"/>
      <c r="B340" s="293"/>
      <c r="C340" s="294"/>
      <c r="D340" s="294"/>
      <c r="E340" s="294"/>
      <c r="F340" s="310"/>
      <c r="G340" s="310"/>
      <c r="H340" s="310"/>
      <c r="I340" s="295"/>
      <c r="J340" s="295"/>
      <c r="K340" s="300">
        <f t="shared" si="23"/>
        <v>1.1000000000000001</v>
      </c>
      <c r="L340" s="300">
        <f t="shared" si="24"/>
        <v>0</v>
      </c>
      <c r="M340" s="285">
        <f t="shared" si="25"/>
        <v>0</v>
      </c>
      <c r="N340" s="1076">
        <f t="shared" si="26"/>
        <v>0</v>
      </c>
      <c r="O340" s="294"/>
      <c r="P340" s="404"/>
      <c r="Q340" s="404"/>
      <c r="R340" s="301"/>
      <c r="S340" s="301"/>
      <c r="T340" s="301"/>
      <c r="U340" s="301"/>
      <c r="V340" s="301"/>
    </row>
    <row r="341" spans="1:22" ht="12.6" customHeight="1" thickTop="1" thickBot="1" x14ac:dyDescent="0.3">
      <c r="A341" s="292"/>
      <c r="B341" s="293"/>
      <c r="C341" s="294"/>
      <c r="D341" s="294"/>
      <c r="E341" s="294"/>
      <c r="F341" s="310"/>
      <c r="G341" s="310"/>
      <c r="H341" s="310"/>
      <c r="I341" s="295"/>
      <c r="J341" s="295"/>
      <c r="K341" s="300">
        <f t="shared" si="23"/>
        <v>1.1000000000000001</v>
      </c>
      <c r="L341" s="300">
        <f t="shared" si="24"/>
        <v>0</v>
      </c>
      <c r="M341" s="285">
        <f t="shared" si="25"/>
        <v>0</v>
      </c>
      <c r="N341" s="1076">
        <f t="shared" si="26"/>
        <v>0</v>
      </c>
      <c r="O341" s="294"/>
      <c r="P341" s="404"/>
      <c r="Q341" s="404"/>
      <c r="R341" s="301"/>
      <c r="S341" s="301"/>
      <c r="T341" s="301"/>
      <c r="U341" s="301"/>
      <c r="V341" s="301"/>
    </row>
    <row r="342" spans="1:22" ht="12.6" customHeight="1" thickTop="1" thickBot="1" x14ac:dyDescent="0.3">
      <c r="A342" s="292"/>
      <c r="B342" s="293"/>
      <c r="C342" s="294"/>
      <c r="D342" s="294"/>
      <c r="E342" s="294"/>
      <c r="F342" s="310"/>
      <c r="G342" s="310"/>
      <c r="H342" s="310"/>
      <c r="I342" s="295"/>
      <c r="J342" s="295"/>
      <c r="K342" s="300">
        <f t="shared" si="23"/>
        <v>1.1000000000000001</v>
      </c>
      <c r="L342" s="300">
        <f t="shared" si="24"/>
        <v>0</v>
      </c>
      <c r="M342" s="285">
        <f t="shared" si="25"/>
        <v>0</v>
      </c>
      <c r="N342" s="1076">
        <f t="shared" si="26"/>
        <v>0</v>
      </c>
      <c r="O342" s="294"/>
      <c r="P342" s="404"/>
      <c r="Q342" s="404"/>
      <c r="R342" s="301"/>
      <c r="S342" s="301"/>
      <c r="T342" s="301"/>
      <c r="U342" s="301"/>
      <c r="V342" s="301"/>
    </row>
    <row r="343" spans="1:22" ht="12.6" customHeight="1" thickTop="1" thickBot="1" x14ac:dyDescent="0.3">
      <c r="A343" s="292"/>
      <c r="B343" s="293"/>
      <c r="C343" s="294"/>
      <c r="D343" s="294"/>
      <c r="E343" s="294"/>
      <c r="F343" s="310"/>
      <c r="G343" s="310"/>
      <c r="H343" s="310"/>
      <c r="I343" s="295"/>
      <c r="J343" s="295"/>
      <c r="K343" s="300">
        <f t="shared" si="23"/>
        <v>1.1000000000000001</v>
      </c>
      <c r="L343" s="300">
        <f t="shared" si="24"/>
        <v>0</v>
      </c>
      <c r="M343" s="285">
        <f t="shared" si="25"/>
        <v>0</v>
      </c>
      <c r="N343" s="1076">
        <f t="shared" si="26"/>
        <v>0</v>
      </c>
      <c r="O343" s="294"/>
      <c r="P343" s="404"/>
      <c r="Q343" s="404"/>
      <c r="R343" s="301"/>
      <c r="S343" s="301"/>
      <c r="T343" s="301"/>
      <c r="U343" s="301"/>
      <c r="V343" s="301"/>
    </row>
    <row r="344" spans="1:22" ht="12.6" customHeight="1" thickTop="1" thickBot="1" x14ac:dyDescent="0.3">
      <c r="A344" s="292"/>
      <c r="B344" s="293"/>
      <c r="C344" s="294"/>
      <c r="D344" s="294"/>
      <c r="E344" s="294"/>
      <c r="F344" s="310"/>
      <c r="G344" s="310"/>
      <c r="H344" s="310"/>
      <c r="I344" s="295"/>
      <c r="J344" s="295"/>
      <c r="K344" s="300">
        <f t="shared" si="23"/>
        <v>1.1000000000000001</v>
      </c>
      <c r="L344" s="300">
        <f t="shared" si="24"/>
        <v>0</v>
      </c>
      <c r="M344" s="285">
        <f t="shared" si="25"/>
        <v>0</v>
      </c>
      <c r="N344" s="1076">
        <f t="shared" si="26"/>
        <v>0</v>
      </c>
      <c r="O344" s="294"/>
      <c r="P344" s="404"/>
      <c r="Q344" s="404"/>
      <c r="R344" s="301"/>
      <c r="S344" s="301"/>
      <c r="T344" s="301"/>
      <c r="U344" s="301"/>
      <c r="V344" s="301"/>
    </row>
    <row r="345" spans="1:22" ht="12.6" customHeight="1" thickTop="1" thickBot="1" x14ac:dyDescent="0.3">
      <c r="A345" s="292"/>
      <c r="B345" s="293"/>
      <c r="C345" s="294"/>
      <c r="D345" s="294"/>
      <c r="E345" s="294"/>
      <c r="F345" s="310"/>
      <c r="G345" s="310"/>
      <c r="H345" s="310"/>
      <c r="I345" s="295"/>
      <c r="J345" s="295"/>
      <c r="K345" s="300">
        <f t="shared" si="23"/>
        <v>1.1000000000000001</v>
      </c>
      <c r="L345" s="300">
        <f t="shared" si="24"/>
        <v>0</v>
      </c>
      <c r="M345" s="285">
        <f t="shared" si="25"/>
        <v>0</v>
      </c>
      <c r="N345" s="1076">
        <f t="shared" si="26"/>
        <v>0</v>
      </c>
      <c r="O345" s="294"/>
      <c r="P345" s="404"/>
      <c r="Q345" s="404"/>
      <c r="R345" s="301"/>
      <c r="S345" s="301"/>
      <c r="T345" s="301"/>
      <c r="U345" s="301"/>
      <c r="V345" s="301"/>
    </row>
    <row r="346" spans="1:22" ht="12.6" customHeight="1" thickTop="1" thickBot="1" x14ac:dyDescent="0.3">
      <c r="A346" s="292"/>
      <c r="B346" s="293"/>
      <c r="C346" s="294"/>
      <c r="D346" s="294"/>
      <c r="E346" s="294"/>
      <c r="F346" s="310"/>
      <c r="G346" s="310"/>
      <c r="H346" s="310"/>
      <c r="I346" s="295"/>
      <c r="J346" s="295"/>
      <c r="K346" s="300">
        <f t="shared" si="23"/>
        <v>1.1000000000000001</v>
      </c>
      <c r="L346" s="300">
        <f t="shared" si="24"/>
        <v>0</v>
      </c>
      <c r="M346" s="285">
        <f t="shared" si="25"/>
        <v>0</v>
      </c>
      <c r="N346" s="1076">
        <f t="shared" si="26"/>
        <v>0</v>
      </c>
      <c r="O346" s="294"/>
      <c r="P346" s="404"/>
      <c r="Q346" s="404"/>
      <c r="R346" s="301"/>
      <c r="S346" s="301"/>
      <c r="T346" s="301"/>
      <c r="U346" s="301"/>
      <c r="V346" s="301"/>
    </row>
    <row r="347" spans="1:22" ht="12.6" customHeight="1" thickTop="1" thickBot="1" x14ac:dyDescent="0.3">
      <c r="A347" s="292"/>
      <c r="B347" s="293"/>
      <c r="C347" s="294"/>
      <c r="D347" s="294"/>
      <c r="E347" s="294"/>
      <c r="F347" s="310"/>
      <c r="G347" s="310"/>
      <c r="H347" s="310"/>
      <c r="I347" s="295"/>
      <c r="J347" s="295"/>
      <c r="K347" s="300">
        <f t="shared" si="23"/>
        <v>1.1000000000000001</v>
      </c>
      <c r="L347" s="300">
        <f t="shared" si="24"/>
        <v>0</v>
      </c>
      <c r="M347" s="285">
        <f t="shared" si="25"/>
        <v>0</v>
      </c>
      <c r="N347" s="1076">
        <f t="shared" si="26"/>
        <v>0</v>
      </c>
      <c r="O347" s="294"/>
      <c r="P347" s="404"/>
      <c r="Q347" s="404"/>
      <c r="R347" s="301"/>
      <c r="S347" s="301"/>
      <c r="T347" s="301"/>
      <c r="U347" s="301"/>
      <c r="V347" s="301"/>
    </row>
    <row r="348" spans="1:22" ht="12.6" customHeight="1" thickTop="1" thickBot="1" x14ac:dyDescent="0.3">
      <c r="A348" s="292"/>
      <c r="B348" s="293"/>
      <c r="C348" s="294"/>
      <c r="D348" s="294"/>
      <c r="E348" s="294"/>
      <c r="F348" s="310"/>
      <c r="G348" s="310"/>
      <c r="H348" s="310"/>
      <c r="I348" s="295"/>
      <c r="J348" s="295"/>
      <c r="K348" s="300">
        <f t="shared" si="23"/>
        <v>1.1000000000000001</v>
      </c>
      <c r="L348" s="300">
        <f t="shared" si="24"/>
        <v>0</v>
      </c>
      <c r="M348" s="285">
        <f t="shared" si="25"/>
        <v>0</v>
      </c>
      <c r="N348" s="1076">
        <f t="shared" si="26"/>
        <v>0</v>
      </c>
      <c r="O348" s="294"/>
      <c r="P348" s="404"/>
      <c r="Q348" s="404"/>
      <c r="R348" s="301"/>
      <c r="S348" s="301"/>
      <c r="T348" s="301"/>
      <c r="U348" s="301"/>
      <c r="V348" s="301"/>
    </row>
    <row r="349" spans="1:22" ht="12.6" customHeight="1" thickTop="1" thickBot="1" x14ac:dyDescent="0.3">
      <c r="A349" s="292"/>
      <c r="B349" s="293"/>
      <c r="C349" s="294"/>
      <c r="D349" s="294"/>
      <c r="E349" s="294"/>
      <c r="F349" s="310"/>
      <c r="G349" s="310"/>
      <c r="H349" s="310"/>
      <c r="I349" s="295"/>
      <c r="J349" s="295"/>
      <c r="K349" s="300">
        <f t="shared" si="23"/>
        <v>1.1000000000000001</v>
      </c>
      <c r="L349" s="300">
        <f t="shared" si="24"/>
        <v>0</v>
      </c>
      <c r="M349" s="285">
        <f t="shared" si="25"/>
        <v>0</v>
      </c>
      <c r="N349" s="1076">
        <f t="shared" si="26"/>
        <v>0</v>
      </c>
      <c r="O349" s="294"/>
      <c r="P349" s="404"/>
      <c r="Q349" s="404"/>
      <c r="R349" s="301"/>
      <c r="S349" s="301"/>
      <c r="T349" s="301"/>
      <c r="U349" s="301"/>
      <c r="V349" s="301"/>
    </row>
    <row r="350" spans="1:22" ht="12.6" customHeight="1" thickTop="1" thickBot="1" x14ac:dyDescent="0.3">
      <c r="A350" s="292"/>
      <c r="B350" s="293"/>
      <c r="C350" s="294"/>
      <c r="D350" s="294"/>
      <c r="E350" s="294"/>
      <c r="F350" s="310"/>
      <c r="G350" s="310"/>
      <c r="H350" s="310"/>
      <c r="I350" s="295"/>
      <c r="J350" s="295"/>
      <c r="K350" s="300">
        <f t="shared" si="23"/>
        <v>1.1000000000000001</v>
      </c>
      <c r="L350" s="300">
        <f t="shared" si="24"/>
        <v>0</v>
      </c>
      <c r="M350" s="285">
        <f t="shared" si="25"/>
        <v>0</v>
      </c>
      <c r="N350" s="1076">
        <f t="shared" si="26"/>
        <v>0</v>
      </c>
      <c r="O350" s="294"/>
      <c r="P350" s="404"/>
      <c r="Q350" s="404"/>
      <c r="R350" s="301"/>
      <c r="S350" s="301"/>
      <c r="T350" s="301"/>
      <c r="U350" s="301"/>
      <c r="V350" s="301"/>
    </row>
    <row r="351" spans="1:22" ht="12.6" customHeight="1" thickTop="1" thickBot="1" x14ac:dyDescent="0.3">
      <c r="A351" s="292"/>
      <c r="B351" s="293"/>
      <c r="C351" s="294"/>
      <c r="D351" s="294"/>
      <c r="E351" s="294"/>
      <c r="F351" s="310"/>
      <c r="G351" s="310"/>
      <c r="H351" s="310"/>
      <c r="I351" s="295"/>
      <c r="J351" s="295"/>
      <c r="K351" s="300">
        <f t="shared" si="23"/>
        <v>1.1000000000000001</v>
      </c>
      <c r="L351" s="300">
        <f t="shared" si="24"/>
        <v>0</v>
      </c>
      <c r="M351" s="285">
        <f t="shared" si="25"/>
        <v>0</v>
      </c>
      <c r="N351" s="1076">
        <f t="shared" si="26"/>
        <v>0</v>
      </c>
      <c r="O351" s="294"/>
      <c r="P351" s="404"/>
      <c r="Q351" s="404"/>
      <c r="R351" s="301"/>
      <c r="S351" s="301"/>
      <c r="T351" s="301"/>
      <c r="U351" s="301"/>
      <c r="V351" s="301"/>
    </row>
    <row r="352" spans="1:22" ht="12.6" customHeight="1" thickTop="1" thickBot="1" x14ac:dyDescent="0.3">
      <c r="A352" s="292"/>
      <c r="B352" s="293"/>
      <c r="C352" s="294"/>
      <c r="D352" s="294"/>
      <c r="E352" s="294"/>
      <c r="F352" s="310"/>
      <c r="G352" s="310"/>
      <c r="H352" s="310"/>
      <c r="I352" s="295"/>
      <c r="J352" s="295"/>
      <c r="K352" s="300">
        <f t="shared" si="23"/>
        <v>1.1000000000000001</v>
      </c>
      <c r="L352" s="300">
        <f t="shared" si="24"/>
        <v>0</v>
      </c>
      <c r="M352" s="285">
        <f t="shared" si="25"/>
        <v>0</v>
      </c>
      <c r="N352" s="1076">
        <f t="shared" si="26"/>
        <v>0</v>
      </c>
      <c r="O352" s="294"/>
      <c r="P352" s="404"/>
      <c r="Q352" s="404"/>
      <c r="R352" s="301"/>
      <c r="S352" s="301"/>
      <c r="T352" s="301"/>
      <c r="U352" s="301"/>
      <c r="V352" s="301"/>
    </row>
    <row r="353" spans="1:22" ht="12.6" customHeight="1" thickTop="1" thickBot="1" x14ac:dyDescent="0.3">
      <c r="A353" s="292"/>
      <c r="B353" s="293"/>
      <c r="C353" s="294"/>
      <c r="D353" s="294"/>
      <c r="E353" s="294"/>
      <c r="F353" s="310"/>
      <c r="G353" s="310"/>
      <c r="H353" s="310"/>
      <c r="I353" s="295"/>
      <c r="J353" s="295"/>
      <c r="K353" s="300">
        <f t="shared" si="23"/>
        <v>1.1000000000000001</v>
      </c>
      <c r="L353" s="300">
        <f t="shared" si="24"/>
        <v>0</v>
      </c>
      <c r="M353" s="285">
        <f t="shared" si="25"/>
        <v>0</v>
      </c>
      <c r="N353" s="1076">
        <f t="shared" si="26"/>
        <v>0</v>
      </c>
      <c r="O353" s="294"/>
      <c r="P353" s="404"/>
      <c r="Q353" s="404"/>
      <c r="R353" s="301"/>
      <c r="S353" s="301"/>
      <c r="T353" s="301"/>
      <c r="U353" s="301"/>
      <c r="V353" s="301"/>
    </row>
    <row r="354" spans="1:22" ht="12.6" customHeight="1" thickTop="1" thickBot="1" x14ac:dyDescent="0.3">
      <c r="A354" s="292"/>
      <c r="B354" s="293"/>
      <c r="C354" s="294"/>
      <c r="D354" s="294"/>
      <c r="E354" s="294"/>
      <c r="F354" s="310"/>
      <c r="G354" s="310"/>
      <c r="H354" s="310"/>
      <c r="I354" s="295"/>
      <c r="J354" s="295"/>
      <c r="K354" s="300">
        <f t="shared" si="23"/>
        <v>1.1000000000000001</v>
      </c>
      <c r="L354" s="300">
        <f t="shared" si="24"/>
        <v>0</v>
      </c>
      <c r="M354" s="285">
        <f t="shared" si="25"/>
        <v>0</v>
      </c>
      <c r="N354" s="1076">
        <f t="shared" si="26"/>
        <v>0</v>
      </c>
      <c r="O354" s="294"/>
      <c r="P354" s="404"/>
      <c r="Q354" s="404"/>
      <c r="R354" s="301"/>
      <c r="S354" s="301"/>
      <c r="T354" s="301"/>
      <c r="U354" s="301"/>
      <c r="V354" s="301"/>
    </row>
    <row r="355" spans="1:22" ht="12.6" customHeight="1" thickTop="1" thickBot="1" x14ac:dyDescent="0.3">
      <c r="A355" s="292"/>
      <c r="B355" s="293"/>
      <c r="C355" s="294"/>
      <c r="D355" s="294"/>
      <c r="E355" s="294"/>
      <c r="F355" s="310"/>
      <c r="G355" s="310"/>
      <c r="H355" s="310"/>
      <c r="I355" s="295"/>
      <c r="J355" s="295"/>
      <c r="K355" s="300">
        <f t="shared" si="23"/>
        <v>1.1000000000000001</v>
      </c>
      <c r="L355" s="300">
        <f t="shared" si="24"/>
        <v>0</v>
      </c>
      <c r="M355" s="285">
        <f t="shared" si="25"/>
        <v>0</v>
      </c>
      <c r="N355" s="1076">
        <f t="shared" si="26"/>
        <v>0</v>
      </c>
      <c r="O355" s="294"/>
      <c r="P355" s="404"/>
      <c r="Q355" s="404"/>
      <c r="R355" s="301"/>
      <c r="S355" s="301"/>
      <c r="T355" s="301"/>
      <c r="U355" s="301"/>
      <c r="V355" s="301"/>
    </row>
    <row r="356" spans="1:22" ht="12.6" customHeight="1" thickTop="1" thickBot="1" x14ac:dyDescent="0.3">
      <c r="A356" s="292"/>
      <c r="B356" s="293"/>
      <c r="C356" s="294"/>
      <c r="D356" s="294"/>
      <c r="E356" s="294"/>
      <c r="F356" s="310"/>
      <c r="G356" s="310"/>
      <c r="H356" s="310"/>
      <c r="I356" s="295"/>
      <c r="J356" s="295"/>
      <c r="K356" s="300">
        <f t="shared" si="23"/>
        <v>1.1000000000000001</v>
      </c>
      <c r="L356" s="300">
        <f t="shared" si="24"/>
        <v>0</v>
      </c>
      <c r="M356" s="285">
        <f t="shared" si="25"/>
        <v>0</v>
      </c>
      <c r="N356" s="1076">
        <f t="shared" si="26"/>
        <v>0</v>
      </c>
      <c r="O356" s="294"/>
      <c r="P356" s="404"/>
      <c r="Q356" s="404"/>
      <c r="R356" s="301"/>
      <c r="S356" s="301"/>
      <c r="T356" s="301"/>
      <c r="U356" s="301"/>
      <c r="V356" s="301"/>
    </row>
    <row r="357" spans="1:22" ht="12.6" customHeight="1" thickTop="1" thickBot="1" x14ac:dyDescent="0.3">
      <c r="A357" s="292"/>
      <c r="B357" s="293"/>
      <c r="C357" s="294"/>
      <c r="D357" s="294"/>
      <c r="E357" s="294"/>
      <c r="F357" s="310"/>
      <c r="G357" s="310"/>
      <c r="H357" s="310"/>
      <c r="I357" s="295"/>
      <c r="J357" s="295"/>
      <c r="K357" s="300">
        <f t="shared" si="23"/>
        <v>1.1000000000000001</v>
      </c>
      <c r="L357" s="300">
        <f t="shared" si="24"/>
        <v>0</v>
      </c>
      <c r="M357" s="285">
        <f t="shared" si="25"/>
        <v>0</v>
      </c>
      <c r="N357" s="1076">
        <f t="shared" si="26"/>
        <v>0</v>
      </c>
      <c r="O357" s="294"/>
      <c r="P357" s="404"/>
      <c r="Q357" s="404"/>
      <c r="R357" s="301"/>
      <c r="S357" s="301"/>
      <c r="T357" s="301"/>
      <c r="U357" s="301"/>
      <c r="V357" s="301"/>
    </row>
    <row r="358" spans="1:22" ht="12.6" customHeight="1" thickTop="1" thickBot="1" x14ac:dyDescent="0.3">
      <c r="A358" s="292"/>
      <c r="B358" s="293"/>
      <c r="C358" s="294"/>
      <c r="D358" s="294"/>
      <c r="E358" s="294"/>
      <c r="F358" s="310"/>
      <c r="G358" s="310"/>
      <c r="H358" s="310"/>
      <c r="I358" s="295"/>
      <c r="J358" s="295"/>
      <c r="K358" s="300">
        <f t="shared" si="23"/>
        <v>1.1000000000000001</v>
      </c>
      <c r="L358" s="300">
        <f t="shared" si="24"/>
        <v>0</v>
      </c>
      <c r="M358" s="285">
        <f t="shared" si="25"/>
        <v>0</v>
      </c>
      <c r="N358" s="1076">
        <f t="shared" si="26"/>
        <v>0</v>
      </c>
      <c r="O358" s="294"/>
      <c r="P358" s="404"/>
      <c r="Q358" s="404"/>
      <c r="R358" s="301"/>
      <c r="S358" s="301"/>
      <c r="T358" s="301"/>
      <c r="U358" s="301"/>
      <c r="V358" s="301"/>
    </row>
    <row r="359" spans="1:22" ht="12.6" customHeight="1" thickTop="1" thickBot="1" x14ac:dyDescent="0.3">
      <c r="A359" s="292"/>
      <c r="B359" s="293"/>
      <c r="C359" s="294"/>
      <c r="D359" s="294"/>
      <c r="E359" s="294"/>
      <c r="F359" s="310"/>
      <c r="G359" s="310"/>
      <c r="H359" s="310"/>
      <c r="I359" s="295"/>
      <c r="J359" s="295"/>
      <c r="K359" s="300">
        <f t="shared" si="23"/>
        <v>1.1000000000000001</v>
      </c>
      <c r="L359" s="300">
        <f t="shared" si="24"/>
        <v>0</v>
      </c>
      <c r="M359" s="285">
        <f t="shared" si="25"/>
        <v>0</v>
      </c>
      <c r="N359" s="1076">
        <f t="shared" si="26"/>
        <v>0</v>
      </c>
      <c r="O359" s="294"/>
      <c r="P359" s="404"/>
      <c r="Q359" s="404"/>
      <c r="R359" s="301"/>
      <c r="S359" s="301"/>
      <c r="T359" s="301"/>
      <c r="U359" s="301"/>
      <c r="V359" s="301"/>
    </row>
    <row r="360" spans="1:22" ht="12.6" customHeight="1" thickTop="1" thickBot="1" x14ac:dyDescent="0.3">
      <c r="A360" s="292"/>
      <c r="B360" s="293"/>
      <c r="C360" s="294"/>
      <c r="D360" s="294"/>
      <c r="E360" s="294"/>
      <c r="F360" s="310"/>
      <c r="G360" s="310"/>
      <c r="H360" s="310"/>
      <c r="I360" s="295"/>
      <c r="J360" s="295"/>
      <c r="K360" s="300">
        <f t="shared" si="23"/>
        <v>1.1000000000000001</v>
      </c>
      <c r="L360" s="300">
        <f t="shared" si="24"/>
        <v>0</v>
      </c>
      <c r="M360" s="285">
        <f t="shared" si="25"/>
        <v>0</v>
      </c>
      <c r="N360" s="1076">
        <f t="shared" si="26"/>
        <v>0</v>
      </c>
      <c r="O360" s="294"/>
      <c r="P360" s="404"/>
      <c r="Q360" s="404"/>
      <c r="R360" s="301"/>
      <c r="S360" s="301"/>
      <c r="T360" s="301"/>
      <c r="U360" s="301"/>
      <c r="V360" s="301"/>
    </row>
    <row r="361" spans="1:22" ht="12.6" customHeight="1" thickTop="1" thickBot="1" x14ac:dyDescent="0.3">
      <c r="A361" s="292"/>
      <c r="B361" s="293"/>
      <c r="C361" s="294"/>
      <c r="D361" s="294"/>
      <c r="E361" s="294"/>
      <c r="F361" s="310"/>
      <c r="G361" s="310"/>
      <c r="H361" s="310"/>
      <c r="I361" s="295"/>
      <c r="J361" s="295"/>
      <c r="K361" s="300">
        <f t="shared" si="23"/>
        <v>1.1000000000000001</v>
      </c>
      <c r="L361" s="300">
        <f t="shared" si="24"/>
        <v>0</v>
      </c>
      <c r="M361" s="285">
        <f t="shared" si="25"/>
        <v>0</v>
      </c>
      <c r="N361" s="1076">
        <f t="shared" si="26"/>
        <v>0</v>
      </c>
      <c r="O361" s="294"/>
      <c r="P361" s="404"/>
      <c r="Q361" s="404"/>
      <c r="R361" s="301"/>
      <c r="S361" s="301"/>
      <c r="T361" s="301"/>
      <c r="U361" s="301"/>
      <c r="V361" s="301"/>
    </row>
    <row r="362" spans="1:22" ht="12.6" customHeight="1" thickTop="1" thickBot="1" x14ac:dyDescent="0.3">
      <c r="A362" s="292"/>
      <c r="B362" s="293"/>
      <c r="C362" s="294"/>
      <c r="D362" s="294"/>
      <c r="E362" s="294"/>
      <c r="F362" s="310"/>
      <c r="G362" s="310"/>
      <c r="H362" s="310"/>
      <c r="I362" s="295"/>
      <c r="J362" s="295"/>
      <c r="K362" s="300">
        <f t="shared" si="23"/>
        <v>1.1000000000000001</v>
      </c>
      <c r="L362" s="300">
        <f t="shared" si="24"/>
        <v>0</v>
      </c>
      <c r="M362" s="285">
        <f t="shared" si="25"/>
        <v>0</v>
      </c>
      <c r="N362" s="1076">
        <f t="shared" si="26"/>
        <v>0</v>
      </c>
      <c r="O362" s="294"/>
      <c r="P362" s="404"/>
      <c r="Q362" s="404"/>
      <c r="R362" s="301"/>
      <c r="S362" s="301"/>
      <c r="T362" s="301"/>
      <c r="U362" s="301"/>
      <c r="V362" s="301"/>
    </row>
    <row r="363" spans="1:22" ht="12.6" customHeight="1" thickTop="1" thickBot="1" x14ac:dyDescent="0.3">
      <c r="A363" s="292"/>
      <c r="B363" s="293"/>
      <c r="C363" s="294"/>
      <c r="D363" s="294"/>
      <c r="E363" s="294"/>
      <c r="F363" s="310"/>
      <c r="G363" s="310"/>
      <c r="H363" s="310"/>
      <c r="I363" s="295"/>
      <c r="J363" s="295"/>
      <c r="K363" s="300">
        <f t="shared" si="23"/>
        <v>1.1000000000000001</v>
      </c>
      <c r="L363" s="300">
        <f t="shared" si="24"/>
        <v>0</v>
      </c>
      <c r="M363" s="285">
        <f t="shared" si="25"/>
        <v>0</v>
      </c>
      <c r="N363" s="1076">
        <f t="shared" si="26"/>
        <v>0</v>
      </c>
      <c r="O363" s="294"/>
      <c r="P363" s="404"/>
      <c r="Q363" s="404"/>
      <c r="R363" s="301"/>
      <c r="S363" s="301"/>
      <c r="T363" s="301"/>
      <c r="U363" s="301"/>
      <c r="V363" s="301"/>
    </row>
    <row r="364" spans="1:22" ht="12.6" customHeight="1" thickTop="1" thickBot="1" x14ac:dyDescent="0.3">
      <c r="A364" s="292"/>
      <c r="B364" s="293"/>
      <c r="C364" s="294"/>
      <c r="D364" s="294"/>
      <c r="E364" s="294"/>
      <c r="F364" s="310"/>
      <c r="G364" s="310"/>
      <c r="H364" s="310"/>
      <c r="I364" s="295"/>
      <c r="J364" s="295"/>
      <c r="K364" s="300">
        <f t="shared" si="23"/>
        <v>1.1000000000000001</v>
      </c>
      <c r="L364" s="300">
        <f t="shared" si="24"/>
        <v>0</v>
      </c>
      <c r="M364" s="285">
        <f t="shared" si="25"/>
        <v>0</v>
      </c>
      <c r="N364" s="1076">
        <f t="shared" si="26"/>
        <v>0</v>
      </c>
      <c r="O364" s="294"/>
      <c r="P364" s="404"/>
      <c r="Q364" s="404"/>
      <c r="R364" s="301"/>
      <c r="S364" s="301"/>
      <c r="T364" s="301"/>
      <c r="U364" s="301"/>
      <c r="V364" s="301"/>
    </row>
    <row r="365" spans="1:22" ht="12.6" customHeight="1" thickTop="1" thickBot="1" x14ac:dyDescent="0.3">
      <c r="A365" s="292"/>
      <c r="B365" s="293"/>
      <c r="C365" s="294"/>
      <c r="D365" s="294"/>
      <c r="E365" s="294"/>
      <c r="F365" s="310"/>
      <c r="G365" s="310"/>
      <c r="H365" s="310"/>
      <c r="I365" s="295"/>
      <c r="J365" s="295"/>
      <c r="K365" s="300">
        <f t="shared" si="23"/>
        <v>1.1000000000000001</v>
      </c>
      <c r="L365" s="300">
        <f t="shared" si="24"/>
        <v>0</v>
      </c>
      <c r="M365" s="285">
        <f t="shared" si="25"/>
        <v>0</v>
      </c>
      <c r="N365" s="1076">
        <f t="shared" si="26"/>
        <v>0</v>
      </c>
      <c r="O365" s="294"/>
      <c r="P365" s="404"/>
      <c r="Q365" s="404"/>
      <c r="R365" s="301"/>
      <c r="S365" s="301"/>
      <c r="T365" s="301"/>
      <c r="U365" s="301"/>
      <c r="V365" s="301"/>
    </row>
    <row r="366" spans="1:22" ht="12.6" customHeight="1" thickTop="1" thickBot="1" x14ac:dyDescent="0.3">
      <c r="A366" s="292"/>
      <c r="B366" s="293"/>
      <c r="C366" s="294"/>
      <c r="D366" s="294"/>
      <c r="E366" s="294"/>
      <c r="F366" s="310"/>
      <c r="G366" s="310"/>
      <c r="H366" s="310"/>
      <c r="I366" s="295"/>
      <c r="J366" s="295"/>
      <c r="K366" s="300">
        <f t="shared" si="23"/>
        <v>1.1000000000000001</v>
      </c>
      <c r="L366" s="300">
        <f t="shared" si="24"/>
        <v>0</v>
      </c>
      <c r="M366" s="285">
        <f t="shared" si="25"/>
        <v>0</v>
      </c>
      <c r="N366" s="1076">
        <f t="shared" si="26"/>
        <v>0</v>
      </c>
      <c r="O366" s="294"/>
      <c r="P366" s="404"/>
      <c r="Q366" s="404"/>
      <c r="R366" s="301"/>
      <c r="S366" s="301"/>
      <c r="T366" s="301"/>
      <c r="U366" s="301"/>
      <c r="V366" s="301"/>
    </row>
    <row r="367" spans="1:22" ht="12.6" customHeight="1" thickTop="1" thickBot="1" x14ac:dyDescent="0.3">
      <c r="A367" s="292"/>
      <c r="B367" s="293"/>
      <c r="C367" s="294"/>
      <c r="D367" s="294"/>
      <c r="E367" s="294"/>
      <c r="F367" s="310"/>
      <c r="G367" s="310"/>
      <c r="H367" s="310"/>
      <c r="I367" s="295"/>
      <c r="J367" s="295"/>
      <c r="K367" s="300">
        <f t="shared" si="23"/>
        <v>1.1000000000000001</v>
      </c>
      <c r="L367" s="300">
        <f t="shared" si="24"/>
        <v>0</v>
      </c>
      <c r="M367" s="285">
        <f t="shared" si="25"/>
        <v>0</v>
      </c>
      <c r="N367" s="1076">
        <f t="shared" si="26"/>
        <v>0</v>
      </c>
      <c r="O367" s="294"/>
      <c r="P367" s="404"/>
      <c r="Q367" s="404"/>
      <c r="R367" s="301"/>
      <c r="S367" s="301"/>
      <c r="T367" s="301"/>
      <c r="U367" s="301"/>
      <c r="V367" s="301"/>
    </row>
    <row r="368" spans="1:22" ht="12.6" customHeight="1" thickTop="1" thickBot="1" x14ac:dyDescent="0.3">
      <c r="A368" s="292"/>
      <c r="B368" s="293"/>
      <c r="C368" s="294"/>
      <c r="D368" s="294"/>
      <c r="E368" s="294"/>
      <c r="F368" s="310"/>
      <c r="G368" s="310"/>
      <c r="H368" s="310"/>
      <c r="I368" s="295"/>
      <c r="J368" s="295"/>
      <c r="K368" s="300">
        <f t="shared" si="23"/>
        <v>1.1000000000000001</v>
      </c>
      <c r="L368" s="300">
        <f t="shared" si="24"/>
        <v>0</v>
      </c>
      <c r="M368" s="285">
        <f t="shared" si="25"/>
        <v>0</v>
      </c>
      <c r="N368" s="1076">
        <f t="shared" si="26"/>
        <v>0</v>
      </c>
      <c r="O368" s="294"/>
      <c r="P368" s="404"/>
      <c r="Q368" s="404"/>
      <c r="R368" s="301"/>
      <c r="S368" s="301"/>
      <c r="T368" s="301"/>
      <c r="U368" s="301"/>
      <c r="V368" s="301"/>
    </row>
    <row r="369" spans="1:22" ht="12.6" customHeight="1" thickTop="1" thickBot="1" x14ac:dyDescent="0.3">
      <c r="A369" s="292"/>
      <c r="B369" s="293"/>
      <c r="C369" s="294"/>
      <c r="D369" s="294"/>
      <c r="E369" s="294"/>
      <c r="F369" s="310"/>
      <c r="G369" s="310"/>
      <c r="H369" s="310"/>
      <c r="I369" s="295"/>
      <c r="J369" s="295"/>
      <c r="K369" s="300">
        <f t="shared" si="23"/>
        <v>1.1000000000000001</v>
      </c>
      <c r="L369" s="300">
        <f t="shared" si="24"/>
        <v>0</v>
      </c>
      <c r="M369" s="285">
        <f t="shared" si="25"/>
        <v>0</v>
      </c>
      <c r="N369" s="1076">
        <f t="shared" si="26"/>
        <v>0</v>
      </c>
      <c r="O369" s="294"/>
      <c r="P369" s="404"/>
      <c r="Q369" s="404"/>
      <c r="R369" s="301"/>
      <c r="S369" s="301"/>
      <c r="T369" s="301"/>
      <c r="U369" s="301"/>
      <c r="V369" s="301"/>
    </row>
    <row r="370" spans="1:22" ht="12.6" customHeight="1" thickTop="1" thickBot="1" x14ac:dyDescent="0.3">
      <c r="A370" s="292"/>
      <c r="B370" s="293"/>
      <c r="C370" s="294"/>
      <c r="D370" s="294"/>
      <c r="E370" s="294"/>
      <c r="F370" s="310"/>
      <c r="G370" s="310"/>
      <c r="H370" s="310"/>
      <c r="I370" s="295"/>
      <c r="J370" s="295"/>
      <c r="K370" s="300">
        <f t="shared" si="23"/>
        <v>1.1000000000000001</v>
      </c>
      <c r="L370" s="300">
        <f t="shared" si="24"/>
        <v>0</v>
      </c>
      <c r="M370" s="285">
        <f t="shared" si="25"/>
        <v>0</v>
      </c>
      <c r="N370" s="1076">
        <f t="shared" si="26"/>
        <v>0</v>
      </c>
      <c r="O370" s="294"/>
      <c r="P370" s="404"/>
      <c r="Q370" s="404"/>
      <c r="R370" s="301"/>
      <c r="S370" s="301"/>
      <c r="T370" s="301"/>
      <c r="U370" s="301"/>
      <c r="V370" s="301"/>
    </row>
    <row r="371" spans="1:22" ht="12.6" customHeight="1" thickTop="1" thickBot="1" x14ac:dyDescent="0.3">
      <c r="A371" s="292"/>
      <c r="B371" s="293"/>
      <c r="C371" s="294"/>
      <c r="D371" s="294"/>
      <c r="E371" s="294"/>
      <c r="F371" s="310"/>
      <c r="G371" s="310"/>
      <c r="H371" s="310"/>
      <c r="I371" s="295"/>
      <c r="J371" s="295"/>
      <c r="K371" s="300">
        <f t="shared" si="23"/>
        <v>1.1000000000000001</v>
      </c>
      <c r="L371" s="300">
        <f t="shared" si="24"/>
        <v>0</v>
      </c>
      <c r="M371" s="285">
        <f t="shared" si="25"/>
        <v>0</v>
      </c>
      <c r="N371" s="1076">
        <f t="shared" si="26"/>
        <v>0</v>
      </c>
      <c r="O371" s="294"/>
      <c r="P371" s="404"/>
      <c r="Q371" s="404"/>
      <c r="R371" s="301"/>
      <c r="S371" s="301"/>
      <c r="T371" s="301"/>
      <c r="U371" s="301"/>
      <c r="V371" s="301"/>
    </row>
    <row r="372" spans="1:22" ht="12.6" customHeight="1" thickTop="1" thickBot="1" x14ac:dyDescent="0.3">
      <c r="A372" s="292"/>
      <c r="B372" s="293"/>
      <c r="C372" s="294"/>
      <c r="D372" s="294"/>
      <c r="E372" s="294"/>
      <c r="F372" s="310"/>
      <c r="G372" s="310"/>
      <c r="H372" s="310"/>
      <c r="I372" s="295"/>
      <c r="J372" s="295"/>
      <c r="K372" s="300">
        <f t="shared" si="23"/>
        <v>1.1000000000000001</v>
      </c>
      <c r="L372" s="300">
        <f t="shared" si="24"/>
        <v>0</v>
      </c>
      <c r="M372" s="285">
        <f t="shared" si="25"/>
        <v>0</v>
      </c>
      <c r="N372" s="1076">
        <f t="shared" si="26"/>
        <v>0</v>
      </c>
      <c r="O372" s="294"/>
      <c r="P372" s="404"/>
      <c r="Q372" s="404"/>
      <c r="R372" s="301"/>
      <c r="S372" s="301"/>
      <c r="T372" s="301"/>
      <c r="U372" s="301"/>
      <c r="V372" s="301"/>
    </row>
    <row r="373" spans="1:22" ht="12.6" customHeight="1" thickTop="1" thickBot="1" x14ac:dyDescent="0.3">
      <c r="A373" s="292"/>
      <c r="B373" s="293"/>
      <c r="C373" s="294"/>
      <c r="D373" s="294"/>
      <c r="E373" s="294"/>
      <c r="F373" s="310"/>
      <c r="G373" s="310"/>
      <c r="H373" s="310"/>
      <c r="I373" s="295"/>
      <c r="J373" s="295"/>
      <c r="K373" s="300">
        <f t="shared" si="23"/>
        <v>1.1000000000000001</v>
      </c>
      <c r="L373" s="300">
        <f t="shared" si="24"/>
        <v>0</v>
      </c>
      <c r="M373" s="285">
        <f t="shared" si="25"/>
        <v>0</v>
      </c>
      <c r="N373" s="1076">
        <f t="shared" si="26"/>
        <v>0</v>
      </c>
      <c r="O373" s="294"/>
      <c r="P373" s="404"/>
      <c r="Q373" s="404"/>
      <c r="R373" s="301"/>
      <c r="S373" s="301"/>
      <c r="T373" s="301"/>
      <c r="U373" s="301"/>
      <c r="V373" s="301"/>
    </row>
    <row r="374" spans="1:22" ht="12.6" customHeight="1" thickTop="1" thickBot="1" x14ac:dyDescent="0.3">
      <c r="A374" s="292"/>
      <c r="B374" s="293"/>
      <c r="C374" s="294"/>
      <c r="D374" s="294"/>
      <c r="E374" s="294"/>
      <c r="F374" s="310"/>
      <c r="G374" s="310"/>
      <c r="H374" s="310"/>
      <c r="I374" s="295"/>
      <c r="J374" s="295"/>
      <c r="K374" s="300">
        <f t="shared" si="23"/>
        <v>1.1000000000000001</v>
      </c>
      <c r="L374" s="300">
        <f t="shared" si="24"/>
        <v>0</v>
      </c>
      <c r="M374" s="285">
        <f t="shared" si="25"/>
        <v>0</v>
      </c>
      <c r="N374" s="1076">
        <f t="shared" si="26"/>
        <v>0</v>
      </c>
      <c r="O374" s="294"/>
      <c r="P374" s="404"/>
      <c r="Q374" s="404"/>
      <c r="R374" s="301"/>
      <c r="S374" s="301"/>
      <c r="T374" s="301"/>
      <c r="U374" s="301"/>
      <c r="V374" s="301"/>
    </row>
    <row r="375" spans="1:22" ht="12.6" customHeight="1" thickTop="1" thickBot="1" x14ac:dyDescent="0.3">
      <c r="A375" s="292"/>
      <c r="B375" s="293"/>
      <c r="C375" s="294"/>
      <c r="D375" s="294"/>
      <c r="E375" s="294"/>
      <c r="F375" s="310"/>
      <c r="G375" s="310"/>
      <c r="H375" s="310"/>
      <c r="I375" s="295"/>
      <c r="J375" s="295"/>
      <c r="K375" s="300">
        <f t="shared" si="23"/>
        <v>1.1000000000000001</v>
      </c>
      <c r="L375" s="300">
        <f t="shared" si="24"/>
        <v>0</v>
      </c>
      <c r="M375" s="285">
        <f t="shared" si="25"/>
        <v>0</v>
      </c>
      <c r="N375" s="1076">
        <f t="shared" si="26"/>
        <v>0</v>
      </c>
      <c r="O375" s="294"/>
      <c r="P375" s="404"/>
      <c r="Q375" s="404"/>
      <c r="R375" s="301"/>
      <c r="S375" s="301"/>
      <c r="T375" s="301"/>
      <c r="U375" s="301"/>
      <c r="V375" s="301"/>
    </row>
    <row r="376" spans="1:22" ht="12.6" customHeight="1" thickTop="1" thickBot="1" x14ac:dyDescent="0.3">
      <c r="A376" s="292"/>
      <c r="B376" s="293"/>
      <c r="C376" s="294"/>
      <c r="D376" s="294"/>
      <c r="E376" s="294"/>
      <c r="F376" s="310"/>
      <c r="G376" s="310"/>
      <c r="H376" s="310"/>
      <c r="I376" s="295"/>
      <c r="J376" s="295"/>
      <c r="K376" s="300">
        <f t="shared" si="23"/>
        <v>1.1000000000000001</v>
      </c>
      <c r="L376" s="300">
        <f t="shared" si="24"/>
        <v>0</v>
      </c>
      <c r="M376" s="285">
        <f t="shared" si="25"/>
        <v>0</v>
      </c>
      <c r="N376" s="1076">
        <f t="shared" si="26"/>
        <v>0</v>
      </c>
      <c r="O376" s="294"/>
      <c r="P376" s="404"/>
      <c r="Q376" s="404"/>
      <c r="R376" s="301"/>
      <c r="S376" s="301"/>
      <c r="T376" s="301"/>
      <c r="U376" s="301"/>
      <c r="V376" s="301"/>
    </row>
    <row r="377" spans="1:22" ht="12.6" customHeight="1" thickTop="1" thickBot="1" x14ac:dyDescent="0.3">
      <c r="A377" s="292"/>
      <c r="B377" s="293"/>
      <c r="C377" s="294"/>
      <c r="D377" s="294"/>
      <c r="E377" s="294"/>
      <c r="F377" s="310"/>
      <c r="G377" s="310"/>
      <c r="H377" s="310"/>
      <c r="I377" s="295"/>
      <c r="J377" s="295"/>
      <c r="K377" s="300">
        <f t="shared" si="23"/>
        <v>1.1000000000000001</v>
      </c>
      <c r="L377" s="300">
        <f t="shared" si="24"/>
        <v>0</v>
      </c>
      <c r="M377" s="285">
        <f t="shared" si="25"/>
        <v>0</v>
      </c>
      <c r="N377" s="1076">
        <f t="shared" si="26"/>
        <v>0</v>
      </c>
      <c r="O377" s="294"/>
      <c r="P377" s="404"/>
      <c r="Q377" s="404"/>
      <c r="R377" s="301"/>
      <c r="S377" s="301"/>
      <c r="T377" s="301"/>
      <c r="U377" s="301"/>
      <c r="V377" s="301"/>
    </row>
    <row r="378" spans="1:22" ht="12.6" customHeight="1" thickTop="1" thickBot="1" x14ac:dyDescent="0.3">
      <c r="A378" s="292"/>
      <c r="B378" s="293"/>
      <c r="C378" s="294"/>
      <c r="D378" s="294"/>
      <c r="E378" s="294"/>
      <c r="F378" s="310"/>
      <c r="G378" s="310"/>
      <c r="H378" s="310"/>
      <c r="I378" s="295"/>
      <c r="J378" s="295"/>
      <c r="K378" s="300">
        <f t="shared" si="23"/>
        <v>1.1000000000000001</v>
      </c>
      <c r="L378" s="300">
        <f t="shared" si="24"/>
        <v>0</v>
      </c>
      <c r="M378" s="285">
        <f t="shared" si="25"/>
        <v>0</v>
      </c>
      <c r="N378" s="1076">
        <f t="shared" si="26"/>
        <v>0</v>
      </c>
      <c r="O378" s="294"/>
      <c r="P378" s="404"/>
      <c r="Q378" s="404"/>
      <c r="R378" s="301"/>
      <c r="S378" s="301"/>
      <c r="T378" s="301"/>
      <c r="U378" s="301"/>
      <c r="V378" s="301"/>
    </row>
    <row r="379" spans="1:22" ht="12.6" customHeight="1" thickTop="1" thickBot="1" x14ac:dyDescent="0.3">
      <c r="A379" s="292"/>
      <c r="B379" s="293"/>
      <c r="C379" s="294"/>
      <c r="D379" s="294"/>
      <c r="E379" s="294"/>
      <c r="F379" s="310"/>
      <c r="G379" s="310"/>
      <c r="H379" s="310"/>
      <c r="I379" s="295"/>
      <c r="J379" s="295"/>
      <c r="K379" s="300">
        <f t="shared" si="23"/>
        <v>1.1000000000000001</v>
      </c>
      <c r="L379" s="300">
        <f t="shared" si="24"/>
        <v>0</v>
      </c>
      <c r="M379" s="285">
        <f t="shared" si="25"/>
        <v>0</v>
      </c>
      <c r="N379" s="1076">
        <f t="shared" si="26"/>
        <v>0</v>
      </c>
      <c r="O379" s="294"/>
      <c r="P379" s="404"/>
      <c r="Q379" s="404"/>
      <c r="R379" s="301"/>
      <c r="S379" s="301"/>
      <c r="T379" s="301"/>
      <c r="U379" s="301"/>
      <c r="V379" s="301"/>
    </row>
    <row r="380" spans="1:22" ht="12.6" customHeight="1" thickTop="1" thickBot="1" x14ac:dyDescent="0.3">
      <c r="A380" s="292"/>
      <c r="B380" s="293"/>
      <c r="C380" s="294"/>
      <c r="D380" s="294"/>
      <c r="E380" s="294"/>
      <c r="F380" s="310"/>
      <c r="G380" s="310"/>
      <c r="H380" s="310"/>
      <c r="I380" s="295"/>
      <c r="J380" s="295"/>
      <c r="K380" s="300">
        <f t="shared" si="23"/>
        <v>1.1000000000000001</v>
      </c>
      <c r="L380" s="300">
        <f t="shared" si="24"/>
        <v>0</v>
      </c>
      <c r="M380" s="285">
        <f t="shared" si="25"/>
        <v>0</v>
      </c>
      <c r="N380" s="1076">
        <f t="shared" si="26"/>
        <v>0</v>
      </c>
      <c r="O380" s="294"/>
      <c r="P380" s="404"/>
      <c r="Q380" s="404"/>
      <c r="R380" s="301"/>
      <c r="S380" s="301"/>
      <c r="T380" s="301"/>
      <c r="U380" s="301"/>
      <c r="V380" s="301"/>
    </row>
    <row r="381" spans="1:22" ht="12.6" customHeight="1" thickTop="1" thickBot="1" x14ac:dyDescent="0.3">
      <c r="A381" s="292"/>
      <c r="B381" s="293"/>
      <c r="C381" s="294"/>
      <c r="D381" s="294"/>
      <c r="E381" s="294"/>
      <c r="F381" s="310"/>
      <c r="G381" s="310"/>
      <c r="H381" s="310"/>
      <c r="I381" s="295"/>
      <c r="J381" s="295"/>
      <c r="K381" s="300">
        <f t="shared" si="23"/>
        <v>1.1000000000000001</v>
      </c>
      <c r="L381" s="300">
        <f t="shared" si="24"/>
        <v>0</v>
      </c>
      <c r="M381" s="285">
        <f t="shared" si="25"/>
        <v>0</v>
      </c>
      <c r="N381" s="1076">
        <f t="shared" si="26"/>
        <v>0</v>
      </c>
      <c r="O381" s="294"/>
      <c r="P381" s="404"/>
      <c r="Q381" s="404"/>
      <c r="R381" s="301"/>
      <c r="S381" s="301"/>
      <c r="T381" s="301"/>
      <c r="U381" s="301"/>
      <c r="V381" s="301"/>
    </row>
    <row r="382" spans="1:22" ht="12.6" customHeight="1" thickTop="1" thickBot="1" x14ac:dyDescent="0.3">
      <c r="A382" s="292"/>
      <c r="B382" s="293"/>
      <c r="C382" s="294"/>
      <c r="D382" s="294"/>
      <c r="E382" s="294"/>
      <c r="F382" s="310"/>
      <c r="G382" s="310"/>
      <c r="H382" s="310"/>
      <c r="I382" s="295"/>
      <c r="J382" s="295"/>
      <c r="K382" s="300">
        <f t="shared" si="23"/>
        <v>1.1000000000000001</v>
      </c>
      <c r="L382" s="300">
        <f t="shared" si="24"/>
        <v>0</v>
      </c>
      <c r="M382" s="285">
        <f t="shared" si="25"/>
        <v>0</v>
      </c>
      <c r="N382" s="1076">
        <f t="shared" si="26"/>
        <v>0</v>
      </c>
      <c r="O382" s="294"/>
      <c r="P382" s="404"/>
      <c r="Q382" s="404"/>
      <c r="R382" s="301"/>
      <c r="S382" s="301"/>
      <c r="T382" s="301"/>
      <c r="U382" s="301"/>
      <c r="V382" s="301"/>
    </row>
    <row r="383" spans="1:22" ht="12.6" customHeight="1" thickTop="1" thickBot="1" x14ac:dyDescent="0.3">
      <c r="A383" s="292"/>
      <c r="B383" s="293"/>
      <c r="C383" s="294"/>
      <c r="D383" s="294"/>
      <c r="E383" s="294"/>
      <c r="F383" s="310"/>
      <c r="G383" s="310"/>
      <c r="H383" s="310"/>
      <c r="I383" s="295"/>
      <c r="J383" s="295"/>
      <c r="K383" s="300">
        <f t="shared" si="23"/>
        <v>1.1000000000000001</v>
      </c>
      <c r="L383" s="300">
        <f t="shared" si="24"/>
        <v>0</v>
      </c>
      <c r="M383" s="285">
        <f t="shared" si="25"/>
        <v>0</v>
      </c>
      <c r="N383" s="1076">
        <f t="shared" si="26"/>
        <v>0</v>
      </c>
      <c r="O383" s="294"/>
      <c r="P383" s="404"/>
      <c r="Q383" s="404"/>
      <c r="R383" s="301"/>
      <c r="S383" s="301"/>
      <c r="T383" s="301"/>
      <c r="U383" s="301"/>
      <c r="V383" s="301"/>
    </row>
    <row r="384" spans="1:22" ht="12.6" customHeight="1" thickTop="1" thickBot="1" x14ac:dyDescent="0.3">
      <c r="A384" s="292"/>
      <c r="B384" s="293"/>
      <c r="C384" s="294"/>
      <c r="D384" s="294"/>
      <c r="E384" s="294"/>
      <c r="F384" s="310"/>
      <c r="G384" s="310"/>
      <c r="H384" s="310"/>
      <c r="I384" s="295"/>
      <c r="J384" s="295"/>
      <c r="K384" s="300">
        <f t="shared" si="23"/>
        <v>1.1000000000000001</v>
      </c>
      <c r="L384" s="300">
        <f t="shared" si="24"/>
        <v>0</v>
      </c>
      <c r="M384" s="285">
        <f t="shared" si="25"/>
        <v>0</v>
      </c>
      <c r="N384" s="1076">
        <f t="shared" si="26"/>
        <v>0</v>
      </c>
      <c r="O384" s="294"/>
      <c r="P384" s="404"/>
      <c r="Q384" s="404"/>
      <c r="R384" s="301"/>
      <c r="S384" s="301"/>
      <c r="T384" s="301"/>
      <c r="U384" s="301"/>
      <c r="V384" s="301"/>
    </row>
    <row r="385" spans="1:22" ht="12.6" customHeight="1" thickTop="1" thickBot="1" x14ac:dyDescent="0.3">
      <c r="A385" s="292"/>
      <c r="B385" s="293"/>
      <c r="C385" s="294"/>
      <c r="D385" s="294"/>
      <c r="E385" s="294"/>
      <c r="F385" s="310"/>
      <c r="G385" s="310"/>
      <c r="H385" s="310"/>
      <c r="I385" s="295"/>
      <c r="J385" s="295"/>
      <c r="K385" s="300">
        <f t="shared" si="23"/>
        <v>1.1000000000000001</v>
      </c>
      <c r="L385" s="300">
        <f t="shared" si="24"/>
        <v>0</v>
      </c>
      <c r="M385" s="285">
        <f t="shared" si="25"/>
        <v>0</v>
      </c>
      <c r="N385" s="1076">
        <f t="shared" si="26"/>
        <v>0</v>
      </c>
      <c r="O385" s="294"/>
      <c r="P385" s="404"/>
      <c r="Q385" s="404"/>
      <c r="R385" s="301"/>
      <c r="S385" s="301"/>
      <c r="T385" s="301"/>
      <c r="U385" s="301"/>
      <c r="V385" s="301"/>
    </row>
    <row r="386" spans="1:22" ht="12.6" customHeight="1" thickTop="1" thickBot="1" x14ac:dyDescent="0.3">
      <c r="A386" s="292"/>
      <c r="B386" s="293"/>
      <c r="C386" s="294"/>
      <c r="D386" s="294"/>
      <c r="E386" s="294"/>
      <c r="F386" s="310"/>
      <c r="G386" s="310"/>
      <c r="H386" s="310"/>
      <c r="I386" s="295"/>
      <c r="J386" s="295"/>
      <c r="K386" s="300">
        <f t="shared" si="23"/>
        <v>1.1000000000000001</v>
      </c>
      <c r="L386" s="300">
        <f t="shared" si="24"/>
        <v>0</v>
      </c>
      <c r="M386" s="285">
        <f t="shared" si="25"/>
        <v>0</v>
      </c>
      <c r="N386" s="1076">
        <f t="shared" si="26"/>
        <v>0</v>
      </c>
      <c r="O386" s="294"/>
      <c r="P386" s="404"/>
      <c r="Q386" s="404"/>
      <c r="R386" s="301"/>
      <c r="S386" s="301"/>
      <c r="T386" s="301"/>
      <c r="U386" s="301"/>
      <c r="V386" s="301"/>
    </row>
    <row r="387" spans="1:22" ht="12.6" customHeight="1" thickTop="1" thickBot="1" x14ac:dyDescent="0.3">
      <c r="A387" s="292"/>
      <c r="B387" s="293"/>
      <c r="C387" s="294"/>
      <c r="D387" s="294"/>
      <c r="E387" s="294"/>
      <c r="F387" s="310"/>
      <c r="G387" s="310"/>
      <c r="H387" s="310"/>
      <c r="I387" s="295"/>
      <c r="J387" s="295"/>
      <c r="K387" s="300">
        <f t="shared" ref="K387:K450" si="27">$K$2</f>
        <v>1.1000000000000001</v>
      </c>
      <c r="L387" s="300">
        <f t="shared" si="24"/>
        <v>0</v>
      </c>
      <c r="M387" s="285">
        <f t="shared" si="25"/>
        <v>0</v>
      </c>
      <c r="N387" s="1076">
        <f t="shared" si="26"/>
        <v>0</v>
      </c>
      <c r="O387" s="294"/>
      <c r="P387" s="404"/>
      <c r="Q387" s="404"/>
      <c r="R387" s="301"/>
      <c r="S387" s="301"/>
      <c r="T387" s="301"/>
      <c r="U387" s="301"/>
      <c r="V387" s="301"/>
    </row>
    <row r="388" spans="1:22" ht="12.6" customHeight="1" thickTop="1" thickBot="1" x14ac:dyDescent="0.3">
      <c r="A388" s="292"/>
      <c r="B388" s="293"/>
      <c r="C388" s="294"/>
      <c r="D388" s="294"/>
      <c r="E388" s="294"/>
      <c r="F388" s="310"/>
      <c r="G388" s="310"/>
      <c r="H388" s="310"/>
      <c r="I388" s="295"/>
      <c r="J388" s="295"/>
      <c r="K388" s="300">
        <f t="shared" si="27"/>
        <v>1.1000000000000001</v>
      </c>
      <c r="L388" s="300">
        <f t="shared" si="24"/>
        <v>0</v>
      </c>
      <c r="M388" s="285">
        <f t="shared" si="25"/>
        <v>0</v>
      </c>
      <c r="N388" s="1076">
        <f t="shared" si="26"/>
        <v>0</v>
      </c>
      <c r="O388" s="294"/>
      <c r="P388" s="404"/>
      <c r="Q388" s="404"/>
      <c r="R388" s="301"/>
      <c r="S388" s="301"/>
      <c r="T388" s="301"/>
      <c r="U388" s="301"/>
      <c r="V388" s="301"/>
    </row>
    <row r="389" spans="1:22" ht="12.6" customHeight="1" thickTop="1" thickBot="1" x14ac:dyDescent="0.3">
      <c r="A389" s="292"/>
      <c r="B389" s="293"/>
      <c r="C389" s="294"/>
      <c r="D389" s="294"/>
      <c r="E389" s="294"/>
      <c r="F389" s="310"/>
      <c r="G389" s="310"/>
      <c r="H389" s="310"/>
      <c r="I389" s="295"/>
      <c r="J389" s="295"/>
      <c r="K389" s="300">
        <f t="shared" si="27"/>
        <v>1.1000000000000001</v>
      </c>
      <c r="L389" s="300">
        <f t="shared" si="24"/>
        <v>0</v>
      </c>
      <c r="M389" s="285">
        <f t="shared" si="25"/>
        <v>0</v>
      </c>
      <c r="N389" s="1076">
        <f t="shared" si="26"/>
        <v>0</v>
      </c>
      <c r="O389" s="294"/>
      <c r="P389" s="404"/>
      <c r="Q389" s="404"/>
      <c r="R389" s="301"/>
      <c r="S389" s="301"/>
      <c r="T389" s="301"/>
      <c r="U389" s="301"/>
      <c r="V389" s="301"/>
    </row>
    <row r="390" spans="1:22" ht="12.6" customHeight="1" thickTop="1" thickBot="1" x14ac:dyDescent="0.3">
      <c r="A390" s="292"/>
      <c r="B390" s="293"/>
      <c r="C390" s="294"/>
      <c r="D390" s="294"/>
      <c r="E390" s="294"/>
      <c r="F390" s="310"/>
      <c r="G390" s="310"/>
      <c r="H390" s="310"/>
      <c r="I390" s="295"/>
      <c r="J390" s="295"/>
      <c r="K390" s="300">
        <f t="shared" si="27"/>
        <v>1.1000000000000001</v>
      </c>
      <c r="L390" s="300">
        <f t="shared" si="24"/>
        <v>0</v>
      </c>
      <c r="M390" s="285">
        <f t="shared" si="25"/>
        <v>0</v>
      </c>
      <c r="N390" s="1076">
        <f t="shared" si="26"/>
        <v>0</v>
      </c>
      <c r="O390" s="294"/>
      <c r="P390" s="404"/>
      <c r="Q390" s="404"/>
      <c r="R390" s="301"/>
      <c r="S390" s="301"/>
      <c r="T390" s="301"/>
      <c r="U390" s="301"/>
      <c r="V390" s="301"/>
    </row>
    <row r="391" spans="1:22" ht="12.6" customHeight="1" thickTop="1" thickBot="1" x14ac:dyDescent="0.3">
      <c r="A391" s="292"/>
      <c r="B391" s="293"/>
      <c r="C391" s="294"/>
      <c r="D391" s="294"/>
      <c r="E391" s="294"/>
      <c r="F391" s="310"/>
      <c r="G391" s="310"/>
      <c r="H391" s="310"/>
      <c r="I391" s="295"/>
      <c r="J391" s="295"/>
      <c r="K391" s="300">
        <f t="shared" si="27"/>
        <v>1.1000000000000001</v>
      </c>
      <c r="L391" s="300">
        <f t="shared" ref="L391:L454" si="28">K391*J391</f>
        <v>0</v>
      </c>
      <c r="M391" s="285">
        <f t="shared" ref="M391:M454" si="29">ROUND(L391,1)</f>
        <v>0</v>
      </c>
      <c r="N391" s="1076">
        <f t="shared" ref="N391:N454" si="30">ROUNDUP(M391,0)</f>
        <v>0</v>
      </c>
      <c r="O391" s="294"/>
      <c r="P391" s="404"/>
      <c r="Q391" s="404"/>
      <c r="R391" s="301"/>
      <c r="S391" s="301"/>
      <c r="T391" s="301"/>
      <c r="U391" s="301"/>
      <c r="V391" s="301"/>
    </row>
    <row r="392" spans="1:22" ht="12.6" customHeight="1" thickTop="1" thickBot="1" x14ac:dyDescent="0.3">
      <c r="A392" s="292"/>
      <c r="B392" s="293"/>
      <c r="C392" s="294"/>
      <c r="D392" s="294"/>
      <c r="E392" s="294"/>
      <c r="F392" s="310"/>
      <c r="G392" s="310"/>
      <c r="H392" s="310"/>
      <c r="I392" s="295"/>
      <c r="J392" s="295"/>
      <c r="K392" s="300">
        <f t="shared" si="27"/>
        <v>1.1000000000000001</v>
      </c>
      <c r="L392" s="300">
        <f t="shared" si="28"/>
        <v>0</v>
      </c>
      <c r="M392" s="285">
        <f t="shared" si="29"/>
        <v>0</v>
      </c>
      <c r="N392" s="1076">
        <f t="shared" si="30"/>
        <v>0</v>
      </c>
      <c r="O392" s="294"/>
      <c r="P392" s="404"/>
      <c r="Q392" s="404"/>
      <c r="R392" s="301"/>
      <c r="S392" s="301"/>
      <c r="T392" s="301"/>
      <c r="U392" s="301"/>
      <c r="V392" s="301"/>
    </row>
    <row r="393" spans="1:22" ht="12.6" customHeight="1" thickTop="1" thickBot="1" x14ac:dyDescent="0.3">
      <c r="A393" s="292"/>
      <c r="B393" s="293"/>
      <c r="C393" s="294"/>
      <c r="D393" s="294"/>
      <c r="E393" s="294"/>
      <c r="F393" s="310"/>
      <c r="G393" s="310"/>
      <c r="H393" s="310"/>
      <c r="I393" s="295"/>
      <c r="J393" s="295"/>
      <c r="K393" s="300">
        <f t="shared" si="27"/>
        <v>1.1000000000000001</v>
      </c>
      <c r="L393" s="300">
        <f t="shared" si="28"/>
        <v>0</v>
      </c>
      <c r="M393" s="285">
        <f t="shared" si="29"/>
        <v>0</v>
      </c>
      <c r="N393" s="1076">
        <f t="shared" si="30"/>
        <v>0</v>
      </c>
      <c r="O393" s="294"/>
      <c r="P393" s="404"/>
      <c r="Q393" s="404"/>
      <c r="R393" s="301"/>
      <c r="S393" s="301"/>
      <c r="T393" s="301"/>
      <c r="U393" s="301"/>
      <c r="V393" s="301"/>
    </row>
    <row r="394" spans="1:22" ht="12.6" customHeight="1" thickTop="1" thickBot="1" x14ac:dyDescent="0.3">
      <c r="A394" s="292"/>
      <c r="B394" s="293"/>
      <c r="C394" s="294"/>
      <c r="D394" s="294"/>
      <c r="E394" s="294"/>
      <c r="F394" s="310"/>
      <c r="G394" s="310"/>
      <c r="H394" s="310"/>
      <c r="I394" s="295"/>
      <c r="J394" s="295"/>
      <c r="K394" s="300">
        <f t="shared" si="27"/>
        <v>1.1000000000000001</v>
      </c>
      <c r="L394" s="300">
        <f t="shared" si="28"/>
        <v>0</v>
      </c>
      <c r="M394" s="285">
        <f t="shared" si="29"/>
        <v>0</v>
      </c>
      <c r="N394" s="1076">
        <f t="shared" si="30"/>
        <v>0</v>
      </c>
      <c r="O394" s="294"/>
      <c r="P394" s="404"/>
      <c r="Q394" s="404"/>
      <c r="R394" s="301"/>
      <c r="S394" s="301"/>
      <c r="T394" s="301"/>
      <c r="U394" s="301"/>
      <c r="V394" s="301"/>
    </row>
    <row r="395" spans="1:22" ht="12.6" customHeight="1" thickTop="1" thickBot="1" x14ac:dyDescent="0.3">
      <c r="A395" s="292"/>
      <c r="B395" s="293"/>
      <c r="C395" s="294"/>
      <c r="D395" s="294"/>
      <c r="E395" s="294"/>
      <c r="F395" s="310"/>
      <c r="G395" s="310"/>
      <c r="H395" s="310"/>
      <c r="I395" s="295"/>
      <c r="J395" s="295"/>
      <c r="K395" s="300">
        <f t="shared" si="27"/>
        <v>1.1000000000000001</v>
      </c>
      <c r="L395" s="300">
        <f t="shared" si="28"/>
        <v>0</v>
      </c>
      <c r="M395" s="285">
        <f t="shared" si="29"/>
        <v>0</v>
      </c>
      <c r="N395" s="1076">
        <f t="shared" si="30"/>
        <v>0</v>
      </c>
      <c r="O395" s="294"/>
      <c r="P395" s="404"/>
      <c r="Q395" s="404"/>
      <c r="R395" s="301"/>
      <c r="S395" s="301"/>
      <c r="T395" s="301"/>
      <c r="U395" s="301"/>
      <c r="V395" s="301"/>
    </row>
    <row r="396" spans="1:22" ht="12.6" customHeight="1" thickTop="1" thickBot="1" x14ac:dyDescent="0.3">
      <c r="A396" s="292"/>
      <c r="B396" s="293"/>
      <c r="C396" s="294"/>
      <c r="D396" s="294"/>
      <c r="E396" s="294"/>
      <c r="F396" s="310"/>
      <c r="G396" s="310"/>
      <c r="H396" s="310"/>
      <c r="I396" s="295"/>
      <c r="J396" s="295"/>
      <c r="K396" s="300">
        <f t="shared" si="27"/>
        <v>1.1000000000000001</v>
      </c>
      <c r="L396" s="300">
        <f t="shared" si="28"/>
        <v>0</v>
      </c>
      <c r="M396" s="285">
        <f t="shared" si="29"/>
        <v>0</v>
      </c>
      <c r="N396" s="1076">
        <f t="shared" si="30"/>
        <v>0</v>
      </c>
      <c r="O396" s="294"/>
      <c r="P396" s="404"/>
      <c r="Q396" s="404"/>
      <c r="R396" s="301"/>
      <c r="S396" s="301"/>
      <c r="T396" s="301"/>
      <c r="U396" s="301"/>
      <c r="V396" s="301"/>
    </row>
    <row r="397" spans="1:22" ht="12.6" customHeight="1" thickTop="1" thickBot="1" x14ac:dyDescent="0.3">
      <c r="A397" s="292"/>
      <c r="B397" s="293"/>
      <c r="C397" s="294"/>
      <c r="D397" s="294"/>
      <c r="E397" s="294"/>
      <c r="F397" s="310"/>
      <c r="G397" s="310"/>
      <c r="H397" s="310"/>
      <c r="I397" s="295"/>
      <c r="J397" s="295"/>
      <c r="K397" s="300">
        <f t="shared" si="27"/>
        <v>1.1000000000000001</v>
      </c>
      <c r="L397" s="300">
        <f t="shared" si="28"/>
        <v>0</v>
      </c>
      <c r="M397" s="285">
        <f t="shared" si="29"/>
        <v>0</v>
      </c>
      <c r="N397" s="1076">
        <f t="shared" si="30"/>
        <v>0</v>
      </c>
      <c r="O397" s="294"/>
      <c r="P397" s="404"/>
      <c r="Q397" s="404"/>
      <c r="R397" s="301"/>
      <c r="S397" s="301"/>
      <c r="T397" s="301"/>
      <c r="U397" s="301"/>
      <c r="V397" s="301"/>
    </row>
    <row r="398" spans="1:22" ht="12.6" customHeight="1" thickTop="1" thickBot="1" x14ac:dyDescent="0.3">
      <c r="A398" s="292"/>
      <c r="B398" s="293"/>
      <c r="C398" s="294"/>
      <c r="D398" s="294"/>
      <c r="E398" s="294"/>
      <c r="F398" s="310"/>
      <c r="G398" s="310"/>
      <c r="H398" s="310"/>
      <c r="I398" s="295"/>
      <c r="J398" s="295"/>
      <c r="K398" s="300">
        <f t="shared" si="27"/>
        <v>1.1000000000000001</v>
      </c>
      <c r="L398" s="300">
        <f t="shared" si="28"/>
        <v>0</v>
      </c>
      <c r="M398" s="285">
        <f t="shared" si="29"/>
        <v>0</v>
      </c>
      <c r="N398" s="1076">
        <f t="shared" si="30"/>
        <v>0</v>
      </c>
      <c r="O398" s="294"/>
      <c r="P398" s="404"/>
      <c r="Q398" s="404"/>
      <c r="R398" s="301"/>
      <c r="S398" s="301"/>
      <c r="T398" s="301"/>
      <c r="U398" s="301"/>
      <c r="V398" s="301"/>
    </row>
    <row r="399" spans="1:22" ht="12.6" customHeight="1" thickTop="1" thickBot="1" x14ac:dyDescent="0.3">
      <c r="A399" s="292"/>
      <c r="B399" s="293"/>
      <c r="C399" s="294"/>
      <c r="D399" s="294"/>
      <c r="E399" s="294"/>
      <c r="F399" s="310"/>
      <c r="G399" s="310"/>
      <c r="H399" s="310"/>
      <c r="I399" s="295"/>
      <c r="J399" s="295"/>
      <c r="K399" s="300">
        <f t="shared" si="27"/>
        <v>1.1000000000000001</v>
      </c>
      <c r="L399" s="300">
        <f t="shared" si="28"/>
        <v>0</v>
      </c>
      <c r="M399" s="285">
        <f t="shared" si="29"/>
        <v>0</v>
      </c>
      <c r="N399" s="1076">
        <f t="shared" si="30"/>
        <v>0</v>
      </c>
      <c r="O399" s="294"/>
      <c r="P399" s="404"/>
      <c r="Q399" s="404"/>
      <c r="R399" s="301"/>
      <c r="S399" s="301"/>
      <c r="T399" s="301"/>
      <c r="U399" s="301"/>
      <c r="V399" s="301"/>
    </row>
    <row r="400" spans="1:22" ht="12.6" customHeight="1" thickTop="1" thickBot="1" x14ac:dyDescent="0.3">
      <c r="A400" s="292"/>
      <c r="B400" s="293"/>
      <c r="C400" s="294"/>
      <c r="D400" s="294"/>
      <c r="E400" s="294"/>
      <c r="F400" s="310"/>
      <c r="G400" s="310"/>
      <c r="H400" s="310"/>
      <c r="I400" s="295"/>
      <c r="J400" s="295"/>
      <c r="K400" s="300">
        <f t="shared" si="27"/>
        <v>1.1000000000000001</v>
      </c>
      <c r="L400" s="300">
        <f t="shared" si="28"/>
        <v>0</v>
      </c>
      <c r="M400" s="285">
        <f t="shared" si="29"/>
        <v>0</v>
      </c>
      <c r="N400" s="1076">
        <f t="shared" si="30"/>
        <v>0</v>
      </c>
      <c r="O400" s="294"/>
      <c r="P400" s="404"/>
      <c r="Q400" s="404"/>
      <c r="R400" s="301"/>
      <c r="S400" s="301"/>
      <c r="T400" s="301"/>
      <c r="U400" s="301"/>
      <c r="V400" s="301"/>
    </row>
    <row r="401" spans="1:22" ht="12.6" customHeight="1" thickTop="1" thickBot="1" x14ac:dyDescent="0.3">
      <c r="A401" s="292"/>
      <c r="B401" s="293"/>
      <c r="C401" s="294"/>
      <c r="D401" s="294"/>
      <c r="E401" s="294"/>
      <c r="F401" s="310"/>
      <c r="G401" s="310"/>
      <c r="H401" s="310"/>
      <c r="I401" s="295"/>
      <c r="J401" s="295"/>
      <c r="K401" s="300">
        <f t="shared" si="27"/>
        <v>1.1000000000000001</v>
      </c>
      <c r="L401" s="300">
        <f t="shared" si="28"/>
        <v>0</v>
      </c>
      <c r="M401" s="285">
        <f t="shared" si="29"/>
        <v>0</v>
      </c>
      <c r="N401" s="1076">
        <f t="shared" si="30"/>
        <v>0</v>
      </c>
      <c r="O401" s="294"/>
      <c r="P401" s="404"/>
      <c r="Q401" s="404"/>
      <c r="R401" s="301"/>
      <c r="S401" s="301"/>
      <c r="T401" s="301"/>
      <c r="U401" s="301"/>
      <c r="V401" s="301"/>
    </row>
    <row r="402" spans="1:22" ht="12.6" customHeight="1" thickTop="1" thickBot="1" x14ac:dyDescent="0.3">
      <c r="A402" s="292"/>
      <c r="B402" s="293"/>
      <c r="C402" s="294"/>
      <c r="D402" s="294"/>
      <c r="E402" s="294"/>
      <c r="F402" s="310"/>
      <c r="G402" s="310"/>
      <c r="H402" s="310"/>
      <c r="I402" s="295"/>
      <c r="J402" s="295"/>
      <c r="K402" s="300">
        <f t="shared" si="27"/>
        <v>1.1000000000000001</v>
      </c>
      <c r="L402" s="300">
        <f t="shared" si="28"/>
        <v>0</v>
      </c>
      <c r="M402" s="285">
        <f t="shared" si="29"/>
        <v>0</v>
      </c>
      <c r="N402" s="1076">
        <f t="shared" si="30"/>
        <v>0</v>
      </c>
      <c r="O402" s="294"/>
      <c r="P402" s="404"/>
      <c r="Q402" s="404"/>
      <c r="R402" s="301"/>
      <c r="S402" s="301"/>
      <c r="T402" s="301"/>
      <c r="U402" s="301"/>
      <c r="V402" s="301"/>
    </row>
    <row r="403" spans="1:22" ht="12.6" customHeight="1" thickTop="1" thickBot="1" x14ac:dyDescent="0.3">
      <c r="A403" s="292"/>
      <c r="B403" s="293"/>
      <c r="C403" s="294"/>
      <c r="D403" s="294"/>
      <c r="E403" s="294"/>
      <c r="F403" s="310"/>
      <c r="G403" s="310"/>
      <c r="H403" s="310"/>
      <c r="I403" s="295"/>
      <c r="J403" s="295"/>
      <c r="K403" s="300">
        <f t="shared" si="27"/>
        <v>1.1000000000000001</v>
      </c>
      <c r="L403" s="300">
        <f t="shared" si="28"/>
        <v>0</v>
      </c>
      <c r="M403" s="285">
        <f t="shared" si="29"/>
        <v>0</v>
      </c>
      <c r="N403" s="1076">
        <f t="shared" si="30"/>
        <v>0</v>
      </c>
      <c r="O403" s="294"/>
      <c r="P403" s="404"/>
      <c r="Q403" s="404"/>
      <c r="R403" s="301"/>
      <c r="S403" s="301"/>
      <c r="T403" s="301"/>
      <c r="U403" s="301"/>
      <c r="V403" s="301"/>
    </row>
    <row r="404" spans="1:22" ht="12.6" customHeight="1" thickTop="1" thickBot="1" x14ac:dyDescent="0.3">
      <c r="A404" s="292"/>
      <c r="B404" s="293"/>
      <c r="C404" s="294"/>
      <c r="D404" s="294"/>
      <c r="E404" s="294"/>
      <c r="F404" s="310"/>
      <c r="G404" s="310"/>
      <c r="H404" s="310"/>
      <c r="I404" s="295"/>
      <c r="J404" s="295"/>
      <c r="K404" s="300">
        <f t="shared" si="27"/>
        <v>1.1000000000000001</v>
      </c>
      <c r="L404" s="300">
        <f t="shared" si="28"/>
        <v>0</v>
      </c>
      <c r="M404" s="285">
        <f t="shared" si="29"/>
        <v>0</v>
      </c>
      <c r="N404" s="1076">
        <f t="shared" si="30"/>
        <v>0</v>
      </c>
      <c r="O404" s="294"/>
      <c r="P404" s="404"/>
      <c r="Q404" s="404"/>
      <c r="R404" s="301"/>
      <c r="S404" s="301"/>
      <c r="T404" s="301"/>
      <c r="U404" s="301"/>
      <c r="V404" s="301"/>
    </row>
    <row r="405" spans="1:22" ht="12.6" customHeight="1" thickTop="1" thickBot="1" x14ac:dyDescent="0.3">
      <c r="A405" s="292"/>
      <c r="B405" s="293"/>
      <c r="C405" s="294"/>
      <c r="D405" s="294"/>
      <c r="E405" s="294"/>
      <c r="F405" s="310"/>
      <c r="G405" s="310"/>
      <c r="H405" s="310"/>
      <c r="I405" s="295"/>
      <c r="J405" s="295"/>
      <c r="K405" s="300">
        <f t="shared" si="27"/>
        <v>1.1000000000000001</v>
      </c>
      <c r="L405" s="300">
        <f t="shared" si="28"/>
        <v>0</v>
      </c>
      <c r="M405" s="285">
        <f t="shared" si="29"/>
        <v>0</v>
      </c>
      <c r="N405" s="1076">
        <f t="shared" si="30"/>
        <v>0</v>
      </c>
      <c r="O405" s="294"/>
      <c r="P405" s="404"/>
      <c r="Q405" s="404"/>
      <c r="R405" s="301"/>
      <c r="S405" s="301"/>
      <c r="T405" s="301"/>
      <c r="U405" s="301"/>
      <c r="V405" s="301"/>
    </row>
    <row r="406" spans="1:22" ht="12.6" customHeight="1" thickTop="1" thickBot="1" x14ac:dyDescent="0.3">
      <c r="A406" s="292"/>
      <c r="B406" s="293"/>
      <c r="C406" s="294"/>
      <c r="D406" s="294"/>
      <c r="E406" s="294"/>
      <c r="F406" s="310"/>
      <c r="G406" s="310"/>
      <c r="H406" s="310"/>
      <c r="I406" s="295"/>
      <c r="J406" s="295"/>
      <c r="K406" s="300">
        <f t="shared" si="27"/>
        <v>1.1000000000000001</v>
      </c>
      <c r="L406" s="300">
        <f t="shared" si="28"/>
        <v>0</v>
      </c>
      <c r="M406" s="285">
        <f t="shared" si="29"/>
        <v>0</v>
      </c>
      <c r="N406" s="1076">
        <f t="shared" si="30"/>
        <v>0</v>
      </c>
      <c r="O406" s="294"/>
      <c r="P406" s="404"/>
      <c r="Q406" s="404"/>
      <c r="R406" s="301"/>
      <c r="S406" s="301"/>
      <c r="T406" s="301"/>
      <c r="U406" s="301"/>
      <c r="V406" s="301"/>
    </row>
    <row r="407" spans="1:22" ht="12.6" customHeight="1" thickTop="1" thickBot="1" x14ac:dyDescent="0.3">
      <c r="A407" s="292"/>
      <c r="B407" s="293"/>
      <c r="C407" s="294"/>
      <c r="D407" s="294"/>
      <c r="E407" s="294"/>
      <c r="F407" s="310"/>
      <c r="G407" s="310"/>
      <c r="H407" s="310"/>
      <c r="I407" s="295"/>
      <c r="J407" s="295"/>
      <c r="K407" s="300">
        <f t="shared" si="27"/>
        <v>1.1000000000000001</v>
      </c>
      <c r="L407" s="300">
        <f t="shared" si="28"/>
        <v>0</v>
      </c>
      <c r="M407" s="285">
        <f t="shared" si="29"/>
        <v>0</v>
      </c>
      <c r="N407" s="1076">
        <f t="shared" si="30"/>
        <v>0</v>
      </c>
      <c r="O407" s="294"/>
      <c r="P407" s="404"/>
      <c r="Q407" s="404"/>
      <c r="R407" s="301"/>
      <c r="S407" s="301"/>
      <c r="T407" s="301"/>
      <c r="U407" s="301"/>
      <c r="V407" s="301"/>
    </row>
    <row r="408" spans="1:22" ht="12.6" customHeight="1" thickTop="1" thickBot="1" x14ac:dyDescent="0.3">
      <c r="A408" s="292"/>
      <c r="B408" s="293"/>
      <c r="C408" s="294"/>
      <c r="D408" s="294"/>
      <c r="E408" s="294"/>
      <c r="F408" s="310"/>
      <c r="G408" s="310"/>
      <c r="H408" s="310"/>
      <c r="I408" s="295"/>
      <c r="J408" s="295"/>
      <c r="K408" s="300">
        <f t="shared" si="27"/>
        <v>1.1000000000000001</v>
      </c>
      <c r="L408" s="300">
        <f t="shared" si="28"/>
        <v>0</v>
      </c>
      <c r="M408" s="285">
        <f t="shared" si="29"/>
        <v>0</v>
      </c>
      <c r="N408" s="1076">
        <f t="shared" si="30"/>
        <v>0</v>
      </c>
      <c r="O408" s="294"/>
      <c r="P408" s="404"/>
      <c r="Q408" s="404"/>
      <c r="R408" s="301"/>
      <c r="S408" s="301"/>
      <c r="T408" s="301"/>
      <c r="U408" s="301"/>
      <c r="V408" s="301"/>
    </row>
    <row r="409" spans="1:22" ht="12.6" customHeight="1" thickTop="1" thickBot="1" x14ac:dyDescent="0.3">
      <c r="A409" s="292"/>
      <c r="B409" s="293"/>
      <c r="C409" s="294"/>
      <c r="D409" s="294"/>
      <c r="E409" s="294"/>
      <c r="F409" s="310"/>
      <c r="G409" s="310"/>
      <c r="H409" s="310"/>
      <c r="I409" s="295"/>
      <c r="J409" s="295"/>
      <c r="K409" s="300">
        <f t="shared" si="27"/>
        <v>1.1000000000000001</v>
      </c>
      <c r="L409" s="300">
        <f t="shared" si="28"/>
        <v>0</v>
      </c>
      <c r="M409" s="285">
        <f t="shared" si="29"/>
        <v>0</v>
      </c>
      <c r="N409" s="1076">
        <f t="shared" si="30"/>
        <v>0</v>
      </c>
      <c r="O409" s="294"/>
      <c r="P409" s="404"/>
      <c r="Q409" s="404"/>
      <c r="R409" s="301"/>
      <c r="S409" s="301"/>
      <c r="T409" s="301"/>
      <c r="U409" s="301"/>
      <c r="V409" s="301"/>
    </row>
    <row r="410" spans="1:22" ht="12.6" customHeight="1" thickTop="1" thickBot="1" x14ac:dyDescent="0.3">
      <c r="A410" s="292"/>
      <c r="B410" s="293"/>
      <c r="C410" s="294"/>
      <c r="D410" s="294"/>
      <c r="E410" s="294"/>
      <c r="F410" s="310"/>
      <c r="G410" s="310"/>
      <c r="H410" s="310"/>
      <c r="I410" s="295"/>
      <c r="J410" s="295"/>
      <c r="K410" s="300">
        <f t="shared" si="27"/>
        <v>1.1000000000000001</v>
      </c>
      <c r="L410" s="300">
        <f t="shared" si="28"/>
        <v>0</v>
      </c>
      <c r="M410" s="285">
        <f t="shared" si="29"/>
        <v>0</v>
      </c>
      <c r="N410" s="1076">
        <f t="shared" si="30"/>
        <v>0</v>
      </c>
      <c r="O410" s="294"/>
      <c r="P410" s="404"/>
      <c r="Q410" s="404"/>
      <c r="R410" s="301"/>
      <c r="S410" s="301"/>
      <c r="T410" s="301"/>
      <c r="U410" s="301"/>
      <c r="V410" s="301"/>
    </row>
    <row r="411" spans="1:22" ht="12.6" customHeight="1" thickTop="1" thickBot="1" x14ac:dyDescent="0.3">
      <c r="A411" s="292"/>
      <c r="B411" s="293"/>
      <c r="C411" s="294"/>
      <c r="D411" s="294"/>
      <c r="E411" s="294"/>
      <c r="F411" s="310"/>
      <c r="G411" s="310"/>
      <c r="H411" s="310"/>
      <c r="I411" s="295"/>
      <c r="J411" s="295"/>
      <c r="K411" s="300">
        <f t="shared" si="27"/>
        <v>1.1000000000000001</v>
      </c>
      <c r="L411" s="300">
        <f t="shared" si="28"/>
        <v>0</v>
      </c>
      <c r="M411" s="285">
        <f t="shared" si="29"/>
        <v>0</v>
      </c>
      <c r="N411" s="1076">
        <f t="shared" si="30"/>
        <v>0</v>
      </c>
      <c r="O411" s="294"/>
      <c r="P411" s="404"/>
      <c r="Q411" s="404"/>
      <c r="R411" s="301"/>
      <c r="S411" s="301"/>
      <c r="T411" s="301"/>
      <c r="U411" s="301"/>
      <c r="V411" s="301"/>
    </row>
    <row r="412" spans="1:22" ht="12.6" customHeight="1" thickTop="1" thickBot="1" x14ac:dyDescent="0.3">
      <c r="A412" s="292"/>
      <c r="B412" s="293"/>
      <c r="C412" s="294"/>
      <c r="D412" s="294"/>
      <c r="E412" s="294"/>
      <c r="F412" s="310"/>
      <c r="G412" s="310"/>
      <c r="H412" s="310"/>
      <c r="I412" s="295"/>
      <c r="J412" s="295"/>
      <c r="K412" s="300">
        <f t="shared" si="27"/>
        <v>1.1000000000000001</v>
      </c>
      <c r="L412" s="300">
        <f t="shared" si="28"/>
        <v>0</v>
      </c>
      <c r="M412" s="285">
        <f t="shared" si="29"/>
        <v>0</v>
      </c>
      <c r="N412" s="1076">
        <f t="shared" si="30"/>
        <v>0</v>
      </c>
      <c r="O412" s="294"/>
      <c r="P412" s="404"/>
      <c r="Q412" s="404"/>
      <c r="R412" s="301"/>
      <c r="S412" s="301"/>
      <c r="T412" s="301"/>
      <c r="U412" s="301"/>
      <c r="V412" s="301"/>
    </row>
    <row r="413" spans="1:22" ht="12.6" customHeight="1" thickTop="1" thickBot="1" x14ac:dyDescent="0.3">
      <c r="A413" s="292"/>
      <c r="B413" s="293"/>
      <c r="C413" s="294"/>
      <c r="D413" s="294"/>
      <c r="E413" s="294"/>
      <c r="F413" s="310"/>
      <c r="G413" s="310"/>
      <c r="H413" s="310"/>
      <c r="I413" s="295"/>
      <c r="J413" s="295"/>
      <c r="K413" s="300">
        <f t="shared" si="27"/>
        <v>1.1000000000000001</v>
      </c>
      <c r="L413" s="300">
        <f t="shared" si="28"/>
        <v>0</v>
      </c>
      <c r="M413" s="285">
        <f t="shared" si="29"/>
        <v>0</v>
      </c>
      <c r="N413" s="1076">
        <f t="shared" si="30"/>
        <v>0</v>
      </c>
      <c r="O413" s="294"/>
      <c r="P413" s="404"/>
      <c r="Q413" s="404"/>
      <c r="R413" s="301"/>
      <c r="S413" s="301"/>
      <c r="T413" s="301"/>
      <c r="U413" s="301"/>
      <c r="V413" s="301"/>
    </row>
    <row r="414" spans="1:22" ht="12.6" customHeight="1" thickTop="1" thickBot="1" x14ac:dyDescent="0.3">
      <c r="A414" s="292"/>
      <c r="B414" s="293"/>
      <c r="C414" s="294"/>
      <c r="D414" s="294"/>
      <c r="E414" s="294"/>
      <c r="F414" s="310"/>
      <c r="G414" s="310"/>
      <c r="H414" s="310"/>
      <c r="I414" s="295"/>
      <c r="J414" s="295"/>
      <c r="K414" s="300">
        <f t="shared" si="27"/>
        <v>1.1000000000000001</v>
      </c>
      <c r="L414" s="300">
        <f t="shared" si="28"/>
        <v>0</v>
      </c>
      <c r="M414" s="285">
        <f t="shared" si="29"/>
        <v>0</v>
      </c>
      <c r="N414" s="1076">
        <f t="shared" si="30"/>
        <v>0</v>
      </c>
      <c r="O414" s="294"/>
      <c r="P414" s="404"/>
      <c r="Q414" s="404"/>
      <c r="R414" s="301"/>
      <c r="S414" s="301"/>
      <c r="T414" s="301"/>
      <c r="U414" s="301"/>
      <c r="V414" s="301"/>
    </row>
    <row r="415" spans="1:22" ht="12.6" customHeight="1" thickTop="1" thickBot="1" x14ac:dyDescent="0.3">
      <c r="A415" s="292"/>
      <c r="B415" s="293"/>
      <c r="C415" s="294"/>
      <c r="D415" s="294"/>
      <c r="E415" s="294"/>
      <c r="F415" s="310"/>
      <c r="G415" s="310"/>
      <c r="H415" s="310"/>
      <c r="I415" s="295"/>
      <c r="J415" s="295"/>
      <c r="K415" s="300">
        <f t="shared" si="27"/>
        <v>1.1000000000000001</v>
      </c>
      <c r="L415" s="300">
        <f t="shared" si="28"/>
        <v>0</v>
      </c>
      <c r="M415" s="285">
        <f t="shared" si="29"/>
        <v>0</v>
      </c>
      <c r="N415" s="1076">
        <f t="shared" si="30"/>
        <v>0</v>
      </c>
      <c r="O415" s="294"/>
      <c r="P415" s="404"/>
      <c r="Q415" s="404"/>
      <c r="R415" s="301"/>
      <c r="S415" s="301"/>
      <c r="T415" s="301"/>
      <c r="U415" s="301"/>
      <c r="V415" s="301"/>
    </row>
    <row r="416" spans="1:22" ht="12.6" customHeight="1" thickTop="1" thickBot="1" x14ac:dyDescent="0.3">
      <c r="A416" s="292"/>
      <c r="B416" s="293"/>
      <c r="C416" s="294"/>
      <c r="D416" s="294"/>
      <c r="E416" s="294"/>
      <c r="F416" s="310"/>
      <c r="G416" s="310"/>
      <c r="H416" s="310"/>
      <c r="I416" s="295"/>
      <c r="J416" s="295"/>
      <c r="K416" s="300">
        <f t="shared" si="27"/>
        <v>1.1000000000000001</v>
      </c>
      <c r="L416" s="300">
        <f t="shared" si="28"/>
        <v>0</v>
      </c>
      <c r="M416" s="285">
        <f t="shared" si="29"/>
        <v>0</v>
      </c>
      <c r="N416" s="1076">
        <f t="shared" si="30"/>
        <v>0</v>
      </c>
      <c r="O416" s="294"/>
      <c r="P416" s="404"/>
      <c r="Q416" s="404"/>
      <c r="R416" s="301"/>
      <c r="S416" s="301"/>
      <c r="T416" s="301"/>
      <c r="U416" s="301"/>
      <c r="V416" s="301"/>
    </row>
    <row r="417" spans="1:22" ht="12.6" customHeight="1" thickTop="1" thickBot="1" x14ac:dyDescent="0.3">
      <c r="A417" s="292"/>
      <c r="B417" s="293"/>
      <c r="C417" s="294"/>
      <c r="D417" s="294"/>
      <c r="E417" s="294"/>
      <c r="F417" s="310"/>
      <c r="G417" s="310"/>
      <c r="H417" s="310"/>
      <c r="I417" s="295"/>
      <c r="J417" s="295"/>
      <c r="K417" s="300">
        <f t="shared" si="27"/>
        <v>1.1000000000000001</v>
      </c>
      <c r="L417" s="300">
        <f t="shared" si="28"/>
        <v>0</v>
      </c>
      <c r="M417" s="285">
        <f t="shared" si="29"/>
        <v>0</v>
      </c>
      <c r="N417" s="1076">
        <f t="shared" si="30"/>
        <v>0</v>
      </c>
      <c r="O417" s="294"/>
      <c r="P417" s="404"/>
      <c r="Q417" s="404"/>
      <c r="R417" s="301"/>
      <c r="S417" s="301"/>
      <c r="T417" s="301"/>
      <c r="U417" s="301"/>
      <c r="V417" s="301"/>
    </row>
    <row r="418" spans="1:22" ht="12.6" customHeight="1" thickTop="1" thickBot="1" x14ac:dyDescent="0.3">
      <c r="A418" s="292"/>
      <c r="B418" s="293"/>
      <c r="C418" s="294"/>
      <c r="D418" s="294"/>
      <c r="E418" s="294"/>
      <c r="F418" s="310"/>
      <c r="G418" s="310"/>
      <c r="H418" s="310"/>
      <c r="I418" s="295"/>
      <c r="J418" s="295"/>
      <c r="K418" s="300">
        <f t="shared" si="27"/>
        <v>1.1000000000000001</v>
      </c>
      <c r="L418" s="300">
        <f t="shared" si="28"/>
        <v>0</v>
      </c>
      <c r="M418" s="285">
        <f t="shared" si="29"/>
        <v>0</v>
      </c>
      <c r="N418" s="1076">
        <f t="shared" si="30"/>
        <v>0</v>
      </c>
      <c r="O418" s="294"/>
      <c r="P418" s="404"/>
      <c r="Q418" s="404"/>
      <c r="R418" s="301"/>
      <c r="S418" s="301"/>
      <c r="T418" s="301"/>
      <c r="U418" s="301"/>
      <c r="V418" s="301"/>
    </row>
    <row r="419" spans="1:22" ht="12.6" customHeight="1" thickTop="1" thickBot="1" x14ac:dyDescent="0.3">
      <c r="A419" s="292"/>
      <c r="B419" s="293"/>
      <c r="C419" s="294"/>
      <c r="D419" s="294"/>
      <c r="E419" s="294"/>
      <c r="F419" s="310"/>
      <c r="G419" s="310"/>
      <c r="H419" s="310"/>
      <c r="I419" s="295"/>
      <c r="J419" s="295"/>
      <c r="K419" s="300">
        <f t="shared" si="27"/>
        <v>1.1000000000000001</v>
      </c>
      <c r="L419" s="300">
        <f t="shared" si="28"/>
        <v>0</v>
      </c>
      <c r="M419" s="285">
        <f t="shared" si="29"/>
        <v>0</v>
      </c>
      <c r="N419" s="1076">
        <f t="shared" si="30"/>
        <v>0</v>
      </c>
      <c r="O419" s="294"/>
      <c r="P419" s="404"/>
      <c r="Q419" s="404"/>
      <c r="R419" s="301"/>
      <c r="S419" s="301"/>
      <c r="T419" s="301"/>
      <c r="U419" s="301"/>
      <c r="V419" s="301"/>
    </row>
    <row r="420" spans="1:22" ht="12.6" customHeight="1" thickTop="1" thickBot="1" x14ac:dyDescent="0.3">
      <c r="A420" s="292"/>
      <c r="B420" s="293"/>
      <c r="C420" s="294"/>
      <c r="D420" s="294"/>
      <c r="E420" s="294"/>
      <c r="F420" s="310"/>
      <c r="G420" s="310"/>
      <c r="H420" s="310"/>
      <c r="I420" s="295"/>
      <c r="J420" s="295"/>
      <c r="K420" s="300">
        <f t="shared" si="27"/>
        <v>1.1000000000000001</v>
      </c>
      <c r="L420" s="300">
        <f t="shared" si="28"/>
        <v>0</v>
      </c>
      <c r="M420" s="285">
        <f t="shared" si="29"/>
        <v>0</v>
      </c>
      <c r="N420" s="1076">
        <f t="shared" si="30"/>
        <v>0</v>
      </c>
      <c r="O420" s="294"/>
      <c r="P420" s="404"/>
      <c r="Q420" s="404"/>
      <c r="R420" s="301"/>
      <c r="S420" s="301"/>
      <c r="T420" s="301"/>
      <c r="U420" s="301"/>
      <c r="V420" s="301"/>
    </row>
    <row r="421" spans="1:22" ht="12.6" customHeight="1" thickTop="1" thickBot="1" x14ac:dyDescent="0.3">
      <c r="A421" s="292"/>
      <c r="B421" s="293"/>
      <c r="C421" s="294"/>
      <c r="D421" s="294"/>
      <c r="E421" s="294"/>
      <c r="F421" s="310"/>
      <c r="G421" s="310"/>
      <c r="H421" s="310"/>
      <c r="I421" s="295"/>
      <c r="J421" s="295"/>
      <c r="K421" s="300">
        <f t="shared" si="27"/>
        <v>1.1000000000000001</v>
      </c>
      <c r="L421" s="300">
        <f t="shared" si="28"/>
        <v>0</v>
      </c>
      <c r="M421" s="285">
        <f t="shared" si="29"/>
        <v>0</v>
      </c>
      <c r="N421" s="1076">
        <f t="shared" si="30"/>
        <v>0</v>
      </c>
      <c r="O421" s="294"/>
      <c r="P421" s="404"/>
      <c r="Q421" s="404"/>
      <c r="R421" s="301"/>
      <c r="S421" s="301"/>
      <c r="T421" s="301"/>
      <c r="U421" s="301"/>
      <c r="V421" s="301"/>
    </row>
    <row r="422" spans="1:22" ht="12.6" customHeight="1" thickTop="1" thickBot="1" x14ac:dyDescent="0.3">
      <c r="A422" s="292"/>
      <c r="B422" s="293"/>
      <c r="C422" s="294"/>
      <c r="D422" s="294"/>
      <c r="E422" s="294"/>
      <c r="F422" s="310"/>
      <c r="G422" s="310"/>
      <c r="H422" s="310"/>
      <c r="I422" s="295"/>
      <c r="J422" s="295"/>
      <c r="K422" s="300">
        <f t="shared" si="27"/>
        <v>1.1000000000000001</v>
      </c>
      <c r="L422" s="300">
        <f t="shared" si="28"/>
        <v>0</v>
      </c>
      <c r="M422" s="285">
        <f t="shared" si="29"/>
        <v>0</v>
      </c>
      <c r="N422" s="1076">
        <f t="shared" si="30"/>
        <v>0</v>
      </c>
      <c r="O422" s="294"/>
      <c r="P422" s="404"/>
      <c r="Q422" s="404"/>
      <c r="R422" s="301"/>
      <c r="S422" s="301"/>
      <c r="T422" s="301"/>
      <c r="U422" s="301"/>
      <c r="V422" s="301"/>
    </row>
    <row r="423" spans="1:22" ht="12.6" customHeight="1" thickTop="1" thickBot="1" x14ac:dyDescent="0.3">
      <c r="A423" s="292"/>
      <c r="B423" s="293"/>
      <c r="C423" s="294"/>
      <c r="D423" s="294"/>
      <c r="E423" s="294"/>
      <c r="F423" s="310"/>
      <c r="G423" s="310"/>
      <c r="H423" s="310"/>
      <c r="I423" s="295"/>
      <c r="J423" s="295"/>
      <c r="K423" s="300">
        <f t="shared" si="27"/>
        <v>1.1000000000000001</v>
      </c>
      <c r="L423" s="300">
        <f t="shared" si="28"/>
        <v>0</v>
      </c>
      <c r="M423" s="285">
        <f t="shared" si="29"/>
        <v>0</v>
      </c>
      <c r="N423" s="1076">
        <f t="shared" si="30"/>
        <v>0</v>
      </c>
      <c r="O423" s="294"/>
      <c r="P423" s="404"/>
      <c r="Q423" s="404"/>
      <c r="R423" s="301"/>
      <c r="S423" s="301"/>
      <c r="T423" s="301"/>
      <c r="U423" s="301"/>
      <c r="V423" s="301"/>
    </row>
    <row r="424" spans="1:22" ht="12.6" customHeight="1" thickTop="1" thickBot="1" x14ac:dyDescent="0.3">
      <c r="A424" s="292"/>
      <c r="B424" s="293"/>
      <c r="C424" s="294"/>
      <c r="D424" s="294"/>
      <c r="E424" s="294"/>
      <c r="F424" s="310"/>
      <c r="G424" s="310"/>
      <c r="H424" s="310"/>
      <c r="I424" s="295"/>
      <c r="J424" s="295"/>
      <c r="K424" s="300">
        <f t="shared" si="27"/>
        <v>1.1000000000000001</v>
      </c>
      <c r="L424" s="300">
        <f t="shared" si="28"/>
        <v>0</v>
      </c>
      <c r="M424" s="285">
        <f t="shared" si="29"/>
        <v>0</v>
      </c>
      <c r="N424" s="1076">
        <f t="shared" si="30"/>
        <v>0</v>
      </c>
      <c r="O424" s="294"/>
      <c r="P424" s="404"/>
      <c r="Q424" s="404"/>
      <c r="R424" s="301"/>
      <c r="S424" s="301"/>
      <c r="T424" s="301"/>
      <c r="U424" s="301"/>
      <c r="V424" s="301"/>
    </row>
    <row r="425" spans="1:22" ht="12.6" customHeight="1" thickTop="1" thickBot="1" x14ac:dyDescent="0.3">
      <c r="A425" s="292"/>
      <c r="B425" s="293"/>
      <c r="C425" s="294"/>
      <c r="D425" s="294"/>
      <c r="E425" s="294"/>
      <c r="F425" s="310"/>
      <c r="G425" s="310"/>
      <c r="H425" s="310"/>
      <c r="I425" s="295"/>
      <c r="J425" s="295"/>
      <c r="K425" s="300">
        <f t="shared" si="27"/>
        <v>1.1000000000000001</v>
      </c>
      <c r="L425" s="300">
        <f t="shared" si="28"/>
        <v>0</v>
      </c>
      <c r="M425" s="285">
        <f t="shared" si="29"/>
        <v>0</v>
      </c>
      <c r="N425" s="1076">
        <f t="shared" si="30"/>
        <v>0</v>
      </c>
      <c r="O425" s="294"/>
      <c r="P425" s="404"/>
      <c r="Q425" s="404"/>
      <c r="R425" s="301"/>
      <c r="S425" s="301"/>
      <c r="T425" s="301"/>
      <c r="U425" s="301"/>
      <c r="V425" s="301"/>
    </row>
    <row r="426" spans="1:22" ht="12.6" customHeight="1" thickTop="1" thickBot="1" x14ac:dyDescent="0.3">
      <c r="A426" s="292"/>
      <c r="B426" s="293"/>
      <c r="C426" s="294"/>
      <c r="D426" s="294"/>
      <c r="E426" s="294"/>
      <c r="F426" s="310"/>
      <c r="G426" s="310"/>
      <c r="H426" s="310"/>
      <c r="I426" s="295"/>
      <c r="J426" s="295"/>
      <c r="K426" s="300">
        <f t="shared" si="27"/>
        <v>1.1000000000000001</v>
      </c>
      <c r="L426" s="300">
        <f t="shared" si="28"/>
        <v>0</v>
      </c>
      <c r="M426" s="285">
        <f t="shared" si="29"/>
        <v>0</v>
      </c>
      <c r="N426" s="1076">
        <f t="shared" si="30"/>
        <v>0</v>
      </c>
      <c r="O426" s="294"/>
      <c r="P426" s="404"/>
      <c r="Q426" s="404"/>
      <c r="R426" s="301"/>
      <c r="S426" s="301"/>
      <c r="T426" s="301"/>
      <c r="U426" s="301"/>
      <c r="V426" s="301"/>
    </row>
    <row r="427" spans="1:22" ht="12.6" customHeight="1" thickTop="1" thickBot="1" x14ac:dyDescent="0.3">
      <c r="A427" s="292"/>
      <c r="B427" s="293"/>
      <c r="C427" s="294"/>
      <c r="D427" s="294"/>
      <c r="E427" s="294"/>
      <c r="F427" s="310"/>
      <c r="G427" s="310"/>
      <c r="H427" s="310"/>
      <c r="I427" s="295"/>
      <c r="J427" s="295"/>
      <c r="K427" s="300">
        <f t="shared" si="27"/>
        <v>1.1000000000000001</v>
      </c>
      <c r="L427" s="300">
        <f t="shared" si="28"/>
        <v>0</v>
      </c>
      <c r="M427" s="285">
        <f t="shared" si="29"/>
        <v>0</v>
      </c>
      <c r="N427" s="1076">
        <f t="shared" si="30"/>
        <v>0</v>
      </c>
      <c r="O427" s="294"/>
      <c r="P427" s="404"/>
      <c r="Q427" s="404"/>
      <c r="R427" s="301"/>
      <c r="S427" s="301"/>
      <c r="T427" s="301"/>
      <c r="U427" s="301"/>
      <c r="V427" s="301"/>
    </row>
    <row r="428" spans="1:22" ht="12.6" customHeight="1" thickTop="1" thickBot="1" x14ac:dyDescent="0.3">
      <c r="A428" s="292"/>
      <c r="B428" s="293"/>
      <c r="C428" s="294"/>
      <c r="D428" s="294"/>
      <c r="E428" s="294"/>
      <c r="F428" s="310"/>
      <c r="G428" s="310"/>
      <c r="H428" s="310"/>
      <c r="I428" s="295"/>
      <c r="J428" s="295"/>
      <c r="K428" s="300">
        <f t="shared" si="27"/>
        <v>1.1000000000000001</v>
      </c>
      <c r="L428" s="300">
        <f t="shared" si="28"/>
        <v>0</v>
      </c>
      <c r="M428" s="285">
        <f t="shared" si="29"/>
        <v>0</v>
      </c>
      <c r="N428" s="1076">
        <f t="shared" si="30"/>
        <v>0</v>
      </c>
      <c r="O428" s="294"/>
      <c r="P428" s="404"/>
      <c r="Q428" s="404"/>
      <c r="R428" s="301"/>
      <c r="S428" s="301"/>
      <c r="T428" s="301"/>
      <c r="U428" s="301"/>
      <c r="V428" s="301"/>
    </row>
    <row r="429" spans="1:22" ht="12.6" customHeight="1" thickTop="1" thickBot="1" x14ac:dyDescent="0.3">
      <c r="A429" s="292"/>
      <c r="B429" s="293"/>
      <c r="C429" s="294"/>
      <c r="D429" s="294"/>
      <c r="E429" s="294"/>
      <c r="F429" s="310"/>
      <c r="G429" s="310"/>
      <c r="H429" s="310"/>
      <c r="I429" s="295"/>
      <c r="J429" s="295"/>
      <c r="K429" s="300">
        <f t="shared" si="27"/>
        <v>1.1000000000000001</v>
      </c>
      <c r="L429" s="300">
        <f t="shared" si="28"/>
        <v>0</v>
      </c>
      <c r="M429" s="285">
        <f t="shared" si="29"/>
        <v>0</v>
      </c>
      <c r="N429" s="1076">
        <f t="shared" si="30"/>
        <v>0</v>
      </c>
      <c r="O429" s="294"/>
      <c r="P429" s="404"/>
      <c r="Q429" s="404"/>
      <c r="R429" s="301"/>
      <c r="S429" s="301"/>
      <c r="T429" s="301"/>
      <c r="U429" s="301"/>
      <c r="V429" s="301"/>
    </row>
    <row r="430" spans="1:22" ht="12.6" customHeight="1" thickTop="1" thickBot="1" x14ac:dyDescent="0.3">
      <c r="A430" s="292"/>
      <c r="B430" s="293"/>
      <c r="C430" s="294"/>
      <c r="D430" s="294"/>
      <c r="E430" s="294"/>
      <c r="F430" s="310"/>
      <c r="G430" s="310"/>
      <c r="H430" s="310"/>
      <c r="I430" s="295"/>
      <c r="J430" s="295"/>
      <c r="K430" s="300">
        <f t="shared" si="27"/>
        <v>1.1000000000000001</v>
      </c>
      <c r="L430" s="300">
        <f t="shared" si="28"/>
        <v>0</v>
      </c>
      <c r="M430" s="285">
        <f t="shared" si="29"/>
        <v>0</v>
      </c>
      <c r="N430" s="1076">
        <f t="shared" si="30"/>
        <v>0</v>
      </c>
      <c r="O430" s="294"/>
      <c r="P430" s="404"/>
      <c r="Q430" s="404"/>
      <c r="R430" s="301"/>
      <c r="S430" s="301"/>
      <c r="T430" s="301"/>
      <c r="U430" s="301"/>
      <c r="V430" s="301"/>
    </row>
    <row r="431" spans="1:22" ht="12.6" customHeight="1" thickTop="1" thickBot="1" x14ac:dyDescent="0.3">
      <c r="A431" s="292"/>
      <c r="B431" s="293"/>
      <c r="C431" s="294"/>
      <c r="D431" s="294"/>
      <c r="E431" s="294"/>
      <c r="F431" s="310"/>
      <c r="G431" s="310"/>
      <c r="H431" s="310"/>
      <c r="I431" s="295"/>
      <c r="J431" s="295"/>
      <c r="K431" s="300">
        <f t="shared" si="27"/>
        <v>1.1000000000000001</v>
      </c>
      <c r="L431" s="300">
        <f t="shared" si="28"/>
        <v>0</v>
      </c>
      <c r="M431" s="285">
        <f t="shared" si="29"/>
        <v>0</v>
      </c>
      <c r="N431" s="1076">
        <f t="shared" si="30"/>
        <v>0</v>
      </c>
      <c r="O431" s="294"/>
      <c r="P431" s="404"/>
      <c r="Q431" s="404"/>
      <c r="R431" s="301"/>
      <c r="S431" s="301"/>
      <c r="T431" s="301"/>
      <c r="U431" s="301"/>
      <c r="V431" s="301"/>
    </row>
    <row r="432" spans="1:22" ht="12.6" customHeight="1" thickTop="1" thickBot="1" x14ac:dyDescent="0.3">
      <c r="A432" s="292"/>
      <c r="B432" s="293"/>
      <c r="C432" s="294"/>
      <c r="D432" s="294"/>
      <c r="E432" s="294"/>
      <c r="F432" s="310"/>
      <c r="G432" s="310"/>
      <c r="H432" s="310"/>
      <c r="I432" s="295"/>
      <c r="J432" s="295"/>
      <c r="K432" s="300">
        <f t="shared" si="27"/>
        <v>1.1000000000000001</v>
      </c>
      <c r="L432" s="300">
        <f t="shared" si="28"/>
        <v>0</v>
      </c>
      <c r="M432" s="285">
        <f t="shared" si="29"/>
        <v>0</v>
      </c>
      <c r="N432" s="1076">
        <f t="shared" si="30"/>
        <v>0</v>
      </c>
      <c r="O432" s="294"/>
      <c r="P432" s="404"/>
      <c r="Q432" s="404"/>
      <c r="R432" s="301"/>
      <c r="S432" s="301"/>
      <c r="T432" s="301"/>
      <c r="U432" s="301"/>
      <c r="V432" s="301"/>
    </row>
    <row r="433" spans="1:22" ht="12.6" customHeight="1" thickTop="1" thickBot="1" x14ac:dyDescent="0.3">
      <c r="A433" s="292"/>
      <c r="B433" s="293"/>
      <c r="C433" s="294"/>
      <c r="D433" s="294"/>
      <c r="E433" s="294"/>
      <c r="F433" s="310"/>
      <c r="G433" s="310"/>
      <c r="H433" s="310"/>
      <c r="I433" s="295"/>
      <c r="J433" s="295"/>
      <c r="K433" s="300">
        <f t="shared" si="27"/>
        <v>1.1000000000000001</v>
      </c>
      <c r="L433" s="300">
        <f t="shared" si="28"/>
        <v>0</v>
      </c>
      <c r="M433" s="285">
        <f t="shared" si="29"/>
        <v>0</v>
      </c>
      <c r="N433" s="1076">
        <f t="shared" si="30"/>
        <v>0</v>
      </c>
      <c r="O433" s="294"/>
      <c r="P433" s="404"/>
      <c r="Q433" s="404"/>
      <c r="R433" s="301"/>
      <c r="S433" s="301"/>
      <c r="T433" s="301"/>
      <c r="U433" s="301"/>
      <c r="V433" s="301"/>
    </row>
    <row r="434" spans="1:22" ht="12.6" customHeight="1" thickTop="1" thickBot="1" x14ac:dyDescent="0.3">
      <c r="A434" s="292"/>
      <c r="B434" s="293"/>
      <c r="C434" s="294"/>
      <c r="D434" s="294"/>
      <c r="E434" s="294"/>
      <c r="F434" s="310"/>
      <c r="G434" s="310"/>
      <c r="H434" s="310"/>
      <c r="I434" s="295"/>
      <c r="J434" s="295"/>
      <c r="K434" s="300">
        <f t="shared" si="27"/>
        <v>1.1000000000000001</v>
      </c>
      <c r="L434" s="300">
        <f t="shared" si="28"/>
        <v>0</v>
      </c>
      <c r="M434" s="285">
        <f t="shared" si="29"/>
        <v>0</v>
      </c>
      <c r="N434" s="1076">
        <f t="shared" si="30"/>
        <v>0</v>
      </c>
      <c r="O434" s="294"/>
      <c r="P434" s="404"/>
      <c r="Q434" s="404"/>
      <c r="R434" s="301"/>
      <c r="S434" s="301"/>
      <c r="T434" s="301"/>
      <c r="U434" s="301"/>
      <c r="V434" s="301"/>
    </row>
    <row r="435" spans="1:22" ht="12.6" customHeight="1" thickTop="1" thickBot="1" x14ac:dyDescent="0.3">
      <c r="A435" s="292"/>
      <c r="B435" s="293"/>
      <c r="C435" s="294"/>
      <c r="D435" s="294"/>
      <c r="E435" s="294"/>
      <c r="F435" s="310"/>
      <c r="G435" s="310"/>
      <c r="H435" s="310"/>
      <c r="I435" s="295"/>
      <c r="J435" s="295"/>
      <c r="K435" s="300">
        <f t="shared" si="27"/>
        <v>1.1000000000000001</v>
      </c>
      <c r="L435" s="300">
        <f t="shared" si="28"/>
        <v>0</v>
      </c>
      <c r="M435" s="285">
        <f t="shared" si="29"/>
        <v>0</v>
      </c>
      <c r="N435" s="1076">
        <f t="shared" si="30"/>
        <v>0</v>
      </c>
      <c r="O435" s="294"/>
      <c r="P435" s="404"/>
      <c r="Q435" s="404"/>
      <c r="R435" s="301"/>
      <c r="S435" s="301"/>
      <c r="T435" s="301"/>
      <c r="U435" s="301"/>
      <c r="V435" s="301"/>
    </row>
    <row r="436" spans="1:22" ht="12.6" customHeight="1" thickTop="1" thickBot="1" x14ac:dyDescent="0.3">
      <c r="A436" s="292"/>
      <c r="B436" s="293"/>
      <c r="C436" s="294"/>
      <c r="D436" s="294"/>
      <c r="E436" s="294"/>
      <c r="F436" s="310"/>
      <c r="G436" s="310"/>
      <c r="H436" s="310"/>
      <c r="I436" s="295"/>
      <c r="J436" s="295"/>
      <c r="K436" s="300">
        <f t="shared" si="27"/>
        <v>1.1000000000000001</v>
      </c>
      <c r="L436" s="300">
        <f t="shared" si="28"/>
        <v>0</v>
      </c>
      <c r="M436" s="285">
        <f t="shared" si="29"/>
        <v>0</v>
      </c>
      <c r="N436" s="1076">
        <f t="shared" si="30"/>
        <v>0</v>
      </c>
      <c r="O436" s="294"/>
      <c r="P436" s="404"/>
      <c r="Q436" s="404"/>
      <c r="R436" s="301"/>
      <c r="S436" s="301"/>
      <c r="T436" s="301"/>
      <c r="U436" s="301"/>
      <c r="V436" s="301"/>
    </row>
    <row r="437" spans="1:22" ht="12.6" customHeight="1" thickTop="1" thickBot="1" x14ac:dyDescent="0.3">
      <c r="A437" s="292"/>
      <c r="B437" s="293"/>
      <c r="C437" s="294"/>
      <c r="D437" s="294"/>
      <c r="E437" s="294"/>
      <c r="F437" s="310"/>
      <c r="G437" s="310"/>
      <c r="H437" s="310"/>
      <c r="I437" s="295"/>
      <c r="J437" s="295"/>
      <c r="K437" s="300">
        <f t="shared" si="27"/>
        <v>1.1000000000000001</v>
      </c>
      <c r="L437" s="300">
        <f t="shared" si="28"/>
        <v>0</v>
      </c>
      <c r="M437" s="285">
        <f t="shared" si="29"/>
        <v>0</v>
      </c>
      <c r="N437" s="1076">
        <f t="shared" si="30"/>
        <v>0</v>
      </c>
      <c r="O437" s="294"/>
      <c r="P437" s="404"/>
      <c r="Q437" s="404"/>
      <c r="R437" s="301"/>
      <c r="S437" s="301"/>
      <c r="T437" s="301"/>
      <c r="U437" s="301"/>
      <c r="V437" s="301"/>
    </row>
    <row r="438" spans="1:22" ht="12.6" customHeight="1" thickTop="1" thickBot="1" x14ac:dyDescent="0.3">
      <c r="A438" s="292"/>
      <c r="B438" s="293"/>
      <c r="C438" s="294"/>
      <c r="D438" s="294"/>
      <c r="E438" s="294"/>
      <c r="F438" s="310"/>
      <c r="G438" s="310"/>
      <c r="H438" s="310"/>
      <c r="I438" s="295"/>
      <c r="J438" s="295"/>
      <c r="K438" s="300">
        <f t="shared" si="27"/>
        <v>1.1000000000000001</v>
      </c>
      <c r="L438" s="300">
        <f t="shared" si="28"/>
        <v>0</v>
      </c>
      <c r="M438" s="285">
        <f t="shared" si="29"/>
        <v>0</v>
      </c>
      <c r="N438" s="1076">
        <f t="shared" si="30"/>
        <v>0</v>
      </c>
      <c r="O438" s="294"/>
      <c r="P438" s="404"/>
      <c r="Q438" s="404"/>
      <c r="R438" s="301"/>
      <c r="S438" s="301"/>
      <c r="T438" s="301"/>
      <c r="U438" s="301"/>
      <c r="V438" s="301"/>
    </row>
    <row r="439" spans="1:22" ht="12.6" customHeight="1" thickTop="1" thickBot="1" x14ac:dyDescent="0.3">
      <c r="A439" s="292"/>
      <c r="B439" s="293"/>
      <c r="C439" s="294"/>
      <c r="D439" s="294"/>
      <c r="E439" s="294"/>
      <c r="F439" s="310"/>
      <c r="G439" s="310"/>
      <c r="H439" s="310"/>
      <c r="I439" s="295"/>
      <c r="J439" s="295"/>
      <c r="K439" s="300">
        <f t="shared" si="27"/>
        <v>1.1000000000000001</v>
      </c>
      <c r="L439" s="300">
        <f t="shared" si="28"/>
        <v>0</v>
      </c>
      <c r="M439" s="285">
        <f t="shared" si="29"/>
        <v>0</v>
      </c>
      <c r="N439" s="1076">
        <f t="shared" si="30"/>
        <v>0</v>
      </c>
      <c r="O439" s="294"/>
      <c r="P439" s="404"/>
      <c r="Q439" s="404"/>
      <c r="R439" s="301"/>
      <c r="S439" s="301"/>
      <c r="T439" s="301"/>
      <c r="U439" s="301"/>
      <c r="V439" s="301"/>
    </row>
    <row r="440" spans="1:22" ht="12.6" customHeight="1" thickTop="1" thickBot="1" x14ac:dyDescent="0.3">
      <c r="A440" s="292"/>
      <c r="B440" s="293"/>
      <c r="C440" s="294"/>
      <c r="D440" s="294"/>
      <c r="E440" s="294"/>
      <c r="F440" s="310"/>
      <c r="G440" s="310"/>
      <c r="H440" s="310"/>
      <c r="I440" s="295"/>
      <c r="J440" s="295"/>
      <c r="K440" s="300">
        <f t="shared" si="27"/>
        <v>1.1000000000000001</v>
      </c>
      <c r="L440" s="300">
        <f t="shared" si="28"/>
        <v>0</v>
      </c>
      <c r="M440" s="285">
        <f t="shared" si="29"/>
        <v>0</v>
      </c>
      <c r="N440" s="1076">
        <f t="shared" si="30"/>
        <v>0</v>
      </c>
      <c r="O440" s="294"/>
      <c r="P440" s="404"/>
      <c r="Q440" s="404"/>
      <c r="R440" s="301"/>
      <c r="S440" s="301"/>
      <c r="T440" s="301"/>
      <c r="U440" s="301"/>
      <c r="V440" s="301"/>
    </row>
    <row r="441" spans="1:22" ht="12.6" customHeight="1" thickTop="1" thickBot="1" x14ac:dyDescent="0.3">
      <c r="A441" s="292"/>
      <c r="B441" s="293"/>
      <c r="C441" s="294"/>
      <c r="D441" s="294"/>
      <c r="E441" s="294"/>
      <c r="F441" s="310"/>
      <c r="G441" s="310"/>
      <c r="H441" s="310"/>
      <c r="I441" s="295"/>
      <c r="J441" s="295"/>
      <c r="K441" s="300">
        <f t="shared" si="27"/>
        <v>1.1000000000000001</v>
      </c>
      <c r="L441" s="300">
        <f t="shared" si="28"/>
        <v>0</v>
      </c>
      <c r="M441" s="285">
        <f t="shared" si="29"/>
        <v>0</v>
      </c>
      <c r="N441" s="1076">
        <f t="shared" si="30"/>
        <v>0</v>
      </c>
      <c r="O441" s="294"/>
      <c r="P441" s="404"/>
      <c r="Q441" s="404"/>
      <c r="R441" s="301"/>
      <c r="S441" s="301"/>
      <c r="T441" s="301"/>
      <c r="U441" s="301"/>
      <c r="V441" s="301"/>
    </row>
    <row r="442" spans="1:22" ht="12.6" customHeight="1" thickTop="1" thickBot="1" x14ac:dyDescent="0.3">
      <c r="A442" s="292"/>
      <c r="B442" s="293"/>
      <c r="C442" s="294"/>
      <c r="D442" s="294"/>
      <c r="E442" s="294"/>
      <c r="F442" s="310"/>
      <c r="G442" s="310"/>
      <c r="H442" s="310"/>
      <c r="I442" s="295"/>
      <c r="J442" s="295"/>
      <c r="K442" s="300">
        <f t="shared" si="27"/>
        <v>1.1000000000000001</v>
      </c>
      <c r="L442" s="300">
        <f t="shared" si="28"/>
        <v>0</v>
      </c>
      <c r="M442" s="285">
        <f t="shared" si="29"/>
        <v>0</v>
      </c>
      <c r="N442" s="1076">
        <f t="shared" si="30"/>
        <v>0</v>
      </c>
      <c r="O442" s="294"/>
      <c r="P442" s="404"/>
      <c r="Q442" s="404"/>
      <c r="R442" s="301"/>
      <c r="S442" s="301"/>
      <c r="T442" s="301"/>
      <c r="U442" s="301"/>
      <c r="V442" s="301"/>
    </row>
    <row r="443" spans="1:22" ht="12.6" customHeight="1" thickTop="1" thickBot="1" x14ac:dyDescent="0.3">
      <c r="A443" s="292"/>
      <c r="B443" s="293"/>
      <c r="C443" s="294"/>
      <c r="D443" s="294"/>
      <c r="E443" s="294"/>
      <c r="F443" s="310"/>
      <c r="G443" s="310"/>
      <c r="H443" s="310"/>
      <c r="I443" s="295"/>
      <c r="J443" s="295"/>
      <c r="K443" s="300">
        <f t="shared" si="27"/>
        <v>1.1000000000000001</v>
      </c>
      <c r="L443" s="300">
        <f t="shared" si="28"/>
        <v>0</v>
      </c>
      <c r="M443" s="285">
        <f t="shared" si="29"/>
        <v>0</v>
      </c>
      <c r="N443" s="1076">
        <f t="shared" si="30"/>
        <v>0</v>
      </c>
      <c r="O443" s="294"/>
      <c r="P443" s="404"/>
      <c r="Q443" s="404"/>
      <c r="R443" s="301"/>
      <c r="S443" s="301"/>
      <c r="T443" s="301"/>
      <c r="U443" s="301"/>
      <c r="V443" s="301"/>
    </row>
    <row r="444" spans="1:22" ht="12.6" customHeight="1" thickTop="1" thickBot="1" x14ac:dyDescent="0.3">
      <c r="A444" s="292"/>
      <c r="B444" s="293"/>
      <c r="C444" s="294"/>
      <c r="D444" s="294"/>
      <c r="E444" s="294"/>
      <c r="F444" s="310"/>
      <c r="G444" s="310"/>
      <c r="H444" s="310"/>
      <c r="I444" s="295"/>
      <c r="J444" s="295"/>
      <c r="K444" s="300">
        <f t="shared" si="27"/>
        <v>1.1000000000000001</v>
      </c>
      <c r="L444" s="300">
        <f t="shared" si="28"/>
        <v>0</v>
      </c>
      <c r="M444" s="285">
        <f t="shared" si="29"/>
        <v>0</v>
      </c>
      <c r="N444" s="1076">
        <f t="shared" si="30"/>
        <v>0</v>
      </c>
      <c r="O444" s="294"/>
      <c r="P444" s="404"/>
      <c r="Q444" s="404"/>
      <c r="R444" s="301"/>
      <c r="S444" s="301"/>
      <c r="T444" s="301"/>
      <c r="U444" s="301"/>
      <c r="V444" s="301"/>
    </row>
    <row r="445" spans="1:22" ht="12.6" customHeight="1" thickTop="1" thickBot="1" x14ac:dyDescent="0.3">
      <c r="A445" s="292"/>
      <c r="B445" s="293"/>
      <c r="C445" s="294"/>
      <c r="D445" s="294"/>
      <c r="E445" s="294"/>
      <c r="F445" s="310"/>
      <c r="G445" s="310"/>
      <c r="H445" s="310"/>
      <c r="I445" s="295"/>
      <c r="J445" s="295"/>
      <c r="K445" s="300">
        <f t="shared" si="27"/>
        <v>1.1000000000000001</v>
      </c>
      <c r="L445" s="300">
        <f t="shared" si="28"/>
        <v>0</v>
      </c>
      <c r="M445" s="285">
        <f t="shared" si="29"/>
        <v>0</v>
      </c>
      <c r="N445" s="1076">
        <f t="shared" si="30"/>
        <v>0</v>
      </c>
      <c r="O445" s="294"/>
      <c r="P445" s="404"/>
      <c r="Q445" s="404"/>
      <c r="R445" s="301"/>
      <c r="S445" s="301"/>
      <c r="T445" s="301"/>
      <c r="U445" s="301"/>
      <c r="V445" s="301"/>
    </row>
    <row r="446" spans="1:22" ht="12.6" customHeight="1" thickTop="1" thickBot="1" x14ac:dyDescent="0.3">
      <c r="A446" s="292"/>
      <c r="B446" s="293"/>
      <c r="C446" s="294"/>
      <c r="D446" s="294"/>
      <c r="E446" s="294"/>
      <c r="F446" s="310"/>
      <c r="G446" s="310"/>
      <c r="H446" s="310"/>
      <c r="I446" s="295"/>
      <c r="J446" s="295"/>
      <c r="K446" s="300">
        <f t="shared" si="27"/>
        <v>1.1000000000000001</v>
      </c>
      <c r="L446" s="300">
        <f t="shared" si="28"/>
        <v>0</v>
      </c>
      <c r="M446" s="285">
        <f t="shared" si="29"/>
        <v>0</v>
      </c>
      <c r="N446" s="1076">
        <f t="shared" si="30"/>
        <v>0</v>
      </c>
      <c r="O446" s="294"/>
      <c r="P446" s="404"/>
      <c r="Q446" s="404"/>
      <c r="R446" s="301"/>
      <c r="S446" s="301"/>
      <c r="T446" s="301"/>
      <c r="U446" s="301"/>
      <c r="V446" s="301"/>
    </row>
    <row r="447" spans="1:22" ht="12.6" customHeight="1" thickTop="1" thickBot="1" x14ac:dyDescent="0.3">
      <c r="A447" s="292"/>
      <c r="B447" s="293"/>
      <c r="C447" s="294"/>
      <c r="D447" s="294"/>
      <c r="E447" s="294"/>
      <c r="F447" s="310"/>
      <c r="G447" s="310"/>
      <c r="H447" s="310"/>
      <c r="I447" s="295"/>
      <c r="J447" s="295"/>
      <c r="K447" s="300">
        <f t="shared" si="27"/>
        <v>1.1000000000000001</v>
      </c>
      <c r="L447" s="300">
        <f t="shared" si="28"/>
        <v>0</v>
      </c>
      <c r="M447" s="285">
        <f t="shared" si="29"/>
        <v>0</v>
      </c>
      <c r="N447" s="1076">
        <f t="shared" si="30"/>
        <v>0</v>
      </c>
      <c r="O447" s="294"/>
      <c r="P447" s="404"/>
      <c r="Q447" s="404"/>
      <c r="R447" s="301"/>
      <c r="S447" s="301"/>
      <c r="T447" s="301"/>
      <c r="U447" s="301"/>
      <c r="V447" s="301"/>
    </row>
    <row r="448" spans="1:22" ht="12.6" customHeight="1" thickTop="1" thickBot="1" x14ac:dyDescent="0.3">
      <c r="A448" s="292"/>
      <c r="B448" s="293"/>
      <c r="C448" s="294"/>
      <c r="D448" s="294"/>
      <c r="E448" s="294"/>
      <c r="F448" s="310"/>
      <c r="G448" s="310"/>
      <c r="H448" s="310"/>
      <c r="I448" s="295"/>
      <c r="J448" s="295"/>
      <c r="K448" s="300">
        <f t="shared" si="27"/>
        <v>1.1000000000000001</v>
      </c>
      <c r="L448" s="300">
        <f t="shared" si="28"/>
        <v>0</v>
      </c>
      <c r="M448" s="285">
        <f t="shared" si="29"/>
        <v>0</v>
      </c>
      <c r="N448" s="1076">
        <f t="shared" si="30"/>
        <v>0</v>
      </c>
      <c r="O448" s="294"/>
      <c r="P448" s="404"/>
      <c r="Q448" s="404"/>
      <c r="R448" s="301"/>
      <c r="S448" s="301"/>
      <c r="T448" s="301"/>
      <c r="U448" s="301"/>
      <c r="V448" s="301"/>
    </row>
    <row r="449" spans="1:22" ht="12.6" customHeight="1" thickTop="1" thickBot="1" x14ac:dyDescent="0.3">
      <c r="A449" s="292"/>
      <c r="B449" s="293"/>
      <c r="C449" s="294"/>
      <c r="D449" s="294"/>
      <c r="E449" s="294"/>
      <c r="F449" s="310"/>
      <c r="G449" s="310"/>
      <c r="H449" s="310"/>
      <c r="I449" s="295"/>
      <c r="J449" s="295"/>
      <c r="K449" s="300">
        <f t="shared" si="27"/>
        <v>1.1000000000000001</v>
      </c>
      <c r="L449" s="300">
        <f t="shared" si="28"/>
        <v>0</v>
      </c>
      <c r="M449" s="285">
        <f t="shared" si="29"/>
        <v>0</v>
      </c>
      <c r="N449" s="1076">
        <f t="shared" si="30"/>
        <v>0</v>
      </c>
      <c r="O449" s="294"/>
      <c r="P449" s="404"/>
      <c r="Q449" s="404"/>
      <c r="R449" s="301"/>
      <c r="S449" s="301"/>
      <c r="T449" s="301"/>
      <c r="U449" s="301"/>
      <c r="V449" s="301"/>
    </row>
    <row r="450" spans="1:22" ht="12.6" customHeight="1" thickTop="1" thickBot="1" x14ac:dyDescent="0.3">
      <c r="A450" s="292"/>
      <c r="B450" s="293"/>
      <c r="C450" s="294"/>
      <c r="D450" s="294"/>
      <c r="E450" s="294"/>
      <c r="F450" s="310"/>
      <c r="G450" s="310"/>
      <c r="H450" s="310"/>
      <c r="I450" s="295"/>
      <c r="J450" s="295"/>
      <c r="K450" s="300">
        <f t="shared" si="27"/>
        <v>1.1000000000000001</v>
      </c>
      <c r="L450" s="300">
        <f t="shared" si="28"/>
        <v>0</v>
      </c>
      <c r="M450" s="285">
        <f t="shared" si="29"/>
        <v>0</v>
      </c>
      <c r="N450" s="1076">
        <f t="shared" si="30"/>
        <v>0</v>
      </c>
      <c r="O450" s="294"/>
      <c r="P450" s="404"/>
      <c r="Q450" s="404"/>
      <c r="R450" s="301"/>
      <c r="S450" s="301"/>
      <c r="T450" s="301"/>
      <c r="U450" s="301"/>
      <c r="V450" s="301"/>
    </row>
    <row r="451" spans="1:22" ht="12.6" customHeight="1" thickTop="1" thickBot="1" x14ac:dyDescent="0.3">
      <c r="A451" s="292"/>
      <c r="B451" s="293"/>
      <c r="C451" s="294"/>
      <c r="D451" s="294"/>
      <c r="E451" s="294"/>
      <c r="F451" s="310"/>
      <c r="G451" s="310"/>
      <c r="H451" s="310"/>
      <c r="I451" s="295"/>
      <c r="J451" s="295"/>
      <c r="K451" s="300">
        <f t="shared" ref="K451:K514" si="31">$K$2</f>
        <v>1.1000000000000001</v>
      </c>
      <c r="L451" s="300">
        <f t="shared" si="28"/>
        <v>0</v>
      </c>
      <c r="M451" s="285">
        <f t="shared" si="29"/>
        <v>0</v>
      </c>
      <c r="N451" s="1076">
        <f t="shared" si="30"/>
        <v>0</v>
      </c>
      <c r="O451" s="294"/>
      <c r="P451" s="404"/>
      <c r="Q451" s="404"/>
      <c r="R451" s="301"/>
      <c r="S451" s="301"/>
      <c r="T451" s="301"/>
      <c r="U451" s="301"/>
      <c r="V451" s="301"/>
    </row>
    <row r="452" spans="1:22" ht="12.6" customHeight="1" thickTop="1" thickBot="1" x14ac:dyDescent="0.3">
      <c r="A452" s="292"/>
      <c r="B452" s="293"/>
      <c r="C452" s="294"/>
      <c r="D452" s="294"/>
      <c r="E452" s="294"/>
      <c r="F452" s="310"/>
      <c r="G452" s="310"/>
      <c r="H452" s="310"/>
      <c r="I452" s="295"/>
      <c r="J452" s="295"/>
      <c r="K452" s="300">
        <f t="shared" si="31"/>
        <v>1.1000000000000001</v>
      </c>
      <c r="L452" s="300">
        <f t="shared" si="28"/>
        <v>0</v>
      </c>
      <c r="M452" s="285">
        <f t="shared" si="29"/>
        <v>0</v>
      </c>
      <c r="N452" s="1076">
        <f t="shared" si="30"/>
        <v>0</v>
      </c>
      <c r="O452" s="294"/>
      <c r="P452" s="404"/>
      <c r="Q452" s="404"/>
      <c r="R452" s="301"/>
      <c r="S452" s="301"/>
      <c r="T452" s="301"/>
      <c r="U452" s="301"/>
      <c r="V452" s="301"/>
    </row>
    <row r="453" spans="1:22" ht="12.6" customHeight="1" thickTop="1" thickBot="1" x14ac:dyDescent="0.3">
      <c r="A453" s="292"/>
      <c r="B453" s="293"/>
      <c r="C453" s="294"/>
      <c r="D453" s="294"/>
      <c r="E453" s="294"/>
      <c r="F453" s="310"/>
      <c r="G453" s="310"/>
      <c r="H453" s="310"/>
      <c r="I453" s="295"/>
      <c r="J453" s="295"/>
      <c r="K453" s="300">
        <f t="shared" si="31"/>
        <v>1.1000000000000001</v>
      </c>
      <c r="L453" s="300">
        <f t="shared" si="28"/>
        <v>0</v>
      </c>
      <c r="M453" s="285">
        <f t="shared" si="29"/>
        <v>0</v>
      </c>
      <c r="N453" s="1076">
        <f t="shared" si="30"/>
        <v>0</v>
      </c>
      <c r="O453" s="294"/>
      <c r="P453" s="404"/>
      <c r="Q453" s="404"/>
      <c r="R453" s="301"/>
      <c r="S453" s="301"/>
      <c r="T453" s="301"/>
      <c r="U453" s="301"/>
      <c r="V453" s="301"/>
    </row>
    <row r="454" spans="1:22" ht="12.6" customHeight="1" thickTop="1" thickBot="1" x14ac:dyDescent="0.3">
      <c r="A454" s="292"/>
      <c r="B454" s="293"/>
      <c r="C454" s="294"/>
      <c r="D454" s="294"/>
      <c r="E454" s="294"/>
      <c r="F454" s="310"/>
      <c r="G454" s="310"/>
      <c r="H454" s="310"/>
      <c r="I454" s="295"/>
      <c r="J454" s="295"/>
      <c r="K454" s="300">
        <f t="shared" si="31"/>
        <v>1.1000000000000001</v>
      </c>
      <c r="L454" s="300">
        <f t="shared" si="28"/>
        <v>0</v>
      </c>
      <c r="M454" s="285">
        <f t="shared" si="29"/>
        <v>0</v>
      </c>
      <c r="N454" s="1076">
        <f t="shared" si="30"/>
        <v>0</v>
      </c>
      <c r="O454" s="294"/>
      <c r="P454" s="404"/>
      <c r="Q454" s="404"/>
      <c r="R454" s="301"/>
      <c r="S454" s="301"/>
      <c r="T454" s="301"/>
      <c r="U454" s="301"/>
      <c r="V454" s="301"/>
    </row>
    <row r="455" spans="1:22" ht="12.6" customHeight="1" thickTop="1" thickBot="1" x14ac:dyDescent="0.3">
      <c r="A455" s="292"/>
      <c r="B455" s="293"/>
      <c r="C455" s="294"/>
      <c r="D455" s="294"/>
      <c r="E455" s="294"/>
      <c r="F455" s="310"/>
      <c r="G455" s="310"/>
      <c r="H455" s="310"/>
      <c r="I455" s="295"/>
      <c r="J455" s="295"/>
      <c r="K455" s="300">
        <f t="shared" si="31"/>
        <v>1.1000000000000001</v>
      </c>
      <c r="L455" s="300">
        <f t="shared" ref="L455:L518" si="32">K455*J455</f>
        <v>0</v>
      </c>
      <c r="M455" s="285">
        <f t="shared" ref="M455:M518" si="33">ROUND(L455,1)</f>
        <v>0</v>
      </c>
      <c r="N455" s="1076">
        <f t="shared" ref="N455:N518" si="34">ROUNDUP(M455,0)</f>
        <v>0</v>
      </c>
      <c r="O455" s="294"/>
      <c r="P455" s="404"/>
      <c r="Q455" s="404"/>
      <c r="R455" s="301"/>
      <c r="S455" s="301"/>
      <c r="T455" s="301"/>
      <c r="U455" s="301"/>
      <c r="V455" s="301"/>
    </row>
    <row r="456" spans="1:22" ht="12.6" customHeight="1" thickTop="1" thickBot="1" x14ac:dyDescent="0.3">
      <c r="A456" s="292"/>
      <c r="B456" s="293"/>
      <c r="C456" s="294"/>
      <c r="D456" s="294"/>
      <c r="E456" s="294"/>
      <c r="F456" s="310"/>
      <c r="G456" s="310"/>
      <c r="H456" s="310"/>
      <c r="I456" s="295"/>
      <c r="J456" s="295"/>
      <c r="K456" s="300">
        <f t="shared" si="31"/>
        <v>1.1000000000000001</v>
      </c>
      <c r="L456" s="300">
        <f t="shared" si="32"/>
        <v>0</v>
      </c>
      <c r="M456" s="285">
        <f t="shared" si="33"/>
        <v>0</v>
      </c>
      <c r="N456" s="1076">
        <f t="shared" si="34"/>
        <v>0</v>
      </c>
      <c r="O456" s="294"/>
      <c r="P456" s="404"/>
      <c r="Q456" s="404"/>
      <c r="R456" s="301"/>
      <c r="S456" s="301"/>
      <c r="T456" s="301"/>
      <c r="U456" s="301"/>
      <c r="V456" s="301"/>
    </row>
    <row r="457" spans="1:22" ht="12.6" customHeight="1" thickTop="1" thickBot="1" x14ac:dyDescent="0.3">
      <c r="A457" s="292"/>
      <c r="B457" s="293"/>
      <c r="C457" s="294"/>
      <c r="D457" s="294"/>
      <c r="E457" s="294"/>
      <c r="F457" s="310"/>
      <c r="G457" s="310"/>
      <c r="H457" s="310"/>
      <c r="I457" s="295"/>
      <c r="J457" s="295"/>
      <c r="K457" s="300">
        <f t="shared" si="31"/>
        <v>1.1000000000000001</v>
      </c>
      <c r="L457" s="300">
        <f t="shared" si="32"/>
        <v>0</v>
      </c>
      <c r="M457" s="285">
        <f t="shared" si="33"/>
        <v>0</v>
      </c>
      <c r="N457" s="1076">
        <f t="shared" si="34"/>
        <v>0</v>
      </c>
      <c r="O457" s="294"/>
      <c r="P457" s="404"/>
      <c r="Q457" s="404"/>
      <c r="R457" s="301"/>
      <c r="S457" s="301"/>
      <c r="T457" s="301"/>
      <c r="U457" s="301"/>
      <c r="V457" s="301"/>
    </row>
    <row r="458" spans="1:22" ht="12.6" customHeight="1" thickTop="1" thickBot="1" x14ac:dyDescent="0.3">
      <c r="A458" s="292"/>
      <c r="B458" s="293"/>
      <c r="C458" s="294"/>
      <c r="D458" s="294"/>
      <c r="E458" s="294"/>
      <c r="F458" s="310"/>
      <c r="G458" s="310"/>
      <c r="H458" s="310"/>
      <c r="I458" s="295"/>
      <c r="J458" s="295"/>
      <c r="K458" s="300">
        <f t="shared" si="31"/>
        <v>1.1000000000000001</v>
      </c>
      <c r="L458" s="300">
        <f t="shared" si="32"/>
        <v>0</v>
      </c>
      <c r="M458" s="285">
        <f t="shared" si="33"/>
        <v>0</v>
      </c>
      <c r="N458" s="1076">
        <f t="shared" si="34"/>
        <v>0</v>
      </c>
      <c r="O458" s="294"/>
      <c r="P458" s="404"/>
      <c r="Q458" s="404"/>
      <c r="R458" s="301"/>
      <c r="S458" s="301"/>
      <c r="T458" s="301"/>
      <c r="U458" s="301"/>
      <c r="V458" s="301"/>
    </row>
    <row r="459" spans="1:22" ht="12.6" customHeight="1" thickTop="1" thickBot="1" x14ac:dyDescent="0.3">
      <c r="A459" s="292"/>
      <c r="B459" s="293"/>
      <c r="C459" s="294"/>
      <c r="D459" s="294"/>
      <c r="E459" s="294"/>
      <c r="F459" s="310"/>
      <c r="G459" s="310"/>
      <c r="H459" s="310"/>
      <c r="I459" s="295"/>
      <c r="J459" s="295"/>
      <c r="K459" s="300">
        <f t="shared" si="31"/>
        <v>1.1000000000000001</v>
      </c>
      <c r="L459" s="300">
        <f t="shared" si="32"/>
        <v>0</v>
      </c>
      <c r="M459" s="285">
        <f t="shared" si="33"/>
        <v>0</v>
      </c>
      <c r="N459" s="1076">
        <f t="shared" si="34"/>
        <v>0</v>
      </c>
      <c r="O459" s="294"/>
      <c r="P459" s="404"/>
      <c r="Q459" s="404"/>
      <c r="R459" s="301"/>
      <c r="S459" s="301"/>
      <c r="T459" s="301"/>
      <c r="U459" s="301"/>
      <c r="V459" s="301"/>
    </row>
    <row r="460" spans="1:22" ht="12.6" customHeight="1" thickTop="1" thickBot="1" x14ac:dyDescent="0.3">
      <c r="A460" s="292"/>
      <c r="B460" s="293"/>
      <c r="C460" s="294"/>
      <c r="D460" s="294"/>
      <c r="E460" s="294"/>
      <c r="F460" s="310"/>
      <c r="G460" s="310"/>
      <c r="H460" s="310"/>
      <c r="I460" s="295"/>
      <c r="J460" s="295"/>
      <c r="K460" s="300">
        <f t="shared" si="31"/>
        <v>1.1000000000000001</v>
      </c>
      <c r="L460" s="300">
        <f t="shared" si="32"/>
        <v>0</v>
      </c>
      <c r="M460" s="285">
        <f t="shared" si="33"/>
        <v>0</v>
      </c>
      <c r="N460" s="1076">
        <f t="shared" si="34"/>
        <v>0</v>
      </c>
      <c r="O460" s="294"/>
      <c r="P460" s="404"/>
      <c r="Q460" s="404"/>
      <c r="R460" s="301"/>
      <c r="S460" s="301"/>
      <c r="T460" s="301"/>
      <c r="U460" s="301"/>
      <c r="V460" s="301"/>
    </row>
    <row r="461" spans="1:22" ht="12.6" customHeight="1" thickTop="1" thickBot="1" x14ac:dyDescent="0.3">
      <c r="A461" s="292"/>
      <c r="B461" s="293"/>
      <c r="C461" s="294"/>
      <c r="D461" s="294"/>
      <c r="E461" s="294"/>
      <c r="F461" s="310"/>
      <c r="G461" s="310"/>
      <c r="H461" s="310"/>
      <c r="I461" s="295"/>
      <c r="J461" s="295"/>
      <c r="K461" s="300">
        <f t="shared" si="31"/>
        <v>1.1000000000000001</v>
      </c>
      <c r="L461" s="300">
        <f t="shared" si="32"/>
        <v>0</v>
      </c>
      <c r="M461" s="285">
        <f t="shared" si="33"/>
        <v>0</v>
      </c>
      <c r="N461" s="1076">
        <f t="shared" si="34"/>
        <v>0</v>
      </c>
      <c r="O461" s="294"/>
      <c r="P461" s="404"/>
      <c r="Q461" s="404"/>
      <c r="R461" s="301"/>
      <c r="S461" s="301"/>
      <c r="T461" s="301"/>
      <c r="U461" s="301"/>
      <c r="V461" s="301"/>
    </row>
    <row r="462" spans="1:22" ht="12.6" customHeight="1" thickTop="1" thickBot="1" x14ac:dyDescent="0.3">
      <c r="A462" s="292"/>
      <c r="B462" s="293"/>
      <c r="C462" s="294"/>
      <c r="D462" s="294"/>
      <c r="E462" s="294"/>
      <c r="F462" s="310"/>
      <c r="G462" s="310"/>
      <c r="H462" s="310"/>
      <c r="I462" s="295"/>
      <c r="J462" s="295"/>
      <c r="K462" s="300">
        <f t="shared" si="31"/>
        <v>1.1000000000000001</v>
      </c>
      <c r="L462" s="300">
        <f t="shared" si="32"/>
        <v>0</v>
      </c>
      <c r="M462" s="285">
        <f t="shared" si="33"/>
        <v>0</v>
      </c>
      <c r="N462" s="1076">
        <f t="shared" si="34"/>
        <v>0</v>
      </c>
      <c r="O462" s="294"/>
      <c r="P462" s="404"/>
      <c r="Q462" s="404"/>
      <c r="R462" s="301"/>
      <c r="S462" s="301"/>
      <c r="T462" s="301"/>
      <c r="U462" s="301"/>
      <c r="V462" s="301"/>
    </row>
    <row r="463" spans="1:22" ht="12.6" customHeight="1" thickTop="1" thickBot="1" x14ac:dyDescent="0.3">
      <c r="A463" s="292"/>
      <c r="B463" s="293"/>
      <c r="C463" s="294"/>
      <c r="D463" s="294"/>
      <c r="E463" s="294"/>
      <c r="F463" s="310"/>
      <c r="G463" s="310"/>
      <c r="H463" s="310"/>
      <c r="I463" s="295"/>
      <c r="J463" s="295"/>
      <c r="K463" s="300">
        <f t="shared" si="31"/>
        <v>1.1000000000000001</v>
      </c>
      <c r="L463" s="300">
        <f t="shared" si="32"/>
        <v>0</v>
      </c>
      <c r="M463" s="285">
        <f t="shared" si="33"/>
        <v>0</v>
      </c>
      <c r="N463" s="1076">
        <f t="shared" si="34"/>
        <v>0</v>
      </c>
      <c r="O463" s="294"/>
      <c r="P463" s="404"/>
      <c r="Q463" s="404"/>
      <c r="R463" s="301"/>
      <c r="S463" s="301"/>
      <c r="T463" s="301"/>
      <c r="U463" s="301"/>
      <c r="V463" s="301"/>
    </row>
    <row r="464" spans="1:22" ht="12.6" customHeight="1" thickTop="1" thickBot="1" x14ac:dyDescent="0.3">
      <c r="A464" s="292"/>
      <c r="B464" s="293"/>
      <c r="C464" s="294"/>
      <c r="D464" s="294"/>
      <c r="E464" s="294"/>
      <c r="F464" s="310"/>
      <c r="G464" s="310"/>
      <c r="H464" s="310"/>
      <c r="I464" s="295"/>
      <c r="J464" s="295"/>
      <c r="K464" s="300">
        <f t="shared" si="31"/>
        <v>1.1000000000000001</v>
      </c>
      <c r="L464" s="300">
        <f t="shared" si="32"/>
        <v>0</v>
      </c>
      <c r="M464" s="285">
        <f t="shared" si="33"/>
        <v>0</v>
      </c>
      <c r="N464" s="1076">
        <f t="shared" si="34"/>
        <v>0</v>
      </c>
      <c r="O464" s="294"/>
      <c r="P464" s="404"/>
      <c r="Q464" s="404"/>
      <c r="R464" s="301"/>
      <c r="S464" s="301"/>
      <c r="T464" s="301"/>
      <c r="U464" s="301"/>
      <c r="V464" s="301"/>
    </row>
    <row r="465" spans="1:22" ht="12.6" customHeight="1" thickTop="1" thickBot="1" x14ac:dyDescent="0.3">
      <c r="A465" s="292"/>
      <c r="B465" s="293"/>
      <c r="C465" s="294"/>
      <c r="D465" s="294"/>
      <c r="E465" s="294"/>
      <c r="F465" s="310"/>
      <c r="G465" s="310"/>
      <c r="H465" s="310"/>
      <c r="I465" s="295"/>
      <c r="J465" s="295"/>
      <c r="K465" s="300">
        <f t="shared" si="31"/>
        <v>1.1000000000000001</v>
      </c>
      <c r="L465" s="300">
        <f t="shared" si="32"/>
        <v>0</v>
      </c>
      <c r="M465" s="285">
        <f t="shared" si="33"/>
        <v>0</v>
      </c>
      <c r="N465" s="1076">
        <f t="shared" si="34"/>
        <v>0</v>
      </c>
      <c r="O465" s="294"/>
      <c r="P465" s="404"/>
      <c r="Q465" s="404"/>
      <c r="R465" s="301"/>
      <c r="S465" s="301"/>
      <c r="T465" s="301"/>
      <c r="U465" s="301"/>
      <c r="V465" s="301"/>
    </row>
    <row r="466" spans="1:22" ht="12.6" customHeight="1" thickTop="1" thickBot="1" x14ac:dyDescent="0.3">
      <c r="A466" s="292"/>
      <c r="B466" s="293"/>
      <c r="C466" s="294"/>
      <c r="D466" s="294"/>
      <c r="E466" s="294"/>
      <c r="F466" s="310"/>
      <c r="G466" s="310"/>
      <c r="H466" s="310"/>
      <c r="I466" s="295"/>
      <c r="J466" s="295"/>
      <c r="K466" s="300">
        <f t="shared" si="31"/>
        <v>1.1000000000000001</v>
      </c>
      <c r="L466" s="300">
        <f t="shared" si="32"/>
        <v>0</v>
      </c>
      <c r="M466" s="285">
        <f t="shared" si="33"/>
        <v>0</v>
      </c>
      <c r="N466" s="1076">
        <f t="shared" si="34"/>
        <v>0</v>
      </c>
      <c r="O466" s="294"/>
      <c r="P466" s="404"/>
      <c r="Q466" s="404"/>
      <c r="R466" s="301"/>
      <c r="S466" s="301"/>
      <c r="T466" s="301"/>
      <c r="U466" s="301"/>
      <c r="V466" s="301"/>
    </row>
    <row r="467" spans="1:22" ht="12.6" customHeight="1" thickTop="1" thickBot="1" x14ac:dyDescent="0.3">
      <c r="A467" s="292"/>
      <c r="B467" s="293"/>
      <c r="C467" s="294"/>
      <c r="D467" s="294"/>
      <c r="E467" s="294"/>
      <c r="F467" s="310"/>
      <c r="G467" s="310"/>
      <c r="H467" s="310"/>
      <c r="I467" s="295"/>
      <c r="J467" s="295"/>
      <c r="K467" s="300">
        <f t="shared" si="31"/>
        <v>1.1000000000000001</v>
      </c>
      <c r="L467" s="300">
        <f t="shared" si="32"/>
        <v>0</v>
      </c>
      <c r="M467" s="285">
        <f t="shared" si="33"/>
        <v>0</v>
      </c>
      <c r="N467" s="1076">
        <f t="shared" si="34"/>
        <v>0</v>
      </c>
      <c r="O467" s="294"/>
      <c r="P467" s="404"/>
      <c r="Q467" s="404"/>
      <c r="R467" s="301"/>
      <c r="S467" s="301"/>
      <c r="T467" s="301"/>
      <c r="U467" s="301"/>
      <c r="V467" s="301"/>
    </row>
    <row r="468" spans="1:22" ht="12.6" customHeight="1" thickTop="1" thickBot="1" x14ac:dyDescent="0.3">
      <c r="A468" s="292"/>
      <c r="B468" s="293"/>
      <c r="C468" s="294"/>
      <c r="D468" s="294"/>
      <c r="E468" s="294"/>
      <c r="F468" s="310"/>
      <c r="G468" s="310"/>
      <c r="H468" s="310"/>
      <c r="I468" s="295"/>
      <c r="J468" s="295"/>
      <c r="K468" s="300">
        <f t="shared" si="31"/>
        <v>1.1000000000000001</v>
      </c>
      <c r="L468" s="300">
        <f t="shared" si="32"/>
        <v>0</v>
      </c>
      <c r="M468" s="285">
        <f t="shared" si="33"/>
        <v>0</v>
      </c>
      <c r="N468" s="1076">
        <f t="shared" si="34"/>
        <v>0</v>
      </c>
      <c r="O468" s="294"/>
      <c r="P468" s="404"/>
      <c r="Q468" s="404"/>
      <c r="R468" s="301"/>
      <c r="S468" s="301"/>
      <c r="T468" s="301"/>
      <c r="U468" s="301"/>
      <c r="V468" s="301"/>
    </row>
    <row r="469" spans="1:22" ht="12.6" customHeight="1" thickTop="1" thickBot="1" x14ac:dyDescent="0.3">
      <c r="A469" s="292"/>
      <c r="B469" s="293"/>
      <c r="C469" s="294"/>
      <c r="D469" s="294"/>
      <c r="E469" s="294"/>
      <c r="F469" s="310"/>
      <c r="G469" s="310"/>
      <c r="H469" s="310"/>
      <c r="I469" s="295"/>
      <c r="J469" s="295"/>
      <c r="K469" s="300">
        <f t="shared" si="31"/>
        <v>1.1000000000000001</v>
      </c>
      <c r="L469" s="300">
        <f t="shared" si="32"/>
        <v>0</v>
      </c>
      <c r="M469" s="285">
        <f t="shared" si="33"/>
        <v>0</v>
      </c>
      <c r="N469" s="1076">
        <f t="shared" si="34"/>
        <v>0</v>
      </c>
      <c r="O469" s="294"/>
      <c r="P469" s="404"/>
      <c r="Q469" s="404"/>
      <c r="R469" s="301"/>
      <c r="S469" s="301"/>
      <c r="T469" s="301"/>
      <c r="U469" s="301"/>
      <c r="V469" s="301"/>
    </row>
    <row r="470" spans="1:22" ht="12.6" customHeight="1" thickTop="1" thickBot="1" x14ac:dyDescent="0.3">
      <c r="A470" s="292"/>
      <c r="B470" s="293"/>
      <c r="C470" s="294"/>
      <c r="D470" s="294"/>
      <c r="E470" s="294"/>
      <c r="F470" s="310"/>
      <c r="G470" s="310"/>
      <c r="H470" s="310"/>
      <c r="I470" s="295"/>
      <c r="J470" s="295"/>
      <c r="K470" s="300">
        <f t="shared" si="31"/>
        <v>1.1000000000000001</v>
      </c>
      <c r="L470" s="300">
        <f t="shared" si="32"/>
        <v>0</v>
      </c>
      <c r="M470" s="285">
        <f t="shared" si="33"/>
        <v>0</v>
      </c>
      <c r="N470" s="1076">
        <f t="shared" si="34"/>
        <v>0</v>
      </c>
      <c r="O470" s="294"/>
      <c r="P470" s="404"/>
      <c r="Q470" s="404"/>
      <c r="R470" s="301"/>
      <c r="S470" s="301"/>
      <c r="T470" s="301"/>
      <c r="U470" s="301"/>
      <c r="V470" s="301"/>
    </row>
    <row r="471" spans="1:22" ht="12.6" customHeight="1" thickTop="1" thickBot="1" x14ac:dyDescent="0.3">
      <c r="A471" s="292"/>
      <c r="B471" s="293"/>
      <c r="C471" s="294"/>
      <c r="D471" s="294"/>
      <c r="E471" s="294"/>
      <c r="F471" s="310"/>
      <c r="G471" s="310"/>
      <c r="H471" s="310"/>
      <c r="I471" s="295"/>
      <c r="J471" s="295"/>
      <c r="K471" s="300">
        <f t="shared" si="31"/>
        <v>1.1000000000000001</v>
      </c>
      <c r="L471" s="300">
        <f t="shared" si="32"/>
        <v>0</v>
      </c>
      <c r="M471" s="285">
        <f t="shared" si="33"/>
        <v>0</v>
      </c>
      <c r="N471" s="1076">
        <f t="shared" si="34"/>
        <v>0</v>
      </c>
      <c r="O471" s="294"/>
      <c r="P471" s="404"/>
      <c r="Q471" s="404"/>
      <c r="R471" s="301"/>
      <c r="S471" s="301"/>
      <c r="T471" s="301"/>
      <c r="U471" s="301"/>
      <c r="V471" s="301"/>
    </row>
    <row r="472" spans="1:22" ht="12.6" customHeight="1" thickTop="1" thickBot="1" x14ac:dyDescent="0.3">
      <c r="A472" s="292"/>
      <c r="B472" s="293"/>
      <c r="C472" s="294"/>
      <c r="D472" s="294"/>
      <c r="E472" s="294"/>
      <c r="F472" s="310"/>
      <c r="G472" s="310"/>
      <c r="H472" s="310"/>
      <c r="I472" s="295"/>
      <c r="J472" s="295"/>
      <c r="K472" s="300">
        <f t="shared" si="31"/>
        <v>1.1000000000000001</v>
      </c>
      <c r="L472" s="300">
        <f t="shared" si="32"/>
        <v>0</v>
      </c>
      <c r="M472" s="285">
        <f t="shared" si="33"/>
        <v>0</v>
      </c>
      <c r="N472" s="1076">
        <f t="shared" si="34"/>
        <v>0</v>
      </c>
      <c r="O472" s="294"/>
      <c r="P472" s="404"/>
      <c r="Q472" s="404"/>
      <c r="R472" s="301"/>
      <c r="S472" s="301"/>
      <c r="T472" s="301"/>
      <c r="U472" s="301"/>
      <c r="V472" s="301"/>
    </row>
    <row r="473" spans="1:22" ht="12.6" customHeight="1" thickTop="1" thickBot="1" x14ac:dyDescent="0.3">
      <c r="A473" s="292"/>
      <c r="B473" s="293"/>
      <c r="C473" s="294"/>
      <c r="D473" s="294"/>
      <c r="E473" s="294"/>
      <c r="F473" s="310"/>
      <c r="G473" s="310"/>
      <c r="H473" s="310"/>
      <c r="I473" s="295"/>
      <c r="J473" s="295"/>
      <c r="K473" s="300">
        <f t="shared" si="31"/>
        <v>1.1000000000000001</v>
      </c>
      <c r="L473" s="300">
        <f t="shared" si="32"/>
        <v>0</v>
      </c>
      <c r="M473" s="285">
        <f t="shared" si="33"/>
        <v>0</v>
      </c>
      <c r="N473" s="1076">
        <f t="shared" si="34"/>
        <v>0</v>
      </c>
      <c r="O473" s="294"/>
      <c r="P473" s="404"/>
      <c r="Q473" s="404"/>
      <c r="R473" s="301"/>
      <c r="S473" s="301"/>
      <c r="T473" s="301"/>
      <c r="U473" s="301"/>
      <c r="V473" s="301"/>
    </row>
    <row r="474" spans="1:22" ht="12.6" customHeight="1" thickTop="1" thickBot="1" x14ac:dyDescent="0.3">
      <c r="A474" s="292"/>
      <c r="B474" s="293"/>
      <c r="C474" s="294"/>
      <c r="D474" s="294"/>
      <c r="E474" s="294"/>
      <c r="F474" s="310"/>
      <c r="G474" s="310"/>
      <c r="H474" s="310"/>
      <c r="I474" s="295"/>
      <c r="J474" s="295"/>
      <c r="K474" s="300">
        <f t="shared" si="31"/>
        <v>1.1000000000000001</v>
      </c>
      <c r="L474" s="300">
        <f t="shared" si="32"/>
        <v>0</v>
      </c>
      <c r="M474" s="285">
        <f t="shared" si="33"/>
        <v>0</v>
      </c>
      <c r="N474" s="1076">
        <f t="shared" si="34"/>
        <v>0</v>
      </c>
      <c r="O474" s="294"/>
      <c r="P474" s="404"/>
      <c r="Q474" s="404"/>
      <c r="R474" s="301"/>
      <c r="S474" s="301"/>
      <c r="T474" s="301"/>
      <c r="U474" s="301"/>
      <c r="V474" s="301"/>
    </row>
    <row r="475" spans="1:22" ht="12.6" customHeight="1" thickTop="1" thickBot="1" x14ac:dyDescent="0.3">
      <c r="A475" s="292"/>
      <c r="B475" s="293"/>
      <c r="C475" s="294"/>
      <c r="D475" s="294"/>
      <c r="E475" s="294"/>
      <c r="F475" s="310"/>
      <c r="G475" s="310"/>
      <c r="H475" s="310"/>
      <c r="I475" s="295"/>
      <c r="J475" s="295"/>
      <c r="K475" s="300">
        <f t="shared" si="31"/>
        <v>1.1000000000000001</v>
      </c>
      <c r="L475" s="300">
        <f t="shared" si="32"/>
        <v>0</v>
      </c>
      <c r="M475" s="285">
        <f t="shared" si="33"/>
        <v>0</v>
      </c>
      <c r="N475" s="1076">
        <f t="shared" si="34"/>
        <v>0</v>
      </c>
      <c r="O475" s="294"/>
      <c r="P475" s="404"/>
      <c r="Q475" s="404"/>
      <c r="R475" s="301"/>
      <c r="S475" s="301"/>
      <c r="T475" s="301"/>
      <c r="U475" s="301"/>
      <c r="V475" s="301"/>
    </row>
    <row r="476" spans="1:22" ht="12.6" customHeight="1" thickTop="1" thickBot="1" x14ac:dyDescent="0.3">
      <c r="A476" s="292"/>
      <c r="B476" s="293"/>
      <c r="C476" s="294"/>
      <c r="D476" s="294"/>
      <c r="E476" s="294"/>
      <c r="F476" s="310"/>
      <c r="G476" s="310"/>
      <c r="H476" s="310"/>
      <c r="I476" s="295"/>
      <c r="J476" s="295"/>
      <c r="K476" s="300">
        <f t="shared" si="31"/>
        <v>1.1000000000000001</v>
      </c>
      <c r="L476" s="300">
        <f t="shared" si="32"/>
        <v>0</v>
      </c>
      <c r="M476" s="285">
        <f t="shared" si="33"/>
        <v>0</v>
      </c>
      <c r="N476" s="1076">
        <f t="shared" si="34"/>
        <v>0</v>
      </c>
      <c r="O476" s="294"/>
      <c r="P476" s="404"/>
      <c r="Q476" s="404"/>
      <c r="R476" s="301"/>
      <c r="S476" s="301"/>
      <c r="T476" s="301"/>
      <c r="U476" s="301"/>
      <c r="V476" s="301"/>
    </row>
    <row r="477" spans="1:22" ht="12.6" customHeight="1" thickTop="1" thickBot="1" x14ac:dyDescent="0.3">
      <c r="A477" s="292"/>
      <c r="B477" s="293"/>
      <c r="C477" s="294"/>
      <c r="D477" s="294"/>
      <c r="E477" s="294"/>
      <c r="F477" s="310"/>
      <c r="G477" s="310"/>
      <c r="H477" s="310"/>
      <c r="I477" s="295"/>
      <c r="J477" s="295"/>
      <c r="K477" s="300">
        <f t="shared" si="31"/>
        <v>1.1000000000000001</v>
      </c>
      <c r="L477" s="300">
        <f t="shared" si="32"/>
        <v>0</v>
      </c>
      <c r="M477" s="285">
        <f t="shared" si="33"/>
        <v>0</v>
      </c>
      <c r="N477" s="1076">
        <f t="shared" si="34"/>
        <v>0</v>
      </c>
      <c r="O477" s="294"/>
      <c r="P477" s="404"/>
      <c r="Q477" s="404"/>
      <c r="R477" s="301"/>
      <c r="S477" s="301"/>
      <c r="T477" s="301"/>
      <c r="U477" s="301"/>
      <c r="V477" s="301"/>
    </row>
    <row r="478" spans="1:22" ht="12.6" customHeight="1" thickTop="1" thickBot="1" x14ac:dyDescent="0.3">
      <c r="A478" s="292"/>
      <c r="B478" s="293"/>
      <c r="C478" s="294"/>
      <c r="D478" s="294"/>
      <c r="E478" s="294"/>
      <c r="F478" s="310"/>
      <c r="G478" s="310"/>
      <c r="H478" s="310"/>
      <c r="I478" s="295"/>
      <c r="J478" s="295"/>
      <c r="K478" s="300">
        <f t="shared" si="31"/>
        <v>1.1000000000000001</v>
      </c>
      <c r="L478" s="300">
        <f t="shared" si="32"/>
        <v>0</v>
      </c>
      <c r="M478" s="285">
        <f t="shared" si="33"/>
        <v>0</v>
      </c>
      <c r="N478" s="1076">
        <f t="shared" si="34"/>
        <v>0</v>
      </c>
      <c r="O478" s="294"/>
      <c r="P478" s="404"/>
      <c r="Q478" s="404"/>
      <c r="R478" s="301"/>
      <c r="S478" s="301"/>
      <c r="T478" s="301"/>
      <c r="U478" s="301"/>
      <c r="V478" s="301"/>
    </row>
    <row r="479" spans="1:22" ht="12.6" customHeight="1" thickTop="1" thickBot="1" x14ac:dyDescent="0.3">
      <c r="A479" s="292"/>
      <c r="B479" s="293"/>
      <c r="C479" s="294"/>
      <c r="D479" s="294"/>
      <c r="E479" s="294"/>
      <c r="F479" s="310"/>
      <c r="G479" s="310"/>
      <c r="H479" s="310"/>
      <c r="I479" s="295"/>
      <c r="J479" s="295"/>
      <c r="K479" s="300">
        <f t="shared" si="31"/>
        <v>1.1000000000000001</v>
      </c>
      <c r="L479" s="300">
        <f t="shared" si="32"/>
        <v>0</v>
      </c>
      <c r="M479" s="285">
        <f t="shared" si="33"/>
        <v>0</v>
      </c>
      <c r="N479" s="1076">
        <f t="shared" si="34"/>
        <v>0</v>
      </c>
      <c r="O479" s="294"/>
      <c r="P479" s="404"/>
      <c r="Q479" s="404"/>
      <c r="R479" s="301"/>
      <c r="S479" s="301"/>
      <c r="T479" s="301"/>
      <c r="U479" s="301"/>
      <c r="V479" s="301"/>
    </row>
    <row r="480" spans="1:22" ht="12.6" customHeight="1" thickTop="1" thickBot="1" x14ac:dyDescent="0.3">
      <c r="A480" s="292"/>
      <c r="B480" s="293"/>
      <c r="C480" s="294"/>
      <c r="D480" s="294"/>
      <c r="E480" s="294"/>
      <c r="F480" s="310"/>
      <c r="G480" s="310"/>
      <c r="H480" s="310"/>
      <c r="I480" s="295"/>
      <c r="J480" s="295"/>
      <c r="K480" s="300">
        <f t="shared" si="31"/>
        <v>1.1000000000000001</v>
      </c>
      <c r="L480" s="300">
        <f t="shared" si="32"/>
        <v>0</v>
      </c>
      <c r="M480" s="285">
        <f t="shared" si="33"/>
        <v>0</v>
      </c>
      <c r="N480" s="1076">
        <f t="shared" si="34"/>
        <v>0</v>
      </c>
      <c r="O480" s="294"/>
      <c r="P480" s="404"/>
      <c r="Q480" s="404"/>
      <c r="R480" s="301"/>
      <c r="S480" s="301"/>
      <c r="T480" s="301"/>
      <c r="U480" s="301"/>
      <c r="V480" s="301"/>
    </row>
    <row r="481" spans="1:22" ht="12.6" customHeight="1" thickTop="1" thickBot="1" x14ac:dyDescent="0.3">
      <c r="A481" s="292"/>
      <c r="B481" s="293"/>
      <c r="C481" s="294"/>
      <c r="D481" s="294"/>
      <c r="E481" s="294"/>
      <c r="F481" s="310"/>
      <c r="G481" s="310"/>
      <c r="H481" s="310"/>
      <c r="I481" s="295"/>
      <c r="J481" s="295"/>
      <c r="K481" s="300">
        <f t="shared" si="31"/>
        <v>1.1000000000000001</v>
      </c>
      <c r="L481" s="300">
        <f t="shared" si="32"/>
        <v>0</v>
      </c>
      <c r="M481" s="285">
        <f t="shared" si="33"/>
        <v>0</v>
      </c>
      <c r="N481" s="1076">
        <f t="shared" si="34"/>
        <v>0</v>
      </c>
      <c r="O481" s="294"/>
      <c r="P481" s="404"/>
      <c r="Q481" s="404"/>
      <c r="R481" s="301"/>
      <c r="S481" s="301"/>
      <c r="T481" s="301"/>
      <c r="U481" s="301"/>
      <c r="V481" s="301"/>
    </row>
    <row r="482" spans="1:22" ht="12.6" customHeight="1" thickTop="1" thickBot="1" x14ac:dyDescent="0.3">
      <c r="A482" s="292"/>
      <c r="B482" s="293"/>
      <c r="C482" s="294"/>
      <c r="D482" s="294"/>
      <c r="E482" s="294"/>
      <c r="F482" s="310"/>
      <c r="G482" s="310"/>
      <c r="H482" s="310"/>
      <c r="I482" s="295"/>
      <c r="J482" s="295"/>
      <c r="K482" s="300">
        <f t="shared" si="31"/>
        <v>1.1000000000000001</v>
      </c>
      <c r="L482" s="300">
        <f t="shared" si="32"/>
        <v>0</v>
      </c>
      <c r="M482" s="285">
        <f t="shared" si="33"/>
        <v>0</v>
      </c>
      <c r="N482" s="1076">
        <f t="shared" si="34"/>
        <v>0</v>
      </c>
      <c r="O482" s="294"/>
      <c r="P482" s="404"/>
      <c r="Q482" s="404"/>
      <c r="R482" s="301"/>
      <c r="S482" s="301"/>
      <c r="T482" s="301"/>
      <c r="U482" s="301"/>
      <c r="V482" s="301"/>
    </row>
    <row r="483" spans="1:22" ht="12.6" customHeight="1" thickTop="1" thickBot="1" x14ac:dyDescent="0.3">
      <c r="A483" s="292"/>
      <c r="B483" s="293"/>
      <c r="C483" s="294"/>
      <c r="D483" s="294"/>
      <c r="E483" s="294"/>
      <c r="F483" s="310"/>
      <c r="G483" s="310"/>
      <c r="H483" s="310"/>
      <c r="I483" s="295"/>
      <c r="J483" s="295"/>
      <c r="K483" s="300">
        <f t="shared" si="31"/>
        <v>1.1000000000000001</v>
      </c>
      <c r="L483" s="300">
        <f t="shared" si="32"/>
        <v>0</v>
      </c>
      <c r="M483" s="285">
        <f t="shared" si="33"/>
        <v>0</v>
      </c>
      <c r="N483" s="1076">
        <f t="shared" si="34"/>
        <v>0</v>
      </c>
      <c r="O483" s="294"/>
      <c r="P483" s="404"/>
      <c r="Q483" s="404"/>
      <c r="R483" s="301"/>
      <c r="S483" s="301"/>
      <c r="T483" s="301"/>
      <c r="U483" s="301"/>
      <c r="V483" s="301"/>
    </row>
    <row r="484" spans="1:22" ht="12.6" customHeight="1" thickTop="1" thickBot="1" x14ac:dyDescent="0.3">
      <c r="A484" s="292"/>
      <c r="B484" s="293"/>
      <c r="C484" s="294"/>
      <c r="D484" s="294"/>
      <c r="E484" s="294"/>
      <c r="F484" s="310"/>
      <c r="G484" s="310"/>
      <c r="H484" s="310"/>
      <c r="I484" s="295"/>
      <c r="J484" s="295"/>
      <c r="K484" s="300">
        <f t="shared" si="31"/>
        <v>1.1000000000000001</v>
      </c>
      <c r="L484" s="300">
        <f t="shared" si="32"/>
        <v>0</v>
      </c>
      <c r="M484" s="285">
        <f t="shared" si="33"/>
        <v>0</v>
      </c>
      <c r="N484" s="1076">
        <f t="shared" si="34"/>
        <v>0</v>
      </c>
      <c r="O484" s="294"/>
      <c r="P484" s="404"/>
      <c r="Q484" s="404"/>
      <c r="R484" s="301"/>
      <c r="S484" s="301"/>
      <c r="T484" s="301"/>
      <c r="U484" s="301"/>
      <c r="V484" s="301"/>
    </row>
    <row r="485" spans="1:22" ht="12.6" customHeight="1" thickTop="1" thickBot="1" x14ac:dyDescent="0.3">
      <c r="A485" s="292"/>
      <c r="B485" s="293"/>
      <c r="C485" s="294"/>
      <c r="D485" s="294"/>
      <c r="E485" s="294"/>
      <c r="F485" s="310"/>
      <c r="G485" s="310"/>
      <c r="H485" s="310"/>
      <c r="I485" s="295"/>
      <c r="J485" s="295"/>
      <c r="K485" s="300">
        <f t="shared" si="31"/>
        <v>1.1000000000000001</v>
      </c>
      <c r="L485" s="300">
        <f t="shared" si="32"/>
        <v>0</v>
      </c>
      <c r="M485" s="285">
        <f t="shared" si="33"/>
        <v>0</v>
      </c>
      <c r="N485" s="1076">
        <f t="shared" si="34"/>
        <v>0</v>
      </c>
      <c r="O485" s="294"/>
      <c r="P485" s="404"/>
      <c r="Q485" s="404"/>
      <c r="R485" s="301"/>
      <c r="S485" s="301"/>
      <c r="T485" s="301"/>
      <c r="U485" s="301"/>
      <c r="V485" s="301"/>
    </row>
    <row r="486" spans="1:22" ht="12.6" customHeight="1" thickTop="1" thickBot="1" x14ac:dyDescent="0.3">
      <c r="A486" s="292"/>
      <c r="B486" s="293"/>
      <c r="C486" s="294"/>
      <c r="D486" s="294"/>
      <c r="E486" s="294"/>
      <c r="F486" s="310"/>
      <c r="G486" s="310"/>
      <c r="H486" s="310"/>
      <c r="I486" s="295"/>
      <c r="J486" s="295"/>
      <c r="K486" s="300">
        <f t="shared" si="31"/>
        <v>1.1000000000000001</v>
      </c>
      <c r="L486" s="300">
        <f t="shared" si="32"/>
        <v>0</v>
      </c>
      <c r="M486" s="285">
        <f t="shared" si="33"/>
        <v>0</v>
      </c>
      <c r="N486" s="1076">
        <f t="shared" si="34"/>
        <v>0</v>
      </c>
      <c r="O486" s="294"/>
      <c r="P486" s="404"/>
      <c r="Q486" s="404"/>
      <c r="R486" s="301"/>
      <c r="S486" s="301"/>
      <c r="T486" s="301"/>
      <c r="U486" s="301"/>
      <c r="V486" s="301"/>
    </row>
    <row r="487" spans="1:22" ht="12.6" customHeight="1" thickTop="1" thickBot="1" x14ac:dyDescent="0.3">
      <c r="A487" s="292"/>
      <c r="B487" s="293"/>
      <c r="C487" s="294"/>
      <c r="D487" s="294"/>
      <c r="E487" s="294"/>
      <c r="F487" s="310"/>
      <c r="G487" s="310"/>
      <c r="H487" s="310"/>
      <c r="I487" s="295"/>
      <c r="J487" s="295"/>
      <c r="K487" s="300">
        <f t="shared" si="31"/>
        <v>1.1000000000000001</v>
      </c>
      <c r="L487" s="300">
        <f t="shared" si="32"/>
        <v>0</v>
      </c>
      <c r="M487" s="285">
        <f t="shared" si="33"/>
        <v>0</v>
      </c>
      <c r="N487" s="1076">
        <f t="shared" si="34"/>
        <v>0</v>
      </c>
      <c r="O487" s="294"/>
      <c r="P487" s="404"/>
      <c r="Q487" s="404"/>
      <c r="R487" s="301"/>
      <c r="S487" s="301"/>
      <c r="T487" s="301"/>
      <c r="U487" s="301"/>
      <c r="V487" s="301"/>
    </row>
    <row r="488" spans="1:22" ht="12.6" customHeight="1" thickTop="1" thickBot="1" x14ac:dyDescent="0.3">
      <c r="A488" s="292"/>
      <c r="B488" s="293"/>
      <c r="C488" s="294"/>
      <c r="D488" s="294"/>
      <c r="E488" s="294"/>
      <c r="F488" s="310"/>
      <c r="G488" s="310"/>
      <c r="H488" s="310"/>
      <c r="I488" s="295"/>
      <c r="J488" s="295"/>
      <c r="K488" s="300">
        <f t="shared" si="31"/>
        <v>1.1000000000000001</v>
      </c>
      <c r="L488" s="300">
        <f t="shared" si="32"/>
        <v>0</v>
      </c>
      <c r="M488" s="285">
        <f t="shared" si="33"/>
        <v>0</v>
      </c>
      <c r="N488" s="1076">
        <f t="shared" si="34"/>
        <v>0</v>
      </c>
      <c r="O488" s="294"/>
      <c r="P488" s="404"/>
      <c r="Q488" s="404"/>
      <c r="R488" s="301"/>
      <c r="S488" s="301"/>
      <c r="T488" s="301"/>
      <c r="U488" s="301"/>
      <c r="V488" s="301"/>
    </row>
    <row r="489" spans="1:22" ht="12.6" customHeight="1" thickTop="1" thickBot="1" x14ac:dyDescent="0.3">
      <c r="A489" s="292"/>
      <c r="B489" s="293"/>
      <c r="C489" s="294"/>
      <c r="D489" s="294"/>
      <c r="E489" s="294"/>
      <c r="F489" s="310"/>
      <c r="G489" s="310"/>
      <c r="H489" s="310"/>
      <c r="I489" s="295"/>
      <c r="J489" s="295"/>
      <c r="K489" s="300">
        <f t="shared" si="31"/>
        <v>1.1000000000000001</v>
      </c>
      <c r="L489" s="300">
        <f t="shared" si="32"/>
        <v>0</v>
      </c>
      <c r="M489" s="285">
        <f t="shared" si="33"/>
        <v>0</v>
      </c>
      <c r="N489" s="1076">
        <f t="shared" si="34"/>
        <v>0</v>
      </c>
      <c r="O489" s="294"/>
      <c r="P489" s="404"/>
      <c r="Q489" s="404"/>
      <c r="R489" s="301"/>
      <c r="S489" s="301"/>
      <c r="T489" s="301"/>
      <c r="U489" s="301"/>
      <c r="V489" s="301"/>
    </row>
    <row r="490" spans="1:22" ht="12.6" customHeight="1" thickTop="1" thickBot="1" x14ac:dyDescent="0.3">
      <c r="A490" s="292"/>
      <c r="B490" s="293"/>
      <c r="C490" s="294"/>
      <c r="D490" s="294"/>
      <c r="E490" s="294"/>
      <c r="F490" s="310"/>
      <c r="G490" s="310"/>
      <c r="H490" s="310"/>
      <c r="I490" s="295"/>
      <c r="J490" s="295"/>
      <c r="K490" s="300">
        <f t="shared" si="31"/>
        <v>1.1000000000000001</v>
      </c>
      <c r="L490" s="300">
        <f t="shared" si="32"/>
        <v>0</v>
      </c>
      <c r="M490" s="285">
        <f t="shared" si="33"/>
        <v>0</v>
      </c>
      <c r="N490" s="1076">
        <f t="shared" si="34"/>
        <v>0</v>
      </c>
      <c r="O490" s="294"/>
      <c r="P490" s="404"/>
      <c r="Q490" s="404"/>
      <c r="R490" s="301"/>
      <c r="S490" s="301"/>
      <c r="T490" s="301"/>
      <c r="U490" s="301"/>
      <c r="V490" s="301"/>
    </row>
    <row r="491" spans="1:22" ht="12.6" customHeight="1" thickTop="1" thickBot="1" x14ac:dyDescent="0.3">
      <c r="A491" s="292"/>
      <c r="B491" s="293"/>
      <c r="C491" s="294"/>
      <c r="D491" s="294"/>
      <c r="E491" s="294"/>
      <c r="F491" s="310"/>
      <c r="G491" s="310"/>
      <c r="H491" s="310"/>
      <c r="I491" s="295"/>
      <c r="J491" s="295"/>
      <c r="K491" s="300">
        <f t="shared" si="31"/>
        <v>1.1000000000000001</v>
      </c>
      <c r="L491" s="300">
        <f t="shared" si="32"/>
        <v>0</v>
      </c>
      <c r="M491" s="285">
        <f t="shared" si="33"/>
        <v>0</v>
      </c>
      <c r="N491" s="1076">
        <f t="shared" si="34"/>
        <v>0</v>
      </c>
      <c r="O491" s="294"/>
      <c r="P491" s="404"/>
      <c r="Q491" s="404"/>
      <c r="R491" s="301"/>
      <c r="S491" s="301"/>
      <c r="T491" s="301"/>
      <c r="U491" s="301"/>
      <c r="V491" s="301"/>
    </row>
    <row r="492" spans="1:22" ht="12.6" customHeight="1" thickTop="1" thickBot="1" x14ac:dyDescent="0.3">
      <c r="A492" s="292"/>
      <c r="B492" s="293"/>
      <c r="C492" s="294"/>
      <c r="D492" s="294"/>
      <c r="E492" s="294"/>
      <c r="F492" s="310"/>
      <c r="G492" s="310"/>
      <c r="H492" s="310"/>
      <c r="I492" s="295"/>
      <c r="J492" s="295"/>
      <c r="K492" s="300">
        <f t="shared" si="31"/>
        <v>1.1000000000000001</v>
      </c>
      <c r="L492" s="300">
        <f t="shared" si="32"/>
        <v>0</v>
      </c>
      <c r="M492" s="285">
        <f t="shared" si="33"/>
        <v>0</v>
      </c>
      <c r="N492" s="1076">
        <f t="shared" si="34"/>
        <v>0</v>
      </c>
      <c r="O492" s="294"/>
      <c r="P492" s="404"/>
      <c r="Q492" s="404"/>
      <c r="R492" s="301"/>
      <c r="S492" s="301"/>
      <c r="T492" s="301"/>
      <c r="U492" s="301"/>
      <c r="V492" s="301"/>
    </row>
    <row r="493" spans="1:22" ht="12.6" customHeight="1" thickTop="1" thickBot="1" x14ac:dyDescent="0.3">
      <c r="A493" s="292"/>
      <c r="B493" s="293"/>
      <c r="C493" s="294"/>
      <c r="D493" s="294"/>
      <c r="E493" s="294"/>
      <c r="F493" s="310"/>
      <c r="G493" s="310"/>
      <c r="H493" s="310"/>
      <c r="I493" s="295"/>
      <c r="J493" s="295"/>
      <c r="K493" s="300">
        <f t="shared" si="31"/>
        <v>1.1000000000000001</v>
      </c>
      <c r="L493" s="300">
        <f t="shared" si="32"/>
        <v>0</v>
      </c>
      <c r="M493" s="285">
        <f t="shared" si="33"/>
        <v>0</v>
      </c>
      <c r="N493" s="1076">
        <f t="shared" si="34"/>
        <v>0</v>
      </c>
      <c r="O493" s="294"/>
      <c r="P493" s="404"/>
      <c r="Q493" s="404"/>
      <c r="R493" s="301"/>
      <c r="S493" s="301"/>
      <c r="T493" s="301"/>
      <c r="U493" s="301"/>
      <c r="V493" s="301"/>
    </row>
    <row r="494" spans="1:22" ht="12.6" customHeight="1" thickTop="1" thickBot="1" x14ac:dyDescent="0.3">
      <c r="A494" s="292"/>
      <c r="B494" s="293"/>
      <c r="C494" s="294"/>
      <c r="D494" s="294"/>
      <c r="E494" s="294"/>
      <c r="F494" s="310"/>
      <c r="G494" s="310"/>
      <c r="H494" s="310"/>
      <c r="I494" s="295"/>
      <c r="J494" s="295"/>
      <c r="K494" s="300">
        <f t="shared" si="31"/>
        <v>1.1000000000000001</v>
      </c>
      <c r="L494" s="300">
        <f t="shared" si="32"/>
        <v>0</v>
      </c>
      <c r="M494" s="285">
        <f t="shared" si="33"/>
        <v>0</v>
      </c>
      <c r="N494" s="1076">
        <f t="shared" si="34"/>
        <v>0</v>
      </c>
      <c r="O494" s="294"/>
      <c r="P494" s="404"/>
      <c r="Q494" s="404"/>
      <c r="R494" s="301"/>
      <c r="S494" s="301"/>
      <c r="T494" s="301"/>
      <c r="U494" s="301"/>
      <c r="V494" s="301"/>
    </row>
    <row r="495" spans="1:22" ht="12.6" customHeight="1" thickTop="1" thickBot="1" x14ac:dyDescent="0.3">
      <c r="A495" s="292"/>
      <c r="B495" s="293"/>
      <c r="C495" s="294"/>
      <c r="D495" s="294"/>
      <c r="E495" s="294"/>
      <c r="F495" s="310"/>
      <c r="G495" s="310"/>
      <c r="H495" s="310"/>
      <c r="I495" s="295"/>
      <c r="J495" s="295"/>
      <c r="K495" s="300">
        <f t="shared" si="31"/>
        <v>1.1000000000000001</v>
      </c>
      <c r="L495" s="300">
        <f t="shared" si="32"/>
        <v>0</v>
      </c>
      <c r="M495" s="285">
        <f t="shared" si="33"/>
        <v>0</v>
      </c>
      <c r="N495" s="1076">
        <f t="shared" si="34"/>
        <v>0</v>
      </c>
      <c r="O495" s="294"/>
      <c r="P495" s="404"/>
      <c r="Q495" s="404"/>
      <c r="R495" s="301"/>
      <c r="S495" s="301"/>
      <c r="T495" s="301"/>
      <c r="U495" s="301"/>
      <c r="V495" s="301"/>
    </row>
    <row r="496" spans="1:22" ht="12.6" customHeight="1" thickTop="1" thickBot="1" x14ac:dyDescent="0.3">
      <c r="A496" s="292"/>
      <c r="B496" s="293"/>
      <c r="C496" s="294"/>
      <c r="D496" s="294"/>
      <c r="E496" s="294"/>
      <c r="F496" s="310"/>
      <c r="G496" s="310"/>
      <c r="H496" s="310"/>
      <c r="I496" s="295"/>
      <c r="J496" s="295"/>
      <c r="K496" s="300">
        <f t="shared" si="31"/>
        <v>1.1000000000000001</v>
      </c>
      <c r="L496" s="300">
        <f t="shared" si="32"/>
        <v>0</v>
      </c>
      <c r="M496" s="285">
        <f t="shared" si="33"/>
        <v>0</v>
      </c>
      <c r="N496" s="1076">
        <f t="shared" si="34"/>
        <v>0</v>
      </c>
      <c r="O496" s="294"/>
      <c r="P496" s="404"/>
      <c r="Q496" s="404"/>
      <c r="R496" s="301"/>
      <c r="S496" s="301"/>
      <c r="T496" s="301"/>
      <c r="U496" s="301"/>
      <c r="V496" s="301"/>
    </row>
    <row r="497" spans="1:22" ht="12.6" customHeight="1" thickTop="1" thickBot="1" x14ac:dyDescent="0.3">
      <c r="A497" s="292"/>
      <c r="B497" s="293"/>
      <c r="C497" s="294"/>
      <c r="D497" s="294"/>
      <c r="E497" s="294"/>
      <c r="F497" s="310"/>
      <c r="G497" s="310"/>
      <c r="H497" s="310"/>
      <c r="I497" s="295"/>
      <c r="J497" s="295"/>
      <c r="K497" s="300">
        <f t="shared" si="31"/>
        <v>1.1000000000000001</v>
      </c>
      <c r="L497" s="300">
        <f t="shared" si="32"/>
        <v>0</v>
      </c>
      <c r="M497" s="285">
        <f t="shared" si="33"/>
        <v>0</v>
      </c>
      <c r="N497" s="1076">
        <f t="shared" si="34"/>
        <v>0</v>
      </c>
      <c r="O497" s="294"/>
      <c r="P497" s="404"/>
      <c r="Q497" s="404"/>
      <c r="R497" s="301"/>
      <c r="S497" s="301"/>
      <c r="T497" s="301"/>
      <c r="U497" s="301"/>
      <c r="V497" s="301"/>
    </row>
    <row r="498" spans="1:22" ht="12.6" customHeight="1" thickTop="1" thickBot="1" x14ac:dyDescent="0.3">
      <c r="A498" s="292"/>
      <c r="B498" s="293"/>
      <c r="C498" s="294"/>
      <c r="D498" s="294"/>
      <c r="E498" s="294"/>
      <c r="F498" s="310"/>
      <c r="G498" s="310"/>
      <c r="H498" s="310"/>
      <c r="I498" s="295"/>
      <c r="J498" s="295"/>
      <c r="K498" s="300">
        <f t="shared" si="31"/>
        <v>1.1000000000000001</v>
      </c>
      <c r="L498" s="300">
        <f t="shared" si="32"/>
        <v>0</v>
      </c>
      <c r="M498" s="285">
        <f t="shared" si="33"/>
        <v>0</v>
      </c>
      <c r="N498" s="1076">
        <f t="shared" si="34"/>
        <v>0</v>
      </c>
      <c r="O498" s="294"/>
      <c r="P498" s="404"/>
      <c r="Q498" s="404"/>
      <c r="R498" s="301"/>
      <c r="S498" s="301"/>
      <c r="T498" s="301"/>
      <c r="U498" s="301"/>
      <c r="V498" s="301"/>
    </row>
    <row r="499" spans="1:22" ht="12.6" customHeight="1" thickTop="1" thickBot="1" x14ac:dyDescent="0.3">
      <c r="A499" s="292"/>
      <c r="B499" s="293"/>
      <c r="C499" s="294"/>
      <c r="D499" s="294"/>
      <c r="E499" s="294"/>
      <c r="F499" s="310"/>
      <c r="G499" s="310"/>
      <c r="H499" s="310"/>
      <c r="I499" s="295"/>
      <c r="J499" s="295"/>
      <c r="K499" s="300">
        <f t="shared" si="31"/>
        <v>1.1000000000000001</v>
      </c>
      <c r="L499" s="300">
        <f t="shared" si="32"/>
        <v>0</v>
      </c>
      <c r="M499" s="285">
        <f t="shared" si="33"/>
        <v>0</v>
      </c>
      <c r="N499" s="1076">
        <f t="shared" si="34"/>
        <v>0</v>
      </c>
      <c r="O499" s="294"/>
      <c r="P499" s="404"/>
      <c r="Q499" s="404"/>
      <c r="R499" s="301"/>
      <c r="S499" s="301"/>
      <c r="T499" s="301"/>
      <c r="U499" s="301"/>
      <c r="V499" s="301"/>
    </row>
    <row r="500" spans="1:22" ht="12.6" customHeight="1" thickTop="1" thickBot="1" x14ac:dyDescent="0.3">
      <c r="A500" s="292"/>
      <c r="B500" s="293"/>
      <c r="C500" s="294"/>
      <c r="D500" s="294"/>
      <c r="E500" s="294"/>
      <c r="F500" s="310"/>
      <c r="G500" s="310"/>
      <c r="H500" s="310"/>
      <c r="I500" s="295"/>
      <c r="J500" s="295"/>
      <c r="K500" s="300">
        <f t="shared" si="31"/>
        <v>1.1000000000000001</v>
      </c>
      <c r="L500" s="300">
        <f t="shared" si="32"/>
        <v>0</v>
      </c>
      <c r="M500" s="285">
        <f t="shared" si="33"/>
        <v>0</v>
      </c>
      <c r="N500" s="1076">
        <f t="shared" si="34"/>
        <v>0</v>
      </c>
      <c r="O500" s="294"/>
      <c r="P500" s="404"/>
      <c r="Q500" s="404"/>
      <c r="R500" s="301"/>
      <c r="S500" s="301"/>
      <c r="T500" s="301"/>
      <c r="U500" s="301"/>
      <c r="V500" s="301"/>
    </row>
    <row r="501" spans="1:22" ht="12.6" customHeight="1" thickTop="1" thickBot="1" x14ac:dyDescent="0.3">
      <c r="A501" s="292"/>
      <c r="B501" s="293"/>
      <c r="C501" s="294"/>
      <c r="D501" s="294"/>
      <c r="E501" s="294"/>
      <c r="F501" s="310"/>
      <c r="G501" s="310"/>
      <c r="H501" s="310"/>
      <c r="I501" s="295"/>
      <c r="J501" s="295"/>
      <c r="K501" s="300">
        <f t="shared" si="31"/>
        <v>1.1000000000000001</v>
      </c>
      <c r="L501" s="300">
        <f t="shared" si="32"/>
        <v>0</v>
      </c>
      <c r="M501" s="285">
        <f t="shared" si="33"/>
        <v>0</v>
      </c>
      <c r="N501" s="1076">
        <f t="shared" si="34"/>
        <v>0</v>
      </c>
      <c r="O501" s="294"/>
      <c r="P501" s="404"/>
      <c r="Q501" s="404"/>
      <c r="R501" s="301"/>
      <c r="S501" s="301"/>
      <c r="T501" s="301"/>
      <c r="U501" s="301"/>
      <c r="V501" s="301"/>
    </row>
    <row r="502" spans="1:22" ht="12.6" customHeight="1" thickTop="1" thickBot="1" x14ac:dyDescent="0.3">
      <c r="A502" s="292"/>
      <c r="B502" s="293"/>
      <c r="C502" s="294"/>
      <c r="D502" s="294"/>
      <c r="E502" s="294"/>
      <c r="F502" s="310"/>
      <c r="G502" s="310"/>
      <c r="H502" s="310"/>
      <c r="I502" s="295"/>
      <c r="J502" s="295"/>
      <c r="K502" s="300">
        <f t="shared" si="31"/>
        <v>1.1000000000000001</v>
      </c>
      <c r="L502" s="300">
        <f t="shared" si="32"/>
        <v>0</v>
      </c>
      <c r="M502" s="285">
        <f t="shared" si="33"/>
        <v>0</v>
      </c>
      <c r="N502" s="1076">
        <f t="shared" si="34"/>
        <v>0</v>
      </c>
      <c r="O502" s="294"/>
      <c r="P502" s="404"/>
      <c r="Q502" s="404"/>
      <c r="R502" s="301"/>
      <c r="S502" s="301"/>
      <c r="T502" s="301"/>
      <c r="U502" s="301"/>
      <c r="V502" s="301"/>
    </row>
    <row r="503" spans="1:22" ht="12.6" customHeight="1" thickTop="1" thickBot="1" x14ac:dyDescent="0.3">
      <c r="A503" s="292"/>
      <c r="B503" s="293"/>
      <c r="C503" s="294"/>
      <c r="D503" s="294"/>
      <c r="E503" s="294"/>
      <c r="F503" s="310"/>
      <c r="G503" s="310"/>
      <c r="H503" s="310"/>
      <c r="I503" s="295"/>
      <c r="J503" s="295"/>
      <c r="K503" s="300">
        <f t="shared" si="31"/>
        <v>1.1000000000000001</v>
      </c>
      <c r="L503" s="300">
        <f t="shared" si="32"/>
        <v>0</v>
      </c>
      <c r="M503" s="285">
        <f t="shared" si="33"/>
        <v>0</v>
      </c>
      <c r="N503" s="1076">
        <f t="shared" si="34"/>
        <v>0</v>
      </c>
      <c r="O503" s="294"/>
      <c r="P503" s="404"/>
      <c r="Q503" s="404"/>
      <c r="R503" s="301"/>
      <c r="S503" s="301"/>
      <c r="T503" s="301"/>
      <c r="U503" s="301"/>
      <c r="V503" s="301"/>
    </row>
    <row r="504" spans="1:22" ht="12.6" customHeight="1" thickTop="1" thickBot="1" x14ac:dyDescent="0.3">
      <c r="A504" s="292"/>
      <c r="B504" s="293"/>
      <c r="C504" s="294"/>
      <c r="D504" s="294"/>
      <c r="E504" s="294"/>
      <c r="F504" s="310"/>
      <c r="G504" s="310"/>
      <c r="H504" s="310"/>
      <c r="I504" s="295"/>
      <c r="J504" s="295"/>
      <c r="K504" s="300">
        <f t="shared" si="31"/>
        <v>1.1000000000000001</v>
      </c>
      <c r="L504" s="300">
        <f t="shared" si="32"/>
        <v>0</v>
      </c>
      <c r="M504" s="285">
        <f t="shared" si="33"/>
        <v>0</v>
      </c>
      <c r="N504" s="1076">
        <f t="shared" si="34"/>
        <v>0</v>
      </c>
      <c r="O504" s="294"/>
      <c r="P504" s="404"/>
      <c r="Q504" s="404"/>
      <c r="R504" s="301"/>
      <c r="S504" s="301"/>
      <c r="T504" s="301"/>
      <c r="U504" s="301"/>
      <c r="V504" s="301"/>
    </row>
    <row r="505" spans="1:22" ht="12.6" customHeight="1" thickTop="1" thickBot="1" x14ac:dyDescent="0.3">
      <c r="A505" s="292"/>
      <c r="B505" s="293"/>
      <c r="C505" s="294"/>
      <c r="D505" s="294"/>
      <c r="E505" s="294"/>
      <c r="F505" s="310"/>
      <c r="G505" s="310"/>
      <c r="H505" s="310"/>
      <c r="I505" s="295"/>
      <c r="J505" s="295"/>
      <c r="K505" s="300">
        <f t="shared" si="31"/>
        <v>1.1000000000000001</v>
      </c>
      <c r="L505" s="300">
        <f t="shared" si="32"/>
        <v>0</v>
      </c>
      <c r="M505" s="285">
        <f t="shared" si="33"/>
        <v>0</v>
      </c>
      <c r="N505" s="1076">
        <f t="shared" si="34"/>
        <v>0</v>
      </c>
      <c r="O505" s="294"/>
      <c r="P505" s="404"/>
      <c r="Q505" s="404"/>
      <c r="R505" s="301"/>
      <c r="S505" s="301"/>
      <c r="T505" s="301"/>
      <c r="U505" s="301"/>
      <c r="V505" s="301"/>
    </row>
    <row r="506" spans="1:22" ht="12.6" customHeight="1" thickTop="1" thickBot="1" x14ac:dyDescent="0.3">
      <c r="A506" s="292"/>
      <c r="B506" s="293"/>
      <c r="C506" s="294"/>
      <c r="D506" s="294"/>
      <c r="E506" s="294"/>
      <c r="F506" s="310"/>
      <c r="G506" s="310"/>
      <c r="H506" s="310"/>
      <c r="I506" s="295"/>
      <c r="J506" s="295"/>
      <c r="K506" s="300">
        <f t="shared" si="31"/>
        <v>1.1000000000000001</v>
      </c>
      <c r="L506" s="300">
        <f t="shared" si="32"/>
        <v>0</v>
      </c>
      <c r="M506" s="285">
        <f t="shared" si="33"/>
        <v>0</v>
      </c>
      <c r="N506" s="1076">
        <f t="shared" si="34"/>
        <v>0</v>
      </c>
      <c r="O506" s="294"/>
      <c r="P506" s="404"/>
      <c r="Q506" s="404"/>
      <c r="R506" s="301"/>
      <c r="S506" s="301"/>
      <c r="T506" s="301"/>
      <c r="U506" s="301"/>
      <c r="V506" s="301"/>
    </row>
    <row r="507" spans="1:22" ht="12.6" customHeight="1" thickTop="1" thickBot="1" x14ac:dyDescent="0.3">
      <c r="A507" s="292"/>
      <c r="B507" s="293"/>
      <c r="C507" s="294"/>
      <c r="D507" s="294"/>
      <c r="E507" s="294"/>
      <c r="F507" s="310"/>
      <c r="G507" s="310"/>
      <c r="H507" s="310"/>
      <c r="I507" s="295"/>
      <c r="J507" s="295"/>
      <c r="K507" s="300">
        <f t="shared" si="31"/>
        <v>1.1000000000000001</v>
      </c>
      <c r="L507" s="300">
        <f t="shared" si="32"/>
        <v>0</v>
      </c>
      <c r="M507" s="285">
        <f t="shared" si="33"/>
        <v>0</v>
      </c>
      <c r="N507" s="1076">
        <f t="shared" si="34"/>
        <v>0</v>
      </c>
      <c r="O507" s="294"/>
      <c r="P507" s="404"/>
      <c r="Q507" s="404"/>
      <c r="R507" s="301"/>
      <c r="S507" s="301"/>
      <c r="T507" s="301"/>
      <c r="U507" s="301"/>
      <c r="V507" s="301"/>
    </row>
    <row r="508" spans="1:22" ht="12.6" customHeight="1" thickTop="1" thickBot="1" x14ac:dyDescent="0.3">
      <c r="A508" s="292"/>
      <c r="B508" s="293"/>
      <c r="C508" s="294"/>
      <c r="D508" s="294"/>
      <c r="E508" s="294"/>
      <c r="F508" s="310"/>
      <c r="G508" s="310"/>
      <c r="H508" s="310"/>
      <c r="I508" s="295"/>
      <c r="J508" s="295"/>
      <c r="K508" s="300">
        <f t="shared" si="31"/>
        <v>1.1000000000000001</v>
      </c>
      <c r="L508" s="300">
        <f t="shared" si="32"/>
        <v>0</v>
      </c>
      <c r="M508" s="285">
        <f t="shared" si="33"/>
        <v>0</v>
      </c>
      <c r="N508" s="1076">
        <f t="shared" si="34"/>
        <v>0</v>
      </c>
      <c r="O508" s="294"/>
      <c r="P508" s="404"/>
      <c r="Q508" s="404"/>
      <c r="R508" s="301"/>
      <c r="S508" s="301"/>
      <c r="T508" s="301"/>
      <c r="U508" s="301"/>
      <c r="V508" s="301"/>
    </row>
    <row r="509" spans="1:22" ht="12.6" customHeight="1" thickTop="1" thickBot="1" x14ac:dyDescent="0.3">
      <c r="A509" s="292"/>
      <c r="B509" s="293"/>
      <c r="C509" s="294"/>
      <c r="D509" s="294"/>
      <c r="E509" s="294"/>
      <c r="F509" s="310"/>
      <c r="G509" s="310"/>
      <c r="H509" s="310"/>
      <c r="I509" s="295"/>
      <c r="J509" s="295"/>
      <c r="K509" s="300">
        <f t="shared" si="31"/>
        <v>1.1000000000000001</v>
      </c>
      <c r="L509" s="300">
        <f t="shared" si="32"/>
        <v>0</v>
      </c>
      <c r="M509" s="285">
        <f t="shared" si="33"/>
        <v>0</v>
      </c>
      <c r="N509" s="1076">
        <f t="shared" si="34"/>
        <v>0</v>
      </c>
      <c r="O509" s="294"/>
      <c r="P509" s="404"/>
      <c r="Q509" s="404"/>
      <c r="R509" s="301"/>
      <c r="S509" s="301"/>
      <c r="T509" s="301"/>
      <c r="U509" s="301"/>
      <c r="V509" s="301"/>
    </row>
    <row r="510" spans="1:22" ht="12.6" customHeight="1" thickTop="1" thickBot="1" x14ac:dyDescent="0.3">
      <c r="A510" s="292"/>
      <c r="B510" s="293"/>
      <c r="C510" s="294"/>
      <c r="D510" s="294"/>
      <c r="E510" s="294"/>
      <c r="F510" s="310"/>
      <c r="G510" s="310"/>
      <c r="H510" s="310"/>
      <c r="I510" s="295"/>
      <c r="J510" s="295"/>
      <c r="K510" s="300">
        <f t="shared" si="31"/>
        <v>1.1000000000000001</v>
      </c>
      <c r="L510" s="300">
        <f t="shared" si="32"/>
        <v>0</v>
      </c>
      <c r="M510" s="285">
        <f t="shared" si="33"/>
        <v>0</v>
      </c>
      <c r="N510" s="1076">
        <f t="shared" si="34"/>
        <v>0</v>
      </c>
      <c r="O510" s="294"/>
      <c r="P510" s="404"/>
      <c r="Q510" s="404"/>
      <c r="R510" s="301"/>
      <c r="S510" s="301"/>
      <c r="T510" s="301"/>
      <c r="U510" s="301"/>
      <c r="V510" s="301"/>
    </row>
    <row r="511" spans="1:22" ht="12.6" customHeight="1" thickTop="1" thickBot="1" x14ac:dyDescent="0.3">
      <c r="A511" s="292"/>
      <c r="B511" s="293"/>
      <c r="C511" s="294"/>
      <c r="D511" s="294"/>
      <c r="E511" s="294"/>
      <c r="F511" s="310"/>
      <c r="G511" s="310"/>
      <c r="H511" s="310"/>
      <c r="I511" s="295"/>
      <c r="J511" s="295"/>
      <c r="K511" s="300">
        <f t="shared" si="31"/>
        <v>1.1000000000000001</v>
      </c>
      <c r="L511" s="300">
        <f t="shared" si="32"/>
        <v>0</v>
      </c>
      <c r="M511" s="285">
        <f t="shared" si="33"/>
        <v>0</v>
      </c>
      <c r="N511" s="1076">
        <f t="shared" si="34"/>
        <v>0</v>
      </c>
      <c r="O511" s="294"/>
      <c r="P511" s="404"/>
      <c r="Q511" s="404"/>
      <c r="R511" s="301"/>
      <c r="S511" s="301"/>
      <c r="T511" s="301"/>
      <c r="U511" s="301"/>
      <c r="V511" s="301"/>
    </row>
    <row r="512" spans="1:22" ht="12.6" customHeight="1" thickTop="1" thickBot="1" x14ac:dyDescent="0.3">
      <c r="A512" s="292"/>
      <c r="B512" s="293"/>
      <c r="C512" s="294"/>
      <c r="D512" s="294"/>
      <c r="E512" s="294"/>
      <c r="F512" s="310"/>
      <c r="G512" s="310"/>
      <c r="H512" s="310"/>
      <c r="I512" s="295"/>
      <c r="J512" s="295"/>
      <c r="K512" s="300">
        <f t="shared" si="31"/>
        <v>1.1000000000000001</v>
      </c>
      <c r="L512" s="300">
        <f t="shared" si="32"/>
        <v>0</v>
      </c>
      <c r="M512" s="285">
        <f t="shared" si="33"/>
        <v>0</v>
      </c>
      <c r="N512" s="1076">
        <f t="shared" si="34"/>
        <v>0</v>
      </c>
      <c r="O512" s="294"/>
      <c r="P512" s="404"/>
      <c r="Q512" s="404"/>
      <c r="R512" s="301"/>
      <c r="S512" s="301"/>
      <c r="T512" s="301"/>
      <c r="U512" s="301"/>
      <c r="V512" s="301"/>
    </row>
    <row r="513" spans="1:22" ht="12.6" customHeight="1" thickTop="1" thickBot="1" x14ac:dyDescent="0.3">
      <c r="A513" s="292"/>
      <c r="B513" s="293"/>
      <c r="C513" s="294"/>
      <c r="D513" s="294"/>
      <c r="E513" s="294"/>
      <c r="F513" s="310"/>
      <c r="G513" s="310"/>
      <c r="H513" s="310"/>
      <c r="I513" s="295"/>
      <c r="J513" s="295"/>
      <c r="K513" s="300">
        <f t="shared" si="31"/>
        <v>1.1000000000000001</v>
      </c>
      <c r="L513" s="300">
        <f t="shared" si="32"/>
        <v>0</v>
      </c>
      <c r="M513" s="285">
        <f t="shared" si="33"/>
        <v>0</v>
      </c>
      <c r="N513" s="1076">
        <f t="shared" si="34"/>
        <v>0</v>
      </c>
      <c r="O513" s="294"/>
      <c r="P513" s="404"/>
      <c r="Q513" s="404"/>
      <c r="R513" s="301"/>
      <c r="S513" s="301"/>
      <c r="T513" s="301"/>
      <c r="U513" s="301"/>
      <c r="V513" s="301"/>
    </row>
    <row r="514" spans="1:22" ht="12.6" customHeight="1" thickTop="1" thickBot="1" x14ac:dyDescent="0.3">
      <c r="A514" s="292"/>
      <c r="B514" s="293"/>
      <c r="C514" s="294"/>
      <c r="D514" s="294"/>
      <c r="E514" s="294"/>
      <c r="F514" s="310"/>
      <c r="G514" s="310"/>
      <c r="H514" s="310"/>
      <c r="I514" s="295"/>
      <c r="J514" s="295"/>
      <c r="K514" s="300">
        <f t="shared" si="31"/>
        <v>1.1000000000000001</v>
      </c>
      <c r="L514" s="300">
        <f t="shared" si="32"/>
        <v>0</v>
      </c>
      <c r="M514" s="285">
        <f t="shared" si="33"/>
        <v>0</v>
      </c>
      <c r="N514" s="1076">
        <f t="shared" si="34"/>
        <v>0</v>
      </c>
      <c r="O514" s="294"/>
      <c r="P514" s="404"/>
      <c r="Q514" s="404"/>
      <c r="R514" s="301"/>
      <c r="S514" s="301"/>
      <c r="T514" s="301"/>
      <c r="U514" s="301"/>
      <c r="V514" s="301"/>
    </row>
    <row r="515" spans="1:22" ht="12.6" customHeight="1" thickTop="1" thickBot="1" x14ac:dyDescent="0.3">
      <c r="A515" s="292"/>
      <c r="B515" s="293"/>
      <c r="C515" s="294"/>
      <c r="D515" s="294"/>
      <c r="E515" s="294"/>
      <c r="F515" s="310"/>
      <c r="G515" s="310"/>
      <c r="H515" s="310"/>
      <c r="I515" s="295"/>
      <c r="J515" s="295"/>
      <c r="K515" s="300">
        <f t="shared" ref="K515:K532" si="35">$K$2</f>
        <v>1.1000000000000001</v>
      </c>
      <c r="L515" s="300">
        <f t="shared" si="32"/>
        <v>0</v>
      </c>
      <c r="M515" s="285">
        <f t="shared" si="33"/>
        <v>0</v>
      </c>
      <c r="N515" s="1076">
        <f t="shared" si="34"/>
        <v>0</v>
      </c>
      <c r="O515" s="294"/>
      <c r="P515" s="404"/>
      <c r="Q515" s="404"/>
      <c r="R515" s="301"/>
      <c r="S515" s="301"/>
      <c r="T515" s="301"/>
      <c r="U515" s="301"/>
      <c r="V515" s="301"/>
    </row>
    <row r="516" spans="1:22" ht="12.6" customHeight="1" thickTop="1" thickBot="1" x14ac:dyDescent="0.3">
      <c r="A516" s="292"/>
      <c r="B516" s="293"/>
      <c r="C516" s="294"/>
      <c r="D516" s="294"/>
      <c r="E516" s="294"/>
      <c r="F516" s="310"/>
      <c r="G516" s="310"/>
      <c r="H516" s="310"/>
      <c r="I516" s="295"/>
      <c r="J516" s="295"/>
      <c r="K516" s="300">
        <f t="shared" si="35"/>
        <v>1.1000000000000001</v>
      </c>
      <c r="L516" s="300">
        <f t="shared" si="32"/>
        <v>0</v>
      </c>
      <c r="M516" s="285">
        <f t="shared" si="33"/>
        <v>0</v>
      </c>
      <c r="N516" s="1076">
        <f t="shared" si="34"/>
        <v>0</v>
      </c>
      <c r="O516" s="294"/>
      <c r="P516" s="404"/>
      <c r="Q516" s="404"/>
      <c r="R516" s="301"/>
      <c r="S516" s="301"/>
      <c r="T516" s="301"/>
      <c r="U516" s="301"/>
      <c r="V516" s="301"/>
    </row>
    <row r="517" spans="1:22" ht="12.6" customHeight="1" thickTop="1" thickBot="1" x14ac:dyDescent="0.3">
      <c r="A517" s="292"/>
      <c r="B517" s="293"/>
      <c r="C517" s="294"/>
      <c r="D517" s="294"/>
      <c r="E517" s="294"/>
      <c r="F517" s="310"/>
      <c r="G517" s="310"/>
      <c r="H517" s="310"/>
      <c r="I517" s="295"/>
      <c r="J517" s="295"/>
      <c r="K517" s="300">
        <f t="shared" si="35"/>
        <v>1.1000000000000001</v>
      </c>
      <c r="L517" s="300">
        <f t="shared" si="32"/>
        <v>0</v>
      </c>
      <c r="M517" s="285">
        <f t="shared" si="33"/>
        <v>0</v>
      </c>
      <c r="N517" s="1076">
        <f t="shared" si="34"/>
        <v>0</v>
      </c>
      <c r="O517" s="294"/>
      <c r="P517" s="404"/>
      <c r="Q517" s="404"/>
      <c r="R517" s="301"/>
      <c r="S517" s="301"/>
      <c r="T517" s="301"/>
      <c r="U517" s="301"/>
      <c r="V517" s="301"/>
    </row>
    <row r="518" spans="1:22" ht="12.6" customHeight="1" thickTop="1" thickBot="1" x14ac:dyDescent="0.3">
      <c r="A518" s="292"/>
      <c r="B518" s="293"/>
      <c r="C518" s="294"/>
      <c r="D518" s="294"/>
      <c r="E518" s="294"/>
      <c r="F518" s="310"/>
      <c r="G518" s="310"/>
      <c r="H518" s="310"/>
      <c r="I518" s="295"/>
      <c r="J518" s="295"/>
      <c r="K518" s="300">
        <f t="shared" si="35"/>
        <v>1.1000000000000001</v>
      </c>
      <c r="L518" s="300">
        <f t="shared" si="32"/>
        <v>0</v>
      </c>
      <c r="M518" s="285">
        <f t="shared" si="33"/>
        <v>0</v>
      </c>
      <c r="N518" s="1076">
        <f t="shared" si="34"/>
        <v>0</v>
      </c>
      <c r="O518" s="294"/>
      <c r="P518" s="404"/>
      <c r="Q518" s="404"/>
      <c r="R518" s="301"/>
      <c r="S518" s="301"/>
      <c r="T518" s="301"/>
      <c r="U518" s="301"/>
      <c r="V518" s="301"/>
    </row>
    <row r="519" spans="1:22" ht="12.6" customHeight="1" thickTop="1" thickBot="1" x14ac:dyDescent="0.3">
      <c r="A519" s="292"/>
      <c r="B519" s="293"/>
      <c r="C519" s="294"/>
      <c r="D519" s="294"/>
      <c r="E519" s="294"/>
      <c r="F519" s="310"/>
      <c r="G519" s="310"/>
      <c r="H519" s="310"/>
      <c r="I519" s="295"/>
      <c r="J519" s="295"/>
      <c r="K519" s="300">
        <f t="shared" si="35"/>
        <v>1.1000000000000001</v>
      </c>
      <c r="L519" s="300">
        <f t="shared" ref="L519:L532" si="36">K519*J519</f>
        <v>0</v>
      </c>
      <c r="M519" s="285">
        <f t="shared" ref="M519:M532" si="37">ROUND(L519,1)</f>
        <v>0</v>
      </c>
      <c r="N519" s="1076">
        <f t="shared" ref="N519:N532" si="38">ROUNDUP(M519,0)</f>
        <v>0</v>
      </c>
      <c r="O519" s="294"/>
      <c r="P519" s="404"/>
      <c r="Q519" s="404"/>
      <c r="R519" s="301"/>
      <c r="S519" s="301"/>
      <c r="T519" s="301"/>
      <c r="U519" s="301"/>
      <c r="V519" s="301"/>
    </row>
    <row r="520" spans="1:22" ht="12.6" customHeight="1" thickTop="1" thickBot="1" x14ac:dyDescent="0.3">
      <c r="A520" s="292"/>
      <c r="B520" s="293"/>
      <c r="C520" s="294"/>
      <c r="D520" s="294"/>
      <c r="E520" s="294"/>
      <c r="F520" s="310"/>
      <c r="G520" s="310"/>
      <c r="H520" s="310"/>
      <c r="I520" s="295"/>
      <c r="J520" s="295"/>
      <c r="K520" s="300">
        <f t="shared" si="35"/>
        <v>1.1000000000000001</v>
      </c>
      <c r="L520" s="300">
        <f t="shared" si="36"/>
        <v>0</v>
      </c>
      <c r="M520" s="285">
        <f t="shared" si="37"/>
        <v>0</v>
      </c>
      <c r="N520" s="1076">
        <f t="shared" si="38"/>
        <v>0</v>
      </c>
      <c r="O520" s="294"/>
      <c r="P520" s="404"/>
      <c r="Q520" s="404"/>
      <c r="R520" s="301"/>
      <c r="S520" s="301"/>
      <c r="T520" s="301"/>
      <c r="U520" s="301"/>
      <c r="V520" s="301"/>
    </row>
    <row r="521" spans="1:22" ht="12.6" customHeight="1" thickTop="1" thickBot="1" x14ac:dyDescent="0.3">
      <c r="A521" s="292"/>
      <c r="B521" s="293"/>
      <c r="C521" s="294"/>
      <c r="D521" s="294"/>
      <c r="E521" s="294"/>
      <c r="F521" s="310"/>
      <c r="G521" s="310"/>
      <c r="H521" s="310"/>
      <c r="I521" s="295"/>
      <c r="J521" s="295"/>
      <c r="K521" s="300">
        <f t="shared" si="35"/>
        <v>1.1000000000000001</v>
      </c>
      <c r="L521" s="300">
        <f t="shared" si="36"/>
        <v>0</v>
      </c>
      <c r="M521" s="285">
        <f t="shared" si="37"/>
        <v>0</v>
      </c>
      <c r="N521" s="1076">
        <f t="shared" si="38"/>
        <v>0</v>
      </c>
      <c r="O521" s="294"/>
      <c r="P521" s="404"/>
      <c r="Q521" s="404"/>
      <c r="R521" s="301"/>
      <c r="S521" s="301"/>
      <c r="T521" s="301"/>
      <c r="U521" s="301"/>
      <c r="V521" s="301"/>
    </row>
    <row r="522" spans="1:22" ht="12.6" customHeight="1" thickTop="1" thickBot="1" x14ac:dyDescent="0.3">
      <c r="A522" s="292"/>
      <c r="B522" s="293"/>
      <c r="C522" s="294"/>
      <c r="D522" s="294"/>
      <c r="E522" s="294"/>
      <c r="F522" s="310"/>
      <c r="G522" s="310"/>
      <c r="H522" s="310"/>
      <c r="I522" s="295"/>
      <c r="J522" s="295"/>
      <c r="K522" s="300">
        <f t="shared" si="35"/>
        <v>1.1000000000000001</v>
      </c>
      <c r="L522" s="300">
        <f t="shared" si="36"/>
        <v>0</v>
      </c>
      <c r="M522" s="285">
        <f t="shared" si="37"/>
        <v>0</v>
      </c>
      <c r="N522" s="1076">
        <f t="shared" si="38"/>
        <v>0</v>
      </c>
      <c r="O522" s="294"/>
      <c r="P522" s="404"/>
      <c r="Q522" s="404"/>
      <c r="R522" s="301"/>
      <c r="S522" s="301"/>
      <c r="T522" s="301"/>
      <c r="U522" s="301"/>
      <c r="V522" s="301"/>
    </row>
    <row r="523" spans="1:22" ht="12.6" customHeight="1" thickTop="1" thickBot="1" x14ac:dyDescent="0.3">
      <c r="A523" s="292"/>
      <c r="B523" s="293"/>
      <c r="C523" s="294"/>
      <c r="D523" s="294"/>
      <c r="E523" s="294"/>
      <c r="F523" s="310"/>
      <c r="G523" s="310"/>
      <c r="H523" s="310"/>
      <c r="I523" s="295"/>
      <c r="J523" s="295"/>
      <c r="K523" s="300">
        <f t="shared" si="35"/>
        <v>1.1000000000000001</v>
      </c>
      <c r="L523" s="300">
        <f t="shared" si="36"/>
        <v>0</v>
      </c>
      <c r="M523" s="285">
        <f t="shared" si="37"/>
        <v>0</v>
      </c>
      <c r="N523" s="1076">
        <f t="shared" si="38"/>
        <v>0</v>
      </c>
      <c r="O523" s="294"/>
      <c r="P523" s="404"/>
      <c r="Q523" s="404"/>
      <c r="R523" s="301"/>
      <c r="S523" s="301"/>
      <c r="T523" s="301"/>
      <c r="U523" s="301"/>
      <c r="V523" s="301"/>
    </row>
    <row r="524" spans="1:22" ht="12.6" customHeight="1" thickTop="1" thickBot="1" x14ac:dyDescent="0.3">
      <c r="A524" s="292"/>
      <c r="B524" s="293"/>
      <c r="C524" s="294"/>
      <c r="D524" s="294"/>
      <c r="E524" s="294"/>
      <c r="F524" s="310"/>
      <c r="G524" s="310"/>
      <c r="H524" s="310"/>
      <c r="I524" s="295"/>
      <c r="J524" s="295"/>
      <c r="K524" s="300">
        <f t="shared" si="35"/>
        <v>1.1000000000000001</v>
      </c>
      <c r="L524" s="300">
        <f t="shared" si="36"/>
        <v>0</v>
      </c>
      <c r="M524" s="285">
        <f t="shared" si="37"/>
        <v>0</v>
      </c>
      <c r="N524" s="1076">
        <f t="shared" si="38"/>
        <v>0</v>
      </c>
      <c r="O524" s="294"/>
      <c r="P524" s="404"/>
      <c r="Q524" s="404"/>
      <c r="R524" s="301"/>
      <c r="S524" s="301"/>
      <c r="T524" s="301"/>
      <c r="U524" s="301"/>
      <c r="V524" s="301"/>
    </row>
    <row r="525" spans="1:22" ht="12.6" customHeight="1" thickTop="1" thickBot="1" x14ac:dyDescent="0.3">
      <c r="A525" s="292"/>
      <c r="B525" s="293"/>
      <c r="C525" s="294"/>
      <c r="D525" s="294"/>
      <c r="E525" s="294"/>
      <c r="F525" s="310"/>
      <c r="G525" s="310"/>
      <c r="H525" s="310"/>
      <c r="I525" s="295"/>
      <c r="J525" s="295"/>
      <c r="K525" s="300">
        <f t="shared" si="35"/>
        <v>1.1000000000000001</v>
      </c>
      <c r="L525" s="300">
        <f t="shared" si="36"/>
        <v>0</v>
      </c>
      <c r="M525" s="285">
        <f t="shared" si="37"/>
        <v>0</v>
      </c>
      <c r="N525" s="1076">
        <f t="shared" si="38"/>
        <v>0</v>
      </c>
      <c r="O525" s="294"/>
      <c r="P525" s="404"/>
      <c r="Q525" s="404"/>
      <c r="R525" s="301"/>
      <c r="S525" s="301"/>
      <c r="T525" s="301"/>
      <c r="U525" s="301"/>
      <c r="V525" s="301"/>
    </row>
    <row r="526" spans="1:22" ht="12.6" customHeight="1" thickTop="1" thickBot="1" x14ac:dyDescent="0.3">
      <c r="A526" s="292"/>
      <c r="B526" s="293"/>
      <c r="C526" s="294"/>
      <c r="D526" s="294"/>
      <c r="E526" s="294"/>
      <c r="F526" s="310"/>
      <c r="G526" s="310"/>
      <c r="H526" s="310"/>
      <c r="I526" s="295"/>
      <c r="J526" s="295"/>
      <c r="K526" s="300">
        <f t="shared" si="35"/>
        <v>1.1000000000000001</v>
      </c>
      <c r="L526" s="300">
        <f t="shared" si="36"/>
        <v>0</v>
      </c>
      <c r="M526" s="285">
        <f t="shared" si="37"/>
        <v>0</v>
      </c>
      <c r="N526" s="1076">
        <f t="shared" si="38"/>
        <v>0</v>
      </c>
      <c r="O526" s="294"/>
      <c r="P526" s="404"/>
      <c r="Q526" s="404"/>
      <c r="R526" s="301"/>
      <c r="S526" s="301"/>
      <c r="T526" s="301"/>
      <c r="U526" s="301"/>
      <c r="V526" s="301"/>
    </row>
    <row r="527" spans="1:22" ht="12.6" customHeight="1" thickTop="1" thickBot="1" x14ac:dyDescent="0.3">
      <c r="A527" s="292"/>
      <c r="B527" s="293"/>
      <c r="C527" s="294"/>
      <c r="D527" s="294"/>
      <c r="E527" s="294"/>
      <c r="F527" s="310"/>
      <c r="G527" s="310"/>
      <c r="H527" s="310"/>
      <c r="I527" s="295"/>
      <c r="J527" s="295"/>
      <c r="K527" s="300">
        <f t="shared" si="35"/>
        <v>1.1000000000000001</v>
      </c>
      <c r="L527" s="300">
        <f t="shared" si="36"/>
        <v>0</v>
      </c>
      <c r="M527" s="285">
        <f t="shared" si="37"/>
        <v>0</v>
      </c>
      <c r="N527" s="1076">
        <f t="shared" si="38"/>
        <v>0</v>
      </c>
      <c r="O527" s="294"/>
      <c r="P527" s="404"/>
      <c r="Q527" s="404"/>
      <c r="R527" s="301"/>
      <c r="S527" s="301"/>
      <c r="T527" s="301"/>
      <c r="U527" s="301"/>
      <c r="V527" s="301"/>
    </row>
    <row r="528" spans="1:22" ht="12.6" customHeight="1" thickTop="1" thickBot="1" x14ac:dyDescent="0.3">
      <c r="A528" s="292"/>
      <c r="B528" s="293"/>
      <c r="C528" s="294"/>
      <c r="D528" s="294"/>
      <c r="E528" s="294"/>
      <c r="F528" s="310"/>
      <c r="G528" s="310"/>
      <c r="H528" s="310"/>
      <c r="I528" s="295"/>
      <c r="J528" s="295"/>
      <c r="K528" s="300">
        <f t="shared" si="35"/>
        <v>1.1000000000000001</v>
      </c>
      <c r="L528" s="300">
        <f t="shared" si="36"/>
        <v>0</v>
      </c>
      <c r="M528" s="285">
        <f t="shared" si="37"/>
        <v>0</v>
      </c>
      <c r="N528" s="1076">
        <f t="shared" si="38"/>
        <v>0</v>
      </c>
      <c r="O528" s="294"/>
      <c r="P528" s="404"/>
      <c r="Q528" s="404"/>
      <c r="R528" s="301"/>
      <c r="S528" s="301"/>
      <c r="T528" s="301"/>
      <c r="U528" s="301"/>
      <c r="V528" s="301"/>
    </row>
    <row r="529" spans="1:22" ht="12.6" customHeight="1" thickTop="1" thickBot="1" x14ac:dyDescent="0.3">
      <c r="A529" s="292"/>
      <c r="B529" s="293"/>
      <c r="C529" s="294"/>
      <c r="D529" s="294"/>
      <c r="E529" s="294"/>
      <c r="F529" s="310"/>
      <c r="G529" s="310"/>
      <c r="H529" s="310"/>
      <c r="I529" s="295"/>
      <c r="J529" s="295"/>
      <c r="K529" s="300">
        <f t="shared" si="35"/>
        <v>1.1000000000000001</v>
      </c>
      <c r="L529" s="300">
        <f t="shared" si="36"/>
        <v>0</v>
      </c>
      <c r="M529" s="285">
        <f t="shared" si="37"/>
        <v>0</v>
      </c>
      <c r="N529" s="1076">
        <f t="shared" si="38"/>
        <v>0</v>
      </c>
      <c r="O529" s="294"/>
      <c r="P529" s="404"/>
      <c r="Q529" s="404"/>
      <c r="R529" s="301"/>
      <c r="S529" s="301"/>
      <c r="T529" s="301"/>
      <c r="U529" s="301"/>
      <c r="V529" s="301"/>
    </row>
    <row r="530" spans="1:22" ht="12.6" customHeight="1" thickTop="1" thickBot="1" x14ac:dyDescent="0.3">
      <c r="A530" s="292"/>
      <c r="B530" s="293"/>
      <c r="C530" s="294"/>
      <c r="D530" s="294"/>
      <c r="E530" s="294"/>
      <c r="F530" s="310"/>
      <c r="G530" s="310"/>
      <c r="H530" s="310"/>
      <c r="I530" s="295"/>
      <c r="J530" s="295"/>
      <c r="K530" s="300">
        <f t="shared" si="35"/>
        <v>1.1000000000000001</v>
      </c>
      <c r="L530" s="300">
        <f t="shared" si="36"/>
        <v>0</v>
      </c>
      <c r="M530" s="285">
        <f t="shared" si="37"/>
        <v>0</v>
      </c>
      <c r="N530" s="1076">
        <f t="shared" si="38"/>
        <v>0</v>
      </c>
      <c r="O530" s="294"/>
      <c r="P530" s="404"/>
      <c r="Q530" s="404"/>
      <c r="R530" s="301"/>
      <c r="S530" s="301"/>
      <c r="T530" s="301"/>
      <c r="U530" s="301"/>
      <c r="V530" s="301"/>
    </row>
    <row r="531" spans="1:22" ht="12.6" customHeight="1" thickTop="1" thickBot="1" x14ac:dyDescent="0.3">
      <c r="A531" s="292"/>
      <c r="B531" s="293"/>
      <c r="C531" s="294"/>
      <c r="D531" s="294"/>
      <c r="E531" s="294"/>
      <c r="F531" s="310"/>
      <c r="G531" s="310"/>
      <c r="H531" s="310"/>
      <c r="I531" s="295"/>
      <c r="J531" s="295"/>
      <c r="K531" s="300">
        <f t="shared" si="35"/>
        <v>1.1000000000000001</v>
      </c>
      <c r="L531" s="300">
        <f t="shared" si="36"/>
        <v>0</v>
      </c>
      <c r="M531" s="285">
        <f t="shared" si="37"/>
        <v>0</v>
      </c>
      <c r="N531" s="1076">
        <f t="shared" si="38"/>
        <v>0</v>
      </c>
      <c r="O531" s="294"/>
      <c r="P531" s="404"/>
      <c r="Q531" s="404"/>
      <c r="R531" s="301"/>
      <c r="S531" s="301"/>
      <c r="T531" s="301"/>
      <c r="U531" s="301"/>
      <c r="V531" s="301"/>
    </row>
    <row r="532" spans="1:22" ht="12.6" customHeight="1" thickTop="1" thickBot="1" x14ac:dyDescent="0.3">
      <c r="A532" s="292"/>
      <c r="B532" s="293"/>
      <c r="C532" s="294"/>
      <c r="D532" s="294"/>
      <c r="E532" s="294"/>
      <c r="F532" s="310"/>
      <c r="G532" s="310"/>
      <c r="H532" s="310"/>
      <c r="I532" s="295"/>
      <c r="J532" s="295"/>
      <c r="K532" s="300">
        <f t="shared" si="35"/>
        <v>1.1000000000000001</v>
      </c>
      <c r="L532" s="300">
        <f t="shared" si="36"/>
        <v>0</v>
      </c>
      <c r="M532" s="285">
        <f t="shared" si="37"/>
        <v>0</v>
      </c>
      <c r="N532" s="1076">
        <f t="shared" si="38"/>
        <v>0</v>
      </c>
      <c r="O532" s="294"/>
      <c r="P532" s="404"/>
      <c r="Q532" s="404"/>
      <c r="R532" s="301"/>
      <c r="S532" s="301"/>
      <c r="T532" s="301"/>
      <c r="U532" s="301"/>
      <c r="V532" s="301"/>
    </row>
    <row r="533" spans="1:22" ht="12.6" customHeight="1" thickTop="1" thickBot="1" x14ac:dyDescent="0.3">
      <c r="A533" s="292"/>
      <c r="B533" s="293"/>
      <c r="C533" s="294"/>
      <c r="D533" s="294"/>
      <c r="E533" s="294"/>
      <c r="F533" s="310"/>
      <c r="G533" s="310"/>
      <c r="H533" s="310"/>
      <c r="I533" s="295"/>
      <c r="J533" s="295"/>
      <c r="K533" s="300"/>
      <c r="L533" s="300"/>
      <c r="M533" s="285"/>
      <c r="N533" s="1076"/>
      <c r="O533" s="294"/>
      <c r="P533" s="404"/>
      <c r="Q533" s="404"/>
      <c r="R533" s="301"/>
      <c r="S533" s="301"/>
      <c r="T533" s="301"/>
      <c r="U533" s="301"/>
      <c r="V533" s="301"/>
    </row>
    <row r="534" spans="1:22" ht="12.6" customHeight="1" thickTop="1" thickBot="1" x14ac:dyDescent="0.3">
      <c r="A534" s="292">
        <v>1</v>
      </c>
      <c r="B534" s="293" t="s">
        <v>1845</v>
      </c>
      <c r="C534" s="294"/>
      <c r="D534" s="294"/>
      <c r="E534" s="294"/>
      <c r="F534" s="310">
        <f>60+9</f>
        <v>69</v>
      </c>
      <c r="G534" s="310">
        <f>21+6</f>
        <v>27</v>
      </c>
      <c r="H534" s="310"/>
      <c r="I534" s="295">
        <f>G534*F534</f>
        <v>1863</v>
      </c>
      <c r="J534" s="295">
        <f>I534</f>
        <v>1863</v>
      </c>
      <c r="K534" s="300">
        <f t="shared" ref="K534:K887" si="39">$K$2</f>
        <v>1.1000000000000001</v>
      </c>
      <c r="L534" s="300">
        <f t="shared" ref="L534:L1657" si="40">K534*J534</f>
        <v>2049.3000000000002</v>
      </c>
      <c r="M534" s="285">
        <f t="shared" ref="M534:M1658" si="41">ROUND(L534,1)</f>
        <v>2049.3000000000002</v>
      </c>
      <c r="N534" s="1076">
        <f t="shared" ref="N534:N1658" si="42">ROUNDUP(M534,0)</f>
        <v>2050</v>
      </c>
      <c r="O534" s="294" t="s">
        <v>695</v>
      </c>
      <c r="P534" s="404"/>
      <c r="Q534" s="404"/>
      <c r="R534" s="301"/>
      <c r="S534" s="301"/>
      <c r="T534" s="301"/>
      <c r="U534" s="301"/>
      <c r="V534" s="301"/>
    </row>
    <row r="535" spans="1:22" ht="14.4" thickTop="1" thickBot="1" x14ac:dyDescent="0.3">
      <c r="A535" s="292"/>
      <c r="B535" s="293"/>
      <c r="C535" s="294"/>
      <c r="D535" s="294"/>
      <c r="E535" s="294"/>
      <c r="F535" s="310"/>
      <c r="G535" s="310"/>
      <c r="H535" s="310"/>
      <c r="I535" s="295"/>
      <c r="J535" s="295">
        <f>J534*10.76</f>
        <v>20045.88</v>
      </c>
      <c r="K535" s="300">
        <f t="shared" si="39"/>
        <v>1.1000000000000001</v>
      </c>
      <c r="L535" s="300">
        <f t="shared" si="40"/>
        <v>22050.468000000004</v>
      </c>
      <c r="M535" s="285">
        <f t="shared" si="41"/>
        <v>22050.5</v>
      </c>
      <c r="N535" s="1076">
        <f t="shared" si="42"/>
        <v>22051</v>
      </c>
      <c r="O535" s="294" t="s">
        <v>1846</v>
      </c>
      <c r="P535" s="413">
        <f>J534/9.29</f>
        <v>200.53821313240044</v>
      </c>
      <c r="Q535" s="404"/>
      <c r="R535" s="301"/>
      <c r="S535" s="301"/>
      <c r="T535" s="301"/>
      <c r="U535" s="301"/>
      <c r="V535" s="301"/>
    </row>
    <row r="536" spans="1:22" ht="14.4" thickTop="1" thickBot="1" x14ac:dyDescent="0.3">
      <c r="A536" s="292"/>
      <c r="B536" s="293"/>
      <c r="C536" s="294"/>
      <c r="D536" s="294"/>
      <c r="E536" s="294"/>
      <c r="F536" s="310"/>
      <c r="G536" s="310"/>
      <c r="H536" s="310"/>
      <c r="I536" s="295"/>
      <c r="J536" s="295">
        <f>J535/100</f>
        <v>200.4588</v>
      </c>
      <c r="K536" s="300">
        <v>1.03</v>
      </c>
      <c r="L536" s="300">
        <f t="shared" si="40"/>
        <v>206.47256400000001</v>
      </c>
      <c r="M536" s="285">
        <f t="shared" si="41"/>
        <v>206.5</v>
      </c>
      <c r="N536" s="1076">
        <f t="shared" si="42"/>
        <v>207</v>
      </c>
      <c r="O536" s="294" t="s">
        <v>879</v>
      </c>
      <c r="P536" s="404"/>
      <c r="Q536" s="404"/>
      <c r="R536" s="301"/>
      <c r="S536" s="301"/>
      <c r="T536" s="301"/>
      <c r="U536" s="301"/>
      <c r="V536" s="301"/>
    </row>
    <row r="537" spans="1:22" ht="14.4" thickTop="1" thickBot="1" x14ac:dyDescent="0.3">
      <c r="A537" s="292"/>
      <c r="B537" s="293"/>
      <c r="C537" s="294"/>
      <c r="D537" s="294"/>
      <c r="E537" s="294"/>
      <c r="F537" s="310"/>
      <c r="G537" s="310"/>
      <c r="H537" s="310"/>
      <c r="I537" s="295"/>
      <c r="J537" s="295"/>
      <c r="K537" s="300">
        <f t="shared" si="39"/>
        <v>1.1000000000000001</v>
      </c>
      <c r="L537" s="300">
        <f t="shared" si="40"/>
        <v>0</v>
      </c>
      <c r="M537" s="285">
        <f t="shared" si="41"/>
        <v>0</v>
      </c>
      <c r="N537" s="1076">
        <f t="shared" si="42"/>
        <v>0</v>
      </c>
      <c r="O537" s="294"/>
      <c r="P537" s="404"/>
      <c r="Q537" s="404"/>
      <c r="R537" s="301"/>
      <c r="S537" s="301"/>
      <c r="T537" s="301"/>
      <c r="U537" s="301"/>
      <c r="V537" s="301"/>
    </row>
    <row r="538" spans="1:22" ht="14.4" thickTop="1" thickBot="1" x14ac:dyDescent="0.3">
      <c r="A538" s="292"/>
      <c r="B538" s="293" t="s">
        <v>1847</v>
      </c>
      <c r="C538" s="294"/>
      <c r="D538" s="294"/>
      <c r="E538" s="294"/>
      <c r="F538" s="310">
        <v>60</v>
      </c>
      <c r="G538" s="310">
        <v>21</v>
      </c>
      <c r="H538" s="310"/>
      <c r="I538" s="295">
        <f>G538*F538</f>
        <v>1260</v>
      </c>
      <c r="J538" s="295">
        <f>I538</f>
        <v>1260</v>
      </c>
      <c r="K538" s="300">
        <f t="shared" si="39"/>
        <v>1.1000000000000001</v>
      </c>
      <c r="L538" s="300">
        <f t="shared" si="40"/>
        <v>1386</v>
      </c>
      <c r="M538" s="285">
        <f t="shared" si="41"/>
        <v>1386</v>
      </c>
      <c r="N538" s="1076">
        <f t="shared" si="42"/>
        <v>1386</v>
      </c>
      <c r="O538" s="294" t="s">
        <v>695</v>
      </c>
      <c r="P538" s="404"/>
      <c r="Q538" s="404"/>
      <c r="R538" s="301"/>
      <c r="S538" s="301"/>
      <c r="T538" s="301"/>
      <c r="U538" s="301"/>
      <c r="V538" s="301"/>
    </row>
    <row r="539" spans="1:22" ht="14.4" thickTop="1" thickBot="1" x14ac:dyDescent="0.3">
      <c r="A539" s="292"/>
      <c r="B539" s="293"/>
      <c r="C539" s="294"/>
      <c r="D539" s="294"/>
      <c r="E539" s="294"/>
      <c r="F539" s="310"/>
      <c r="G539" s="310"/>
      <c r="H539" s="310"/>
      <c r="I539" s="295"/>
      <c r="J539" s="295">
        <f>J538*10.76</f>
        <v>13557.6</v>
      </c>
      <c r="K539" s="300">
        <f t="shared" si="39"/>
        <v>1.1000000000000001</v>
      </c>
      <c r="L539" s="300">
        <f>K539*J539</f>
        <v>14913.360000000002</v>
      </c>
      <c r="M539" s="285">
        <f t="shared" si="41"/>
        <v>14913.4</v>
      </c>
      <c r="N539" s="1076">
        <f t="shared" si="42"/>
        <v>14914</v>
      </c>
      <c r="O539" s="294" t="s">
        <v>1846</v>
      </c>
      <c r="P539" s="404"/>
      <c r="Q539" s="404"/>
      <c r="R539" s="301"/>
      <c r="S539" s="301"/>
      <c r="T539" s="301"/>
      <c r="U539" s="301"/>
      <c r="V539" s="301"/>
    </row>
    <row r="540" spans="1:22" ht="14.4" thickTop="1" thickBot="1" x14ac:dyDescent="0.3">
      <c r="A540" s="292"/>
      <c r="B540" s="293"/>
      <c r="C540" s="294"/>
      <c r="D540" s="294"/>
      <c r="E540" s="294"/>
      <c r="F540" s="310"/>
      <c r="G540" s="310"/>
      <c r="H540" s="310"/>
      <c r="I540" s="295"/>
      <c r="J540" s="295">
        <f>J539/100</f>
        <v>135.57599999999999</v>
      </c>
      <c r="K540" s="300">
        <v>1.05</v>
      </c>
      <c r="L540" s="300">
        <f t="shared" si="40"/>
        <v>142.35480000000001</v>
      </c>
      <c r="M540" s="285">
        <f t="shared" si="41"/>
        <v>142.4</v>
      </c>
      <c r="N540" s="1076">
        <f t="shared" si="42"/>
        <v>143</v>
      </c>
      <c r="O540" s="294" t="s">
        <v>879</v>
      </c>
      <c r="P540" s="413">
        <f>N540-J540</f>
        <v>7.4240000000000066</v>
      </c>
      <c r="Q540" s="404"/>
      <c r="R540" s="301"/>
      <c r="S540" s="301"/>
      <c r="T540" s="301"/>
      <c r="U540" s="301"/>
      <c r="V540" s="301"/>
    </row>
    <row r="541" spans="1:22" ht="14.4" thickTop="1" thickBot="1" x14ac:dyDescent="0.3">
      <c r="A541" s="292"/>
      <c r="B541" s="293"/>
      <c r="C541" s="294"/>
      <c r="D541" s="294"/>
      <c r="E541" s="294"/>
      <c r="F541" s="310"/>
      <c r="G541" s="310"/>
      <c r="H541" s="310"/>
      <c r="I541" s="295"/>
      <c r="J541" s="295"/>
      <c r="K541" s="300">
        <f t="shared" si="39"/>
        <v>1.1000000000000001</v>
      </c>
      <c r="L541" s="300">
        <f t="shared" si="40"/>
        <v>0</v>
      </c>
      <c r="M541" s="285">
        <f t="shared" si="41"/>
        <v>0</v>
      </c>
      <c r="N541" s="1076">
        <f t="shared" si="42"/>
        <v>0</v>
      </c>
      <c r="O541" s="294"/>
      <c r="P541" s="404"/>
      <c r="Q541" s="404"/>
      <c r="R541" s="301"/>
      <c r="S541" s="301"/>
      <c r="T541" s="301"/>
      <c r="U541" s="301"/>
      <c r="V541" s="301"/>
    </row>
    <row r="542" spans="1:22" ht="14.4" thickTop="1" thickBot="1" x14ac:dyDescent="0.3">
      <c r="A542" s="292"/>
      <c r="B542" s="293" t="s">
        <v>1848</v>
      </c>
      <c r="C542" s="294"/>
      <c r="D542" s="294"/>
      <c r="E542" s="294"/>
      <c r="F542" s="310">
        <f>F538</f>
        <v>60</v>
      </c>
      <c r="G542" s="310">
        <f>G538</f>
        <v>21</v>
      </c>
      <c r="H542" s="310">
        <v>1.5</v>
      </c>
      <c r="I542" s="295">
        <f>H542*G542*F542</f>
        <v>1890</v>
      </c>
      <c r="J542" s="295">
        <f>I542</f>
        <v>1890</v>
      </c>
      <c r="K542" s="300">
        <f t="shared" si="39"/>
        <v>1.1000000000000001</v>
      </c>
      <c r="L542" s="300">
        <f t="shared" si="40"/>
        <v>2079</v>
      </c>
      <c r="M542" s="285">
        <f t="shared" si="41"/>
        <v>2079</v>
      </c>
      <c r="N542" s="1076">
        <f t="shared" si="42"/>
        <v>2079</v>
      </c>
      <c r="O542" s="294" t="s">
        <v>696</v>
      </c>
      <c r="P542" s="404"/>
      <c r="Q542" s="404"/>
      <c r="R542" s="301"/>
      <c r="S542" s="301"/>
      <c r="T542" s="301"/>
      <c r="U542" s="301"/>
      <c r="V542" s="301"/>
    </row>
    <row r="543" spans="1:22" ht="14.4" thickTop="1" thickBot="1" x14ac:dyDescent="0.3">
      <c r="A543" s="292"/>
      <c r="B543" s="293"/>
      <c r="C543" s="294"/>
      <c r="D543" s="294"/>
      <c r="E543" s="294"/>
      <c r="F543" s="310"/>
      <c r="G543" s="310"/>
      <c r="H543" s="310"/>
      <c r="I543" s="295"/>
      <c r="J543" s="295">
        <f>J542/2.83</f>
        <v>667.84452296819791</v>
      </c>
      <c r="K543" s="300">
        <v>1.05</v>
      </c>
      <c r="L543" s="300">
        <f t="shared" si="40"/>
        <v>701.23674911660783</v>
      </c>
      <c r="M543" s="285">
        <f t="shared" si="41"/>
        <v>701.2</v>
      </c>
      <c r="N543" s="1076">
        <f t="shared" si="42"/>
        <v>702</v>
      </c>
      <c r="O543" s="294" t="s">
        <v>875</v>
      </c>
      <c r="P543" s="413">
        <f>N543-J543</f>
        <v>34.155477031802093</v>
      </c>
      <c r="Q543" s="413"/>
      <c r="R543" s="301"/>
      <c r="S543" s="301"/>
      <c r="T543" s="301"/>
      <c r="U543" s="301"/>
      <c r="V543" s="301"/>
    </row>
    <row r="544" spans="1:22" ht="14.4" thickTop="1" thickBot="1" x14ac:dyDescent="0.3">
      <c r="A544" s="292"/>
      <c r="B544" s="293"/>
      <c r="C544" s="294"/>
      <c r="D544" s="294"/>
      <c r="E544" s="294"/>
      <c r="F544" s="310"/>
      <c r="G544" s="310"/>
      <c r="H544" s="310"/>
      <c r="I544" s="295"/>
      <c r="J544" s="295"/>
      <c r="K544" s="300">
        <f t="shared" si="39"/>
        <v>1.1000000000000001</v>
      </c>
      <c r="L544" s="300">
        <f t="shared" si="40"/>
        <v>0</v>
      </c>
      <c r="M544" s="285">
        <f t="shared" si="41"/>
        <v>0</v>
      </c>
      <c r="N544" s="1076">
        <f t="shared" si="42"/>
        <v>0</v>
      </c>
      <c r="O544" s="294"/>
      <c r="P544" s="404"/>
      <c r="Q544" s="404"/>
      <c r="R544" s="301"/>
      <c r="S544" s="301"/>
      <c r="T544" s="301"/>
      <c r="U544" s="301"/>
      <c r="V544" s="301"/>
    </row>
    <row r="545" spans="1:22" ht="14.4" thickTop="1" thickBot="1" x14ac:dyDescent="0.3">
      <c r="A545" s="292"/>
      <c r="B545" s="293" t="s">
        <v>1849</v>
      </c>
      <c r="C545" s="294"/>
      <c r="D545" s="294"/>
      <c r="E545" s="294"/>
      <c r="F545" s="310"/>
      <c r="G545" s="310"/>
      <c r="H545" s="310"/>
      <c r="I545" s="295"/>
      <c r="J545" s="295"/>
      <c r="K545" s="300">
        <f t="shared" si="39"/>
        <v>1.1000000000000001</v>
      </c>
      <c r="L545" s="300">
        <f t="shared" si="40"/>
        <v>0</v>
      </c>
      <c r="M545" s="285">
        <f t="shared" si="41"/>
        <v>0</v>
      </c>
      <c r="N545" s="1076">
        <f t="shared" si="42"/>
        <v>0</v>
      </c>
      <c r="O545" s="294"/>
      <c r="P545" s="404"/>
      <c r="Q545" s="404"/>
      <c r="R545" s="301"/>
      <c r="S545" s="301"/>
      <c r="T545" s="301"/>
      <c r="U545" s="301"/>
      <c r="V545" s="301"/>
    </row>
    <row r="546" spans="1:22" ht="14.4" thickTop="1" thickBot="1" x14ac:dyDescent="0.3">
      <c r="A546" s="292"/>
      <c r="B546" s="293"/>
      <c r="C546" s="294"/>
      <c r="D546" s="294"/>
      <c r="E546" s="294"/>
      <c r="F546" s="310"/>
      <c r="G546" s="310"/>
      <c r="H546" s="310"/>
      <c r="I546" s="295"/>
      <c r="J546" s="295"/>
      <c r="K546" s="300">
        <f t="shared" si="39"/>
        <v>1.1000000000000001</v>
      </c>
      <c r="L546" s="300">
        <f t="shared" si="40"/>
        <v>0</v>
      </c>
      <c r="M546" s="285">
        <f t="shared" si="41"/>
        <v>0</v>
      </c>
      <c r="N546" s="1076">
        <f t="shared" si="42"/>
        <v>0</v>
      </c>
      <c r="O546" s="294"/>
      <c r="P546" s="404"/>
      <c r="Q546" s="404"/>
      <c r="R546" s="301"/>
      <c r="S546" s="301"/>
      <c r="T546" s="301"/>
      <c r="U546" s="301"/>
      <c r="V546" s="301"/>
    </row>
    <row r="547" spans="1:22" ht="14.4" thickTop="1" thickBot="1" x14ac:dyDescent="0.3">
      <c r="A547" s="292"/>
      <c r="B547" s="293"/>
      <c r="C547" s="294"/>
      <c r="D547" s="294"/>
      <c r="E547" s="294"/>
      <c r="F547" s="310"/>
      <c r="G547" s="310"/>
      <c r="H547" s="310"/>
      <c r="I547" s="295"/>
      <c r="J547" s="295"/>
      <c r="K547" s="300">
        <f t="shared" si="39"/>
        <v>1.1000000000000001</v>
      </c>
      <c r="L547" s="300">
        <f t="shared" si="40"/>
        <v>0</v>
      </c>
      <c r="M547" s="285">
        <f t="shared" si="41"/>
        <v>0</v>
      </c>
      <c r="N547" s="1076">
        <f t="shared" si="42"/>
        <v>0</v>
      </c>
      <c r="O547" s="294"/>
      <c r="P547" s="404"/>
      <c r="Q547" s="404"/>
      <c r="R547" s="301"/>
      <c r="S547" s="301"/>
      <c r="T547" s="301"/>
      <c r="U547" s="301"/>
      <c r="V547" s="301"/>
    </row>
    <row r="548" spans="1:22" ht="14.4" thickTop="1" thickBot="1" x14ac:dyDescent="0.3">
      <c r="A548" s="292"/>
      <c r="B548" s="293" t="s">
        <v>694</v>
      </c>
      <c r="C548" s="294"/>
      <c r="D548" s="294"/>
      <c r="E548" s="294"/>
      <c r="F548" s="310">
        <f>F542</f>
        <v>60</v>
      </c>
      <c r="G548" s="310">
        <f>G542</f>
        <v>21</v>
      </c>
      <c r="H548" s="310"/>
      <c r="I548" s="295">
        <f>G548*F548</f>
        <v>1260</v>
      </c>
      <c r="J548" s="295">
        <f>I548</f>
        <v>1260</v>
      </c>
      <c r="K548" s="300">
        <f t="shared" si="39"/>
        <v>1.1000000000000001</v>
      </c>
      <c r="L548" s="300">
        <f t="shared" si="40"/>
        <v>1386</v>
      </c>
      <c r="M548" s="285">
        <f t="shared" si="41"/>
        <v>1386</v>
      </c>
      <c r="N548" s="1076">
        <f t="shared" si="42"/>
        <v>1386</v>
      </c>
      <c r="O548" s="294"/>
      <c r="P548" s="404"/>
      <c r="Q548" s="404"/>
      <c r="R548" s="301"/>
      <c r="S548" s="301"/>
      <c r="T548" s="301"/>
      <c r="U548" s="301"/>
      <c r="V548" s="301"/>
    </row>
    <row r="549" spans="1:22" ht="14.4" thickTop="1" thickBot="1" x14ac:dyDescent="0.3">
      <c r="A549" s="292"/>
      <c r="B549" s="293"/>
      <c r="C549" s="294"/>
      <c r="D549" s="294"/>
      <c r="E549" s="294"/>
      <c r="F549" s="310"/>
      <c r="G549" s="310"/>
      <c r="H549" s="310"/>
      <c r="I549" s="295"/>
      <c r="J549" s="295">
        <f>J548*10.76</f>
        <v>13557.6</v>
      </c>
      <c r="K549" s="300">
        <v>1.01</v>
      </c>
      <c r="L549" s="300">
        <f t="shared" si="40"/>
        <v>13693.176000000001</v>
      </c>
      <c r="M549" s="285">
        <f t="shared" si="41"/>
        <v>13693.2</v>
      </c>
      <c r="N549" s="1076">
        <f t="shared" si="42"/>
        <v>13694</v>
      </c>
      <c r="O549" s="294"/>
      <c r="P549" s="413">
        <f>N549-J549</f>
        <v>136.39999999999964</v>
      </c>
      <c r="Q549" s="404"/>
      <c r="R549" s="301"/>
      <c r="S549" s="301"/>
      <c r="T549" s="301"/>
      <c r="U549" s="301"/>
      <c r="V549" s="301"/>
    </row>
    <row r="550" spans="1:22" ht="14.4" thickTop="1" thickBot="1" x14ac:dyDescent="0.3">
      <c r="A550" s="292"/>
      <c r="B550" s="293"/>
      <c r="C550" s="294"/>
      <c r="D550" s="294"/>
      <c r="E550" s="294"/>
      <c r="F550" s="310"/>
      <c r="G550" s="310"/>
      <c r="H550" s="310"/>
      <c r="I550" s="295"/>
      <c r="J550" s="295"/>
      <c r="K550" s="300">
        <f t="shared" si="39"/>
        <v>1.1000000000000001</v>
      </c>
      <c r="L550" s="300">
        <f t="shared" si="40"/>
        <v>0</v>
      </c>
      <c r="M550" s="285">
        <f t="shared" si="41"/>
        <v>0</v>
      </c>
      <c r="N550" s="1076">
        <f t="shared" si="42"/>
        <v>0</v>
      </c>
      <c r="O550" s="294"/>
      <c r="P550" s="404"/>
      <c r="Q550" s="404"/>
      <c r="R550" s="301"/>
      <c r="S550" s="301"/>
      <c r="T550" s="301"/>
      <c r="U550" s="301"/>
      <c r="V550" s="301"/>
    </row>
    <row r="551" spans="1:22" ht="14.4" thickTop="1" thickBot="1" x14ac:dyDescent="0.3">
      <c r="A551" s="292"/>
      <c r="B551" s="293"/>
      <c r="C551" s="294"/>
      <c r="D551" s="294"/>
      <c r="E551" s="294"/>
      <c r="F551" s="310"/>
      <c r="G551" s="310"/>
      <c r="H551" s="310"/>
      <c r="I551" s="295"/>
      <c r="J551" s="295"/>
      <c r="K551" s="300">
        <f t="shared" si="39"/>
        <v>1.1000000000000001</v>
      </c>
      <c r="L551" s="300">
        <f t="shared" si="40"/>
        <v>0</v>
      </c>
      <c r="M551" s="285">
        <f t="shared" si="41"/>
        <v>0</v>
      </c>
      <c r="N551" s="1076">
        <f t="shared" si="42"/>
        <v>0</v>
      </c>
      <c r="O551" s="294"/>
      <c r="P551" s="404"/>
      <c r="Q551" s="404"/>
      <c r="R551" s="301"/>
      <c r="S551" s="301"/>
      <c r="T551" s="301"/>
      <c r="U551" s="301"/>
      <c r="V551" s="301"/>
    </row>
    <row r="552" spans="1:22" ht="14.4" thickTop="1" thickBot="1" x14ac:dyDescent="0.3">
      <c r="A552" s="292"/>
      <c r="B552" s="293" t="s">
        <v>2429</v>
      </c>
      <c r="C552" s="294"/>
      <c r="D552" s="294"/>
      <c r="E552" s="294"/>
      <c r="F552" s="310"/>
      <c r="G552" s="310"/>
      <c r="H552" s="310"/>
      <c r="I552" s="295"/>
      <c r="J552" s="295"/>
      <c r="K552" s="300"/>
      <c r="L552" s="300"/>
      <c r="M552" s="285"/>
      <c r="N552" s="1076"/>
      <c r="O552" s="294"/>
      <c r="P552" s="404"/>
      <c r="Q552" s="404"/>
      <c r="R552" s="301"/>
      <c r="S552" s="301"/>
      <c r="T552" s="301"/>
      <c r="U552" s="301"/>
      <c r="V552" s="301"/>
    </row>
    <row r="553" spans="1:22" ht="14.4" thickTop="1" thickBot="1" x14ac:dyDescent="0.3">
      <c r="A553" s="292"/>
      <c r="B553" s="293" t="s">
        <v>756</v>
      </c>
      <c r="C553" s="294"/>
      <c r="D553" s="294"/>
      <c r="E553" s="294"/>
      <c r="F553" s="310">
        <v>3</v>
      </c>
      <c r="G553" s="310">
        <v>3</v>
      </c>
      <c r="H553" s="310">
        <v>2</v>
      </c>
      <c r="I553" s="295">
        <f>H553*G553*F553</f>
        <v>18</v>
      </c>
      <c r="J553" s="295"/>
      <c r="K553" s="300"/>
      <c r="L553" s="300"/>
      <c r="M553" s="285"/>
      <c r="N553" s="1076"/>
      <c r="O553" s="294"/>
      <c r="P553" s="404"/>
      <c r="Q553" s="404"/>
      <c r="R553" s="301"/>
      <c r="S553" s="301"/>
      <c r="T553" s="301"/>
      <c r="U553" s="301"/>
      <c r="V553" s="301"/>
    </row>
    <row r="554" spans="1:22" ht="14.4" thickTop="1" thickBot="1" x14ac:dyDescent="0.3">
      <c r="A554" s="292"/>
      <c r="B554" s="293" t="s">
        <v>844</v>
      </c>
      <c r="C554" s="294"/>
      <c r="D554" s="294"/>
      <c r="E554" s="294"/>
      <c r="F554" s="310">
        <v>2</v>
      </c>
      <c r="G554" s="310">
        <v>1.5</v>
      </c>
      <c r="H554" s="310">
        <v>1</v>
      </c>
      <c r="I554" s="295">
        <f>H554*G554*F554</f>
        <v>3</v>
      </c>
      <c r="J554" s="295"/>
      <c r="K554" s="300"/>
      <c r="L554" s="300"/>
      <c r="M554" s="285"/>
      <c r="N554" s="1076"/>
      <c r="O554" s="294"/>
      <c r="P554" s="404"/>
      <c r="Q554" s="404"/>
      <c r="R554" s="301"/>
      <c r="S554" s="301"/>
      <c r="T554" s="301"/>
      <c r="U554" s="301"/>
      <c r="V554" s="301"/>
    </row>
    <row r="555" spans="1:22" ht="14.4" thickTop="1" thickBot="1" x14ac:dyDescent="0.3">
      <c r="A555" s="292"/>
      <c r="B555" s="293"/>
      <c r="C555" s="294"/>
      <c r="D555" s="294"/>
      <c r="E555" s="294"/>
      <c r="F555" s="310"/>
      <c r="G555" s="310"/>
      <c r="H555" s="310"/>
      <c r="I555" s="295"/>
      <c r="J555" s="295">
        <f>SUM(I553:I554)</f>
        <v>21</v>
      </c>
      <c r="K555" s="300">
        <f t="shared" si="39"/>
        <v>1.1000000000000001</v>
      </c>
      <c r="L555" s="300">
        <f t="shared" ref="L555:L556" si="43">K555*J555</f>
        <v>23.1</v>
      </c>
      <c r="M555" s="285">
        <f t="shared" ref="M555:M556" si="44">ROUND(L555,1)</f>
        <v>23.1</v>
      </c>
      <c r="N555" s="1076">
        <f t="shared" ref="N555:N556" si="45">ROUNDUP(M555,0)</f>
        <v>24</v>
      </c>
      <c r="O555" s="294"/>
      <c r="P555" s="404"/>
      <c r="Q555" s="404"/>
      <c r="R555" s="301"/>
      <c r="S555" s="301"/>
      <c r="T555" s="301"/>
      <c r="U555" s="301"/>
      <c r="V555" s="301"/>
    </row>
    <row r="556" spans="1:22" ht="14.4" thickTop="1" thickBot="1" x14ac:dyDescent="0.3">
      <c r="A556" s="292"/>
      <c r="B556" s="293"/>
      <c r="C556" s="294"/>
      <c r="D556" s="294"/>
      <c r="E556" s="294"/>
      <c r="F556" s="310"/>
      <c r="G556" s="310"/>
      <c r="H556" s="310"/>
      <c r="I556" s="295"/>
      <c r="J556" s="295">
        <f>J555/2.83</f>
        <v>7.4204946996466425</v>
      </c>
      <c r="K556" s="300">
        <f t="shared" si="39"/>
        <v>1.1000000000000001</v>
      </c>
      <c r="L556" s="300">
        <f t="shared" si="43"/>
        <v>8.1625441696113068</v>
      </c>
      <c r="M556" s="285">
        <f t="shared" si="44"/>
        <v>8.1999999999999993</v>
      </c>
      <c r="N556" s="1076">
        <f t="shared" si="45"/>
        <v>9</v>
      </c>
      <c r="O556" s="294"/>
      <c r="P556" s="404"/>
      <c r="Q556" s="404"/>
      <c r="R556" s="301"/>
      <c r="S556" s="301"/>
      <c r="T556" s="301"/>
      <c r="U556" s="301"/>
      <c r="V556" s="301"/>
    </row>
    <row r="557" spans="1:22" ht="14.4" thickTop="1" thickBot="1" x14ac:dyDescent="0.3">
      <c r="A557" s="292"/>
      <c r="B557" s="293"/>
      <c r="C557" s="294"/>
      <c r="D557" s="294"/>
      <c r="E557" s="294"/>
      <c r="F557" s="310"/>
      <c r="G557" s="310"/>
      <c r="H557" s="310"/>
      <c r="I557" s="295"/>
      <c r="J557" s="295"/>
      <c r="K557" s="300"/>
      <c r="L557" s="300"/>
      <c r="M557" s="285"/>
      <c r="N557" s="1076"/>
      <c r="O557" s="294"/>
      <c r="P557" s="404"/>
      <c r="Q557" s="404"/>
      <c r="R557" s="301"/>
      <c r="S557" s="301"/>
      <c r="T557" s="301"/>
      <c r="U557" s="301"/>
      <c r="V557" s="301"/>
    </row>
    <row r="558" spans="1:22" ht="14.4" thickTop="1" thickBot="1" x14ac:dyDescent="0.3">
      <c r="A558" s="292"/>
      <c r="B558" s="293" t="s">
        <v>2430</v>
      </c>
      <c r="C558" s="294"/>
      <c r="D558" s="294"/>
      <c r="E558" s="294"/>
      <c r="F558" s="310"/>
      <c r="G558" s="310"/>
      <c r="H558" s="310"/>
      <c r="I558" s="295"/>
      <c r="J558" s="295"/>
      <c r="K558" s="300"/>
      <c r="L558" s="300"/>
      <c r="M558" s="285"/>
      <c r="N558" s="1076"/>
      <c r="O558" s="294"/>
      <c r="P558" s="404"/>
      <c r="Q558" s="404"/>
      <c r="R558" s="301"/>
      <c r="S558" s="301"/>
      <c r="T558" s="301"/>
      <c r="U558" s="301"/>
      <c r="V558" s="301"/>
    </row>
    <row r="559" spans="1:22" ht="14.4" thickTop="1" thickBot="1" x14ac:dyDescent="0.3">
      <c r="A559" s="292"/>
      <c r="B559" s="293" t="s">
        <v>756</v>
      </c>
      <c r="C559" s="294"/>
      <c r="D559" s="294"/>
      <c r="E559" s="294">
        <v>4</v>
      </c>
      <c r="F559" s="310">
        <f>F553</f>
        <v>3</v>
      </c>
      <c r="G559" s="310"/>
      <c r="H559" s="310">
        <v>2</v>
      </c>
      <c r="I559" s="295">
        <f>H559*F559*E559</f>
        <v>24</v>
      </c>
      <c r="J559" s="295">
        <f>I559</f>
        <v>24</v>
      </c>
      <c r="K559" s="300">
        <f t="shared" si="39"/>
        <v>1.1000000000000001</v>
      </c>
      <c r="L559" s="300">
        <f t="shared" ref="L559:L560" si="46">K559*J559</f>
        <v>26.400000000000002</v>
      </c>
      <c r="M559" s="285">
        <f t="shared" ref="M559:M560" si="47">ROUND(L559,1)</f>
        <v>26.4</v>
      </c>
      <c r="N559" s="1076">
        <f t="shared" ref="N559:N560" si="48">ROUNDUP(M559,0)</f>
        <v>27</v>
      </c>
      <c r="O559" s="294"/>
      <c r="P559" s="404"/>
      <c r="Q559" s="404"/>
      <c r="R559" s="301"/>
      <c r="S559" s="301"/>
      <c r="T559" s="301"/>
      <c r="U559" s="301"/>
      <c r="V559" s="301"/>
    </row>
    <row r="560" spans="1:22" ht="14.4" thickTop="1" thickBot="1" x14ac:dyDescent="0.3">
      <c r="A560" s="292"/>
      <c r="B560" s="293"/>
      <c r="C560" s="294"/>
      <c r="D560" s="294"/>
      <c r="E560" s="294"/>
      <c r="F560" s="310"/>
      <c r="G560" s="310"/>
      <c r="H560" s="310"/>
      <c r="I560" s="295"/>
      <c r="J560" s="295">
        <f>J559*10.76</f>
        <v>258.24</v>
      </c>
      <c r="K560" s="300">
        <f t="shared" si="39"/>
        <v>1.1000000000000001</v>
      </c>
      <c r="L560" s="300">
        <f t="shared" si="46"/>
        <v>284.06400000000002</v>
      </c>
      <c r="M560" s="285">
        <f t="shared" si="47"/>
        <v>284.10000000000002</v>
      </c>
      <c r="N560" s="1076">
        <f t="shared" si="48"/>
        <v>285</v>
      </c>
      <c r="O560" s="294"/>
      <c r="P560" s="404"/>
      <c r="Q560" s="404"/>
      <c r="R560" s="301"/>
      <c r="S560" s="301"/>
      <c r="T560" s="301"/>
      <c r="U560" s="301"/>
      <c r="V560" s="301"/>
    </row>
    <row r="561" spans="1:22" ht="14.4" thickTop="1" thickBot="1" x14ac:dyDescent="0.3">
      <c r="A561" s="292"/>
      <c r="B561" s="293"/>
      <c r="C561" s="294"/>
      <c r="D561" s="294"/>
      <c r="E561" s="294"/>
      <c r="F561" s="310"/>
      <c r="G561" s="310"/>
      <c r="H561" s="310"/>
      <c r="I561" s="295"/>
      <c r="J561" s="295"/>
      <c r="K561" s="300"/>
      <c r="L561" s="300"/>
      <c r="M561" s="285"/>
      <c r="N561" s="1076"/>
      <c r="O561" s="294"/>
      <c r="P561" s="404"/>
      <c r="Q561" s="404"/>
      <c r="R561" s="301"/>
      <c r="S561" s="301"/>
      <c r="T561" s="301"/>
      <c r="U561" s="301"/>
      <c r="V561" s="301"/>
    </row>
    <row r="562" spans="1:22" ht="14.4" thickTop="1" thickBot="1" x14ac:dyDescent="0.3">
      <c r="A562" s="292"/>
      <c r="B562" s="293" t="s">
        <v>2032</v>
      </c>
      <c r="C562" s="294"/>
      <c r="D562" s="294"/>
      <c r="E562" s="294"/>
      <c r="F562" s="310"/>
      <c r="G562" s="310"/>
      <c r="H562" s="310"/>
      <c r="I562" s="295"/>
      <c r="J562" s="295"/>
      <c r="K562" s="300">
        <f t="shared" si="39"/>
        <v>1.1000000000000001</v>
      </c>
      <c r="L562" s="300">
        <f t="shared" ref="L562:L627" si="49">K562*J562</f>
        <v>0</v>
      </c>
      <c r="M562" s="285">
        <f t="shared" ref="M562:M627" si="50">ROUND(L562,1)</f>
        <v>0</v>
      </c>
      <c r="N562" s="1076">
        <f t="shared" ref="N562:N627" si="51">ROUNDUP(M562,0)</f>
        <v>0</v>
      </c>
      <c r="O562" s="294"/>
      <c r="P562" s="404"/>
      <c r="Q562" s="404"/>
      <c r="R562" s="301"/>
      <c r="S562" s="301"/>
      <c r="T562" s="301"/>
      <c r="U562" s="301"/>
      <c r="V562" s="301"/>
    </row>
    <row r="563" spans="1:22" ht="14.4" thickTop="1" thickBot="1" x14ac:dyDescent="0.3">
      <c r="A563" s="292"/>
      <c r="B563" s="293"/>
      <c r="C563" s="294"/>
      <c r="D563" s="294"/>
      <c r="E563" s="294"/>
      <c r="F563" s="310"/>
      <c r="G563" s="310"/>
      <c r="H563" s="310"/>
      <c r="I563" s="295"/>
      <c r="J563" s="295"/>
      <c r="K563" s="300">
        <f t="shared" si="39"/>
        <v>1.1000000000000001</v>
      </c>
      <c r="L563" s="300">
        <f t="shared" si="49"/>
        <v>0</v>
      </c>
      <c r="M563" s="285">
        <f t="shared" si="50"/>
        <v>0</v>
      </c>
      <c r="N563" s="1076">
        <f t="shared" si="51"/>
        <v>0</v>
      </c>
      <c r="O563" s="294"/>
      <c r="P563" s="404"/>
      <c r="Q563" s="404"/>
      <c r="R563" s="301"/>
      <c r="S563" s="301"/>
      <c r="T563" s="301"/>
      <c r="U563" s="301"/>
      <c r="V563" s="301"/>
    </row>
    <row r="564" spans="1:22" ht="14.4" thickTop="1" thickBot="1" x14ac:dyDescent="0.3">
      <c r="A564" s="292"/>
      <c r="B564" s="293" t="s">
        <v>2033</v>
      </c>
      <c r="C564" s="294"/>
      <c r="D564" s="294"/>
      <c r="E564" s="294"/>
      <c r="F564" s="310"/>
      <c r="G564" s="310"/>
      <c r="H564" s="310"/>
      <c r="I564" s="295"/>
      <c r="J564" s="295"/>
      <c r="K564" s="300">
        <f t="shared" si="39"/>
        <v>1.1000000000000001</v>
      </c>
      <c r="L564" s="300">
        <f t="shared" si="49"/>
        <v>0</v>
      </c>
      <c r="M564" s="285">
        <f t="shared" si="50"/>
        <v>0</v>
      </c>
      <c r="N564" s="1076">
        <f t="shared" si="51"/>
        <v>0</v>
      </c>
      <c r="O564" s="294"/>
      <c r="P564" s="404"/>
      <c r="Q564" s="404"/>
      <c r="R564" s="301"/>
      <c r="S564" s="301"/>
      <c r="T564" s="301"/>
      <c r="U564" s="301"/>
      <c r="V564" s="301"/>
    </row>
    <row r="565" spans="1:22" ht="14.4" thickTop="1" thickBot="1" x14ac:dyDescent="0.3">
      <c r="A565" s="292"/>
      <c r="B565" s="293" t="s">
        <v>1535</v>
      </c>
      <c r="C565" s="294"/>
      <c r="D565" s="294"/>
      <c r="E565" s="294"/>
      <c r="F565" s="310"/>
      <c r="G565" s="310"/>
      <c r="H565" s="310"/>
      <c r="I565" s="295"/>
      <c r="J565" s="295"/>
      <c r="K565" s="300">
        <f t="shared" si="39"/>
        <v>1.1000000000000001</v>
      </c>
      <c r="L565" s="300">
        <f t="shared" si="49"/>
        <v>0</v>
      </c>
      <c r="M565" s="285">
        <f t="shared" si="50"/>
        <v>0</v>
      </c>
      <c r="N565" s="1076">
        <f t="shared" si="51"/>
        <v>0</v>
      </c>
      <c r="O565" s="294"/>
      <c r="P565" s="404"/>
      <c r="Q565" s="404"/>
      <c r="R565" s="301"/>
      <c r="S565" s="301"/>
      <c r="T565" s="301"/>
      <c r="U565" s="301"/>
      <c r="V565" s="301"/>
    </row>
    <row r="566" spans="1:22" ht="14.4" thickTop="1" thickBot="1" x14ac:dyDescent="0.3">
      <c r="A566" s="292"/>
      <c r="B566" s="293" t="s">
        <v>2034</v>
      </c>
      <c r="C566" s="294"/>
      <c r="D566" s="294"/>
      <c r="E566" s="294"/>
      <c r="F566" s="310">
        <v>27.878</v>
      </c>
      <c r="G566" s="310">
        <v>0.35</v>
      </c>
      <c r="H566" s="310"/>
      <c r="I566" s="295">
        <f>G566*F566</f>
        <v>9.757299999999999</v>
      </c>
      <c r="J566" s="295"/>
      <c r="K566" s="300">
        <f t="shared" si="39"/>
        <v>1.1000000000000001</v>
      </c>
      <c r="L566" s="300">
        <f t="shared" si="49"/>
        <v>0</v>
      </c>
      <c r="M566" s="285">
        <f t="shared" si="50"/>
        <v>0</v>
      </c>
      <c r="N566" s="1076">
        <f t="shared" si="51"/>
        <v>0</v>
      </c>
      <c r="O566" s="294"/>
      <c r="P566" s="404"/>
      <c r="Q566" s="404"/>
      <c r="R566" s="301"/>
      <c r="S566" s="301"/>
      <c r="T566" s="301"/>
      <c r="U566" s="301"/>
      <c r="V566" s="301"/>
    </row>
    <row r="567" spans="1:22" ht="14.4" thickTop="1" thickBot="1" x14ac:dyDescent="0.3">
      <c r="A567" s="292"/>
      <c r="B567" s="293" t="s">
        <v>2035</v>
      </c>
      <c r="C567" s="294"/>
      <c r="D567" s="294"/>
      <c r="E567" s="294"/>
      <c r="F567" s="310">
        <v>23.803000000000001</v>
      </c>
      <c r="G567" s="310">
        <v>0.35</v>
      </c>
      <c r="H567" s="310"/>
      <c r="I567" s="295">
        <f t="shared" ref="I567:I615" si="52">G567*F567</f>
        <v>8.3310499999999994</v>
      </c>
      <c r="J567" s="295"/>
      <c r="K567" s="300">
        <f t="shared" si="39"/>
        <v>1.1000000000000001</v>
      </c>
      <c r="L567" s="300">
        <f t="shared" si="49"/>
        <v>0</v>
      </c>
      <c r="M567" s="285">
        <f t="shared" si="50"/>
        <v>0</v>
      </c>
      <c r="N567" s="1076">
        <f t="shared" si="51"/>
        <v>0</v>
      </c>
      <c r="O567" s="294"/>
      <c r="P567" s="404"/>
      <c r="Q567" s="404"/>
      <c r="R567" s="301"/>
      <c r="S567" s="301"/>
      <c r="T567" s="301"/>
      <c r="U567" s="301"/>
      <c r="V567" s="301"/>
    </row>
    <row r="568" spans="1:22" ht="14.4" thickTop="1" thickBot="1" x14ac:dyDescent="0.3">
      <c r="A568" s="292"/>
      <c r="B568" s="293" t="s">
        <v>2084</v>
      </c>
      <c r="C568" s="294"/>
      <c r="D568" s="294"/>
      <c r="E568" s="294"/>
      <c r="F568" s="310">
        <v>6.3959999999999999</v>
      </c>
      <c r="G568" s="310">
        <v>0.35</v>
      </c>
      <c r="H568" s="310"/>
      <c r="I568" s="295">
        <f t="shared" si="52"/>
        <v>2.2385999999999999</v>
      </c>
      <c r="J568" s="295"/>
      <c r="K568" s="300"/>
      <c r="L568" s="300"/>
      <c r="M568" s="285"/>
      <c r="N568" s="1076"/>
      <c r="O568" s="294"/>
      <c r="P568" s="404"/>
      <c r="Q568" s="404"/>
      <c r="R568" s="301"/>
      <c r="S568" s="301"/>
      <c r="T568" s="301"/>
      <c r="U568" s="301"/>
      <c r="V568" s="301"/>
    </row>
    <row r="569" spans="1:22" ht="14.4" thickTop="1" thickBot="1" x14ac:dyDescent="0.3">
      <c r="A569" s="292"/>
      <c r="B569" s="293" t="s">
        <v>2036</v>
      </c>
      <c r="C569" s="294"/>
      <c r="D569" s="294"/>
      <c r="E569" s="294"/>
      <c r="F569" s="310">
        <v>49</v>
      </c>
      <c r="G569" s="310">
        <v>0.35</v>
      </c>
      <c r="H569" s="310"/>
      <c r="I569" s="295">
        <f t="shared" si="52"/>
        <v>17.149999999999999</v>
      </c>
      <c r="J569" s="295"/>
      <c r="K569" s="300">
        <f t="shared" si="39"/>
        <v>1.1000000000000001</v>
      </c>
      <c r="L569" s="300">
        <f t="shared" si="49"/>
        <v>0</v>
      </c>
      <c r="M569" s="285">
        <f t="shared" si="50"/>
        <v>0</v>
      </c>
      <c r="N569" s="1076">
        <f t="shared" si="51"/>
        <v>0</v>
      </c>
      <c r="O569" s="294"/>
      <c r="P569" s="404"/>
      <c r="Q569" s="404"/>
      <c r="R569" s="301"/>
      <c r="S569" s="301"/>
      <c r="T569" s="301"/>
      <c r="U569" s="301"/>
      <c r="V569" s="301"/>
    </row>
    <row r="570" spans="1:22" ht="14.4" thickTop="1" thickBot="1" x14ac:dyDescent="0.3">
      <c r="A570" s="292"/>
      <c r="B570" s="293" t="s">
        <v>2037</v>
      </c>
      <c r="C570" s="294"/>
      <c r="D570" s="294"/>
      <c r="E570" s="294"/>
      <c r="F570" s="310">
        <v>8.3000000000000007</v>
      </c>
      <c r="G570" s="310">
        <v>0.35</v>
      </c>
      <c r="H570" s="310"/>
      <c r="I570" s="295">
        <f t="shared" si="52"/>
        <v>2.9050000000000002</v>
      </c>
      <c r="J570" s="295"/>
      <c r="K570" s="300">
        <f t="shared" si="39"/>
        <v>1.1000000000000001</v>
      </c>
      <c r="L570" s="300">
        <f t="shared" si="49"/>
        <v>0</v>
      </c>
      <c r="M570" s="285">
        <f t="shared" si="50"/>
        <v>0</v>
      </c>
      <c r="N570" s="1076">
        <f t="shared" si="51"/>
        <v>0</v>
      </c>
      <c r="O570" s="294"/>
      <c r="P570" s="404"/>
      <c r="Q570" s="404"/>
      <c r="R570" s="301"/>
      <c r="S570" s="301"/>
      <c r="T570" s="301"/>
      <c r="U570" s="301"/>
      <c r="V570" s="301"/>
    </row>
    <row r="571" spans="1:22" ht="14.4" thickTop="1" thickBot="1" x14ac:dyDescent="0.3">
      <c r="A571" s="292"/>
      <c r="B571" s="293" t="s">
        <v>2038</v>
      </c>
      <c r="C571" s="294"/>
      <c r="D571" s="294"/>
      <c r="E571" s="294"/>
      <c r="F571" s="310">
        <v>9.9130000000000003</v>
      </c>
      <c r="G571" s="310">
        <v>0.22500000000000001</v>
      </c>
      <c r="H571" s="310"/>
      <c r="I571" s="295">
        <f t="shared" si="52"/>
        <v>2.2304250000000003</v>
      </c>
      <c r="J571" s="295"/>
      <c r="K571" s="300">
        <f t="shared" si="39"/>
        <v>1.1000000000000001</v>
      </c>
      <c r="L571" s="300">
        <f t="shared" si="49"/>
        <v>0</v>
      </c>
      <c r="M571" s="285">
        <f t="shared" si="50"/>
        <v>0</v>
      </c>
      <c r="N571" s="1076">
        <f t="shared" si="51"/>
        <v>0</v>
      </c>
      <c r="O571" s="294"/>
      <c r="P571" s="404"/>
      <c r="Q571" s="404"/>
      <c r="R571" s="301"/>
      <c r="S571" s="301"/>
      <c r="T571" s="301"/>
      <c r="U571" s="301"/>
      <c r="V571" s="301"/>
    </row>
    <row r="572" spans="1:22" ht="14.4" thickTop="1" thickBot="1" x14ac:dyDescent="0.3">
      <c r="A572" s="292"/>
      <c r="B572" s="293" t="s">
        <v>2039</v>
      </c>
      <c r="C572" s="294"/>
      <c r="D572" s="294"/>
      <c r="E572" s="294"/>
      <c r="F572" s="310">
        <v>4.8879999999999999</v>
      </c>
      <c r="G572" s="310">
        <v>0.35</v>
      </c>
      <c r="H572" s="310"/>
      <c r="I572" s="295">
        <f t="shared" si="52"/>
        <v>1.7107999999999999</v>
      </c>
      <c r="J572" s="295"/>
      <c r="K572" s="300">
        <f t="shared" si="39"/>
        <v>1.1000000000000001</v>
      </c>
      <c r="L572" s="300">
        <f t="shared" si="49"/>
        <v>0</v>
      </c>
      <c r="M572" s="285">
        <f t="shared" si="50"/>
        <v>0</v>
      </c>
      <c r="N572" s="1076">
        <f t="shared" si="51"/>
        <v>0</v>
      </c>
      <c r="O572" s="294"/>
      <c r="P572" s="404"/>
      <c r="Q572" s="404"/>
      <c r="R572" s="301"/>
      <c r="S572" s="301"/>
      <c r="T572" s="301"/>
      <c r="U572" s="301"/>
      <c r="V572" s="301"/>
    </row>
    <row r="573" spans="1:22" ht="14.4" thickTop="1" thickBot="1" x14ac:dyDescent="0.3">
      <c r="A573" s="292"/>
      <c r="B573" s="293" t="s">
        <v>2040</v>
      </c>
      <c r="C573" s="294"/>
      <c r="D573" s="294"/>
      <c r="E573" s="294"/>
      <c r="F573" s="310">
        <v>3.363</v>
      </c>
      <c r="G573" s="310">
        <v>0.35</v>
      </c>
      <c r="H573" s="310"/>
      <c r="I573" s="295">
        <f t="shared" si="52"/>
        <v>1.1770499999999999</v>
      </c>
      <c r="J573" s="295"/>
      <c r="K573" s="300">
        <f t="shared" si="39"/>
        <v>1.1000000000000001</v>
      </c>
      <c r="L573" s="300">
        <f t="shared" si="49"/>
        <v>0</v>
      </c>
      <c r="M573" s="285">
        <f t="shared" si="50"/>
        <v>0</v>
      </c>
      <c r="N573" s="1076">
        <f t="shared" si="51"/>
        <v>0</v>
      </c>
      <c r="O573" s="294"/>
      <c r="P573" s="404"/>
      <c r="Q573" s="404"/>
      <c r="R573" s="301"/>
      <c r="S573" s="301"/>
      <c r="T573" s="301"/>
      <c r="U573" s="301"/>
      <c r="V573" s="301"/>
    </row>
    <row r="574" spans="1:22" ht="14.4" thickTop="1" thickBot="1" x14ac:dyDescent="0.3">
      <c r="A574" s="292"/>
      <c r="B574" s="293" t="s">
        <v>2041</v>
      </c>
      <c r="C574" s="294"/>
      <c r="D574" s="294"/>
      <c r="E574" s="294"/>
      <c r="F574" s="310">
        <v>27.779</v>
      </c>
      <c r="G574" s="310">
        <v>0.35</v>
      </c>
      <c r="H574" s="310"/>
      <c r="I574" s="295">
        <f t="shared" si="52"/>
        <v>9.7226499999999998</v>
      </c>
      <c r="J574" s="295"/>
      <c r="K574" s="300">
        <f t="shared" si="39"/>
        <v>1.1000000000000001</v>
      </c>
      <c r="L574" s="300">
        <f t="shared" si="49"/>
        <v>0</v>
      </c>
      <c r="M574" s="285">
        <f t="shared" si="50"/>
        <v>0</v>
      </c>
      <c r="N574" s="1076">
        <f t="shared" si="51"/>
        <v>0</v>
      </c>
      <c r="O574" s="294"/>
      <c r="P574" s="404"/>
      <c r="Q574" s="404"/>
      <c r="R574" s="301"/>
      <c r="S574" s="301"/>
      <c r="T574" s="301"/>
      <c r="U574" s="301"/>
      <c r="V574" s="301"/>
    </row>
    <row r="575" spans="1:22" ht="14.4" thickTop="1" thickBot="1" x14ac:dyDescent="0.3">
      <c r="A575" s="292"/>
      <c r="B575" s="293" t="s">
        <v>2042</v>
      </c>
      <c r="C575" s="294"/>
      <c r="D575" s="294"/>
      <c r="E575" s="294"/>
      <c r="F575" s="310">
        <v>59.55</v>
      </c>
      <c r="G575" s="310">
        <v>0.35</v>
      </c>
      <c r="H575" s="310"/>
      <c r="I575" s="295">
        <f t="shared" si="52"/>
        <v>20.842499999999998</v>
      </c>
      <c r="J575" s="295"/>
      <c r="K575" s="300">
        <f t="shared" si="39"/>
        <v>1.1000000000000001</v>
      </c>
      <c r="L575" s="300">
        <f t="shared" si="49"/>
        <v>0</v>
      </c>
      <c r="M575" s="285">
        <f t="shared" si="50"/>
        <v>0</v>
      </c>
      <c r="N575" s="1076">
        <f t="shared" si="51"/>
        <v>0</v>
      </c>
      <c r="O575" s="294"/>
      <c r="P575" s="404"/>
      <c r="Q575" s="404"/>
      <c r="R575" s="301"/>
      <c r="S575" s="301"/>
      <c r="T575" s="301"/>
      <c r="U575" s="301"/>
      <c r="V575" s="301"/>
    </row>
    <row r="576" spans="1:22" ht="14.4" thickTop="1" thickBot="1" x14ac:dyDescent="0.3">
      <c r="A576" s="292"/>
      <c r="B576" s="293" t="s">
        <v>2043</v>
      </c>
      <c r="C576" s="294"/>
      <c r="D576" s="294"/>
      <c r="E576" s="294"/>
      <c r="F576" s="310">
        <v>2.327</v>
      </c>
      <c r="G576" s="310">
        <v>0.35</v>
      </c>
      <c r="H576" s="310"/>
      <c r="I576" s="295">
        <f t="shared" si="52"/>
        <v>0.8144499999999999</v>
      </c>
      <c r="J576" s="295"/>
      <c r="K576" s="300">
        <f t="shared" si="39"/>
        <v>1.1000000000000001</v>
      </c>
      <c r="L576" s="300">
        <f t="shared" si="49"/>
        <v>0</v>
      </c>
      <c r="M576" s="285">
        <f t="shared" si="50"/>
        <v>0</v>
      </c>
      <c r="N576" s="1076">
        <f t="shared" si="51"/>
        <v>0</v>
      </c>
      <c r="O576" s="294"/>
      <c r="P576" s="404"/>
      <c r="Q576" s="404"/>
      <c r="R576" s="301"/>
      <c r="S576" s="301"/>
      <c r="T576" s="301"/>
      <c r="U576" s="301"/>
      <c r="V576" s="301"/>
    </row>
    <row r="577" spans="1:22" ht="14.4" thickTop="1" thickBot="1" x14ac:dyDescent="0.3">
      <c r="A577" s="292"/>
      <c r="B577" s="293" t="s">
        <v>2044</v>
      </c>
      <c r="C577" s="294"/>
      <c r="D577" s="294"/>
      <c r="E577" s="294"/>
      <c r="F577" s="310">
        <v>3.75</v>
      </c>
      <c r="G577" s="310">
        <v>0.35</v>
      </c>
      <c r="H577" s="310"/>
      <c r="I577" s="295">
        <f t="shared" si="52"/>
        <v>1.3125</v>
      </c>
      <c r="J577" s="295"/>
      <c r="K577" s="300">
        <f t="shared" si="39"/>
        <v>1.1000000000000001</v>
      </c>
      <c r="L577" s="300">
        <f t="shared" si="49"/>
        <v>0</v>
      </c>
      <c r="M577" s="285">
        <f t="shared" si="50"/>
        <v>0</v>
      </c>
      <c r="N577" s="1076">
        <f t="shared" si="51"/>
        <v>0</v>
      </c>
      <c r="O577" s="294"/>
      <c r="P577" s="404"/>
      <c r="Q577" s="404"/>
      <c r="R577" s="301"/>
      <c r="S577" s="301"/>
      <c r="T577" s="301"/>
      <c r="U577" s="301"/>
      <c r="V577" s="301"/>
    </row>
    <row r="578" spans="1:22" ht="14.4" thickTop="1" thickBot="1" x14ac:dyDescent="0.3">
      <c r="A578" s="292"/>
      <c r="B578" s="293" t="s">
        <v>2045</v>
      </c>
      <c r="C578" s="294"/>
      <c r="D578" s="294"/>
      <c r="E578" s="294"/>
      <c r="F578" s="310">
        <v>2</v>
      </c>
      <c r="G578" s="310">
        <v>0.35</v>
      </c>
      <c r="H578" s="310"/>
      <c r="I578" s="295">
        <f t="shared" si="52"/>
        <v>0.7</v>
      </c>
      <c r="J578" s="295"/>
      <c r="K578" s="300">
        <f t="shared" si="39"/>
        <v>1.1000000000000001</v>
      </c>
      <c r="L578" s="300">
        <f t="shared" si="49"/>
        <v>0</v>
      </c>
      <c r="M578" s="285">
        <f t="shared" si="50"/>
        <v>0</v>
      </c>
      <c r="N578" s="1076">
        <f t="shared" si="51"/>
        <v>0</v>
      </c>
      <c r="O578" s="294"/>
      <c r="P578" s="404"/>
      <c r="Q578" s="404"/>
      <c r="R578" s="301"/>
      <c r="S578" s="301"/>
      <c r="T578" s="301"/>
      <c r="U578" s="301"/>
      <c r="V578" s="301"/>
    </row>
    <row r="579" spans="1:22" ht="14.4" thickTop="1" thickBot="1" x14ac:dyDescent="0.3">
      <c r="A579" s="292"/>
      <c r="B579" s="293" t="s">
        <v>2046</v>
      </c>
      <c r="C579" s="294"/>
      <c r="D579" s="294"/>
      <c r="E579" s="294"/>
      <c r="F579" s="310">
        <v>27.428999999999998</v>
      </c>
      <c r="G579" s="310">
        <v>0.35</v>
      </c>
      <c r="H579" s="310"/>
      <c r="I579" s="295">
        <f t="shared" si="52"/>
        <v>9.6001499999999993</v>
      </c>
      <c r="J579" s="295"/>
      <c r="K579" s="300">
        <f t="shared" si="39"/>
        <v>1.1000000000000001</v>
      </c>
      <c r="L579" s="300">
        <f t="shared" si="49"/>
        <v>0</v>
      </c>
      <c r="M579" s="285">
        <f t="shared" si="50"/>
        <v>0</v>
      </c>
      <c r="N579" s="1076">
        <f t="shared" si="51"/>
        <v>0</v>
      </c>
      <c r="O579" s="294"/>
      <c r="P579" s="404"/>
      <c r="Q579" s="404"/>
      <c r="R579" s="301"/>
      <c r="S579" s="301"/>
      <c r="T579" s="301"/>
      <c r="U579" s="301"/>
      <c r="V579" s="301"/>
    </row>
    <row r="580" spans="1:22" ht="14.4" thickTop="1" thickBot="1" x14ac:dyDescent="0.3">
      <c r="A580" s="292"/>
      <c r="B580" s="293" t="s">
        <v>2047</v>
      </c>
      <c r="C580" s="294"/>
      <c r="D580" s="294"/>
      <c r="E580" s="294"/>
      <c r="F580" s="310">
        <v>7.6459999999999999</v>
      </c>
      <c r="G580" s="310">
        <v>0.35</v>
      </c>
      <c r="H580" s="310"/>
      <c r="I580" s="295">
        <f t="shared" si="52"/>
        <v>2.6760999999999999</v>
      </c>
      <c r="J580" s="295"/>
      <c r="K580" s="300">
        <f t="shared" si="39"/>
        <v>1.1000000000000001</v>
      </c>
      <c r="L580" s="300">
        <f t="shared" si="49"/>
        <v>0</v>
      </c>
      <c r="M580" s="285">
        <f t="shared" si="50"/>
        <v>0</v>
      </c>
      <c r="N580" s="1076">
        <f t="shared" si="51"/>
        <v>0</v>
      </c>
      <c r="O580" s="294"/>
      <c r="P580" s="404"/>
      <c r="Q580" s="404"/>
      <c r="R580" s="301"/>
      <c r="S580" s="301"/>
      <c r="T580" s="301"/>
      <c r="U580" s="301"/>
      <c r="V580" s="301"/>
    </row>
    <row r="581" spans="1:22" ht="14.4" thickTop="1" thickBot="1" x14ac:dyDescent="0.3">
      <c r="A581" s="292"/>
      <c r="B581" s="293" t="s">
        <v>2048</v>
      </c>
      <c r="C581" s="294"/>
      <c r="D581" s="294"/>
      <c r="E581" s="294"/>
      <c r="F581" s="310">
        <v>23.425999999999998</v>
      </c>
      <c r="G581" s="310">
        <v>0.35</v>
      </c>
      <c r="H581" s="310"/>
      <c r="I581" s="295">
        <f t="shared" si="52"/>
        <v>8.1990999999999996</v>
      </c>
      <c r="J581" s="295"/>
      <c r="K581" s="300">
        <f t="shared" si="39"/>
        <v>1.1000000000000001</v>
      </c>
      <c r="L581" s="300">
        <f t="shared" si="49"/>
        <v>0</v>
      </c>
      <c r="M581" s="285">
        <f t="shared" si="50"/>
        <v>0</v>
      </c>
      <c r="N581" s="1076">
        <f t="shared" si="51"/>
        <v>0</v>
      </c>
      <c r="O581" s="294"/>
      <c r="P581" s="404"/>
      <c r="Q581" s="404"/>
      <c r="R581" s="301"/>
      <c r="S581" s="301"/>
      <c r="T581" s="301"/>
      <c r="U581" s="301"/>
      <c r="V581" s="301"/>
    </row>
    <row r="582" spans="1:22" ht="14.4" thickTop="1" thickBot="1" x14ac:dyDescent="0.3">
      <c r="A582" s="292"/>
      <c r="B582" s="293" t="s">
        <v>2049</v>
      </c>
      <c r="C582" s="294"/>
      <c r="D582" s="294"/>
      <c r="E582" s="294"/>
      <c r="F582" s="310">
        <v>7.6</v>
      </c>
      <c r="G582" s="310">
        <v>0.35</v>
      </c>
      <c r="H582" s="310"/>
      <c r="I582" s="295">
        <f t="shared" si="52"/>
        <v>2.6599999999999997</v>
      </c>
      <c r="J582" s="295"/>
      <c r="K582" s="300">
        <f t="shared" si="39"/>
        <v>1.1000000000000001</v>
      </c>
      <c r="L582" s="300">
        <f t="shared" si="49"/>
        <v>0</v>
      </c>
      <c r="M582" s="285">
        <f t="shared" si="50"/>
        <v>0</v>
      </c>
      <c r="N582" s="1076">
        <f t="shared" si="51"/>
        <v>0</v>
      </c>
      <c r="O582" s="294"/>
      <c r="P582" s="404"/>
      <c r="Q582" s="404"/>
      <c r="R582" s="301"/>
      <c r="S582" s="301"/>
      <c r="T582" s="301"/>
      <c r="U582" s="301"/>
      <c r="V582" s="301"/>
    </row>
    <row r="583" spans="1:22" ht="14.4" thickTop="1" thickBot="1" x14ac:dyDescent="0.3">
      <c r="A583" s="292"/>
      <c r="B583" s="293" t="s">
        <v>2050</v>
      </c>
      <c r="C583" s="294"/>
      <c r="D583" s="294"/>
      <c r="E583" s="294"/>
      <c r="F583" s="310">
        <v>20.349</v>
      </c>
      <c r="G583" s="310">
        <v>0.35</v>
      </c>
      <c r="H583" s="310"/>
      <c r="I583" s="295">
        <f t="shared" si="52"/>
        <v>7.1221499999999995</v>
      </c>
      <c r="J583" s="295"/>
      <c r="K583" s="300">
        <f t="shared" si="39"/>
        <v>1.1000000000000001</v>
      </c>
      <c r="L583" s="300">
        <f t="shared" si="49"/>
        <v>0</v>
      </c>
      <c r="M583" s="285">
        <f t="shared" si="50"/>
        <v>0</v>
      </c>
      <c r="N583" s="1076">
        <f t="shared" si="51"/>
        <v>0</v>
      </c>
      <c r="O583" s="294"/>
      <c r="P583" s="404"/>
      <c r="Q583" s="404"/>
      <c r="R583" s="301"/>
      <c r="S583" s="301"/>
      <c r="T583" s="301"/>
      <c r="U583" s="301"/>
      <c r="V583" s="301"/>
    </row>
    <row r="584" spans="1:22" ht="14.4" thickTop="1" thickBot="1" x14ac:dyDescent="0.3">
      <c r="A584" s="292"/>
      <c r="B584" s="293" t="s">
        <v>2051</v>
      </c>
      <c r="C584" s="294"/>
      <c r="D584" s="294"/>
      <c r="E584" s="294"/>
      <c r="F584" s="310">
        <v>15.996</v>
      </c>
      <c r="G584" s="310">
        <v>0.35</v>
      </c>
      <c r="H584" s="310"/>
      <c r="I584" s="295">
        <f t="shared" si="52"/>
        <v>5.5985999999999994</v>
      </c>
      <c r="J584" s="295"/>
      <c r="K584" s="300">
        <f t="shared" si="39"/>
        <v>1.1000000000000001</v>
      </c>
      <c r="L584" s="300">
        <f t="shared" si="49"/>
        <v>0</v>
      </c>
      <c r="M584" s="285">
        <f t="shared" si="50"/>
        <v>0</v>
      </c>
      <c r="N584" s="1076">
        <f t="shared" si="51"/>
        <v>0</v>
      </c>
      <c r="O584" s="294"/>
      <c r="P584" s="404"/>
      <c r="Q584" s="404"/>
      <c r="R584" s="301"/>
      <c r="S584" s="301"/>
      <c r="T584" s="301"/>
      <c r="U584" s="301"/>
      <c r="V584" s="301"/>
    </row>
    <row r="585" spans="1:22" ht="14.4" thickTop="1" thickBot="1" x14ac:dyDescent="0.3">
      <c r="A585" s="292"/>
      <c r="B585" s="293" t="s">
        <v>2052</v>
      </c>
      <c r="C585" s="294"/>
      <c r="D585" s="294"/>
      <c r="E585" s="294"/>
      <c r="F585" s="310">
        <v>15.775</v>
      </c>
      <c r="G585" s="310">
        <v>0.35</v>
      </c>
      <c r="H585" s="310"/>
      <c r="I585" s="295">
        <f t="shared" si="52"/>
        <v>5.5212500000000002</v>
      </c>
      <c r="J585" s="295"/>
      <c r="K585" s="300">
        <f t="shared" si="39"/>
        <v>1.1000000000000001</v>
      </c>
      <c r="L585" s="300">
        <f t="shared" si="49"/>
        <v>0</v>
      </c>
      <c r="M585" s="285">
        <f t="shared" si="50"/>
        <v>0</v>
      </c>
      <c r="N585" s="1076">
        <f t="shared" si="51"/>
        <v>0</v>
      </c>
      <c r="O585" s="294"/>
      <c r="P585" s="404"/>
      <c r="Q585" s="404"/>
      <c r="R585" s="301"/>
      <c r="S585" s="301"/>
      <c r="T585" s="301"/>
      <c r="U585" s="301"/>
      <c r="V585" s="301"/>
    </row>
    <row r="586" spans="1:22" ht="14.4" thickTop="1" thickBot="1" x14ac:dyDescent="0.3">
      <c r="A586" s="292"/>
      <c r="B586" s="293"/>
      <c r="C586" s="294"/>
      <c r="D586" s="294"/>
      <c r="E586" s="294"/>
      <c r="F586" s="310"/>
      <c r="G586" s="310"/>
      <c r="H586" s="310"/>
      <c r="I586" s="295">
        <f t="shared" si="52"/>
        <v>0</v>
      </c>
      <c r="J586" s="295"/>
      <c r="K586" s="300"/>
      <c r="L586" s="300"/>
      <c r="M586" s="285"/>
      <c r="N586" s="1076"/>
      <c r="O586" s="294"/>
      <c r="P586" s="404"/>
      <c r="Q586" s="404"/>
      <c r="R586" s="301"/>
      <c r="S586" s="301"/>
      <c r="T586" s="301"/>
      <c r="U586" s="301"/>
      <c r="V586" s="301"/>
    </row>
    <row r="587" spans="1:22" ht="14.4" thickTop="1" thickBot="1" x14ac:dyDescent="0.3">
      <c r="A587" s="292"/>
      <c r="B587" s="293" t="s">
        <v>2053</v>
      </c>
      <c r="C587" s="294"/>
      <c r="D587" s="294"/>
      <c r="E587" s="294"/>
      <c r="F587" s="310">
        <v>19.170000000000002</v>
      </c>
      <c r="G587" s="310">
        <v>0.35</v>
      </c>
      <c r="H587" s="310"/>
      <c r="I587" s="295">
        <f t="shared" si="52"/>
        <v>6.7095000000000002</v>
      </c>
      <c r="J587" s="295"/>
      <c r="K587" s="300">
        <f t="shared" si="39"/>
        <v>1.1000000000000001</v>
      </c>
      <c r="L587" s="300">
        <f t="shared" si="49"/>
        <v>0</v>
      </c>
      <c r="M587" s="285">
        <f t="shared" si="50"/>
        <v>0</v>
      </c>
      <c r="N587" s="1076">
        <f t="shared" si="51"/>
        <v>0</v>
      </c>
      <c r="O587" s="294"/>
      <c r="P587" s="404"/>
      <c r="Q587" s="404"/>
      <c r="R587" s="301"/>
      <c r="S587" s="301"/>
      <c r="T587" s="301"/>
      <c r="U587" s="301"/>
      <c r="V587" s="301"/>
    </row>
    <row r="588" spans="1:22" ht="14.4" thickTop="1" thickBot="1" x14ac:dyDescent="0.3">
      <c r="A588" s="292"/>
      <c r="B588" s="293" t="s">
        <v>2054</v>
      </c>
      <c r="C588" s="294"/>
      <c r="D588" s="294"/>
      <c r="E588" s="294"/>
      <c r="F588" s="310">
        <v>19.77</v>
      </c>
      <c r="G588" s="310">
        <v>0.35</v>
      </c>
      <c r="H588" s="310"/>
      <c r="I588" s="295">
        <f t="shared" si="52"/>
        <v>6.9194999999999993</v>
      </c>
      <c r="J588" s="295"/>
      <c r="K588" s="300">
        <f t="shared" si="39"/>
        <v>1.1000000000000001</v>
      </c>
      <c r="L588" s="300">
        <f t="shared" si="49"/>
        <v>0</v>
      </c>
      <c r="M588" s="285">
        <f t="shared" si="50"/>
        <v>0</v>
      </c>
      <c r="N588" s="1076">
        <f t="shared" si="51"/>
        <v>0</v>
      </c>
      <c r="O588" s="294"/>
      <c r="P588" s="404"/>
      <c r="Q588" s="404"/>
      <c r="R588" s="301"/>
      <c r="S588" s="301"/>
      <c r="T588" s="301"/>
      <c r="U588" s="301"/>
      <c r="V588" s="301"/>
    </row>
    <row r="589" spans="1:22" ht="14.4" thickTop="1" thickBot="1" x14ac:dyDescent="0.3">
      <c r="A589" s="292"/>
      <c r="B589" s="293" t="s">
        <v>2055</v>
      </c>
      <c r="C589" s="294"/>
      <c r="D589" s="294"/>
      <c r="E589" s="294"/>
      <c r="F589" s="310">
        <v>14.962999999999999</v>
      </c>
      <c r="G589" s="310">
        <v>0.35</v>
      </c>
      <c r="H589" s="310"/>
      <c r="I589" s="295">
        <f t="shared" si="52"/>
        <v>5.2370499999999991</v>
      </c>
      <c r="J589" s="295"/>
      <c r="K589" s="300">
        <f t="shared" si="39"/>
        <v>1.1000000000000001</v>
      </c>
      <c r="L589" s="300">
        <f t="shared" si="49"/>
        <v>0</v>
      </c>
      <c r="M589" s="285">
        <f t="shared" si="50"/>
        <v>0</v>
      </c>
      <c r="N589" s="1076">
        <f t="shared" si="51"/>
        <v>0</v>
      </c>
      <c r="O589" s="294"/>
      <c r="P589" s="404"/>
      <c r="Q589" s="404"/>
      <c r="R589" s="301"/>
      <c r="S589" s="301"/>
      <c r="T589" s="301"/>
      <c r="U589" s="301"/>
      <c r="V589" s="301"/>
    </row>
    <row r="590" spans="1:22" ht="14.4" thickTop="1" thickBot="1" x14ac:dyDescent="0.3">
      <c r="A590" s="292"/>
      <c r="B590" s="293" t="s">
        <v>2056</v>
      </c>
      <c r="C590" s="294"/>
      <c r="D590" s="294"/>
      <c r="E590" s="294"/>
      <c r="F590" s="310">
        <v>3.9329999999999998</v>
      </c>
      <c r="G590" s="310">
        <v>0.35</v>
      </c>
      <c r="H590" s="310"/>
      <c r="I590" s="295">
        <f t="shared" si="52"/>
        <v>1.3765499999999999</v>
      </c>
      <c r="J590" s="295"/>
      <c r="K590" s="300">
        <f t="shared" si="39"/>
        <v>1.1000000000000001</v>
      </c>
      <c r="L590" s="300">
        <f t="shared" si="49"/>
        <v>0</v>
      </c>
      <c r="M590" s="285">
        <f t="shared" si="50"/>
        <v>0</v>
      </c>
      <c r="N590" s="1076">
        <f t="shared" si="51"/>
        <v>0</v>
      </c>
      <c r="O590" s="294"/>
      <c r="P590" s="404"/>
      <c r="Q590" s="404"/>
      <c r="R590" s="301"/>
      <c r="S590" s="301"/>
      <c r="T590" s="301"/>
      <c r="U590" s="301"/>
      <c r="V590" s="301"/>
    </row>
    <row r="591" spans="1:22" ht="14.4" thickTop="1" thickBot="1" x14ac:dyDescent="0.3">
      <c r="A591" s="292"/>
      <c r="B591" s="293" t="s">
        <v>2057</v>
      </c>
      <c r="C591" s="294"/>
      <c r="D591" s="294"/>
      <c r="E591" s="294"/>
      <c r="F591" s="310">
        <v>5.6870000000000003</v>
      </c>
      <c r="G591" s="310">
        <v>0.22500000000000001</v>
      </c>
      <c r="H591" s="310"/>
      <c r="I591" s="295">
        <f t="shared" si="52"/>
        <v>1.2795750000000001</v>
      </c>
      <c r="J591" s="295"/>
      <c r="K591" s="300">
        <f t="shared" si="39"/>
        <v>1.1000000000000001</v>
      </c>
      <c r="L591" s="300">
        <f t="shared" si="49"/>
        <v>0</v>
      </c>
      <c r="M591" s="285">
        <f t="shared" si="50"/>
        <v>0</v>
      </c>
      <c r="N591" s="1076">
        <f t="shared" si="51"/>
        <v>0</v>
      </c>
      <c r="O591" s="294"/>
      <c r="P591" s="404"/>
      <c r="Q591" s="404"/>
      <c r="R591" s="301"/>
      <c r="S591" s="301"/>
      <c r="T591" s="301"/>
      <c r="U591" s="301"/>
      <c r="V591" s="301"/>
    </row>
    <row r="592" spans="1:22" ht="14.4" thickTop="1" thickBot="1" x14ac:dyDescent="0.3">
      <c r="A592" s="292"/>
      <c r="B592" s="293" t="s">
        <v>2058</v>
      </c>
      <c r="C592" s="294"/>
      <c r="D592" s="294"/>
      <c r="E592" s="294"/>
      <c r="F592" s="310">
        <v>1.5960000000000001</v>
      </c>
      <c r="G592" s="310">
        <v>0.35</v>
      </c>
      <c r="H592" s="310"/>
      <c r="I592" s="295">
        <f t="shared" si="52"/>
        <v>0.55859999999999999</v>
      </c>
      <c r="J592" s="295"/>
      <c r="K592" s="300">
        <f t="shared" si="39"/>
        <v>1.1000000000000001</v>
      </c>
      <c r="L592" s="300">
        <f t="shared" si="49"/>
        <v>0</v>
      </c>
      <c r="M592" s="285">
        <f t="shared" si="50"/>
        <v>0</v>
      </c>
      <c r="N592" s="1076">
        <f t="shared" si="51"/>
        <v>0</v>
      </c>
      <c r="O592" s="294"/>
      <c r="P592" s="404"/>
      <c r="Q592" s="404"/>
      <c r="R592" s="301"/>
      <c r="S592" s="301"/>
      <c r="T592" s="301"/>
      <c r="U592" s="301"/>
      <c r="V592" s="301"/>
    </row>
    <row r="593" spans="1:22" ht="14.4" thickTop="1" thickBot="1" x14ac:dyDescent="0.3">
      <c r="A593" s="292"/>
      <c r="B593" s="293" t="s">
        <v>2059</v>
      </c>
      <c r="C593" s="294"/>
      <c r="D593" s="294"/>
      <c r="E593" s="294"/>
      <c r="F593" s="310">
        <v>12.475</v>
      </c>
      <c r="G593" s="310">
        <v>0.35</v>
      </c>
      <c r="H593" s="310"/>
      <c r="I593" s="295">
        <f t="shared" si="52"/>
        <v>4.36625</v>
      </c>
      <c r="J593" s="295"/>
      <c r="K593" s="300">
        <f t="shared" si="39"/>
        <v>1.1000000000000001</v>
      </c>
      <c r="L593" s="300">
        <f t="shared" si="49"/>
        <v>0</v>
      </c>
      <c r="M593" s="285">
        <f t="shared" si="50"/>
        <v>0</v>
      </c>
      <c r="N593" s="1076">
        <f t="shared" si="51"/>
        <v>0</v>
      </c>
      <c r="O593" s="294"/>
      <c r="P593" s="404"/>
      <c r="Q593" s="404"/>
      <c r="R593" s="301"/>
      <c r="S593" s="301"/>
      <c r="T593" s="301"/>
      <c r="U593" s="301"/>
      <c r="V593" s="301"/>
    </row>
    <row r="594" spans="1:22" ht="14.4" thickTop="1" thickBot="1" x14ac:dyDescent="0.3">
      <c r="A594" s="292"/>
      <c r="B594" s="293" t="s">
        <v>2060</v>
      </c>
      <c r="C594" s="294"/>
      <c r="D594" s="294"/>
      <c r="E594" s="294"/>
      <c r="F594" s="310">
        <v>8.5500000000000007</v>
      </c>
      <c r="G594" s="310">
        <v>0.35</v>
      </c>
      <c r="H594" s="310"/>
      <c r="I594" s="295">
        <f t="shared" si="52"/>
        <v>2.9925000000000002</v>
      </c>
      <c r="J594" s="295"/>
      <c r="K594" s="300">
        <f t="shared" si="39"/>
        <v>1.1000000000000001</v>
      </c>
      <c r="L594" s="300">
        <f t="shared" si="49"/>
        <v>0</v>
      </c>
      <c r="M594" s="285">
        <f t="shared" si="50"/>
        <v>0</v>
      </c>
      <c r="N594" s="1076">
        <f t="shared" si="51"/>
        <v>0</v>
      </c>
      <c r="O594" s="294"/>
      <c r="P594" s="404"/>
      <c r="Q594" s="404"/>
      <c r="R594" s="301"/>
      <c r="S594" s="301"/>
      <c r="T594" s="301"/>
      <c r="U594" s="301"/>
      <c r="V594" s="301"/>
    </row>
    <row r="595" spans="1:22" ht="14.4" thickTop="1" thickBot="1" x14ac:dyDescent="0.3">
      <c r="A595" s="292"/>
      <c r="B595" s="293" t="s">
        <v>2061</v>
      </c>
      <c r="C595" s="294"/>
      <c r="D595" s="294"/>
      <c r="E595" s="294"/>
      <c r="F595" s="310">
        <v>2.9870000000000001</v>
      </c>
      <c r="G595" s="310">
        <v>0.35</v>
      </c>
      <c r="H595" s="310"/>
      <c r="I595" s="295">
        <f t="shared" si="52"/>
        <v>1.04545</v>
      </c>
      <c r="J595" s="295"/>
      <c r="K595" s="300">
        <f t="shared" si="39"/>
        <v>1.1000000000000001</v>
      </c>
      <c r="L595" s="300">
        <f t="shared" si="49"/>
        <v>0</v>
      </c>
      <c r="M595" s="285">
        <f t="shared" si="50"/>
        <v>0</v>
      </c>
      <c r="N595" s="1076">
        <f t="shared" si="51"/>
        <v>0</v>
      </c>
      <c r="O595" s="294"/>
      <c r="P595" s="404"/>
      <c r="Q595" s="404"/>
      <c r="R595" s="301"/>
      <c r="S595" s="301"/>
      <c r="T595" s="301"/>
      <c r="U595" s="301"/>
      <c r="V595" s="301"/>
    </row>
    <row r="596" spans="1:22" ht="14.4" thickTop="1" thickBot="1" x14ac:dyDescent="0.3">
      <c r="A596" s="292"/>
      <c r="B596" s="293" t="s">
        <v>2062</v>
      </c>
      <c r="C596" s="294"/>
      <c r="D596" s="294"/>
      <c r="E596" s="294"/>
      <c r="F596" s="310">
        <v>6.35</v>
      </c>
      <c r="G596" s="310">
        <v>0.35</v>
      </c>
      <c r="H596" s="310"/>
      <c r="I596" s="295">
        <f t="shared" si="52"/>
        <v>2.2224999999999997</v>
      </c>
      <c r="J596" s="295"/>
      <c r="K596" s="300">
        <f t="shared" si="39"/>
        <v>1.1000000000000001</v>
      </c>
      <c r="L596" s="300">
        <f t="shared" si="49"/>
        <v>0</v>
      </c>
      <c r="M596" s="285">
        <f t="shared" si="50"/>
        <v>0</v>
      </c>
      <c r="N596" s="1076">
        <f t="shared" si="51"/>
        <v>0</v>
      </c>
      <c r="O596" s="294"/>
      <c r="P596" s="404"/>
      <c r="Q596" s="404"/>
      <c r="R596" s="301"/>
      <c r="S596" s="301"/>
      <c r="T596" s="301"/>
      <c r="U596" s="301"/>
      <c r="V596" s="301"/>
    </row>
    <row r="597" spans="1:22" ht="14.4" thickTop="1" thickBot="1" x14ac:dyDescent="0.3">
      <c r="A597" s="292"/>
      <c r="B597" s="293" t="s">
        <v>2063</v>
      </c>
      <c r="C597" s="294"/>
      <c r="D597" s="294"/>
      <c r="E597" s="294"/>
      <c r="F597" s="310">
        <v>6.1870000000000003</v>
      </c>
      <c r="G597" s="310">
        <v>0.35</v>
      </c>
      <c r="H597" s="310"/>
      <c r="I597" s="295">
        <f t="shared" si="52"/>
        <v>2.1654499999999999</v>
      </c>
      <c r="J597" s="295"/>
      <c r="K597" s="300">
        <f t="shared" si="39"/>
        <v>1.1000000000000001</v>
      </c>
      <c r="L597" s="300">
        <f t="shared" si="49"/>
        <v>0</v>
      </c>
      <c r="M597" s="285">
        <f t="shared" si="50"/>
        <v>0</v>
      </c>
      <c r="N597" s="1076">
        <f t="shared" si="51"/>
        <v>0</v>
      </c>
      <c r="O597" s="294"/>
      <c r="P597" s="404"/>
      <c r="Q597" s="404"/>
      <c r="R597" s="301"/>
      <c r="S597" s="301"/>
      <c r="T597" s="301"/>
      <c r="U597" s="301"/>
      <c r="V597" s="301"/>
    </row>
    <row r="598" spans="1:22" ht="14.4" thickTop="1" thickBot="1" x14ac:dyDescent="0.3">
      <c r="A598" s="292"/>
      <c r="B598" s="293" t="s">
        <v>2064</v>
      </c>
      <c r="C598" s="294"/>
      <c r="D598" s="294"/>
      <c r="E598" s="294"/>
      <c r="F598" s="310">
        <v>1.788</v>
      </c>
      <c r="G598" s="310">
        <v>0.35</v>
      </c>
      <c r="H598" s="310"/>
      <c r="I598" s="295">
        <f t="shared" si="52"/>
        <v>0.62580000000000002</v>
      </c>
      <c r="J598" s="295"/>
      <c r="K598" s="300">
        <f t="shared" si="39"/>
        <v>1.1000000000000001</v>
      </c>
      <c r="L598" s="300">
        <f t="shared" si="49"/>
        <v>0</v>
      </c>
      <c r="M598" s="285">
        <f t="shared" si="50"/>
        <v>0</v>
      </c>
      <c r="N598" s="1076">
        <f t="shared" si="51"/>
        <v>0</v>
      </c>
      <c r="O598" s="294"/>
      <c r="P598" s="404"/>
      <c r="Q598" s="404"/>
      <c r="R598" s="301"/>
      <c r="S598" s="301"/>
      <c r="T598" s="301"/>
      <c r="U598" s="301"/>
      <c r="V598" s="301"/>
    </row>
    <row r="599" spans="1:22" ht="14.4" thickTop="1" thickBot="1" x14ac:dyDescent="0.3">
      <c r="A599" s="292"/>
      <c r="B599" s="293" t="s">
        <v>2065</v>
      </c>
      <c r="C599" s="294"/>
      <c r="D599" s="294"/>
      <c r="E599" s="294"/>
      <c r="F599" s="310">
        <v>16.042000000000002</v>
      </c>
      <c r="G599" s="310">
        <v>0.35</v>
      </c>
      <c r="H599" s="310"/>
      <c r="I599" s="295">
        <f t="shared" si="52"/>
        <v>5.6147</v>
      </c>
      <c r="J599" s="295"/>
      <c r="K599" s="300">
        <f t="shared" si="39"/>
        <v>1.1000000000000001</v>
      </c>
      <c r="L599" s="300">
        <f t="shared" si="49"/>
        <v>0</v>
      </c>
      <c r="M599" s="285">
        <f t="shared" si="50"/>
        <v>0</v>
      </c>
      <c r="N599" s="1076">
        <f t="shared" si="51"/>
        <v>0</v>
      </c>
      <c r="O599" s="294"/>
      <c r="P599" s="404"/>
      <c r="Q599" s="404"/>
      <c r="R599" s="301"/>
      <c r="S599" s="301"/>
      <c r="T599" s="301"/>
      <c r="U599" s="301"/>
      <c r="V599" s="301"/>
    </row>
    <row r="600" spans="1:22" ht="14.4" thickTop="1" thickBot="1" x14ac:dyDescent="0.3">
      <c r="A600" s="292"/>
      <c r="B600" s="293" t="s">
        <v>2066</v>
      </c>
      <c r="C600" s="294"/>
      <c r="D600" s="294"/>
      <c r="E600" s="294"/>
      <c r="F600" s="310">
        <v>5.85</v>
      </c>
      <c r="G600" s="310">
        <v>0.22500000000000001</v>
      </c>
      <c r="H600" s="310"/>
      <c r="I600" s="295">
        <f t="shared" si="52"/>
        <v>1.3162499999999999</v>
      </c>
      <c r="J600" s="295"/>
      <c r="K600" s="300">
        <f t="shared" si="39"/>
        <v>1.1000000000000001</v>
      </c>
      <c r="L600" s="300">
        <f t="shared" si="49"/>
        <v>0</v>
      </c>
      <c r="M600" s="285">
        <f t="shared" si="50"/>
        <v>0</v>
      </c>
      <c r="N600" s="1076">
        <f t="shared" si="51"/>
        <v>0</v>
      </c>
      <c r="O600" s="294"/>
      <c r="P600" s="404"/>
      <c r="Q600" s="404"/>
      <c r="R600" s="301"/>
      <c r="S600" s="301"/>
      <c r="T600" s="301"/>
      <c r="U600" s="301"/>
      <c r="V600" s="301"/>
    </row>
    <row r="601" spans="1:22" ht="14.4" thickTop="1" thickBot="1" x14ac:dyDescent="0.3">
      <c r="A601" s="292"/>
      <c r="B601" s="293" t="s">
        <v>2067</v>
      </c>
      <c r="C601" s="294"/>
      <c r="D601" s="294"/>
      <c r="E601" s="294"/>
      <c r="F601" s="310">
        <v>2.8820000000000001</v>
      </c>
      <c r="G601" s="310">
        <v>0.22500000000000001</v>
      </c>
      <c r="H601" s="310"/>
      <c r="I601" s="295">
        <f t="shared" si="52"/>
        <v>0.64845000000000008</v>
      </c>
      <c r="J601" s="295"/>
      <c r="K601" s="300">
        <f t="shared" si="39"/>
        <v>1.1000000000000001</v>
      </c>
      <c r="L601" s="300">
        <f t="shared" si="49"/>
        <v>0</v>
      </c>
      <c r="M601" s="285">
        <f t="shared" si="50"/>
        <v>0</v>
      </c>
      <c r="N601" s="1076">
        <f t="shared" si="51"/>
        <v>0</v>
      </c>
      <c r="O601" s="294"/>
      <c r="P601" s="404"/>
      <c r="Q601" s="404"/>
      <c r="R601" s="301"/>
      <c r="S601" s="301"/>
      <c r="T601" s="301"/>
      <c r="U601" s="301"/>
      <c r="V601" s="301"/>
    </row>
    <row r="602" spans="1:22" ht="14.4" thickTop="1" thickBot="1" x14ac:dyDescent="0.3">
      <c r="A602" s="292"/>
      <c r="B602" s="293" t="s">
        <v>2068</v>
      </c>
      <c r="C602" s="294"/>
      <c r="D602" s="294"/>
      <c r="E602" s="294"/>
      <c r="F602" s="310">
        <v>24.875</v>
      </c>
      <c r="G602" s="310">
        <v>0.35</v>
      </c>
      <c r="H602" s="310"/>
      <c r="I602" s="295">
        <f t="shared" si="52"/>
        <v>8.7062499999999989</v>
      </c>
      <c r="J602" s="295"/>
      <c r="K602" s="300">
        <f t="shared" si="39"/>
        <v>1.1000000000000001</v>
      </c>
      <c r="L602" s="300">
        <f t="shared" si="49"/>
        <v>0</v>
      </c>
      <c r="M602" s="285">
        <f t="shared" si="50"/>
        <v>0</v>
      </c>
      <c r="N602" s="1076">
        <f t="shared" si="51"/>
        <v>0</v>
      </c>
      <c r="O602" s="294"/>
      <c r="P602" s="404"/>
      <c r="Q602" s="404"/>
      <c r="R602" s="301"/>
      <c r="S602" s="301"/>
      <c r="T602" s="301"/>
      <c r="U602" s="301"/>
      <c r="V602" s="301"/>
    </row>
    <row r="603" spans="1:22" ht="14.4" thickTop="1" thickBot="1" x14ac:dyDescent="0.3">
      <c r="A603" s="292"/>
      <c r="B603" s="293" t="s">
        <v>2069</v>
      </c>
      <c r="C603" s="294"/>
      <c r="D603" s="294"/>
      <c r="E603" s="294"/>
      <c r="F603" s="310">
        <v>3.262</v>
      </c>
      <c r="G603" s="310">
        <v>0.35</v>
      </c>
      <c r="H603" s="310"/>
      <c r="I603" s="295">
        <f t="shared" si="52"/>
        <v>1.1416999999999999</v>
      </c>
      <c r="J603" s="295"/>
      <c r="K603" s="300">
        <f t="shared" si="39"/>
        <v>1.1000000000000001</v>
      </c>
      <c r="L603" s="300">
        <f t="shared" si="49"/>
        <v>0</v>
      </c>
      <c r="M603" s="285">
        <f t="shared" si="50"/>
        <v>0</v>
      </c>
      <c r="N603" s="1076">
        <f t="shared" si="51"/>
        <v>0</v>
      </c>
      <c r="O603" s="294"/>
      <c r="P603" s="404"/>
      <c r="Q603" s="404"/>
      <c r="R603" s="301"/>
      <c r="S603" s="301"/>
      <c r="T603" s="301"/>
      <c r="U603" s="301"/>
      <c r="V603" s="301"/>
    </row>
    <row r="604" spans="1:22" ht="14.4" thickTop="1" thickBot="1" x14ac:dyDescent="0.3">
      <c r="A604" s="292"/>
      <c r="B604" s="293" t="s">
        <v>2070</v>
      </c>
      <c r="C604" s="294"/>
      <c r="D604" s="294"/>
      <c r="E604" s="294"/>
      <c r="F604" s="310">
        <v>12.05</v>
      </c>
      <c r="G604" s="310">
        <v>0.35</v>
      </c>
      <c r="H604" s="310"/>
      <c r="I604" s="295">
        <f t="shared" si="52"/>
        <v>4.2175000000000002</v>
      </c>
      <c r="J604" s="295"/>
      <c r="K604" s="300">
        <f t="shared" si="39"/>
        <v>1.1000000000000001</v>
      </c>
      <c r="L604" s="300">
        <f t="shared" si="49"/>
        <v>0</v>
      </c>
      <c r="M604" s="285">
        <f t="shared" si="50"/>
        <v>0</v>
      </c>
      <c r="N604" s="1076">
        <f t="shared" si="51"/>
        <v>0</v>
      </c>
      <c r="O604" s="294"/>
      <c r="P604" s="404"/>
      <c r="Q604" s="404"/>
      <c r="R604" s="301"/>
      <c r="S604" s="301"/>
      <c r="T604" s="301"/>
      <c r="U604" s="301"/>
      <c r="V604" s="301"/>
    </row>
    <row r="605" spans="1:22" ht="14.4" thickTop="1" thickBot="1" x14ac:dyDescent="0.3">
      <c r="A605" s="292"/>
      <c r="B605" s="293" t="s">
        <v>2071</v>
      </c>
      <c r="C605" s="294"/>
      <c r="D605" s="294"/>
      <c r="E605" s="294"/>
      <c r="F605" s="310">
        <v>8.6880000000000006</v>
      </c>
      <c r="G605" s="310">
        <v>0.35</v>
      </c>
      <c r="H605" s="310"/>
      <c r="I605" s="295">
        <f t="shared" si="52"/>
        <v>3.0407999999999999</v>
      </c>
      <c r="J605" s="295"/>
      <c r="K605" s="300">
        <f t="shared" si="39"/>
        <v>1.1000000000000001</v>
      </c>
      <c r="L605" s="300">
        <f t="shared" si="49"/>
        <v>0</v>
      </c>
      <c r="M605" s="285">
        <f t="shared" si="50"/>
        <v>0</v>
      </c>
      <c r="N605" s="1076">
        <f t="shared" si="51"/>
        <v>0</v>
      </c>
      <c r="O605" s="294"/>
      <c r="P605" s="404"/>
      <c r="Q605" s="404"/>
      <c r="R605" s="301"/>
      <c r="S605" s="301"/>
      <c r="T605" s="301"/>
      <c r="U605" s="301"/>
      <c r="V605" s="301"/>
    </row>
    <row r="606" spans="1:22" ht="14.4" thickTop="1" thickBot="1" x14ac:dyDescent="0.3">
      <c r="A606" s="292"/>
      <c r="B606" s="293" t="s">
        <v>2072</v>
      </c>
      <c r="C606" s="294"/>
      <c r="D606" s="294"/>
      <c r="E606" s="294"/>
      <c r="F606" s="310">
        <v>16.774999999999999</v>
      </c>
      <c r="G606" s="310">
        <v>0.35</v>
      </c>
      <c r="H606" s="310"/>
      <c r="I606" s="295">
        <f t="shared" si="52"/>
        <v>5.871249999999999</v>
      </c>
      <c r="J606" s="295"/>
      <c r="K606" s="300">
        <f t="shared" si="39"/>
        <v>1.1000000000000001</v>
      </c>
      <c r="L606" s="300">
        <f t="shared" si="49"/>
        <v>0</v>
      </c>
      <c r="M606" s="285">
        <f t="shared" si="50"/>
        <v>0</v>
      </c>
      <c r="N606" s="1076">
        <f t="shared" si="51"/>
        <v>0</v>
      </c>
      <c r="O606" s="294"/>
      <c r="P606" s="404"/>
      <c r="Q606" s="404"/>
      <c r="R606" s="301"/>
      <c r="S606" s="301"/>
      <c r="T606" s="301"/>
      <c r="U606" s="301"/>
      <c r="V606" s="301"/>
    </row>
    <row r="607" spans="1:22" ht="14.4" thickTop="1" thickBot="1" x14ac:dyDescent="0.3">
      <c r="A607" s="292"/>
      <c r="B607" s="293" t="s">
        <v>2073</v>
      </c>
      <c r="C607" s="294"/>
      <c r="D607" s="294"/>
      <c r="E607" s="294"/>
      <c r="F607" s="310">
        <v>5.9249999999999998</v>
      </c>
      <c r="G607" s="310">
        <v>0.22500000000000001</v>
      </c>
      <c r="H607" s="310"/>
      <c r="I607" s="295">
        <f t="shared" si="52"/>
        <v>1.3331249999999999</v>
      </c>
      <c r="J607" s="295"/>
      <c r="K607" s="300">
        <f t="shared" si="39"/>
        <v>1.1000000000000001</v>
      </c>
      <c r="L607" s="300">
        <f t="shared" si="49"/>
        <v>0</v>
      </c>
      <c r="M607" s="285">
        <f t="shared" si="50"/>
        <v>0</v>
      </c>
      <c r="N607" s="1076">
        <f t="shared" si="51"/>
        <v>0</v>
      </c>
      <c r="O607" s="294"/>
      <c r="P607" s="404"/>
      <c r="Q607" s="404"/>
      <c r="R607" s="301"/>
      <c r="S607" s="301"/>
      <c r="T607" s="301"/>
      <c r="U607" s="301"/>
      <c r="V607" s="301"/>
    </row>
    <row r="608" spans="1:22" ht="14.4" thickTop="1" thickBot="1" x14ac:dyDescent="0.3">
      <c r="A608" s="292"/>
      <c r="B608" s="293" t="s">
        <v>2074</v>
      </c>
      <c r="C608" s="294"/>
      <c r="D608" s="294"/>
      <c r="E608" s="294"/>
      <c r="F608" s="310">
        <v>5.0430000000000001</v>
      </c>
      <c r="G608" s="310">
        <v>0.22500000000000001</v>
      </c>
      <c r="H608" s="310"/>
      <c r="I608" s="295">
        <f t="shared" si="52"/>
        <v>1.1346750000000001</v>
      </c>
      <c r="J608" s="295"/>
      <c r="K608" s="300">
        <f t="shared" si="39"/>
        <v>1.1000000000000001</v>
      </c>
      <c r="L608" s="300">
        <f t="shared" si="49"/>
        <v>0</v>
      </c>
      <c r="M608" s="285">
        <f t="shared" si="50"/>
        <v>0</v>
      </c>
      <c r="N608" s="1076">
        <f t="shared" si="51"/>
        <v>0</v>
      </c>
      <c r="O608" s="294"/>
      <c r="P608" s="404"/>
      <c r="Q608" s="404"/>
      <c r="R608" s="301"/>
      <c r="S608" s="301"/>
      <c r="T608" s="301"/>
      <c r="U608" s="301"/>
      <c r="V608" s="301"/>
    </row>
    <row r="609" spans="1:22" ht="14.4" thickTop="1" thickBot="1" x14ac:dyDescent="0.3">
      <c r="A609" s="292"/>
      <c r="B609" s="293" t="s">
        <v>2075</v>
      </c>
      <c r="C609" s="294"/>
      <c r="D609" s="294"/>
      <c r="E609" s="294"/>
      <c r="F609" s="310">
        <v>3.2120000000000002</v>
      </c>
      <c r="G609" s="310">
        <v>0.35</v>
      </c>
      <c r="H609" s="310"/>
      <c r="I609" s="295">
        <f t="shared" si="52"/>
        <v>1.1242000000000001</v>
      </c>
      <c r="J609" s="295"/>
      <c r="K609" s="300">
        <f t="shared" si="39"/>
        <v>1.1000000000000001</v>
      </c>
      <c r="L609" s="300">
        <f t="shared" si="49"/>
        <v>0</v>
      </c>
      <c r="M609" s="285">
        <f t="shared" si="50"/>
        <v>0</v>
      </c>
      <c r="N609" s="1076">
        <f t="shared" si="51"/>
        <v>0</v>
      </c>
      <c r="O609" s="294"/>
      <c r="P609" s="404"/>
      <c r="Q609" s="404"/>
      <c r="R609" s="301"/>
      <c r="S609" s="301"/>
      <c r="T609" s="301"/>
      <c r="U609" s="301"/>
      <c r="V609" s="301"/>
    </row>
    <row r="610" spans="1:22" ht="14.4" thickTop="1" thickBot="1" x14ac:dyDescent="0.3">
      <c r="A610" s="292"/>
      <c r="B610" s="293" t="s">
        <v>2076</v>
      </c>
      <c r="C610" s="294"/>
      <c r="D610" s="294"/>
      <c r="E610" s="294"/>
      <c r="F610" s="310">
        <v>16.774999999999999</v>
      </c>
      <c r="G610" s="310">
        <v>0.35</v>
      </c>
      <c r="H610" s="310"/>
      <c r="I610" s="295">
        <f t="shared" si="52"/>
        <v>5.871249999999999</v>
      </c>
      <c r="J610" s="295"/>
      <c r="K610" s="300">
        <f t="shared" si="39"/>
        <v>1.1000000000000001</v>
      </c>
      <c r="L610" s="300">
        <f t="shared" si="49"/>
        <v>0</v>
      </c>
      <c r="M610" s="285">
        <f t="shared" si="50"/>
        <v>0</v>
      </c>
      <c r="N610" s="1076">
        <f t="shared" si="51"/>
        <v>0</v>
      </c>
      <c r="O610" s="294"/>
      <c r="P610" s="404"/>
      <c r="Q610" s="404"/>
      <c r="R610" s="301"/>
      <c r="S610" s="301"/>
      <c r="T610" s="301"/>
      <c r="U610" s="301"/>
      <c r="V610" s="301"/>
    </row>
    <row r="611" spans="1:22" ht="14.4" thickTop="1" thickBot="1" x14ac:dyDescent="0.3">
      <c r="A611" s="292"/>
      <c r="B611" s="293" t="s">
        <v>2077</v>
      </c>
      <c r="C611" s="294"/>
      <c r="D611" s="294"/>
      <c r="E611" s="294"/>
      <c r="F611" s="310">
        <v>18.774999999999999</v>
      </c>
      <c r="G611" s="310">
        <v>0.35</v>
      </c>
      <c r="H611" s="310"/>
      <c r="I611" s="295">
        <f t="shared" si="52"/>
        <v>6.5712499999999991</v>
      </c>
      <c r="J611" s="295"/>
      <c r="K611" s="300">
        <f t="shared" si="39"/>
        <v>1.1000000000000001</v>
      </c>
      <c r="L611" s="300">
        <f t="shared" si="49"/>
        <v>0</v>
      </c>
      <c r="M611" s="285">
        <f t="shared" si="50"/>
        <v>0</v>
      </c>
      <c r="N611" s="1076">
        <f t="shared" si="51"/>
        <v>0</v>
      </c>
      <c r="O611" s="294"/>
      <c r="P611" s="404"/>
      <c r="Q611" s="404"/>
      <c r="R611" s="301"/>
      <c r="S611" s="301"/>
      <c r="T611" s="301"/>
      <c r="U611" s="301"/>
      <c r="V611" s="301"/>
    </row>
    <row r="612" spans="1:22" ht="14.4" thickTop="1" thickBot="1" x14ac:dyDescent="0.3">
      <c r="A612" s="292"/>
      <c r="B612" s="293" t="s">
        <v>2078</v>
      </c>
      <c r="C612" s="294"/>
      <c r="D612" s="294"/>
      <c r="E612" s="294"/>
      <c r="F612" s="310">
        <v>8.2249999999999996</v>
      </c>
      <c r="G612" s="310">
        <v>0.35</v>
      </c>
      <c r="H612" s="310"/>
      <c r="I612" s="295">
        <f t="shared" si="52"/>
        <v>2.8787499999999997</v>
      </c>
      <c r="J612" s="295"/>
      <c r="K612" s="300">
        <f t="shared" si="39"/>
        <v>1.1000000000000001</v>
      </c>
      <c r="L612" s="300">
        <f t="shared" si="49"/>
        <v>0</v>
      </c>
      <c r="M612" s="285">
        <f t="shared" si="50"/>
        <v>0</v>
      </c>
      <c r="N612" s="1076">
        <f t="shared" si="51"/>
        <v>0</v>
      </c>
      <c r="O612" s="294"/>
      <c r="P612" s="404"/>
      <c r="Q612" s="404"/>
      <c r="R612" s="301"/>
      <c r="S612" s="301"/>
      <c r="T612" s="301"/>
      <c r="U612" s="301"/>
      <c r="V612" s="301"/>
    </row>
    <row r="613" spans="1:22" ht="14.4" thickTop="1" thickBot="1" x14ac:dyDescent="0.3">
      <c r="A613" s="292"/>
      <c r="B613" s="293" t="s">
        <v>2079</v>
      </c>
      <c r="C613" s="294"/>
      <c r="D613" s="294"/>
      <c r="E613" s="294"/>
      <c r="F613" s="310">
        <v>10.512</v>
      </c>
      <c r="G613" s="310">
        <v>0.35</v>
      </c>
      <c r="H613" s="310"/>
      <c r="I613" s="295">
        <f t="shared" si="52"/>
        <v>3.6791999999999998</v>
      </c>
      <c r="J613" s="295"/>
      <c r="K613" s="300">
        <f t="shared" si="39"/>
        <v>1.1000000000000001</v>
      </c>
      <c r="L613" s="300">
        <f t="shared" si="49"/>
        <v>0</v>
      </c>
      <c r="M613" s="285">
        <f t="shared" si="50"/>
        <v>0</v>
      </c>
      <c r="N613" s="1076">
        <f t="shared" si="51"/>
        <v>0</v>
      </c>
      <c r="O613" s="294"/>
      <c r="P613" s="404"/>
      <c r="Q613" s="404"/>
      <c r="R613" s="301"/>
      <c r="S613" s="301"/>
      <c r="T613" s="301"/>
      <c r="U613" s="301"/>
      <c r="V613" s="301"/>
    </row>
    <row r="614" spans="1:22" ht="14.4" thickTop="1" thickBot="1" x14ac:dyDescent="0.3">
      <c r="A614" s="292"/>
      <c r="B614" s="293" t="s">
        <v>2080</v>
      </c>
      <c r="C614" s="294"/>
      <c r="D614" s="294"/>
      <c r="E614" s="294"/>
      <c r="F614" s="310">
        <v>18.55</v>
      </c>
      <c r="G614" s="310">
        <v>0.35</v>
      </c>
      <c r="H614" s="310"/>
      <c r="I614" s="295">
        <f t="shared" si="52"/>
        <v>6.4924999999999997</v>
      </c>
      <c r="J614" s="295"/>
      <c r="K614" s="300">
        <f t="shared" si="39"/>
        <v>1.1000000000000001</v>
      </c>
      <c r="L614" s="300">
        <f t="shared" si="49"/>
        <v>0</v>
      </c>
      <c r="M614" s="285">
        <f t="shared" si="50"/>
        <v>0</v>
      </c>
      <c r="N614" s="1076">
        <f t="shared" si="51"/>
        <v>0</v>
      </c>
      <c r="O614" s="294"/>
      <c r="P614" s="404"/>
      <c r="Q614" s="404"/>
      <c r="R614" s="301"/>
      <c r="S614" s="301"/>
      <c r="T614" s="301"/>
      <c r="U614" s="301"/>
      <c r="V614" s="301"/>
    </row>
    <row r="615" spans="1:22" ht="14.4" thickTop="1" thickBot="1" x14ac:dyDescent="0.3">
      <c r="A615" s="292"/>
      <c r="B615" s="293" t="s">
        <v>2081</v>
      </c>
      <c r="C615" s="294"/>
      <c r="D615" s="294"/>
      <c r="E615" s="294"/>
      <c r="F615" s="310">
        <v>19</v>
      </c>
      <c r="G615" s="310">
        <v>0.35</v>
      </c>
      <c r="H615" s="310"/>
      <c r="I615" s="295">
        <f t="shared" si="52"/>
        <v>6.6499999999999995</v>
      </c>
      <c r="J615" s="295"/>
      <c r="K615" s="300">
        <f t="shared" si="39"/>
        <v>1.1000000000000001</v>
      </c>
      <c r="L615" s="300">
        <f t="shared" si="49"/>
        <v>0</v>
      </c>
      <c r="M615" s="285">
        <f t="shared" si="50"/>
        <v>0</v>
      </c>
      <c r="N615" s="1076">
        <f t="shared" si="51"/>
        <v>0</v>
      </c>
      <c r="O615" s="294"/>
      <c r="P615" s="404"/>
      <c r="Q615" s="404"/>
      <c r="R615" s="301"/>
      <c r="S615" s="301"/>
      <c r="T615" s="301"/>
      <c r="U615" s="301"/>
      <c r="V615" s="301"/>
    </row>
    <row r="616" spans="1:22" ht="14.4" thickTop="1" thickBot="1" x14ac:dyDescent="0.3">
      <c r="A616" s="292"/>
      <c r="B616" s="293"/>
      <c r="C616" s="294"/>
      <c r="D616" s="294"/>
      <c r="E616" s="294"/>
      <c r="F616" s="310"/>
      <c r="G616" s="310"/>
      <c r="H616" s="310"/>
      <c r="I616" s="295"/>
      <c r="J616" s="295">
        <f>SUM(I566:I615)</f>
        <v>222.06025000000002</v>
      </c>
      <c r="K616" s="300">
        <f t="shared" si="39"/>
        <v>1.1000000000000001</v>
      </c>
      <c r="L616" s="300">
        <f t="shared" si="49"/>
        <v>244.26627500000004</v>
      </c>
      <c r="M616" s="285">
        <f t="shared" si="50"/>
        <v>244.3</v>
      </c>
      <c r="N616" s="1076">
        <f t="shared" si="51"/>
        <v>245</v>
      </c>
      <c r="O616" s="294" t="s">
        <v>695</v>
      </c>
      <c r="P616" s="404"/>
      <c r="Q616" s="404"/>
      <c r="R616" s="301"/>
      <c r="S616" s="301"/>
      <c r="T616" s="301"/>
      <c r="U616" s="301"/>
      <c r="V616" s="301"/>
    </row>
    <row r="617" spans="1:22" ht="14.4" thickTop="1" thickBot="1" x14ac:dyDescent="0.3">
      <c r="A617" s="292"/>
      <c r="B617" s="293"/>
      <c r="C617" s="294"/>
      <c r="D617" s="294"/>
      <c r="E617" s="294"/>
      <c r="F617" s="310"/>
      <c r="G617" s="310"/>
      <c r="H617" s="310"/>
      <c r="I617" s="295"/>
      <c r="J617" s="295">
        <f>J616*10.76</f>
        <v>2389.3682900000003</v>
      </c>
      <c r="K617" s="300">
        <f t="shared" si="39"/>
        <v>1.1000000000000001</v>
      </c>
      <c r="L617" s="300">
        <f t="shared" si="49"/>
        <v>2628.3051190000006</v>
      </c>
      <c r="M617" s="285">
        <f t="shared" si="50"/>
        <v>2628.3</v>
      </c>
      <c r="N617" s="1076">
        <f t="shared" si="51"/>
        <v>2629</v>
      </c>
      <c r="O617" s="294" t="s">
        <v>1846</v>
      </c>
      <c r="P617" s="413"/>
      <c r="Q617" s="404"/>
      <c r="R617" s="301"/>
      <c r="S617" s="301"/>
      <c r="T617" s="301"/>
      <c r="U617" s="301"/>
      <c r="V617" s="301"/>
    </row>
    <row r="618" spans="1:22" ht="14.4" thickTop="1" thickBot="1" x14ac:dyDescent="0.3">
      <c r="A618" s="292"/>
      <c r="B618" s="293"/>
      <c r="C618" s="294"/>
      <c r="D618" s="294"/>
      <c r="E618" s="294"/>
      <c r="F618" s="310"/>
      <c r="G618" s="310"/>
      <c r="H618" s="310"/>
      <c r="I618" s="295"/>
      <c r="J618" s="295">
        <f>J617/100</f>
        <v>23.893682900000002</v>
      </c>
      <c r="K618" s="300">
        <f t="shared" si="39"/>
        <v>1.1000000000000001</v>
      </c>
      <c r="L618" s="300">
        <f t="shared" si="49"/>
        <v>26.283051190000005</v>
      </c>
      <c r="M618" s="285">
        <f t="shared" si="50"/>
        <v>26.3</v>
      </c>
      <c r="N618" s="1076">
        <f t="shared" si="51"/>
        <v>27</v>
      </c>
      <c r="O618" s="294" t="s">
        <v>879</v>
      </c>
      <c r="P618" s="413"/>
      <c r="Q618" s="413"/>
      <c r="R618" s="301"/>
      <c r="S618" s="301"/>
      <c r="T618" s="301"/>
      <c r="U618" s="301"/>
      <c r="V618" s="301"/>
    </row>
    <row r="619" spans="1:22" ht="14.4" thickTop="1" thickBot="1" x14ac:dyDescent="0.3">
      <c r="A619" s="292"/>
      <c r="B619" s="293"/>
      <c r="C619" s="294"/>
      <c r="D619" s="294"/>
      <c r="E619" s="294"/>
      <c r="F619" s="310"/>
      <c r="G619" s="310"/>
      <c r="H619" s="310"/>
      <c r="I619" s="295"/>
      <c r="J619" s="295"/>
      <c r="K619" s="300">
        <f t="shared" si="39"/>
        <v>1.1000000000000001</v>
      </c>
      <c r="L619" s="300">
        <f t="shared" si="49"/>
        <v>0</v>
      </c>
      <c r="M619" s="285">
        <f t="shared" si="50"/>
        <v>0</v>
      </c>
      <c r="N619" s="1076">
        <f t="shared" si="51"/>
        <v>0</v>
      </c>
      <c r="O619" s="294"/>
      <c r="P619" s="404"/>
      <c r="Q619" s="404"/>
      <c r="R619" s="301"/>
      <c r="S619" s="301"/>
      <c r="T619" s="301"/>
      <c r="U619" s="301"/>
      <c r="V619" s="301"/>
    </row>
    <row r="620" spans="1:22" ht="14.4" thickTop="1" thickBot="1" x14ac:dyDescent="0.3">
      <c r="A620" s="292"/>
      <c r="B620" s="293" t="s">
        <v>2083</v>
      </c>
      <c r="C620" s="294"/>
      <c r="D620" s="294"/>
      <c r="E620" s="294"/>
      <c r="F620" s="310"/>
      <c r="G620" s="310"/>
      <c r="H620" s="310"/>
      <c r="I620" s="295"/>
      <c r="J620" s="295"/>
      <c r="K620" s="300">
        <f t="shared" si="39"/>
        <v>1.1000000000000001</v>
      </c>
      <c r="L620" s="300">
        <f t="shared" si="49"/>
        <v>0</v>
      </c>
      <c r="M620" s="285">
        <f t="shared" si="50"/>
        <v>0</v>
      </c>
      <c r="N620" s="1076">
        <f t="shared" si="51"/>
        <v>0</v>
      </c>
      <c r="O620" s="294"/>
      <c r="P620" s="404"/>
      <c r="Q620" s="404"/>
      <c r="R620" s="301"/>
      <c r="S620" s="301"/>
      <c r="T620" s="301"/>
      <c r="U620" s="301"/>
      <c r="V620" s="301"/>
    </row>
    <row r="621" spans="1:22" ht="14.4" thickTop="1" thickBot="1" x14ac:dyDescent="0.3">
      <c r="A621" s="292"/>
      <c r="B621" s="293" t="s">
        <v>2034</v>
      </c>
      <c r="C621" s="294"/>
      <c r="D621" s="294"/>
      <c r="E621" s="294"/>
      <c r="F621" s="310">
        <v>27.878</v>
      </c>
      <c r="G621" s="310">
        <v>0.35</v>
      </c>
      <c r="H621" s="310">
        <v>0.75</v>
      </c>
      <c r="I621" s="295">
        <f>H621*G621*F621</f>
        <v>7.3179749999999988</v>
      </c>
      <c r="J621" s="295"/>
      <c r="K621" s="300">
        <f t="shared" si="39"/>
        <v>1.1000000000000001</v>
      </c>
      <c r="L621" s="300">
        <f t="shared" si="49"/>
        <v>0</v>
      </c>
      <c r="M621" s="285">
        <f t="shared" si="50"/>
        <v>0</v>
      </c>
      <c r="N621" s="1076">
        <f t="shared" si="51"/>
        <v>0</v>
      </c>
      <c r="O621" s="294"/>
      <c r="P621" s="404"/>
      <c r="Q621" s="404"/>
      <c r="R621" s="301"/>
      <c r="S621" s="301"/>
      <c r="T621" s="301"/>
      <c r="U621" s="301"/>
      <c r="V621" s="301"/>
    </row>
    <row r="622" spans="1:22" ht="14.4" thickTop="1" thickBot="1" x14ac:dyDescent="0.3">
      <c r="A622" s="292"/>
      <c r="B622" s="293" t="s">
        <v>2035</v>
      </c>
      <c r="C622" s="294"/>
      <c r="D622" s="294"/>
      <c r="E622" s="294"/>
      <c r="F622" s="310">
        <v>23.803000000000001</v>
      </c>
      <c r="G622" s="310">
        <v>0.35</v>
      </c>
      <c r="H622" s="310">
        <v>0.75</v>
      </c>
      <c r="I622" s="295">
        <f t="shared" ref="I622:I670" si="53">H622*G622*F622</f>
        <v>6.2482874999999991</v>
      </c>
      <c r="J622" s="295"/>
      <c r="K622" s="300">
        <f t="shared" si="39"/>
        <v>1.1000000000000001</v>
      </c>
      <c r="L622" s="300">
        <f t="shared" si="49"/>
        <v>0</v>
      </c>
      <c r="M622" s="285">
        <f t="shared" si="50"/>
        <v>0</v>
      </c>
      <c r="N622" s="1076">
        <f t="shared" si="51"/>
        <v>0</v>
      </c>
      <c r="O622" s="294"/>
      <c r="P622" s="404"/>
      <c r="Q622" s="404"/>
      <c r="R622" s="301"/>
      <c r="S622" s="301"/>
      <c r="T622" s="301"/>
      <c r="U622" s="301"/>
      <c r="V622" s="301"/>
    </row>
    <row r="623" spans="1:22" ht="14.4" thickTop="1" thickBot="1" x14ac:dyDescent="0.3">
      <c r="A623" s="292"/>
      <c r="B623" s="293" t="s">
        <v>2084</v>
      </c>
      <c r="C623" s="294"/>
      <c r="D623" s="294"/>
      <c r="E623" s="294"/>
      <c r="F623" s="310">
        <v>6.5149999999999997</v>
      </c>
      <c r="G623" s="310">
        <v>0.35</v>
      </c>
      <c r="H623" s="310">
        <v>0.5</v>
      </c>
      <c r="I623" s="295">
        <f t="shared" si="53"/>
        <v>1.1401249999999998</v>
      </c>
      <c r="J623" s="295"/>
      <c r="K623" s="300"/>
      <c r="L623" s="300"/>
      <c r="M623" s="285"/>
      <c r="N623" s="1076"/>
      <c r="O623" s="294"/>
      <c r="P623" s="404"/>
      <c r="Q623" s="404"/>
      <c r="R623" s="301"/>
      <c r="S623" s="301"/>
      <c r="T623" s="301"/>
      <c r="U623" s="301"/>
      <c r="V623" s="301"/>
    </row>
    <row r="624" spans="1:22" ht="14.4" thickTop="1" thickBot="1" x14ac:dyDescent="0.3">
      <c r="A624" s="292"/>
      <c r="B624" s="293" t="s">
        <v>2036</v>
      </c>
      <c r="C624" s="294"/>
      <c r="D624" s="294"/>
      <c r="E624" s="294"/>
      <c r="F624" s="310">
        <v>49</v>
      </c>
      <c r="G624" s="310">
        <v>0.35</v>
      </c>
      <c r="H624" s="310">
        <v>0.5</v>
      </c>
      <c r="I624" s="295">
        <f t="shared" si="53"/>
        <v>8.5749999999999993</v>
      </c>
      <c r="J624" s="295"/>
      <c r="K624" s="300">
        <f t="shared" si="39"/>
        <v>1.1000000000000001</v>
      </c>
      <c r="L624" s="300">
        <f t="shared" si="49"/>
        <v>0</v>
      </c>
      <c r="M624" s="285">
        <f t="shared" si="50"/>
        <v>0</v>
      </c>
      <c r="N624" s="1076">
        <f t="shared" si="51"/>
        <v>0</v>
      </c>
      <c r="O624" s="294"/>
      <c r="P624" s="404"/>
      <c r="Q624" s="404"/>
      <c r="R624" s="301"/>
      <c r="S624" s="301"/>
      <c r="T624" s="301"/>
      <c r="U624" s="301"/>
      <c r="V624" s="301"/>
    </row>
    <row r="625" spans="1:22" ht="14.4" thickTop="1" thickBot="1" x14ac:dyDescent="0.3">
      <c r="A625" s="292"/>
      <c r="B625" s="293" t="s">
        <v>2037</v>
      </c>
      <c r="C625" s="294"/>
      <c r="D625" s="294"/>
      <c r="E625" s="294"/>
      <c r="F625" s="310">
        <v>8.3000000000000007</v>
      </c>
      <c r="G625" s="310">
        <v>0.35</v>
      </c>
      <c r="H625" s="310">
        <v>0.5</v>
      </c>
      <c r="I625" s="295">
        <f t="shared" si="53"/>
        <v>1.4525000000000001</v>
      </c>
      <c r="J625" s="295"/>
      <c r="K625" s="300">
        <f t="shared" si="39"/>
        <v>1.1000000000000001</v>
      </c>
      <c r="L625" s="300">
        <f t="shared" si="49"/>
        <v>0</v>
      </c>
      <c r="M625" s="285">
        <f t="shared" si="50"/>
        <v>0</v>
      </c>
      <c r="N625" s="1076">
        <f t="shared" si="51"/>
        <v>0</v>
      </c>
      <c r="O625" s="294"/>
      <c r="P625" s="404"/>
      <c r="Q625" s="404"/>
      <c r="R625" s="301"/>
      <c r="S625" s="301"/>
      <c r="T625" s="301"/>
      <c r="U625" s="301"/>
      <c r="V625" s="301"/>
    </row>
    <row r="626" spans="1:22" ht="14.4" thickTop="1" thickBot="1" x14ac:dyDescent="0.3">
      <c r="A626" s="292"/>
      <c r="B626" s="293" t="s">
        <v>2038</v>
      </c>
      <c r="C626" s="294"/>
      <c r="D626" s="294"/>
      <c r="E626" s="294"/>
      <c r="F626" s="310">
        <v>9.9130000000000003</v>
      </c>
      <c r="G626" s="310">
        <v>0.22500000000000001</v>
      </c>
      <c r="H626" s="310">
        <v>0.5</v>
      </c>
      <c r="I626" s="295">
        <f t="shared" si="53"/>
        <v>1.1152125000000002</v>
      </c>
      <c r="J626" s="295"/>
      <c r="K626" s="300">
        <f t="shared" si="39"/>
        <v>1.1000000000000001</v>
      </c>
      <c r="L626" s="300">
        <f t="shared" si="49"/>
        <v>0</v>
      </c>
      <c r="M626" s="285">
        <f t="shared" si="50"/>
        <v>0</v>
      </c>
      <c r="N626" s="1076">
        <f t="shared" si="51"/>
        <v>0</v>
      </c>
      <c r="O626" s="294"/>
      <c r="P626" s="404"/>
      <c r="Q626" s="404"/>
      <c r="R626" s="301"/>
      <c r="S626" s="301"/>
      <c r="T626" s="301"/>
      <c r="U626" s="301"/>
      <c r="V626" s="301"/>
    </row>
    <row r="627" spans="1:22" ht="14.4" thickTop="1" thickBot="1" x14ac:dyDescent="0.3">
      <c r="A627" s="292"/>
      <c r="B627" s="293" t="s">
        <v>2039</v>
      </c>
      <c r="C627" s="294"/>
      <c r="D627" s="294"/>
      <c r="E627" s="294"/>
      <c r="F627" s="310">
        <v>4.8879999999999999</v>
      </c>
      <c r="G627" s="310">
        <v>0.35</v>
      </c>
      <c r="H627" s="310">
        <v>0.5</v>
      </c>
      <c r="I627" s="295">
        <f t="shared" si="53"/>
        <v>0.85539999999999994</v>
      </c>
      <c r="J627" s="295"/>
      <c r="K627" s="300">
        <f t="shared" si="39"/>
        <v>1.1000000000000001</v>
      </c>
      <c r="L627" s="300">
        <f t="shared" si="49"/>
        <v>0</v>
      </c>
      <c r="M627" s="285">
        <f t="shared" si="50"/>
        <v>0</v>
      </c>
      <c r="N627" s="1076">
        <f t="shared" si="51"/>
        <v>0</v>
      </c>
      <c r="O627" s="294"/>
      <c r="P627" s="404"/>
      <c r="Q627" s="404"/>
      <c r="R627" s="301"/>
      <c r="S627" s="301"/>
      <c r="T627" s="301"/>
      <c r="U627" s="301"/>
      <c r="V627" s="301"/>
    </row>
    <row r="628" spans="1:22" ht="14.4" thickTop="1" thickBot="1" x14ac:dyDescent="0.3">
      <c r="A628" s="292"/>
      <c r="B628" s="293" t="s">
        <v>2040</v>
      </c>
      <c r="C628" s="294"/>
      <c r="D628" s="294"/>
      <c r="E628" s="294"/>
      <c r="F628" s="310">
        <v>3.363</v>
      </c>
      <c r="G628" s="310">
        <v>0.35</v>
      </c>
      <c r="H628" s="310">
        <v>0.5</v>
      </c>
      <c r="I628" s="295">
        <f t="shared" si="53"/>
        <v>0.58852499999999996</v>
      </c>
      <c r="J628" s="295"/>
      <c r="K628" s="300">
        <f t="shared" si="39"/>
        <v>1.1000000000000001</v>
      </c>
      <c r="L628" s="300">
        <f t="shared" ref="L628:L774" si="54">K628*J628</f>
        <v>0</v>
      </c>
      <c r="M628" s="285">
        <f t="shared" ref="M628:M774" si="55">ROUND(L628,1)</f>
        <v>0</v>
      </c>
      <c r="N628" s="1076">
        <f t="shared" ref="N628:N774" si="56">ROUNDUP(M628,0)</f>
        <v>0</v>
      </c>
      <c r="O628" s="294"/>
      <c r="P628" s="404"/>
      <c r="Q628" s="404"/>
      <c r="R628" s="301"/>
      <c r="S628" s="301"/>
      <c r="T628" s="301"/>
      <c r="U628" s="301"/>
      <c r="V628" s="301"/>
    </row>
    <row r="629" spans="1:22" ht="14.4" thickTop="1" thickBot="1" x14ac:dyDescent="0.3">
      <c r="A629" s="292"/>
      <c r="B629" s="293" t="s">
        <v>2041</v>
      </c>
      <c r="C629" s="294"/>
      <c r="D629" s="294"/>
      <c r="E629" s="294"/>
      <c r="F629" s="310">
        <v>27.779</v>
      </c>
      <c r="G629" s="310">
        <v>0.35</v>
      </c>
      <c r="H629" s="310">
        <v>0.5</v>
      </c>
      <c r="I629" s="295">
        <f t="shared" si="53"/>
        <v>4.8613249999999999</v>
      </c>
      <c r="J629" s="295"/>
      <c r="K629" s="300">
        <f t="shared" si="39"/>
        <v>1.1000000000000001</v>
      </c>
      <c r="L629" s="300">
        <f t="shared" si="54"/>
        <v>0</v>
      </c>
      <c r="M629" s="285">
        <f t="shared" si="55"/>
        <v>0</v>
      </c>
      <c r="N629" s="1076">
        <f t="shared" si="56"/>
        <v>0</v>
      </c>
      <c r="O629" s="294"/>
      <c r="P629" s="404"/>
      <c r="Q629" s="404"/>
      <c r="R629" s="301"/>
      <c r="S629" s="301"/>
      <c r="T629" s="301"/>
      <c r="U629" s="301"/>
      <c r="V629" s="301"/>
    </row>
    <row r="630" spans="1:22" ht="14.4" thickTop="1" thickBot="1" x14ac:dyDescent="0.3">
      <c r="A630" s="292"/>
      <c r="B630" s="293" t="s">
        <v>2042</v>
      </c>
      <c r="C630" s="294"/>
      <c r="D630" s="294"/>
      <c r="E630" s="294"/>
      <c r="F630" s="310">
        <v>59.55</v>
      </c>
      <c r="G630" s="310">
        <v>0.35</v>
      </c>
      <c r="H630" s="310">
        <v>0.5</v>
      </c>
      <c r="I630" s="295">
        <f t="shared" si="53"/>
        <v>10.421249999999999</v>
      </c>
      <c r="J630" s="295"/>
      <c r="K630" s="300">
        <f t="shared" si="39"/>
        <v>1.1000000000000001</v>
      </c>
      <c r="L630" s="300">
        <f t="shared" si="54"/>
        <v>0</v>
      </c>
      <c r="M630" s="285">
        <f t="shared" si="55"/>
        <v>0</v>
      </c>
      <c r="N630" s="1076">
        <f t="shared" si="56"/>
        <v>0</v>
      </c>
      <c r="O630" s="294"/>
      <c r="P630" s="404"/>
      <c r="Q630" s="404"/>
      <c r="R630" s="301"/>
      <c r="S630" s="301"/>
      <c r="T630" s="301"/>
      <c r="U630" s="301"/>
      <c r="V630" s="301"/>
    </row>
    <row r="631" spans="1:22" ht="14.4" thickTop="1" thickBot="1" x14ac:dyDescent="0.3">
      <c r="A631" s="292"/>
      <c r="B631" s="293" t="s">
        <v>2043</v>
      </c>
      <c r="C631" s="294"/>
      <c r="D631" s="294"/>
      <c r="E631" s="294"/>
      <c r="F631" s="310">
        <v>2.327</v>
      </c>
      <c r="G631" s="310">
        <v>0.35</v>
      </c>
      <c r="H631" s="310">
        <v>0.5</v>
      </c>
      <c r="I631" s="295">
        <f t="shared" si="53"/>
        <v>0.40722499999999995</v>
      </c>
      <c r="J631" s="295"/>
      <c r="K631" s="300">
        <f t="shared" si="39"/>
        <v>1.1000000000000001</v>
      </c>
      <c r="L631" s="300">
        <f t="shared" si="54"/>
        <v>0</v>
      </c>
      <c r="M631" s="285">
        <f t="shared" si="55"/>
        <v>0</v>
      </c>
      <c r="N631" s="1076">
        <f t="shared" si="56"/>
        <v>0</v>
      </c>
      <c r="O631" s="294"/>
      <c r="P631" s="404"/>
      <c r="Q631" s="404"/>
      <c r="R631" s="301"/>
      <c r="S631" s="301"/>
      <c r="T631" s="301"/>
      <c r="U631" s="301"/>
      <c r="V631" s="301"/>
    </row>
    <row r="632" spans="1:22" ht="14.4" thickTop="1" thickBot="1" x14ac:dyDescent="0.3">
      <c r="A632" s="292"/>
      <c r="B632" s="293" t="s">
        <v>2044</v>
      </c>
      <c r="C632" s="294"/>
      <c r="D632" s="294"/>
      <c r="E632" s="294"/>
      <c r="F632" s="310">
        <v>3.75</v>
      </c>
      <c r="G632" s="310">
        <v>0.35</v>
      </c>
      <c r="H632" s="310">
        <v>0.5</v>
      </c>
      <c r="I632" s="295">
        <f t="shared" si="53"/>
        <v>0.65625</v>
      </c>
      <c r="J632" s="295"/>
      <c r="K632" s="300">
        <f t="shared" si="39"/>
        <v>1.1000000000000001</v>
      </c>
      <c r="L632" s="300">
        <f t="shared" si="54"/>
        <v>0</v>
      </c>
      <c r="M632" s="285">
        <f t="shared" si="55"/>
        <v>0</v>
      </c>
      <c r="N632" s="1076">
        <f t="shared" si="56"/>
        <v>0</v>
      </c>
      <c r="O632" s="294"/>
      <c r="P632" s="404"/>
      <c r="Q632" s="404"/>
      <c r="R632" s="301"/>
      <c r="S632" s="301"/>
      <c r="T632" s="301"/>
      <c r="U632" s="301"/>
      <c r="V632" s="301"/>
    </row>
    <row r="633" spans="1:22" ht="14.4" thickTop="1" thickBot="1" x14ac:dyDescent="0.3">
      <c r="A633" s="292"/>
      <c r="B633" s="293" t="s">
        <v>2045</v>
      </c>
      <c r="C633" s="294"/>
      <c r="D633" s="294"/>
      <c r="E633" s="294"/>
      <c r="F633" s="310">
        <v>2</v>
      </c>
      <c r="G633" s="310">
        <v>0.35</v>
      </c>
      <c r="H633" s="310">
        <v>0.5</v>
      </c>
      <c r="I633" s="295">
        <f t="shared" si="53"/>
        <v>0.35</v>
      </c>
      <c r="J633" s="295"/>
      <c r="K633" s="300">
        <f t="shared" si="39"/>
        <v>1.1000000000000001</v>
      </c>
      <c r="L633" s="300">
        <f t="shared" si="54"/>
        <v>0</v>
      </c>
      <c r="M633" s="285">
        <f t="shared" si="55"/>
        <v>0</v>
      </c>
      <c r="N633" s="1076">
        <f t="shared" si="56"/>
        <v>0</v>
      </c>
      <c r="O633" s="294"/>
      <c r="P633" s="404"/>
      <c r="Q633" s="404"/>
      <c r="R633" s="301"/>
      <c r="S633" s="301"/>
      <c r="T633" s="301"/>
      <c r="U633" s="301"/>
      <c r="V633" s="301"/>
    </row>
    <row r="634" spans="1:22" ht="14.4" thickTop="1" thickBot="1" x14ac:dyDescent="0.3">
      <c r="A634" s="292"/>
      <c r="B634" s="293" t="s">
        <v>2046</v>
      </c>
      <c r="C634" s="294"/>
      <c r="D634" s="294"/>
      <c r="E634" s="294"/>
      <c r="F634" s="310">
        <v>27.428999999999998</v>
      </c>
      <c r="G634" s="310">
        <v>0.35</v>
      </c>
      <c r="H634" s="310">
        <v>0.5</v>
      </c>
      <c r="I634" s="295">
        <f t="shared" si="53"/>
        <v>4.8000749999999996</v>
      </c>
      <c r="J634" s="295"/>
      <c r="K634" s="300">
        <f t="shared" si="39"/>
        <v>1.1000000000000001</v>
      </c>
      <c r="L634" s="300">
        <f t="shared" si="54"/>
        <v>0</v>
      </c>
      <c r="M634" s="285">
        <f t="shared" si="55"/>
        <v>0</v>
      </c>
      <c r="N634" s="1076">
        <f t="shared" si="56"/>
        <v>0</v>
      </c>
      <c r="O634" s="294"/>
      <c r="P634" s="404"/>
      <c r="Q634" s="404"/>
      <c r="R634" s="301"/>
      <c r="S634" s="301"/>
      <c r="T634" s="301"/>
      <c r="U634" s="301"/>
      <c r="V634" s="301"/>
    </row>
    <row r="635" spans="1:22" ht="14.4" thickTop="1" thickBot="1" x14ac:dyDescent="0.3">
      <c r="A635" s="292"/>
      <c r="B635" s="293" t="s">
        <v>2047</v>
      </c>
      <c r="C635" s="294"/>
      <c r="D635" s="294"/>
      <c r="E635" s="294"/>
      <c r="F635" s="310">
        <v>7.6459999999999999</v>
      </c>
      <c r="G635" s="310">
        <v>0.35</v>
      </c>
      <c r="H635" s="310">
        <v>0.9</v>
      </c>
      <c r="I635" s="295">
        <f t="shared" si="53"/>
        <v>2.40849</v>
      </c>
      <c r="J635" s="295"/>
      <c r="K635" s="300">
        <f t="shared" si="39"/>
        <v>1.1000000000000001</v>
      </c>
      <c r="L635" s="300">
        <f t="shared" si="54"/>
        <v>0</v>
      </c>
      <c r="M635" s="285">
        <f t="shared" si="55"/>
        <v>0</v>
      </c>
      <c r="N635" s="1076">
        <f t="shared" si="56"/>
        <v>0</v>
      </c>
      <c r="O635" s="294"/>
      <c r="P635" s="404"/>
      <c r="Q635" s="404"/>
      <c r="R635" s="301"/>
      <c r="S635" s="301"/>
      <c r="T635" s="301"/>
      <c r="U635" s="301"/>
      <c r="V635" s="301"/>
    </row>
    <row r="636" spans="1:22" ht="14.4" thickTop="1" thickBot="1" x14ac:dyDescent="0.3">
      <c r="A636" s="292"/>
      <c r="B636" s="293" t="s">
        <v>2048</v>
      </c>
      <c r="C636" s="294"/>
      <c r="D636" s="294"/>
      <c r="E636" s="294"/>
      <c r="F636" s="310">
        <v>23.425999999999998</v>
      </c>
      <c r="G636" s="310">
        <v>0.35</v>
      </c>
      <c r="H636" s="310">
        <v>0.5</v>
      </c>
      <c r="I636" s="295">
        <f t="shared" si="53"/>
        <v>4.0995499999999998</v>
      </c>
      <c r="J636" s="295"/>
      <c r="K636" s="300">
        <f t="shared" si="39"/>
        <v>1.1000000000000001</v>
      </c>
      <c r="L636" s="300">
        <f t="shared" si="54"/>
        <v>0</v>
      </c>
      <c r="M636" s="285">
        <f t="shared" si="55"/>
        <v>0</v>
      </c>
      <c r="N636" s="1076">
        <f t="shared" si="56"/>
        <v>0</v>
      </c>
      <c r="O636" s="294"/>
      <c r="P636" s="404"/>
      <c r="Q636" s="404"/>
      <c r="R636" s="301"/>
      <c r="S636" s="301"/>
      <c r="T636" s="301"/>
      <c r="U636" s="301"/>
      <c r="V636" s="301"/>
    </row>
    <row r="637" spans="1:22" ht="14.4" thickTop="1" thickBot="1" x14ac:dyDescent="0.3">
      <c r="A637" s="292"/>
      <c r="B637" s="293" t="s">
        <v>2049</v>
      </c>
      <c r="C637" s="294"/>
      <c r="D637" s="294"/>
      <c r="E637" s="294"/>
      <c r="F637" s="310">
        <v>7.6</v>
      </c>
      <c r="G637" s="310">
        <v>0.35</v>
      </c>
      <c r="H637" s="310">
        <v>0.8</v>
      </c>
      <c r="I637" s="295">
        <f t="shared" si="53"/>
        <v>2.1279999999999997</v>
      </c>
      <c r="J637" s="295"/>
      <c r="K637" s="300">
        <f t="shared" si="39"/>
        <v>1.1000000000000001</v>
      </c>
      <c r="L637" s="300">
        <f t="shared" si="54"/>
        <v>0</v>
      </c>
      <c r="M637" s="285">
        <f t="shared" si="55"/>
        <v>0</v>
      </c>
      <c r="N637" s="1076">
        <f t="shared" si="56"/>
        <v>0</v>
      </c>
      <c r="O637" s="294"/>
      <c r="P637" s="404"/>
      <c r="Q637" s="404"/>
      <c r="R637" s="301"/>
      <c r="S637" s="301"/>
      <c r="T637" s="301"/>
      <c r="U637" s="301"/>
      <c r="V637" s="301"/>
    </row>
    <row r="638" spans="1:22" ht="14.4" thickTop="1" thickBot="1" x14ac:dyDescent="0.3">
      <c r="A638" s="292"/>
      <c r="B638" s="293" t="s">
        <v>2050</v>
      </c>
      <c r="C638" s="294"/>
      <c r="D638" s="294"/>
      <c r="E638" s="294"/>
      <c r="F638" s="310">
        <v>20.349</v>
      </c>
      <c r="G638" s="310">
        <v>0.35</v>
      </c>
      <c r="H638" s="310">
        <v>0.5</v>
      </c>
      <c r="I638" s="295">
        <f t="shared" si="53"/>
        <v>3.5610749999999998</v>
      </c>
      <c r="J638" s="295"/>
      <c r="K638" s="300">
        <f t="shared" si="39"/>
        <v>1.1000000000000001</v>
      </c>
      <c r="L638" s="300">
        <f t="shared" si="54"/>
        <v>0</v>
      </c>
      <c r="M638" s="285">
        <f t="shared" si="55"/>
        <v>0</v>
      </c>
      <c r="N638" s="1076">
        <f t="shared" si="56"/>
        <v>0</v>
      </c>
      <c r="O638" s="294"/>
      <c r="P638" s="404"/>
      <c r="Q638" s="404"/>
      <c r="R638" s="301"/>
      <c r="S638" s="301"/>
      <c r="T638" s="301"/>
      <c r="U638" s="301"/>
      <c r="V638" s="301"/>
    </row>
    <row r="639" spans="1:22" ht="14.4" thickTop="1" thickBot="1" x14ac:dyDescent="0.3">
      <c r="A639" s="292"/>
      <c r="B639" s="293" t="s">
        <v>2051</v>
      </c>
      <c r="C639" s="294"/>
      <c r="D639" s="294"/>
      <c r="E639" s="294"/>
      <c r="F639" s="310">
        <v>15.996</v>
      </c>
      <c r="G639" s="310">
        <v>0.35</v>
      </c>
      <c r="H639" s="310">
        <v>0.75</v>
      </c>
      <c r="I639" s="295">
        <f t="shared" si="53"/>
        <v>4.1989499999999991</v>
      </c>
      <c r="J639" s="295"/>
      <c r="K639" s="300">
        <f t="shared" si="39"/>
        <v>1.1000000000000001</v>
      </c>
      <c r="L639" s="300">
        <f t="shared" si="54"/>
        <v>0</v>
      </c>
      <c r="M639" s="285">
        <f t="shared" si="55"/>
        <v>0</v>
      </c>
      <c r="N639" s="1076">
        <f t="shared" si="56"/>
        <v>0</v>
      </c>
      <c r="O639" s="294"/>
      <c r="P639" s="404"/>
      <c r="Q639" s="404"/>
      <c r="R639" s="301"/>
      <c r="S639" s="301"/>
      <c r="T639" s="301"/>
      <c r="U639" s="301"/>
      <c r="V639" s="301"/>
    </row>
    <row r="640" spans="1:22" ht="14.4" thickTop="1" thickBot="1" x14ac:dyDescent="0.3">
      <c r="A640" s="292"/>
      <c r="B640" s="293" t="s">
        <v>2052</v>
      </c>
      <c r="C640" s="294"/>
      <c r="D640" s="294"/>
      <c r="E640" s="294"/>
      <c r="F640" s="310">
        <v>15.775</v>
      </c>
      <c r="G640" s="310">
        <v>0.35</v>
      </c>
      <c r="H640" s="310">
        <v>0.5</v>
      </c>
      <c r="I640" s="295">
        <f t="shared" si="53"/>
        <v>2.7606250000000001</v>
      </c>
      <c r="J640" s="295"/>
      <c r="K640" s="300">
        <f t="shared" si="39"/>
        <v>1.1000000000000001</v>
      </c>
      <c r="L640" s="300">
        <f t="shared" si="54"/>
        <v>0</v>
      </c>
      <c r="M640" s="285">
        <f t="shared" si="55"/>
        <v>0</v>
      </c>
      <c r="N640" s="1076">
        <f t="shared" si="56"/>
        <v>0</v>
      </c>
      <c r="O640" s="294"/>
      <c r="P640" s="404"/>
      <c r="Q640" s="404"/>
      <c r="R640" s="301"/>
      <c r="S640" s="301"/>
      <c r="T640" s="301"/>
      <c r="U640" s="301"/>
      <c r="V640" s="301"/>
    </row>
    <row r="641" spans="1:22" ht="14.4" thickTop="1" thickBot="1" x14ac:dyDescent="0.3">
      <c r="A641" s="292"/>
      <c r="B641" s="293"/>
      <c r="C641" s="294"/>
      <c r="D641" s="294"/>
      <c r="E641" s="294"/>
      <c r="F641" s="310"/>
      <c r="G641" s="310"/>
      <c r="H641" s="310"/>
      <c r="I641" s="295">
        <f t="shared" si="53"/>
        <v>0</v>
      </c>
      <c r="J641" s="295"/>
      <c r="K641" s="300">
        <f t="shared" si="39"/>
        <v>1.1000000000000001</v>
      </c>
      <c r="L641" s="300">
        <f t="shared" si="54"/>
        <v>0</v>
      </c>
      <c r="M641" s="285">
        <f t="shared" si="55"/>
        <v>0</v>
      </c>
      <c r="N641" s="1076">
        <f t="shared" si="56"/>
        <v>0</v>
      </c>
      <c r="O641" s="294"/>
      <c r="P641" s="404"/>
      <c r="Q641" s="404"/>
      <c r="R641" s="301"/>
      <c r="S641" s="301"/>
      <c r="T641" s="301"/>
      <c r="U641" s="301"/>
      <c r="V641" s="301"/>
    </row>
    <row r="642" spans="1:22" ht="14.4" thickTop="1" thickBot="1" x14ac:dyDescent="0.3">
      <c r="A642" s="292"/>
      <c r="B642" s="293" t="s">
        <v>2053</v>
      </c>
      <c r="C642" s="294"/>
      <c r="D642" s="294"/>
      <c r="E642" s="294"/>
      <c r="F642" s="310">
        <v>19.170000000000002</v>
      </c>
      <c r="G642" s="310">
        <v>0.35</v>
      </c>
      <c r="H642" s="310">
        <v>0.5</v>
      </c>
      <c r="I642" s="295">
        <f t="shared" si="53"/>
        <v>3.3547500000000001</v>
      </c>
      <c r="J642" s="295"/>
      <c r="K642" s="300">
        <f t="shared" si="39"/>
        <v>1.1000000000000001</v>
      </c>
      <c r="L642" s="300">
        <f t="shared" si="54"/>
        <v>0</v>
      </c>
      <c r="M642" s="285">
        <f t="shared" si="55"/>
        <v>0</v>
      </c>
      <c r="N642" s="1076">
        <f t="shared" si="56"/>
        <v>0</v>
      </c>
      <c r="O642" s="294"/>
      <c r="P642" s="404"/>
      <c r="Q642" s="404"/>
      <c r="R642" s="301"/>
      <c r="S642" s="301"/>
      <c r="T642" s="301"/>
      <c r="U642" s="301"/>
      <c r="V642" s="301"/>
    </row>
    <row r="643" spans="1:22" ht="14.4" thickTop="1" thickBot="1" x14ac:dyDescent="0.3">
      <c r="A643" s="292"/>
      <c r="B643" s="293" t="s">
        <v>2054</v>
      </c>
      <c r="C643" s="294"/>
      <c r="D643" s="294"/>
      <c r="E643" s="294"/>
      <c r="F643" s="310">
        <v>19.77</v>
      </c>
      <c r="G643" s="310">
        <v>0.35</v>
      </c>
      <c r="H643" s="310">
        <v>0.5</v>
      </c>
      <c r="I643" s="295">
        <f t="shared" si="53"/>
        <v>3.4597499999999997</v>
      </c>
      <c r="J643" s="295"/>
      <c r="K643" s="300">
        <f t="shared" si="39"/>
        <v>1.1000000000000001</v>
      </c>
      <c r="L643" s="300">
        <f t="shared" si="54"/>
        <v>0</v>
      </c>
      <c r="M643" s="285">
        <f t="shared" si="55"/>
        <v>0</v>
      </c>
      <c r="N643" s="1076">
        <f t="shared" si="56"/>
        <v>0</v>
      </c>
      <c r="O643" s="294"/>
      <c r="P643" s="404"/>
      <c r="Q643" s="404"/>
      <c r="R643" s="301"/>
      <c r="S643" s="301"/>
      <c r="T643" s="301"/>
      <c r="U643" s="301"/>
      <c r="V643" s="301"/>
    </row>
    <row r="644" spans="1:22" ht="14.4" thickTop="1" thickBot="1" x14ac:dyDescent="0.3">
      <c r="A644" s="292"/>
      <c r="B644" s="293" t="s">
        <v>2055</v>
      </c>
      <c r="C644" s="294"/>
      <c r="D644" s="294"/>
      <c r="E644" s="294"/>
      <c r="F644" s="310">
        <v>14.962999999999999</v>
      </c>
      <c r="G644" s="310">
        <v>0.35</v>
      </c>
      <c r="H644" s="310">
        <v>0.5</v>
      </c>
      <c r="I644" s="295">
        <f t="shared" si="53"/>
        <v>2.6185249999999995</v>
      </c>
      <c r="J644" s="295"/>
      <c r="K644" s="300">
        <f t="shared" si="39"/>
        <v>1.1000000000000001</v>
      </c>
      <c r="L644" s="300">
        <f t="shared" si="54"/>
        <v>0</v>
      </c>
      <c r="M644" s="285">
        <f t="shared" si="55"/>
        <v>0</v>
      </c>
      <c r="N644" s="1076">
        <f t="shared" si="56"/>
        <v>0</v>
      </c>
      <c r="O644" s="294"/>
      <c r="P644" s="404"/>
      <c r="Q644" s="404"/>
      <c r="R644" s="301"/>
      <c r="S644" s="301"/>
      <c r="T644" s="301"/>
      <c r="U644" s="301"/>
      <c r="V644" s="301"/>
    </row>
    <row r="645" spans="1:22" ht="14.4" thickTop="1" thickBot="1" x14ac:dyDescent="0.3">
      <c r="A645" s="292"/>
      <c r="B645" s="293" t="s">
        <v>2056</v>
      </c>
      <c r="C645" s="294"/>
      <c r="D645" s="294"/>
      <c r="E645" s="294"/>
      <c r="F645" s="310">
        <v>3.9329999999999998</v>
      </c>
      <c r="G645" s="310">
        <v>0.35</v>
      </c>
      <c r="H645" s="310">
        <v>0.5</v>
      </c>
      <c r="I645" s="295">
        <f t="shared" si="53"/>
        <v>0.68827499999999997</v>
      </c>
      <c r="J645" s="295"/>
      <c r="K645" s="300">
        <f t="shared" si="39"/>
        <v>1.1000000000000001</v>
      </c>
      <c r="L645" s="300">
        <f t="shared" si="54"/>
        <v>0</v>
      </c>
      <c r="M645" s="285">
        <f t="shared" si="55"/>
        <v>0</v>
      </c>
      <c r="N645" s="1076">
        <f t="shared" si="56"/>
        <v>0</v>
      </c>
      <c r="O645" s="294"/>
      <c r="P645" s="404"/>
      <c r="Q645" s="404"/>
      <c r="R645" s="301"/>
      <c r="S645" s="301"/>
      <c r="T645" s="301"/>
      <c r="U645" s="301"/>
      <c r="V645" s="301"/>
    </row>
    <row r="646" spans="1:22" ht="14.4" thickTop="1" thickBot="1" x14ac:dyDescent="0.3">
      <c r="A646" s="292"/>
      <c r="B646" s="293" t="s">
        <v>2057</v>
      </c>
      <c r="C646" s="294"/>
      <c r="D646" s="294"/>
      <c r="E646" s="294"/>
      <c r="F646" s="310">
        <v>5.6870000000000003</v>
      </c>
      <c r="G646" s="310">
        <v>0.22500000000000001</v>
      </c>
      <c r="H646" s="310">
        <v>0.45</v>
      </c>
      <c r="I646" s="295">
        <f t="shared" si="53"/>
        <v>0.57580875000000009</v>
      </c>
      <c r="J646" s="295"/>
      <c r="K646" s="300">
        <f t="shared" si="39"/>
        <v>1.1000000000000001</v>
      </c>
      <c r="L646" s="300">
        <f t="shared" si="54"/>
        <v>0</v>
      </c>
      <c r="M646" s="285">
        <f t="shared" si="55"/>
        <v>0</v>
      </c>
      <c r="N646" s="1076">
        <f t="shared" si="56"/>
        <v>0</v>
      </c>
      <c r="O646" s="294"/>
      <c r="P646" s="404"/>
      <c r="Q646" s="404"/>
      <c r="R646" s="301"/>
      <c r="S646" s="301"/>
      <c r="T646" s="301"/>
      <c r="U646" s="301"/>
      <c r="V646" s="301"/>
    </row>
    <row r="647" spans="1:22" ht="14.4" thickTop="1" thickBot="1" x14ac:dyDescent="0.3">
      <c r="A647" s="292"/>
      <c r="B647" s="293" t="s">
        <v>2058</v>
      </c>
      <c r="C647" s="294"/>
      <c r="D647" s="294"/>
      <c r="E647" s="294"/>
      <c r="F647" s="310">
        <v>1.5960000000000001</v>
      </c>
      <c r="G647" s="310">
        <v>0.35</v>
      </c>
      <c r="H647" s="310">
        <v>0.5</v>
      </c>
      <c r="I647" s="295">
        <f t="shared" si="53"/>
        <v>0.27929999999999999</v>
      </c>
      <c r="J647" s="295"/>
      <c r="K647" s="300">
        <f t="shared" si="39"/>
        <v>1.1000000000000001</v>
      </c>
      <c r="L647" s="300">
        <f t="shared" si="54"/>
        <v>0</v>
      </c>
      <c r="M647" s="285">
        <f t="shared" si="55"/>
        <v>0</v>
      </c>
      <c r="N647" s="1076">
        <f t="shared" si="56"/>
        <v>0</v>
      </c>
      <c r="O647" s="294"/>
      <c r="P647" s="404"/>
      <c r="Q647" s="404"/>
      <c r="R647" s="301"/>
      <c r="S647" s="301"/>
      <c r="T647" s="301"/>
      <c r="U647" s="301"/>
      <c r="V647" s="301"/>
    </row>
    <row r="648" spans="1:22" ht="14.4" thickTop="1" thickBot="1" x14ac:dyDescent="0.3">
      <c r="A648" s="292"/>
      <c r="B648" s="293" t="s">
        <v>2059</v>
      </c>
      <c r="C648" s="294"/>
      <c r="D648" s="294"/>
      <c r="E648" s="294"/>
      <c r="F648" s="310">
        <v>12.475</v>
      </c>
      <c r="G648" s="310">
        <v>0.35</v>
      </c>
      <c r="H648" s="310">
        <v>0.5</v>
      </c>
      <c r="I648" s="295">
        <f t="shared" si="53"/>
        <v>2.183125</v>
      </c>
      <c r="J648" s="295"/>
      <c r="K648" s="300">
        <f t="shared" si="39"/>
        <v>1.1000000000000001</v>
      </c>
      <c r="L648" s="300">
        <f t="shared" si="54"/>
        <v>0</v>
      </c>
      <c r="M648" s="285">
        <f t="shared" si="55"/>
        <v>0</v>
      </c>
      <c r="N648" s="1076">
        <f t="shared" si="56"/>
        <v>0</v>
      </c>
      <c r="O648" s="294"/>
      <c r="P648" s="404"/>
      <c r="Q648" s="404"/>
      <c r="R648" s="301"/>
      <c r="S648" s="301"/>
      <c r="T648" s="301"/>
      <c r="U648" s="301"/>
      <c r="V648" s="301"/>
    </row>
    <row r="649" spans="1:22" ht="14.4" thickTop="1" thickBot="1" x14ac:dyDescent="0.3">
      <c r="A649" s="292"/>
      <c r="B649" s="293" t="s">
        <v>2060</v>
      </c>
      <c r="C649" s="294"/>
      <c r="D649" s="294"/>
      <c r="E649" s="294"/>
      <c r="F649" s="310">
        <v>8.5500000000000007</v>
      </c>
      <c r="G649" s="310">
        <v>0.35</v>
      </c>
      <c r="H649" s="310">
        <v>0.5</v>
      </c>
      <c r="I649" s="295">
        <f t="shared" si="53"/>
        <v>1.4962500000000001</v>
      </c>
      <c r="J649" s="295"/>
      <c r="K649" s="300">
        <f t="shared" si="39"/>
        <v>1.1000000000000001</v>
      </c>
      <c r="L649" s="300">
        <f t="shared" si="54"/>
        <v>0</v>
      </c>
      <c r="M649" s="285">
        <f t="shared" si="55"/>
        <v>0</v>
      </c>
      <c r="N649" s="1076">
        <f t="shared" si="56"/>
        <v>0</v>
      </c>
      <c r="O649" s="294"/>
      <c r="P649" s="404"/>
      <c r="Q649" s="404"/>
      <c r="R649" s="301"/>
      <c r="S649" s="301"/>
      <c r="T649" s="301"/>
      <c r="U649" s="301"/>
      <c r="V649" s="301"/>
    </row>
    <row r="650" spans="1:22" ht="14.4" thickTop="1" thickBot="1" x14ac:dyDescent="0.3">
      <c r="A650" s="292"/>
      <c r="B650" s="293" t="s">
        <v>2061</v>
      </c>
      <c r="C650" s="294"/>
      <c r="D650" s="294"/>
      <c r="E650" s="294"/>
      <c r="F650" s="310">
        <v>2.9870000000000001</v>
      </c>
      <c r="G650" s="310">
        <v>0.35</v>
      </c>
      <c r="H650" s="310">
        <v>0.5</v>
      </c>
      <c r="I650" s="295">
        <f t="shared" si="53"/>
        <v>0.522725</v>
      </c>
      <c r="J650" s="295"/>
      <c r="K650" s="300">
        <f t="shared" si="39"/>
        <v>1.1000000000000001</v>
      </c>
      <c r="L650" s="300">
        <f t="shared" si="54"/>
        <v>0</v>
      </c>
      <c r="M650" s="285">
        <f t="shared" si="55"/>
        <v>0</v>
      </c>
      <c r="N650" s="1076">
        <f t="shared" si="56"/>
        <v>0</v>
      </c>
      <c r="O650" s="294"/>
      <c r="P650" s="404"/>
      <c r="Q650" s="404"/>
      <c r="R650" s="301"/>
      <c r="S650" s="301"/>
      <c r="T650" s="301"/>
      <c r="U650" s="301"/>
      <c r="V650" s="301"/>
    </row>
    <row r="651" spans="1:22" ht="14.4" thickTop="1" thickBot="1" x14ac:dyDescent="0.3">
      <c r="A651" s="292"/>
      <c r="B651" s="293" t="s">
        <v>2062</v>
      </c>
      <c r="C651" s="294"/>
      <c r="D651" s="294"/>
      <c r="E651" s="294"/>
      <c r="F651" s="310">
        <v>6.35</v>
      </c>
      <c r="G651" s="310">
        <v>0.35</v>
      </c>
      <c r="H651" s="310">
        <v>0.5</v>
      </c>
      <c r="I651" s="295">
        <f t="shared" si="53"/>
        <v>1.1112499999999998</v>
      </c>
      <c r="J651" s="295"/>
      <c r="K651" s="300">
        <f t="shared" si="39"/>
        <v>1.1000000000000001</v>
      </c>
      <c r="L651" s="300">
        <f t="shared" si="54"/>
        <v>0</v>
      </c>
      <c r="M651" s="285">
        <f t="shared" si="55"/>
        <v>0</v>
      </c>
      <c r="N651" s="1076">
        <f t="shared" si="56"/>
        <v>0</v>
      </c>
      <c r="O651" s="294"/>
      <c r="P651" s="404"/>
      <c r="Q651" s="404"/>
      <c r="R651" s="301"/>
      <c r="S651" s="301"/>
      <c r="T651" s="301"/>
      <c r="U651" s="301"/>
      <c r="V651" s="301"/>
    </row>
    <row r="652" spans="1:22" ht="14.4" thickTop="1" thickBot="1" x14ac:dyDescent="0.3">
      <c r="A652" s="292"/>
      <c r="B652" s="293" t="s">
        <v>2063</v>
      </c>
      <c r="C652" s="294"/>
      <c r="D652" s="294"/>
      <c r="E652" s="294"/>
      <c r="F652" s="310">
        <v>6.1870000000000003</v>
      </c>
      <c r="G652" s="310">
        <v>0.35</v>
      </c>
      <c r="H652" s="310">
        <v>0.5</v>
      </c>
      <c r="I652" s="295">
        <f t="shared" si="53"/>
        <v>1.0827249999999999</v>
      </c>
      <c r="J652" s="295"/>
      <c r="K652" s="300">
        <f t="shared" si="39"/>
        <v>1.1000000000000001</v>
      </c>
      <c r="L652" s="300">
        <f t="shared" si="54"/>
        <v>0</v>
      </c>
      <c r="M652" s="285">
        <f t="shared" si="55"/>
        <v>0</v>
      </c>
      <c r="N652" s="1076">
        <f t="shared" si="56"/>
        <v>0</v>
      </c>
      <c r="O652" s="294"/>
      <c r="P652" s="404"/>
      <c r="Q652" s="404"/>
      <c r="R652" s="301"/>
      <c r="S652" s="301"/>
      <c r="T652" s="301"/>
      <c r="U652" s="301"/>
      <c r="V652" s="301"/>
    </row>
    <row r="653" spans="1:22" ht="14.4" thickTop="1" thickBot="1" x14ac:dyDescent="0.3">
      <c r="A653" s="292"/>
      <c r="B653" s="293" t="s">
        <v>2064</v>
      </c>
      <c r="C653" s="294"/>
      <c r="D653" s="294"/>
      <c r="E653" s="294"/>
      <c r="F653" s="310">
        <v>1.788</v>
      </c>
      <c r="G653" s="310">
        <v>0.35</v>
      </c>
      <c r="H653" s="310">
        <v>0.5</v>
      </c>
      <c r="I653" s="295">
        <f t="shared" si="53"/>
        <v>0.31290000000000001</v>
      </c>
      <c r="J653" s="295"/>
      <c r="K653" s="300">
        <f t="shared" si="39"/>
        <v>1.1000000000000001</v>
      </c>
      <c r="L653" s="300">
        <f t="shared" si="54"/>
        <v>0</v>
      </c>
      <c r="M653" s="285">
        <f t="shared" si="55"/>
        <v>0</v>
      </c>
      <c r="N653" s="1076">
        <f t="shared" si="56"/>
        <v>0</v>
      </c>
      <c r="O653" s="294"/>
      <c r="P653" s="404"/>
      <c r="Q653" s="404"/>
      <c r="R653" s="301"/>
      <c r="S653" s="301"/>
      <c r="T653" s="301"/>
      <c r="U653" s="301"/>
      <c r="V653" s="301"/>
    </row>
    <row r="654" spans="1:22" ht="14.4" thickTop="1" thickBot="1" x14ac:dyDescent="0.3">
      <c r="A654" s="292"/>
      <c r="B654" s="293" t="s">
        <v>2065</v>
      </c>
      <c r="C654" s="294"/>
      <c r="D654" s="294"/>
      <c r="E654" s="294"/>
      <c r="F654" s="310">
        <v>16.042000000000002</v>
      </c>
      <c r="G654" s="310">
        <v>0.35</v>
      </c>
      <c r="H654" s="310">
        <v>0.5</v>
      </c>
      <c r="I654" s="295">
        <f t="shared" si="53"/>
        <v>2.80735</v>
      </c>
      <c r="J654" s="295"/>
      <c r="K654" s="300">
        <f t="shared" si="39"/>
        <v>1.1000000000000001</v>
      </c>
      <c r="L654" s="300">
        <f t="shared" si="54"/>
        <v>0</v>
      </c>
      <c r="M654" s="285">
        <f t="shared" si="55"/>
        <v>0</v>
      </c>
      <c r="N654" s="1076">
        <f t="shared" si="56"/>
        <v>0</v>
      </c>
      <c r="O654" s="294"/>
      <c r="P654" s="404"/>
      <c r="Q654" s="404"/>
      <c r="R654" s="301"/>
      <c r="S654" s="301"/>
      <c r="T654" s="301"/>
      <c r="U654" s="301"/>
      <c r="V654" s="301"/>
    </row>
    <row r="655" spans="1:22" ht="14.4" thickTop="1" thickBot="1" x14ac:dyDescent="0.3">
      <c r="A655" s="292"/>
      <c r="B655" s="293" t="s">
        <v>2066</v>
      </c>
      <c r="C655" s="294"/>
      <c r="D655" s="294"/>
      <c r="E655" s="294"/>
      <c r="F655" s="310">
        <v>5.85</v>
      </c>
      <c r="G655" s="310">
        <v>0.22500000000000001</v>
      </c>
      <c r="H655" s="310">
        <v>0.5</v>
      </c>
      <c r="I655" s="295">
        <f t="shared" si="53"/>
        <v>0.65812499999999996</v>
      </c>
      <c r="J655" s="295"/>
      <c r="K655" s="300">
        <f t="shared" si="39"/>
        <v>1.1000000000000001</v>
      </c>
      <c r="L655" s="300">
        <f t="shared" si="54"/>
        <v>0</v>
      </c>
      <c r="M655" s="285">
        <f t="shared" si="55"/>
        <v>0</v>
      </c>
      <c r="N655" s="1076">
        <f t="shared" si="56"/>
        <v>0</v>
      </c>
      <c r="O655" s="294"/>
      <c r="P655" s="404"/>
      <c r="Q655" s="404"/>
      <c r="R655" s="301"/>
      <c r="S655" s="301"/>
      <c r="T655" s="301"/>
      <c r="U655" s="301"/>
      <c r="V655" s="301"/>
    </row>
    <row r="656" spans="1:22" ht="14.4" thickTop="1" thickBot="1" x14ac:dyDescent="0.3">
      <c r="A656" s="292"/>
      <c r="B656" s="293" t="s">
        <v>2067</v>
      </c>
      <c r="C656" s="294"/>
      <c r="D656" s="294"/>
      <c r="E656" s="294"/>
      <c r="F656" s="310">
        <v>2.8820000000000001</v>
      </c>
      <c r="G656" s="310">
        <v>0.22500000000000001</v>
      </c>
      <c r="H656" s="310">
        <v>0.45</v>
      </c>
      <c r="I656" s="295">
        <f t="shared" si="53"/>
        <v>0.29180250000000002</v>
      </c>
      <c r="J656" s="295"/>
      <c r="K656" s="300">
        <f t="shared" si="39"/>
        <v>1.1000000000000001</v>
      </c>
      <c r="L656" s="300">
        <f t="shared" si="54"/>
        <v>0</v>
      </c>
      <c r="M656" s="285">
        <f t="shared" si="55"/>
        <v>0</v>
      </c>
      <c r="N656" s="1076">
        <f t="shared" si="56"/>
        <v>0</v>
      </c>
      <c r="O656" s="294"/>
      <c r="P656" s="404"/>
      <c r="Q656" s="404"/>
      <c r="R656" s="301"/>
      <c r="S656" s="301"/>
      <c r="T656" s="301"/>
      <c r="U656" s="301"/>
      <c r="V656" s="301"/>
    </row>
    <row r="657" spans="1:22" ht="14.4" thickTop="1" thickBot="1" x14ac:dyDescent="0.3">
      <c r="A657" s="292"/>
      <c r="B657" s="293" t="s">
        <v>2068</v>
      </c>
      <c r="C657" s="294"/>
      <c r="D657" s="294"/>
      <c r="E657" s="294"/>
      <c r="F657" s="310">
        <v>24.875</v>
      </c>
      <c r="G657" s="310">
        <v>0.35</v>
      </c>
      <c r="H657" s="310">
        <v>0.5</v>
      </c>
      <c r="I657" s="295">
        <f t="shared" si="53"/>
        <v>4.3531249999999995</v>
      </c>
      <c r="J657" s="295"/>
      <c r="K657" s="300">
        <f t="shared" si="39"/>
        <v>1.1000000000000001</v>
      </c>
      <c r="L657" s="300">
        <f t="shared" si="54"/>
        <v>0</v>
      </c>
      <c r="M657" s="285">
        <f t="shared" si="55"/>
        <v>0</v>
      </c>
      <c r="N657" s="1076">
        <f t="shared" si="56"/>
        <v>0</v>
      </c>
      <c r="O657" s="294"/>
      <c r="P657" s="404"/>
      <c r="Q657" s="404"/>
      <c r="R657" s="301"/>
      <c r="S657" s="301"/>
      <c r="T657" s="301"/>
      <c r="U657" s="301"/>
      <c r="V657" s="301"/>
    </row>
    <row r="658" spans="1:22" ht="14.4" thickTop="1" thickBot="1" x14ac:dyDescent="0.3">
      <c r="A658" s="292"/>
      <c r="B658" s="293" t="s">
        <v>2069</v>
      </c>
      <c r="C658" s="294"/>
      <c r="D658" s="294"/>
      <c r="E658" s="294"/>
      <c r="F658" s="310">
        <v>3.262</v>
      </c>
      <c r="G658" s="310">
        <v>0.35</v>
      </c>
      <c r="H658" s="310">
        <v>0.5</v>
      </c>
      <c r="I658" s="295">
        <f t="shared" si="53"/>
        <v>0.57084999999999997</v>
      </c>
      <c r="J658" s="295"/>
      <c r="K658" s="300">
        <f t="shared" si="39"/>
        <v>1.1000000000000001</v>
      </c>
      <c r="L658" s="300">
        <f t="shared" si="54"/>
        <v>0</v>
      </c>
      <c r="M658" s="285">
        <f t="shared" si="55"/>
        <v>0</v>
      </c>
      <c r="N658" s="1076">
        <f t="shared" si="56"/>
        <v>0</v>
      </c>
      <c r="O658" s="294"/>
      <c r="P658" s="404"/>
      <c r="Q658" s="404"/>
      <c r="R658" s="301"/>
      <c r="S658" s="301"/>
      <c r="T658" s="301"/>
      <c r="U658" s="301"/>
      <c r="V658" s="301"/>
    </row>
    <row r="659" spans="1:22" ht="14.4" thickTop="1" thickBot="1" x14ac:dyDescent="0.3">
      <c r="A659" s="292"/>
      <c r="B659" s="293" t="s">
        <v>2070</v>
      </c>
      <c r="C659" s="294"/>
      <c r="D659" s="294"/>
      <c r="E659" s="294"/>
      <c r="F659" s="310">
        <v>12.05</v>
      </c>
      <c r="G659" s="310">
        <v>0.35</v>
      </c>
      <c r="H659" s="310">
        <v>0.5</v>
      </c>
      <c r="I659" s="295">
        <f t="shared" si="53"/>
        <v>2.1087500000000001</v>
      </c>
      <c r="J659" s="295"/>
      <c r="K659" s="300">
        <f t="shared" si="39"/>
        <v>1.1000000000000001</v>
      </c>
      <c r="L659" s="300">
        <f t="shared" si="54"/>
        <v>0</v>
      </c>
      <c r="M659" s="285">
        <f t="shared" si="55"/>
        <v>0</v>
      </c>
      <c r="N659" s="1076">
        <f t="shared" si="56"/>
        <v>0</v>
      </c>
      <c r="O659" s="294"/>
      <c r="P659" s="404"/>
      <c r="Q659" s="404"/>
      <c r="R659" s="301"/>
      <c r="S659" s="301"/>
      <c r="T659" s="301"/>
      <c r="U659" s="301"/>
      <c r="V659" s="301"/>
    </row>
    <row r="660" spans="1:22" ht="14.4" thickTop="1" thickBot="1" x14ac:dyDescent="0.3">
      <c r="A660" s="292"/>
      <c r="B660" s="293" t="s">
        <v>2071</v>
      </c>
      <c r="C660" s="294"/>
      <c r="D660" s="294"/>
      <c r="E660" s="294"/>
      <c r="F660" s="310">
        <v>8.6880000000000006</v>
      </c>
      <c r="G660" s="310">
        <v>0.35</v>
      </c>
      <c r="H660" s="310">
        <v>0.5</v>
      </c>
      <c r="I660" s="295">
        <f t="shared" si="53"/>
        <v>1.5204</v>
      </c>
      <c r="J660" s="295"/>
      <c r="K660" s="300">
        <f t="shared" si="39"/>
        <v>1.1000000000000001</v>
      </c>
      <c r="L660" s="300">
        <f t="shared" si="54"/>
        <v>0</v>
      </c>
      <c r="M660" s="285">
        <f t="shared" si="55"/>
        <v>0</v>
      </c>
      <c r="N660" s="1076">
        <f t="shared" si="56"/>
        <v>0</v>
      </c>
      <c r="O660" s="294"/>
      <c r="P660" s="404"/>
      <c r="Q660" s="404"/>
      <c r="R660" s="301"/>
      <c r="S660" s="301"/>
      <c r="T660" s="301"/>
      <c r="U660" s="301"/>
      <c r="V660" s="301"/>
    </row>
    <row r="661" spans="1:22" ht="14.4" thickTop="1" thickBot="1" x14ac:dyDescent="0.3">
      <c r="A661" s="292"/>
      <c r="B661" s="293" t="s">
        <v>2072</v>
      </c>
      <c r="C661" s="294"/>
      <c r="D661" s="294"/>
      <c r="E661" s="294"/>
      <c r="F661" s="310">
        <v>16.774999999999999</v>
      </c>
      <c r="G661" s="310">
        <v>0.35</v>
      </c>
      <c r="H661" s="310">
        <v>0.5</v>
      </c>
      <c r="I661" s="295">
        <f t="shared" si="53"/>
        <v>2.9356249999999995</v>
      </c>
      <c r="J661" s="295"/>
      <c r="K661" s="300">
        <f t="shared" si="39"/>
        <v>1.1000000000000001</v>
      </c>
      <c r="L661" s="300">
        <f t="shared" si="54"/>
        <v>0</v>
      </c>
      <c r="M661" s="285">
        <f t="shared" si="55"/>
        <v>0</v>
      </c>
      <c r="N661" s="1076">
        <f t="shared" si="56"/>
        <v>0</v>
      </c>
      <c r="O661" s="294"/>
      <c r="P661" s="404"/>
      <c r="Q661" s="404"/>
      <c r="R661" s="301"/>
      <c r="S661" s="301"/>
      <c r="T661" s="301"/>
      <c r="U661" s="301"/>
      <c r="V661" s="301"/>
    </row>
    <row r="662" spans="1:22" ht="14.4" thickTop="1" thickBot="1" x14ac:dyDescent="0.3">
      <c r="A662" s="292"/>
      <c r="B662" s="293" t="s">
        <v>2073</v>
      </c>
      <c r="C662" s="294"/>
      <c r="D662" s="294"/>
      <c r="E662" s="294"/>
      <c r="F662" s="310">
        <v>5.9249999999999998</v>
      </c>
      <c r="G662" s="310">
        <v>0.22500000000000001</v>
      </c>
      <c r="H662" s="310">
        <v>0.45</v>
      </c>
      <c r="I662" s="295">
        <f t="shared" si="53"/>
        <v>0.59990624999999997</v>
      </c>
      <c r="J662" s="295"/>
      <c r="K662" s="300">
        <f t="shared" si="39"/>
        <v>1.1000000000000001</v>
      </c>
      <c r="L662" s="300">
        <f t="shared" si="54"/>
        <v>0</v>
      </c>
      <c r="M662" s="285">
        <f t="shared" si="55"/>
        <v>0</v>
      </c>
      <c r="N662" s="1076">
        <f t="shared" si="56"/>
        <v>0</v>
      </c>
      <c r="O662" s="294"/>
      <c r="P662" s="404"/>
      <c r="Q662" s="404"/>
      <c r="R662" s="301"/>
      <c r="S662" s="301"/>
      <c r="T662" s="301"/>
      <c r="U662" s="301"/>
      <c r="V662" s="301"/>
    </row>
    <row r="663" spans="1:22" ht="14.4" thickTop="1" thickBot="1" x14ac:dyDescent="0.3">
      <c r="A663" s="292"/>
      <c r="B663" s="293" t="s">
        <v>2074</v>
      </c>
      <c r="C663" s="294"/>
      <c r="D663" s="294"/>
      <c r="E663" s="294"/>
      <c r="F663" s="310">
        <v>5.0430000000000001</v>
      </c>
      <c r="G663" s="310">
        <v>0.22500000000000001</v>
      </c>
      <c r="H663" s="310">
        <v>0.45</v>
      </c>
      <c r="I663" s="295">
        <f t="shared" si="53"/>
        <v>0.51060375000000002</v>
      </c>
      <c r="J663" s="295"/>
      <c r="K663" s="300">
        <f t="shared" si="39"/>
        <v>1.1000000000000001</v>
      </c>
      <c r="L663" s="300">
        <f t="shared" si="54"/>
        <v>0</v>
      </c>
      <c r="M663" s="285">
        <f t="shared" si="55"/>
        <v>0</v>
      </c>
      <c r="N663" s="1076">
        <f t="shared" si="56"/>
        <v>0</v>
      </c>
      <c r="O663" s="294"/>
      <c r="P663" s="404"/>
      <c r="Q663" s="404"/>
      <c r="R663" s="301"/>
      <c r="S663" s="301"/>
      <c r="T663" s="301"/>
      <c r="U663" s="301"/>
      <c r="V663" s="301"/>
    </row>
    <row r="664" spans="1:22" ht="14.4" thickTop="1" thickBot="1" x14ac:dyDescent="0.3">
      <c r="A664" s="292"/>
      <c r="B664" s="293" t="s">
        <v>2075</v>
      </c>
      <c r="C664" s="294"/>
      <c r="D664" s="294"/>
      <c r="E664" s="294"/>
      <c r="F664" s="310">
        <v>3.2120000000000002</v>
      </c>
      <c r="G664" s="310">
        <v>0.35</v>
      </c>
      <c r="H664" s="310">
        <v>0.5</v>
      </c>
      <c r="I664" s="295">
        <f t="shared" si="53"/>
        <v>0.56210000000000004</v>
      </c>
      <c r="J664" s="295"/>
      <c r="K664" s="300">
        <f t="shared" si="39"/>
        <v>1.1000000000000001</v>
      </c>
      <c r="L664" s="300">
        <f t="shared" si="54"/>
        <v>0</v>
      </c>
      <c r="M664" s="285">
        <f t="shared" si="55"/>
        <v>0</v>
      </c>
      <c r="N664" s="1076">
        <f t="shared" si="56"/>
        <v>0</v>
      </c>
      <c r="O664" s="294"/>
      <c r="P664" s="404"/>
      <c r="Q664" s="404"/>
      <c r="R664" s="301"/>
      <c r="S664" s="301"/>
      <c r="T664" s="301"/>
      <c r="U664" s="301"/>
      <c r="V664" s="301"/>
    </row>
    <row r="665" spans="1:22" ht="14.4" thickTop="1" thickBot="1" x14ac:dyDescent="0.3">
      <c r="A665" s="292"/>
      <c r="B665" s="293" t="s">
        <v>2076</v>
      </c>
      <c r="C665" s="294"/>
      <c r="D665" s="294"/>
      <c r="E665" s="294"/>
      <c r="F665" s="310">
        <v>16.774999999999999</v>
      </c>
      <c r="G665" s="310">
        <v>0.35</v>
      </c>
      <c r="H665" s="310">
        <v>0.6</v>
      </c>
      <c r="I665" s="295">
        <f t="shared" si="53"/>
        <v>3.5227499999999994</v>
      </c>
      <c r="J665" s="295"/>
      <c r="K665" s="300">
        <f t="shared" si="39"/>
        <v>1.1000000000000001</v>
      </c>
      <c r="L665" s="300">
        <f t="shared" si="54"/>
        <v>0</v>
      </c>
      <c r="M665" s="285">
        <f t="shared" si="55"/>
        <v>0</v>
      </c>
      <c r="N665" s="1076">
        <f t="shared" si="56"/>
        <v>0</v>
      </c>
      <c r="O665" s="294"/>
      <c r="P665" s="404"/>
      <c r="Q665" s="404"/>
      <c r="R665" s="301"/>
      <c r="S665" s="301"/>
      <c r="T665" s="301"/>
      <c r="U665" s="301"/>
      <c r="V665" s="301"/>
    </row>
    <row r="666" spans="1:22" ht="14.4" thickTop="1" thickBot="1" x14ac:dyDescent="0.3">
      <c r="A666" s="292"/>
      <c r="B666" s="293" t="s">
        <v>2077</v>
      </c>
      <c r="C666" s="294"/>
      <c r="D666" s="294"/>
      <c r="E666" s="294"/>
      <c r="F666" s="310">
        <v>18.774999999999999</v>
      </c>
      <c r="G666" s="310">
        <v>0.35</v>
      </c>
      <c r="H666" s="310">
        <v>0.5</v>
      </c>
      <c r="I666" s="295">
        <f t="shared" si="53"/>
        <v>3.2856249999999996</v>
      </c>
      <c r="J666" s="295"/>
      <c r="K666" s="300">
        <f t="shared" si="39"/>
        <v>1.1000000000000001</v>
      </c>
      <c r="L666" s="300">
        <f t="shared" si="54"/>
        <v>0</v>
      </c>
      <c r="M666" s="285">
        <f t="shared" si="55"/>
        <v>0</v>
      </c>
      <c r="N666" s="1076">
        <f t="shared" si="56"/>
        <v>0</v>
      </c>
      <c r="O666" s="294"/>
      <c r="P666" s="404"/>
      <c r="Q666" s="404"/>
      <c r="R666" s="301"/>
      <c r="S666" s="301"/>
      <c r="T666" s="301"/>
      <c r="U666" s="301"/>
      <c r="V666" s="301"/>
    </row>
    <row r="667" spans="1:22" ht="14.4" thickTop="1" thickBot="1" x14ac:dyDescent="0.3">
      <c r="A667" s="292"/>
      <c r="B667" s="293" t="s">
        <v>2078</v>
      </c>
      <c r="C667" s="294"/>
      <c r="D667" s="294"/>
      <c r="E667" s="294"/>
      <c r="F667" s="310">
        <v>8.2249999999999996</v>
      </c>
      <c r="G667" s="310">
        <v>0.35</v>
      </c>
      <c r="H667" s="310">
        <v>0.5</v>
      </c>
      <c r="I667" s="295">
        <f t="shared" si="53"/>
        <v>1.4393749999999998</v>
      </c>
      <c r="J667" s="295"/>
      <c r="K667" s="300">
        <f t="shared" si="39"/>
        <v>1.1000000000000001</v>
      </c>
      <c r="L667" s="300">
        <f t="shared" si="54"/>
        <v>0</v>
      </c>
      <c r="M667" s="285">
        <f t="shared" si="55"/>
        <v>0</v>
      </c>
      <c r="N667" s="1076">
        <f t="shared" si="56"/>
        <v>0</v>
      </c>
      <c r="O667" s="294"/>
      <c r="P667" s="404"/>
      <c r="Q667" s="404"/>
      <c r="R667" s="301"/>
      <c r="S667" s="301"/>
      <c r="T667" s="301"/>
      <c r="U667" s="301"/>
      <c r="V667" s="301"/>
    </row>
    <row r="668" spans="1:22" ht="14.4" thickTop="1" thickBot="1" x14ac:dyDescent="0.3">
      <c r="A668" s="292"/>
      <c r="B668" s="293" t="s">
        <v>2079</v>
      </c>
      <c r="C668" s="294"/>
      <c r="D668" s="294"/>
      <c r="E668" s="294"/>
      <c r="F668" s="310">
        <v>10.512</v>
      </c>
      <c r="G668" s="310">
        <v>0.35</v>
      </c>
      <c r="H668" s="310">
        <v>0.6</v>
      </c>
      <c r="I668" s="295">
        <f t="shared" si="53"/>
        <v>2.2075200000000001</v>
      </c>
      <c r="J668" s="295"/>
      <c r="K668" s="300">
        <f t="shared" si="39"/>
        <v>1.1000000000000001</v>
      </c>
      <c r="L668" s="300">
        <f t="shared" si="54"/>
        <v>0</v>
      </c>
      <c r="M668" s="285">
        <f t="shared" si="55"/>
        <v>0</v>
      </c>
      <c r="N668" s="1076">
        <f t="shared" si="56"/>
        <v>0</v>
      </c>
      <c r="O668" s="294"/>
      <c r="P668" s="404"/>
      <c r="Q668" s="404"/>
      <c r="R668" s="301"/>
      <c r="S668" s="301"/>
      <c r="T668" s="301"/>
      <c r="U668" s="301"/>
      <c r="V668" s="301"/>
    </row>
    <row r="669" spans="1:22" ht="14.4" thickTop="1" thickBot="1" x14ac:dyDescent="0.3">
      <c r="A669" s="292"/>
      <c r="B669" s="293" t="s">
        <v>2080</v>
      </c>
      <c r="C669" s="294"/>
      <c r="D669" s="294"/>
      <c r="E669" s="294"/>
      <c r="F669" s="310">
        <v>18.55</v>
      </c>
      <c r="G669" s="310">
        <v>0.35</v>
      </c>
      <c r="H669" s="310">
        <v>0.6</v>
      </c>
      <c r="I669" s="295">
        <f t="shared" si="53"/>
        <v>3.8955000000000002</v>
      </c>
      <c r="J669" s="295"/>
      <c r="K669" s="300">
        <f t="shared" si="39"/>
        <v>1.1000000000000001</v>
      </c>
      <c r="L669" s="300">
        <f t="shared" si="54"/>
        <v>0</v>
      </c>
      <c r="M669" s="285">
        <f t="shared" si="55"/>
        <v>0</v>
      </c>
      <c r="N669" s="1076">
        <f t="shared" si="56"/>
        <v>0</v>
      </c>
      <c r="O669" s="294"/>
      <c r="P669" s="404"/>
      <c r="Q669" s="404"/>
      <c r="R669" s="301"/>
      <c r="S669" s="301"/>
      <c r="T669" s="301"/>
      <c r="U669" s="301"/>
      <c r="V669" s="301"/>
    </row>
    <row r="670" spans="1:22" ht="14.4" thickTop="1" thickBot="1" x14ac:dyDescent="0.3">
      <c r="A670" s="292"/>
      <c r="B670" s="293" t="s">
        <v>2081</v>
      </c>
      <c r="C670" s="294"/>
      <c r="D670" s="294"/>
      <c r="E670" s="294"/>
      <c r="F670" s="310">
        <v>19</v>
      </c>
      <c r="G670" s="310">
        <v>0.35</v>
      </c>
      <c r="H670" s="310">
        <v>0.5</v>
      </c>
      <c r="I670" s="295">
        <f t="shared" si="53"/>
        <v>3.3249999999999997</v>
      </c>
      <c r="J670" s="295"/>
      <c r="K670" s="300">
        <f t="shared" si="39"/>
        <v>1.1000000000000001</v>
      </c>
      <c r="L670" s="300">
        <f t="shared" si="54"/>
        <v>0</v>
      </c>
      <c r="M670" s="285">
        <f t="shared" si="55"/>
        <v>0</v>
      </c>
      <c r="N670" s="1076">
        <f t="shared" si="56"/>
        <v>0</v>
      </c>
      <c r="O670" s="294"/>
      <c r="P670" s="404"/>
      <c r="Q670" s="404"/>
      <c r="R670" s="301"/>
      <c r="S670" s="301"/>
      <c r="T670" s="301"/>
      <c r="U670" s="301"/>
      <c r="V670" s="301"/>
    </row>
    <row r="671" spans="1:22" ht="14.4" thickTop="1" thickBot="1" x14ac:dyDescent="0.3">
      <c r="A671" s="292"/>
      <c r="B671" s="293"/>
      <c r="C671" s="294"/>
      <c r="D671" s="294"/>
      <c r="E671" s="294"/>
      <c r="F671" s="310"/>
      <c r="G671" s="310"/>
      <c r="H671" s="310"/>
      <c r="I671" s="295"/>
      <c r="J671" s="295">
        <f>SUM(I621:I670)</f>
        <v>120.22563125000001</v>
      </c>
      <c r="K671" s="300">
        <f t="shared" si="39"/>
        <v>1.1000000000000001</v>
      </c>
      <c r="L671" s="300">
        <f t="shared" si="54"/>
        <v>132.24819437500003</v>
      </c>
      <c r="M671" s="285">
        <f t="shared" si="55"/>
        <v>132.19999999999999</v>
      </c>
      <c r="N671" s="1076">
        <f t="shared" si="56"/>
        <v>133</v>
      </c>
      <c r="O671" s="294"/>
      <c r="P671" s="413">
        <f>J671*35.29</f>
        <v>4242.7625268125003</v>
      </c>
      <c r="Q671" s="404"/>
      <c r="R671" s="301"/>
      <c r="S671" s="301"/>
      <c r="T671" s="301"/>
      <c r="U671" s="301"/>
      <c r="V671" s="301"/>
    </row>
    <row r="672" spans="1:22" ht="14.4" thickTop="1" thickBot="1" x14ac:dyDescent="0.3">
      <c r="A672" s="292"/>
      <c r="B672" s="293"/>
      <c r="C672" s="294"/>
      <c r="D672" s="294"/>
      <c r="E672" s="294"/>
      <c r="F672" s="310"/>
      <c r="G672" s="310"/>
      <c r="H672" s="310"/>
      <c r="I672" s="295"/>
      <c r="J672" s="295">
        <f>J671/2.83</f>
        <v>42.482555212014134</v>
      </c>
      <c r="K672" s="300">
        <f t="shared" si="39"/>
        <v>1.1000000000000001</v>
      </c>
      <c r="L672" s="300">
        <f t="shared" si="54"/>
        <v>46.730810733215549</v>
      </c>
      <c r="M672" s="285">
        <f t="shared" si="55"/>
        <v>46.7</v>
      </c>
      <c r="N672" s="1076">
        <f t="shared" si="56"/>
        <v>47</v>
      </c>
      <c r="O672" s="294"/>
      <c r="P672" s="413">
        <f>P671/100</f>
        <v>42.427625268125006</v>
      </c>
      <c r="Q672" s="404"/>
      <c r="R672" s="301"/>
      <c r="S672" s="301"/>
      <c r="T672" s="301"/>
      <c r="U672" s="301"/>
      <c r="V672" s="301"/>
    </row>
    <row r="673" spans="1:22" ht="14.4" thickTop="1" thickBot="1" x14ac:dyDescent="0.3">
      <c r="A673" s="292"/>
      <c r="B673" s="293"/>
      <c r="C673" s="294"/>
      <c r="D673" s="294"/>
      <c r="E673" s="294"/>
      <c r="F673" s="310"/>
      <c r="G673" s="310"/>
      <c r="H673" s="310"/>
      <c r="I673" s="295"/>
      <c r="J673" s="295"/>
      <c r="K673" s="300"/>
      <c r="L673" s="300"/>
      <c r="M673" s="285"/>
      <c r="N673" s="1076"/>
      <c r="O673" s="294"/>
      <c r="P673" s="413"/>
      <c r="Q673" s="404"/>
      <c r="R673" s="301"/>
      <c r="S673" s="301"/>
      <c r="T673" s="301"/>
      <c r="U673" s="301"/>
      <c r="V673" s="301"/>
    </row>
    <row r="674" spans="1:22" ht="14.4" thickTop="1" thickBot="1" x14ac:dyDescent="0.3">
      <c r="A674" s="292"/>
      <c r="B674" s="296" t="s">
        <v>2412</v>
      </c>
      <c r="C674" s="294"/>
      <c r="D674" s="294"/>
      <c r="E674" s="294"/>
      <c r="F674" s="310">
        <f>SUM(F621:F673)</f>
        <v>647.18399999999997</v>
      </c>
      <c r="G674" s="310">
        <v>0.3</v>
      </c>
      <c r="H674" s="310"/>
      <c r="I674" s="295">
        <f>G674*F674</f>
        <v>194.15519999999998</v>
      </c>
      <c r="J674" s="295">
        <f>I674</f>
        <v>194.15519999999998</v>
      </c>
      <c r="K674" s="300">
        <f t="shared" si="39"/>
        <v>1.1000000000000001</v>
      </c>
      <c r="L674" s="300">
        <f t="shared" ref="L674:L675" si="57">K674*J674</f>
        <v>213.57071999999999</v>
      </c>
      <c r="M674" s="285">
        <f t="shared" ref="M674:M675" si="58">ROUND(L674,1)</f>
        <v>213.6</v>
      </c>
      <c r="N674" s="1076">
        <f t="shared" ref="N674:N675" si="59">ROUNDUP(M674,0)</f>
        <v>214</v>
      </c>
      <c r="O674" s="294"/>
      <c r="P674" s="413"/>
      <c r="Q674" s="404"/>
      <c r="R674" s="301"/>
      <c r="S674" s="301"/>
      <c r="T674" s="301"/>
      <c r="U674" s="301"/>
      <c r="V674" s="301"/>
    </row>
    <row r="675" spans="1:22" ht="14.4" thickTop="1" thickBot="1" x14ac:dyDescent="0.3">
      <c r="A675" s="292"/>
      <c r="B675" s="293"/>
      <c r="C675" s="294"/>
      <c r="D675" s="294"/>
      <c r="E675" s="294"/>
      <c r="F675" s="310"/>
      <c r="G675" s="310"/>
      <c r="H675" s="310"/>
      <c r="I675" s="295"/>
      <c r="J675" s="295">
        <f>J674/9.29</f>
        <v>20.899375672766414</v>
      </c>
      <c r="K675" s="300">
        <v>1.05</v>
      </c>
      <c r="L675" s="300">
        <f t="shared" si="57"/>
        <v>21.944344456404735</v>
      </c>
      <c r="M675" s="285">
        <f t="shared" si="58"/>
        <v>21.9</v>
      </c>
      <c r="N675" s="1076">
        <f t="shared" si="59"/>
        <v>22</v>
      </c>
      <c r="O675" s="294"/>
      <c r="P675" s="413"/>
      <c r="Q675" s="404"/>
      <c r="R675" s="301"/>
      <c r="S675" s="301"/>
      <c r="T675" s="301"/>
      <c r="U675" s="301"/>
      <c r="V675" s="301"/>
    </row>
    <row r="676" spans="1:22" ht="14.4" thickTop="1" thickBot="1" x14ac:dyDescent="0.3">
      <c r="A676" s="292"/>
      <c r="B676" s="293"/>
      <c r="C676" s="294"/>
      <c r="D676" s="294"/>
      <c r="E676" s="294"/>
      <c r="F676" s="310"/>
      <c r="G676" s="310"/>
      <c r="H676" s="310"/>
      <c r="I676" s="295"/>
      <c r="J676" s="295"/>
      <c r="K676" s="300"/>
      <c r="L676" s="300"/>
      <c r="M676" s="285"/>
      <c r="N676" s="1076"/>
      <c r="O676" s="294"/>
      <c r="P676" s="413"/>
      <c r="Q676" s="404"/>
      <c r="R676" s="301"/>
      <c r="S676" s="301"/>
      <c r="T676" s="301"/>
      <c r="U676" s="301"/>
      <c r="V676" s="301"/>
    </row>
    <row r="677" spans="1:22" ht="14.4" thickTop="1" thickBot="1" x14ac:dyDescent="0.3">
      <c r="A677" s="292"/>
      <c r="B677" s="293"/>
      <c r="C677" s="294"/>
      <c r="D677" s="294"/>
      <c r="E677" s="294"/>
      <c r="F677" s="310"/>
      <c r="G677" s="310"/>
      <c r="H677" s="310"/>
      <c r="I677" s="295"/>
      <c r="J677" s="295"/>
      <c r="K677" s="300"/>
      <c r="L677" s="300"/>
      <c r="M677" s="285"/>
      <c r="N677" s="1076"/>
      <c r="O677" s="294"/>
      <c r="P677" s="413"/>
      <c r="Q677" s="404"/>
      <c r="R677" s="301"/>
      <c r="S677" s="301"/>
      <c r="T677" s="301"/>
      <c r="U677" s="301"/>
      <c r="V677" s="301"/>
    </row>
    <row r="678" spans="1:22" ht="14.4" thickTop="1" thickBot="1" x14ac:dyDescent="0.3">
      <c r="A678" s="292"/>
      <c r="B678" s="293"/>
      <c r="C678" s="294"/>
      <c r="D678" s="294"/>
      <c r="E678" s="294"/>
      <c r="F678" s="310"/>
      <c r="G678" s="310"/>
      <c r="H678" s="310"/>
      <c r="I678" s="295"/>
      <c r="J678" s="295"/>
      <c r="K678" s="300"/>
      <c r="L678" s="300"/>
      <c r="M678" s="285"/>
      <c r="N678" s="1076"/>
      <c r="O678" s="294"/>
      <c r="P678" s="413"/>
      <c r="Q678" s="404"/>
      <c r="R678" s="301"/>
      <c r="S678" s="301"/>
      <c r="T678" s="301"/>
      <c r="U678" s="301"/>
      <c r="V678" s="301"/>
    </row>
    <row r="679" spans="1:22" ht="14.4" thickTop="1" thickBot="1" x14ac:dyDescent="0.3">
      <c r="A679" s="292"/>
      <c r="B679" s="293"/>
      <c r="C679" s="294"/>
      <c r="D679" s="294"/>
      <c r="E679" s="294"/>
      <c r="F679" s="310"/>
      <c r="G679" s="310"/>
      <c r="H679" s="310"/>
      <c r="I679" s="295"/>
      <c r="J679" s="295"/>
      <c r="K679" s="300"/>
      <c r="L679" s="300"/>
      <c r="M679" s="285"/>
      <c r="N679" s="1076"/>
      <c r="O679" s="294"/>
      <c r="P679" s="413"/>
      <c r="Q679" s="404"/>
      <c r="R679" s="301"/>
      <c r="S679" s="301"/>
      <c r="T679" s="301"/>
      <c r="U679" s="301"/>
      <c r="V679" s="301"/>
    </row>
    <row r="680" spans="1:22" ht="14.4" thickTop="1" thickBot="1" x14ac:dyDescent="0.3">
      <c r="A680" s="292"/>
      <c r="B680" s="293"/>
      <c r="C680" s="294"/>
      <c r="D680" s="294"/>
      <c r="E680" s="294"/>
      <c r="F680" s="310"/>
      <c r="G680" s="310"/>
      <c r="H680" s="310"/>
      <c r="I680" s="295"/>
      <c r="J680" s="295"/>
      <c r="K680" s="300"/>
      <c r="L680" s="300"/>
      <c r="M680" s="285"/>
      <c r="N680" s="1076"/>
      <c r="O680" s="294"/>
      <c r="P680" s="413"/>
      <c r="Q680" s="404"/>
      <c r="R680" s="301"/>
      <c r="S680" s="301"/>
      <c r="T680" s="301"/>
      <c r="U680" s="301"/>
      <c r="V680" s="301"/>
    </row>
    <row r="681" spans="1:22" ht="14.4" thickTop="1" thickBot="1" x14ac:dyDescent="0.3">
      <c r="A681" s="292"/>
      <c r="B681" s="293"/>
      <c r="C681" s="294"/>
      <c r="D681" s="294"/>
      <c r="E681" s="294"/>
      <c r="F681" s="310"/>
      <c r="G681" s="310"/>
      <c r="H681" s="310"/>
      <c r="I681" s="295"/>
      <c r="J681" s="295"/>
      <c r="K681" s="300">
        <f t="shared" si="39"/>
        <v>1.1000000000000001</v>
      </c>
      <c r="L681" s="300">
        <f t="shared" si="54"/>
        <v>0</v>
      </c>
      <c r="M681" s="285">
        <f t="shared" si="55"/>
        <v>0</v>
      </c>
      <c r="N681" s="1076">
        <f t="shared" si="56"/>
        <v>0</v>
      </c>
      <c r="O681" s="294"/>
      <c r="P681" s="404"/>
      <c r="Q681" s="404"/>
      <c r="R681" s="301"/>
      <c r="S681" s="301"/>
      <c r="T681" s="301"/>
      <c r="U681" s="301"/>
      <c r="V681" s="301"/>
    </row>
    <row r="682" spans="1:22" ht="14.4" thickTop="1" thickBot="1" x14ac:dyDescent="0.3">
      <c r="A682" s="292"/>
      <c r="B682" s="293" t="s">
        <v>2095</v>
      </c>
      <c r="C682" s="294"/>
      <c r="D682" s="294"/>
      <c r="E682" s="294"/>
      <c r="F682" s="310"/>
      <c r="G682" s="310"/>
      <c r="H682" s="310"/>
      <c r="I682" s="295"/>
      <c r="J682" s="295"/>
      <c r="K682" s="300"/>
      <c r="L682" s="300"/>
      <c r="M682" s="285"/>
      <c r="N682" s="1076"/>
      <c r="O682" s="294"/>
      <c r="P682" s="404"/>
      <c r="Q682" s="404"/>
      <c r="R682" s="301"/>
      <c r="S682" s="301"/>
      <c r="T682" s="301"/>
      <c r="U682" s="301"/>
      <c r="V682" s="301"/>
    </row>
    <row r="683" spans="1:22" ht="14.4" thickTop="1" thickBot="1" x14ac:dyDescent="0.3">
      <c r="A683" s="292"/>
      <c r="B683" s="293" t="s">
        <v>2034</v>
      </c>
      <c r="C683" s="294"/>
      <c r="D683" s="294"/>
      <c r="E683" s="294"/>
      <c r="F683" s="310">
        <v>27.878</v>
      </c>
      <c r="G683" s="310"/>
      <c r="H683" s="310"/>
      <c r="I683" s="295"/>
      <c r="J683" s="295"/>
      <c r="K683" s="300"/>
      <c r="L683" s="300"/>
      <c r="M683" s="285"/>
      <c r="N683" s="1076"/>
      <c r="O683" s="294"/>
      <c r="P683" s="404"/>
      <c r="Q683" s="404"/>
      <c r="R683" s="301"/>
      <c r="S683" s="301"/>
      <c r="T683" s="301"/>
      <c r="U683" s="301"/>
      <c r="V683" s="301"/>
    </row>
    <row r="684" spans="1:22" ht="14.4" thickTop="1" thickBot="1" x14ac:dyDescent="0.3">
      <c r="A684" s="292"/>
      <c r="B684" s="293" t="s">
        <v>2096</v>
      </c>
      <c r="C684" s="294"/>
      <c r="D684" s="294"/>
      <c r="E684" s="294">
        <v>4</v>
      </c>
      <c r="F684" s="310">
        <f>29.647+(1*5)</f>
        <v>34.646999999999998</v>
      </c>
      <c r="G684" s="310">
        <v>2.4700000000000002</v>
      </c>
      <c r="H684" s="310"/>
      <c r="I684" s="295">
        <f>G684*F684*E684</f>
        <v>342.31236000000001</v>
      </c>
      <c r="J684" s="295"/>
      <c r="K684" s="300"/>
      <c r="L684" s="300"/>
      <c r="M684" s="285"/>
      <c r="N684" s="1076"/>
      <c r="O684" s="294"/>
      <c r="P684" s="404">
        <f>30/6</f>
        <v>5</v>
      </c>
      <c r="Q684" s="404">
        <f>20*50</f>
        <v>1000</v>
      </c>
      <c r="R684" s="301">
        <f>20*20/162</f>
        <v>2.4691358024691357</v>
      </c>
      <c r="S684" s="301"/>
      <c r="T684" s="301"/>
      <c r="U684" s="301"/>
      <c r="V684" s="301"/>
    </row>
    <row r="685" spans="1:22" ht="14.4" thickTop="1" thickBot="1" x14ac:dyDescent="0.3">
      <c r="A685" s="292"/>
      <c r="B685" s="293" t="s">
        <v>2097</v>
      </c>
      <c r="C685" s="294"/>
      <c r="D685" s="294"/>
      <c r="E685" s="294">
        <v>4</v>
      </c>
      <c r="F685" s="310">
        <v>4.92</v>
      </c>
      <c r="G685" s="310">
        <v>2.4700000000000002</v>
      </c>
      <c r="H685" s="310"/>
      <c r="I685" s="295">
        <f t="shared" ref="I685:I707" si="60">G685*F685*E685</f>
        <v>48.6096</v>
      </c>
      <c r="J685" s="295"/>
      <c r="K685" s="300"/>
      <c r="L685" s="300"/>
      <c r="M685" s="285"/>
      <c r="N685" s="1076"/>
      <c r="O685" s="294"/>
      <c r="P685" s="404"/>
      <c r="Q685" s="404"/>
      <c r="R685" s="301"/>
      <c r="S685" s="301"/>
      <c r="T685" s="301"/>
      <c r="U685" s="301"/>
      <c r="V685" s="301"/>
    </row>
    <row r="686" spans="1:22" ht="14.4" thickTop="1" thickBot="1" x14ac:dyDescent="0.3">
      <c r="A686" s="292"/>
      <c r="B686" s="293" t="s">
        <v>2098</v>
      </c>
      <c r="C686" s="294"/>
      <c r="D686" s="294"/>
      <c r="E686" s="294">
        <v>2</v>
      </c>
      <c r="F686" s="310">
        <v>4.7530000000000001</v>
      </c>
      <c r="G686" s="310">
        <v>1.58</v>
      </c>
      <c r="H686" s="310"/>
      <c r="I686" s="295">
        <f t="shared" si="60"/>
        <v>15.019480000000001</v>
      </c>
      <c r="J686" s="295"/>
      <c r="K686" s="300"/>
      <c r="L686" s="300"/>
      <c r="M686" s="285"/>
      <c r="N686" s="1076"/>
      <c r="O686" s="294"/>
      <c r="P686" s="404">
        <f>16*16/162</f>
        <v>1.5802469135802468</v>
      </c>
      <c r="Q686" s="404"/>
      <c r="R686" s="301"/>
      <c r="S686" s="301"/>
      <c r="T686" s="301"/>
      <c r="U686" s="301"/>
      <c r="V686" s="301"/>
    </row>
    <row r="687" spans="1:22" ht="14.4" thickTop="1" thickBot="1" x14ac:dyDescent="0.3">
      <c r="A687" s="292"/>
      <c r="B687" s="293" t="s">
        <v>2099</v>
      </c>
      <c r="C687" s="294"/>
      <c r="D687" s="294"/>
      <c r="E687" s="294">
        <v>2</v>
      </c>
      <c r="F687" s="310">
        <v>4.7530000000000001</v>
      </c>
      <c r="G687" s="310">
        <v>1.58</v>
      </c>
      <c r="H687" s="310"/>
      <c r="I687" s="295">
        <f t="shared" si="60"/>
        <v>15.019480000000001</v>
      </c>
      <c r="J687" s="295"/>
      <c r="K687" s="300"/>
      <c r="L687" s="300"/>
      <c r="M687" s="285"/>
      <c r="N687" s="1076"/>
      <c r="O687" s="294"/>
      <c r="P687" s="404"/>
      <c r="Q687" s="404"/>
      <c r="R687" s="301"/>
      <c r="S687" s="301"/>
      <c r="T687" s="301"/>
      <c r="U687" s="301"/>
      <c r="V687" s="301"/>
    </row>
    <row r="688" spans="1:22" ht="14.4" thickTop="1" thickBot="1" x14ac:dyDescent="0.3">
      <c r="A688" s="292"/>
      <c r="B688" s="293" t="s">
        <v>2100</v>
      </c>
      <c r="C688" s="294"/>
      <c r="D688" s="294"/>
      <c r="E688" s="294">
        <v>2</v>
      </c>
      <c r="F688" s="310">
        <v>4.3550000000000004</v>
      </c>
      <c r="G688" s="310">
        <v>1.58</v>
      </c>
      <c r="H688" s="310"/>
      <c r="I688" s="295">
        <f t="shared" si="60"/>
        <v>13.761800000000003</v>
      </c>
      <c r="J688" s="295"/>
      <c r="K688" s="300"/>
      <c r="L688" s="300"/>
      <c r="M688" s="285"/>
      <c r="N688" s="1076"/>
      <c r="O688" s="294"/>
      <c r="P688" s="404"/>
      <c r="Q688" s="404"/>
      <c r="R688" s="301"/>
      <c r="S688" s="301"/>
      <c r="T688" s="301"/>
      <c r="U688" s="301"/>
      <c r="V688" s="301"/>
    </row>
    <row r="689" spans="1:22" ht="14.4" thickTop="1" thickBot="1" x14ac:dyDescent="0.3">
      <c r="A689" s="292"/>
      <c r="B689" s="293" t="s">
        <v>2101</v>
      </c>
      <c r="C689" s="294"/>
      <c r="D689" s="294"/>
      <c r="E689" s="294">
        <v>4</v>
      </c>
      <c r="F689" s="310">
        <f>8.3+1</f>
        <v>9.3000000000000007</v>
      </c>
      <c r="G689" s="310">
        <v>2.4700000000000002</v>
      </c>
      <c r="H689" s="310"/>
      <c r="I689" s="295">
        <f t="shared" si="60"/>
        <v>91.884000000000015</v>
      </c>
      <c r="J689" s="295"/>
      <c r="K689" s="300"/>
      <c r="L689" s="300"/>
      <c r="M689" s="285"/>
      <c r="N689" s="1076"/>
      <c r="O689" s="294"/>
      <c r="P689" s="404"/>
      <c r="Q689" s="404"/>
      <c r="R689" s="301"/>
      <c r="S689" s="301"/>
      <c r="T689" s="301"/>
      <c r="U689" s="301"/>
      <c r="V689" s="301"/>
    </row>
    <row r="690" spans="1:22" ht="14.4" thickTop="1" thickBot="1" x14ac:dyDescent="0.3">
      <c r="A690" s="292"/>
      <c r="B690" s="293" t="s">
        <v>2102</v>
      </c>
      <c r="C690" s="294"/>
      <c r="D690" s="294"/>
      <c r="E690" s="294">
        <v>2</v>
      </c>
      <c r="F690" s="310">
        <v>5.0869999999999997</v>
      </c>
      <c r="G690" s="310">
        <v>2.4700000000000002</v>
      </c>
      <c r="H690" s="310"/>
      <c r="I690" s="295">
        <f t="shared" si="60"/>
        <v>25.12978</v>
      </c>
      <c r="J690" s="295"/>
      <c r="K690" s="300"/>
      <c r="L690" s="300"/>
      <c r="M690" s="285"/>
      <c r="N690" s="1076"/>
      <c r="O690" s="294"/>
      <c r="P690" s="404"/>
      <c r="Q690" s="404"/>
      <c r="R690" s="301"/>
      <c r="S690" s="301"/>
      <c r="T690" s="301"/>
      <c r="U690" s="301"/>
      <c r="V690" s="301"/>
    </row>
    <row r="691" spans="1:22" ht="14.4" thickTop="1" thickBot="1" x14ac:dyDescent="0.3">
      <c r="A691" s="292"/>
      <c r="B691" s="293" t="s">
        <v>2103</v>
      </c>
      <c r="C691" s="294"/>
      <c r="D691" s="294"/>
      <c r="E691" s="294">
        <v>4</v>
      </c>
      <c r="F691" s="310">
        <f>7.45+1</f>
        <v>8.4499999999999993</v>
      </c>
      <c r="G691" s="310">
        <v>2.4700000000000002</v>
      </c>
      <c r="H691" s="310"/>
      <c r="I691" s="295">
        <f t="shared" si="60"/>
        <v>83.486000000000004</v>
      </c>
      <c r="J691" s="295"/>
      <c r="K691" s="300"/>
      <c r="L691" s="300"/>
      <c r="M691" s="285"/>
      <c r="N691" s="1076"/>
      <c r="O691" s="294"/>
      <c r="P691" s="404"/>
      <c r="Q691" s="404"/>
      <c r="R691" s="301"/>
      <c r="S691" s="301"/>
      <c r="T691" s="301"/>
      <c r="U691" s="301"/>
      <c r="V691" s="301"/>
    </row>
    <row r="692" spans="1:22" ht="14.4" thickTop="1" thickBot="1" x14ac:dyDescent="0.3">
      <c r="A692" s="292"/>
      <c r="B692" s="293" t="s">
        <v>2104</v>
      </c>
      <c r="C692" s="294"/>
      <c r="D692" s="294"/>
      <c r="E692" s="294">
        <v>2</v>
      </c>
      <c r="F692" s="310">
        <v>5.5869999999999997</v>
      </c>
      <c r="G692" s="310">
        <v>2.4700000000000002</v>
      </c>
      <c r="H692" s="310"/>
      <c r="I692" s="295">
        <f t="shared" si="60"/>
        <v>27.599780000000003</v>
      </c>
      <c r="J692" s="295"/>
      <c r="K692" s="300"/>
      <c r="L692" s="300"/>
      <c r="M692" s="285"/>
      <c r="N692" s="1076"/>
      <c r="O692" s="294"/>
      <c r="P692" s="404"/>
      <c r="Q692" s="404"/>
      <c r="R692" s="301"/>
      <c r="S692" s="301"/>
      <c r="T692" s="301"/>
      <c r="U692" s="301"/>
      <c r="V692" s="301"/>
    </row>
    <row r="693" spans="1:22" ht="14.4" thickTop="1" thickBot="1" x14ac:dyDescent="0.3">
      <c r="A693" s="292"/>
      <c r="B693" s="293" t="s">
        <v>2105</v>
      </c>
      <c r="C693" s="294"/>
      <c r="D693" s="294"/>
      <c r="E693" s="294">
        <v>2</v>
      </c>
      <c r="F693" s="310">
        <v>5.5869999999999997</v>
      </c>
      <c r="G693" s="310">
        <v>2.4700000000000002</v>
      </c>
      <c r="H693" s="310"/>
      <c r="I693" s="295">
        <f t="shared" si="60"/>
        <v>27.599780000000003</v>
      </c>
      <c r="J693" s="295"/>
      <c r="K693" s="300"/>
      <c r="L693" s="300"/>
      <c r="M693" s="285"/>
      <c r="N693" s="1076"/>
      <c r="O693" s="294"/>
      <c r="P693" s="404">
        <f>22/6</f>
        <v>3.6666666666666665</v>
      </c>
      <c r="Q693" s="404"/>
      <c r="R693" s="301"/>
      <c r="S693" s="301"/>
      <c r="T693" s="301"/>
      <c r="U693" s="301"/>
      <c r="V693" s="301"/>
    </row>
    <row r="694" spans="1:22" ht="14.4" thickTop="1" thickBot="1" x14ac:dyDescent="0.3">
      <c r="A694" s="292"/>
      <c r="B694" s="293" t="s">
        <v>2106</v>
      </c>
      <c r="C694" s="294"/>
      <c r="D694" s="294"/>
      <c r="E694" s="294">
        <v>4</v>
      </c>
      <c r="F694" s="310">
        <f>22.306+4</f>
        <v>26.306000000000001</v>
      </c>
      <c r="G694" s="310">
        <v>2.4700000000000002</v>
      </c>
      <c r="H694" s="310"/>
      <c r="I694" s="295">
        <f t="shared" si="60"/>
        <v>259.90328000000005</v>
      </c>
      <c r="J694" s="295"/>
      <c r="K694" s="300"/>
      <c r="L694" s="300"/>
      <c r="M694" s="285"/>
      <c r="N694" s="1076"/>
      <c r="O694" s="294"/>
      <c r="P694" s="404"/>
      <c r="Q694" s="404"/>
      <c r="R694" s="301"/>
      <c r="S694" s="301"/>
      <c r="T694" s="301"/>
      <c r="U694" s="301"/>
      <c r="V694" s="301"/>
    </row>
    <row r="695" spans="1:22" ht="14.4" thickTop="1" thickBot="1" x14ac:dyDescent="0.3">
      <c r="A695" s="292"/>
      <c r="B695" s="293" t="s">
        <v>2107</v>
      </c>
      <c r="C695" s="294"/>
      <c r="D695" s="294"/>
      <c r="E695" s="294"/>
      <c r="F695" s="310"/>
      <c r="G695" s="310"/>
      <c r="H695" s="310"/>
      <c r="I695" s="295"/>
      <c r="J695" s="295"/>
      <c r="K695" s="300"/>
      <c r="L695" s="300"/>
      <c r="M695" s="285"/>
      <c r="N695" s="1076"/>
      <c r="O695" s="294"/>
      <c r="P695" s="404">
        <f>3.035/0.25</f>
        <v>12.14</v>
      </c>
      <c r="Q695" s="404">
        <f>8*8/162</f>
        <v>0.39506172839506171</v>
      </c>
      <c r="R695" s="301"/>
      <c r="S695" s="301"/>
      <c r="T695" s="301"/>
      <c r="U695" s="301"/>
      <c r="V695" s="301"/>
    </row>
    <row r="696" spans="1:22" ht="14.4" thickTop="1" thickBot="1" x14ac:dyDescent="0.3">
      <c r="A696" s="292"/>
      <c r="B696" s="293" t="s">
        <v>2108</v>
      </c>
      <c r="C696" s="294"/>
      <c r="D696" s="294"/>
      <c r="E696" s="294">
        <v>14</v>
      </c>
      <c r="F696" s="310">
        <f>(0.7+0.7+0.3+0.3+0.15)</f>
        <v>2.15</v>
      </c>
      <c r="G696" s="310">
        <v>0.39500000000000002</v>
      </c>
      <c r="H696" s="310"/>
      <c r="I696" s="295">
        <f t="shared" si="60"/>
        <v>11.8895</v>
      </c>
      <c r="J696" s="295"/>
      <c r="K696" s="300"/>
      <c r="L696" s="300"/>
      <c r="M696" s="285"/>
      <c r="N696" s="1076"/>
      <c r="O696" s="294"/>
      <c r="P696" s="404"/>
      <c r="Q696" s="404"/>
      <c r="R696" s="301"/>
      <c r="S696" s="301"/>
      <c r="T696" s="301"/>
      <c r="U696" s="301"/>
      <c r="V696" s="301"/>
    </row>
    <row r="697" spans="1:22" ht="14.4" thickTop="1" thickBot="1" x14ac:dyDescent="0.3">
      <c r="A697" s="292"/>
      <c r="B697" s="293"/>
      <c r="C697" s="294"/>
      <c r="D697" s="294"/>
      <c r="E697" s="294">
        <v>14</v>
      </c>
      <c r="F697" s="310">
        <f>(0.7+0.7+0.3+0.3+0.15)/2</f>
        <v>1.075</v>
      </c>
      <c r="G697" s="310">
        <v>0.39500000000000002</v>
      </c>
      <c r="H697" s="310"/>
      <c r="I697" s="295">
        <f t="shared" si="60"/>
        <v>5.94475</v>
      </c>
      <c r="J697" s="295"/>
      <c r="K697" s="300"/>
      <c r="L697" s="300"/>
      <c r="M697" s="285"/>
      <c r="N697" s="1076"/>
      <c r="O697" s="294"/>
      <c r="P697" s="404"/>
      <c r="Q697" s="404"/>
      <c r="R697" s="301"/>
      <c r="S697" s="301"/>
      <c r="T697" s="301"/>
      <c r="U697" s="301"/>
      <c r="V697" s="301"/>
    </row>
    <row r="698" spans="1:22" ht="14.4" thickTop="1" thickBot="1" x14ac:dyDescent="0.3">
      <c r="A698" s="292"/>
      <c r="B698" s="293" t="s">
        <v>2109</v>
      </c>
      <c r="C698" s="294"/>
      <c r="D698" s="294"/>
      <c r="E698" s="294">
        <v>17</v>
      </c>
      <c r="F698" s="310">
        <f>(0.7+0.7+0.3+0.3+0.15)</f>
        <v>2.15</v>
      </c>
      <c r="G698" s="310">
        <v>0.61199999999999999</v>
      </c>
      <c r="H698" s="310"/>
      <c r="I698" s="295">
        <f t="shared" si="60"/>
        <v>22.368599999999997</v>
      </c>
      <c r="J698" s="295"/>
      <c r="K698" s="300"/>
      <c r="L698" s="300"/>
      <c r="M698" s="285"/>
      <c r="N698" s="1076"/>
      <c r="O698" s="294"/>
      <c r="P698" s="404">
        <f>3.116/0.2</f>
        <v>15.58</v>
      </c>
      <c r="Q698" s="404"/>
      <c r="R698" s="301"/>
      <c r="S698" s="301"/>
      <c r="T698" s="301"/>
      <c r="U698" s="301"/>
      <c r="V698" s="301"/>
    </row>
    <row r="699" spans="1:22" ht="14.4" thickTop="1" thickBot="1" x14ac:dyDescent="0.3">
      <c r="A699" s="292"/>
      <c r="B699" s="293"/>
      <c r="C699" s="294"/>
      <c r="D699" s="294"/>
      <c r="E699" s="294">
        <v>17</v>
      </c>
      <c r="F699" s="310">
        <f>(0.7+0.7+0.3+0.3+0.15)/2</f>
        <v>1.075</v>
      </c>
      <c r="G699" s="310">
        <v>0.61199999999999999</v>
      </c>
      <c r="H699" s="310"/>
      <c r="I699" s="295">
        <f t="shared" si="60"/>
        <v>11.184299999999999</v>
      </c>
      <c r="J699" s="295"/>
      <c r="K699" s="300"/>
      <c r="L699" s="300"/>
      <c r="M699" s="285"/>
      <c r="N699" s="1076"/>
      <c r="O699" s="294"/>
      <c r="P699" s="404">
        <f>2.659/0.2</f>
        <v>13.294999999999998</v>
      </c>
      <c r="Q699" s="404"/>
      <c r="R699" s="301"/>
      <c r="S699" s="301"/>
      <c r="T699" s="301"/>
      <c r="U699" s="301"/>
      <c r="V699" s="301"/>
    </row>
    <row r="700" spans="1:22" ht="14.4" thickTop="1" thickBot="1" x14ac:dyDescent="0.3">
      <c r="A700" s="292"/>
      <c r="B700" s="293"/>
      <c r="C700" s="294"/>
      <c r="D700" s="294"/>
      <c r="E700" s="294">
        <v>15</v>
      </c>
      <c r="F700" s="310">
        <f>(0.7+0.7+0.3+0.3+0.15)</f>
        <v>2.15</v>
      </c>
      <c r="G700" s="310">
        <v>0.61199999999999999</v>
      </c>
      <c r="H700" s="310"/>
      <c r="I700" s="295">
        <f t="shared" si="60"/>
        <v>19.736999999999998</v>
      </c>
      <c r="J700" s="295"/>
      <c r="K700" s="300"/>
      <c r="L700" s="300"/>
      <c r="M700" s="285"/>
      <c r="N700" s="1076"/>
      <c r="O700" s="294"/>
      <c r="P700" s="404"/>
      <c r="Q700" s="404"/>
      <c r="R700" s="301"/>
      <c r="S700" s="301"/>
      <c r="T700" s="301"/>
      <c r="U700" s="301"/>
      <c r="V700" s="301"/>
    </row>
    <row r="701" spans="1:22" ht="14.4" thickTop="1" thickBot="1" x14ac:dyDescent="0.3">
      <c r="A701" s="292"/>
      <c r="B701" s="293"/>
      <c r="C701" s="294"/>
      <c r="D701" s="294"/>
      <c r="E701" s="294">
        <v>15</v>
      </c>
      <c r="F701" s="310">
        <f>(0.7+0.7+0.3+0.3+0.15)/2</f>
        <v>1.075</v>
      </c>
      <c r="G701" s="310">
        <v>0.61199999999999999</v>
      </c>
      <c r="H701" s="310"/>
      <c r="I701" s="295">
        <f t="shared" si="60"/>
        <v>9.8684999999999992</v>
      </c>
      <c r="J701" s="295"/>
      <c r="K701" s="300"/>
      <c r="L701" s="300"/>
      <c r="M701" s="285"/>
      <c r="N701" s="1076"/>
      <c r="O701" s="294"/>
      <c r="P701" s="404"/>
      <c r="Q701" s="404"/>
      <c r="R701" s="301"/>
      <c r="S701" s="301"/>
      <c r="T701" s="301"/>
      <c r="U701" s="301"/>
      <c r="V701" s="301"/>
    </row>
    <row r="702" spans="1:22" ht="14.4" thickTop="1" thickBot="1" x14ac:dyDescent="0.3">
      <c r="A702" s="292"/>
      <c r="B702" s="293"/>
      <c r="C702" s="294"/>
      <c r="D702" s="294"/>
      <c r="E702" s="294">
        <v>11</v>
      </c>
      <c r="F702" s="310">
        <f>(0.7+0.7+0.3+0.3+0.15)</f>
        <v>2.15</v>
      </c>
      <c r="G702" s="310">
        <v>0.39500000000000002</v>
      </c>
      <c r="H702" s="310"/>
      <c r="I702" s="295">
        <f t="shared" si="60"/>
        <v>9.3417499999999993</v>
      </c>
      <c r="J702" s="295"/>
      <c r="K702" s="300"/>
      <c r="L702" s="300"/>
      <c r="M702" s="285"/>
      <c r="N702" s="1076"/>
      <c r="O702" s="294"/>
      <c r="P702" s="404">
        <f>2.75/0.25</f>
        <v>11</v>
      </c>
      <c r="Q702" s="404"/>
      <c r="R702" s="301"/>
      <c r="S702" s="301"/>
      <c r="T702" s="301"/>
      <c r="U702" s="301"/>
      <c r="V702" s="301"/>
    </row>
    <row r="703" spans="1:22" ht="14.4" thickTop="1" thickBot="1" x14ac:dyDescent="0.3">
      <c r="A703" s="292"/>
      <c r="B703" s="293"/>
      <c r="C703" s="294"/>
      <c r="D703" s="294"/>
      <c r="E703" s="294">
        <v>11</v>
      </c>
      <c r="F703" s="310">
        <f>(0.7+0.7+0.3+0.3+0.15)/2</f>
        <v>1.075</v>
      </c>
      <c r="G703" s="310">
        <v>0.39500000000000002</v>
      </c>
      <c r="H703" s="310"/>
      <c r="I703" s="295">
        <f t="shared" si="60"/>
        <v>4.6708749999999997</v>
      </c>
      <c r="J703" s="295"/>
      <c r="K703" s="300"/>
      <c r="L703" s="300"/>
      <c r="M703" s="285"/>
      <c r="N703" s="1076"/>
      <c r="O703" s="294"/>
      <c r="P703" s="404"/>
      <c r="Q703" s="404"/>
      <c r="R703" s="301"/>
      <c r="S703" s="301"/>
      <c r="T703" s="301"/>
      <c r="U703" s="301"/>
      <c r="V703" s="301"/>
    </row>
    <row r="704" spans="1:22" ht="14.4" thickTop="1" thickBot="1" x14ac:dyDescent="0.3">
      <c r="A704" s="292"/>
      <c r="B704" s="293"/>
      <c r="C704" s="294"/>
      <c r="D704" s="294"/>
      <c r="E704" s="294">
        <v>25</v>
      </c>
      <c r="F704" s="310">
        <f>(0.7+0.7+0.3+0.3+0.15)</f>
        <v>2.15</v>
      </c>
      <c r="G704" s="310">
        <v>0.61199999999999999</v>
      </c>
      <c r="H704" s="310"/>
      <c r="I704" s="295">
        <f t="shared" si="60"/>
        <v>32.894999999999996</v>
      </c>
      <c r="J704" s="295"/>
      <c r="K704" s="300"/>
      <c r="L704" s="300"/>
      <c r="M704" s="285"/>
      <c r="N704" s="1076"/>
      <c r="O704" s="294"/>
      <c r="P704" s="404">
        <f>4.704/0.2</f>
        <v>23.519999999999996</v>
      </c>
      <c r="Q704" s="404"/>
      <c r="R704" s="301"/>
      <c r="S704" s="301"/>
      <c r="T704" s="301"/>
      <c r="U704" s="301"/>
      <c r="V704" s="301"/>
    </row>
    <row r="705" spans="1:22" ht="14.4" thickTop="1" thickBot="1" x14ac:dyDescent="0.3">
      <c r="A705" s="292"/>
      <c r="B705" s="293"/>
      <c r="C705" s="294"/>
      <c r="D705" s="294"/>
      <c r="E705" s="294">
        <v>25</v>
      </c>
      <c r="F705" s="310">
        <f>(0.7+0.7+0.3+0.3+0.15)/2</f>
        <v>1.075</v>
      </c>
      <c r="G705" s="310">
        <v>0.61199999999999999</v>
      </c>
      <c r="H705" s="310"/>
      <c r="I705" s="295">
        <f t="shared" si="60"/>
        <v>16.447499999999998</v>
      </c>
      <c r="J705" s="295"/>
      <c r="K705" s="300"/>
      <c r="L705" s="300"/>
      <c r="M705" s="285"/>
      <c r="N705" s="1076"/>
      <c r="O705" s="294"/>
      <c r="P705" s="404">
        <f>9.701/0.25</f>
        <v>38.804000000000002</v>
      </c>
      <c r="Q705" s="404"/>
      <c r="R705" s="301"/>
      <c r="S705" s="301"/>
      <c r="T705" s="301"/>
      <c r="U705" s="301"/>
      <c r="V705" s="301"/>
    </row>
    <row r="706" spans="1:22" ht="14.4" thickTop="1" thickBot="1" x14ac:dyDescent="0.3">
      <c r="A706" s="292"/>
      <c r="B706" s="293"/>
      <c r="C706" s="294"/>
      <c r="D706" s="294"/>
      <c r="E706" s="294">
        <v>40</v>
      </c>
      <c r="F706" s="310">
        <f>(0.7+0.7+0.3+0.3+0.15)</f>
        <v>2.15</v>
      </c>
      <c r="G706" s="310">
        <v>0.39500000000000002</v>
      </c>
      <c r="H706" s="310"/>
      <c r="I706" s="295">
        <f t="shared" si="60"/>
        <v>33.97</v>
      </c>
      <c r="J706" s="295"/>
      <c r="K706" s="300"/>
      <c r="L706" s="300"/>
      <c r="M706" s="285"/>
      <c r="N706" s="1076"/>
      <c r="O706" s="294"/>
      <c r="P706" s="404"/>
      <c r="Q706" s="404"/>
      <c r="R706" s="301"/>
      <c r="S706" s="301"/>
      <c r="T706" s="301"/>
      <c r="U706" s="301"/>
      <c r="V706" s="301"/>
    </row>
    <row r="707" spans="1:22" ht="14.4" thickTop="1" thickBot="1" x14ac:dyDescent="0.3">
      <c r="A707" s="292"/>
      <c r="B707" s="293"/>
      <c r="C707" s="294"/>
      <c r="D707" s="294"/>
      <c r="E707" s="294">
        <v>40</v>
      </c>
      <c r="F707" s="310">
        <f>(0.7+0.7+0.3+0.3+0.15)/2</f>
        <v>1.075</v>
      </c>
      <c r="G707" s="310">
        <v>0.39500000000000002</v>
      </c>
      <c r="H707" s="310"/>
      <c r="I707" s="295">
        <f t="shared" si="60"/>
        <v>16.984999999999999</v>
      </c>
      <c r="J707" s="295">
        <f>SUM(I684:I707)</f>
        <v>1145.628115</v>
      </c>
      <c r="K707" s="300"/>
      <c r="L707" s="300"/>
      <c r="M707" s="285"/>
      <c r="N707" s="1076"/>
      <c r="O707" s="294"/>
      <c r="P707" s="404"/>
      <c r="Q707" s="404"/>
      <c r="R707" s="301"/>
      <c r="S707" s="301"/>
      <c r="T707" s="301"/>
      <c r="U707" s="301"/>
      <c r="V707" s="301"/>
    </row>
    <row r="708" spans="1:22" ht="14.4" thickTop="1" thickBot="1" x14ac:dyDescent="0.3">
      <c r="A708" s="292"/>
      <c r="B708" s="293"/>
      <c r="C708" s="294"/>
      <c r="D708" s="294"/>
      <c r="E708" s="294"/>
      <c r="F708" s="310"/>
      <c r="G708" s="310"/>
      <c r="H708" s="310"/>
      <c r="I708" s="295"/>
      <c r="J708" s="295">
        <f>I621</f>
        <v>7.3179749999999988</v>
      </c>
      <c r="K708" s="300"/>
      <c r="L708" s="300"/>
      <c r="M708" s="285"/>
      <c r="N708" s="1076"/>
      <c r="O708" s="294"/>
      <c r="P708" s="404"/>
      <c r="Q708" s="404"/>
      <c r="R708" s="301"/>
      <c r="S708" s="301"/>
      <c r="T708" s="301"/>
      <c r="U708" s="301"/>
      <c r="V708" s="301"/>
    </row>
    <row r="709" spans="1:22" ht="14.4" thickTop="1" thickBot="1" x14ac:dyDescent="0.3">
      <c r="A709" s="292"/>
      <c r="B709" s="293"/>
      <c r="C709" s="294"/>
      <c r="D709" s="294"/>
      <c r="E709" s="294"/>
      <c r="F709" s="310"/>
      <c r="G709" s="310"/>
      <c r="H709" s="310"/>
      <c r="I709" s="295"/>
      <c r="J709" s="295">
        <f>J707/J708</f>
        <v>156.54988094384035</v>
      </c>
      <c r="K709" s="300"/>
      <c r="L709" s="300"/>
      <c r="M709" s="285"/>
      <c r="N709" s="1076"/>
      <c r="O709" s="294"/>
      <c r="P709" s="404"/>
      <c r="Q709" s="404"/>
      <c r="R709" s="301"/>
      <c r="S709" s="301"/>
      <c r="T709" s="301"/>
      <c r="U709" s="301"/>
      <c r="V709" s="301"/>
    </row>
    <row r="710" spans="1:22" ht="14.4" thickTop="1" thickBot="1" x14ac:dyDescent="0.3">
      <c r="A710" s="292"/>
      <c r="B710" s="293"/>
      <c r="C710" s="294"/>
      <c r="D710" s="294"/>
      <c r="E710" s="294"/>
      <c r="F710" s="310"/>
      <c r="G710" s="310"/>
      <c r="H710" s="310"/>
      <c r="I710" s="295"/>
      <c r="J710" s="295"/>
      <c r="K710" s="300"/>
      <c r="L710" s="300"/>
      <c r="M710" s="285"/>
      <c r="N710" s="1076"/>
      <c r="O710" s="294"/>
      <c r="P710" s="404"/>
      <c r="Q710" s="404"/>
      <c r="R710" s="301"/>
      <c r="S710" s="301"/>
      <c r="T710" s="301"/>
      <c r="U710" s="301"/>
      <c r="V710" s="301"/>
    </row>
    <row r="711" spans="1:22" ht="14.4" thickTop="1" thickBot="1" x14ac:dyDescent="0.3">
      <c r="A711" s="292"/>
      <c r="B711" s="293" t="s">
        <v>2036</v>
      </c>
      <c r="C711" s="294"/>
      <c r="D711" s="294"/>
      <c r="E711" s="294"/>
      <c r="F711" s="310">
        <v>49</v>
      </c>
      <c r="G711" s="310"/>
      <c r="H711" s="310"/>
      <c r="I711" s="295"/>
      <c r="J711" s="295"/>
      <c r="K711" s="300"/>
      <c r="L711" s="300"/>
      <c r="M711" s="285"/>
      <c r="N711" s="1076"/>
      <c r="O711" s="294"/>
      <c r="P711" s="404"/>
      <c r="Q711" s="404"/>
      <c r="R711" s="301"/>
      <c r="S711" s="301"/>
      <c r="T711" s="301"/>
      <c r="U711" s="301"/>
      <c r="V711" s="301"/>
    </row>
    <row r="712" spans="1:22" ht="14.4" thickTop="1" thickBot="1" x14ac:dyDescent="0.3">
      <c r="A712" s="292"/>
      <c r="B712" s="293" t="s">
        <v>2110</v>
      </c>
      <c r="C712" s="294"/>
      <c r="D712" s="294"/>
      <c r="E712" s="294">
        <v>4</v>
      </c>
      <c r="F712" s="310">
        <f>50.571+(0.8*9)</f>
        <v>57.771000000000001</v>
      </c>
      <c r="G712" s="310">
        <v>1.58</v>
      </c>
      <c r="H712" s="310"/>
      <c r="I712" s="295">
        <f t="shared" ref="I712:I720" si="61">G712*F712*E712</f>
        <v>365.11272000000002</v>
      </c>
      <c r="J712" s="295"/>
      <c r="K712" s="300"/>
      <c r="L712" s="300"/>
      <c r="M712" s="285"/>
      <c r="N712" s="1076"/>
      <c r="O712" s="294"/>
      <c r="P712" s="404">
        <f t="shared" ref="P712:P720" si="62">50/6</f>
        <v>8.3333333333333339</v>
      </c>
      <c r="Q712" s="404">
        <f t="shared" ref="Q712:Q720" si="63">16*50</f>
        <v>800</v>
      </c>
      <c r="R712" s="301"/>
      <c r="S712" s="301"/>
      <c r="T712" s="301"/>
      <c r="U712" s="301"/>
      <c r="V712" s="301"/>
    </row>
    <row r="713" spans="1:22" ht="14.4" thickTop="1" thickBot="1" x14ac:dyDescent="0.3">
      <c r="A713" s="292"/>
      <c r="B713" s="293" t="s">
        <v>2111</v>
      </c>
      <c r="C713" s="294"/>
      <c r="D713" s="294"/>
      <c r="E713" s="294">
        <v>2</v>
      </c>
      <c r="F713" s="310">
        <v>2.4489999999999998</v>
      </c>
      <c r="G713" s="310">
        <v>1.58</v>
      </c>
      <c r="H713" s="310"/>
      <c r="I713" s="295">
        <f t="shared" si="61"/>
        <v>7.7388399999999997</v>
      </c>
      <c r="J713" s="295"/>
      <c r="K713" s="300"/>
      <c r="L713" s="300"/>
      <c r="M713" s="285"/>
      <c r="N713" s="1076"/>
      <c r="O713" s="294"/>
      <c r="P713" s="404">
        <f t="shared" si="62"/>
        <v>8.3333333333333339</v>
      </c>
      <c r="Q713" s="404">
        <f t="shared" si="63"/>
        <v>800</v>
      </c>
      <c r="R713" s="301"/>
      <c r="S713" s="301"/>
      <c r="T713" s="301"/>
      <c r="U713" s="301"/>
      <c r="V713" s="301"/>
    </row>
    <row r="714" spans="1:22" ht="14.4" thickTop="1" thickBot="1" x14ac:dyDescent="0.3">
      <c r="A714" s="292"/>
      <c r="B714" s="293" t="s">
        <v>2112</v>
      </c>
      <c r="C714" s="294"/>
      <c r="D714" s="294"/>
      <c r="E714" s="294">
        <v>4</v>
      </c>
      <c r="F714" s="310">
        <v>4.3239999999999998</v>
      </c>
      <c r="G714" s="310">
        <v>1.58</v>
      </c>
      <c r="H714" s="310"/>
      <c r="I714" s="295">
        <f t="shared" si="61"/>
        <v>27.327680000000001</v>
      </c>
      <c r="J714" s="295"/>
      <c r="K714" s="300"/>
      <c r="L714" s="300"/>
      <c r="M714" s="285"/>
      <c r="N714" s="1076"/>
      <c r="O714" s="294"/>
      <c r="P714" s="404">
        <f t="shared" si="62"/>
        <v>8.3333333333333339</v>
      </c>
      <c r="Q714" s="404">
        <f t="shared" si="63"/>
        <v>800</v>
      </c>
      <c r="R714" s="301"/>
      <c r="S714" s="301"/>
      <c r="T714" s="301"/>
      <c r="U714" s="301"/>
      <c r="V714" s="301"/>
    </row>
    <row r="715" spans="1:22" ht="14.4" thickTop="1" thickBot="1" x14ac:dyDescent="0.3">
      <c r="A715" s="292"/>
      <c r="B715" s="293" t="s">
        <v>2113</v>
      </c>
      <c r="C715" s="294"/>
      <c r="D715" s="294"/>
      <c r="E715" s="294">
        <v>2</v>
      </c>
      <c r="F715" s="310">
        <v>3.9750000000000001</v>
      </c>
      <c r="G715" s="310">
        <v>1.58</v>
      </c>
      <c r="H715" s="310"/>
      <c r="I715" s="295">
        <f t="shared" si="61"/>
        <v>12.561000000000002</v>
      </c>
      <c r="J715" s="295"/>
      <c r="K715" s="300"/>
      <c r="L715" s="300"/>
      <c r="M715" s="285"/>
      <c r="N715" s="1076"/>
      <c r="O715" s="294"/>
      <c r="P715" s="404">
        <f t="shared" si="62"/>
        <v>8.3333333333333339</v>
      </c>
      <c r="Q715" s="404">
        <f t="shared" si="63"/>
        <v>800</v>
      </c>
      <c r="R715" s="301"/>
      <c r="S715" s="301"/>
      <c r="T715" s="301"/>
      <c r="U715" s="301"/>
      <c r="V715" s="301"/>
    </row>
    <row r="716" spans="1:22" ht="14.4" thickTop="1" thickBot="1" x14ac:dyDescent="0.3">
      <c r="A716" s="292"/>
      <c r="B716" s="293" t="s">
        <v>2114</v>
      </c>
      <c r="C716" s="294"/>
      <c r="D716" s="294"/>
      <c r="E716" s="294">
        <v>2</v>
      </c>
      <c r="F716" s="310">
        <v>3.1240000000000001</v>
      </c>
      <c r="G716" s="310">
        <v>1.58</v>
      </c>
      <c r="H716" s="310"/>
      <c r="I716" s="295">
        <f t="shared" si="61"/>
        <v>9.8718400000000006</v>
      </c>
      <c r="J716" s="295"/>
      <c r="K716" s="300"/>
      <c r="L716" s="300"/>
      <c r="M716" s="285"/>
      <c r="N716" s="1076"/>
      <c r="O716" s="294"/>
      <c r="P716" s="404">
        <f t="shared" si="62"/>
        <v>8.3333333333333339</v>
      </c>
      <c r="Q716" s="404">
        <f t="shared" si="63"/>
        <v>800</v>
      </c>
      <c r="R716" s="301"/>
      <c r="S716" s="301"/>
      <c r="T716" s="301"/>
      <c r="U716" s="301"/>
      <c r="V716" s="301"/>
    </row>
    <row r="717" spans="1:22" ht="14.4" thickTop="1" thickBot="1" x14ac:dyDescent="0.3">
      <c r="A717" s="292"/>
      <c r="B717" s="293" t="s">
        <v>2115</v>
      </c>
      <c r="C717" s="294"/>
      <c r="D717" s="294"/>
      <c r="E717" s="294">
        <v>2</v>
      </c>
      <c r="F717" s="310">
        <v>4.1130000000000004</v>
      </c>
      <c r="G717" s="310">
        <v>1.58</v>
      </c>
      <c r="H717" s="310"/>
      <c r="I717" s="295">
        <f t="shared" si="61"/>
        <v>12.997080000000002</v>
      </c>
      <c r="J717" s="295"/>
      <c r="K717" s="300"/>
      <c r="L717" s="300"/>
      <c r="M717" s="285"/>
      <c r="N717" s="1076"/>
      <c r="O717" s="294"/>
      <c r="P717" s="404">
        <f t="shared" si="62"/>
        <v>8.3333333333333339</v>
      </c>
      <c r="Q717" s="404">
        <f t="shared" si="63"/>
        <v>800</v>
      </c>
      <c r="R717" s="301"/>
      <c r="S717" s="301"/>
      <c r="T717" s="301"/>
      <c r="U717" s="301"/>
      <c r="V717" s="301"/>
    </row>
    <row r="718" spans="1:22" ht="14.4" thickTop="1" thickBot="1" x14ac:dyDescent="0.3">
      <c r="A718" s="292"/>
      <c r="B718" s="293" t="s">
        <v>2116</v>
      </c>
      <c r="C718" s="294"/>
      <c r="D718" s="294"/>
      <c r="E718" s="294">
        <v>4</v>
      </c>
      <c r="F718" s="310">
        <f>6.945+0.8</f>
        <v>7.7450000000000001</v>
      </c>
      <c r="G718" s="310">
        <v>1.58</v>
      </c>
      <c r="H718" s="310"/>
      <c r="I718" s="295">
        <f t="shared" si="61"/>
        <v>48.948399999999999</v>
      </c>
      <c r="J718" s="295"/>
      <c r="K718" s="300"/>
      <c r="L718" s="300"/>
      <c r="M718" s="285"/>
      <c r="N718" s="1076"/>
      <c r="O718" s="294"/>
      <c r="P718" s="404">
        <f t="shared" si="62"/>
        <v>8.3333333333333339</v>
      </c>
      <c r="Q718" s="404">
        <f t="shared" si="63"/>
        <v>800</v>
      </c>
      <c r="R718" s="301"/>
      <c r="S718" s="301"/>
      <c r="T718" s="301"/>
      <c r="U718" s="301"/>
      <c r="V718" s="301"/>
    </row>
    <row r="719" spans="1:22" ht="14.4" thickTop="1" thickBot="1" x14ac:dyDescent="0.3">
      <c r="A719" s="292"/>
      <c r="B719" s="293" t="s">
        <v>2117</v>
      </c>
      <c r="C719" s="294"/>
      <c r="D719" s="294"/>
      <c r="E719" s="294">
        <v>2</v>
      </c>
      <c r="F719" s="310">
        <v>3.2519999999999998</v>
      </c>
      <c r="G719" s="310">
        <v>1.58</v>
      </c>
      <c r="H719" s="310"/>
      <c r="I719" s="295">
        <f t="shared" si="61"/>
        <v>10.27632</v>
      </c>
      <c r="J719" s="295"/>
      <c r="K719" s="300"/>
      <c r="L719" s="300"/>
      <c r="M719" s="285"/>
      <c r="N719" s="1076"/>
      <c r="O719" s="294"/>
      <c r="P719" s="404">
        <f t="shared" si="62"/>
        <v>8.3333333333333339</v>
      </c>
      <c r="Q719" s="404">
        <f t="shared" si="63"/>
        <v>800</v>
      </c>
      <c r="R719" s="301"/>
      <c r="S719" s="301"/>
      <c r="T719" s="301"/>
      <c r="U719" s="301"/>
      <c r="V719" s="301"/>
    </row>
    <row r="720" spans="1:22" ht="14.4" thickTop="1" thickBot="1" x14ac:dyDescent="0.3">
      <c r="A720" s="292"/>
      <c r="B720" s="293" t="s">
        <v>2118</v>
      </c>
      <c r="C720" s="294"/>
      <c r="D720" s="294"/>
      <c r="E720" s="294">
        <v>4</v>
      </c>
      <c r="F720" s="310">
        <f>50.526+(0.8*9)</f>
        <v>57.726000000000006</v>
      </c>
      <c r="G720" s="310">
        <v>1.58</v>
      </c>
      <c r="H720" s="310"/>
      <c r="I720" s="295">
        <f t="shared" si="61"/>
        <v>364.82832000000008</v>
      </c>
      <c r="J720" s="295"/>
      <c r="K720" s="300"/>
      <c r="L720" s="300"/>
      <c r="M720" s="285"/>
      <c r="N720" s="1076"/>
      <c r="O720" s="294"/>
      <c r="P720" s="404">
        <f t="shared" si="62"/>
        <v>8.3333333333333339</v>
      </c>
      <c r="Q720" s="404">
        <f t="shared" si="63"/>
        <v>800</v>
      </c>
      <c r="R720" s="301"/>
      <c r="S720" s="301"/>
      <c r="T720" s="301"/>
      <c r="U720" s="301"/>
      <c r="V720" s="301"/>
    </row>
    <row r="721" spans="1:22" ht="14.4" thickTop="1" thickBot="1" x14ac:dyDescent="0.3">
      <c r="A721" s="292"/>
      <c r="B721" s="293" t="s">
        <v>2107</v>
      </c>
      <c r="C721" s="294"/>
      <c r="D721" s="294"/>
      <c r="E721" s="294"/>
      <c r="F721" s="310"/>
      <c r="G721" s="310"/>
      <c r="H721" s="310"/>
      <c r="I721" s="295"/>
      <c r="J721" s="295"/>
      <c r="K721" s="300"/>
      <c r="L721" s="300"/>
      <c r="M721" s="285"/>
      <c r="N721" s="1076"/>
      <c r="O721" s="294"/>
      <c r="P721" s="404"/>
      <c r="Q721" s="404"/>
      <c r="R721" s="301"/>
      <c r="S721" s="301"/>
      <c r="T721" s="301"/>
      <c r="U721" s="301"/>
      <c r="V721" s="301"/>
    </row>
    <row r="722" spans="1:22" ht="14.4" thickTop="1" thickBot="1" x14ac:dyDescent="0.3">
      <c r="A722" s="292"/>
      <c r="B722" s="293" t="s">
        <v>2119</v>
      </c>
      <c r="C722" s="294"/>
      <c r="D722" s="294"/>
      <c r="E722" s="294">
        <v>196</v>
      </c>
      <c r="F722" s="310">
        <f>0.3+0.3+0.5+0.5+0.2</f>
        <v>1.8</v>
      </c>
      <c r="G722" s="310">
        <v>0.39500000000000002</v>
      </c>
      <c r="H722" s="310"/>
      <c r="I722" s="295">
        <f>G722*F722*E722</f>
        <v>139.35600000000002</v>
      </c>
      <c r="J722" s="295"/>
      <c r="K722" s="300"/>
      <c r="L722" s="300"/>
      <c r="M722" s="285"/>
      <c r="N722" s="1076"/>
      <c r="O722" s="294"/>
      <c r="P722" s="404"/>
      <c r="Q722" s="404"/>
      <c r="R722" s="301"/>
      <c r="S722" s="301"/>
      <c r="T722" s="301"/>
      <c r="U722" s="301"/>
      <c r="V722" s="301"/>
    </row>
    <row r="723" spans="1:22" ht="14.4" thickTop="1" thickBot="1" x14ac:dyDescent="0.3">
      <c r="A723" s="292"/>
      <c r="B723" s="293"/>
      <c r="C723" s="294"/>
      <c r="D723" s="294"/>
      <c r="E723" s="294">
        <v>196</v>
      </c>
      <c r="F723" s="310">
        <f>(0.3+0.3+0.5+0.5+0.2)/2</f>
        <v>0.9</v>
      </c>
      <c r="G723" s="310">
        <v>0.39500000000000002</v>
      </c>
      <c r="H723" s="310"/>
      <c r="I723" s="295">
        <f>G723*F723*E723</f>
        <v>69.678000000000011</v>
      </c>
      <c r="J723" s="295"/>
      <c r="K723" s="300"/>
      <c r="L723" s="300"/>
      <c r="M723" s="285"/>
      <c r="N723" s="1076"/>
      <c r="O723" s="294"/>
      <c r="P723" s="404">
        <f>49/0.25</f>
        <v>196</v>
      </c>
      <c r="Q723" s="404">
        <f>8*8/162</f>
        <v>0.39506172839506171</v>
      </c>
      <c r="R723" s="301"/>
      <c r="S723" s="301"/>
      <c r="T723" s="301"/>
      <c r="U723" s="301"/>
      <c r="V723" s="301"/>
    </row>
    <row r="724" spans="1:22" ht="14.4" thickTop="1" thickBot="1" x14ac:dyDescent="0.3">
      <c r="A724" s="292"/>
      <c r="B724" s="293"/>
      <c r="C724" s="294"/>
      <c r="D724" s="294"/>
      <c r="E724" s="294"/>
      <c r="F724" s="310"/>
      <c r="G724" s="310"/>
      <c r="H724" s="310"/>
      <c r="I724" s="295"/>
      <c r="J724" s="295">
        <f>SUM(I712:I723)</f>
        <v>1068.6962000000001</v>
      </c>
      <c r="K724" s="300"/>
      <c r="L724" s="300"/>
      <c r="M724" s="285"/>
      <c r="N724" s="1076"/>
      <c r="O724" s="294"/>
      <c r="P724" s="404"/>
      <c r="Q724" s="404"/>
      <c r="R724" s="301"/>
      <c r="S724" s="301"/>
      <c r="T724" s="301"/>
      <c r="U724" s="301"/>
      <c r="V724" s="301"/>
    </row>
    <row r="725" spans="1:22" ht="14.4" thickTop="1" thickBot="1" x14ac:dyDescent="0.3">
      <c r="A725" s="292"/>
      <c r="B725" s="293"/>
      <c r="C725" s="294"/>
      <c r="D725" s="294"/>
      <c r="E725" s="294"/>
      <c r="F725" s="310"/>
      <c r="G725" s="310"/>
      <c r="H725" s="310"/>
      <c r="I725" s="295"/>
      <c r="J725" s="295">
        <f>I624</f>
        <v>8.5749999999999993</v>
      </c>
      <c r="K725" s="300"/>
      <c r="L725" s="300"/>
      <c r="M725" s="285"/>
      <c r="N725" s="1076"/>
      <c r="O725" s="294"/>
      <c r="P725" s="404"/>
      <c r="Q725" s="404"/>
      <c r="R725" s="301"/>
      <c r="S725" s="301"/>
      <c r="T725" s="301"/>
      <c r="U725" s="301"/>
      <c r="V725" s="301"/>
    </row>
    <row r="726" spans="1:22" ht="14.4" thickTop="1" thickBot="1" x14ac:dyDescent="0.3">
      <c r="A726" s="292"/>
      <c r="B726" s="293"/>
      <c r="C726" s="294"/>
      <c r="D726" s="294"/>
      <c r="E726" s="294"/>
      <c r="F726" s="310"/>
      <c r="G726" s="310"/>
      <c r="H726" s="310"/>
      <c r="I726" s="295"/>
      <c r="J726" s="295">
        <f>J724/J725</f>
        <v>124.62929446064142</v>
      </c>
      <c r="K726" s="300"/>
      <c r="L726" s="300"/>
      <c r="M726" s="285"/>
      <c r="N726" s="1076"/>
      <c r="O726" s="294"/>
      <c r="P726" s="404"/>
      <c r="Q726" s="404"/>
      <c r="R726" s="301"/>
      <c r="S726" s="301"/>
      <c r="T726" s="301"/>
      <c r="U726" s="301"/>
      <c r="V726" s="301"/>
    </row>
    <row r="727" spans="1:22" ht="14.4" thickTop="1" thickBot="1" x14ac:dyDescent="0.3">
      <c r="A727" s="292"/>
      <c r="B727" s="293"/>
      <c r="C727" s="294"/>
      <c r="D727" s="294"/>
      <c r="E727" s="294"/>
      <c r="F727" s="310"/>
      <c r="G727" s="310"/>
      <c r="H727" s="310"/>
      <c r="I727" s="295"/>
      <c r="J727" s="295"/>
      <c r="K727" s="300"/>
      <c r="L727" s="300"/>
      <c r="M727" s="285"/>
      <c r="N727" s="1076"/>
      <c r="O727" s="294"/>
      <c r="P727" s="404"/>
      <c r="Q727" s="404"/>
      <c r="R727" s="301"/>
      <c r="S727" s="301"/>
      <c r="T727" s="301"/>
      <c r="U727" s="301"/>
      <c r="V727" s="301"/>
    </row>
    <row r="728" spans="1:22" ht="14.4" thickTop="1" thickBot="1" x14ac:dyDescent="0.3">
      <c r="A728" s="292"/>
      <c r="B728" s="293" t="s">
        <v>2065</v>
      </c>
      <c r="C728" s="294"/>
      <c r="D728" s="294"/>
      <c r="E728" s="294"/>
      <c r="F728" s="310">
        <v>16.042000000000002</v>
      </c>
      <c r="G728" s="310"/>
      <c r="H728" s="310"/>
      <c r="I728" s="295"/>
      <c r="J728" s="295"/>
      <c r="K728" s="300"/>
      <c r="L728" s="300"/>
      <c r="M728" s="285"/>
      <c r="N728" s="1076"/>
      <c r="O728" s="294"/>
      <c r="P728" s="404"/>
      <c r="Q728" s="404"/>
      <c r="R728" s="301"/>
      <c r="S728" s="301"/>
      <c r="T728" s="301"/>
      <c r="U728" s="301"/>
      <c r="V728" s="301"/>
    </row>
    <row r="729" spans="1:22" ht="14.4" thickTop="1" thickBot="1" x14ac:dyDescent="0.3">
      <c r="A729" s="292"/>
      <c r="B729" s="293" t="s">
        <v>2124</v>
      </c>
      <c r="C729" s="294"/>
      <c r="D729" s="294"/>
      <c r="E729" s="294">
        <v>4</v>
      </c>
      <c r="F729" s="310">
        <f>16+(0.8*3)</f>
        <v>18.399999999999999</v>
      </c>
      <c r="G729" s="310">
        <v>1.58</v>
      </c>
      <c r="H729" s="310"/>
      <c r="I729" s="295">
        <f t="shared" ref="I729:I732" si="64">G729*F729*E729</f>
        <v>116.288</v>
      </c>
      <c r="J729" s="295"/>
      <c r="K729" s="300"/>
      <c r="L729" s="300"/>
      <c r="M729" s="285"/>
      <c r="N729" s="1076"/>
      <c r="O729" s="294"/>
      <c r="P729" s="404">
        <f>16/6</f>
        <v>2.6666666666666665</v>
      </c>
      <c r="Q729" s="404">
        <f>16*50</f>
        <v>800</v>
      </c>
      <c r="R729" s="301"/>
      <c r="S729" s="301"/>
      <c r="T729" s="301"/>
      <c r="U729" s="301"/>
      <c r="V729" s="301"/>
    </row>
    <row r="730" spans="1:22" ht="14.4" thickTop="1" thickBot="1" x14ac:dyDescent="0.3">
      <c r="A730" s="292"/>
      <c r="B730" s="293" t="s">
        <v>2125</v>
      </c>
      <c r="C730" s="294"/>
      <c r="D730" s="294"/>
      <c r="E730" s="294">
        <v>2</v>
      </c>
      <c r="F730" s="310">
        <v>3.05</v>
      </c>
      <c r="G730" s="310">
        <v>0.88900000000000001</v>
      </c>
      <c r="H730" s="310"/>
      <c r="I730" s="295">
        <f t="shared" si="64"/>
        <v>5.4228999999999994</v>
      </c>
      <c r="J730" s="295"/>
      <c r="K730" s="300"/>
      <c r="L730" s="300"/>
      <c r="M730" s="285"/>
      <c r="N730" s="1076"/>
      <c r="O730" s="294"/>
      <c r="P730" s="404">
        <f>12*12/162</f>
        <v>0.88888888888888884</v>
      </c>
      <c r="Q730" s="404">
        <f>16*50</f>
        <v>800</v>
      </c>
      <c r="R730" s="301"/>
      <c r="S730" s="301"/>
      <c r="T730" s="301"/>
      <c r="U730" s="301"/>
      <c r="V730" s="301"/>
    </row>
    <row r="731" spans="1:22" ht="14.4" thickTop="1" thickBot="1" x14ac:dyDescent="0.3">
      <c r="A731" s="292"/>
      <c r="B731" s="293" t="s">
        <v>2113</v>
      </c>
      <c r="C731" s="294"/>
      <c r="D731" s="294"/>
      <c r="E731" s="294">
        <v>2</v>
      </c>
      <c r="F731" s="310">
        <v>2.2000000000000002</v>
      </c>
      <c r="G731" s="310">
        <v>1.58</v>
      </c>
      <c r="H731" s="310"/>
      <c r="I731" s="295">
        <f t="shared" si="64"/>
        <v>6.9520000000000008</v>
      </c>
      <c r="J731" s="295"/>
      <c r="K731" s="300"/>
      <c r="L731" s="300"/>
      <c r="M731" s="285"/>
      <c r="N731" s="1076"/>
      <c r="O731" s="294"/>
      <c r="P731" s="404">
        <f>12*12/162</f>
        <v>0.88888888888888884</v>
      </c>
      <c r="Q731" s="404">
        <f>16*50</f>
        <v>800</v>
      </c>
      <c r="R731" s="301"/>
      <c r="S731" s="301"/>
      <c r="T731" s="301"/>
      <c r="U731" s="301"/>
      <c r="V731" s="301"/>
    </row>
    <row r="732" spans="1:22" ht="14.4" thickTop="1" thickBot="1" x14ac:dyDescent="0.3">
      <c r="A732" s="292"/>
      <c r="B732" s="293" t="s">
        <v>2126</v>
      </c>
      <c r="C732" s="294"/>
      <c r="D732" s="294"/>
      <c r="E732" s="294">
        <v>4</v>
      </c>
      <c r="F732" s="310">
        <f>16+(0.8*3)</f>
        <v>18.399999999999999</v>
      </c>
      <c r="G732" s="310">
        <v>1.58</v>
      </c>
      <c r="H732" s="310"/>
      <c r="I732" s="295">
        <f t="shared" si="64"/>
        <v>116.288</v>
      </c>
      <c r="J732" s="295"/>
      <c r="K732" s="300"/>
      <c r="L732" s="300"/>
      <c r="M732" s="285"/>
      <c r="N732" s="1076"/>
      <c r="O732" s="294"/>
      <c r="P732" s="404">
        <f>16/6</f>
        <v>2.6666666666666665</v>
      </c>
      <c r="Q732" s="404">
        <f>16*50</f>
        <v>800</v>
      </c>
      <c r="R732" s="301"/>
      <c r="S732" s="301"/>
      <c r="T732" s="301"/>
      <c r="U732" s="301"/>
      <c r="V732" s="301"/>
    </row>
    <row r="733" spans="1:22" ht="14.4" thickTop="1" thickBot="1" x14ac:dyDescent="0.3">
      <c r="A733" s="292"/>
      <c r="B733" s="293" t="s">
        <v>2107</v>
      </c>
      <c r="C733" s="294"/>
      <c r="D733" s="294"/>
      <c r="E733" s="294"/>
      <c r="F733" s="310"/>
      <c r="G733" s="310"/>
      <c r="H733" s="310"/>
      <c r="I733" s="295"/>
      <c r="J733" s="295"/>
      <c r="K733" s="300"/>
      <c r="L733" s="300"/>
      <c r="M733" s="285"/>
      <c r="N733" s="1076"/>
      <c r="O733" s="294"/>
      <c r="P733" s="404"/>
      <c r="Q733" s="404"/>
      <c r="R733" s="301"/>
      <c r="S733" s="301"/>
      <c r="T733" s="301"/>
      <c r="U733" s="301"/>
      <c r="V733" s="301"/>
    </row>
    <row r="734" spans="1:22" ht="14.4" thickTop="1" thickBot="1" x14ac:dyDescent="0.3">
      <c r="A734" s="292"/>
      <c r="B734" s="293" t="s">
        <v>2127</v>
      </c>
      <c r="C734" s="294"/>
      <c r="D734" s="294"/>
      <c r="E734" s="294">
        <v>65</v>
      </c>
      <c r="F734" s="310">
        <f>0.3+0.3+0.5+0.5+0.2</f>
        <v>1.8</v>
      </c>
      <c r="G734" s="310">
        <v>0.39500000000000002</v>
      </c>
      <c r="H734" s="310"/>
      <c r="I734" s="295">
        <f>G734*F734*E734</f>
        <v>46.215000000000003</v>
      </c>
      <c r="J734" s="295"/>
      <c r="K734" s="300"/>
      <c r="L734" s="300"/>
      <c r="M734" s="285"/>
      <c r="N734" s="1076"/>
      <c r="O734" s="294"/>
      <c r="P734" s="404">
        <f>16/0.25</f>
        <v>64</v>
      </c>
      <c r="Q734" s="404"/>
      <c r="R734" s="301"/>
      <c r="S734" s="301"/>
      <c r="T734" s="301"/>
      <c r="U734" s="301"/>
      <c r="V734" s="301"/>
    </row>
    <row r="735" spans="1:22" ht="14.4" thickTop="1" thickBot="1" x14ac:dyDescent="0.3">
      <c r="A735" s="292"/>
      <c r="B735" s="293"/>
      <c r="C735" s="294"/>
      <c r="D735" s="294"/>
      <c r="E735" s="294">
        <v>65</v>
      </c>
      <c r="F735" s="310">
        <f>(0.3+0.3+0.5+0.5+0.2)/2</f>
        <v>0.9</v>
      </c>
      <c r="G735" s="310">
        <v>0.39500000000000002</v>
      </c>
      <c r="H735" s="310"/>
      <c r="I735" s="295">
        <f>G735*F735*E735</f>
        <v>23.107500000000002</v>
      </c>
      <c r="J735" s="295"/>
      <c r="K735" s="300"/>
      <c r="L735" s="300"/>
      <c r="M735" s="285"/>
      <c r="N735" s="1076"/>
      <c r="O735" s="294"/>
      <c r="P735" s="404"/>
      <c r="Q735" s="404"/>
      <c r="R735" s="301"/>
      <c r="S735" s="301"/>
      <c r="T735" s="301"/>
      <c r="U735" s="301"/>
      <c r="V735" s="301"/>
    </row>
    <row r="736" spans="1:22" ht="14.4" thickTop="1" thickBot="1" x14ac:dyDescent="0.3">
      <c r="A736" s="292"/>
      <c r="B736" s="293"/>
      <c r="C736" s="294"/>
      <c r="D736" s="294"/>
      <c r="E736" s="294"/>
      <c r="F736" s="310"/>
      <c r="G736" s="310"/>
      <c r="H736" s="310"/>
      <c r="I736" s="295"/>
      <c r="J736" s="295">
        <f>SUM(I729:I735)</f>
        <v>314.27339999999998</v>
      </c>
      <c r="K736" s="300"/>
      <c r="L736" s="300"/>
      <c r="M736" s="285"/>
      <c r="N736" s="1076"/>
      <c r="O736" s="294"/>
      <c r="P736" s="404"/>
      <c r="Q736" s="404"/>
      <c r="R736" s="301"/>
      <c r="S736" s="301"/>
      <c r="T736" s="301"/>
      <c r="U736" s="301"/>
      <c r="V736" s="301"/>
    </row>
    <row r="737" spans="1:22" ht="14.4" thickTop="1" thickBot="1" x14ac:dyDescent="0.3">
      <c r="A737" s="292"/>
      <c r="B737" s="293"/>
      <c r="C737" s="294"/>
      <c r="D737" s="294"/>
      <c r="E737" s="294"/>
      <c r="F737" s="310"/>
      <c r="G737" s="310"/>
      <c r="H737" s="310"/>
      <c r="I737" s="295"/>
      <c r="J737" s="295">
        <f>I654</f>
        <v>2.80735</v>
      </c>
      <c r="K737" s="300"/>
      <c r="L737" s="300"/>
      <c r="M737" s="285"/>
      <c r="N737" s="1076"/>
      <c r="O737" s="294"/>
      <c r="P737" s="404"/>
      <c r="Q737" s="404"/>
      <c r="R737" s="301"/>
      <c r="S737" s="301"/>
      <c r="T737" s="301"/>
      <c r="U737" s="301"/>
      <c r="V737" s="301"/>
    </row>
    <row r="738" spans="1:22" ht="14.4" thickTop="1" thickBot="1" x14ac:dyDescent="0.3">
      <c r="A738" s="292"/>
      <c r="B738" s="293"/>
      <c r="C738" s="294"/>
      <c r="D738" s="294"/>
      <c r="E738" s="294"/>
      <c r="F738" s="310"/>
      <c r="G738" s="310"/>
      <c r="H738" s="310"/>
      <c r="I738" s="295"/>
      <c r="J738" s="295">
        <f>J736/J737</f>
        <v>111.94664006981672</v>
      </c>
      <c r="K738" s="300"/>
      <c r="L738" s="300"/>
      <c r="M738" s="285"/>
      <c r="N738" s="1076"/>
      <c r="O738" s="294"/>
      <c r="P738" s="404"/>
      <c r="Q738" s="404"/>
      <c r="R738" s="301"/>
      <c r="S738" s="301"/>
      <c r="T738" s="301"/>
      <c r="U738" s="301"/>
      <c r="V738" s="301"/>
    </row>
    <row r="739" spans="1:22" ht="14.4" thickTop="1" thickBot="1" x14ac:dyDescent="0.3">
      <c r="A739" s="292"/>
      <c r="B739" s="293"/>
      <c r="C739" s="294"/>
      <c r="D739" s="294"/>
      <c r="E739" s="294"/>
      <c r="F739" s="310"/>
      <c r="G739" s="310"/>
      <c r="H739" s="310"/>
      <c r="I739" s="295"/>
      <c r="J739" s="295"/>
      <c r="K739" s="300"/>
      <c r="L739" s="300"/>
      <c r="M739" s="285"/>
      <c r="N739" s="1076"/>
      <c r="O739" s="294"/>
      <c r="P739" s="404"/>
      <c r="Q739" s="404"/>
      <c r="R739" s="301"/>
      <c r="S739" s="301"/>
      <c r="T739" s="301"/>
      <c r="U739" s="301"/>
      <c r="V739" s="301"/>
    </row>
    <row r="740" spans="1:22" ht="14.4" thickTop="1" thickBot="1" x14ac:dyDescent="0.3">
      <c r="A740" s="292"/>
      <c r="B740" s="293" t="s">
        <v>2038</v>
      </c>
      <c r="C740" s="294"/>
      <c r="D740" s="294"/>
      <c r="E740" s="294"/>
      <c r="F740" s="310">
        <v>9.9130000000000003</v>
      </c>
      <c r="G740" s="310"/>
      <c r="H740" s="310"/>
      <c r="I740" s="295"/>
      <c r="J740" s="295"/>
      <c r="K740" s="300"/>
      <c r="L740" s="300"/>
      <c r="M740" s="285"/>
      <c r="N740" s="1076"/>
      <c r="O740" s="294"/>
      <c r="P740" s="404"/>
      <c r="Q740" s="404"/>
      <c r="R740" s="301"/>
      <c r="S740" s="301"/>
      <c r="T740" s="301"/>
      <c r="U740" s="301"/>
      <c r="V740" s="301"/>
    </row>
    <row r="741" spans="1:22" ht="14.4" thickTop="1" thickBot="1" x14ac:dyDescent="0.3">
      <c r="A741" s="292"/>
      <c r="B741" s="293" t="s">
        <v>2128</v>
      </c>
      <c r="C741" s="294"/>
      <c r="D741" s="294"/>
      <c r="E741" s="294">
        <v>3</v>
      </c>
      <c r="F741" s="310">
        <f>9.91+(0.8*2)</f>
        <v>11.51</v>
      </c>
      <c r="G741" s="310">
        <v>1.58</v>
      </c>
      <c r="H741" s="310"/>
      <c r="I741" s="295">
        <f>G741*F741*E741</f>
        <v>54.557400000000001</v>
      </c>
      <c r="J741" s="295"/>
      <c r="K741" s="300"/>
      <c r="L741" s="300"/>
      <c r="M741" s="285"/>
      <c r="N741" s="1076"/>
      <c r="O741" s="294"/>
      <c r="P741" s="404">
        <f>16/6</f>
        <v>2.6666666666666665</v>
      </c>
      <c r="Q741" s="404">
        <f t="shared" ref="Q741:Q746" si="65">16*50</f>
        <v>800</v>
      </c>
      <c r="R741" s="301"/>
      <c r="S741" s="301"/>
      <c r="T741" s="301"/>
      <c r="U741" s="301"/>
      <c r="V741" s="301"/>
    </row>
    <row r="742" spans="1:22" ht="14.4" thickTop="1" thickBot="1" x14ac:dyDescent="0.3">
      <c r="A742" s="292"/>
      <c r="B742" s="293" t="s">
        <v>2129</v>
      </c>
      <c r="C742" s="294"/>
      <c r="D742" s="294"/>
      <c r="E742" s="294">
        <v>2</v>
      </c>
      <c r="F742" s="310">
        <v>3.3</v>
      </c>
      <c r="G742" s="310">
        <v>0.88900000000000001</v>
      </c>
      <c r="H742" s="310"/>
      <c r="I742" s="295">
        <f t="shared" ref="I742" si="66">G742*F742*E742</f>
        <v>5.8673999999999999</v>
      </c>
      <c r="J742" s="295"/>
      <c r="K742" s="300"/>
      <c r="L742" s="300"/>
      <c r="M742" s="285"/>
      <c r="N742" s="1076"/>
      <c r="O742" s="294"/>
      <c r="P742" s="404">
        <f>12*12/162</f>
        <v>0.88888888888888884</v>
      </c>
      <c r="Q742" s="404">
        <f t="shared" si="65"/>
        <v>800</v>
      </c>
      <c r="R742" s="301"/>
      <c r="S742" s="301"/>
      <c r="T742" s="301"/>
      <c r="U742" s="301"/>
      <c r="V742" s="301"/>
    </row>
    <row r="743" spans="1:22" ht="14.4" thickTop="1" thickBot="1" x14ac:dyDescent="0.3">
      <c r="A743" s="292"/>
      <c r="B743" s="293" t="s">
        <v>2130</v>
      </c>
      <c r="C743" s="294"/>
      <c r="D743" s="294"/>
      <c r="E743" s="294">
        <v>3</v>
      </c>
      <c r="F743" s="310">
        <v>3.3</v>
      </c>
      <c r="G743" s="310">
        <v>1.58</v>
      </c>
      <c r="H743" s="310"/>
      <c r="I743" s="295">
        <f>G743*F743*E743</f>
        <v>15.641999999999999</v>
      </c>
      <c r="J743" s="295"/>
      <c r="K743" s="300"/>
      <c r="L743" s="300"/>
      <c r="M743" s="285"/>
      <c r="N743" s="1076"/>
      <c r="O743" s="294"/>
      <c r="P743" s="404">
        <f>16/6</f>
        <v>2.6666666666666665</v>
      </c>
      <c r="Q743" s="404">
        <f t="shared" si="65"/>
        <v>800</v>
      </c>
      <c r="R743" s="301"/>
      <c r="S743" s="301"/>
      <c r="T743" s="301"/>
      <c r="U743" s="301"/>
      <c r="V743" s="301"/>
    </row>
    <row r="744" spans="1:22" ht="14.4" thickTop="1" thickBot="1" x14ac:dyDescent="0.3">
      <c r="A744" s="292"/>
      <c r="B744" s="293" t="s">
        <v>2131</v>
      </c>
      <c r="C744" s="294"/>
      <c r="D744" s="294"/>
      <c r="E744" s="294">
        <v>2</v>
      </c>
      <c r="F744" s="310">
        <v>4.5999999999999996</v>
      </c>
      <c r="G744" s="310">
        <v>0.88900000000000001</v>
      </c>
      <c r="H744" s="310"/>
      <c r="I744" s="295">
        <f t="shared" ref="I744:I745" si="67">G744*F744*E744</f>
        <v>8.178799999999999</v>
      </c>
      <c r="J744" s="295"/>
      <c r="K744" s="300"/>
      <c r="L744" s="300"/>
      <c r="M744" s="285"/>
      <c r="N744" s="1076"/>
      <c r="O744" s="294"/>
      <c r="P744" s="404">
        <f>12*12/162</f>
        <v>0.88888888888888884</v>
      </c>
      <c r="Q744" s="404">
        <f t="shared" si="65"/>
        <v>800</v>
      </c>
      <c r="R744" s="301"/>
      <c r="S744" s="301"/>
      <c r="T744" s="301"/>
      <c r="U744" s="301"/>
      <c r="V744" s="301"/>
    </row>
    <row r="745" spans="1:22" ht="14.4" thickTop="1" thickBot="1" x14ac:dyDescent="0.3">
      <c r="A745" s="292"/>
      <c r="B745" s="293" t="s">
        <v>2132</v>
      </c>
      <c r="C745" s="294"/>
      <c r="D745" s="294"/>
      <c r="E745" s="294">
        <v>2</v>
      </c>
      <c r="F745" s="310">
        <v>4.5999999999999996</v>
      </c>
      <c r="G745" s="310">
        <v>0.88900000000000001</v>
      </c>
      <c r="H745" s="310"/>
      <c r="I745" s="295">
        <f t="shared" si="67"/>
        <v>8.178799999999999</v>
      </c>
      <c r="J745" s="295"/>
      <c r="K745" s="300"/>
      <c r="L745" s="300"/>
      <c r="M745" s="285"/>
      <c r="N745" s="1076"/>
      <c r="O745" s="294"/>
      <c r="P745" s="404">
        <f>12*12/162</f>
        <v>0.88888888888888884</v>
      </c>
      <c r="Q745" s="404">
        <f t="shared" si="65"/>
        <v>800</v>
      </c>
      <c r="R745" s="301"/>
      <c r="S745" s="301"/>
      <c r="T745" s="301"/>
      <c r="U745" s="301"/>
      <c r="V745" s="301"/>
    </row>
    <row r="746" spans="1:22" ht="14.4" thickTop="1" thickBot="1" x14ac:dyDescent="0.3">
      <c r="A746" s="292"/>
      <c r="B746" s="293" t="s">
        <v>2133</v>
      </c>
      <c r="C746" s="294"/>
      <c r="D746" s="294"/>
      <c r="E746" s="294">
        <v>3</v>
      </c>
      <c r="F746" s="310">
        <f>9.91+(0.8*2)</f>
        <v>11.51</v>
      </c>
      <c r="G746" s="310">
        <v>1.58</v>
      </c>
      <c r="H746" s="310"/>
      <c r="I746" s="295">
        <f>G746*F746*E746</f>
        <v>54.557400000000001</v>
      </c>
      <c r="J746" s="295"/>
      <c r="K746" s="300"/>
      <c r="L746" s="300"/>
      <c r="M746" s="285"/>
      <c r="N746" s="1076"/>
      <c r="O746" s="294"/>
      <c r="P746" s="404">
        <f>16/6</f>
        <v>2.6666666666666665</v>
      </c>
      <c r="Q746" s="404">
        <f t="shared" si="65"/>
        <v>800</v>
      </c>
      <c r="R746" s="301"/>
      <c r="S746" s="301"/>
      <c r="T746" s="301"/>
      <c r="U746" s="301"/>
      <c r="V746" s="301"/>
    </row>
    <row r="747" spans="1:22" ht="14.4" thickTop="1" thickBot="1" x14ac:dyDescent="0.3">
      <c r="A747" s="292"/>
      <c r="B747" s="293" t="s">
        <v>2107</v>
      </c>
      <c r="C747" s="294"/>
      <c r="D747" s="294"/>
      <c r="E747" s="294"/>
      <c r="F747" s="310"/>
      <c r="G747" s="310"/>
      <c r="H747" s="310"/>
      <c r="I747" s="295"/>
      <c r="J747" s="295"/>
      <c r="K747" s="300"/>
      <c r="L747" s="300"/>
      <c r="M747" s="285"/>
      <c r="N747" s="1076"/>
      <c r="O747" s="294"/>
      <c r="P747" s="404"/>
      <c r="Q747" s="404"/>
      <c r="R747" s="301"/>
      <c r="S747" s="301"/>
      <c r="T747" s="301"/>
      <c r="U747" s="301"/>
      <c r="V747" s="301"/>
    </row>
    <row r="748" spans="1:22" ht="14.4" thickTop="1" thickBot="1" x14ac:dyDescent="0.3">
      <c r="A748" s="292"/>
      <c r="B748" s="293" t="s">
        <v>2134</v>
      </c>
      <c r="C748" s="294"/>
      <c r="D748" s="294"/>
      <c r="E748" s="294">
        <v>50</v>
      </c>
      <c r="F748" s="310">
        <f>0.2+0.2+0.45+0.45+0.2</f>
        <v>1.5</v>
      </c>
      <c r="G748" s="310">
        <v>0.39500000000000002</v>
      </c>
      <c r="H748" s="310"/>
      <c r="I748" s="295">
        <f>G748*F748*E748</f>
        <v>29.625</v>
      </c>
      <c r="J748" s="295">
        <f>SUM(I741:I748)</f>
        <v>176.60679999999999</v>
      </c>
      <c r="K748" s="300"/>
      <c r="L748" s="300"/>
      <c r="M748" s="285"/>
      <c r="N748" s="1076"/>
      <c r="O748" s="294"/>
      <c r="P748" s="413">
        <f>F740/0.2</f>
        <v>49.564999999999998</v>
      </c>
      <c r="Q748" s="404"/>
      <c r="R748" s="301"/>
      <c r="S748" s="301"/>
      <c r="T748" s="301"/>
      <c r="U748" s="301"/>
      <c r="V748" s="301"/>
    </row>
    <row r="749" spans="1:22" ht="14.4" thickTop="1" thickBot="1" x14ac:dyDescent="0.3">
      <c r="A749" s="292"/>
      <c r="B749" s="293"/>
      <c r="C749" s="294"/>
      <c r="D749" s="294"/>
      <c r="E749" s="294"/>
      <c r="F749" s="310"/>
      <c r="G749" s="310"/>
      <c r="H749" s="310"/>
      <c r="I749" s="295"/>
      <c r="J749" s="295">
        <f>I626</f>
        <v>1.1152125000000002</v>
      </c>
      <c r="K749" s="300"/>
      <c r="L749" s="300"/>
      <c r="M749" s="285"/>
      <c r="N749" s="1076"/>
      <c r="O749" s="294"/>
      <c r="P749" s="404"/>
      <c r="Q749" s="404"/>
      <c r="R749" s="301"/>
      <c r="S749" s="301"/>
      <c r="T749" s="301"/>
      <c r="U749" s="301"/>
      <c r="V749" s="301"/>
    </row>
    <row r="750" spans="1:22" ht="14.4" thickTop="1" thickBot="1" x14ac:dyDescent="0.3">
      <c r="A750" s="292"/>
      <c r="B750" s="293"/>
      <c r="C750" s="294"/>
      <c r="D750" s="294"/>
      <c r="E750" s="294"/>
      <c r="F750" s="310"/>
      <c r="G750" s="310"/>
      <c r="H750" s="310"/>
      <c r="I750" s="295"/>
      <c r="J750" s="295">
        <f>J748/J749</f>
        <v>158.36156786262706</v>
      </c>
      <c r="K750" s="300"/>
      <c r="L750" s="300"/>
      <c r="M750" s="285"/>
      <c r="N750" s="1076"/>
      <c r="O750" s="294"/>
      <c r="P750" s="404"/>
      <c r="Q750" s="404"/>
      <c r="R750" s="301"/>
      <c r="S750" s="301"/>
      <c r="T750" s="301"/>
      <c r="U750" s="301"/>
      <c r="V750" s="301"/>
    </row>
    <row r="751" spans="1:22" ht="14.4" thickTop="1" thickBot="1" x14ac:dyDescent="0.3">
      <c r="A751" s="292"/>
      <c r="B751" s="293"/>
      <c r="C751" s="294"/>
      <c r="D751" s="294"/>
      <c r="E751" s="294"/>
      <c r="F751" s="310"/>
      <c r="G751" s="310"/>
      <c r="H751" s="310"/>
      <c r="I751" s="295"/>
      <c r="J751" s="295"/>
      <c r="K751" s="300"/>
      <c r="L751" s="300"/>
      <c r="M751" s="285"/>
      <c r="N751" s="1076"/>
      <c r="O751" s="294"/>
      <c r="P751" s="404"/>
      <c r="Q751" s="404"/>
      <c r="R751" s="301"/>
      <c r="S751" s="301"/>
      <c r="T751" s="301"/>
      <c r="U751" s="301"/>
      <c r="V751" s="301"/>
    </row>
    <row r="752" spans="1:22" ht="14.4" thickTop="1" thickBot="1" x14ac:dyDescent="0.3">
      <c r="A752" s="292"/>
      <c r="B752" s="293"/>
      <c r="C752" s="294"/>
      <c r="D752" s="294"/>
      <c r="E752" s="294"/>
      <c r="F752" s="310"/>
      <c r="G752" s="310"/>
      <c r="H752" s="310"/>
      <c r="I752" s="295"/>
      <c r="J752" s="295">
        <f>(J738+J726+J709+J750)/4</f>
        <v>137.87184583423141</v>
      </c>
      <c r="K752" s="300">
        <f>$K$2</f>
        <v>1.1000000000000001</v>
      </c>
      <c r="L752" s="300">
        <f>K752*J752</f>
        <v>151.65903041765455</v>
      </c>
      <c r="M752" s="285">
        <f t="shared" ref="M752:M753" si="68">ROUND(L752,1)</f>
        <v>151.69999999999999</v>
      </c>
      <c r="N752" s="1076">
        <f t="shared" ref="N752:N753" si="69">ROUNDUP(M752,0)</f>
        <v>152</v>
      </c>
      <c r="O752" s="294"/>
      <c r="P752" s="404"/>
      <c r="Q752" s="404"/>
      <c r="R752" s="301"/>
      <c r="S752" s="301"/>
      <c r="T752" s="301"/>
      <c r="U752" s="301"/>
      <c r="V752" s="301"/>
    </row>
    <row r="753" spans="1:22" ht="14.4" thickTop="1" thickBot="1" x14ac:dyDescent="0.3">
      <c r="A753" s="292"/>
      <c r="B753" s="293"/>
      <c r="C753" s="294"/>
      <c r="D753" s="294"/>
      <c r="E753" s="294"/>
      <c r="F753" s="310"/>
      <c r="G753" s="310"/>
      <c r="H753" s="310"/>
      <c r="I753" s="295"/>
      <c r="J753" s="295">
        <f>J752*J671</f>
        <v>16575.729697023155</v>
      </c>
      <c r="K753" s="300">
        <f>$K$2</f>
        <v>1.1000000000000001</v>
      </c>
      <c r="L753" s="300">
        <f>K753*J753</f>
        <v>18233.302666725471</v>
      </c>
      <c r="M753" s="285">
        <f t="shared" si="68"/>
        <v>18233.3</v>
      </c>
      <c r="N753" s="1076">
        <f t="shared" si="69"/>
        <v>18234</v>
      </c>
      <c r="O753" s="294"/>
      <c r="P753" s="413">
        <f>J752*150</f>
        <v>20680.77687513471</v>
      </c>
      <c r="Q753" s="404"/>
      <c r="R753" s="301"/>
      <c r="S753" s="301"/>
      <c r="T753" s="301"/>
      <c r="U753" s="301"/>
      <c r="V753" s="301"/>
    </row>
    <row r="754" spans="1:22" ht="14.4" thickTop="1" thickBot="1" x14ac:dyDescent="0.3">
      <c r="A754" s="292"/>
      <c r="B754" s="293"/>
      <c r="C754" s="294"/>
      <c r="D754" s="294"/>
      <c r="E754" s="294"/>
      <c r="F754" s="310"/>
      <c r="G754" s="310"/>
      <c r="H754" s="310"/>
      <c r="I754" s="295"/>
      <c r="J754" s="295"/>
      <c r="K754" s="300"/>
      <c r="L754" s="300"/>
      <c r="M754" s="285"/>
      <c r="N754" s="1076"/>
      <c r="O754" s="294"/>
      <c r="P754" s="404"/>
      <c r="Q754" s="404"/>
      <c r="R754" s="301"/>
      <c r="S754" s="301"/>
      <c r="T754" s="301"/>
      <c r="U754" s="301"/>
      <c r="V754" s="301"/>
    </row>
    <row r="755" spans="1:22" ht="14.4" thickTop="1" thickBot="1" x14ac:dyDescent="0.3">
      <c r="A755" s="292"/>
      <c r="B755" s="293"/>
      <c r="C755" s="294"/>
      <c r="D755" s="294"/>
      <c r="E755" s="294"/>
      <c r="F755" s="310"/>
      <c r="G755" s="310"/>
      <c r="H755" s="310"/>
      <c r="I755" s="295"/>
      <c r="J755" s="295"/>
      <c r="K755" s="300"/>
      <c r="L755" s="300"/>
      <c r="M755" s="285"/>
      <c r="N755" s="1076"/>
      <c r="O755" s="294"/>
      <c r="P755" s="404"/>
      <c r="Q755" s="404"/>
      <c r="R755" s="301"/>
      <c r="S755" s="301"/>
      <c r="T755" s="301"/>
      <c r="U755" s="301"/>
      <c r="V755" s="301"/>
    </row>
    <row r="756" spans="1:22" ht="14.4" thickTop="1" thickBot="1" x14ac:dyDescent="0.3">
      <c r="A756" s="292"/>
      <c r="B756" s="293"/>
      <c r="C756" s="294"/>
      <c r="D756" s="294"/>
      <c r="E756" s="294"/>
      <c r="F756" s="310"/>
      <c r="G756" s="310"/>
      <c r="H756" s="310"/>
      <c r="I756" s="295"/>
      <c r="J756" s="295"/>
      <c r="K756" s="300"/>
      <c r="L756" s="300"/>
      <c r="M756" s="285"/>
      <c r="N756" s="1076"/>
      <c r="O756" s="294"/>
      <c r="P756" s="404"/>
      <c r="Q756" s="404"/>
      <c r="R756" s="301"/>
      <c r="S756" s="301"/>
      <c r="T756" s="301"/>
      <c r="U756" s="301"/>
      <c r="V756" s="301"/>
    </row>
    <row r="757" spans="1:22" ht="14.4" thickTop="1" thickBot="1" x14ac:dyDescent="0.3">
      <c r="A757" s="292"/>
      <c r="B757" s="293" t="s">
        <v>2085</v>
      </c>
      <c r="C757" s="294"/>
      <c r="D757" s="294"/>
      <c r="E757" s="294"/>
      <c r="F757" s="310"/>
      <c r="G757" s="310"/>
      <c r="H757" s="310"/>
      <c r="I757" s="295"/>
      <c r="J757" s="295"/>
      <c r="K757" s="300">
        <f t="shared" si="39"/>
        <v>1.1000000000000001</v>
      </c>
      <c r="L757" s="300">
        <f t="shared" si="54"/>
        <v>0</v>
      </c>
      <c r="M757" s="285">
        <f t="shared" si="55"/>
        <v>0</v>
      </c>
      <c r="N757" s="1076">
        <f t="shared" si="56"/>
        <v>0</v>
      </c>
      <c r="O757" s="294"/>
      <c r="P757" s="404"/>
      <c r="Q757" s="404"/>
      <c r="R757" s="301"/>
      <c r="S757" s="301"/>
      <c r="T757" s="301"/>
      <c r="U757" s="301"/>
      <c r="V757" s="301"/>
    </row>
    <row r="758" spans="1:22" ht="14.4" thickTop="1" thickBot="1" x14ac:dyDescent="0.3">
      <c r="A758" s="292"/>
      <c r="B758" s="293" t="s">
        <v>2034</v>
      </c>
      <c r="C758" s="294"/>
      <c r="D758" s="294"/>
      <c r="E758" s="294">
        <v>2</v>
      </c>
      <c r="F758" s="310">
        <v>27.878</v>
      </c>
      <c r="G758" s="310"/>
      <c r="H758" s="310">
        <v>0.75</v>
      </c>
      <c r="I758" s="295">
        <f>H758*F758*E758</f>
        <v>41.817</v>
      </c>
      <c r="J758" s="295"/>
      <c r="K758" s="300">
        <f t="shared" si="39"/>
        <v>1.1000000000000001</v>
      </c>
      <c r="L758" s="300">
        <f t="shared" si="54"/>
        <v>0</v>
      </c>
      <c r="M758" s="285">
        <f t="shared" si="55"/>
        <v>0</v>
      </c>
      <c r="N758" s="1076">
        <f t="shared" si="56"/>
        <v>0</v>
      </c>
      <c r="O758" s="294"/>
      <c r="P758" s="404"/>
      <c r="Q758" s="404"/>
      <c r="R758" s="301"/>
      <c r="S758" s="301"/>
      <c r="T758" s="301"/>
      <c r="U758" s="301"/>
      <c r="V758" s="301"/>
    </row>
    <row r="759" spans="1:22" ht="14.4" thickTop="1" thickBot="1" x14ac:dyDescent="0.3">
      <c r="A759" s="292"/>
      <c r="B759" s="293" t="s">
        <v>2035</v>
      </c>
      <c r="C759" s="294"/>
      <c r="D759" s="294"/>
      <c r="E759" s="294">
        <v>2</v>
      </c>
      <c r="F759" s="310">
        <v>23.803000000000001</v>
      </c>
      <c r="G759" s="310"/>
      <c r="H759" s="310">
        <v>0.75</v>
      </c>
      <c r="I759" s="295">
        <f t="shared" ref="I759:I807" si="70">H759*F759*E759</f>
        <v>35.704500000000003</v>
      </c>
      <c r="J759" s="295"/>
      <c r="K759" s="300">
        <f t="shared" si="39"/>
        <v>1.1000000000000001</v>
      </c>
      <c r="L759" s="300">
        <f t="shared" si="54"/>
        <v>0</v>
      </c>
      <c r="M759" s="285">
        <f t="shared" si="55"/>
        <v>0</v>
      </c>
      <c r="N759" s="1076">
        <f t="shared" si="56"/>
        <v>0</v>
      </c>
      <c r="O759" s="294"/>
      <c r="P759" s="404"/>
      <c r="Q759" s="404"/>
      <c r="R759" s="301"/>
      <c r="S759" s="301"/>
      <c r="T759" s="301"/>
      <c r="U759" s="301"/>
      <c r="V759" s="301"/>
    </row>
    <row r="760" spans="1:22" ht="14.4" thickTop="1" thickBot="1" x14ac:dyDescent="0.3">
      <c r="A760" s="292"/>
      <c r="B760" s="293" t="s">
        <v>2084</v>
      </c>
      <c r="C760" s="294"/>
      <c r="D760" s="294"/>
      <c r="E760" s="294">
        <v>2</v>
      </c>
      <c r="F760" s="310">
        <v>6.5149999999999997</v>
      </c>
      <c r="G760" s="310"/>
      <c r="H760" s="310">
        <v>0.5</v>
      </c>
      <c r="I760" s="295">
        <f t="shared" si="70"/>
        <v>6.5149999999999997</v>
      </c>
      <c r="J760" s="295"/>
      <c r="K760" s="300">
        <f t="shared" si="39"/>
        <v>1.1000000000000001</v>
      </c>
      <c r="L760" s="300">
        <f t="shared" si="54"/>
        <v>0</v>
      </c>
      <c r="M760" s="285">
        <f t="shared" si="55"/>
        <v>0</v>
      </c>
      <c r="N760" s="1076">
        <f t="shared" si="56"/>
        <v>0</v>
      </c>
      <c r="O760" s="294"/>
      <c r="P760" s="404"/>
      <c r="Q760" s="404"/>
      <c r="R760" s="301"/>
      <c r="S760" s="301"/>
      <c r="T760" s="301"/>
      <c r="U760" s="301"/>
      <c r="V760" s="301"/>
    </row>
    <row r="761" spans="1:22" ht="14.4" thickTop="1" thickBot="1" x14ac:dyDescent="0.3">
      <c r="A761" s="292"/>
      <c r="B761" s="293" t="s">
        <v>2036</v>
      </c>
      <c r="C761" s="294"/>
      <c r="D761" s="294"/>
      <c r="E761" s="294">
        <v>2</v>
      </c>
      <c r="F761" s="310">
        <v>49</v>
      </c>
      <c r="G761" s="310"/>
      <c r="H761" s="310">
        <v>0.5</v>
      </c>
      <c r="I761" s="295">
        <f t="shared" si="70"/>
        <v>49</v>
      </c>
      <c r="J761" s="295"/>
      <c r="K761" s="300">
        <f t="shared" si="39"/>
        <v>1.1000000000000001</v>
      </c>
      <c r="L761" s="300">
        <f t="shared" si="54"/>
        <v>0</v>
      </c>
      <c r="M761" s="285">
        <f t="shared" si="55"/>
        <v>0</v>
      </c>
      <c r="N761" s="1076">
        <f t="shared" si="56"/>
        <v>0</v>
      </c>
      <c r="O761" s="294"/>
      <c r="P761" s="404"/>
      <c r="Q761" s="404"/>
      <c r="R761" s="301"/>
      <c r="S761" s="301"/>
      <c r="T761" s="301"/>
      <c r="U761" s="301"/>
      <c r="V761" s="301"/>
    </row>
    <row r="762" spans="1:22" ht="14.4" thickTop="1" thickBot="1" x14ac:dyDescent="0.3">
      <c r="A762" s="292"/>
      <c r="B762" s="293" t="s">
        <v>2037</v>
      </c>
      <c r="C762" s="294"/>
      <c r="D762" s="294"/>
      <c r="E762" s="294">
        <v>2</v>
      </c>
      <c r="F762" s="310">
        <v>8.3000000000000007</v>
      </c>
      <c r="G762" s="310"/>
      <c r="H762" s="310">
        <v>0.5</v>
      </c>
      <c r="I762" s="295">
        <f t="shared" si="70"/>
        <v>8.3000000000000007</v>
      </c>
      <c r="J762" s="295"/>
      <c r="K762" s="300">
        <f t="shared" si="39"/>
        <v>1.1000000000000001</v>
      </c>
      <c r="L762" s="300">
        <f t="shared" si="54"/>
        <v>0</v>
      </c>
      <c r="M762" s="285">
        <f t="shared" si="55"/>
        <v>0</v>
      </c>
      <c r="N762" s="1076">
        <f t="shared" si="56"/>
        <v>0</v>
      </c>
      <c r="O762" s="294"/>
      <c r="P762" s="404"/>
      <c r="Q762" s="404"/>
      <c r="R762" s="301"/>
      <c r="S762" s="301"/>
      <c r="T762" s="301"/>
      <c r="U762" s="301"/>
      <c r="V762" s="301"/>
    </row>
    <row r="763" spans="1:22" ht="14.4" thickTop="1" thickBot="1" x14ac:dyDescent="0.3">
      <c r="A763" s="292"/>
      <c r="B763" s="293" t="s">
        <v>2038</v>
      </c>
      <c r="C763" s="294"/>
      <c r="D763" s="294"/>
      <c r="E763" s="294">
        <v>2</v>
      </c>
      <c r="F763" s="310">
        <v>9.9130000000000003</v>
      </c>
      <c r="G763" s="310"/>
      <c r="H763" s="310">
        <v>0.5</v>
      </c>
      <c r="I763" s="295">
        <f t="shared" si="70"/>
        <v>9.9130000000000003</v>
      </c>
      <c r="J763" s="295"/>
      <c r="K763" s="300">
        <f t="shared" si="39"/>
        <v>1.1000000000000001</v>
      </c>
      <c r="L763" s="300">
        <f t="shared" si="54"/>
        <v>0</v>
      </c>
      <c r="M763" s="285">
        <f t="shared" si="55"/>
        <v>0</v>
      </c>
      <c r="N763" s="1076">
        <f t="shared" si="56"/>
        <v>0</v>
      </c>
      <c r="O763" s="294"/>
      <c r="P763" s="404"/>
      <c r="Q763" s="404"/>
      <c r="R763" s="301"/>
      <c r="S763" s="301"/>
      <c r="T763" s="301"/>
      <c r="U763" s="301"/>
      <c r="V763" s="301"/>
    </row>
    <row r="764" spans="1:22" ht="14.4" thickTop="1" thickBot="1" x14ac:dyDescent="0.3">
      <c r="A764" s="292"/>
      <c r="B764" s="293" t="s">
        <v>2039</v>
      </c>
      <c r="C764" s="294"/>
      <c r="D764" s="294"/>
      <c r="E764" s="294">
        <v>2</v>
      </c>
      <c r="F764" s="310">
        <v>4.8879999999999999</v>
      </c>
      <c r="G764" s="310"/>
      <c r="H764" s="310">
        <v>0.5</v>
      </c>
      <c r="I764" s="295">
        <f t="shared" si="70"/>
        <v>4.8879999999999999</v>
      </c>
      <c r="J764" s="295"/>
      <c r="K764" s="300">
        <f t="shared" si="39"/>
        <v>1.1000000000000001</v>
      </c>
      <c r="L764" s="300">
        <f t="shared" si="54"/>
        <v>0</v>
      </c>
      <c r="M764" s="285">
        <f t="shared" si="55"/>
        <v>0</v>
      </c>
      <c r="N764" s="1076">
        <f t="shared" si="56"/>
        <v>0</v>
      </c>
      <c r="O764" s="294"/>
      <c r="P764" s="404"/>
      <c r="Q764" s="404"/>
      <c r="R764" s="301"/>
      <c r="S764" s="301"/>
      <c r="T764" s="301"/>
      <c r="U764" s="301"/>
      <c r="V764" s="301"/>
    </row>
    <row r="765" spans="1:22" ht="14.4" thickTop="1" thickBot="1" x14ac:dyDescent="0.3">
      <c r="A765" s="292"/>
      <c r="B765" s="293" t="s">
        <v>2040</v>
      </c>
      <c r="C765" s="294"/>
      <c r="D765" s="294"/>
      <c r="E765" s="294">
        <v>2</v>
      </c>
      <c r="F765" s="310">
        <v>3.363</v>
      </c>
      <c r="G765" s="310"/>
      <c r="H765" s="310">
        <v>0.5</v>
      </c>
      <c r="I765" s="295">
        <f t="shared" si="70"/>
        <v>3.363</v>
      </c>
      <c r="J765" s="295"/>
      <c r="K765" s="300">
        <f t="shared" si="39"/>
        <v>1.1000000000000001</v>
      </c>
      <c r="L765" s="300">
        <f t="shared" si="54"/>
        <v>0</v>
      </c>
      <c r="M765" s="285">
        <f t="shared" si="55"/>
        <v>0</v>
      </c>
      <c r="N765" s="1076">
        <f t="shared" si="56"/>
        <v>0</v>
      </c>
      <c r="O765" s="294"/>
      <c r="P765" s="404"/>
      <c r="Q765" s="404"/>
      <c r="R765" s="301"/>
      <c r="S765" s="301"/>
      <c r="T765" s="301"/>
      <c r="U765" s="301"/>
      <c r="V765" s="301"/>
    </row>
    <row r="766" spans="1:22" ht="14.4" thickTop="1" thickBot="1" x14ac:dyDescent="0.3">
      <c r="A766" s="292"/>
      <c r="B766" s="293" t="s">
        <v>2041</v>
      </c>
      <c r="C766" s="294"/>
      <c r="D766" s="294"/>
      <c r="E766" s="294">
        <v>2</v>
      </c>
      <c r="F766" s="310">
        <v>27.779</v>
      </c>
      <c r="G766" s="310"/>
      <c r="H766" s="310">
        <v>0.5</v>
      </c>
      <c r="I766" s="295">
        <f t="shared" si="70"/>
        <v>27.779</v>
      </c>
      <c r="J766" s="295"/>
      <c r="K766" s="300">
        <f t="shared" si="39"/>
        <v>1.1000000000000001</v>
      </c>
      <c r="L766" s="300">
        <f t="shared" si="54"/>
        <v>0</v>
      </c>
      <c r="M766" s="285">
        <f t="shared" si="55"/>
        <v>0</v>
      </c>
      <c r="N766" s="1076">
        <f t="shared" si="56"/>
        <v>0</v>
      </c>
      <c r="O766" s="294"/>
      <c r="P766" s="404"/>
      <c r="Q766" s="404"/>
      <c r="R766" s="301"/>
      <c r="S766" s="301"/>
      <c r="T766" s="301"/>
      <c r="U766" s="301"/>
      <c r="V766" s="301"/>
    </row>
    <row r="767" spans="1:22" ht="14.4" thickTop="1" thickBot="1" x14ac:dyDescent="0.3">
      <c r="A767" s="292"/>
      <c r="B767" s="293" t="s">
        <v>2042</v>
      </c>
      <c r="C767" s="294"/>
      <c r="D767" s="294"/>
      <c r="E767" s="294">
        <v>2</v>
      </c>
      <c r="F767" s="310">
        <v>59.55</v>
      </c>
      <c r="G767" s="310"/>
      <c r="H767" s="310">
        <v>0.5</v>
      </c>
      <c r="I767" s="295">
        <f t="shared" si="70"/>
        <v>59.55</v>
      </c>
      <c r="J767" s="295"/>
      <c r="K767" s="300">
        <f t="shared" si="39"/>
        <v>1.1000000000000001</v>
      </c>
      <c r="L767" s="300">
        <f t="shared" si="54"/>
        <v>0</v>
      </c>
      <c r="M767" s="285">
        <f t="shared" si="55"/>
        <v>0</v>
      </c>
      <c r="N767" s="1076">
        <f t="shared" si="56"/>
        <v>0</v>
      </c>
      <c r="O767" s="294"/>
      <c r="P767" s="404"/>
      <c r="Q767" s="404"/>
      <c r="R767" s="301"/>
      <c r="S767" s="301"/>
      <c r="T767" s="301"/>
      <c r="U767" s="301"/>
      <c r="V767" s="301"/>
    </row>
    <row r="768" spans="1:22" ht="14.4" thickTop="1" thickBot="1" x14ac:dyDescent="0.3">
      <c r="A768" s="292"/>
      <c r="B768" s="293" t="s">
        <v>2043</v>
      </c>
      <c r="C768" s="294"/>
      <c r="D768" s="294"/>
      <c r="E768" s="294">
        <v>2</v>
      </c>
      <c r="F768" s="310">
        <v>2.327</v>
      </c>
      <c r="G768" s="310"/>
      <c r="H768" s="310">
        <v>0.5</v>
      </c>
      <c r="I768" s="295">
        <f t="shared" si="70"/>
        <v>2.327</v>
      </c>
      <c r="J768" s="295"/>
      <c r="K768" s="300">
        <f t="shared" si="39"/>
        <v>1.1000000000000001</v>
      </c>
      <c r="L768" s="300">
        <f t="shared" si="54"/>
        <v>0</v>
      </c>
      <c r="M768" s="285">
        <f t="shared" si="55"/>
        <v>0</v>
      </c>
      <c r="N768" s="1076">
        <f t="shared" si="56"/>
        <v>0</v>
      </c>
      <c r="O768" s="294"/>
      <c r="P768" s="404"/>
      <c r="Q768" s="404"/>
      <c r="R768" s="301"/>
      <c r="S768" s="301"/>
      <c r="T768" s="301"/>
      <c r="U768" s="301"/>
      <c r="V768" s="301"/>
    </row>
    <row r="769" spans="1:22" ht="14.4" thickTop="1" thickBot="1" x14ac:dyDescent="0.3">
      <c r="A769" s="292"/>
      <c r="B769" s="293" t="s">
        <v>2044</v>
      </c>
      <c r="C769" s="294"/>
      <c r="D769" s="294"/>
      <c r="E769" s="294">
        <v>2</v>
      </c>
      <c r="F769" s="310">
        <v>3.75</v>
      </c>
      <c r="G769" s="310"/>
      <c r="H769" s="310">
        <v>0.5</v>
      </c>
      <c r="I769" s="295">
        <f t="shared" si="70"/>
        <v>3.75</v>
      </c>
      <c r="J769" s="295"/>
      <c r="K769" s="300">
        <f t="shared" si="39"/>
        <v>1.1000000000000001</v>
      </c>
      <c r="L769" s="300">
        <f t="shared" si="54"/>
        <v>0</v>
      </c>
      <c r="M769" s="285">
        <f t="shared" si="55"/>
        <v>0</v>
      </c>
      <c r="N769" s="1076">
        <f t="shared" si="56"/>
        <v>0</v>
      </c>
      <c r="O769" s="294"/>
      <c r="P769" s="404"/>
      <c r="Q769" s="404"/>
      <c r="R769" s="301"/>
      <c r="S769" s="301"/>
      <c r="T769" s="301"/>
      <c r="U769" s="301"/>
      <c r="V769" s="301"/>
    </row>
    <row r="770" spans="1:22" ht="14.4" thickTop="1" thickBot="1" x14ac:dyDescent="0.3">
      <c r="A770" s="292"/>
      <c r="B770" s="293" t="s">
        <v>2045</v>
      </c>
      <c r="C770" s="294"/>
      <c r="D770" s="294"/>
      <c r="E770" s="294">
        <v>2</v>
      </c>
      <c r="F770" s="310">
        <v>2</v>
      </c>
      <c r="G770" s="310"/>
      <c r="H770" s="310">
        <v>0.5</v>
      </c>
      <c r="I770" s="295">
        <f t="shared" si="70"/>
        <v>2</v>
      </c>
      <c r="J770" s="295"/>
      <c r="K770" s="300">
        <f t="shared" si="39"/>
        <v>1.1000000000000001</v>
      </c>
      <c r="L770" s="300">
        <f t="shared" si="54"/>
        <v>0</v>
      </c>
      <c r="M770" s="285">
        <f t="shared" si="55"/>
        <v>0</v>
      </c>
      <c r="N770" s="1076">
        <f t="shared" si="56"/>
        <v>0</v>
      </c>
      <c r="O770" s="294"/>
      <c r="P770" s="404"/>
      <c r="Q770" s="404"/>
      <c r="R770" s="301"/>
      <c r="S770" s="301"/>
      <c r="T770" s="301"/>
      <c r="U770" s="301"/>
      <c r="V770" s="301"/>
    </row>
    <row r="771" spans="1:22" ht="14.4" thickTop="1" thickBot="1" x14ac:dyDescent="0.3">
      <c r="A771" s="292"/>
      <c r="B771" s="293" t="s">
        <v>2046</v>
      </c>
      <c r="C771" s="294"/>
      <c r="D771" s="294"/>
      <c r="E771" s="294">
        <v>2</v>
      </c>
      <c r="F771" s="310">
        <v>27.428999999999998</v>
      </c>
      <c r="G771" s="310"/>
      <c r="H771" s="310">
        <v>0.5</v>
      </c>
      <c r="I771" s="295">
        <f t="shared" si="70"/>
        <v>27.428999999999998</v>
      </c>
      <c r="J771" s="295"/>
      <c r="K771" s="300">
        <f t="shared" si="39"/>
        <v>1.1000000000000001</v>
      </c>
      <c r="L771" s="300">
        <f t="shared" si="54"/>
        <v>0</v>
      </c>
      <c r="M771" s="285">
        <f t="shared" si="55"/>
        <v>0</v>
      </c>
      <c r="N771" s="1076">
        <f t="shared" si="56"/>
        <v>0</v>
      </c>
      <c r="O771" s="294"/>
      <c r="P771" s="404"/>
      <c r="Q771" s="404"/>
      <c r="R771" s="301"/>
      <c r="S771" s="301"/>
      <c r="T771" s="301"/>
      <c r="U771" s="301"/>
      <c r="V771" s="301"/>
    </row>
    <row r="772" spans="1:22" ht="14.4" thickTop="1" thickBot="1" x14ac:dyDescent="0.3">
      <c r="A772" s="292"/>
      <c r="B772" s="293" t="s">
        <v>2047</v>
      </c>
      <c r="C772" s="294"/>
      <c r="D772" s="294"/>
      <c r="E772" s="294">
        <v>2</v>
      </c>
      <c r="F772" s="310">
        <v>7.6459999999999999</v>
      </c>
      <c r="G772" s="310"/>
      <c r="H772" s="310">
        <v>0.9</v>
      </c>
      <c r="I772" s="295">
        <f t="shared" si="70"/>
        <v>13.7628</v>
      </c>
      <c r="J772" s="295"/>
      <c r="K772" s="300">
        <f t="shared" si="39"/>
        <v>1.1000000000000001</v>
      </c>
      <c r="L772" s="300">
        <f t="shared" si="54"/>
        <v>0</v>
      </c>
      <c r="M772" s="285">
        <f t="shared" si="55"/>
        <v>0</v>
      </c>
      <c r="N772" s="1076">
        <f t="shared" si="56"/>
        <v>0</v>
      </c>
      <c r="O772" s="294"/>
      <c r="P772" s="404"/>
      <c r="Q772" s="404"/>
      <c r="R772" s="301"/>
      <c r="S772" s="301"/>
      <c r="T772" s="301"/>
      <c r="U772" s="301"/>
      <c r="V772" s="301"/>
    </row>
    <row r="773" spans="1:22" ht="14.4" thickTop="1" thickBot="1" x14ac:dyDescent="0.3">
      <c r="A773" s="292"/>
      <c r="B773" s="293" t="s">
        <v>2048</v>
      </c>
      <c r="C773" s="294"/>
      <c r="D773" s="294"/>
      <c r="E773" s="294">
        <v>2</v>
      </c>
      <c r="F773" s="310">
        <v>23.425999999999998</v>
      </c>
      <c r="G773" s="310"/>
      <c r="H773" s="310">
        <v>0.5</v>
      </c>
      <c r="I773" s="295">
        <f t="shared" si="70"/>
        <v>23.425999999999998</v>
      </c>
      <c r="J773" s="295"/>
      <c r="K773" s="300">
        <f t="shared" si="39"/>
        <v>1.1000000000000001</v>
      </c>
      <c r="L773" s="300">
        <f t="shared" si="54"/>
        <v>0</v>
      </c>
      <c r="M773" s="285">
        <f t="shared" si="55"/>
        <v>0</v>
      </c>
      <c r="N773" s="1076">
        <f t="shared" si="56"/>
        <v>0</v>
      </c>
      <c r="O773" s="294"/>
      <c r="P773" s="404"/>
      <c r="Q773" s="404"/>
      <c r="R773" s="301"/>
      <c r="S773" s="301"/>
      <c r="T773" s="301"/>
      <c r="U773" s="301"/>
      <c r="V773" s="301"/>
    </row>
    <row r="774" spans="1:22" ht="14.4" thickTop="1" thickBot="1" x14ac:dyDescent="0.3">
      <c r="A774" s="292"/>
      <c r="B774" s="293" t="s">
        <v>2049</v>
      </c>
      <c r="C774" s="294"/>
      <c r="D774" s="294"/>
      <c r="E774" s="294">
        <v>2</v>
      </c>
      <c r="F774" s="310">
        <v>7.6</v>
      </c>
      <c r="G774" s="310"/>
      <c r="H774" s="310">
        <v>0.8</v>
      </c>
      <c r="I774" s="295">
        <f t="shared" si="70"/>
        <v>12.16</v>
      </c>
      <c r="J774" s="295"/>
      <c r="K774" s="300">
        <f t="shared" si="39"/>
        <v>1.1000000000000001</v>
      </c>
      <c r="L774" s="300">
        <f t="shared" si="54"/>
        <v>0</v>
      </c>
      <c r="M774" s="285">
        <f t="shared" si="55"/>
        <v>0</v>
      </c>
      <c r="N774" s="1076">
        <f t="shared" si="56"/>
        <v>0</v>
      </c>
      <c r="O774" s="294"/>
      <c r="P774" s="404"/>
      <c r="Q774" s="404"/>
      <c r="R774" s="301"/>
      <c r="S774" s="301"/>
      <c r="T774" s="301"/>
      <c r="U774" s="301"/>
      <c r="V774" s="301"/>
    </row>
    <row r="775" spans="1:22" ht="14.4" thickTop="1" thickBot="1" x14ac:dyDescent="0.3">
      <c r="A775" s="292"/>
      <c r="B775" s="293" t="s">
        <v>2050</v>
      </c>
      <c r="C775" s="294"/>
      <c r="D775" s="294"/>
      <c r="E775" s="294">
        <v>2</v>
      </c>
      <c r="F775" s="310">
        <v>20.349</v>
      </c>
      <c r="G775" s="310"/>
      <c r="H775" s="310">
        <v>0.5</v>
      </c>
      <c r="I775" s="295">
        <f t="shared" si="70"/>
        <v>20.349</v>
      </c>
      <c r="J775" s="295"/>
      <c r="K775" s="300">
        <f t="shared" si="39"/>
        <v>1.1000000000000001</v>
      </c>
      <c r="L775" s="300">
        <f t="shared" ref="L775:L838" si="71">K775*J775</f>
        <v>0</v>
      </c>
      <c r="M775" s="285">
        <f t="shared" ref="M775:M838" si="72">ROUND(L775,1)</f>
        <v>0</v>
      </c>
      <c r="N775" s="1076">
        <f t="shared" ref="N775:N838" si="73">ROUNDUP(M775,0)</f>
        <v>0</v>
      </c>
      <c r="O775" s="294"/>
      <c r="P775" s="404"/>
      <c r="Q775" s="404"/>
      <c r="R775" s="301"/>
      <c r="S775" s="301"/>
      <c r="T775" s="301"/>
      <c r="U775" s="301"/>
      <c r="V775" s="301"/>
    </row>
    <row r="776" spans="1:22" ht="14.4" thickTop="1" thickBot="1" x14ac:dyDescent="0.3">
      <c r="A776" s="292"/>
      <c r="B776" s="293" t="s">
        <v>2051</v>
      </c>
      <c r="C776" s="294"/>
      <c r="D776" s="294"/>
      <c r="E776" s="294">
        <v>2</v>
      </c>
      <c r="F776" s="310">
        <v>15.996</v>
      </c>
      <c r="G776" s="310"/>
      <c r="H776" s="310">
        <v>0.75</v>
      </c>
      <c r="I776" s="295">
        <f t="shared" si="70"/>
        <v>23.994</v>
      </c>
      <c r="J776" s="295"/>
      <c r="K776" s="300">
        <f t="shared" si="39"/>
        <v>1.1000000000000001</v>
      </c>
      <c r="L776" s="300">
        <f t="shared" si="71"/>
        <v>0</v>
      </c>
      <c r="M776" s="285">
        <f t="shared" si="72"/>
        <v>0</v>
      </c>
      <c r="N776" s="1076">
        <f t="shared" si="73"/>
        <v>0</v>
      </c>
      <c r="O776" s="294"/>
      <c r="P776" s="404"/>
      <c r="Q776" s="404"/>
      <c r="R776" s="301"/>
      <c r="S776" s="301"/>
      <c r="T776" s="301"/>
      <c r="U776" s="301"/>
      <c r="V776" s="301"/>
    </row>
    <row r="777" spans="1:22" ht="14.4" thickTop="1" thickBot="1" x14ac:dyDescent="0.3">
      <c r="A777" s="292"/>
      <c r="B777" s="293" t="s">
        <v>2052</v>
      </c>
      <c r="C777" s="294"/>
      <c r="D777" s="294"/>
      <c r="E777" s="294">
        <v>2</v>
      </c>
      <c r="F777" s="310">
        <v>15.775</v>
      </c>
      <c r="G777" s="310"/>
      <c r="H777" s="310">
        <v>0.5</v>
      </c>
      <c r="I777" s="295">
        <f t="shared" si="70"/>
        <v>15.775</v>
      </c>
      <c r="J777" s="295"/>
      <c r="K777" s="300">
        <f t="shared" si="39"/>
        <v>1.1000000000000001</v>
      </c>
      <c r="L777" s="300">
        <f t="shared" si="71"/>
        <v>0</v>
      </c>
      <c r="M777" s="285">
        <f t="shared" si="72"/>
        <v>0</v>
      </c>
      <c r="N777" s="1076">
        <f t="shared" si="73"/>
        <v>0</v>
      </c>
      <c r="O777" s="294"/>
      <c r="P777" s="404"/>
      <c r="Q777" s="404"/>
      <c r="R777" s="301"/>
      <c r="S777" s="301"/>
      <c r="T777" s="301"/>
      <c r="U777" s="301"/>
      <c r="V777" s="301"/>
    </row>
    <row r="778" spans="1:22" ht="14.4" thickTop="1" thickBot="1" x14ac:dyDescent="0.3">
      <c r="A778" s="292"/>
      <c r="B778" s="293"/>
      <c r="C778" s="294"/>
      <c r="D778" s="294"/>
      <c r="E778" s="294">
        <v>2</v>
      </c>
      <c r="F778" s="310"/>
      <c r="G778" s="310"/>
      <c r="H778" s="310"/>
      <c r="I778" s="295">
        <f t="shared" si="70"/>
        <v>0</v>
      </c>
      <c r="J778" s="295"/>
      <c r="K778" s="300">
        <f t="shared" si="39"/>
        <v>1.1000000000000001</v>
      </c>
      <c r="L778" s="300">
        <f t="shared" si="71"/>
        <v>0</v>
      </c>
      <c r="M778" s="285">
        <f t="shared" si="72"/>
        <v>0</v>
      </c>
      <c r="N778" s="1076">
        <f t="shared" si="73"/>
        <v>0</v>
      </c>
      <c r="O778" s="294"/>
      <c r="P778" s="404"/>
      <c r="Q778" s="404"/>
      <c r="R778" s="301"/>
      <c r="S778" s="301"/>
      <c r="T778" s="301"/>
      <c r="U778" s="301"/>
      <c r="V778" s="301"/>
    </row>
    <row r="779" spans="1:22" ht="14.4" thickTop="1" thickBot="1" x14ac:dyDescent="0.3">
      <c r="A779" s="292"/>
      <c r="B779" s="293" t="s">
        <v>2053</v>
      </c>
      <c r="C779" s="294"/>
      <c r="D779" s="294"/>
      <c r="E779" s="294">
        <v>2</v>
      </c>
      <c r="F779" s="310">
        <v>19.170000000000002</v>
      </c>
      <c r="G779" s="310"/>
      <c r="H779" s="310">
        <v>0.5</v>
      </c>
      <c r="I779" s="295">
        <f t="shared" si="70"/>
        <v>19.170000000000002</v>
      </c>
      <c r="J779" s="295"/>
      <c r="K779" s="300">
        <f t="shared" si="39"/>
        <v>1.1000000000000001</v>
      </c>
      <c r="L779" s="300">
        <f t="shared" si="71"/>
        <v>0</v>
      </c>
      <c r="M779" s="285">
        <f t="shared" si="72"/>
        <v>0</v>
      </c>
      <c r="N779" s="1076">
        <f t="shared" si="73"/>
        <v>0</v>
      </c>
      <c r="O779" s="294"/>
      <c r="P779" s="404"/>
      <c r="Q779" s="404"/>
      <c r="R779" s="301"/>
      <c r="S779" s="301"/>
      <c r="T779" s="301"/>
      <c r="U779" s="301"/>
      <c r="V779" s="301"/>
    </row>
    <row r="780" spans="1:22" ht="14.4" thickTop="1" thickBot="1" x14ac:dyDescent="0.3">
      <c r="A780" s="292"/>
      <c r="B780" s="293" t="s">
        <v>2054</v>
      </c>
      <c r="C780" s="294"/>
      <c r="D780" s="294"/>
      <c r="E780" s="294">
        <v>2</v>
      </c>
      <c r="F780" s="310">
        <v>19.77</v>
      </c>
      <c r="G780" s="310"/>
      <c r="H780" s="310">
        <v>0.5</v>
      </c>
      <c r="I780" s="295">
        <f t="shared" si="70"/>
        <v>19.77</v>
      </c>
      <c r="J780" s="295"/>
      <c r="K780" s="300">
        <f t="shared" si="39"/>
        <v>1.1000000000000001</v>
      </c>
      <c r="L780" s="300">
        <f t="shared" si="71"/>
        <v>0</v>
      </c>
      <c r="M780" s="285">
        <f t="shared" si="72"/>
        <v>0</v>
      </c>
      <c r="N780" s="1076">
        <f t="shared" si="73"/>
        <v>0</v>
      </c>
      <c r="O780" s="294"/>
      <c r="P780" s="404"/>
      <c r="Q780" s="404"/>
      <c r="R780" s="301"/>
      <c r="S780" s="301"/>
      <c r="T780" s="301"/>
      <c r="U780" s="301"/>
      <c r="V780" s="301"/>
    </row>
    <row r="781" spans="1:22" ht="14.4" thickTop="1" thickBot="1" x14ac:dyDescent="0.3">
      <c r="A781" s="292"/>
      <c r="B781" s="293" t="s">
        <v>2055</v>
      </c>
      <c r="C781" s="294"/>
      <c r="D781" s="294"/>
      <c r="E781" s="294">
        <v>2</v>
      </c>
      <c r="F781" s="310">
        <v>14.962999999999999</v>
      </c>
      <c r="G781" s="310"/>
      <c r="H781" s="310">
        <v>0.5</v>
      </c>
      <c r="I781" s="295">
        <f t="shared" si="70"/>
        <v>14.962999999999999</v>
      </c>
      <c r="J781" s="295"/>
      <c r="K781" s="300">
        <f t="shared" si="39"/>
        <v>1.1000000000000001</v>
      </c>
      <c r="L781" s="300">
        <f t="shared" si="71"/>
        <v>0</v>
      </c>
      <c r="M781" s="285">
        <f t="shared" si="72"/>
        <v>0</v>
      </c>
      <c r="N781" s="1076">
        <f t="shared" si="73"/>
        <v>0</v>
      </c>
      <c r="O781" s="294"/>
      <c r="P781" s="404"/>
      <c r="Q781" s="404"/>
      <c r="R781" s="301"/>
      <c r="S781" s="301"/>
      <c r="T781" s="301"/>
      <c r="U781" s="301"/>
      <c r="V781" s="301"/>
    </row>
    <row r="782" spans="1:22" ht="14.4" thickTop="1" thickBot="1" x14ac:dyDescent="0.3">
      <c r="A782" s="292"/>
      <c r="B782" s="293" t="s">
        <v>2056</v>
      </c>
      <c r="C782" s="294"/>
      <c r="D782" s="294"/>
      <c r="E782" s="294">
        <v>2</v>
      </c>
      <c r="F782" s="310">
        <v>3.9329999999999998</v>
      </c>
      <c r="G782" s="310"/>
      <c r="H782" s="310">
        <v>0.5</v>
      </c>
      <c r="I782" s="295">
        <f t="shared" si="70"/>
        <v>3.9329999999999998</v>
      </c>
      <c r="J782" s="295"/>
      <c r="K782" s="300">
        <f t="shared" si="39"/>
        <v>1.1000000000000001</v>
      </c>
      <c r="L782" s="300">
        <f t="shared" si="71"/>
        <v>0</v>
      </c>
      <c r="M782" s="285">
        <f t="shared" si="72"/>
        <v>0</v>
      </c>
      <c r="N782" s="1076">
        <f t="shared" si="73"/>
        <v>0</v>
      </c>
      <c r="O782" s="294"/>
      <c r="P782" s="404"/>
      <c r="Q782" s="404"/>
      <c r="R782" s="301"/>
      <c r="S782" s="301"/>
      <c r="T782" s="301"/>
      <c r="U782" s="301"/>
      <c r="V782" s="301"/>
    </row>
    <row r="783" spans="1:22" ht="14.4" thickTop="1" thickBot="1" x14ac:dyDescent="0.3">
      <c r="A783" s="292"/>
      <c r="B783" s="293" t="s">
        <v>2057</v>
      </c>
      <c r="C783" s="294"/>
      <c r="D783" s="294"/>
      <c r="E783" s="294">
        <v>2</v>
      </c>
      <c r="F783" s="310">
        <v>5.6870000000000003</v>
      </c>
      <c r="G783" s="310"/>
      <c r="H783" s="310">
        <v>0.45</v>
      </c>
      <c r="I783" s="295">
        <f t="shared" si="70"/>
        <v>5.1183000000000005</v>
      </c>
      <c r="J783" s="295"/>
      <c r="K783" s="300">
        <f t="shared" si="39"/>
        <v>1.1000000000000001</v>
      </c>
      <c r="L783" s="300">
        <f t="shared" si="71"/>
        <v>0</v>
      </c>
      <c r="M783" s="285">
        <f t="shared" si="72"/>
        <v>0</v>
      </c>
      <c r="N783" s="1076">
        <f t="shared" si="73"/>
        <v>0</v>
      </c>
      <c r="O783" s="294"/>
      <c r="P783" s="404"/>
      <c r="Q783" s="404"/>
      <c r="R783" s="301"/>
      <c r="S783" s="301"/>
      <c r="T783" s="301"/>
      <c r="U783" s="301"/>
      <c r="V783" s="301"/>
    </row>
    <row r="784" spans="1:22" ht="14.4" thickTop="1" thickBot="1" x14ac:dyDescent="0.3">
      <c r="A784" s="292"/>
      <c r="B784" s="293" t="s">
        <v>2058</v>
      </c>
      <c r="C784" s="294"/>
      <c r="D784" s="294"/>
      <c r="E784" s="294">
        <v>2</v>
      </c>
      <c r="F784" s="310">
        <v>1.5960000000000001</v>
      </c>
      <c r="G784" s="310"/>
      <c r="H784" s="310">
        <v>0.5</v>
      </c>
      <c r="I784" s="295">
        <f t="shared" si="70"/>
        <v>1.5960000000000001</v>
      </c>
      <c r="J784" s="295"/>
      <c r="K784" s="300">
        <f t="shared" si="39"/>
        <v>1.1000000000000001</v>
      </c>
      <c r="L784" s="300">
        <f t="shared" si="71"/>
        <v>0</v>
      </c>
      <c r="M784" s="285">
        <f t="shared" si="72"/>
        <v>0</v>
      </c>
      <c r="N784" s="1076">
        <f t="shared" si="73"/>
        <v>0</v>
      </c>
      <c r="O784" s="294"/>
      <c r="P784" s="404"/>
      <c r="Q784" s="404"/>
      <c r="R784" s="301"/>
      <c r="S784" s="301"/>
      <c r="T784" s="301"/>
      <c r="U784" s="301"/>
      <c r="V784" s="301"/>
    </row>
    <row r="785" spans="1:22" ht="14.4" thickTop="1" thickBot="1" x14ac:dyDescent="0.3">
      <c r="A785" s="292"/>
      <c r="B785" s="293" t="s">
        <v>2059</v>
      </c>
      <c r="C785" s="294"/>
      <c r="D785" s="294"/>
      <c r="E785" s="294">
        <v>2</v>
      </c>
      <c r="F785" s="310">
        <v>12.475</v>
      </c>
      <c r="G785" s="310"/>
      <c r="H785" s="310">
        <v>0.5</v>
      </c>
      <c r="I785" s="295">
        <f t="shared" si="70"/>
        <v>12.475</v>
      </c>
      <c r="J785" s="295"/>
      <c r="K785" s="300">
        <f t="shared" si="39"/>
        <v>1.1000000000000001</v>
      </c>
      <c r="L785" s="300">
        <f t="shared" si="71"/>
        <v>0</v>
      </c>
      <c r="M785" s="285">
        <f t="shared" si="72"/>
        <v>0</v>
      </c>
      <c r="N785" s="1076">
        <f t="shared" si="73"/>
        <v>0</v>
      </c>
      <c r="O785" s="294"/>
      <c r="P785" s="404"/>
      <c r="Q785" s="404"/>
      <c r="R785" s="301"/>
      <c r="S785" s="301"/>
      <c r="T785" s="301"/>
      <c r="U785" s="301"/>
      <c r="V785" s="301"/>
    </row>
    <row r="786" spans="1:22" ht="14.4" thickTop="1" thickBot="1" x14ac:dyDescent="0.3">
      <c r="A786" s="292"/>
      <c r="B786" s="293" t="s">
        <v>2060</v>
      </c>
      <c r="C786" s="294"/>
      <c r="D786" s="294"/>
      <c r="E786" s="294">
        <v>2</v>
      </c>
      <c r="F786" s="310">
        <v>8.5500000000000007</v>
      </c>
      <c r="G786" s="310"/>
      <c r="H786" s="310">
        <v>0.5</v>
      </c>
      <c r="I786" s="295">
        <f t="shared" si="70"/>
        <v>8.5500000000000007</v>
      </c>
      <c r="J786" s="295"/>
      <c r="K786" s="300">
        <f t="shared" si="39"/>
        <v>1.1000000000000001</v>
      </c>
      <c r="L786" s="300">
        <f t="shared" si="71"/>
        <v>0</v>
      </c>
      <c r="M786" s="285">
        <f t="shared" si="72"/>
        <v>0</v>
      </c>
      <c r="N786" s="1076">
        <f t="shared" si="73"/>
        <v>0</v>
      </c>
      <c r="O786" s="294"/>
      <c r="P786" s="404"/>
      <c r="Q786" s="404"/>
      <c r="R786" s="301"/>
      <c r="S786" s="301"/>
      <c r="T786" s="301"/>
      <c r="U786" s="301"/>
      <c r="V786" s="301"/>
    </row>
    <row r="787" spans="1:22" ht="14.4" thickTop="1" thickBot="1" x14ac:dyDescent="0.3">
      <c r="A787" s="292"/>
      <c r="B787" s="293" t="s">
        <v>2061</v>
      </c>
      <c r="C787" s="294"/>
      <c r="D787" s="294"/>
      <c r="E787" s="294">
        <v>2</v>
      </c>
      <c r="F787" s="310">
        <v>2.9870000000000001</v>
      </c>
      <c r="G787" s="310"/>
      <c r="H787" s="310">
        <v>0.5</v>
      </c>
      <c r="I787" s="295">
        <f t="shared" si="70"/>
        <v>2.9870000000000001</v>
      </c>
      <c r="J787" s="295"/>
      <c r="K787" s="300">
        <f t="shared" si="39"/>
        <v>1.1000000000000001</v>
      </c>
      <c r="L787" s="300">
        <f t="shared" si="71"/>
        <v>0</v>
      </c>
      <c r="M787" s="285">
        <f t="shared" si="72"/>
        <v>0</v>
      </c>
      <c r="N787" s="1076">
        <f t="shared" si="73"/>
        <v>0</v>
      </c>
      <c r="O787" s="294"/>
      <c r="P787" s="404"/>
      <c r="Q787" s="404"/>
      <c r="R787" s="301"/>
      <c r="S787" s="301"/>
      <c r="T787" s="301"/>
      <c r="U787" s="301"/>
      <c r="V787" s="301"/>
    </row>
    <row r="788" spans="1:22" ht="14.4" thickTop="1" thickBot="1" x14ac:dyDescent="0.3">
      <c r="A788" s="292"/>
      <c r="B788" s="293" t="s">
        <v>2062</v>
      </c>
      <c r="C788" s="294"/>
      <c r="D788" s="294"/>
      <c r="E788" s="294">
        <v>2</v>
      </c>
      <c r="F788" s="310">
        <v>6.35</v>
      </c>
      <c r="G788" s="310"/>
      <c r="H788" s="310">
        <v>0.5</v>
      </c>
      <c r="I788" s="295">
        <f t="shared" si="70"/>
        <v>6.35</v>
      </c>
      <c r="J788" s="295"/>
      <c r="K788" s="300">
        <f t="shared" si="39"/>
        <v>1.1000000000000001</v>
      </c>
      <c r="L788" s="300">
        <f t="shared" si="71"/>
        <v>0</v>
      </c>
      <c r="M788" s="285">
        <f t="shared" si="72"/>
        <v>0</v>
      </c>
      <c r="N788" s="1076">
        <f t="shared" si="73"/>
        <v>0</v>
      </c>
      <c r="O788" s="294"/>
      <c r="P788" s="404"/>
      <c r="Q788" s="404"/>
      <c r="R788" s="301"/>
      <c r="S788" s="301"/>
      <c r="T788" s="301"/>
      <c r="U788" s="301"/>
      <c r="V788" s="301"/>
    </row>
    <row r="789" spans="1:22" ht="14.4" thickTop="1" thickBot="1" x14ac:dyDescent="0.3">
      <c r="A789" s="292"/>
      <c r="B789" s="293" t="s">
        <v>2063</v>
      </c>
      <c r="C789" s="294"/>
      <c r="D789" s="294"/>
      <c r="E789" s="294">
        <v>2</v>
      </c>
      <c r="F789" s="310">
        <v>6.1870000000000003</v>
      </c>
      <c r="G789" s="310"/>
      <c r="H789" s="310">
        <v>0.5</v>
      </c>
      <c r="I789" s="295">
        <f t="shared" si="70"/>
        <v>6.1870000000000003</v>
      </c>
      <c r="J789" s="295"/>
      <c r="K789" s="300">
        <f t="shared" si="39"/>
        <v>1.1000000000000001</v>
      </c>
      <c r="L789" s="300">
        <f t="shared" si="71"/>
        <v>0</v>
      </c>
      <c r="M789" s="285">
        <f t="shared" si="72"/>
        <v>0</v>
      </c>
      <c r="N789" s="1076">
        <f t="shared" si="73"/>
        <v>0</v>
      </c>
      <c r="O789" s="294"/>
      <c r="P789" s="404"/>
      <c r="Q789" s="404"/>
      <c r="R789" s="301"/>
      <c r="S789" s="301"/>
      <c r="T789" s="301"/>
      <c r="U789" s="301"/>
      <c r="V789" s="301"/>
    </row>
    <row r="790" spans="1:22" ht="14.4" thickTop="1" thickBot="1" x14ac:dyDescent="0.3">
      <c r="A790" s="292"/>
      <c r="B790" s="293" t="s">
        <v>2064</v>
      </c>
      <c r="C790" s="294"/>
      <c r="D790" s="294"/>
      <c r="E790" s="294">
        <v>2</v>
      </c>
      <c r="F790" s="310">
        <v>1.788</v>
      </c>
      <c r="G790" s="310"/>
      <c r="H790" s="310">
        <v>0.5</v>
      </c>
      <c r="I790" s="295">
        <f t="shared" si="70"/>
        <v>1.788</v>
      </c>
      <c r="J790" s="295"/>
      <c r="K790" s="300">
        <f t="shared" si="39"/>
        <v>1.1000000000000001</v>
      </c>
      <c r="L790" s="300">
        <f t="shared" si="71"/>
        <v>0</v>
      </c>
      <c r="M790" s="285">
        <f t="shared" si="72"/>
        <v>0</v>
      </c>
      <c r="N790" s="1076">
        <f t="shared" si="73"/>
        <v>0</v>
      </c>
      <c r="O790" s="294"/>
      <c r="P790" s="404"/>
      <c r="Q790" s="404"/>
      <c r="R790" s="301"/>
      <c r="S790" s="301"/>
      <c r="T790" s="301"/>
      <c r="U790" s="301"/>
      <c r="V790" s="301"/>
    </row>
    <row r="791" spans="1:22" ht="14.4" thickTop="1" thickBot="1" x14ac:dyDescent="0.3">
      <c r="A791" s="292"/>
      <c r="B791" s="293" t="s">
        <v>2065</v>
      </c>
      <c r="C791" s="294"/>
      <c r="D791" s="294"/>
      <c r="E791" s="294">
        <v>2</v>
      </c>
      <c r="F791" s="310">
        <v>16.042000000000002</v>
      </c>
      <c r="G791" s="310"/>
      <c r="H791" s="310">
        <v>0.5</v>
      </c>
      <c r="I791" s="295">
        <f t="shared" si="70"/>
        <v>16.042000000000002</v>
      </c>
      <c r="J791" s="295"/>
      <c r="K791" s="300">
        <f t="shared" si="39"/>
        <v>1.1000000000000001</v>
      </c>
      <c r="L791" s="300">
        <f t="shared" si="71"/>
        <v>0</v>
      </c>
      <c r="M791" s="285">
        <f t="shared" si="72"/>
        <v>0</v>
      </c>
      <c r="N791" s="1076">
        <f t="shared" si="73"/>
        <v>0</v>
      </c>
      <c r="O791" s="294"/>
      <c r="P791" s="404"/>
      <c r="Q791" s="404"/>
      <c r="R791" s="301"/>
      <c r="S791" s="301"/>
      <c r="T791" s="301"/>
      <c r="U791" s="301"/>
      <c r="V791" s="301"/>
    </row>
    <row r="792" spans="1:22" ht="14.4" thickTop="1" thickBot="1" x14ac:dyDescent="0.3">
      <c r="A792" s="292"/>
      <c r="B792" s="293" t="s">
        <v>2066</v>
      </c>
      <c r="C792" s="294"/>
      <c r="D792" s="294"/>
      <c r="E792" s="294">
        <v>2</v>
      </c>
      <c r="F792" s="310">
        <v>5.85</v>
      </c>
      <c r="G792" s="310"/>
      <c r="H792" s="310">
        <v>0.5</v>
      </c>
      <c r="I792" s="295">
        <f t="shared" si="70"/>
        <v>5.85</v>
      </c>
      <c r="J792" s="295"/>
      <c r="K792" s="300">
        <f t="shared" si="39"/>
        <v>1.1000000000000001</v>
      </c>
      <c r="L792" s="300">
        <f t="shared" si="71"/>
        <v>0</v>
      </c>
      <c r="M792" s="285">
        <f t="shared" si="72"/>
        <v>0</v>
      </c>
      <c r="N792" s="1076">
        <f t="shared" si="73"/>
        <v>0</v>
      </c>
      <c r="O792" s="294"/>
      <c r="P792" s="404"/>
      <c r="Q792" s="404"/>
      <c r="R792" s="301"/>
      <c r="S792" s="301"/>
      <c r="T792" s="301"/>
      <c r="U792" s="301"/>
      <c r="V792" s="301"/>
    </row>
    <row r="793" spans="1:22" ht="14.4" thickTop="1" thickBot="1" x14ac:dyDescent="0.3">
      <c r="A793" s="292"/>
      <c r="B793" s="293" t="s">
        <v>2067</v>
      </c>
      <c r="C793" s="294"/>
      <c r="D793" s="294"/>
      <c r="E793" s="294">
        <v>2</v>
      </c>
      <c r="F793" s="310">
        <v>2.8820000000000001</v>
      </c>
      <c r="G793" s="310"/>
      <c r="H793" s="310">
        <v>0.45</v>
      </c>
      <c r="I793" s="295">
        <f t="shared" si="70"/>
        <v>2.5938000000000003</v>
      </c>
      <c r="J793" s="295"/>
      <c r="K793" s="300">
        <f t="shared" si="39"/>
        <v>1.1000000000000001</v>
      </c>
      <c r="L793" s="300">
        <f t="shared" si="71"/>
        <v>0</v>
      </c>
      <c r="M793" s="285">
        <f t="shared" si="72"/>
        <v>0</v>
      </c>
      <c r="N793" s="1076">
        <f t="shared" si="73"/>
        <v>0</v>
      </c>
      <c r="O793" s="294"/>
      <c r="P793" s="404"/>
      <c r="Q793" s="404"/>
      <c r="R793" s="301"/>
      <c r="S793" s="301"/>
      <c r="T793" s="301"/>
      <c r="U793" s="301"/>
      <c r="V793" s="301"/>
    </row>
    <row r="794" spans="1:22" ht="14.4" thickTop="1" thickBot="1" x14ac:dyDescent="0.3">
      <c r="A794" s="292"/>
      <c r="B794" s="293" t="s">
        <v>2068</v>
      </c>
      <c r="C794" s="294"/>
      <c r="D794" s="294"/>
      <c r="E794" s="294">
        <v>2</v>
      </c>
      <c r="F794" s="310">
        <v>24.875</v>
      </c>
      <c r="G794" s="310"/>
      <c r="H794" s="310">
        <v>0.5</v>
      </c>
      <c r="I794" s="295">
        <f t="shared" si="70"/>
        <v>24.875</v>
      </c>
      <c r="J794" s="295"/>
      <c r="K794" s="300">
        <f t="shared" si="39"/>
        <v>1.1000000000000001</v>
      </c>
      <c r="L794" s="300">
        <f t="shared" si="71"/>
        <v>0</v>
      </c>
      <c r="M794" s="285">
        <f t="shared" si="72"/>
        <v>0</v>
      </c>
      <c r="N794" s="1076">
        <f t="shared" si="73"/>
        <v>0</v>
      </c>
      <c r="O794" s="294"/>
      <c r="P794" s="404"/>
      <c r="Q794" s="404"/>
      <c r="R794" s="301"/>
      <c r="S794" s="301"/>
      <c r="T794" s="301"/>
      <c r="U794" s="301"/>
      <c r="V794" s="301"/>
    </row>
    <row r="795" spans="1:22" ht="14.4" thickTop="1" thickBot="1" x14ac:dyDescent="0.3">
      <c r="A795" s="292"/>
      <c r="B795" s="293" t="s">
        <v>2069</v>
      </c>
      <c r="C795" s="294"/>
      <c r="D795" s="294"/>
      <c r="E795" s="294">
        <v>2</v>
      </c>
      <c r="F795" s="310">
        <v>3.262</v>
      </c>
      <c r="G795" s="310"/>
      <c r="H795" s="310">
        <v>0.5</v>
      </c>
      <c r="I795" s="295">
        <f t="shared" si="70"/>
        <v>3.262</v>
      </c>
      <c r="J795" s="295"/>
      <c r="K795" s="300">
        <f t="shared" si="39"/>
        <v>1.1000000000000001</v>
      </c>
      <c r="L795" s="300">
        <f t="shared" si="71"/>
        <v>0</v>
      </c>
      <c r="M795" s="285">
        <f t="shared" si="72"/>
        <v>0</v>
      </c>
      <c r="N795" s="1076">
        <f t="shared" si="73"/>
        <v>0</v>
      </c>
      <c r="O795" s="294"/>
      <c r="P795" s="404"/>
      <c r="Q795" s="404"/>
      <c r="R795" s="301"/>
      <c r="S795" s="301"/>
      <c r="T795" s="301"/>
      <c r="U795" s="301"/>
      <c r="V795" s="301"/>
    </row>
    <row r="796" spans="1:22" ht="14.4" thickTop="1" thickBot="1" x14ac:dyDescent="0.3">
      <c r="A796" s="292"/>
      <c r="B796" s="293" t="s">
        <v>2070</v>
      </c>
      <c r="C796" s="294"/>
      <c r="D796" s="294"/>
      <c r="E796" s="294">
        <v>2</v>
      </c>
      <c r="F796" s="310">
        <v>12.05</v>
      </c>
      <c r="G796" s="310"/>
      <c r="H796" s="310">
        <v>0.5</v>
      </c>
      <c r="I796" s="295">
        <f t="shared" si="70"/>
        <v>12.05</v>
      </c>
      <c r="J796" s="295"/>
      <c r="K796" s="300">
        <f t="shared" si="39"/>
        <v>1.1000000000000001</v>
      </c>
      <c r="L796" s="300">
        <f t="shared" si="71"/>
        <v>0</v>
      </c>
      <c r="M796" s="285">
        <f t="shared" si="72"/>
        <v>0</v>
      </c>
      <c r="N796" s="1076">
        <f t="shared" si="73"/>
        <v>0</v>
      </c>
      <c r="O796" s="294"/>
      <c r="P796" s="404"/>
      <c r="Q796" s="404"/>
      <c r="R796" s="301"/>
      <c r="S796" s="301"/>
      <c r="T796" s="301"/>
      <c r="U796" s="301"/>
      <c r="V796" s="301"/>
    </row>
    <row r="797" spans="1:22" ht="14.4" thickTop="1" thickBot="1" x14ac:dyDescent="0.3">
      <c r="A797" s="292"/>
      <c r="B797" s="293" t="s">
        <v>2071</v>
      </c>
      <c r="C797" s="294"/>
      <c r="D797" s="294"/>
      <c r="E797" s="294">
        <v>2</v>
      </c>
      <c r="F797" s="310">
        <v>8.6880000000000006</v>
      </c>
      <c r="G797" s="310"/>
      <c r="H797" s="310">
        <v>0.5</v>
      </c>
      <c r="I797" s="295">
        <f t="shared" si="70"/>
        <v>8.6880000000000006</v>
      </c>
      <c r="J797" s="295"/>
      <c r="K797" s="300">
        <f t="shared" si="39"/>
        <v>1.1000000000000001</v>
      </c>
      <c r="L797" s="300">
        <f t="shared" si="71"/>
        <v>0</v>
      </c>
      <c r="M797" s="285">
        <f t="shared" si="72"/>
        <v>0</v>
      </c>
      <c r="N797" s="1076">
        <f t="shared" si="73"/>
        <v>0</v>
      </c>
      <c r="O797" s="294"/>
      <c r="P797" s="404"/>
      <c r="Q797" s="404"/>
      <c r="R797" s="301"/>
      <c r="S797" s="301"/>
      <c r="T797" s="301"/>
      <c r="U797" s="301"/>
      <c r="V797" s="301"/>
    </row>
    <row r="798" spans="1:22" ht="14.4" thickTop="1" thickBot="1" x14ac:dyDescent="0.3">
      <c r="A798" s="292"/>
      <c r="B798" s="293" t="s">
        <v>2072</v>
      </c>
      <c r="C798" s="294"/>
      <c r="D798" s="294"/>
      <c r="E798" s="294">
        <v>2</v>
      </c>
      <c r="F798" s="310">
        <v>16.774999999999999</v>
      </c>
      <c r="G798" s="310"/>
      <c r="H798" s="310">
        <v>0.5</v>
      </c>
      <c r="I798" s="295">
        <f t="shared" si="70"/>
        <v>16.774999999999999</v>
      </c>
      <c r="J798" s="295"/>
      <c r="K798" s="300">
        <f t="shared" si="39"/>
        <v>1.1000000000000001</v>
      </c>
      <c r="L798" s="300">
        <f t="shared" si="71"/>
        <v>0</v>
      </c>
      <c r="M798" s="285">
        <f t="shared" si="72"/>
        <v>0</v>
      </c>
      <c r="N798" s="1076">
        <f t="shared" si="73"/>
        <v>0</v>
      </c>
      <c r="O798" s="294"/>
      <c r="P798" s="404"/>
      <c r="Q798" s="404"/>
      <c r="R798" s="301"/>
      <c r="S798" s="301"/>
      <c r="T798" s="301"/>
      <c r="U798" s="301"/>
      <c r="V798" s="301"/>
    </row>
    <row r="799" spans="1:22" ht="14.4" thickTop="1" thickBot="1" x14ac:dyDescent="0.3">
      <c r="A799" s="292"/>
      <c r="B799" s="293" t="s">
        <v>2073</v>
      </c>
      <c r="C799" s="294"/>
      <c r="D799" s="294"/>
      <c r="E799" s="294">
        <v>2</v>
      </c>
      <c r="F799" s="310">
        <v>5.9249999999999998</v>
      </c>
      <c r="G799" s="310"/>
      <c r="H799" s="310">
        <v>0.45</v>
      </c>
      <c r="I799" s="295">
        <f t="shared" si="70"/>
        <v>5.3324999999999996</v>
      </c>
      <c r="J799" s="295"/>
      <c r="K799" s="300">
        <f t="shared" si="39"/>
        <v>1.1000000000000001</v>
      </c>
      <c r="L799" s="300">
        <f t="shared" si="71"/>
        <v>0</v>
      </c>
      <c r="M799" s="285">
        <f t="shared" si="72"/>
        <v>0</v>
      </c>
      <c r="N799" s="1076">
        <f t="shared" si="73"/>
        <v>0</v>
      </c>
      <c r="O799" s="294"/>
      <c r="P799" s="404"/>
      <c r="Q799" s="404"/>
      <c r="R799" s="301"/>
      <c r="S799" s="301"/>
      <c r="T799" s="301"/>
      <c r="U799" s="301"/>
      <c r="V799" s="301"/>
    </row>
    <row r="800" spans="1:22" ht="14.4" thickTop="1" thickBot="1" x14ac:dyDescent="0.3">
      <c r="A800" s="292"/>
      <c r="B800" s="293" t="s">
        <v>2074</v>
      </c>
      <c r="C800" s="294"/>
      <c r="D800" s="294"/>
      <c r="E800" s="294">
        <v>2</v>
      </c>
      <c r="F800" s="310">
        <v>5.0430000000000001</v>
      </c>
      <c r="G800" s="310"/>
      <c r="H800" s="310">
        <v>0.45</v>
      </c>
      <c r="I800" s="295">
        <f t="shared" si="70"/>
        <v>4.5387000000000004</v>
      </c>
      <c r="J800" s="295"/>
      <c r="K800" s="300">
        <f t="shared" si="39"/>
        <v>1.1000000000000001</v>
      </c>
      <c r="L800" s="300">
        <f t="shared" si="71"/>
        <v>0</v>
      </c>
      <c r="M800" s="285">
        <f t="shared" si="72"/>
        <v>0</v>
      </c>
      <c r="N800" s="1076">
        <f t="shared" si="73"/>
        <v>0</v>
      </c>
      <c r="O800" s="294"/>
      <c r="P800" s="404"/>
      <c r="Q800" s="404"/>
      <c r="R800" s="301"/>
      <c r="S800" s="301"/>
      <c r="T800" s="301"/>
      <c r="U800" s="301"/>
      <c r="V800" s="301"/>
    </row>
    <row r="801" spans="1:22" ht="14.4" thickTop="1" thickBot="1" x14ac:dyDescent="0.3">
      <c r="A801" s="292"/>
      <c r="B801" s="293" t="s">
        <v>2075</v>
      </c>
      <c r="C801" s="294"/>
      <c r="D801" s="294"/>
      <c r="E801" s="294">
        <v>2</v>
      </c>
      <c r="F801" s="310">
        <v>3.2120000000000002</v>
      </c>
      <c r="G801" s="310"/>
      <c r="H801" s="310">
        <v>0.5</v>
      </c>
      <c r="I801" s="295">
        <f t="shared" si="70"/>
        <v>3.2120000000000002</v>
      </c>
      <c r="J801" s="295"/>
      <c r="K801" s="300">
        <f t="shared" si="39"/>
        <v>1.1000000000000001</v>
      </c>
      <c r="L801" s="300">
        <f t="shared" si="71"/>
        <v>0</v>
      </c>
      <c r="M801" s="285">
        <f t="shared" si="72"/>
        <v>0</v>
      </c>
      <c r="N801" s="1076">
        <f t="shared" si="73"/>
        <v>0</v>
      </c>
      <c r="O801" s="294"/>
      <c r="P801" s="404"/>
      <c r="Q801" s="404"/>
      <c r="R801" s="301"/>
      <c r="S801" s="301"/>
      <c r="T801" s="301"/>
      <c r="U801" s="301"/>
      <c r="V801" s="301"/>
    </row>
    <row r="802" spans="1:22" ht="14.4" thickTop="1" thickBot="1" x14ac:dyDescent="0.3">
      <c r="A802" s="292"/>
      <c r="B802" s="293" t="s">
        <v>2076</v>
      </c>
      <c r="C802" s="294"/>
      <c r="D802" s="294"/>
      <c r="E802" s="294">
        <v>2</v>
      </c>
      <c r="F802" s="310">
        <v>16.774999999999999</v>
      </c>
      <c r="G802" s="310"/>
      <c r="H802" s="310">
        <v>0.6</v>
      </c>
      <c r="I802" s="295">
        <f t="shared" si="70"/>
        <v>20.13</v>
      </c>
      <c r="J802" s="295"/>
      <c r="K802" s="300">
        <f t="shared" si="39"/>
        <v>1.1000000000000001</v>
      </c>
      <c r="L802" s="300">
        <f t="shared" si="71"/>
        <v>0</v>
      </c>
      <c r="M802" s="285">
        <f t="shared" si="72"/>
        <v>0</v>
      </c>
      <c r="N802" s="1076">
        <f t="shared" si="73"/>
        <v>0</v>
      </c>
      <c r="O802" s="294"/>
      <c r="P802" s="404"/>
      <c r="Q802" s="404"/>
      <c r="R802" s="301"/>
      <c r="S802" s="301"/>
      <c r="T802" s="301"/>
      <c r="U802" s="301"/>
      <c r="V802" s="301"/>
    </row>
    <row r="803" spans="1:22" ht="14.4" thickTop="1" thickBot="1" x14ac:dyDescent="0.3">
      <c r="A803" s="292"/>
      <c r="B803" s="293" t="s">
        <v>2077</v>
      </c>
      <c r="C803" s="294"/>
      <c r="D803" s="294"/>
      <c r="E803" s="294">
        <v>2</v>
      </c>
      <c r="F803" s="310">
        <v>18.774999999999999</v>
      </c>
      <c r="G803" s="310"/>
      <c r="H803" s="310">
        <v>0.5</v>
      </c>
      <c r="I803" s="295">
        <f t="shared" si="70"/>
        <v>18.774999999999999</v>
      </c>
      <c r="J803" s="295"/>
      <c r="K803" s="300">
        <f t="shared" si="39"/>
        <v>1.1000000000000001</v>
      </c>
      <c r="L803" s="300">
        <f t="shared" si="71"/>
        <v>0</v>
      </c>
      <c r="M803" s="285">
        <f t="shared" si="72"/>
        <v>0</v>
      </c>
      <c r="N803" s="1076">
        <f t="shared" si="73"/>
        <v>0</v>
      </c>
      <c r="O803" s="294"/>
      <c r="P803" s="404"/>
      <c r="Q803" s="404"/>
      <c r="R803" s="301"/>
      <c r="S803" s="301"/>
      <c r="T803" s="301"/>
      <c r="U803" s="301"/>
      <c r="V803" s="301"/>
    </row>
    <row r="804" spans="1:22" ht="14.4" thickTop="1" thickBot="1" x14ac:dyDescent="0.3">
      <c r="A804" s="292"/>
      <c r="B804" s="293" t="s">
        <v>2078</v>
      </c>
      <c r="C804" s="294"/>
      <c r="D804" s="294"/>
      <c r="E804" s="294">
        <v>2</v>
      </c>
      <c r="F804" s="310">
        <v>8.2249999999999996</v>
      </c>
      <c r="G804" s="310"/>
      <c r="H804" s="310">
        <v>0.5</v>
      </c>
      <c r="I804" s="295">
        <f t="shared" si="70"/>
        <v>8.2249999999999996</v>
      </c>
      <c r="J804" s="295"/>
      <c r="K804" s="300">
        <f t="shared" si="39"/>
        <v>1.1000000000000001</v>
      </c>
      <c r="L804" s="300">
        <f t="shared" si="71"/>
        <v>0</v>
      </c>
      <c r="M804" s="285">
        <f t="shared" si="72"/>
        <v>0</v>
      </c>
      <c r="N804" s="1076">
        <f t="shared" si="73"/>
        <v>0</v>
      </c>
      <c r="O804" s="294"/>
      <c r="P804" s="404"/>
      <c r="Q804" s="404"/>
      <c r="R804" s="301"/>
      <c r="S804" s="301"/>
      <c r="T804" s="301"/>
      <c r="U804" s="301"/>
      <c r="V804" s="301"/>
    </row>
    <row r="805" spans="1:22" ht="14.4" thickTop="1" thickBot="1" x14ac:dyDescent="0.3">
      <c r="A805" s="292"/>
      <c r="B805" s="293" t="s">
        <v>2079</v>
      </c>
      <c r="C805" s="294"/>
      <c r="D805" s="294"/>
      <c r="E805" s="294">
        <v>2</v>
      </c>
      <c r="F805" s="310">
        <v>10.512</v>
      </c>
      <c r="G805" s="310"/>
      <c r="H805" s="310">
        <v>0.6</v>
      </c>
      <c r="I805" s="295">
        <f t="shared" si="70"/>
        <v>12.6144</v>
      </c>
      <c r="J805" s="295"/>
      <c r="K805" s="300">
        <f t="shared" si="39"/>
        <v>1.1000000000000001</v>
      </c>
      <c r="L805" s="300">
        <f t="shared" si="71"/>
        <v>0</v>
      </c>
      <c r="M805" s="285">
        <f t="shared" si="72"/>
        <v>0</v>
      </c>
      <c r="N805" s="1076">
        <f t="shared" si="73"/>
        <v>0</v>
      </c>
      <c r="O805" s="294"/>
      <c r="P805" s="404"/>
      <c r="Q805" s="404"/>
      <c r="R805" s="301"/>
      <c r="S805" s="301"/>
      <c r="T805" s="301"/>
      <c r="U805" s="301"/>
      <c r="V805" s="301"/>
    </row>
    <row r="806" spans="1:22" ht="14.4" thickTop="1" thickBot="1" x14ac:dyDescent="0.3">
      <c r="A806" s="292"/>
      <c r="B806" s="293" t="s">
        <v>2080</v>
      </c>
      <c r="C806" s="294"/>
      <c r="D806" s="294"/>
      <c r="E806" s="294">
        <v>2</v>
      </c>
      <c r="F806" s="310">
        <v>18.55</v>
      </c>
      <c r="G806" s="310"/>
      <c r="H806" s="310">
        <v>0.6</v>
      </c>
      <c r="I806" s="295">
        <f t="shared" si="70"/>
        <v>22.26</v>
      </c>
      <c r="J806" s="295"/>
      <c r="K806" s="300">
        <f t="shared" si="39"/>
        <v>1.1000000000000001</v>
      </c>
      <c r="L806" s="300">
        <f t="shared" si="71"/>
        <v>0</v>
      </c>
      <c r="M806" s="285">
        <f t="shared" si="72"/>
        <v>0</v>
      </c>
      <c r="N806" s="1076">
        <f t="shared" si="73"/>
        <v>0</v>
      </c>
      <c r="O806" s="294"/>
      <c r="P806" s="404"/>
      <c r="Q806" s="404"/>
      <c r="R806" s="301"/>
      <c r="S806" s="301"/>
      <c r="T806" s="301"/>
      <c r="U806" s="301"/>
      <c r="V806" s="301"/>
    </row>
    <row r="807" spans="1:22" ht="14.4" thickTop="1" thickBot="1" x14ac:dyDescent="0.3">
      <c r="A807" s="292"/>
      <c r="B807" s="293" t="s">
        <v>2081</v>
      </c>
      <c r="C807" s="294"/>
      <c r="D807" s="294"/>
      <c r="E807" s="294">
        <v>2</v>
      </c>
      <c r="F807" s="310">
        <v>19</v>
      </c>
      <c r="G807" s="310"/>
      <c r="H807" s="310">
        <v>0.5</v>
      </c>
      <c r="I807" s="295">
        <f t="shared" si="70"/>
        <v>19</v>
      </c>
      <c r="J807" s="295"/>
      <c r="K807" s="300">
        <f t="shared" si="39"/>
        <v>1.1000000000000001</v>
      </c>
      <c r="L807" s="300">
        <f t="shared" si="71"/>
        <v>0</v>
      </c>
      <c r="M807" s="285">
        <f t="shared" si="72"/>
        <v>0</v>
      </c>
      <c r="N807" s="1076">
        <f t="shared" si="73"/>
        <v>0</v>
      </c>
      <c r="O807" s="294"/>
      <c r="P807" s="404"/>
      <c r="Q807" s="404"/>
      <c r="R807" s="301"/>
      <c r="S807" s="301"/>
      <c r="T807" s="301"/>
      <c r="U807" s="301"/>
      <c r="V807" s="301"/>
    </row>
    <row r="808" spans="1:22" ht="14.4" thickTop="1" thickBot="1" x14ac:dyDescent="0.3">
      <c r="A808" s="292"/>
      <c r="B808" s="293"/>
      <c r="C808" s="294"/>
      <c r="D808" s="294"/>
      <c r="E808" s="294"/>
      <c r="F808" s="310"/>
      <c r="G808" s="310"/>
      <c r="H808" s="310"/>
      <c r="I808" s="295"/>
      <c r="J808" s="295">
        <f>SUM(I758:I807)</f>
        <v>698.9129999999999</v>
      </c>
      <c r="K808" s="300">
        <f t="shared" si="39"/>
        <v>1.1000000000000001</v>
      </c>
      <c r="L808" s="300">
        <f t="shared" si="71"/>
        <v>768.8042999999999</v>
      </c>
      <c r="M808" s="285">
        <f t="shared" si="72"/>
        <v>768.8</v>
      </c>
      <c r="N808" s="1076">
        <f t="shared" si="73"/>
        <v>769</v>
      </c>
      <c r="O808" s="294"/>
      <c r="P808" s="404"/>
      <c r="Q808" s="404"/>
      <c r="R808" s="301"/>
      <c r="S808" s="301"/>
      <c r="T808" s="301"/>
      <c r="U808" s="301"/>
      <c r="V808" s="301"/>
    </row>
    <row r="809" spans="1:22" ht="14.4" thickTop="1" thickBot="1" x14ac:dyDescent="0.3">
      <c r="A809" s="292"/>
      <c r="B809" s="293"/>
      <c r="C809" s="294"/>
      <c r="D809" s="294"/>
      <c r="E809" s="294"/>
      <c r="F809" s="310"/>
      <c r="G809" s="310"/>
      <c r="H809" s="310"/>
      <c r="I809" s="295"/>
      <c r="J809" s="295">
        <f>J808*10.76</f>
        <v>7520.3038799999986</v>
      </c>
      <c r="K809" s="300">
        <f t="shared" si="39"/>
        <v>1.1000000000000001</v>
      </c>
      <c r="L809" s="300">
        <f t="shared" si="71"/>
        <v>8272.3342679999987</v>
      </c>
      <c r="M809" s="285">
        <f t="shared" si="72"/>
        <v>8272.2999999999993</v>
      </c>
      <c r="N809" s="1076">
        <f t="shared" si="73"/>
        <v>8273</v>
      </c>
      <c r="O809" s="294"/>
      <c r="P809" s="404"/>
      <c r="Q809" s="404"/>
      <c r="R809" s="301"/>
      <c r="S809" s="301"/>
      <c r="T809" s="301"/>
      <c r="U809" s="301"/>
      <c r="V809" s="301"/>
    </row>
    <row r="810" spans="1:22" ht="14.4" thickTop="1" thickBot="1" x14ac:dyDescent="0.3">
      <c r="A810" s="292"/>
      <c r="B810" s="293"/>
      <c r="C810" s="294"/>
      <c r="D810" s="294"/>
      <c r="E810" s="294"/>
      <c r="F810" s="310"/>
      <c r="G810" s="310"/>
      <c r="H810" s="310"/>
      <c r="I810" s="295"/>
      <c r="J810" s="295">
        <f>J809/100</f>
        <v>75.203038799999987</v>
      </c>
      <c r="K810" s="300">
        <v>1.03</v>
      </c>
      <c r="L810" s="300">
        <f t="shared" si="71"/>
        <v>77.459129963999985</v>
      </c>
      <c r="M810" s="285">
        <f t="shared" si="72"/>
        <v>77.5</v>
      </c>
      <c r="N810" s="1076">
        <f t="shared" si="73"/>
        <v>78</v>
      </c>
      <c r="O810" s="294"/>
      <c r="P810" s="413">
        <f>N810-J810</f>
        <v>2.7969612000000126</v>
      </c>
      <c r="Q810" s="413">
        <f>P810*100</f>
        <v>279.69612000000126</v>
      </c>
      <c r="R810" s="301"/>
      <c r="S810" s="301"/>
      <c r="T810" s="301"/>
      <c r="U810" s="301"/>
      <c r="V810" s="301"/>
    </row>
    <row r="811" spans="1:22" ht="14.4" thickTop="1" thickBot="1" x14ac:dyDescent="0.3">
      <c r="A811" s="292"/>
      <c r="B811" s="293"/>
      <c r="C811" s="294"/>
      <c r="D811" s="294"/>
      <c r="E811" s="294"/>
      <c r="F811" s="310"/>
      <c r="G811" s="310"/>
      <c r="H811" s="310"/>
      <c r="I811" s="295"/>
      <c r="J811" s="295"/>
      <c r="K811" s="300">
        <f t="shared" si="39"/>
        <v>1.1000000000000001</v>
      </c>
      <c r="L811" s="300">
        <f t="shared" si="71"/>
        <v>0</v>
      </c>
      <c r="M811" s="285">
        <f t="shared" si="72"/>
        <v>0</v>
      </c>
      <c r="N811" s="1076">
        <f t="shared" si="73"/>
        <v>0</v>
      </c>
      <c r="O811" s="294"/>
      <c r="P811" s="404"/>
      <c r="Q811" s="404"/>
      <c r="R811" s="301"/>
      <c r="S811" s="301"/>
      <c r="T811" s="301"/>
      <c r="U811" s="301"/>
      <c r="V811" s="301"/>
    </row>
    <row r="812" spans="1:22" ht="14.4" thickTop="1" thickBot="1" x14ac:dyDescent="0.3">
      <c r="A812" s="292"/>
      <c r="B812" s="293" t="s">
        <v>2086</v>
      </c>
      <c r="C812" s="294"/>
      <c r="D812" s="294"/>
      <c r="E812" s="294"/>
      <c r="F812" s="310"/>
      <c r="G812" s="310"/>
      <c r="H812" s="310"/>
      <c r="I812" s="295"/>
      <c r="J812" s="295"/>
      <c r="K812" s="300">
        <f t="shared" si="39"/>
        <v>1.1000000000000001</v>
      </c>
      <c r="L812" s="300">
        <f t="shared" si="71"/>
        <v>0</v>
      </c>
      <c r="M812" s="285">
        <f t="shared" si="72"/>
        <v>0</v>
      </c>
      <c r="N812" s="1076">
        <f t="shared" si="73"/>
        <v>0</v>
      </c>
      <c r="O812" s="294"/>
      <c r="P812" s="404"/>
      <c r="Q812" s="404"/>
      <c r="R812" s="301"/>
      <c r="S812" s="301"/>
      <c r="T812" s="301"/>
      <c r="U812" s="301"/>
      <c r="V812" s="301"/>
    </row>
    <row r="813" spans="1:22" ht="14.4" thickTop="1" thickBot="1" x14ac:dyDescent="0.3">
      <c r="A813" s="292"/>
      <c r="B813" s="293" t="s">
        <v>2087</v>
      </c>
      <c r="C813" s="294"/>
      <c r="D813" s="294"/>
      <c r="E813" s="294">
        <v>28</v>
      </c>
      <c r="F813" s="310">
        <v>0.85</v>
      </c>
      <c r="G813" s="310">
        <v>0.85</v>
      </c>
      <c r="H813" s="310"/>
      <c r="I813" s="295">
        <f>G813*F813*E813</f>
        <v>20.229999999999997</v>
      </c>
      <c r="J813" s="295"/>
      <c r="K813" s="300">
        <f t="shared" si="39"/>
        <v>1.1000000000000001</v>
      </c>
      <c r="L813" s="300">
        <f t="shared" si="71"/>
        <v>0</v>
      </c>
      <c r="M813" s="285">
        <f t="shared" si="72"/>
        <v>0</v>
      </c>
      <c r="N813" s="1076">
        <f t="shared" si="73"/>
        <v>0</v>
      </c>
      <c r="O813" s="294"/>
      <c r="P813" s="404"/>
      <c r="Q813" s="404"/>
      <c r="R813" s="301"/>
      <c r="S813" s="301"/>
      <c r="T813" s="301"/>
      <c r="U813" s="301"/>
      <c r="V813" s="301"/>
    </row>
    <row r="814" spans="1:22" ht="14.4" thickTop="1" thickBot="1" x14ac:dyDescent="0.3">
      <c r="A814" s="292"/>
      <c r="B814" s="293" t="s">
        <v>2088</v>
      </c>
      <c r="C814" s="294"/>
      <c r="D814" s="294"/>
      <c r="E814" s="294">
        <v>27</v>
      </c>
      <c r="F814" s="310">
        <v>0.95</v>
      </c>
      <c r="G814" s="310">
        <v>0.95</v>
      </c>
      <c r="H814" s="310"/>
      <c r="I814" s="295">
        <f t="shared" ref="I814:I817" si="74">G814*F814*E814</f>
        <v>24.3675</v>
      </c>
      <c r="J814" s="295"/>
      <c r="K814" s="300">
        <f t="shared" si="39"/>
        <v>1.1000000000000001</v>
      </c>
      <c r="L814" s="300">
        <f t="shared" si="71"/>
        <v>0</v>
      </c>
      <c r="M814" s="285">
        <f t="shared" si="72"/>
        <v>0</v>
      </c>
      <c r="N814" s="1076">
        <f t="shared" si="73"/>
        <v>0</v>
      </c>
      <c r="O814" s="294"/>
      <c r="P814" s="404"/>
      <c r="Q814" s="404"/>
      <c r="R814" s="301"/>
      <c r="S814" s="301"/>
      <c r="T814" s="301"/>
      <c r="U814" s="301"/>
      <c r="V814" s="301"/>
    </row>
    <row r="815" spans="1:22" ht="14.4" thickTop="1" thickBot="1" x14ac:dyDescent="0.3">
      <c r="A815" s="292"/>
      <c r="B815" s="293" t="s">
        <v>2089</v>
      </c>
      <c r="C815" s="294"/>
      <c r="D815" s="294"/>
      <c r="E815" s="294">
        <v>13</v>
      </c>
      <c r="F815" s="310">
        <v>1.05</v>
      </c>
      <c r="G815" s="310">
        <v>1.05</v>
      </c>
      <c r="H815" s="310"/>
      <c r="I815" s="295">
        <f t="shared" si="74"/>
        <v>14.3325</v>
      </c>
      <c r="J815" s="295"/>
      <c r="K815" s="300">
        <f t="shared" si="39"/>
        <v>1.1000000000000001</v>
      </c>
      <c r="L815" s="300">
        <f t="shared" si="71"/>
        <v>0</v>
      </c>
      <c r="M815" s="285">
        <f t="shared" si="72"/>
        <v>0</v>
      </c>
      <c r="N815" s="1076">
        <f t="shared" si="73"/>
        <v>0</v>
      </c>
      <c r="O815" s="294"/>
      <c r="P815" s="404"/>
      <c r="Q815" s="404"/>
      <c r="R815" s="301"/>
      <c r="S815" s="301"/>
      <c r="T815" s="301"/>
      <c r="U815" s="301"/>
      <c r="V815" s="301"/>
    </row>
    <row r="816" spans="1:22" ht="14.4" thickTop="1" thickBot="1" x14ac:dyDescent="0.3">
      <c r="A816" s="292"/>
      <c r="B816" s="293" t="s">
        <v>2090</v>
      </c>
      <c r="C816" s="294"/>
      <c r="D816" s="294"/>
      <c r="E816" s="294">
        <v>8</v>
      </c>
      <c r="F816" s="310">
        <v>1.2</v>
      </c>
      <c r="G816" s="310">
        <v>1.2</v>
      </c>
      <c r="H816" s="310"/>
      <c r="I816" s="295">
        <f t="shared" si="74"/>
        <v>11.52</v>
      </c>
      <c r="J816" s="295"/>
      <c r="K816" s="300">
        <f t="shared" si="39"/>
        <v>1.1000000000000001</v>
      </c>
      <c r="L816" s="300">
        <f t="shared" si="71"/>
        <v>0</v>
      </c>
      <c r="M816" s="285">
        <f t="shared" si="72"/>
        <v>0</v>
      </c>
      <c r="N816" s="1076">
        <f t="shared" si="73"/>
        <v>0</v>
      </c>
      <c r="O816" s="294"/>
      <c r="P816" s="404"/>
      <c r="Q816" s="404"/>
      <c r="R816" s="301"/>
      <c r="S816" s="301"/>
      <c r="T816" s="301"/>
      <c r="U816" s="301"/>
      <c r="V816" s="301"/>
    </row>
    <row r="817" spans="1:22" ht="14.4" thickTop="1" thickBot="1" x14ac:dyDescent="0.3">
      <c r="A817" s="292"/>
      <c r="B817" s="293" t="s">
        <v>2091</v>
      </c>
      <c r="C817" s="294"/>
      <c r="D817" s="294"/>
      <c r="E817" s="294">
        <v>3</v>
      </c>
      <c r="F817" s="310">
        <v>1.25</v>
      </c>
      <c r="G817" s="310">
        <v>1.25</v>
      </c>
      <c r="H817" s="310"/>
      <c r="I817" s="295">
        <f t="shared" si="74"/>
        <v>4.6875</v>
      </c>
      <c r="J817" s="295"/>
      <c r="K817" s="300">
        <f t="shared" si="39"/>
        <v>1.1000000000000001</v>
      </c>
      <c r="L817" s="300">
        <f t="shared" si="71"/>
        <v>0</v>
      </c>
      <c r="M817" s="285">
        <f t="shared" si="72"/>
        <v>0</v>
      </c>
      <c r="N817" s="1076">
        <f t="shared" si="73"/>
        <v>0</v>
      </c>
      <c r="O817" s="294"/>
      <c r="P817" s="404"/>
      <c r="Q817" s="404"/>
      <c r="R817" s="301"/>
      <c r="S817" s="301"/>
      <c r="T817" s="301"/>
      <c r="U817" s="301"/>
      <c r="V817" s="301"/>
    </row>
    <row r="818" spans="1:22" ht="14.4" thickTop="1" thickBot="1" x14ac:dyDescent="0.3">
      <c r="A818" s="292"/>
      <c r="B818" s="293"/>
      <c r="C818" s="294"/>
      <c r="D818" s="294"/>
      <c r="E818" s="294"/>
      <c r="F818" s="310"/>
      <c r="G818" s="310"/>
      <c r="H818" s="310"/>
      <c r="I818" s="295"/>
      <c r="J818" s="295">
        <f>SUM(I813:I817)</f>
        <v>75.137499999999989</v>
      </c>
      <c r="K818" s="300">
        <f t="shared" si="39"/>
        <v>1.1000000000000001</v>
      </c>
      <c r="L818" s="300">
        <f t="shared" si="71"/>
        <v>82.65124999999999</v>
      </c>
      <c r="M818" s="285">
        <f t="shared" si="72"/>
        <v>82.7</v>
      </c>
      <c r="N818" s="1076">
        <f t="shared" si="73"/>
        <v>83</v>
      </c>
      <c r="O818" s="294"/>
      <c r="P818" s="404"/>
      <c r="Q818" s="404"/>
      <c r="R818" s="301"/>
      <c r="S818" s="301"/>
      <c r="T818" s="301"/>
      <c r="U818" s="301"/>
      <c r="V818" s="301"/>
    </row>
    <row r="819" spans="1:22" ht="14.4" thickTop="1" thickBot="1" x14ac:dyDescent="0.3">
      <c r="A819" s="292"/>
      <c r="B819" s="293"/>
      <c r="C819" s="294"/>
      <c r="D819" s="294"/>
      <c r="E819" s="294"/>
      <c r="F819" s="310"/>
      <c r="G819" s="310"/>
      <c r="H819" s="310"/>
      <c r="I819" s="295"/>
      <c r="J819" s="295">
        <f>J818*10.76</f>
        <v>808.47949999999992</v>
      </c>
      <c r="K819" s="300">
        <f t="shared" si="39"/>
        <v>1.1000000000000001</v>
      </c>
      <c r="L819" s="300">
        <f t="shared" si="71"/>
        <v>889.32745</v>
      </c>
      <c r="M819" s="285">
        <f t="shared" si="72"/>
        <v>889.3</v>
      </c>
      <c r="N819" s="1076">
        <f t="shared" si="73"/>
        <v>890</v>
      </c>
      <c r="O819" s="294"/>
      <c r="P819" s="404"/>
      <c r="Q819" s="404"/>
      <c r="R819" s="301"/>
      <c r="S819" s="301"/>
      <c r="T819" s="301"/>
      <c r="U819" s="301"/>
      <c r="V819" s="301"/>
    </row>
    <row r="820" spans="1:22" ht="14.4" thickTop="1" thickBot="1" x14ac:dyDescent="0.3">
      <c r="A820" s="292"/>
      <c r="B820" s="293"/>
      <c r="C820" s="294"/>
      <c r="D820" s="294"/>
      <c r="E820" s="294"/>
      <c r="F820" s="310"/>
      <c r="G820" s="310"/>
      <c r="H820" s="310"/>
      <c r="I820" s="295"/>
      <c r="J820" s="295">
        <f>J819/100</f>
        <v>8.0847949999999997</v>
      </c>
      <c r="K820" s="300">
        <v>1.05</v>
      </c>
      <c r="L820" s="300">
        <f t="shared" si="71"/>
        <v>8.4890347500000001</v>
      </c>
      <c r="M820" s="285">
        <f t="shared" si="72"/>
        <v>8.5</v>
      </c>
      <c r="N820" s="1076">
        <f t="shared" si="73"/>
        <v>9</v>
      </c>
      <c r="O820" s="294"/>
      <c r="P820" s="413">
        <f>N820-J820</f>
        <v>0.91520500000000027</v>
      </c>
      <c r="Q820" s="404"/>
      <c r="R820" s="301"/>
      <c r="S820" s="301"/>
      <c r="T820" s="301"/>
      <c r="U820" s="301"/>
      <c r="V820" s="301"/>
    </row>
    <row r="821" spans="1:22" ht="14.4" thickTop="1" thickBot="1" x14ac:dyDescent="0.3">
      <c r="A821" s="292"/>
      <c r="B821" s="293"/>
      <c r="C821" s="294"/>
      <c r="D821" s="294"/>
      <c r="E821" s="294"/>
      <c r="F821" s="310"/>
      <c r="G821" s="310"/>
      <c r="H821" s="310"/>
      <c r="I821" s="295"/>
      <c r="J821" s="295"/>
      <c r="K821" s="300">
        <f t="shared" si="39"/>
        <v>1.1000000000000001</v>
      </c>
      <c r="L821" s="300">
        <f t="shared" si="71"/>
        <v>0</v>
      </c>
      <c r="M821" s="285">
        <f t="shared" si="72"/>
        <v>0</v>
      </c>
      <c r="N821" s="1076">
        <f t="shared" si="73"/>
        <v>0</v>
      </c>
      <c r="O821" s="294"/>
      <c r="P821" s="404"/>
      <c r="Q821" s="404"/>
      <c r="R821" s="301"/>
      <c r="S821" s="301"/>
      <c r="T821" s="301"/>
      <c r="U821" s="301"/>
      <c r="V821" s="301"/>
    </row>
    <row r="822" spans="1:22" ht="14.4" thickTop="1" thickBot="1" x14ac:dyDescent="0.3">
      <c r="A822" s="292"/>
      <c r="B822" s="293" t="s">
        <v>2092</v>
      </c>
      <c r="C822" s="294"/>
      <c r="D822" s="294"/>
      <c r="E822" s="294"/>
      <c r="F822" s="310"/>
      <c r="G822" s="310"/>
      <c r="H822" s="310"/>
      <c r="I822" s="295"/>
      <c r="J822" s="295"/>
      <c r="K822" s="300">
        <f t="shared" si="39"/>
        <v>1.1000000000000001</v>
      </c>
      <c r="L822" s="300">
        <f t="shared" si="71"/>
        <v>0</v>
      </c>
      <c r="M822" s="285">
        <f t="shared" si="72"/>
        <v>0</v>
      </c>
      <c r="N822" s="1076">
        <f t="shared" si="73"/>
        <v>0</v>
      </c>
      <c r="O822" s="294"/>
      <c r="P822" s="404"/>
      <c r="Q822" s="404"/>
      <c r="R822" s="301"/>
      <c r="S822" s="301"/>
      <c r="T822" s="301"/>
      <c r="U822" s="301"/>
      <c r="V822" s="301"/>
    </row>
    <row r="823" spans="1:22" ht="14.4" thickTop="1" thickBot="1" x14ac:dyDescent="0.3">
      <c r="A823" s="292"/>
      <c r="B823" s="293" t="s">
        <v>2087</v>
      </c>
      <c r="C823" s="294"/>
      <c r="D823" s="294"/>
      <c r="E823" s="294">
        <f>E813</f>
        <v>28</v>
      </c>
      <c r="F823" s="310">
        <v>0.85</v>
      </c>
      <c r="G823" s="310">
        <v>0.85</v>
      </c>
      <c r="H823" s="310">
        <v>0.9</v>
      </c>
      <c r="I823" s="295">
        <f>H823*G823*F823*E823</f>
        <v>18.207000000000001</v>
      </c>
      <c r="J823" s="295"/>
      <c r="K823" s="300">
        <f t="shared" si="39"/>
        <v>1.1000000000000001</v>
      </c>
      <c r="L823" s="300">
        <f t="shared" si="71"/>
        <v>0</v>
      </c>
      <c r="M823" s="285">
        <f t="shared" si="72"/>
        <v>0</v>
      </c>
      <c r="N823" s="1076">
        <f t="shared" si="73"/>
        <v>0</v>
      </c>
      <c r="O823" s="294"/>
      <c r="P823" s="404"/>
      <c r="Q823" s="404"/>
      <c r="R823" s="301"/>
      <c r="S823" s="301"/>
      <c r="T823" s="301"/>
      <c r="U823" s="301"/>
      <c r="V823" s="301"/>
    </row>
    <row r="824" spans="1:22" ht="14.4" thickTop="1" thickBot="1" x14ac:dyDescent="0.3">
      <c r="A824" s="292"/>
      <c r="B824" s="293" t="s">
        <v>2088</v>
      </c>
      <c r="C824" s="294"/>
      <c r="D824" s="294"/>
      <c r="E824" s="294">
        <v>27</v>
      </c>
      <c r="F824" s="310">
        <v>0.95</v>
      </c>
      <c r="G824" s="310">
        <v>0.95</v>
      </c>
      <c r="H824" s="310">
        <v>0.9</v>
      </c>
      <c r="I824" s="295">
        <f t="shared" ref="I824:I827" si="75">H824*G824*F824*E824</f>
        <v>21.930749999999996</v>
      </c>
      <c r="J824" s="295"/>
      <c r="K824" s="300">
        <f t="shared" si="39"/>
        <v>1.1000000000000001</v>
      </c>
      <c r="L824" s="300">
        <f t="shared" si="71"/>
        <v>0</v>
      </c>
      <c r="M824" s="285">
        <f t="shared" si="72"/>
        <v>0</v>
      </c>
      <c r="N824" s="1076">
        <f t="shared" si="73"/>
        <v>0</v>
      </c>
      <c r="O824" s="294"/>
      <c r="P824" s="404">
        <f>SUM(E823:E827)</f>
        <v>79</v>
      </c>
      <c r="Q824" s="404"/>
      <c r="R824" s="301"/>
      <c r="S824" s="301"/>
      <c r="T824" s="301"/>
      <c r="U824" s="301"/>
      <c r="V824" s="301"/>
    </row>
    <row r="825" spans="1:22" ht="14.4" thickTop="1" thickBot="1" x14ac:dyDescent="0.3">
      <c r="A825" s="292"/>
      <c r="B825" s="293" t="s">
        <v>2089</v>
      </c>
      <c r="C825" s="294"/>
      <c r="D825" s="294"/>
      <c r="E825" s="294">
        <v>13</v>
      </c>
      <c r="F825" s="310">
        <v>1.05</v>
      </c>
      <c r="G825" s="310">
        <v>1.05</v>
      </c>
      <c r="H825" s="310">
        <v>0.9</v>
      </c>
      <c r="I825" s="295">
        <f t="shared" si="75"/>
        <v>12.89925</v>
      </c>
      <c r="J825" s="295"/>
      <c r="K825" s="300">
        <f t="shared" si="39"/>
        <v>1.1000000000000001</v>
      </c>
      <c r="L825" s="300">
        <f t="shared" si="71"/>
        <v>0</v>
      </c>
      <c r="M825" s="285">
        <f t="shared" si="72"/>
        <v>0</v>
      </c>
      <c r="N825" s="1076">
        <f t="shared" si="73"/>
        <v>0</v>
      </c>
      <c r="O825" s="294"/>
      <c r="P825" s="404"/>
      <c r="Q825" s="404"/>
      <c r="R825" s="301"/>
      <c r="S825" s="301"/>
      <c r="T825" s="301"/>
      <c r="U825" s="301"/>
      <c r="V825" s="301"/>
    </row>
    <row r="826" spans="1:22" ht="14.4" thickTop="1" thickBot="1" x14ac:dyDescent="0.3">
      <c r="A826" s="292"/>
      <c r="B826" s="293" t="s">
        <v>2090</v>
      </c>
      <c r="C826" s="294"/>
      <c r="D826" s="294"/>
      <c r="E826" s="294">
        <v>8</v>
      </c>
      <c r="F826" s="310">
        <v>1.2</v>
      </c>
      <c r="G826" s="310">
        <v>1.2</v>
      </c>
      <c r="H826" s="310">
        <v>0.9</v>
      </c>
      <c r="I826" s="295">
        <f t="shared" si="75"/>
        <v>10.368</v>
      </c>
      <c r="J826" s="295"/>
      <c r="K826" s="300">
        <f t="shared" si="39"/>
        <v>1.1000000000000001</v>
      </c>
      <c r="L826" s="300">
        <f t="shared" si="71"/>
        <v>0</v>
      </c>
      <c r="M826" s="285">
        <f t="shared" si="72"/>
        <v>0</v>
      </c>
      <c r="N826" s="1076">
        <f t="shared" si="73"/>
        <v>0</v>
      </c>
      <c r="O826" s="294"/>
      <c r="P826" s="404"/>
      <c r="Q826" s="404"/>
      <c r="R826" s="301"/>
      <c r="S826" s="301"/>
      <c r="T826" s="301"/>
      <c r="U826" s="301"/>
      <c r="V826" s="301"/>
    </row>
    <row r="827" spans="1:22" ht="14.4" thickTop="1" thickBot="1" x14ac:dyDescent="0.3">
      <c r="A827" s="292"/>
      <c r="B827" s="293" t="s">
        <v>2091</v>
      </c>
      <c r="C827" s="294"/>
      <c r="D827" s="294"/>
      <c r="E827" s="294">
        <v>3</v>
      </c>
      <c r="F827" s="310">
        <v>1.25</v>
      </c>
      <c r="G827" s="310">
        <v>1.25</v>
      </c>
      <c r="H827" s="310">
        <v>0.9</v>
      </c>
      <c r="I827" s="295">
        <f t="shared" si="75"/>
        <v>4.21875</v>
      </c>
      <c r="J827" s="295"/>
      <c r="K827" s="300">
        <f t="shared" si="39"/>
        <v>1.1000000000000001</v>
      </c>
      <c r="L827" s="300">
        <f t="shared" si="71"/>
        <v>0</v>
      </c>
      <c r="M827" s="285">
        <f t="shared" si="72"/>
        <v>0</v>
      </c>
      <c r="N827" s="1076">
        <f t="shared" si="73"/>
        <v>0</v>
      </c>
      <c r="O827" s="294"/>
      <c r="P827" s="404"/>
      <c r="Q827" s="404"/>
      <c r="R827" s="301"/>
      <c r="S827" s="301"/>
      <c r="T827" s="301"/>
      <c r="U827" s="301"/>
      <c r="V827" s="301"/>
    </row>
    <row r="828" spans="1:22" ht="14.4" thickTop="1" thickBot="1" x14ac:dyDescent="0.3">
      <c r="A828" s="292"/>
      <c r="B828" s="293"/>
      <c r="C828" s="294"/>
      <c r="D828" s="294"/>
      <c r="E828" s="294"/>
      <c r="F828" s="310"/>
      <c r="G828" s="310"/>
      <c r="H828" s="310"/>
      <c r="I828" s="295"/>
      <c r="J828" s="295">
        <f>SUM(I823:I827)</f>
        <v>67.623750000000001</v>
      </c>
      <c r="K828" s="300">
        <f t="shared" si="39"/>
        <v>1.1000000000000001</v>
      </c>
      <c r="L828" s="300">
        <f t="shared" si="71"/>
        <v>74.386125000000007</v>
      </c>
      <c r="M828" s="285">
        <f t="shared" si="72"/>
        <v>74.400000000000006</v>
      </c>
      <c r="N828" s="1076">
        <f t="shared" si="73"/>
        <v>75</v>
      </c>
      <c r="O828" s="294"/>
      <c r="P828" s="413">
        <f>N828-J828</f>
        <v>7.3762499999999989</v>
      </c>
      <c r="Q828" s="404"/>
      <c r="R828" s="301"/>
      <c r="S828" s="301"/>
      <c r="T828" s="301"/>
      <c r="U828" s="301"/>
      <c r="V828" s="301"/>
    </row>
    <row r="829" spans="1:22" ht="14.4" thickTop="1" thickBot="1" x14ac:dyDescent="0.3">
      <c r="A829" s="292"/>
      <c r="B829" s="293"/>
      <c r="C829" s="294"/>
      <c r="D829" s="294"/>
      <c r="E829" s="294"/>
      <c r="F829" s="310"/>
      <c r="G829" s="310"/>
      <c r="H829" s="310"/>
      <c r="I829" s="295"/>
      <c r="J829" s="295"/>
      <c r="K829" s="300">
        <f t="shared" si="39"/>
        <v>1.1000000000000001</v>
      </c>
      <c r="L829" s="300">
        <f t="shared" si="71"/>
        <v>0</v>
      </c>
      <c r="M829" s="285">
        <f t="shared" si="72"/>
        <v>0</v>
      </c>
      <c r="N829" s="1076">
        <f t="shared" si="73"/>
        <v>0</v>
      </c>
      <c r="O829" s="294"/>
      <c r="P829" s="404"/>
      <c r="Q829" s="404"/>
      <c r="R829" s="301"/>
      <c r="S829" s="301"/>
      <c r="T829" s="301"/>
      <c r="U829" s="301"/>
      <c r="V829" s="301"/>
    </row>
    <row r="830" spans="1:22" ht="14.4" thickTop="1" thickBot="1" x14ac:dyDescent="0.3">
      <c r="A830" s="292"/>
      <c r="B830" s="293" t="s">
        <v>2093</v>
      </c>
      <c r="C830" s="294"/>
      <c r="D830" s="294"/>
      <c r="E830" s="294"/>
      <c r="F830" s="310"/>
      <c r="G830" s="310"/>
      <c r="H830" s="310"/>
      <c r="I830" s="295"/>
      <c r="J830" s="295"/>
      <c r="K830" s="300">
        <f t="shared" si="39"/>
        <v>1.1000000000000001</v>
      </c>
      <c r="L830" s="300">
        <f t="shared" si="71"/>
        <v>0</v>
      </c>
      <c r="M830" s="285">
        <f t="shared" si="72"/>
        <v>0</v>
      </c>
      <c r="N830" s="1076">
        <f t="shared" si="73"/>
        <v>0</v>
      </c>
      <c r="O830" s="294"/>
      <c r="P830" s="404"/>
      <c r="Q830" s="404"/>
      <c r="R830" s="301"/>
      <c r="S830" s="301"/>
      <c r="T830" s="301"/>
      <c r="U830" s="301"/>
      <c r="V830" s="301"/>
    </row>
    <row r="831" spans="1:22" ht="14.4" thickTop="1" thickBot="1" x14ac:dyDescent="0.3">
      <c r="A831" s="292"/>
      <c r="B831" s="293" t="s">
        <v>2087</v>
      </c>
      <c r="C831" s="294"/>
      <c r="D831" s="294">
        <v>4</v>
      </c>
      <c r="E831" s="294">
        <f>E823</f>
        <v>28</v>
      </c>
      <c r="F831" s="310">
        <v>0.85</v>
      </c>
      <c r="G831" s="310"/>
      <c r="H831" s="310">
        <v>0.9</v>
      </c>
      <c r="I831" s="295">
        <f>H831*F831*E831*D831</f>
        <v>85.68</v>
      </c>
      <c r="J831" s="295"/>
      <c r="K831" s="300">
        <f t="shared" si="39"/>
        <v>1.1000000000000001</v>
      </c>
      <c r="L831" s="300">
        <f t="shared" si="71"/>
        <v>0</v>
      </c>
      <c r="M831" s="285">
        <f t="shared" si="72"/>
        <v>0</v>
      </c>
      <c r="N831" s="1076">
        <f t="shared" si="73"/>
        <v>0</v>
      </c>
      <c r="O831" s="294"/>
      <c r="P831" s="404"/>
      <c r="Q831" s="404"/>
      <c r="R831" s="301"/>
      <c r="S831" s="301"/>
      <c r="T831" s="301"/>
      <c r="U831" s="301"/>
      <c r="V831" s="301"/>
    </row>
    <row r="832" spans="1:22" ht="14.4" thickTop="1" thickBot="1" x14ac:dyDescent="0.3">
      <c r="A832" s="292"/>
      <c r="B832" s="293" t="s">
        <v>2088</v>
      </c>
      <c r="C832" s="294"/>
      <c r="D832" s="294">
        <v>4</v>
      </c>
      <c r="E832" s="294">
        <v>27</v>
      </c>
      <c r="F832" s="310">
        <v>0.95</v>
      </c>
      <c r="G832" s="310"/>
      <c r="H832" s="310">
        <v>0.9</v>
      </c>
      <c r="I832" s="295">
        <f t="shared" ref="I832:I835" si="76">H832*F832*E832*D832</f>
        <v>92.34</v>
      </c>
      <c r="J832" s="295"/>
      <c r="K832" s="300">
        <f t="shared" si="39"/>
        <v>1.1000000000000001</v>
      </c>
      <c r="L832" s="300">
        <f t="shared" si="71"/>
        <v>0</v>
      </c>
      <c r="M832" s="285">
        <f t="shared" si="72"/>
        <v>0</v>
      </c>
      <c r="N832" s="1076">
        <f t="shared" si="73"/>
        <v>0</v>
      </c>
      <c r="O832" s="294"/>
      <c r="P832" s="404"/>
      <c r="Q832" s="404"/>
      <c r="R832" s="301"/>
      <c r="S832" s="301"/>
      <c r="T832" s="301"/>
      <c r="U832" s="301"/>
      <c r="V832" s="301"/>
    </row>
    <row r="833" spans="1:22" ht="14.4" thickTop="1" thickBot="1" x14ac:dyDescent="0.3">
      <c r="A833" s="292"/>
      <c r="B833" s="293" t="s">
        <v>2089</v>
      </c>
      <c r="C833" s="294"/>
      <c r="D833" s="294">
        <v>4</v>
      </c>
      <c r="E833" s="294">
        <v>13</v>
      </c>
      <c r="F833" s="310">
        <v>1.05</v>
      </c>
      <c r="G833" s="310"/>
      <c r="H833" s="310">
        <v>0.9</v>
      </c>
      <c r="I833" s="295">
        <f t="shared" si="76"/>
        <v>49.14</v>
      </c>
      <c r="J833" s="295"/>
      <c r="K833" s="300">
        <f t="shared" si="39"/>
        <v>1.1000000000000001</v>
      </c>
      <c r="L833" s="300">
        <f t="shared" si="71"/>
        <v>0</v>
      </c>
      <c r="M833" s="285">
        <f t="shared" si="72"/>
        <v>0</v>
      </c>
      <c r="N833" s="1076">
        <f t="shared" si="73"/>
        <v>0</v>
      </c>
      <c r="O833" s="294"/>
      <c r="P833" s="404"/>
      <c r="Q833" s="404"/>
      <c r="R833" s="301"/>
      <c r="S833" s="301"/>
      <c r="T833" s="301"/>
      <c r="U833" s="301"/>
      <c r="V833" s="301"/>
    </row>
    <row r="834" spans="1:22" ht="14.4" thickTop="1" thickBot="1" x14ac:dyDescent="0.3">
      <c r="A834" s="292"/>
      <c r="B834" s="293" t="s">
        <v>2090</v>
      </c>
      <c r="C834" s="294"/>
      <c r="D834" s="294">
        <v>4</v>
      </c>
      <c r="E834" s="294">
        <v>8</v>
      </c>
      <c r="F834" s="310">
        <v>1.2</v>
      </c>
      <c r="G834" s="310"/>
      <c r="H834" s="310">
        <v>0.9</v>
      </c>
      <c r="I834" s="295">
        <f t="shared" si="76"/>
        <v>34.56</v>
      </c>
      <c r="J834" s="295"/>
      <c r="K834" s="300">
        <f t="shared" si="39"/>
        <v>1.1000000000000001</v>
      </c>
      <c r="L834" s="300">
        <f t="shared" si="71"/>
        <v>0</v>
      </c>
      <c r="M834" s="285">
        <f t="shared" si="72"/>
        <v>0</v>
      </c>
      <c r="N834" s="1076">
        <f t="shared" si="73"/>
        <v>0</v>
      </c>
      <c r="O834" s="294"/>
      <c r="P834" s="404"/>
      <c r="Q834" s="404"/>
      <c r="R834" s="301">
        <f>100/10.76</f>
        <v>9.2936802973977706</v>
      </c>
      <c r="S834" s="301"/>
      <c r="T834" s="301"/>
      <c r="U834" s="301"/>
      <c r="V834" s="301"/>
    </row>
    <row r="835" spans="1:22" ht="14.4" thickTop="1" thickBot="1" x14ac:dyDescent="0.3">
      <c r="A835" s="292"/>
      <c r="B835" s="293" t="s">
        <v>2091</v>
      </c>
      <c r="C835" s="294"/>
      <c r="D835" s="294">
        <v>4</v>
      </c>
      <c r="E835" s="294">
        <v>3</v>
      </c>
      <c r="F835" s="310">
        <v>1.25</v>
      </c>
      <c r="G835" s="310"/>
      <c r="H835" s="310">
        <v>0.9</v>
      </c>
      <c r="I835" s="295">
        <f t="shared" si="76"/>
        <v>13.5</v>
      </c>
      <c r="J835" s="295"/>
      <c r="K835" s="300">
        <f t="shared" si="39"/>
        <v>1.1000000000000001</v>
      </c>
      <c r="L835" s="300">
        <f t="shared" si="71"/>
        <v>0</v>
      </c>
      <c r="M835" s="285">
        <f t="shared" si="72"/>
        <v>0</v>
      </c>
      <c r="N835" s="1076">
        <f t="shared" si="73"/>
        <v>0</v>
      </c>
      <c r="O835" s="294"/>
      <c r="P835" s="404"/>
      <c r="Q835" s="404"/>
      <c r="R835" s="301"/>
      <c r="S835" s="301"/>
      <c r="T835" s="301"/>
      <c r="U835" s="301"/>
      <c r="V835" s="301"/>
    </row>
    <row r="836" spans="1:22" ht="14.4" thickTop="1" thickBot="1" x14ac:dyDescent="0.3">
      <c r="A836" s="292"/>
      <c r="B836" s="293"/>
      <c r="C836" s="294"/>
      <c r="D836" s="294"/>
      <c r="E836" s="294"/>
      <c r="F836" s="310"/>
      <c r="G836" s="310"/>
      <c r="H836" s="310"/>
      <c r="I836" s="295"/>
      <c r="J836" s="295">
        <f>SUM(I831:I835)</f>
        <v>275.22000000000003</v>
      </c>
      <c r="K836" s="300">
        <f t="shared" si="39"/>
        <v>1.1000000000000001</v>
      </c>
      <c r="L836" s="300">
        <f t="shared" si="71"/>
        <v>302.74200000000008</v>
      </c>
      <c r="M836" s="285">
        <f t="shared" si="72"/>
        <v>302.7</v>
      </c>
      <c r="N836" s="1076">
        <f t="shared" si="73"/>
        <v>303</v>
      </c>
      <c r="O836" s="294"/>
      <c r="P836" s="413">
        <f>N836-J836</f>
        <v>27.779999999999973</v>
      </c>
      <c r="Q836" s="413">
        <f>P836*10.76</f>
        <v>298.91279999999972</v>
      </c>
      <c r="R836" s="301"/>
      <c r="S836" s="301"/>
      <c r="T836" s="301"/>
      <c r="U836" s="301"/>
      <c r="V836" s="301"/>
    </row>
    <row r="837" spans="1:22" ht="14.4" thickTop="1" thickBot="1" x14ac:dyDescent="0.3">
      <c r="A837" s="292"/>
      <c r="B837" s="293"/>
      <c r="C837" s="294"/>
      <c r="D837" s="294"/>
      <c r="E837" s="294"/>
      <c r="F837" s="310"/>
      <c r="G837" s="310"/>
      <c r="H837" s="310"/>
      <c r="I837" s="295"/>
      <c r="J837" s="295">
        <f>J836*10.76</f>
        <v>2961.3672000000001</v>
      </c>
      <c r="K837" s="300">
        <f t="shared" si="39"/>
        <v>1.1000000000000001</v>
      </c>
      <c r="L837" s="300">
        <f t="shared" si="71"/>
        <v>3257.5039200000006</v>
      </c>
      <c r="M837" s="285">
        <f t="shared" si="72"/>
        <v>3257.5</v>
      </c>
      <c r="N837" s="1076">
        <f t="shared" si="73"/>
        <v>3258</v>
      </c>
      <c r="O837" s="294"/>
      <c r="P837" s="413">
        <f>N837-J837</f>
        <v>296.63279999999986</v>
      </c>
      <c r="Q837" s="404"/>
      <c r="R837" s="301"/>
      <c r="S837" s="301"/>
      <c r="T837" s="301"/>
      <c r="U837" s="301"/>
      <c r="V837" s="301"/>
    </row>
    <row r="838" spans="1:22" ht="14.4" thickTop="1" thickBot="1" x14ac:dyDescent="0.3">
      <c r="A838" s="292"/>
      <c r="B838" s="293"/>
      <c r="C838" s="294"/>
      <c r="D838" s="294"/>
      <c r="E838" s="294"/>
      <c r="F838" s="310"/>
      <c r="G838" s="310"/>
      <c r="H838" s="310"/>
      <c r="I838" s="295"/>
      <c r="J838" s="295">
        <f>J837/100</f>
        <v>29.613672000000001</v>
      </c>
      <c r="K838" s="300">
        <v>1.05</v>
      </c>
      <c r="L838" s="300">
        <f t="shared" si="71"/>
        <v>31.094355600000004</v>
      </c>
      <c r="M838" s="285">
        <f t="shared" si="72"/>
        <v>31.1</v>
      </c>
      <c r="N838" s="1076">
        <f t="shared" si="73"/>
        <v>32</v>
      </c>
      <c r="O838" s="294"/>
      <c r="P838" s="413">
        <f>N838-J838</f>
        <v>2.3863279999999989</v>
      </c>
      <c r="Q838" s="413">
        <f>J836/9.29</f>
        <v>29.625403659849304</v>
      </c>
      <c r="R838" s="301"/>
      <c r="S838" s="301"/>
      <c r="T838" s="301"/>
      <c r="U838" s="301"/>
      <c r="V838" s="301"/>
    </row>
    <row r="839" spans="1:22" ht="14.4" thickTop="1" thickBot="1" x14ac:dyDescent="0.3">
      <c r="A839" s="292"/>
      <c r="B839" s="293"/>
      <c r="C839" s="294"/>
      <c r="D839" s="294"/>
      <c r="E839" s="294"/>
      <c r="F839" s="310"/>
      <c r="G839" s="310"/>
      <c r="H839" s="310"/>
      <c r="I839" s="295"/>
      <c r="J839" s="295"/>
      <c r="K839" s="300">
        <f t="shared" si="39"/>
        <v>1.1000000000000001</v>
      </c>
      <c r="L839" s="300">
        <f t="shared" ref="L839:L1048" si="77">K839*J839</f>
        <v>0</v>
      </c>
      <c r="M839" s="285">
        <f t="shared" ref="M839:M1048" si="78">ROUND(L839,1)</f>
        <v>0</v>
      </c>
      <c r="N839" s="1076">
        <f t="shared" ref="N839:N1048" si="79">ROUNDUP(M839,0)</f>
        <v>0</v>
      </c>
      <c r="O839" s="294"/>
      <c r="P839" s="404"/>
      <c r="Q839" s="404"/>
      <c r="R839" s="301"/>
      <c r="S839" s="301"/>
      <c r="T839" s="301"/>
      <c r="U839" s="301"/>
      <c r="V839" s="301"/>
    </row>
    <row r="840" spans="1:22" ht="14.4" thickTop="1" thickBot="1" x14ac:dyDescent="0.3">
      <c r="A840" s="292"/>
      <c r="B840" s="293" t="s">
        <v>2120</v>
      </c>
      <c r="C840" s="294"/>
      <c r="D840" s="294"/>
      <c r="E840" s="294"/>
      <c r="F840" s="310"/>
      <c r="G840" s="310"/>
      <c r="H840" s="310"/>
      <c r="I840" s="295"/>
      <c r="J840" s="295"/>
      <c r="K840" s="300">
        <f t="shared" si="39"/>
        <v>1.1000000000000001</v>
      </c>
      <c r="L840" s="300">
        <f t="shared" si="77"/>
        <v>0</v>
      </c>
      <c r="M840" s="285">
        <f t="shared" si="78"/>
        <v>0</v>
      </c>
      <c r="N840" s="1076">
        <f t="shared" si="79"/>
        <v>0</v>
      </c>
      <c r="O840" s="294"/>
      <c r="P840" s="404"/>
      <c r="Q840" s="404"/>
      <c r="R840" s="301"/>
      <c r="S840" s="301"/>
      <c r="T840" s="301"/>
      <c r="U840" s="301"/>
      <c r="V840" s="301"/>
    </row>
    <row r="841" spans="1:22" ht="14.4" thickTop="1" thickBot="1" x14ac:dyDescent="0.3">
      <c r="A841" s="292"/>
      <c r="B841" s="293" t="s">
        <v>2087</v>
      </c>
      <c r="C841" s="294"/>
      <c r="D841" s="294"/>
      <c r="E841" s="294">
        <f>E831</f>
        <v>28</v>
      </c>
      <c r="F841" s="310"/>
      <c r="G841" s="310"/>
      <c r="H841" s="310"/>
      <c r="I841" s="295"/>
      <c r="J841" s="295"/>
      <c r="K841" s="300">
        <f t="shared" si="39"/>
        <v>1.1000000000000001</v>
      </c>
      <c r="L841" s="300">
        <f t="shared" si="77"/>
        <v>0</v>
      </c>
      <c r="M841" s="285">
        <f t="shared" si="78"/>
        <v>0</v>
      </c>
      <c r="N841" s="1076">
        <f t="shared" si="79"/>
        <v>0</v>
      </c>
      <c r="O841" s="294"/>
      <c r="P841" s="404"/>
      <c r="Q841" s="404"/>
      <c r="R841" s="301"/>
      <c r="S841" s="301"/>
      <c r="T841" s="301"/>
      <c r="U841" s="301"/>
      <c r="V841" s="301"/>
    </row>
    <row r="842" spans="1:22" ht="14.4" thickTop="1" thickBot="1" x14ac:dyDescent="0.3">
      <c r="A842" s="292"/>
      <c r="B842" s="293" t="s">
        <v>2121</v>
      </c>
      <c r="C842" s="294"/>
      <c r="D842" s="294">
        <v>7</v>
      </c>
      <c r="E842" s="294">
        <f>E823</f>
        <v>28</v>
      </c>
      <c r="F842" s="310">
        <f>(F823+G823+G823+F823)</f>
        <v>3.4</v>
      </c>
      <c r="G842" s="310">
        <v>0.88900000000000001</v>
      </c>
      <c r="H842" s="310"/>
      <c r="I842" s="295">
        <f>G842*F842*E842*D842</f>
        <v>592.42960000000005</v>
      </c>
      <c r="J842" s="295"/>
      <c r="K842" s="300">
        <f t="shared" si="39"/>
        <v>1.1000000000000001</v>
      </c>
      <c r="L842" s="300">
        <f t="shared" si="77"/>
        <v>0</v>
      </c>
      <c r="M842" s="285">
        <f t="shared" si="78"/>
        <v>0</v>
      </c>
      <c r="N842" s="1076">
        <f t="shared" si="79"/>
        <v>0</v>
      </c>
      <c r="O842" s="294"/>
      <c r="P842" s="404"/>
      <c r="Q842" s="404"/>
      <c r="R842" s="301"/>
      <c r="S842" s="301"/>
      <c r="T842" s="301"/>
      <c r="U842" s="301"/>
      <c r="V842" s="301"/>
    </row>
    <row r="843" spans="1:22" ht="14.4" thickTop="1" thickBot="1" x14ac:dyDescent="0.3">
      <c r="A843" s="292"/>
      <c r="B843" s="293" t="s">
        <v>2122</v>
      </c>
      <c r="C843" s="294"/>
      <c r="D843" s="294">
        <v>7</v>
      </c>
      <c r="E843" s="294">
        <f>E842</f>
        <v>28</v>
      </c>
      <c r="F843" s="310">
        <v>2.2999999999999998</v>
      </c>
      <c r="G843" s="310">
        <v>1.58</v>
      </c>
      <c r="H843" s="310"/>
      <c r="I843" s="295">
        <f>G843*F843*E843*D843</f>
        <v>712.26400000000001</v>
      </c>
      <c r="J843" s="295"/>
      <c r="K843" s="300">
        <f t="shared" si="39"/>
        <v>1.1000000000000001</v>
      </c>
      <c r="L843" s="300">
        <f t="shared" si="77"/>
        <v>0</v>
      </c>
      <c r="M843" s="285">
        <f t="shared" si="78"/>
        <v>0</v>
      </c>
      <c r="N843" s="1076">
        <f t="shared" si="79"/>
        <v>0</v>
      </c>
      <c r="O843" s="294"/>
      <c r="P843" s="404"/>
      <c r="Q843" s="404"/>
      <c r="R843" s="301"/>
      <c r="S843" s="301"/>
      <c r="T843" s="301"/>
      <c r="U843" s="301"/>
      <c r="V843" s="301"/>
    </row>
    <row r="844" spans="1:22" ht="14.4" thickTop="1" thickBot="1" x14ac:dyDescent="0.3">
      <c r="A844" s="292"/>
      <c r="B844" s="293" t="s">
        <v>2123</v>
      </c>
      <c r="C844" s="294"/>
      <c r="D844" s="294">
        <v>7</v>
      </c>
      <c r="E844" s="294">
        <f>E843</f>
        <v>28</v>
      </c>
      <c r="F844" s="310">
        <v>2.2999999999999998</v>
      </c>
      <c r="G844" s="310">
        <v>1.58</v>
      </c>
      <c r="H844" s="310"/>
      <c r="I844" s="295">
        <f>G844*F844*E844*D844</f>
        <v>712.26400000000001</v>
      </c>
      <c r="J844" s="295"/>
      <c r="K844" s="300">
        <f t="shared" si="39"/>
        <v>1.1000000000000001</v>
      </c>
      <c r="L844" s="300">
        <f t="shared" si="77"/>
        <v>0</v>
      </c>
      <c r="M844" s="285">
        <f t="shared" si="78"/>
        <v>0</v>
      </c>
      <c r="N844" s="1076">
        <f t="shared" si="79"/>
        <v>0</v>
      </c>
      <c r="O844" s="294"/>
      <c r="P844" s="423">
        <f>SUM(I842:I844)</f>
        <v>2016.9576000000002</v>
      </c>
      <c r="Q844" s="423">
        <f>I823</f>
        <v>18.207000000000001</v>
      </c>
      <c r="R844" s="301">
        <f>P844/Q844</f>
        <v>110.77923875432526</v>
      </c>
      <c r="S844" s="301"/>
      <c r="T844" s="301"/>
      <c r="U844" s="301"/>
      <c r="V844" s="301"/>
    </row>
    <row r="845" spans="1:22" ht="14.4" thickTop="1" thickBot="1" x14ac:dyDescent="0.3">
      <c r="A845" s="292"/>
      <c r="B845" s="293"/>
      <c r="C845" s="294"/>
      <c r="D845" s="294"/>
      <c r="E845" s="294"/>
      <c r="F845" s="310"/>
      <c r="G845" s="310"/>
      <c r="H845" s="310"/>
      <c r="I845" s="295"/>
      <c r="J845" s="295"/>
      <c r="K845" s="300">
        <f t="shared" si="39"/>
        <v>1.1000000000000001</v>
      </c>
      <c r="L845" s="300">
        <f t="shared" si="77"/>
        <v>0</v>
      </c>
      <c r="M845" s="285">
        <f t="shared" si="78"/>
        <v>0</v>
      </c>
      <c r="N845" s="1076">
        <f t="shared" si="79"/>
        <v>0</v>
      </c>
      <c r="O845" s="294"/>
      <c r="P845" s="404"/>
      <c r="Q845" s="404"/>
      <c r="R845" s="301"/>
      <c r="S845" s="301"/>
      <c r="T845" s="301"/>
      <c r="U845" s="301"/>
      <c r="V845" s="301"/>
    </row>
    <row r="846" spans="1:22" ht="14.4" thickTop="1" thickBot="1" x14ac:dyDescent="0.3">
      <c r="A846" s="292"/>
      <c r="B846" s="293" t="s">
        <v>2088</v>
      </c>
      <c r="C846" s="294"/>
      <c r="D846" s="294"/>
      <c r="E846" s="294">
        <v>27</v>
      </c>
      <c r="F846" s="310"/>
      <c r="G846" s="310"/>
      <c r="H846" s="310"/>
      <c r="I846" s="295"/>
      <c r="J846" s="295"/>
      <c r="K846" s="300">
        <f t="shared" si="39"/>
        <v>1.1000000000000001</v>
      </c>
      <c r="L846" s="300">
        <f t="shared" si="77"/>
        <v>0</v>
      </c>
      <c r="M846" s="285">
        <f t="shared" si="78"/>
        <v>0</v>
      </c>
      <c r="N846" s="1076">
        <f t="shared" si="79"/>
        <v>0</v>
      </c>
      <c r="O846" s="294"/>
      <c r="P846" s="404"/>
      <c r="Q846" s="404"/>
      <c r="R846" s="301"/>
      <c r="S846" s="301"/>
      <c r="T846" s="301"/>
      <c r="U846" s="301"/>
      <c r="V846" s="301"/>
    </row>
    <row r="847" spans="1:22" ht="14.4" thickTop="1" thickBot="1" x14ac:dyDescent="0.3">
      <c r="A847" s="292"/>
      <c r="B847" s="293" t="s">
        <v>2121</v>
      </c>
      <c r="C847" s="294"/>
      <c r="D847" s="294">
        <v>7</v>
      </c>
      <c r="E847" s="294">
        <f>E846</f>
        <v>27</v>
      </c>
      <c r="F847" s="310">
        <f>F824+G824+G824+F824</f>
        <v>3.8</v>
      </c>
      <c r="G847" s="310">
        <v>0.88900000000000001</v>
      </c>
      <c r="H847" s="310"/>
      <c r="I847" s="295">
        <f>G847*F847*E847*D847</f>
        <v>638.47979999999995</v>
      </c>
      <c r="J847" s="295"/>
      <c r="K847" s="300">
        <f t="shared" si="39"/>
        <v>1.1000000000000001</v>
      </c>
      <c r="L847" s="300">
        <f t="shared" si="77"/>
        <v>0</v>
      </c>
      <c r="M847" s="285">
        <f t="shared" si="78"/>
        <v>0</v>
      </c>
      <c r="N847" s="1076">
        <f t="shared" si="79"/>
        <v>0</v>
      </c>
      <c r="O847" s="294"/>
      <c r="P847" s="404"/>
      <c r="Q847" s="404"/>
      <c r="R847" s="301"/>
      <c r="S847" s="301"/>
      <c r="T847" s="301"/>
      <c r="U847" s="301"/>
      <c r="V847" s="301"/>
    </row>
    <row r="848" spans="1:22" ht="14.4" thickTop="1" thickBot="1" x14ac:dyDescent="0.3">
      <c r="A848" s="292"/>
      <c r="B848" s="293" t="s">
        <v>2122</v>
      </c>
      <c r="C848" s="294"/>
      <c r="D848" s="294">
        <v>7</v>
      </c>
      <c r="E848" s="294">
        <f>E847</f>
        <v>27</v>
      </c>
      <c r="F848" s="310">
        <v>2.4</v>
      </c>
      <c r="G848" s="310">
        <v>1.58</v>
      </c>
      <c r="H848" s="310"/>
      <c r="I848" s="295">
        <f>G848*F848*E848*D848</f>
        <v>716.68799999999999</v>
      </c>
      <c r="J848" s="295"/>
      <c r="K848" s="300">
        <f t="shared" si="39"/>
        <v>1.1000000000000001</v>
      </c>
      <c r="L848" s="300">
        <f t="shared" si="77"/>
        <v>0</v>
      </c>
      <c r="M848" s="285">
        <f t="shared" si="78"/>
        <v>0</v>
      </c>
      <c r="N848" s="1076">
        <f t="shared" si="79"/>
        <v>0</v>
      </c>
      <c r="O848" s="294"/>
      <c r="P848" s="404"/>
      <c r="Q848" s="404"/>
      <c r="R848" s="301"/>
      <c r="S848" s="301"/>
      <c r="T848" s="301"/>
      <c r="U848" s="301"/>
      <c r="V848" s="301"/>
    </row>
    <row r="849" spans="1:22" ht="14.4" thickTop="1" thickBot="1" x14ac:dyDescent="0.3">
      <c r="A849" s="292"/>
      <c r="B849" s="293" t="s">
        <v>2123</v>
      </c>
      <c r="C849" s="294"/>
      <c r="D849" s="294">
        <v>7</v>
      </c>
      <c r="E849" s="294">
        <f>E848</f>
        <v>27</v>
      </c>
      <c r="F849" s="310">
        <v>2.4</v>
      </c>
      <c r="G849" s="310">
        <v>1.58</v>
      </c>
      <c r="H849" s="310"/>
      <c r="I849" s="295">
        <f>G849*F849*E849*D849</f>
        <v>716.68799999999999</v>
      </c>
      <c r="J849" s="295"/>
      <c r="K849" s="300">
        <f t="shared" si="39"/>
        <v>1.1000000000000001</v>
      </c>
      <c r="L849" s="300">
        <f t="shared" si="77"/>
        <v>0</v>
      </c>
      <c r="M849" s="285">
        <f t="shared" si="78"/>
        <v>0</v>
      </c>
      <c r="N849" s="1076">
        <f t="shared" si="79"/>
        <v>0</v>
      </c>
      <c r="O849" s="294"/>
      <c r="P849" s="423">
        <f>SUM(I847:I849)</f>
        <v>2071.8557999999998</v>
      </c>
      <c r="Q849" s="423">
        <f>I814</f>
        <v>24.3675</v>
      </c>
      <c r="R849" s="301">
        <f>P849/Q849</f>
        <v>85.025373961218833</v>
      </c>
      <c r="S849" s="301"/>
      <c r="T849" s="301"/>
      <c r="U849" s="301"/>
      <c r="V849" s="301"/>
    </row>
    <row r="850" spans="1:22" ht="14.4" thickTop="1" thickBot="1" x14ac:dyDescent="0.3">
      <c r="A850" s="292"/>
      <c r="B850" s="293"/>
      <c r="C850" s="294"/>
      <c r="D850" s="294"/>
      <c r="E850" s="294"/>
      <c r="F850" s="310"/>
      <c r="G850" s="310"/>
      <c r="H850" s="310"/>
      <c r="I850" s="295"/>
      <c r="J850" s="295"/>
      <c r="K850" s="300">
        <f t="shared" si="39"/>
        <v>1.1000000000000001</v>
      </c>
      <c r="L850" s="300">
        <f t="shared" si="77"/>
        <v>0</v>
      </c>
      <c r="M850" s="285">
        <f t="shared" si="78"/>
        <v>0</v>
      </c>
      <c r="N850" s="1076">
        <f t="shared" si="79"/>
        <v>0</v>
      </c>
      <c r="O850" s="294"/>
      <c r="P850" s="404"/>
      <c r="Q850" s="404"/>
      <c r="R850" s="301"/>
      <c r="S850" s="301"/>
      <c r="T850" s="301"/>
      <c r="U850" s="301"/>
      <c r="V850" s="301"/>
    </row>
    <row r="851" spans="1:22" ht="14.4" thickTop="1" thickBot="1" x14ac:dyDescent="0.3">
      <c r="A851" s="292"/>
      <c r="B851" s="293" t="s">
        <v>2089</v>
      </c>
      <c r="C851" s="294"/>
      <c r="D851" s="294"/>
      <c r="E851" s="294">
        <v>13</v>
      </c>
      <c r="F851" s="310"/>
      <c r="G851" s="310"/>
      <c r="H851" s="310"/>
      <c r="I851" s="295"/>
      <c r="J851" s="295"/>
      <c r="K851" s="300">
        <f t="shared" si="39"/>
        <v>1.1000000000000001</v>
      </c>
      <c r="L851" s="300">
        <f t="shared" si="77"/>
        <v>0</v>
      </c>
      <c r="M851" s="285">
        <f t="shared" si="78"/>
        <v>0</v>
      </c>
      <c r="N851" s="1076">
        <f t="shared" si="79"/>
        <v>0</v>
      </c>
      <c r="O851" s="294"/>
      <c r="P851" s="404"/>
      <c r="Q851" s="404"/>
      <c r="R851" s="301"/>
      <c r="S851" s="301"/>
      <c r="T851" s="301"/>
      <c r="U851" s="301"/>
      <c r="V851" s="301"/>
    </row>
    <row r="852" spans="1:22" ht="14.4" thickTop="1" thickBot="1" x14ac:dyDescent="0.3">
      <c r="A852" s="292"/>
      <c r="B852" s="293" t="s">
        <v>2121</v>
      </c>
      <c r="C852" s="294"/>
      <c r="D852" s="294">
        <v>7</v>
      </c>
      <c r="E852" s="294">
        <f>E851</f>
        <v>13</v>
      </c>
      <c r="F852" s="310">
        <f>F825+G825+G825+F825</f>
        <v>4.2</v>
      </c>
      <c r="G852" s="310">
        <v>0.88900000000000001</v>
      </c>
      <c r="H852" s="310"/>
      <c r="I852" s="295">
        <f>G852*F852*E852*D852</f>
        <v>339.7758</v>
      </c>
      <c r="J852" s="295"/>
      <c r="K852" s="300">
        <f t="shared" si="39"/>
        <v>1.1000000000000001</v>
      </c>
      <c r="L852" s="300">
        <f t="shared" si="77"/>
        <v>0</v>
      </c>
      <c r="M852" s="285">
        <f t="shared" si="78"/>
        <v>0</v>
      </c>
      <c r="N852" s="1076">
        <f t="shared" si="79"/>
        <v>0</v>
      </c>
      <c r="O852" s="294"/>
      <c r="P852" s="404"/>
      <c r="Q852" s="404"/>
      <c r="R852" s="301"/>
      <c r="S852" s="301"/>
      <c r="T852" s="301"/>
      <c r="U852" s="301"/>
      <c r="V852" s="301"/>
    </row>
    <row r="853" spans="1:22" ht="14.4" thickTop="1" thickBot="1" x14ac:dyDescent="0.3">
      <c r="A853" s="292"/>
      <c r="B853" s="293" t="s">
        <v>2122</v>
      </c>
      <c r="C853" s="294"/>
      <c r="D853" s="294">
        <v>7</v>
      </c>
      <c r="E853" s="294">
        <f>E852</f>
        <v>13</v>
      </c>
      <c r="F853" s="310">
        <v>2.5</v>
      </c>
      <c r="G853" s="310">
        <v>1.58</v>
      </c>
      <c r="H853" s="310"/>
      <c r="I853" s="295">
        <f>G853*F853*E853*D853</f>
        <v>359.45</v>
      </c>
      <c r="J853" s="295"/>
      <c r="K853" s="300">
        <f t="shared" si="39"/>
        <v>1.1000000000000001</v>
      </c>
      <c r="L853" s="300">
        <f t="shared" si="77"/>
        <v>0</v>
      </c>
      <c r="M853" s="285">
        <f t="shared" si="78"/>
        <v>0</v>
      </c>
      <c r="N853" s="1076">
        <f t="shared" si="79"/>
        <v>0</v>
      </c>
      <c r="O853" s="294"/>
      <c r="P853" s="404"/>
      <c r="Q853" s="404"/>
      <c r="R853" s="301"/>
      <c r="S853" s="301"/>
      <c r="T853" s="301"/>
      <c r="U853" s="301"/>
      <c r="V853" s="301"/>
    </row>
    <row r="854" spans="1:22" ht="14.4" thickTop="1" thickBot="1" x14ac:dyDescent="0.3">
      <c r="A854" s="292"/>
      <c r="B854" s="293" t="s">
        <v>2123</v>
      </c>
      <c r="C854" s="294"/>
      <c r="D854" s="294">
        <v>7</v>
      </c>
      <c r="E854" s="294">
        <f>E853</f>
        <v>13</v>
      </c>
      <c r="F854" s="310">
        <v>2.5</v>
      </c>
      <c r="G854" s="310">
        <v>1.58</v>
      </c>
      <c r="H854" s="310"/>
      <c r="I854" s="295">
        <f>G854*F854*E854*D854</f>
        <v>359.45</v>
      </c>
      <c r="J854" s="295"/>
      <c r="K854" s="300">
        <f t="shared" si="39"/>
        <v>1.1000000000000001</v>
      </c>
      <c r="L854" s="300">
        <f t="shared" si="77"/>
        <v>0</v>
      </c>
      <c r="M854" s="285">
        <f t="shared" si="78"/>
        <v>0</v>
      </c>
      <c r="N854" s="1076">
        <f t="shared" si="79"/>
        <v>0</v>
      </c>
      <c r="O854" s="294"/>
      <c r="P854" s="423">
        <f>SUM(I852:I854)</f>
        <v>1058.6758</v>
      </c>
      <c r="Q854" s="423">
        <f>I825</f>
        <v>12.89925</v>
      </c>
      <c r="R854" s="301">
        <f>P854/Q854</f>
        <v>82.072663139329805</v>
      </c>
      <c r="S854" s="301"/>
      <c r="T854" s="301"/>
      <c r="U854" s="301"/>
      <c r="V854" s="301"/>
    </row>
    <row r="855" spans="1:22" ht="14.4" thickTop="1" thickBot="1" x14ac:dyDescent="0.3">
      <c r="A855" s="292"/>
      <c r="B855" s="293"/>
      <c r="C855" s="294"/>
      <c r="D855" s="294"/>
      <c r="E855" s="294"/>
      <c r="F855" s="310"/>
      <c r="G855" s="310"/>
      <c r="H855" s="310"/>
      <c r="I855" s="295"/>
      <c r="J855" s="295"/>
      <c r="K855" s="300">
        <f t="shared" si="39"/>
        <v>1.1000000000000001</v>
      </c>
      <c r="L855" s="300">
        <f t="shared" si="77"/>
        <v>0</v>
      </c>
      <c r="M855" s="285">
        <f t="shared" si="78"/>
        <v>0</v>
      </c>
      <c r="N855" s="1076">
        <f t="shared" si="79"/>
        <v>0</v>
      </c>
      <c r="O855" s="294"/>
      <c r="P855" s="404"/>
      <c r="Q855" s="404"/>
      <c r="R855" s="301"/>
      <c r="S855" s="301"/>
      <c r="T855" s="301"/>
      <c r="U855" s="301"/>
      <c r="V855" s="301"/>
    </row>
    <row r="856" spans="1:22" ht="14.4" thickTop="1" thickBot="1" x14ac:dyDescent="0.3">
      <c r="A856" s="292"/>
      <c r="B856" s="293" t="s">
        <v>2090</v>
      </c>
      <c r="C856" s="294"/>
      <c r="D856" s="294"/>
      <c r="E856" s="294">
        <v>8</v>
      </c>
      <c r="F856" s="310"/>
      <c r="G856" s="310"/>
      <c r="H856" s="310"/>
      <c r="I856" s="295"/>
      <c r="J856" s="295"/>
      <c r="K856" s="300">
        <f t="shared" si="39"/>
        <v>1.1000000000000001</v>
      </c>
      <c r="L856" s="300">
        <f t="shared" si="77"/>
        <v>0</v>
      </c>
      <c r="M856" s="285">
        <f t="shared" si="78"/>
        <v>0</v>
      </c>
      <c r="N856" s="1076">
        <f t="shared" si="79"/>
        <v>0</v>
      </c>
      <c r="O856" s="294"/>
      <c r="P856" s="404"/>
      <c r="Q856" s="404"/>
      <c r="R856" s="301"/>
      <c r="S856" s="301"/>
      <c r="T856" s="301"/>
      <c r="U856" s="301"/>
      <c r="V856" s="301"/>
    </row>
    <row r="857" spans="1:22" ht="14.4" thickTop="1" thickBot="1" x14ac:dyDescent="0.3">
      <c r="A857" s="292"/>
      <c r="B857" s="293" t="s">
        <v>2121</v>
      </c>
      <c r="C857" s="294"/>
      <c r="D857" s="294">
        <v>7</v>
      </c>
      <c r="E857" s="294">
        <f>E856</f>
        <v>8</v>
      </c>
      <c r="F857" s="310">
        <f>F826+G826+F826+G826</f>
        <v>4.8</v>
      </c>
      <c r="G857" s="310">
        <v>0.88900000000000001</v>
      </c>
      <c r="H857" s="310"/>
      <c r="I857" s="295">
        <f>G857*F857*E857*D857</f>
        <v>238.9632</v>
      </c>
      <c r="J857" s="295"/>
      <c r="K857" s="300">
        <f t="shared" si="39"/>
        <v>1.1000000000000001</v>
      </c>
      <c r="L857" s="300">
        <f t="shared" si="77"/>
        <v>0</v>
      </c>
      <c r="M857" s="285">
        <f t="shared" si="78"/>
        <v>0</v>
      </c>
      <c r="N857" s="1076">
        <f t="shared" si="79"/>
        <v>0</v>
      </c>
      <c r="O857" s="294"/>
      <c r="P857" s="404"/>
      <c r="Q857" s="404"/>
      <c r="R857" s="301"/>
      <c r="S857" s="301"/>
      <c r="T857" s="301"/>
      <c r="U857" s="301"/>
      <c r="V857" s="301"/>
    </row>
    <row r="858" spans="1:22" ht="14.4" thickTop="1" thickBot="1" x14ac:dyDescent="0.3">
      <c r="A858" s="292"/>
      <c r="B858" s="293" t="s">
        <v>2122</v>
      </c>
      <c r="C858" s="294"/>
      <c r="D858" s="294">
        <v>7</v>
      </c>
      <c r="E858" s="294">
        <f>E857</f>
        <v>8</v>
      </c>
      <c r="F858" s="310">
        <v>2.65</v>
      </c>
      <c r="G858" s="310">
        <v>1.58</v>
      </c>
      <c r="H858" s="310"/>
      <c r="I858" s="295">
        <f>G858*F858*E858*D858</f>
        <v>234.47200000000001</v>
      </c>
      <c r="J858" s="295"/>
      <c r="K858" s="300">
        <f t="shared" si="39"/>
        <v>1.1000000000000001</v>
      </c>
      <c r="L858" s="300">
        <f t="shared" si="77"/>
        <v>0</v>
      </c>
      <c r="M858" s="285">
        <f t="shared" si="78"/>
        <v>0</v>
      </c>
      <c r="N858" s="1076">
        <f t="shared" si="79"/>
        <v>0</v>
      </c>
      <c r="O858" s="294"/>
      <c r="P858" s="404"/>
      <c r="Q858" s="404"/>
      <c r="R858" s="301"/>
      <c r="S858" s="301"/>
      <c r="T858" s="301"/>
      <c r="U858" s="301"/>
      <c r="V858" s="301"/>
    </row>
    <row r="859" spans="1:22" ht="14.4" thickTop="1" thickBot="1" x14ac:dyDescent="0.3">
      <c r="A859" s="292"/>
      <c r="B859" s="293" t="s">
        <v>2123</v>
      </c>
      <c r="C859" s="294"/>
      <c r="D859" s="294">
        <v>7</v>
      </c>
      <c r="E859" s="294">
        <f>E858</f>
        <v>8</v>
      </c>
      <c r="F859" s="310">
        <v>2.65</v>
      </c>
      <c r="G859" s="310">
        <v>1.58</v>
      </c>
      <c r="H859" s="310"/>
      <c r="I859" s="295">
        <f>G859*F859*E859*D859</f>
        <v>234.47200000000001</v>
      </c>
      <c r="J859" s="295"/>
      <c r="K859" s="300">
        <f t="shared" si="39"/>
        <v>1.1000000000000001</v>
      </c>
      <c r="L859" s="300">
        <f t="shared" si="77"/>
        <v>0</v>
      </c>
      <c r="M859" s="285">
        <f t="shared" si="78"/>
        <v>0</v>
      </c>
      <c r="N859" s="1076">
        <f t="shared" si="79"/>
        <v>0</v>
      </c>
      <c r="O859" s="294"/>
      <c r="P859" s="423">
        <f>SUM(I857:I859)</f>
        <v>707.90719999999999</v>
      </c>
      <c r="Q859" s="423">
        <f>I826</f>
        <v>10.368</v>
      </c>
      <c r="R859" s="301">
        <f>P859/Q859</f>
        <v>68.27808641975308</v>
      </c>
      <c r="S859" s="301"/>
      <c r="T859" s="301"/>
      <c r="U859" s="301"/>
      <c r="V859" s="301"/>
    </row>
    <row r="860" spans="1:22" ht="14.4" thickTop="1" thickBot="1" x14ac:dyDescent="0.3">
      <c r="A860" s="292"/>
      <c r="B860" s="293"/>
      <c r="C860" s="294"/>
      <c r="D860" s="294"/>
      <c r="E860" s="294"/>
      <c r="F860" s="310"/>
      <c r="G860" s="310"/>
      <c r="H860" s="310"/>
      <c r="I860" s="295"/>
      <c r="J860" s="295"/>
      <c r="K860" s="300">
        <f t="shared" si="39"/>
        <v>1.1000000000000001</v>
      </c>
      <c r="L860" s="300">
        <f t="shared" si="77"/>
        <v>0</v>
      </c>
      <c r="M860" s="285">
        <f t="shared" si="78"/>
        <v>0</v>
      </c>
      <c r="N860" s="1076">
        <f t="shared" si="79"/>
        <v>0</v>
      </c>
      <c r="O860" s="294"/>
      <c r="P860" s="404"/>
      <c r="Q860" s="404"/>
      <c r="R860" s="301"/>
      <c r="S860" s="301"/>
      <c r="T860" s="301"/>
      <c r="U860" s="301"/>
      <c r="V860" s="301"/>
    </row>
    <row r="861" spans="1:22" ht="14.4" thickTop="1" thickBot="1" x14ac:dyDescent="0.3">
      <c r="A861" s="292"/>
      <c r="B861" s="293" t="s">
        <v>2091</v>
      </c>
      <c r="C861" s="294"/>
      <c r="D861" s="294"/>
      <c r="E861" s="294">
        <v>3</v>
      </c>
      <c r="F861" s="310"/>
      <c r="G861" s="310"/>
      <c r="H861" s="310"/>
      <c r="I861" s="295"/>
      <c r="J861" s="295"/>
      <c r="K861" s="300">
        <f t="shared" si="39"/>
        <v>1.1000000000000001</v>
      </c>
      <c r="L861" s="300">
        <f t="shared" si="77"/>
        <v>0</v>
      </c>
      <c r="M861" s="285">
        <f t="shared" si="78"/>
        <v>0</v>
      </c>
      <c r="N861" s="1076">
        <f t="shared" si="79"/>
        <v>0</v>
      </c>
      <c r="O861" s="294"/>
      <c r="P861" s="404"/>
      <c r="Q861" s="404"/>
      <c r="R861" s="301"/>
      <c r="S861" s="301"/>
      <c r="T861" s="301"/>
      <c r="U861" s="301"/>
      <c r="V861" s="301"/>
    </row>
    <row r="862" spans="1:22" ht="14.4" thickTop="1" thickBot="1" x14ac:dyDescent="0.3">
      <c r="A862" s="292"/>
      <c r="B862" s="293" t="s">
        <v>2121</v>
      </c>
      <c r="C862" s="294"/>
      <c r="D862" s="294">
        <v>7</v>
      </c>
      <c r="E862" s="294">
        <f>E861</f>
        <v>3</v>
      </c>
      <c r="F862" s="310">
        <f>F817+G817+G817+F817</f>
        <v>5</v>
      </c>
      <c r="G862" s="310">
        <v>0.88900000000000001</v>
      </c>
      <c r="H862" s="310"/>
      <c r="I862" s="295">
        <f>G862*F862*E862*D862</f>
        <v>93.344999999999999</v>
      </c>
      <c r="J862" s="295"/>
      <c r="K862" s="300">
        <f t="shared" si="39"/>
        <v>1.1000000000000001</v>
      </c>
      <c r="L862" s="300">
        <f t="shared" si="77"/>
        <v>0</v>
      </c>
      <c r="M862" s="285">
        <f t="shared" si="78"/>
        <v>0</v>
      </c>
      <c r="N862" s="1076">
        <f t="shared" si="79"/>
        <v>0</v>
      </c>
      <c r="O862" s="294"/>
      <c r="P862" s="404"/>
      <c r="Q862" s="404"/>
      <c r="R862" s="301"/>
      <c r="S862" s="301"/>
      <c r="T862" s="301"/>
      <c r="U862" s="301"/>
      <c r="V862" s="301"/>
    </row>
    <row r="863" spans="1:22" ht="14.4" thickTop="1" thickBot="1" x14ac:dyDescent="0.3">
      <c r="A863" s="292"/>
      <c r="B863" s="293" t="s">
        <v>2122</v>
      </c>
      <c r="C863" s="294"/>
      <c r="D863" s="294">
        <v>7</v>
      </c>
      <c r="E863" s="294">
        <f>E862</f>
        <v>3</v>
      </c>
      <c r="F863" s="310">
        <v>2.7</v>
      </c>
      <c r="G863" s="310">
        <v>1.58</v>
      </c>
      <c r="H863" s="310"/>
      <c r="I863" s="295">
        <f>G863*F863*E863*D863</f>
        <v>89.586000000000013</v>
      </c>
      <c r="J863" s="295"/>
      <c r="K863" s="300">
        <f t="shared" si="39"/>
        <v>1.1000000000000001</v>
      </c>
      <c r="L863" s="300">
        <f t="shared" si="77"/>
        <v>0</v>
      </c>
      <c r="M863" s="285">
        <f t="shared" si="78"/>
        <v>0</v>
      </c>
      <c r="N863" s="1076">
        <f t="shared" si="79"/>
        <v>0</v>
      </c>
      <c r="O863" s="294"/>
      <c r="P863" s="404"/>
      <c r="Q863" s="404"/>
      <c r="R863" s="301"/>
      <c r="S863" s="301"/>
      <c r="T863" s="301"/>
      <c r="U863" s="301"/>
      <c r="V863" s="301"/>
    </row>
    <row r="864" spans="1:22" ht="14.4" thickTop="1" thickBot="1" x14ac:dyDescent="0.3">
      <c r="A864" s="292"/>
      <c r="B864" s="293" t="s">
        <v>2123</v>
      </c>
      <c r="C864" s="294"/>
      <c r="D864" s="294">
        <v>7</v>
      </c>
      <c r="E864" s="294">
        <f>E863</f>
        <v>3</v>
      </c>
      <c r="F864" s="310">
        <v>2.7</v>
      </c>
      <c r="G864" s="310">
        <v>1.58</v>
      </c>
      <c r="H864" s="310"/>
      <c r="I864" s="295">
        <f>G864*F864*E864*D864</f>
        <v>89.586000000000013</v>
      </c>
      <c r="J864" s="295"/>
      <c r="K864" s="300">
        <f t="shared" si="39"/>
        <v>1.1000000000000001</v>
      </c>
      <c r="L864" s="300">
        <f t="shared" si="77"/>
        <v>0</v>
      </c>
      <c r="M864" s="285">
        <f t="shared" si="78"/>
        <v>0</v>
      </c>
      <c r="N864" s="1076">
        <f t="shared" si="79"/>
        <v>0</v>
      </c>
      <c r="O864" s="294"/>
      <c r="P864" s="423">
        <f>SUM(I862:I864)</f>
        <v>272.51700000000005</v>
      </c>
      <c r="Q864" s="423">
        <f>I827</f>
        <v>4.21875</v>
      </c>
      <c r="R864" s="301">
        <f>P864/Q864</f>
        <v>64.596622222222237</v>
      </c>
      <c r="S864" s="301"/>
      <c r="T864" s="301"/>
      <c r="U864" s="301"/>
      <c r="V864" s="301"/>
    </row>
    <row r="865" spans="1:22" ht="14.4" thickTop="1" thickBot="1" x14ac:dyDescent="0.3">
      <c r="A865" s="292"/>
      <c r="B865" s="293"/>
      <c r="C865" s="294"/>
      <c r="D865" s="294"/>
      <c r="E865" s="294"/>
      <c r="F865" s="310"/>
      <c r="G865" s="310"/>
      <c r="H865" s="310"/>
      <c r="I865" s="295"/>
      <c r="J865" s="295">
        <f>SUM(I842:I864)</f>
        <v>6127.9134000000004</v>
      </c>
      <c r="K865" s="300">
        <v>1.1000000000000001</v>
      </c>
      <c r="L865" s="300">
        <f t="shared" si="77"/>
        <v>6740.704740000001</v>
      </c>
      <c r="M865" s="285">
        <f t="shared" si="78"/>
        <v>6740.7</v>
      </c>
      <c r="N865" s="1076">
        <f t="shared" si="79"/>
        <v>6741</v>
      </c>
      <c r="O865" s="294"/>
      <c r="P865" s="413">
        <f>N865-J865</f>
        <v>613.08659999999963</v>
      </c>
      <c r="Q865" s="404"/>
      <c r="R865" s="301"/>
      <c r="S865" s="301"/>
      <c r="T865" s="301"/>
      <c r="U865" s="301"/>
      <c r="V865" s="301"/>
    </row>
    <row r="866" spans="1:22" ht="14.4" thickTop="1" thickBot="1" x14ac:dyDescent="0.3">
      <c r="A866" s="292"/>
      <c r="B866" s="293"/>
      <c r="C866" s="294"/>
      <c r="D866" s="294"/>
      <c r="E866" s="294"/>
      <c r="F866" s="310"/>
      <c r="G866" s="310"/>
      <c r="H866" s="310"/>
      <c r="I866" s="295"/>
      <c r="J866" s="295"/>
      <c r="K866" s="300">
        <f t="shared" si="39"/>
        <v>1.1000000000000001</v>
      </c>
      <c r="L866" s="300">
        <f t="shared" si="77"/>
        <v>0</v>
      </c>
      <c r="M866" s="285">
        <f t="shared" si="78"/>
        <v>0</v>
      </c>
      <c r="N866" s="1076">
        <f t="shared" si="79"/>
        <v>0</v>
      </c>
      <c r="O866" s="294"/>
      <c r="P866" s="404">
        <f>E841+E846+E851+E856+E861</f>
        <v>79</v>
      </c>
      <c r="Q866" s="404"/>
      <c r="R866" s="301"/>
      <c r="S866" s="301"/>
      <c r="T866" s="301"/>
      <c r="U866" s="301"/>
      <c r="V866" s="301"/>
    </row>
    <row r="867" spans="1:22" ht="14.4" thickTop="1" thickBot="1" x14ac:dyDescent="0.3">
      <c r="A867" s="292"/>
      <c r="B867" s="293" t="s">
        <v>2136</v>
      </c>
      <c r="C867" s="294"/>
      <c r="D867" s="294"/>
      <c r="E867" s="294"/>
      <c r="F867" s="310"/>
      <c r="G867" s="310"/>
      <c r="H867" s="310"/>
      <c r="I867" s="295"/>
      <c r="J867" s="295"/>
      <c r="K867" s="300">
        <f t="shared" si="39"/>
        <v>1.1000000000000001</v>
      </c>
      <c r="L867" s="300">
        <f t="shared" si="77"/>
        <v>0</v>
      </c>
      <c r="M867" s="285">
        <f t="shared" si="78"/>
        <v>0</v>
      </c>
      <c r="N867" s="1076">
        <f t="shared" si="79"/>
        <v>0</v>
      </c>
      <c r="O867" s="294"/>
      <c r="P867" s="404"/>
      <c r="Q867" s="404"/>
      <c r="R867" s="301"/>
      <c r="S867" s="301"/>
      <c r="T867" s="301"/>
      <c r="U867" s="301"/>
      <c r="V867" s="301"/>
    </row>
    <row r="868" spans="1:22" ht="14.4" thickTop="1" thickBot="1" x14ac:dyDescent="0.3">
      <c r="A868" s="292"/>
      <c r="B868" s="293" t="s">
        <v>2165</v>
      </c>
      <c r="C868" s="294"/>
      <c r="D868" s="294"/>
      <c r="E868" s="294"/>
      <c r="F868" s="310"/>
      <c r="G868" s="310"/>
      <c r="H868" s="310"/>
      <c r="I868" s="295"/>
      <c r="J868" s="295"/>
      <c r="K868" s="300">
        <f t="shared" si="39"/>
        <v>1.1000000000000001</v>
      </c>
      <c r="L868" s="300">
        <f t="shared" si="77"/>
        <v>0</v>
      </c>
      <c r="M868" s="285">
        <f t="shared" si="78"/>
        <v>0</v>
      </c>
      <c r="N868" s="1076">
        <f t="shared" si="79"/>
        <v>0</v>
      </c>
      <c r="O868" s="294"/>
      <c r="P868" s="404"/>
      <c r="Q868" s="404"/>
      <c r="R868" s="301"/>
      <c r="S868" s="301"/>
      <c r="T868" s="301"/>
      <c r="U868" s="301"/>
      <c r="V868" s="301"/>
    </row>
    <row r="869" spans="1:22" ht="14.4" thickTop="1" thickBot="1" x14ac:dyDescent="0.3">
      <c r="A869" s="292"/>
      <c r="B869" s="293" t="s">
        <v>1627</v>
      </c>
      <c r="C869" s="294"/>
      <c r="D869" s="294"/>
      <c r="E869" s="294">
        <v>1</v>
      </c>
      <c r="F869" s="310">
        <v>0.3</v>
      </c>
      <c r="G869" s="310">
        <v>0.3</v>
      </c>
      <c r="H869" s="310">
        <v>4</v>
      </c>
      <c r="I869" s="295">
        <f>H869*G869*F869*E869</f>
        <v>0.36</v>
      </c>
      <c r="J869" s="295"/>
      <c r="K869" s="300">
        <f t="shared" si="39"/>
        <v>1.1000000000000001</v>
      </c>
      <c r="L869" s="300">
        <f t="shared" si="77"/>
        <v>0</v>
      </c>
      <c r="M869" s="285">
        <f t="shared" si="78"/>
        <v>0</v>
      </c>
      <c r="N869" s="1076">
        <f t="shared" si="79"/>
        <v>0</v>
      </c>
      <c r="O869" s="294"/>
      <c r="P869" s="404"/>
      <c r="Q869" s="404"/>
      <c r="R869" s="301"/>
      <c r="S869" s="301"/>
      <c r="T869" s="301"/>
      <c r="U869" s="301"/>
      <c r="V869" s="301"/>
    </row>
    <row r="870" spans="1:22" ht="14.4" thickTop="1" thickBot="1" x14ac:dyDescent="0.3">
      <c r="A870" s="292"/>
      <c r="B870" s="293" t="s">
        <v>1628</v>
      </c>
      <c r="C870" s="294"/>
      <c r="D870" s="294"/>
      <c r="E870" s="294">
        <v>4</v>
      </c>
      <c r="F870" s="310">
        <v>0.3</v>
      </c>
      <c r="G870" s="310">
        <v>0.3</v>
      </c>
      <c r="H870" s="310">
        <v>4</v>
      </c>
      <c r="I870" s="295">
        <f t="shared" ref="I870:I894" si="80">H870*G870*F870*E870</f>
        <v>1.44</v>
      </c>
      <c r="J870" s="295"/>
      <c r="K870" s="300">
        <f t="shared" si="39"/>
        <v>1.1000000000000001</v>
      </c>
      <c r="L870" s="300">
        <f t="shared" si="77"/>
        <v>0</v>
      </c>
      <c r="M870" s="285">
        <f t="shared" si="78"/>
        <v>0</v>
      </c>
      <c r="N870" s="1076">
        <f t="shared" si="79"/>
        <v>0</v>
      </c>
      <c r="O870" s="294"/>
      <c r="P870" s="404"/>
      <c r="Q870" s="404"/>
      <c r="R870" s="301"/>
      <c r="S870" s="301"/>
      <c r="T870" s="301"/>
      <c r="U870" s="301"/>
      <c r="V870" s="301"/>
    </row>
    <row r="871" spans="1:22" ht="14.4" thickTop="1" thickBot="1" x14ac:dyDescent="0.3">
      <c r="A871" s="292"/>
      <c r="B871" s="293" t="s">
        <v>2137</v>
      </c>
      <c r="C871" s="294"/>
      <c r="D871" s="294"/>
      <c r="E871" s="294">
        <v>3</v>
      </c>
      <c r="F871" s="310">
        <v>0.3</v>
      </c>
      <c r="G871" s="310">
        <v>0.3</v>
      </c>
      <c r="H871" s="310">
        <v>4</v>
      </c>
      <c r="I871" s="295">
        <f t="shared" si="80"/>
        <v>1.08</v>
      </c>
      <c r="J871" s="295"/>
      <c r="K871" s="300">
        <f t="shared" si="39"/>
        <v>1.1000000000000001</v>
      </c>
      <c r="L871" s="300">
        <f t="shared" si="77"/>
        <v>0</v>
      </c>
      <c r="M871" s="285">
        <f t="shared" si="78"/>
        <v>0</v>
      </c>
      <c r="N871" s="1076">
        <f t="shared" si="79"/>
        <v>0</v>
      </c>
      <c r="O871" s="294"/>
      <c r="P871" s="404"/>
      <c r="Q871" s="404"/>
      <c r="R871" s="301"/>
      <c r="S871" s="301"/>
      <c r="T871" s="301"/>
      <c r="U871" s="301"/>
      <c r="V871" s="301"/>
    </row>
    <row r="872" spans="1:22" ht="14.4" thickTop="1" thickBot="1" x14ac:dyDescent="0.3">
      <c r="A872" s="292"/>
      <c r="B872" s="293" t="s">
        <v>2139</v>
      </c>
      <c r="C872" s="294"/>
      <c r="D872" s="294"/>
      <c r="E872" s="294">
        <v>1</v>
      </c>
      <c r="F872" s="310">
        <v>0.22500000000000001</v>
      </c>
      <c r="G872" s="310">
        <v>0.22500000000000001</v>
      </c>
      <c r="H872" s="310">
        <v>4</v>
      </c>
      <c r="I872" s="295">
        <f t="shared" si="80"/>
        <v>0.20250000000000001</v>
      </c>
      <c r="J872" s="295"/>
      <c r="K872" s="300">
        <f t="shared" si="39"/>
        <v>1.1000000000000001</v>
      </c>
      <c r="L872" s="300">
        <f t="shared" si="77"/>
        <v>0</v>
      </c>
      <c r="M872" s="285">
        <f t="shared" si="78"/>
        <v>0</v>
      </c>
      <c r="N872" s="1076">
        <f t="shared" si="79"/>
        <v>0</v>
      </c>
      <c r="O872" s="294"/>
      <c r="P872" s="404">
        <f>0.3*0.3*4</f>
        <v>0.36</v>
      </c>
      <c r="Q872" s="404"/>
      <c r="R872" s="301"/>
      <c r="S872" s="301"/>
      <c r="T872" s="301"/>
      <c r="U872" s="301"/>
      <c r="V872" s="301"/>
    </row>
    <row r="873" spans="1:22" ht="14.4" thickTop="1" thickBot="1" x14ac:dyDescent="0.3">
      <c r="A873" s="292"/>
      <c r="B873" s="293" t="s">
        <v>2140</v>
      </c>
      <c r="C873" s="294"/>
      <c r="D873" s="294"/>
      <c r="E873" s="294">
        <v>6</v>
      </c>
      <c r="F873" s="310">
        <f>22/7</f>
        <v>3.1428571428571428</v>
      </c>
      <c r="G873" s="310">
        <f>0.225*0.225</f>
        <v>5.0625000000000003E-2</v>
      </c>
      <c r="H873" s="310">
        <v>4</v>
      </c>
      <c r="I873" s="295">
        <f t="shared" si="80"/>
        <v>3.8185714285714285</v>
      </c>
      <c r="J873" s="295"/>
      <c r="K873" s="300">
        <f t="shared" si="39"/>
        <v>1.1000000000000001</v>
      </c>
      <c r="L873" s="300">
        <f t="shared" si="77"/>
        <v>0</v>
      </c>
      <c r="M873" s="285">
        <f t="shared" si="78"/>
        <v>0</v>
      </c>
      <c r="N873" s="1076">
        <f t="shared" si="79"/>
        <v>0</v>
      </c>
      <c r="O873" s="294"/>
      <c r="P873" s="404">
        <f>0.45*0.45*4</f>
        <v>0.81</v>
      </c>
      <c r="Q873" s="404">
        <f>H873*F873</f>
        <v>12.571428571428571</v>
      </c>
      <c r="R873" s="301"/>
      <c r="S873" s="301"/>
      <c r="T873" s="301"/>
      <c r="U873" s="301"/>
      <c r="V873" s="301"/>
    </row>
    <row r="874" spans="1:22" ht="14.4" thickTop="1" thickBot="1" x14ac:dyDescent="0.3">
      <c r="A874" s="292"/>
      <c r="B874" s="293" t="s">
        <v>2141</v>
      </c>
      <c r="C874" s="294"/>
      <c r="D874" s="294"/>
      <c r="E874" s="294">
        <v>12</v>
      </c>
      <c r="F874" s="310">
        <f>22/7</f>
        <v>3.1428571428571428</v>
      </c>
      <c r="G874" s="310">
        <f>0.175*0.175</f>
        <v>3.0624999999999996E-2</v>
      </c>
      <c r="H874" s="310">
        <v>4</v>
      </c>
      <c r="I874" s="295">
        <f t="shared" si="80"/>
        <v>4.6199999999999992</v>
      </c>
      <c r="J874" s="295"/>
      <c r="K874" s="300">
        <f t="shared" si="39"/>
        <v>1.1000000000000001</v>
      </c>
      <c r="L874" s="300">
        <f t="shared" si="77"/>
        <v>0</v>
      </c>
      <c r="M874" s="285">
        <f t="shared" si="78"/>
        <v>0</v>
      </c>
      <c r="N874" s="1076">
        <f t="shared" si="79"/>
        <v>0</v>
      </c>
      <c r="O874" s="294"/>
      <c r="P874" s="404">
        <f>350/2</f>
        <v>175</v>
      </c>
      <c r="Q874" s="404"/>
      <c r="R874" s="301"/>
      <c r="S874" s="301"/>
      <c r="T874" s="301"/>
      <c r="U874" s="301"/>
      <c r="V874" s="301"/>
    </row>
    <row r="875" spans="1:22" ht="14.4" thickTop="1" thickBot="1" x14ac:dyDescent="0.3">
      <c r="A875" s="292"/>
      <c r="B875" s="293" t="s">
        <v>2142</v>
      </c>
      <c r="C875" s="294"/>
      <c r="D875" s="294"/>
      <c r="E875" s="294">
        <v>5</v>
      </c>
      <c r="F875" s="310">
        <f>22/7</f>
        <v>3.1428571428571428</v>
      </c>
      <c r="G875" s="310">
        <f>0.175*0.175</f>
        <v>3.0624999999999996E-2</v>
      </c>
      <c r="H875" s="310">
        <v>4</v>
      </c>
      <c r="I875" s="295">
        <f t="shared" si="80"/>
        <v>1.9249999999999998</v>
      </c>
      <c r="J875" s="295"/>
      <c r="K875" s="300">
        <f t="shared" si="39"/>
        <v>1.1000000000000001</v>
      </c>
      <c r="L875" s="300">
        <f t="shared" si="77"/>
        <v>0</v>
      </c>
      <c r="M875" s="285">
        <f t="shared" si="78"/>
        <v>0</v>
      </c>
      <c r="N875" s="1076">
        <f t="shared" si="79"/>
        <v>0</v>
      </c>
      <c r="O875" s="294"/>
      <c r="P875" s="404"/>
      <c r="Q875" s="404"/>
      <c r="R875" s="301"/>
      <c r="S875" s="301"/>
      <c r="T875" s="301"/>
      <c r="U875" s="301"/>
      <c r="V875" s="301"/>
    </row>
    <row r="876" spans="1:22" ht="14.4" thickTop="1" thickBot="1" x14ac:dyDescent="0.3">
      <c r="A876" s="292"/>
      <c r="B876" s="293" t="s">
        <v>2143</v>
      </c>
      <c r="C876" s="294"/>
      <c r="D876" s="294"/>
      <c r="E876" s="294">
        <v>7</v>
      </c>
      <c r="F876" s="310">
        <v>0.3</v>
      </c>
      <c r="G876" s="310">
        <v>0.3</v>
      </c>
      <c r="H876" s="310">
        <v>4</v>
      </c>
      <c r="I876" s="295">
        <f t="shared" si="80"/>
        <v>2.52</v>
      </c>
      <c r="J876" s="295"/>
      <c r="K876" s="300">
        <f t="shared" si="39"/>
        <v>1.1000000000000001</v>
      </c>
      <c r="L876" s="300">
        <f t="shared" si="77"/>
        <v>0</v>
      </c>
      <c r="M876" s="285">
        <f t="shared" si="78"/>
        <v>0</v>
      </c>
      <c r="N876" s="1076">
        <f t="shared" si="79"/>
        <v>0</v>
      </c>
      <c r="O876" s="294"/>
      <c r="P876" s="404"/>
      <c r="Q876" s="404"/>
      <c r="R876" s="301"/>
      <c r="S876" s="301"/>
      <c r="T876" s="301"/>
      <c r="U876" s="301"/>
      <c r="V876" s="301"/>
    </row>
    <row r="877" spans="1:22" ht="14.4" thickTop="1" thickBot="1" x14ac:dyDescent="0.3">
      <c r="A877" s="292"/>
      <c r="B877" s="293" t="s">
        <v>2144</v>
      </c>
      <c r="C877" s="294"/>
      <c r="D877" s="294"/>
      <c r="E877" s="294">
        <v>1</v>
      </c>
      <c r="F877" s="310">
        <v>0.22500000000000001</v>
      </c>
      <c r="G877" s="310">
        <v>0.22500000000000001</v>
      </c>
      <c r="H877" s="310">
        <v>4</v>
      </c>
      <c r="I877" s="295">
        <f t="shared" si="80"/>
        <v>0.20250000000000001</v>
      </c>
      <c r="J877" s="295"/>
      <c r="K877" s="300">
        <f t="shared" si="39"/>
        <v>1.1000000000000001</v>
      </c>
      <c r="L877" s="300">
        <f t="shared" si="77"/>
        <v>0</v>
      </c>
      <c r="M877" s="285">
        <f t="shared" si="78"/>
        <v>0</v>
      </c>
      <c r="N877" s="1076">
        <f t="shared" si="79"/>
        <v>0</v>
      </c>
      <c r="O877" s="294"/>
      <c r="P877" s="404"/>
      <c r="Q877" s="404"/>
      <c r="R877" s="301"/>
      <c r="S877" s="301"/>
      <c r="T877" s="301"/>
      <c r="U877" s="301"/>
      <c r="V877" s="301"/>
    </row>
    <row r="878" spans="1:22" ht="14.4" thickTop="1" thickBot="1" x14ac:dyDescent="0.3">
      <c r="A878" s="292"/>
      <c r="B878" s="293" t="s">
        <v>2145</v>
      </c>
      <c r="C878" s="294"/>
      <c r="D878" s="294"/>
      <c r="E878" s="294">
        <v>1</v>
      </c>
      <c r="F878" s="310">
        <f>22/7</f>
        <v>3.1428571428571428</v>
      </c>
      <c r="G878" s="310">
        <f>0.175*0.175</f>
        <v>3.0624999999999996E-2</v>
      </c>
      <c r="H878" s="310">
        <v>4</v>
      </c>
      <c r="I878" s="295">
        <f t="shared" si="80"/>
        <v>0.38499999999999995</v>
      </c>
      <c r="J878" s="295"/>
      <c r="K878" s="300">
        <f t="shared" si="39"/>
        <v>1.1000000000000001</v>
      </c>
      <c r="L878" s="300">
        <f t="shared" si="77"/>
        <v>0</v>
      </c>
      <c r="M878" s="285">
        <f t="shared" si="78"/>
        <v>0</v>
      </c>
      <c r="N878" s="1076">
        <f t="shared" si="79"/>
        <v>0</v>
      </c>
      <c r="O878" s="294"/>
      <c r="P878" s="404"/>
      <c r="Q878" s="404"/>
      <c r="R878" s="301"/>
      <c r="S878" s="301"/>
      <c r="T878" s="301"/>
      <c r="U878" s="301"/>
      <c r="V878" s="301"/>
    </row>
    <row r="879" spans="1:22" ht="14.4" thickTop="1" thickBot="1" x14ac:dyDescent="0.3">
      <c r="A879" s="292"/>
      <c r="B879" s="293" t="s">
        <v>2146</v>
      </c>
      <c r="C879" s="294"/>
      <c r="D879" s="294"/>
      <c r="E879" s="294">
        <v>1</v>
      </c>
      <c r="F879" s="310">
        <f>22/7</f>
        <v>3.1428571428571428</v>
      </c>
      <c r="G879" s="310">
        <f>0.225*0.225</f>
        <v>5.0625000000000003E-2</v>
      </c>
      <c r="H879" s="310">
        <v>4</v>
      </c>
      <c r="I879" s="295">
        <f t="shared" si="80"/>
        <v>0.63642857142857145</v>
      </c>
      <c r="J879" s="295"/>
      <c r="K879" s="300">
        <f t="shared" si="39"/>
        <v>1.1000000000000001</v>
      </c>
      <c r="L879" s="300">
        <f t="shared" si="77"/>
        <v>0</v>
      </c>
      <c r="M879" s="285">
        <f t="shared" si="78"/>
        <v>0</v>
      </c>
      <c r="N879" s="1076">
        <f t="shared" si="79"/>
        <v>0</v>
      </c>
      <c r="O879" s="294"/>
      <c r="P879" s="404"/>
      <c r="Q879" s="404"/>
      <c r="R879" s="301"/>
      <c r="S879" s="301"/>
      <c r="T879" s="301"/>
      <c r="U879" s="301"/>
      <c r="V879" s="301"/>
    </row>
    <row r="880" spans="1:22" ht="14.4" thickTop="1" thickBot="1" x14ac:dyDescent="0.3">
      <c r="A880" s="292"/>
      <c r="B880" s="293" t="s">
        <v>2148</v>
      </c>
      <c r="C880" s="294"/>
      <c r="D880" s="294"/>
      <c r="E880" s="294">
        <v>2</v>
      </c>
      <c r="F880" s="310">
        <f>22/7</f>
        <v>3.1428571428571428</v>
      </c>
      <c r="G880" s="310">
        <f>0.225*0.225</f>
        <v>5.0625000000000003E-2</v>
      </c>
      <c r="H880" s="310">
        <v>4</v>
      </c>
      <c r="I880" s="295">
        <f t="shared" si="80"/>
        <v>1.2728571428571429</v>
      </c>
      <c r="J880" s="295"/>
      <c r="K880" s="300">
        <f t="shared" si="39"/>
        <v>1.1000000000000001</v>
      </c>
      <c r="L880" s="300">
        <f t="shared" si="77"/>
        <v>0</v>
      </c>
      <c r="M880" s="285">
        <f t="shared" si="78"/>
        <v>0</v>
      </c>
      <c r="N880" s="1076">
        <f t="shared" si="79"/>
        <v>0</v>
      </c>
      <c r="O880" s="294"/>
      <c r="P880" s="404"/>
      <c r="Q880" s="404"/>
      <c r="R880" s="301"/>
      <c r="S880" s="301"/>
      <c r="T880" s="301"/>
      <c r="U880" s="301"/>
      <c r="V880" s="301"/>
    </row>
    <row r="881" spans="1:22" ht="14.4" thickTop="1" thickBot="1" x14ac:dyDescent="0.3">
      <c r="A881" s="292"/>
      <c r="B881" s="293" t="s">
        <v>2149</v>
      </c>
      <c r="C881" s="294"/>
      <c r="D881" s="294"/>
      <c r="E881" s="294">
        <v>1</v>
      </c>
      <c r="F881" s="310">
        <f>22/7</f>
        <v>3.1428571428571428</v>
      </c>
      <c r="G881" s="310">
        <f>0.225*0.225</f>
        <v>5.0625000000000003E-2</v>
      </c>
      <c r="H881" s="310">
        <v>4</v>
      </c>
      <c r="I881" s="295">
        <f t="shared" si="80"/>
        <v>0.63642857142857145</v>
      </c>
      <c r="J881" s="295"/>
      <c r="K881" s="300">
        <f t="shared" si="39"/>
        <v>1.1000000000000001</v>
      </c>
      <c r="L881" s="300">
        <f t="shared" si="77"/>
        <v>0</v>
      </c>
      <c r="M881" s="285">
        <f t="shared" si="78"/>
        <v>0</v>
      </c>
      <c r="N881" s="1076">
        <f t="shared" si="79"/>
        <v>0</v>
      </c>
      <c r="O881" s="294"/>
      <c r="P881" s="404"/>
      <c r="Q881" s="404"/>
      <c r="R881" s="301"/>
      <c r="S881" s="301"/>
      <c r="T881" s="301"/>
      <c r="U881" s="301"/>
      <c r="V881" s="301"/>
    </row>
    <row r="882" spans="1:22" ht="14.4" thickTop="1" thickBot="1" x14ac:dyDescent="0.3">
      <c r="A882" s="292"/>
      <c r="B882" s="293" t="s">
        <v>2150</v>
      </c>
      <c r="C882" s="294"/>
      <c r="D882" s="294"/>
      <c r="E882" s="294">
        <v>1</v>
      </c>
      <c r="F882" s="310">
        <v>0.3</v>
      </c>
      <c r="G882" s="310">
        <v>0.3</v>
      </c>
      <c r="H882" s="310">
        <v>4</v>
      </c>
      <c r="I882" s="295">
        <f t="shared" si="80"/>
        <v>0.36</v>
      </c>
      <c r="J882" s="295"/>
      <c r="K882" s="300">
        <f t="shared" si="39"/>
        <v>1.1000000000000001</v>
      </c>
      <c r="L882" s="300">
        <f t="shared" si="77"/>
        <v>0</v>
      </c>
      <c r="M882" s="285">
        <f t="shared" si="78"/>
        <v>0</v>
      </c>
      <c r="N882" s="1076">
        <f t="shared" si="79"/>
        <v>0</v>
      </c>
      <c r="O882" s="294"/>
      <c r="P882" s="404"/>
      <c r="Q882" s="404"/>
      <c r="R882" s="301"/>
      <c r="S882" s="301"/>
      <c r="T882" s="301"/>
      <c r="U882" s="301"/>
      <c r="V882" s="301"/>
    </row>
    <row r="883" spans="1:22" ht="14.4" thickTop="1" thickBot="1" x14ac:dyDescent="0.3">
      <c r="A883" s="292"/>
      <c r="B883" s="293" t="s">
        <v>2151</v>
      </c>
      <c r="C883" s="294"/>
      <c r="D883" s="294"/>
      <c r="E883" s="294">
        <v>5</v>
      </c>
      <c r="F883" s="310">
        <f t="shared" ref="F883:F890" si="81">22/7</f>
        <v>3.1428571428571428</v>
      </c>
      <c r="G883" s="310">
        <f t="shared" ref="G883:G885" si="82">0.175*0.175</f>
        <v>3.0624999999999996E-2</v>
      </c>
      <c r="H883" s="310">
        <v>4</v>
      </c>
      <c r="I883" s="295">
        <f t="shared" si="80"/>
        <v>1.9249999999999998</v>
      </c>
      <c r="J883" s="295"/>
      <c r="K883" s="300">
        <f t="shared" si="39"/>
        <v>1.1000000000000001</v>
      </c>
      <c r="L883" s="300">
        <f t="shared" si="77"/>
        <v>0</v>
      </c>
      <c r="M883" s="285">
        <f t="shared" si="78"/>
        <v>0</v>
      </c>
      <c r="N883" s="1076">
        <f t="shared" si="79"/>
        <v>0</v>
      </c>
      <c r="O883" s="294"/>
      <c r="P883" s="404"/>
      <c r="Q883" s="404"/>
      <c r="R883" s="301"/>
      <c r="S883" s="301"/>
      <c r="T883" s="301"/>
      <c r="U883" s="301"/>
      <c r="V883" s="301"/>
    </row>
    <row r="884" spans="1:22" ht="14.4" thickTop="1" thickBot="1" x14ac:dyDescent="0.3">
      <c r="A884" s="292"/>
      <c r="B884" s="293" t="s">
        <v>2152</v>
      </c>
      <c r="C884" s="294"/>
      <c r="D884" s="294"/>
      <c r="E884" s="294">
        <v>1</v>
      </c>
      <c r="F884" s="310">
        <f t="shared" si="81"/>
        <v>3.1428571428571428</v>
      </c>
      <c r="G884" s="310">
        <f>0.175*0.175</f>
        <v>3.0624999999999996E-2</v>
      </c>
      <c r="H884" s="310">
        <v>4</v>
      </c>
      <c r="I884" s="295">
        <f t="shared" si="80"/>
        <v>0.38499999999999995</v>
      </c>
      <c r="J884" s="295"/>
      <c r="K884" s="300">
        <f t="shared" si="39"/>
        <v>1.1000000000000001</v>
      </c>
      <c r="L884" s="300">
        <f t="shared" si="77"/>
        <v>0</v>
      </c>
      <c r="M884" s="285">
        <f t="shared" si="78"/>
        <v>0</v>
      </c>
      <c r="N884" s="1076">
        <f t="shared" si="79"/>
        <v>0</v>
      </c>
      <c r="O884" s="294"/>
      <c r="P884" s="404"/>
      <c r="Q884" s="404"/>
      <c r="R884" s="301"/>
      <c r="S884" s="301"/>
      <c r="T884" s="301"/>
      <c r="U884" s="301"/>
      <c r="V884" s="301"/>
    </row>
    <row r="885" spans="1:22" ht="14.4" thickTop="1" thickBot="1" x14ac:dyDescent="0.3">
      <c r="A885" s="292"/>
      <c r="B885" s="293" t="s">
        <v>2153</v>
      </c>
      <c r="C885" s="294"/>
      <c r="D885" s="294"/>
      <c r="E885" s="294">
        <v>1</v>
      </c>
      <c r="F885" s="310">
        <f t="shared" si="81"/>
        <v>3.1428571428571428</v>
      </c>
      <c r="G885" s="310">
        <f t="shared" si="82"/>
        <v>3.0624999999999996E-2</v>
      </c>
      <c r="H885" s="310">
        <v>4</v>
      </c>
      <c r="I885" s="295">
        <f t="shared" si="80"/>
        <v>0.38499999999999995</v>
      </c>
      <c r="J885" s="295"/>
      <c r="K885" s="300">
        <f t="shared" si="39"/>
        <v>1.1000000000000001</v>
      </c>
      <c r="L885" s="300">
        <f t="shared" si="77"/>
        <v>0</v>
      </c>
      <c r="M885" s="285">
        <f t="shared" si="78"/>
        <v>0</v>
      </c>
      <c r="N885" s="1076">
        <f t="shared" si="79"/>
        <v>0</v>
      </c>
      <c r="O885" s="294"/>
      <c r="P885" s="404"/>
      <c r="Q885" s="404"/>
      <c r="R885" s="301"/>
      <c r="S885" s="301"/>
      <c r="T885" s="301"/>
      <c r="U885" s="301"/>
      <c r="V885" s="301"/>
    </row>
    <row r="886" spans="1:22" ht="14.4" thickTop="1" thickBot="1" x14ac:dyDescent="0.3">
      <c r="A886" s="292"/>
      <c r="B886" s="293" t="s">
        <v>2154</v>
      </c>
      <c r="C886" s="294"/>
      <c r="D886" s="294"/>
      <c r="E886" s="294">
        <v>2</v>
      </c>
      <c r="F886" s="310">
        <f t="shared" si="81"/>
        <v>3.1428571428571428</v>
      </c>
      <c r="G886" s="310">
        <f>0.225*0.225</f>
        <v>5.0625000000000003E-2</v>
      </c>
      <c r="H886" s="310">
        <v>4</v>
      </c>
      <c r="I886" s="295">
        <f t="shared" si="80"/>
        <v>1.2728571428571429</v>
      </c>
      <c r="J886" s="295"/>
      <c r="K886" s="300">
        <f t="shared" si="39"/>
        <v>1.1000000000000001</v>
      </c>
      <c r="L886" s="300">
        <f t="shared" si="77"/>
        <v>0</v>
      </c>
      <c r="M886" s="285">
        <f t="shared" si="78"/>
        <v>0</v>
      </c>
      <c r="N886" s="1076">
        <f t="shared" si="79"/>
        <v>0</v>
      </c>
      <c r="O886" s="294"/>
      <c r="P886" s="404"/>
      <c r="Q886" s="404"/>
      <c r="R886" s="301"/>
      <c r="S886" s="301"/>
      <c r="T886" s="301"/>
      <c r="U886" s="301"/>
      <c r="V886" s="301"/>
    </row>
    <row r="887" spans="1:22" ht="14.4" thickTop="1" thickBot="1" x14ac:dyDescent="0.3">
      <c r="A887" s="292"/>
      <c r="B887" s="293" t="s">
        <v>2155</v>
      </c>
      <c r="C887" s="294"/>
      <c r="D887" s="294"/>
      <c r="E887" s="294">
        <v>4</v>
      </c>
      <c r="F887" s="310">
        <f t="shared" si="81"/>
        <v>3.1428571428571428</v>
      </c>
      <c r="G887" s="310">
        <f t="shared" ref="G887" si="83">0.225*0.225</f>
        <v>5.0625000000000003E-2</v>
      </c>
      <c r="H887" s="310">
        <v>4</v>
      </c>
      <c r="I887" s="295">
        <f t="shared" si="80"/>
        <v>2.5457142857142858</v>
      </c>
      <c r="J887" s="295"/>
      <c r="K887" s="300">
        <f t="shared" si="39"/>
        <v>1.1000000000000001</v>
      </c>
      <c r="L887" s="300">
        <f t="shared" si="77"/>
        <v>0</v>
      </c>
      <c r="M887" s="285">
        <f t="shared" si="78"/>
        <v>0</v>
      </c>
      <c r="N887" s="1076">
        <f t="shared" si="79"/>
        <v>0</v>
      </c>
      <c r="O887" s="294"/>
      <c r="P887" s="404"/>
      <c r="Q887" s="404"/>
      <c r="R887" s="301"/>
      <c r="S887" s="301"/>
      <c r="T887" s="301"/>
      <c r="U887" s="301"/>
      <c r="V887" s="301"/>
    </row>
    <row r="888" spans="1:22" ht="14.4" thickTop="1" thickBot="1" x14ac:dyDescent="0.3">
      <c r="A888" s="292"/>
      <c r="B888" s="293" t="s">
        <v>2156</v>
      </c>
      <c r="C888" s="294"/>
      <c r="D888" s="294"/>
      <c r="E888" s="294">
        <v>1</v>
      </c>
      <c r="F888" s="310">
        <v>0.3</v>
      </c>
      <c r="G888" s="310">
        <v>0.3</v>
      </c>
      <c r="H888" s="310">
        <v>4</v>
      </c>
      <c r="I888" s="295">
        <f t="shared" si="80"/>
        <v>0.36</v>
      </c>
      <c r="J888" s="295"/>
      <c r="K888" s="300">
        <f t="shared" ref="K888:K1097" si="84">$K$2</f>
        <v>1.1000000000000001</v>
      </c>
      <c r="L888" s="300">
        <f t="shared" si="77"/>
        <v>0</v>
      </c>
      <c r="M888" s="285">
        <f t="shared" si="78"/>
        <v>0</v>
      </c>
      <c r="N888" s="1076">
        <f t="shared" si="79"/>
        <v>0</v>
      </c>
      <c r="O888" s="294"/>
      <c r="P888" s="404"/>
      <c r="Q888" s="404"/>
      <c r="R888" s="301"/>
      <c r="S888" s="301"/>
      <c r="T888" s="301"/>
      <c r="U888" s="301"/>
      <c r="V888" s="301"/>
    </row>
    <row r="889" spans="1:22" ht="14.4" thickTop="1" thickBot="1" x14ac:dyDescent="0.3">
      <c r="A889" s="292"/>
      <c r="B889" s="293" t="s">
        <v>2157</v>
      </c>
      <c r="C889" s="294"/>
      <c r="D889" s="294"/>
      <c r="E889" s="294">
        <v>2</v>
      </c>
      <c r="F889" s="310">
        <f t="shared" si="81"/>
        <v>3.1428571428571428</v>
      </c>
      <c r="G889" s="310">
        <f>0.225*0.225</f>
        <v>5.0625000000000003E-2</v>
      </c>
      <c r="H889" s="310">
        <v>4</v>
      </c>
      <c r="I889" s="295">
        <f t="shared" si="80"/>
        <v>1.2728571428571429</v>
      </c>
      <c r="J889" s="295"/>
      <c r="K889" s="300">
        <f t="shared" si="84"/>
        <v>1.1000000000000001</v>
      </c>
      <c r="L889" s="300">
        <f t="shared" si="77"/>
        <v>0</v>
      </c>
      <c r="M889" s="285">
        <f t="shared" si="78"/>
        <v>0</v>
      </c>
      <c r="N889" s="1076">
        <f t="shared" si="79"/>
        <v>0</v>
      </c>
      <c r="O889" s="294"/>
      <c r="P889" s="404"/>
      <c r="Q889" s="404"/>
      <c r="R889" s="301"/>
      <c r="S889" s="301"/>
      <c r="T889" s="301"/>
      <c r="U889" s="301"/>
      <c r="V889" s="301"/>
    </row>
    <row r="890" spans="1:22" ht="14.4" thickTop="1" thickBot="1" x14ac:dyDescent="0.3">
      <c r="A890" s="292"/>
      <c r="B890" s="293" t="s">
        <v>2159</v>
      </c>
      <c r="C890" s="294"/>
      <c r="D890" s="294"/>
      <c r="E890" s="294">
        <v>5</v>
      </c>
      <c r="F890" s="310">
        <f t="shared" si="81"/>
        <v>3.1428571428571428</v>
      </c>
      <c r="G890" s="310">
        <f>0.225*0.225</f>
        <v>5.0625000000000003E-2</v>
      </c>
      <c r="H890" s="310">
        <v>4</v>
      </c>
      <c r="I890" s="295">
        <f t="shared" si="80"/>
        <v>3.1821428571428574</v>
      </c>
      <c r="J890" s="295"/>
      <c r="K890" s="300">
        <f t="shared" si="84"/>
        <v>1.1000000000000001</v>
      </c>
      <c r="L890" s="300">
        <f t="shared" si="77"/>
        <v>0</v>
      </c>
      <c r="M890" s="285">
        <f t="shared" si="78"/>
        <v>0</v>
      </c>
      <c r="N890" s="1076">
        <f t="shared" si="79"/>
        <v>0</v>
      </c>
      <c r="O890" s="294"/>
      <c r="P890" s="404"/>
      <c r="Q890" s="404"/>
      <c r="R890" s="301"/>
      <c r="S890" s="301"/>
      <c r="T890" s="301"/>
      <c r="U890" s="301"/>
      <c r="V890" s="301"/>
    </row>
    <row r="891" spans="1:22" ht="14.4" thickTop="1" thickBot="1" x14ac:dyDescent="0.3">
      <c r="A891" s="292"/>
      <c r="B891" s="293" t="s">
        <v>2160</v>
      </c>
      <c r="C891" s="294"/>
      <c r="D891" s="294"/>
      <c r="E891" s="294">
        <v>2</v>
      </c>
      <c r="F891" s="310">
        <v>0.22500000000000001</v>
      </c>
      <c r="G891" s="310">
        <v>0.22500000000000001</v>
      </c>
      <c r="H891" s="310">
        <v>4</v>
      </c>
      <c r="I891" s="295">
        <f t="shared" si="80"/>
        <v>0.40500000000000003</v>
      </c>
      <c r="J891" s="295"/>
      <c r="K891" s="300">
        <f t="shared" si="84"/>
        <v>1.1000000000000001</v>
      </c>
      <c r="L891" s="300">
        <f t="shared" si="77"/>
        <v>0</v>
      </c>
      <c r="M891" s="285">
        <f t="shared" si="78"/>
        <v>0</v>
      </c>
      <c r="N891" s="1076">
        <f t="shared" si="79"/>
        <v>0</v>
      </c>
      <c r="O891" s="294"/>
      <c r="P891" s="404"/>
      <c r="Q891" s="404"/>
      <c r="R891" s="301"/>
      <c r="S891" s="301"/>
      <c r="T891" s="301"/>
      <c r="U891" s="301"/>
      <c r="V891" s="301"/>
    </row>
    <row r="892" spans="1:22" ht="14.4" thickTop="1" thickBot="1" x14ac:dyDescent="0.3">
      <c r="A892" s="292"/>
      <c r="B892" s="293" t="s">
        <v>2162</v>
      </c>
      <c r="C892" s="294"/>
      <c r="D892" s="294"/>
      <c r="E892" s="294">
        <v>1</v>
      </c>
      <c r="F892" s="310">
        <v>0.3</v>
      </c>
      <c r="G892" s="310">
        <v>0.3</v>
      </c>
      <c r="H892" s="310">
        <v>4</v>
      </c>
      <c r="I892" s="295">
        <f t="shared" si="80"/>
        <v>0.36</v>
      </c>
      <c r="J892" s="295"/>
      <c r="K892" s="300">
        <f t="shared" si="84"/>
        <v>1.1000000000000001</v>
      </c>
      <c r="L892" s="300">
        <f t="shared" si="77"/>
        <v>0</v>
      </c>
      <c r="M892" s="285">
        <f t="shared" si="78"/>
        <v>0</v>
      </c>
      <c r="N892" s="1076">
        <f t="shared" si="79"/>
        <v>0</v>
      </c>
      <c r="O892" s="294"/>
      <c r="P892" s="404"/>
      <c r="Q892" s="404"/>
      <c r="R892" s="301"/>
      <c r="S892" s="301"/>
      <c r="T892" s="301"/>
      <c r="U892" s="301"/>
      <c r="V892" s="301"/>
    </row>
    <row r="893" spans="1:22" ht="14.4" thickTop="1" thickBot="1" x14ac:dyDescent="0.3">
      <c r="A893" s="292"/>
      <c r="B893" s="293" t="s">
        <v>2163</v>
      </c>
      <c r="C893" s="294"/>
      <c r="D893" s="294"/>
      <c r="E893" s="294">
        <v>3</v>
      </c>
      <c r="F893" s="310">
        <f t="shared" ref="F893" si="85">22/7</f>
        <v>3.1428571428571428</v>
      </c>
      <c r="G893" s="310">
        <f>0.225*0.225</f>
        <v>5.0625000000000003E-2</v>
      </c>
      <c r="H893" s="310">
        <v>4</v>
      </c>
      <c r="I893" s="295">
        <f t="shared" si="80"/>
        <v>1.9092857142857143</v>
      </c>
      <c r="J893" s="295"/>
      <c r="K893" s="300">
        <f t="shared" si="84"/>
        <v>1.1000000000000001</v>
      </c>
      <c r="L893" s="300">
        <f t="shared" si="77"/>
        <v>0</v>
      </c>
      <c r="M893" s="285">
        <f t="shared" si="78"/>
        <v>0</v>
      </c>
      <c r="N893" s="1076">
        <f t="shared" si="79"/>
        <v>0</v>
      </c>
      <c r="O893" s="294"/>
      <c r="P893" s="404"/>
      <c r="Q893" s="404"/>
      <c r="R893" s="301"/>
      <c r="S893" s="301"/>
      <c r="T893" s="301"/>
      <c r="U893" s="301"/>
      <c r="V893" s="301"/>
    </row>
    <row r="894" spans="1:22" ht="14.4" thickTop="1" thickBot="1" x14ac:dyDescent="0.3">
      <c r="A894" s="292"/>
      <c r="B894" s="293" t="s">
        <v>2164</v>
      </c>
      <c r="C894" s="294"/>
      <c r="D894" s="294"/>
      <c r="E894" s="294">
        <v>2</v>
      </c>
      <c r="F894" s="310">
        <v>0.3</v>
      </c>
      <c r="G894" s="310">
        <v>0.3</v>
      </c>
      <c r="H894" s="310">
        <v>4</v>
      </c>
      <c r="I894" s="295">
        <f t="shared" si="80"/>
        <v>0.72</v>
      </c>
      <c r="J894" s="295"/>
      <c r="K894" s="300">
        <f t="shared" si="84"/>
        <v>1.1000000000000001</v>
      </c>
      <c r="L894" s="300">
        <f t="shared" si="77"/>
        <v>0</v>
      </c>
      <c r="M894" s="285">
        <f t="shared" si="78"/>
        <v>0</v>
      </c>
      <c r="N894" s="1076">
        <f t="shared" si="79"/>
        <v>0</v>
      </c>
      <c r="O894" s="294"/>
      <c r="P894" s="404">
        <f>SUM(E869:E894)</f>
        <v>75</v>
      </c>
      <c r="Q894" s="404"/>
      <c r="R894" s="301"/>
      <c r="S894" s="301"/>
      <c r="T894" s="301"/>
      <c r="U894" s="301"/>
      <c r="V894" s="301"/>
    </row>
    <row r="895" spans="1:22" ht="14.4" thickTop="1" thickBot="1" x14ac:dyDescent="0.3">
      <c r="A895" s="292"/>
      <c r="B895" s="293"/>
      <c r="C895" s="294"/>
      <c r="D895" s="294"/>
      <c r="E895" s="294"/>
      <c r="F895" s="310"/>
      <c r="G895" s="310"/>
      <c r="H895" s="310"/>
      <c r="I895" s="295"/>
      <c r="J895" s="295">
        <f>SUM(I869:I894)</f>
        <v>34.182142857142857</v>
      </c>
      <c r="K895" s="300">
        <f t="shared" si="84"/>
        <v>1.1000000000000001</v>
      </c>
      <c r="L895" s="300">
        <f t="shared" si="77"/>
        <v>37.600357142857149</v>
      </c>
      <c r="M895" s="285">
        <f t="shared" si="78"/>
        <v>37.6</v>
      </c>
      <c r="N895" s="1076">
        <f t="shared" si="79"/>
        <v>38</v>
      </c>
      <c r="O895" s="294"/>
      <c r="P895" s="404">
        <f>40/2.83</f>
        <v>14.134275618374557</v>
      </c>
      <c r="Q895" s="404"/>
      <c r="R895" s="301"/>
      <c r="S895" s="301"/>
      <c r="T895" s="301"/>
      <c r="U895" s="301"/>
      <c r="V895" s="301"/>
    </row>
    <row r="896" spans="1:22" ht="14.4" thickTop="1" thickBot="1" x14ac:dyDescent="0.3">
      <c r="A896" s="292"/>
      <c r="B896" s="293"/>
      <c r="C896" s="294"/>
      <c r="D896" s="294"/>
      <c r="E896" s="294"/>
      <c r="F896" s="310"/>
      <c r="G896" s="310"/>
      <c r="H896" s="310"/>
      <c r="I896" s="295"/>
      <c r="J896" s="295">
        <f>J895/2.83</f>
        <v>12.078495709237759</v>
      </c>
      <c r="K896" s="300">
        <f t="shared" si="84"/>
        <v>1.1000000000000001</v>
      </c>
      <c r="L896" s="300">
        <f t="shared" si="77"/>
        <v>13.286345280161536</v>
      </c>
      <c r="M896" s="285">
        <f t="shared" si="78"/>
        <v>13.3</v>
      </c>
      <c r="N896" s="1076">
        <f t="shared" si="79"/>
        <v>14</v>
      </c>
      <c r="O896" s="294"/>
      <c r="P896" s="404"/>
      <c r="Q896" s="404"/>
      <c r="R896" s="301"/>
      <c r="S896" s="301"/>
      <c r="T896" s="301"/>
      <c r="U896" s="301"/>
      <c r="V896" s="301"/>
    </row>
    <row r="897" spans="1:22" ht="14.4" thickTop="1" thickBot="1" x14ac:dyDescent="0.3">
      <c r="A897" s="292"/>
      <c r="B897" s="293"/>
      <c r="C897" s="294"/>
      <c r="D897" s="294"/>
      <c r="E897" s="294"/>
      <c r="F897" s="310"/>
      <c r="G897" s="310"/>
      <c r="H897" s="310"/>
      <c r="I897" s="295"/>
      <c r="J897" s="295"/>
      <c r="K897" s="300">
        <f t="shared" si="84"/>
        <v>1.1000000000000001</v>
      </c>
      <c r="L897" s="300">
        <f t="shared" si="77"/>
        <v>0</v>
      </c>
      <c r="M897" s="285">
        <f t="shared" si="78"/>
        <v>0</v>
      </c>
      <c r="N897" s="1076">
        <f t="shared" si="79"/>
        <v>0</v>
      </c>
      <c r="O897" s="294"/>
      <c r="P897" s="404"/>
      <c r="Q897" s="404"/>
      <c r="R897" s="301"/>
      <c r="S897" s="301"/>
      <c r="T897" s="301"/>
      <c r="U897" s="301"/>
      <c r="V897" s="301"/>
    </row>
    <row r="898" spans="1:22" ht="14.4" thickTop="1" thickBot="1" x14ac:dyDescent="0.3">
      <c r="A898" s="292"/>
      <c r="B898" s="293"/>
      <c r="C898" s="294"/>
      <c r="D898" s="294"/>
      <c r="E898" s="294"/>
      <c r="F898" s="310"/>
      <c r="G898" s="310"/>
      <c r="H898" s="310"/>
      <c r="I898" s="295"/>
      <c r="J898" s="295"/>
      <c r="K898" s="300"/>
      <c r="L898" s="300"/>
      <c r="M898" s="285"/>
      <c r="N898" s="1076"/>
      <c r="O898" s="294"/>
      <c r="P898" s="404"/>
      <c r="Q898" s="404"/>
      <c r="R898" s="301"/>
      <c r="S898" s="301"/>
      <c r="T898" s="301"/>
      <c r="U898" s="301"/>
      <c r="V898" s="301"/>
    </row>
    <row r="899" spans="1:22" ht="14.4" thickTop="1" thickBot="1" x14ac:dyDescent="0.3">
      <c r="A899" s="292"/>
      <c r="B899" s="293"/>
      <c r="C899" s="294"/>
      <c r="D899" s="294"/>
      <c r="E899" s="294"/>
      <c r="F899" s="310"/>
      <c r="G899" s="310"/>
      <c r="H899" s="310"/>
      <c r="I899" s="295"/>
      <c r="J899" s="295"/>
      <c r="K899" s="300"/>
      <c r="L899" s="300"/>
      <c r="M899" s="285"/>
      <c r="N899" s="1076"/>
      <c r="O899" s="294"/>
      <c r="P899" s="404"/>
      <c r="Q899" s="404"/>
      <c r="R899" s="301"/>
      <c r="S899" s="301"/>
      <c r="T899" s="301"/>
      <c r="U899" s="301"/>
      <c r="V899" s="301"/>
    </row>
    <row r="900" spans="1:22" ht="14.4" thickTop="1" thickBot="1" x14ac:dyDescent="0.3">
      <c r="A900" s="292"/>
      <c r="B900" s="293"/>
      <c r="C900" s="294"/>
      <c r="D900" s="294"/>
      <c r="E900" s="294"/>
      <c r="F900" s="310"/>
      <c r="G900" s="310"/>
      <c r="H900" s="310"/>
      <c r="I900" s="295"/>
      <c r="J900" s="295"/>
      <c r="K900" s="300"/>
      <c r="L900" s="300"/>
      <c r="M900" s="285"/>
      <c r="N900" s="1076"/>
      <c r="O900" s="294"/>
      <c r="P900" s="404"/>
      <c r="Q900" s="404"/>
      <c r="R900" s="301"/>
      <c r="S900" s="301"/>
      <c r="T900" s="301"/>
      <c r="U900" s="301"/>
      <c r="V900" s="301"/>
    </row>
    <row r="901" spans="1:22" ht="14.4" thickTop="1" thickBot="1" x14ac:dyDescent="0.3">
      <c r="A901" s="292"/>
      <c r="B901" s="293" t="s">
        <v>2175</v>
      </c>
      <c r="C901" s="294"/>
      <c r="D901" s="294"/>
      <c r="E901" s="294"/>
      <c r="F901" s="310"/>
      <c r="G901" s="310"/>
      <c r="H901" s="310"/>
      <c r="I901" s="295"/>
      <c r="J901" s="295"/>
      <c r="K901" s="300"/>
      <c r="L901" s="300"/>
      <c r="M901" s="285"/>
      <c r="N901" s="1076"/>
      <c r="O901" s="294"/>
      <c r="P901" s="404"/>
      <c r="Q901" s="404"/>
      <c r="R901" s="301"/>
      <c r="S901" s="301"/>
      <c r="T901" s="301"/>
      <c r="U901" s="301"/>
      <c r="V901" s="301"/>
    </row>
    <row r="902" spans="1:22" ht="14.4" thickTop="1" thickBot="1" x14ac:dyDescent="0.3">
      <c r="A902" s="292"/>
      <c r="B902" s="293" t="s">
        <v>1627</v>
      </c>
      <c r="C902" s="294"/>
      <c r="D902" s="294"/>
      <c r="E902" s="294">
        <v>1</v>
      </c>
      <c r="F902" s="310">
        <f>F869+G869+G869+F869</f>
        <v>1.2</v>
      </c>
      <c r="G902" s="310"/>
      <c r="H902" s="310">
        <v>4</v>
      </c>
      <c r="I902" s="295">
        <f>H902*F902*E902</f>
        <v>4.8</v>
      </c>
      <c r="J902" s="295"/>
      <c r="K902" s="300"/>
      <c r="L902" s="300"/>
      <c r="M902" s="285"/>
      <c r="N902" s="1076"/>
      <c r="O902" s="294"/>
      <c r="P902" s="404"/>
      <c r="Q902" s="404"/>
      <c r="R902" s="301"/>
      <c r="S902" s="301"/>
      <c r="T902" s="301"/>
      <c r="U902" s="301"/>
      <c r="V902" s="301"/>
    </row>
    <row r="903" spans="1:22" ht="14.4" thickTop="1" thickBot="1" x14ac:dyDescent="0.3">
      <c r="A903" s="292"/>
      <c r="B903" s="293" t="s">
        <v>1628</v>
      </c>
      <c r="C903" s="294"/>
      <c r="D903" s="294"/>
      <c r="E903" s="294">
        <v>4</v>
      </c>
      <c r="F903" s="310">
        <f>F870+G870+G870+F870</f>
        <v>1.2</v>
      </c>
      <c r="G903" s="310"/>
      <c r="H903" s="310">
        <v>4</v>
      </c>
      <c r="I903" s="295">
        <f t="shared" ref="I903:I927" si="86">H903*F903*E903</f>
        <v>19.2</v>
      </c>
      <c r="J903" s="295"/>
      <c r="K903" s="300"/>
      <c r="L903" s="300"/>
      <c r="M903" s="285"/>
      <c r="N903" s="1076"/>
      <c r="O903" s="294"/>
      <c r="P903" s="404"/>
      <c r="Q903" s="404"/>
      <c r="R903" s="301"/>
      <c r="S903" s="301"/>
      <c r="T903" s="301"/>
      <c r="U903" s="301"/>
      <c r="V903" s="301"/>
    </row>
    <row r="904" spans="1:22" ht="14.4" thickTop="1" thickBot="1" x14ac:dyDescent="0.3">
      <c r="A904" s="292"/>
      <c r="B904" s="293" t="s">
        <v>2137</v>
      </c>
      <c r="C904" s="294"/>
      <c r="D904" s="294"/>
      <c r="E904" s="294">
        <v>3</v>
      </c>
      <c r="F904" s="310">
        <f>F871+G871+G871+F871</f>
        <v>1.2</v>
      </c>
      <c r="G904" s="310"/>
      <c r="H904" s="310">
        <v>4</v>
      </c>
      <c r="I904" s="295">
        <f t="shared" si="86"/>
        <v>14.399999999999999</v>
      </c>
      <c r="J904" s="295"/>
      <c r="K904" s="300"/>
      <c r="L904" s="300"/>
      <c r="M904" s="285"/>
      <c r="N904" s="1076"/>
      <c r="O904" s="294"/>
      <c r="P904" s="404">
        <f>G906*F906</f>
        <v>1.4142857142857144</v>
      </c>
      <c r="Q904" s="404"/>
      <c r="R904" s="301"/>
      <c r="S904" s="301"/>
      <c r="T904" s="301"/>
      <c r="U904" s="301"/>
      <c r="V904" s="301"/>
    </row>
    <row r="905" spans="1:22" ht="14.4" thickTop="1" thickBot="1" x14ac:dyDescent="0.3">
      <c r="A905" s="292"/>
      <c r="B905" s="293" t="s">
        <v>2139</v>
      </c>
      <c r="C905" s="294"/>
      <c r="D905" s="294"/>
      <c r="E905" s="294">
        <v>1</v>
      </c>
      <c r="F905" s="310">
        <f>F872+G872+G872+F872</f>
        <v>0.9</v>
      </c>
      <c r="G905" s="310"/>
      <c r="H905" s="310">
        <v>4</v>
      </c>
      <c r="I905" s="295">
        <f t="shared" si="86"/>
        <v>3.6</v>
      </c>
      <c r="J905" s="295"/>
      <c r="K905" s="300"/>
      <c r="L905" s="300"/>
      <c r="M905" s="285"/>
      <c r="N905" s="1076"/>
      <c r="O905" s="294"/>
      <c r="P905" s="404"/>
      <c r="Q905" s="404"/>
      <c r="R905" s="301"/>
      <c r="S905" s="301"/>
      <c r="T905" s="301"/>
      <c r="U905" s="301"/>
      <c r="V905" s="301"/>
    </row>
    <row r="906" spans="1:22" ht="14.4" thickTop="1" thickBot="1" x14ac:dyDescent="0.3">
      <c r="A906" s="292"/>
      <c r="B906" s="293" t="s">
        <v>2140</v>
      </c>
      <c r="C906" s="294"/>
      <c r="D906" s="294"/>
      <c r="E906" s="294">
        <v>6</v>
      </c>
      <c r="F906" s="310">
        <f>2*(22/7)</f>
        <v>6.2857142857142856</v>
      </c>
      <c r="G906" s="310">
        <f>0.225</f>
        <v>0.22500000000000001</v>
      </c>
      <c r="H906" s="310">
        <v>4</v>
      </c>
      <c r="I906" s="295">
        <f>H906*F906*E906*G906</f>
        <v>33.942857142857143</v>
      </c>
      <c r="J906" s="295"/>
      <c r="K906" s="300"/>
      <c r="L906" s="300"/>
      <c r="M906" s="285"/>
      <c r="N906" s="1076"/>
      <c r="O906" s="294"/>
      <c r="P906" s="404">
        <f>2</f>
        <v>2</v>
      </c>
      <c r="Q906" s="404">
        <f>22/7</f>
        <v>3.1428571428571428</v>
      </c>
      <c r="R906" s="301">
        <v>0.22500000000000001</v>
      </c>
      <c r="S906" s="301"/>
      <c r="T906" s="301"/>
      <c r="U906" s="301"/>
      <c r="V906" s="301"/>
    </row>
    <row r="907" spans="1:22" ht="14.4" thickTop="1" thickBot="1" x14ac:dyDescent="0.3">
      <c r="A907" s="292"/>
      <c r="B907" s="293" t="s">
        <v>2141</v>
      </c>
      <c r="C907" s="294"/>
      <c r="D907" s="294"/>
      <c r="E907" s="294">
        <v>12</v>
      </c>
      <c r="F907" s="310">
        <f>2*(22/7)</f>
        <v>6.2857142857142856</v>
      </c>
      <c r="G907" s="310">
        <f>0.175</f>
        <v>0.17499999999999999</v>
      </c>
      <c r="H907" s="310">
        <v>4</v>
      </c>
      <c r="I907" s="295">
        <f t="shared" ref="I907:I908" si="87">H907*F907*E907*G907</f>
        <v>52.8</v>
      </c>
      <c r="J907" s="295"/>
      <c r="K907" s="300"/>
      <c r="L907" s="300"/>
      <c r="M907" s="285"/>
      <c r="N907" s="1076"/>
      <c r="O907" s="294"/>
      <c r="P907" s="1133">
        <f>P906*Q906*R906</f>
        <v>1.4142857142857144</v>
      </c>
      <c r="Q907" s="404"/>
      <c r="R907" s="301"/>
      <c r="S907" s="301"/>
      <c r="T907" s="301"/>
      <c r="U907" s="301"/>
      <c r="V907" s="301"/>
    </row>
    <row r="908" spans="1:22" ht="14.4" thickTop="1" thickBot="1" x14ac:dyDescent="0.3">
      <c r="A908" s="292"/>
      <c r="B908" s="293" t="s">
        <v>2142</v>
      </c>
      <c r="C908" s="294"/>
      <c r="D908" s="294"/>
      <c r="E908" s="294">
        <v>5</v>
      </c>
      <c r="F908" s="310">
        <f t="shared" ref="F908" si="88">2*(22/7)</f>
        <v>6.2857142857142856</v>
      </c>
      <c r="G908" s="310">
        <f>0.175</f>
        <v>0.17499999999999999</v>
      </c>
      <c r="H908" s="310">
        <v>4</v>
      </c>
      <c r="I908" s="295">
        <f t="shared" si="87"/>
        <v>21.999999999999996</v>
      </c>
      <c r="J908" s="295"/>
      <c r="K908" s="300"/>
      <c r="L908" s="300"/>
      <c r="M908" s="285"/>
      <c r="N908" s="1076"/>
      <c r="O908" s="294"/>
      <c r="P908" s="404"/>
      <c r="Q908" s="404"/>
      <c r="R908" s="301"/>
      <c r="S908" s="301"/>
      <c r="T908" s="301"/>
      <c r="U908" s="301"/>
      <c r="V908" s="301"/>
    </row>
    <row r="909" spans="1:22" ht="14.4" thickTop="1" thickBot="1" x14ac:dyDescent="0.3">
      <c r="A909" s="292"/>
      <c r="B909" s="293" t="s">
        <v>2143</v>
      </c>
      <c r="C909" s="294"/>
      <c r="D909" s="294"/>
      <c r="E909" s="294">
        <v>7</v>
      </c>
      <c r="F909" s="310">
        <f>F876+G876+G876+F876</f>
        <v>1.2</v>
      </c>
      <c r="G909" s="310"/>
      <c r="H909" s="310">
        <v>4</v>
      </c>
      <c r="I909" s="295">
        <f t="shared" si="86"/>
        <v>33.6</v>
      </c>
      <c r="J909" s="295"/>
      <c r="K909" s="300"/>
      <c r="L909" s="300"/>
      <c r="M909" s="285"/>
      <c r="N909" s="1076"/>
      <c r="O909" s="294"/>
      <c r="P909" s="404">
        <f>2</f>
        <v>2</v>
      </c>
      <c r="Q909" s="404">
        <f>22/7</f>
        <v>3.1428571428571428</v>
      </c>
      <c r="R909" s="301">
        <v>0.17499999999999999</v>
      </c>
      <c r="S909" s="301"/>
      <c r="T909" s="301"/>
      <c r="U909" s="301"/>
      <c r="V909" s="301"/>
    </row>
    <row r="910" spans="1:22" ht="14.4" thickTop="1" thickBot="1" x14ac:dyDescent="0.3">
      <c r="A910" s="292"/>
      <c r="B910" s="293" t="s">
        <v>2144</v>
      </c>
      <c r="C910" s="294"/>
      <c r="D910" s="294"/>
      <c r="E910" s="294">
        <v>1</v>
      </c>
      <c r="F910" s="310">
        <f>F877+G877+G877+F877</f>
        <v>0.9</v>
      </c>
      <c r="G910" s="310"/>
      <c r="H910" s="310">
        <v>4</v>
      </c>
      <c r="I910" s="295">
        <f t="shared" si="86"/>
        <v>3.6</v>
      </c>
      <c r="J910" s="295"/>
      <c r="K910" s="300"/>
      <c r="L910" s="300"/>
      <c r="M910" s="285"/>
      <c r="N910" s="1076"/>
      <c r="O910" s="294"/>
      <c r="P910" s="1133">
        <f>P909*Q909*R909</f>
        <v>1.0999999999999999</v>
      </c>
      <c r="Q910" s="404"/>
      <c r="R910" s="301"/>
      <c r="S910" s="301"/>
      <c r="T910" s="301"/>
      <c r="U910" s="301"/>
      <c r="V910" s="301"/>
    </row>
    <row r="911" spans="1:22" ht="14.4" thickTop="1" thickBot="1" x14ac:dyDescent="0.3">
      <c r="A911" s="292"/>
      <c r="B911" s="293" t="s">
        <v>2145</v>
      </c>
      <c r="C911" s="294"/>
      <c r="D911" s="294"/>
      <c r="E911" s="294">
        <v>1</v>
      </c>
      <c r="F911" s="310">
        <f t="shared" ref="F911:F914" si="89">2*(22/7)</f>
        <v>6.2857142857142856</v>
      </c>
      <c r="G911" s="310">
        <f>0.175</f>
        <v>0.17499999999999999</v>
      </c>
      <c r="H911" s="310">
        <v>4</v>
      </c>
      <c r="I911" s="295">
        <f t="shared" ref="I911:I914" si="90">H911*F911*E911*G911</f>
        <v>4.3999999999999995</v>
      </c>
      <c r="J911" s="295"/>
      <c r="K911" s="300"/>
      <c r="L911" s="300"/>
      <c r="M911" s="285"/>
      <c r="N911" s="1076"/>
      <c r="O911" s="294"/>
      <c r="P911" s="404"/>
      <c r="Q911" s="404"/>
      <c r="R911" s="301"/>
      <c r="S911" s="301"/>
      <c r="T911" s="301"/>
      <c r="U911" s="301"/>
      <c r="V911" s="301"/>
    </row>
    <row r="912" spans="1:22" ht="14.4" thickTop="1" thickBot="1" x14ac:dyDescent="0.3">
      <c r="A912" s="292"/>
      <c r="B912" s="293" t="s">
        <v>2146</v>
      </c>
      <c r="C912" s="294"/>
      <c r="D912" s="294"/>
      <c r="E912" s="294">
        <v>1</v>
      </c>
      <c r="F912" s="310">
        <f t="shared" si="89"/>
        <v>6.2857142857142856</v>
      </c>
      <c r="G912" s="310">
        <f>0.225</f>
        <v>0.22500000000000001</v>
      </c>
      <c r="H912" s="310">
        <v>4</v>
      </c>
      <c r="I912" s="295">
        <f t="shared" si="90"/>
        <v>5.6571428571428575</v>
      </c>
      <c r="J912" s="295"/>
      <c r="K912" s="300"/>
      <c r="L912" s="300"/>
      <c r="M912" s="285"/>
      <c r="N912" s="1076"/>
      <c r="O912" s="294"/>
      <c r="P912" s="404"/>
      <c r="Q912" s="404"/>
      <c r="R912" s="301"/>
      <c r="S912" s="301"/>
      <c r="T912" s="301"/>
      <c r="U912" s="301"/>
      <c r="V912" s="301"/>
    </row>
    <row r="913" spans="1:22" ht="14.4" thickTop="1" thickBot="1" x14ac:dyDescent="0.3">
      <c r="A913" s="292"/>
      <c r="B913" s="293" t="s">
        <v>2148</v>
      </c>
      <c r="C913" s="294"/>
      <c r="D913" s="294"/>
      <c r="E913" s="294">
        <v>2</v>
      </c>
      <c r="F913" s="310">
        <f t="shared" si="89"/>
        <v>6.2857142857142856</v>
      </c>
      <c r="G913" s="310">
        <f>0.225</f>
        <v>0.22500000000000001</v>
      </c>
      <c r="H913" s="310">
        <v>4</v>
      </c>
      <c r="I913" s="295">
        <f t="shared" si="90"/>
        <v>11.314285714285715</v>
      </c>
      <c r="J913" s="295"/>
      <c r="K913" s="300"/>
      <c r="L913" s="300"/>
      <c r="M913" s="285"/>
      <c r="N913" s="1076"/>
      <c r="O913" s="294"/>
      <c r="P913" s="404"/>
      <c r="Q913" s="404"/>
      <c r="R913" s="301"/>
      <c r="S913" s="301"/>
      <c r="T913" s="301"/>
      <c r="U913" s="301"/>
      <c r="V913" s="301"/>
    </row>
    <row r="914" spans="1:22" ht="14.4" thickTop="1" thickBot="1" x14ac:dyDescent="0.3">
      <c r="A914" s="292"/>
      <c r="B914" s="293" t="s">
        <v>2149</v>
      </c>
      <c r="C914" s="294"/>
      <c r="D914" s="294"/>
      <c r="E914" s="294">
        <v>1</v>
      </c>
      <c r="F914" s="310">
        <f t="shared" si="89"/>
        <v>6.2857142857142856</v>
      </c>
      <c r="G914" s="310">
        <f>0.225</f>
        <v>0.22500000000000001</v>
      </c>
      <c r="H914" s="310">
        <v>4</v>
      </c>
      <c r="I914" s="295">
        <f t="shared" si="90"/>
        <v>5.6571428571428575</v>
      </c>
      <c r="J914" s="295"/>
      <c r="K914" s="300"/>
      <c r="L914" s="300"/>
      <c r="M914" s="285"/>
      <c r="N914" s="1076"/>
      <c r="O914" s="294"/>
      <c r="P914" s="404"/>
      <c r="Q914" s="404"/>
      <c r="R914" s="301"/>
      <c r="S914" s="301"/>
      <c r="T914" s="301"/>
      <c r="U914" s="301"/>
      <c r="V914" s="301"/>
    </row>
    <row r="915" spans="1:22" ht="14.4" thickTop="1" thickBot="1" x14ac:dyDescent="0.3">
      <c r="A915" s="292"/>
      <c r="B915" s="293" t="s">
        <v>2150</v>
      </c>
      <c r="C915" s="294"/>
      <c r="D915" s="294"/>
      <c r="E915" s="294">
        <v>1</v>
      </c>
      <c r="F915" s="310">
        <f>F882+G882+G882+F882</f>
        <v>1.2</v>
      </c>
      <c r="G915" s="310"/>
      <c r="H915" s="310">
        <v>4</v>
      </c>
      <c r="I915" s="295">
        <f t="shared" si="86"/>
        <v>4.8</v>
      </c>
      <c r="J915" s="295"/>
      <c r="K915" s="300"/>
      <c r="L915" s="300"/>
      <c r="M915" s="285"/>
      <c r="N915" s="1076"/>
      <c r="O915" s="294"/>
      <c r="P915" s="404"/>
      <c r="Q915" s="404"/>
      <c r="R915" s="301"/>
      <c r="S915" s="301"/>
      <c r="T915" s="301"/>
      <c r="U915" s="301"/>
      <c r="V915" s="301"/>
    </row>
    <row r="916" spans="1:22" ht="14.4" thickTop="1" thickBot="1" x14ac:dyDescent="0.3">
      <c r="A916" s="292"/>
      <c r="B916" s="293" t="s">
        <v>2151</v>
      </c>
      <c r="C916" s="294"/>
      <c r="D916" s="294"/>
      <c r="E916" s="294">
        <v>5</v>
      </c>
      <c r="F916" s="310">
        <f t="shared" ref="F916:F920" si="91">2*(22/7)</f>
        <v>6.2857142857142856</v>
      </c>
      <c r="G916" s="310">
        <f>0.175</f>
        <v>0.17499999999999999</v>
      </c>
      <c r="H916" s="310">
        <v>4</v>
      </c>
      <c r="I916" s="295">
        <f t="shared" ref="I916:I920" si="92">H916*F916*E916*G916</f>
        <v>21.999999999999996</v>
      </c>
      <c r="J916" s="295"/>
      <c r="K916" s="300"/>
      <c r="L916" s="300"/>
      <c r="M916" s="285"/>
      <c r="N916" s="1076"/>
      <c r="O916" s="294"/>
      <c r="P916" s="404"/>
      <c r="Q916" s="404"/>
      <c r="R916" s="301"/>
      <c r="S916" s="301"/>
      <c r="T916" s="301"/>
      <c r="U916" s="301"/>
      <c r="V916" s="301"/>
    </row>
    <row r="917" spans="1:22" ht="14.4" thickTop="1" thickBot="1" x14ac:dyDescent="0.3">
      <c r="A917" s="292"/>
      <c r="B917" s="293" t="s">
        <v>2152</v>
      </c>
      <c r="C917" s="294"/>
      <c r="D917" s="294"/>
      <c r="E917" s="294">
        <v>1</v>
      </c>
      <c r="F917" s="310">
        <f t="shared" si="91"/>
        <v>6.2857142857142856</v>
      </c>
      <c r="G917" s="310">
        <f>0.175</f>
        <v>0.17499999999999999</v>
      </c>
      <c r="H917" s="310">
        <v>4</v>
      </c>
      <c r="I917" s="295">
        <f t="shared" si="92"/>
        <v>4.3999999999999995</v>
      </c>
      <c r="J917" s="295"/>
      <c r="K917" s="300"/>
      <c r="L917" s="300"/>
      <c r="M917" s="285"/>
      <c r="N917" s="1076"/>
      <c r="O917" s="294"/>
      <c r="P917" s="404"/>
      <c r="Q917" s="404"/>
      <c r="R917" s="301"/>
      <c r="S917" s="301"/>
      <c r="T917" s="301"/>
      <c r="U917" s="301"/>
      <c r="V917" s="301"/>
    </row>
    <row r="918" spans="1:22" ht="14.4" thickTop="1" thickBot="1" x14ac:dyDescent="0.3">
      <c r="A918" s="292"/>
      <c r="B918" s="293" t="s">
        <v>2153</v>
      </c>
      <c r="C918" s="294"/>
      <c r="D918" s="294"/>
      <c r="E918" s="294">
        <v>1</v>
      </c>
      <c r="F918" s="310">
        <f t="shared" si="91"/>
        <v>6.2857142857142856</v>
      </c>
      <c r="G918" s="310">
        <f>0.175</f>
        <v>0.17499999999999999</v>
      </c>
      <c r="H918" s="310">
        <v>4</v>
      </c>
      <c r="I918" s="295">
        <f t="shared" si="92"/>
        <v>4.3999999999999995</v>
      </c>
      <c r="J918" s="295"/>
      <c r="K918" s="300"/>
      <c r="L918" s="300"/>
      <c r="M918" s="285"/>
      <c r="N918" s="1076"/>
      <c r="O918" s="294"/>
      <c r="P918" s="404"/>
      <c r="Q918" s="404"/>
      <c r="R918" s="301"/>
      <c r="S918" s="301"/>
      <c r="T918" s="301"/>
      <c r="U918" s="301"/>
      <c r="V918" s="301"/>
    </row>
    <row r="919" spans="1:22" ht="14.4" thickTop="1" thickBot="1" x14ac:dyDescent="0.3">
      <c r="A919" s="292"/>
      <c r="B919" s="293" t="s">
        <v>2154</v>
      </c>
      <c r="C919" s="294"/>
      <c r="D919" s="294"/>
      <c r="E919" s="294">
        <v>2</v>
      </c>
      <c r="F919" s="310">
        <f t="shared" si="91"/>
        <v>6.2857142857142856</v>
      </c>
      <c r="G919" s="310">
        <f>0.225</f>
        <v>0.22500000000000001</v>
      </c>
      <c r="H919" s="310">
        <v>4</v>
      </c>
      <c r="I919" s="295">
        <f t="shared" si="92"/>
        <v>11.314285714285715</v>
      </c>
      <c r="J919" s="295"/>
      <c r="K919" s="300"/>
      <c r="L919" s="300"/>
      <c r="M919" s="285"/>
      <c r="N919" s="1076"/>
      <c r="O919" s="294"/>
      <c r="P919" s="404"/>
      <c r="Q919" s="404"/>
      <c r="R919" s="301"/>
      <c r="S919" s="301"/>
      <c r="T919" s="301"/>
      <c r="U919" s="301"/>
      <c r="V919" s="301"/>
    </row>
    <row r="920" spans="1:22" ht="14.4" thickTop="1" thickBot="1" x14ac:dyDescent="0.3">
      <c r="A920" s="292"/>
      <c r="B920" s="293" t="s">
        <v>2155</v>
      </c>
      <c r="C920" s="294"/>
      <c r="D920" s="294"/>
      <c r="E920" s="294">
        <v>4</v>
      </c>
      <c r="F920" s="310">
        <f t="shared" si="91"/>
        <v>6.2857142857142856</v>
      </c>
      <c r="G920" s="310">
        <f>0.225</f>
        <v>0.22500000000000001</v>
      </c>
      <c r="H920" s="310">
        <v>4</v>
      </c>
      <c r="I920" s="295">
        <f t="shared" si="92"/>
        <v>22.62857142857143</v>
      </c>
      <c r="J920" s="295"/>
      <c r="K920" s="300"/>
      <c r="L920" s="300"/>
      <c r="M920" s="285"/>
      <c r="N920" s="1076"/>
      <c r="O920" s="294"/>
      <c r="P920" s="404"/>
      <c r="Q920" s="404"/>
      <c r="R920" s="301"/>
      <c r="S920" s="301"/>
      <c r="T920" s="301"/>
      <c r="U920" s="301"/>
      <c r="V920" s="301"/>
    </row>
    <row r="921" spans="1:22" ht="14.4" thickTop="1" thickBot="1" x14ac:dyDescent="0.3">
      <c r="A921" s="292"/>
      <c r="B921" s="293" t="s">
        <v>2156</v>
      </c>
      <c r="C921" s="294"/>
      <c r="D921" s="294"/>
      <c r="E921" s="294">
        <v>1</v>
      </c>
      <c r="F921" s="310">
        <f>F888+G888+G888+F888</f>
        <v>1.2</v>
      </c>
      <c r="G921" s="310"/>
      <c r="H921" s="310">
        <v>4</v>
      </c>
      <c r="I921" s="295">
        <f t="shared" si="86"/>
        <v>4.8</v>
      </c>
      <c r="J921" s="295"/>
      <c r="K921" s="300"/>
      <c r="L921" s="300"/>
      <c r="M921" s="285"/>
      <c r="N921" s="1076"/>
      <c r="O921" s="294"/>
      <c r="P921" s="404"/>
      <c r="Q921" s="404"/>
      <c r="R921" s="301"/>
      <c r="S921" s="301"/>
      <c r="T921" s="301"/>
      <c r="U921" s="301"/>
      <c r="V921" s="301"/>
    </row>
    <row r="922" spans="1:22" ht="14.4" thickTop="1" thickBot="1" x14ac:dyDescent="0.3">
      <c r="A922" s="292"/>
      <c r="B922" s="293" t="s">
        <v>2157</v>
      </c>
      <c r="C922" s="294"/>
      <c r="D922" s="294"/>
      <c r="E922" s="294">
        <v>2</v>
      </c>
      <c r="F922" s="310">
        <f t="shared" ref="F922:F923" si="93">2*(22/7)</f>
        <v>6.2857142857142856</v>
      </c>
      <c r="G922" s="310">
        <f>0.225</f>
        <v>0.22500000000000001</v>
      </c>
      <c r="H922" s="310">
        <v>4</v>
      </c>
      <c r="I922" s="295">
        <f t="shared" ref="I922:I923" si="94">H922*F922*E922*G922</f>
        <v>11.314285714285715</v>
      </c>
      <c r="J922" s="295"/>
      <c r="K922" s="300"/>
      <c r="L922" s="300"/>
      <c r="M922" s="285"/>
      <c r="N922" s="1076"/>
      <c r="O922" s="294"/>
      <c r="P922" s="404"/>
      <c r="Q922" s="404"/>
      <c r="R922" s="301"/>
      <c r="S922" s="301"/>
      <c r="T922" s="301"/>
      <c r="U922" s="301"/>
      <c r="V922" s="301"/>
    </row>
    <row r="923" spans="1:22" ht="14.4" thickTop="1" thickBot="1" x14ac:dyDescent="0.3">
      <c r="A923" s="292"/>
      <c r="B923" s="293" t="s">
        <v>2159</v>
      </c>
      <c r="C923" s="294"/>
      <c r="D923" s="294"/>
      <c r="E923" s="294">
        <v>5</v>
      </c>
      <c r="F923" s="310">
        <f t="shared" si="93"/>
        <v>6.2857142857142856</v>
      </c>
      <c r="G923" s="310">
        <f>0.225</f>
        <v>0.22500000000000001</v>
      </c>
      <c r="H923" s="310">
        <v>4</v>
      </c>
      <c r="I923" s="295">
        <f t="shared" si="94"/>
        <v>28.285714285714285</v>
      </c>
      <c r="J923" s="295"/>
      <c r="K923" s="300"/>
      <c r="L923" s="300"/>
      <c r="M923" s="285"/>
      <c r="N923" s="1076"/>
      <c r="O923" s="294"/>
      <c r="P923" s="404"/>
      <c r="Q923" s="404"/>
      <c r="R923" s="301"/>
      <c r="S923" s="301"/>
      <c r="T923" s="301"/>
      <c r="U923" s="301"/>
      <c r="V923" s="301"/>
    </row>
    <row r="924" spans="1:22" ht="14.4" thickTop="1" thickBot="1" x14ac:dyDescent="0.3">
      <c r="A924" s="292"/>
      <c r="B924" s="293" t="s">
        <v>2160</v>
      </c>
      <c r="C924" s="294"/>
      <c r="D924" s="294"/>
      <c r="E924" s="294">
        <v>2</v>
      </c>
      <c r="F924" s="310">
        <f>F891+G891+G891+F891</f>
        <v>0.9</v>
      </c>
      <c r="G924" s="310"/>
      <c r="H924" s="310">
        <v>4</v>
      </c>
      <c r="I924" s="295">
        <f t="shared" si="86"/>
        <v>7.2</v>
      </c>
      <c r="J924" s="295"/>
      <c r="K924" s="300"/>
      <c r="L924" s="300"/>
      <c r="M924" s="285"/>
      <c r="N924" s="1076"/>
      <c r="O924" s="294"/>
      <c r="P924" s="404"/>
      <c r="Q924" s="404"/>
      <c r="R924" s="301"/>
      <c r="S924" s="301"/>
      <c r="T924" s="301"/>
      <c r="U924" s="301"/>
      <c r="V924" s="301"/>
    </row>
    <row r="925" spans="1:22" ht="14.4" thickTop="1" thickBot="1" x14ac:dyDescent="0.3">
      <c r="A925" s="292"/>
      <c r="B925" s="293" t="s">
        <v>2162</v>
      </c>
      <c r="C925" s="294"/>
      <c r="D925" s="294"/>
      <c r="E925" s="294">
        <v>1</v>
      </c>
      <c r="F925" s="310">
        <f>F892+G892+G892+F892</f>
        <v>1.2</v>
      </c>
      <c r="G925" s="310"/>
      <c r="H925" s="310">
        <v>4</v>
      </c>
      <c r="I925" s="295">
        <f t="shared" si="86"/>
        <v>4.8</v>
      </c>
      <c r="J925" s="295"/>
      <c r="K925" s="300"/>
      <c r="L925" s="300"/>
      <c r="M925" s="285"/>
      <c r="N925" s="1076"/>
      <c r="O925" s="294"/>
      <c r="P925" s="404"/>
      <c r="Q925" s="404"/>
      <c r="R925" s="301"/>
      <c r="S925" s="301"/>
      <c r="T925" s="301"/>
      <c r="U925" s="301"/>
      <c r="V925" s="301"/>
    </row>
    <row r="926" spans="1:22" ht="14.4" thickTop="1" thickBot="1" x14ac:dyDescent="0.3">
      <c r="A926" s="292"/>
      <c r="B926" s="293" t="s">
        <v>2163</v>
      </c>
      <c r="C926" s="294"/>
      <c r="D926" s="294"/>
      <c r="E926" s="294">
        <v>3</v>
      </c>
      <c r="F926" s="310">
        <f>2*(22/7)</f>
        <v>6.2857142857142856</v>
      </c>
      <c r="G926" s="310">
        <f>0.225</f>
        <v>0.22500000000000001</v>
      </c>
      <c r="H926" s="310">
        <v>4</v>
      </c>
      <c r="I926" s="295">
        <f>H926*F926*E926*G926</f>
        <v>16.971428571428572</v>
      </c>
      <c r="J926" s="295"/>
      <c r="K926" s="300"/>
      <c r="L926" s="300"/>
      <c r="M926" s="285"/>
      <c r="N926" s="1076"/>
      <c r="O926" s="294"/>
      <c r="P926" s="404"/>
      <c r="Q926" s="404"/>
      <c r="R926" s="301"/>
      <c r="S926" s="301"/>
      <c r="T926" s="301"/>
      <c r="U926" s="301"/>
      <c r="V926" s="301"/>
    </row>
    <row r="927" spans="1:22" ht="14.4" thickTop="1" thickBot="1" x14ac:dyDescent="0.3">
      <c r="A927" s="292"/>
      <c r="B927" s="293" t="s">
        <v>2164</v>
      </c>
      <c r="C927" s="294"/>
      <c r="D927" s="294"/>
      <c r="E927" s="294">
        <v>2</v>
      </c>
      <c r="F927" s="310">
        <f>F894+G894+G894+F894</f>
        <v>1.2</v>
      </c>
      <c r="G927" s="310"/>
      <c r="H927" s="310">
        <v>4</v>
      </c>
      <c r="I927" s="295">
        <f t="shared" si="86"/>
        <v>9.6</v>
      </c>
      <c r="J927" s="295">
        <f>SUM(I902:I927)</f>
        <v>367.48571428571427</v>
      </c>
      <c r="K927" s="300">
        <f t="shared" si="84"/>
        <v>1.1000000000000001</v>
      </c>
      <c r="L927" s="300">
        <f t="shared" ref="L927:L929" si="95">K927*J927</f>
        <v>404.2342857142857</v>
      </c>
      <c r="M927" s="285">
        <f t="shared" ref="M927:M929" si="96">ROUND(L927,1)</f>
        <v>404.2</v>
      </c>
      <c r="N927" s="1076">
        <f t="shared" ref="N927:N929" si="97">ROUNDUP(M927,0)</f>
        <v>405</v>
      </c>
      <c r="O927" s="294"/>
      <c r="P927" s="404"/>
      <c r="Q927" s="404"/>
      <c r="R927" s="301"/>
      <c r="S927" s="301"/>
      <c r="T927" s="301"/>
      <c r="U927" s="301"/>
      <c r="V927" s="301"/>
    </row>
    <row r="928" spans="1:22" ht="14.4" thickTop="1" thickBot="1" x14ac:dyDescent="0.3">
      <c r="A928" s="292"/>
      <c r="B928" s="293"/>
      <c r="C928" s="294"/>
      <c r="D928" s="294"/>
      <c r="E928" s="294"/>
      <c r="F928" s="310"/>
      <c r="G928" s="310"/>
      <c r="H928" s="310"/>
      <c r="I928" s="295"/>
      <c r="J928" s="295">
        <f>J927*10.76</f>
        <v>3954.1462857142856</v>
      </c>
      <c r="K928" s="300">
        <f t="shared" si="84"/>
        <v>1.1000000000000001</v>
      </c>
      <c r="L928" s="300">
        <f t="shared" si="95"/>
        <v>4349.5609142857147</v>
      </c>
      <c r="M928" s="285">
        <f t="shared" si="96"/>
        <v>4349.6000000000004</v>
      </c>
      <c r="N928" s="1076">
        <f t="shared" si="97"/>
        <v>4350</v>
      </c>
      <c r="O928" s="294"/>
      <c r="P928" s="404"/>
      <c r="Q928" s="404"/>
      <c r="R928" s="301"/>
      <c r="S928" s="301"/>
      <c r="T928" s="301"/>
      <c r="U928" s="301"/>
      <c r="V928" s="301"/>
    </row>
    <row r="929" spans="1:22" ht="14.4" thickTop="1" thickBot="1" x14ac:dyDescent="0.3">
      <c r="A929" s="292"/>
      <c r="B929" s="293"/>
      <c r="C929" s="294"/>
      <c r="D929" s="294"/>
      <c r="E929" s="294"/>
      <c r="F929" s="310"/>
      <c r="G929" s="310"/>
      <c r="H929" s="310"/>
      <c r="I929" s="295"/>
      <c r="J929" s="295">
        <f>J928/100</f>
        <v>39.541462857142854</v>
      </c>
      <c r="K929" s="300">
        <v>1.05</v>
      </c>
      <c r="L929" s="300">
        <f t="shared" si="95"/>
        <v>41.518535999999997</v>
      </c>
      <c r="M929" s="285">
        <f t="shared" si="96"/>
        <v>41.5</v>
      </c>
      <c r="N929" s="1076">
        <f t="shared" si="97"/>
        <v>42</v>
      </c>
      <c r="O929" s="294"/>
      <c r="P929" s="413">
        <f>J927/9.29</f>
        <v>39.557127479624789</v>
      </c>
      <c r="Q929" s="404"/>
      <c r="R929" s="301"/>
      <c r="S929" s="301"/>
      <c r="T929" s="301"/>
      <c r="U929" s="301"/>
      <c r="V929" s="301"/>
    </row>
    <row r="930" spans="1:22" ht="14.4" thickTop="1" thickBot="1" x14ac:dyDescent="0.3">
      <c r="A930" s="292"/>
      <c r="B930" s="293"/>
      <c r="C930" s="294"/>
      <c r="D930" s="294"/>
      <c r="E930" s="294"/>
      <c r="F930" s="310"/>
      <c r="G930" s="310"/>
      <c r="H930" s="310"/>
      <c r="I930" s="295"/>
      <c r="J930" s="295"/>
      <c r="K930" s="300"/>
      <c r="L930" s="300"/>
      <c r="M930" s="285"/>
      <c r="N930" s="1076"/>
      <c r="O930" s="294"/>
      <c r="P930" s="404"/>
      <c r="Q930" s="404"/>
      <c r="R930" s="301"/>
      <c r="S930" s="301"/>
      <c r="T930" s="301"/>
      <c r="U930" s="301"/>
      <c r="V930" s="301"/>
    </row>
    <row r="931" spans="1:22" ht="14.4" thickTop="1" thickBot="1" x14ac:dyDescent="0.3">
      <c r="A931" s="292"/>
      <c r="B931" s="293" t="s">
        <v>2179</v>
      </c>
      <c r="C931" s="294"/>
      <c r="D931" s="294"/>
      <c r="E931" s="294"/>
      <c r="F931" s="310"/>
      <c r="G931" s="310"/>
      <c r="H931" s="310"/>
      <c r="I931" s="295"/>
      <c r="J931" s="295"/>
      <c r="K931" s="300"/>
      <c r="L931" s="300"/>
      <c r="M931" s="285"/>
      <c r="N931" s="1076"/>
      <c r="O931" s="294"/>
      <c r="P931" s="404"/>
      <c r="Q931" s="404"/>
      <c r="R931" s="301"/>
      <c r="S931" s="301"/>
      <c r="T931" s="301"/>
      <c r="U931" s="301"/>
      <c r="V931" s="301"/>
    </row>
    <row r="932" spans="1:22" ht="14.4" thickTop="1" thickBot="1" x14ac:dyDescent="0.3">
      <c r="A932" s="292"/>
      <c r="B932" s="293" t="s">
        <v>1627</v>
      </c>
      <c r="C932" s="294"/>
      <c r="D932" s="294">
        <v>8</v>
      </c>
      <c r="E932" s="294">
        <v>1</v>
      </c>
      <c r="F932" s="310">
        <v>0.88900000000000001</v>
      </c>
      <c r="G932" s="310"/>
      <c r="H932" s="310">
        <v>4</v>
      </c>
      <c r="I932" s="295">
        <f>H932*F932*E932*D932</f>
        <v>28.448</v>
      </c>
      <c r="J932" s="295"/>
      <c r="K932" s="300"/>
      <c r="L932" s="300"/>
      <c r="M932" s="285"/>
      <c r="N932" s="1076"/>
      <c r="O932" s="294"/>
      <c r="P932" s="423">
        <f>I869</f>
        <v>0.36</v>
      </c>
      <c r="Q932" s="404">
        <f>I932/P932</f>
        <v>79.022222222222226</v>
      </c>
      <c r="R932" s="301"/>
      <c r="S932" s="301"/>
      <c r="T932" s="301"/>
      <c r="U932" s="301"/>
      <c r="V932" s="301"/>
    </row>
    <row r="933" spans="1:22" ht="14.4" thickTop="1" thickBot="1" x14ac:dyDescent="0.3">
      <c r="A933" s="292"/>
      <c r="B933" s="293"/>
      <c r="C933" s="294"/>
      <c r="D933" s="294">
        <v>28</v>
      </c>
      <c r="E933" s="294">
        <v>1</v>
      </c>
      <c r="F933" s="310">
        <v>0.61199999999999999</v>
      </c>
      <c r="G933" s="310"/>
      <c r="H933" s="310">
        <v>1.1499999999999999</v>
      </c>
      <c r="I933" s="295">
        <f t="shared" ref="I933:I968" si="98">H933*F933*E933*D933</f>
        <v>19.706399999999999</v>
      </c>
      <c r="J933" s="295"/>
      <c r="K933" s="300"/>
      <c r="L933" s="300"/>
      <c r="M933" s="285"/>
      <c r="N933" s="1076"/>
      <c r="O933" s="294"/>
      <c r="P933" s="423">
        <f>H932/0.15</f>
        <v>26.666666666666668</v>
      </c>
      <c r="Q933" s="404"/>
      <c r="R933" s="301"/>
      <c r="S933" s="301"/>
      <c r="T933" s="301"/>
      <c r="U933" s="301"/>
      <c r="V933" s="301"/>
    </row>
    <row r="934" spans="1:22" ht="14.4" thickTop="1" thickBot="1" x14ac:dyDescent="0.3">
      <c r="A934" s="292"/>
      <c r="B934" s="293" t="s">
        <v>1628</v>
      </c>
      <c r="C934" s="294"/>
      <c r="D934" s="294">
        <v>8</v>
      </c>
      <c r="E934" s="294">
        <v>4</v>
      </c>
      <c r="F934" s="310">
        <v>0.88900000000000001</v>
      </c>
      <c r="G934" s="310"/>
      <c r="H934" s="310">
        <v>4</v>
      </c>
      <c r="I934" s="295">
        <f t="shared" si="98"/>
        <v>113.792</v>
      </c>
      <c r="J934" s="295"/>
      <c r="K934" s="300"/>
      <c r="L934" s="300"/>
      <c r="M934" s="285"/>
      <c r="N934" s="1076"/>
      <c r="O934" s="294"/>
      <c r="P934" s="423">
        <f>I870</f>
        <v>1.44</v>
      </c>
      <c r="Q934" s="404">
        <f>I934/P934</f>
        <v>79.022222222222226</v>
      </c>
      <c r="R934" s="301"/>
      <c r="S934" s="301"/>
      <c r="T934" s="301"/>
      <c r="U934" s="301"/>
      <c r="V934" s="301"/>
    </row>
    <row r="935" spans="1:22" ht="14.4" thickTop="1" thickBot="1" x14ac:dyDescent="0.3">
      <c r="A935" s="292"/>
      <c r="B935" s="293"/>
      <c r="C935" s="294"/>
      <c r="D935" s="294">
        <f>D933</f>
        <v>28</v>
      </c>
      <c r="E935" s="294">
        <v>4</v>
      </c>
      <c r="F935" s="310">
        <v>0.61199999999999999</v>
      </c>
      <c r="G935" s="310"/>
      <c r="H935" s="310">
        <v>1.1499999999999999</v>
      </c>
      <c r="I935" s="295">
        <f t="shared" si="98"/>
        <v>78.825599999999994</v>
      </c>
      <c r="J935" s="295"/>
      <c r="K935" s="300"/>
      <c r="L935" s="300"/>
      <c r="M935" s="285"/>
      <c r="N935" s="1076"/>
      <c r="O935" s="294"/>
      <c r="P935" s="423"/>
      <c r="Q935" s="404"/>
      <c r="R935" s="301"/>
      <c r="S935" s="301"/>
      <c r="T935" s="301"/>
      <c r="U935" s="301"/>
      <c r="V935" s="301"/>
    </row>
    <row r="936" spans="1:22" ht="14.4" thickTop="1" thickBot="1" x14ac:dyDescent="0.3">
      <c r="A936" s="292"/>
      <c r="B936" s="293" t="s">
        <v>2137</v>
      </c>
      <c r="C936" s="294"/>
      <c r="D936" s="294">
        <v>8</v>
      </c>
      <c r="E936" s="294">
        <v>3</v>
      </c>
      <c r="F936" s="310">
        <v>0.88900000000000001</v>
      </c>
      <c r="G936" s="310"/>
      <c r="H936" s="310">
        <v>4</v>
      </c>
      <c r="I936" s="295">
        <f t="shared" si="98"/>
        <v>85.343999999999994</v>
      </c>
      <c r="J936" s="295"/>
      <c r="K936" s="300"/>
      <c r="L936" s="300"/>
      <c r="M936" s="285"/>
      <c r="N936" s="1076"/>
      <c r="O936" s="294"/>
      <c r="P936" s="423">
        <f>I871</f>
        <v>1.08</v>
      </c>
      <c r="Q936" s="404">
        <f>I936/P936</f>
        <v>79.022222222222211</v>
      </c>
      <c r="R936" s="301"/>
      <c r="S936" s="301"/>
      <c r="T936" s="301"/>
      <c r="U936" s="301"/>
      <c r="V936" s="301"/>
    </row>
    <row r="937" spans="1:22" ht="14.4" thickTop="1" thickBot="1" x14ac:dyDescent="0.3">
      <c r="A937" s="292"/>
      <c r="B937" s="293"/>
      <c r="C937" s="294"/>
      <c r="D937" s="294">
        <f>D935</f>
        <v>28</v>
      </c>
      <c r="E937" s="294">
        <v>3</v>
      </c>
      <c r="F937" s="310">
        <v>0.61199999999999999</v>
      </c>
      <c r="G937" s="310"/>
      <c r="H937" s="310">
        <v>1.1499999999999999</v>
      </c>
      <c r="I937" s="295">
        <f t="shared" si="98"/>
        <v>59.119199999999992</v>
      </c>
      <c r="J937" s="295"/>
      <c r="K937" s="300"/>
      <c r="L937" s="300"/>
      <c r="M937" s="285"/>
      <c r="N937" s="1076"/>
      <c r="O937" s="294"/>
      <c r="P937" s="423"/>
      <c r="Q937" s="404"/>
      <c r="R937" s="301"/>
      <c r="S937" s="301"/>
      <c r="T937" s="301"/>
      <c r="U937" s="301"/>
      <c r="V937" s="301"/>
    </row>
    <row r="938" spans="1:22" ht="14.4" thickTop="1" thickBot="1" x14ac:dyDescent="0.3">
      <c r="A938" s="292"/>
      <c r="B938" s="293" t="s">
        <v>2139</v>
      </c>
      <c r="C938" s="294"/>
      <c r="D938" s="294">
        <v>4</v>
      </c>
      <c r="E938" s="294">
        <v>1</v>
      </c>
      <c r="F938" s="310">
        <v>1.58</v>
      </c>
      <c r="G938" s="310"/>
      <c r="H938" s="310">
        <v>4</v>
      </c>
      <c r="I938" s="295">
        <f t="shared" si="98"/>
        <v>25.28</v>
      </c>
      <c r="J938" s="295"/>
      <c r="K938" s="300"/>
      <c r="L938" s="300"/>
      <c r="M938" s="285"/>
      <c r="N938" s="1076"/>
      <c r="O938" s="294"/>
      <c r="P938" s="423">
        <f>I872</f>
        <v>0.20250000000000001</v>
      </c>
      <c r="Q938" s="404">
        <f>I938/P938</f>
        <v>124.83950617283951</v>
      </c>
      <c r="R938" s="301"/>
      <c r="S938" s="301"/>
      <c r="T938" s="301"/>
      <c r="U938" s="301"/>
      <c r="V938" s="301"/>
    </row>
    <row r="939" spans="1:22" ht="14.4" thickTop="1" thickBot="1" x14ac:dyDescent="0.3">
      <c r="A939" s="292"/>
      <c r="B939" s="293"/>
      <c r="C939" s="294"/>
      <c r="D939" s="294"/>
      <c r="E939" s="294"/>
      <c r="F939" s="310"/>
      <c r="G939" s="310"/>
      <c r="H939" s="310">
        <v>0.85</v>
      </c>
      <c r="I939" s="295">
        <f t="shared" si="98"/>
        <v>0</v>
      </c>
      <c r="J939" s="295"/>
      <c r="K939" s="300"/>
      <c r="L939" s="300"/>
      <c r="M939" s="285"/>
      <c r="N939" s="1076"/>
      <c r="O939" s="294"/>
      <c r="P939" s="423"/>
      <c r="Q939" s="404"/>
      <c r="R939" s="301">
        <f>SUM(I932:I953)</f>
        <v>2293.5304000000001</v>
      </c>
      <c r="S939" s="301"/>
      <c r="T939" s="301"/>
      <c r="U939" s="301"/>
      <c r="V939" s="301"/>
    </row>
    <row r="940" spans="1:22" ht="14.4" thickTop="1" thickBot="1" x14ac:dyDescent="0.3">
      <c r="A940" s="292"/>
      <c r="B940" s="293" t="s">
        <v>2140</v>
      </c>
      <c r="C940" s="294"/>
      <c r="D940" s="294">
        <v>8</v>
      </c>
      <c r="E940" s="294">
        <v>6</v>
      </c>
      <c r="F940" s="310">
        <v>1.58</v>
      </c>
      <c r="G940" s="310"/>
      <c r="H940" s="310">
        <v>4</v>
      </c>
      <c r="I940" s="295">
        <f t="shared" si="98"/>
        <v>303.36</v>
      </c>
      <c r="J940" s="295"/>
      <c r="K940" s="300"/>
      <c r="L940" s="300"/>
      <c r="M940" s="285"/>
      <c r="N940" s="1076"/>
      <c r="O940" s="294"/>
      <c r="P940" s="423">
        <f>I873</f>
        <v>3.8185714285714285</v>
      </c>
      <c r="Q940" s="404">
        <f>I940/P940</f>
        <v>79.443322109988785</v>
      </c>
      <c r="R940" s="301">
        <f>R939/11</f>
        <v>208.50276363636365</v>
      </c>
      <c r="S940" s="301"/>
      <c r="T940" s="301"/>
      <c r="U940" s="301"/>
      <c r="V940" s="301"/>
    </row>
    <row r="941" spans="1:22" ht="14.4" thickTop="1" thickBot="1" x14ac:dyDescent="0.3">
      <c r="A941" s="292"/>
      <c r="B941" s="293"/>
      <c r="C941" s="294"/>
      <c r="D941" s="294">
        <v>28</v>
      </c>
      <c r="E941" s="294">
        <v>6</v>
      </c>
      <c r="F941" s="310">
        <v>0.61199999999999999</v>
      </c>
      <c r="G941" s="310"/>
      <c r="H941" s="310">
        <v>1.3</v>
      </c>
      <c r="I941" s="295">
        <f t="shared" si="98"/>
        <v>133.66079999999999</v>
      </c>
      <c r="J941" s="295"/>
      <c r="K941" s="300"/>
      <c r="L941" s="300"/>
      <c r="M941" s="285"/>
      <c r="N941" s="1076"/>
      <c r="O941" s="294"/>
      <c r="P941" s="423"/>
      <c r="Q941" s="404"/>
      <c r="R941" s="301"/>
      <c r="S941" s="301"/>
      <c r="T941" s="301"/>
      <c r="U941" s="301"/>
      <c r="V941" s="301"/>
    </row>
    <row r="942" spans="1:22" ht="14.4" thickTop="1" thickBot="1" x14ac:dyDescent="0.3">
      <c r="A942" s="292"/>
      <c r="B942" s="293" t="s">
        <v>2141</v>
      </c>
      <c r="C942" s="294"/>
      <c r="D942" s="294">
        <v>6</v>
      </c>
      <c r="E942" s="294">
        <v>12</v>
      </c>
      <c r="F942" s="310">
        <v>1.58</v>
      </c>
      <c r="G942" s="310">
        <f>0.175*0.175</f>
        <v>3.0624999999999996E-2</v>
      </c>
      <c r="H942" s="310">
        <v>4</v>
      </c>
      <c r="I942" s="295">
        <f t="shared" si="98"/>
        <v>455.04</v>
      </c>
      <c r="J942" s="295"/>
      <c r="K942" s="300"/>
      <c r="L942" s="300"/>
      <c r="M942" s="285"/>
      <c r="N942" s="1076"/>
      <c r="O942" s="294"/>
      <c r="P942" s="423">
        <f>I874</f>
        <v>4.6199999999999992</v>
      </c>
      <c r="Q942" s="404">
        <f>I942/P942</f>
        <v>98.493506493506516</v>
      </c>
      <c r="R942" s="301">
        <f>SUM(Q932:Q952)</f>
        <v>965.53753407086742</v>
      </c>
      <c r="S942" s="301"/>
      <c r="T942" s="301"/>
      <c r="U942" s="301"/>
      <c r="V942" s="301"/>
    </row>
    <row r="943" spans="1:22" ht="14.4" thickTop="1" thickBot="1" x14ac:dyDescent="0.3">
      <c r="A943" s="292"/>
      <c r="B943" s="293"/>
      <c r="C943" s="294"/>
      <c r="D943" s="294">
        <v>28</v>
      </c>
      <c r="E943" s="294">
        <v>12</v>
      </c>
      <c r="F943" s="310">
        <v>0.61199999999999999</v>
      </c>
      <c r="G943" s="310"/>
      <c r="H943" s="310">
        <v>1.1000000000000001</v>
      </c>
      <c r="I943" s="295">
        <f t="shared" si="98"/>
        <v>226.1952</v>
      </c>
      <c r="J943" s="295"/>
      <c r="K943" s="300"/>
      <c r="L943" s="300"/>
      <c r="M943" s="285"/>
      <c r="N943" s="1076"/>
      <c r="O943" s="294"/>
      <c r="P943" s="423"/>
      <c r="Q943" s="404"/>
      <c r="R943" s="301"/>
      <c r="S943" s="301"/>
      <c r="T943" s="301"/>
      <c r="U943" s="301"/>
      <c r="V943" s="301"/>
    </row>
    <row r="944" spans="1:22" ht="14.4" thickTop="1" thickBot="1" x14ac:dyDescent="0.3">
      <c r="A944" s="292"/>
      <c r="B944" s="293" t="s">
        <v>2142</v>
      </c>
      <c r="C944" s="294"/>
      <c r="D944" s="294">
        <v>6</v>
      </c>
      <c r="E944" s="294">
        <v>5</v>
      </c>
      <c r="F944" s="310">
        <v>1.58</v>
      </c>
      <c r="G944" s="310">
        <f>0.175*0.175</f>
        <v>3.0624999999999996E-2</v>
      </c>
      <c r="H944" s="310">
        <v>4</v>
      </c>
      <c r="I944" s="295">
        <f t="shared" si="98"/>
        <v>189.60000000000002</v>
      </c>
      <c r="J944" s="295"/>
      <c r="K944" s="300"/>
      <c r="L944" s="300"/>
      <c r="M944" s="285"/>
      <c r="N944" s="1076"/>
      <c r="O944" s="294"/>
      <c r="P944" s="423">
        <f>I875</f>
        <v>1.9249999999999998</v>
      </c>
      <c r="Q944" s="404">
        <f>I944/P944</f>
        <v>98.493506493506516</v>
      </c>
      <c r="R944" s="301">
        <f>R942/11</f>
        <v>87.776139460987949</v>
      </c>
      <c r="S944" s="301"/>
      <c r="T944" s="301"/>
      <c r="U944" s="301"/>
      <c r="V944" s="301"/>
    </row>
    <row r="945" spans="1:22" ht="14.4" thickTop="1" thickBot="1" x14ac:dyDescent="0.3">
      <c r="A945" s="292"/>
      <c r="B945" s="293"/>
      <c r="C945" s="294"/>
      <c r="D945" s="294">
        <v>28</v>
      </c>
      <c r="E945" s="294">
        <v>5</v>
      </c>
      <c r="F945" s="310">
        <v>0.61199999999999999</v>
      </c>
      <c r="G945" s="310"/>
      <c r="H945" s="310">
        <v>1.1000000000000001</v>
      </c>
      <c r="I945" s="295">
        <f t="shared" si="98"/>
        <v>94.248000000000005</v>
      </c>
      <c r="J945" s="295"/>
      <c r="K945" s="300"/>
      <c r="L945" s="300"/>
      <c r="M945" s="285"/>
      <c r="N945" s="1076"/>
      <c r="O945" s="294"/>
      <c r="P945" s="423"/>
      <c r="Q945" s="404"/>
      <c r="R945" s="301"/>
      <c r="S945" s="301"/>
      <c r="T945" s="301"/>
      <c r="U945" s="301"/>
      <c r="V945" s="301"/>
    </row>
    <row r="946" spans="1:22" ht="14.4" thickTop="1" thickBot="1" x14ac:dyDescent="0.3">
      <c r="A946" s="292"/>
      <c r="B946" s="293" t="s">
        <v>2143</v>
      </c>
      <c r="C946" s="294"/>
      <c r="D946" s="294">
        <v>8</v>
      </c>
      <c r="E946" s="294">
        <v>7</v>
      </c>
      <c r="F946" s="310">
        <v>0.88900000000000001</v>
      </c>
      <c r="G946" s="310">
        <v>0.3</v>
      </c>
      <c r="H946" s="310">
        <v>4</v>
      </c>
      <c r="I946" s="295">
        <f t="shared" si="98"/>
        <v>199.136</v>
      </c>
      <c r="J946" s="295"/>
      <c r="K946" s="300"/>
      <c r="L946" s="300"/>
      <c r="M946" s="285"/>
      <c r="N946" s="1076"/>
      <c r="O946" s="294"/>
      <c r="P946" s="423">
        <f>I876</f>
        <v>2.52</v>
      </c>
      <c r="Q946" s="404">
        <f t="shared" ref="Q946:Q968" si="99">I946/P946</f>
        <v>79.022222222222226</v>
      </c>
      <c r="R946" s="301"/>
      <c r="S946" s="301"/>
      <c r="T946" s="301"/>
      <c r="U946" s="301"/>
      <c r="V946" s="301"/>
    </row>
    <row r="947" spans="1:22" ht="14.4" thickTop="1" thickBot="1" x14ac:dyDescent="0.3">
      <c r="A947" s="292"/>
      <c r="B947" s="293"/>
      <c r="C947" s="294"/>
      <c r="D947" s="294">
        <v>28</v>
      </c>
      <c r="E947" s="294">
        <v>7</v>
      </c>
      <c r="F947" s="310">
        <v>0.61199999999999999</v>
      </c>
      <c r="G947" s="310"/>
      <c r="H947" s="310">
        <v>1.1499999999999999</v>
      </c>
      <c r="I947" s="295">
        <f t="shared" si="98"/>
        <v>137.94479999999999</v>
      </c>
      <c r="J947" s="295"/>
      <c r="K947" s="300"/>
      <c r="L947" s="300"/>
      <c r="M947" s="285"/>
      <c r="N947" s="1076"/>
      <c r="O947" s="294"/>
      <c r="P947" s="423"/>
      <c r="Q947" s="404"/>
      <c r="R947" s="301"/>
      <c r="S947" s="301"/>
      <c r="T947" s="301"/>
      <c r="U947" s="301"/>
      <c r="V947" s="301"/>
    </row>
    <row r="948" spans="1:22" ht="14.4" thickTop="1" thickBot="1" x14ac:dyDescent="0.3">
      <c r="A948" s="292"/>
      <c r="B948" s="293" t="s">
        <v>2144</v>
      </c>
      <c r="C948" s="294"/>
      <c r="D948" s="294">
        <v>4</v>
      </c>
      <c r="E948" s="294">
        <v>1</v>
      </c>
      <c r="F948" s="310">
        <v>0.88900000000000001</v>
      </c>
      <c r="G948" s="310">
        <v>0.22500000000000001</v>
      </c>
      <c r="H948" s="310">
        <v>4</v>
      </c>
      <c r="I948" s="295">
        <f t="shared" si="98"/>
        <v>14.224</v>
      </c>
      <c r="J948" s="295"/>
      <c r="K948" s="300"/>
      <c r="L948" s="300"/>
      <c r="M948" s="285"/>
      <c r="N948" s="1076"/>
      <c r="O948" s="294"/>
      <c r="P948" s="423">
        <f>I877</f>
        <v>0.20250000000000001</v>
      </c>
      <c r="Q948" s="404">
        <f t="shared" si="99"/>
        <v>70.241975308641969</v>
      </c>
      <c r="R948" s="301"/>
      <c r="S948" s="301"/>
      <c r="T948" s="301"/>
      <c r="U948" s="301"/>
      <c r="V948" s="301"/>
    </row>
    <row r="949" spans="1:22" ht="14.4" thickTop="1" thickBot="1" x14ac:dyDescent="0.3">
      <c r="A949" s="292"/>
      <c r="B949" s="293"/>
      <c r="C949" s="294"/>
      <c r="D949" s="294">
        <v>28</v>
      </c>
      <c r="E949" s="294"/>
      <c r="F949" s="310"/>
      <c r="G949" s="310"/>
      <c r="H949" s="310"/>
      <c r="I949" s="295">
        <f t="shared" si="98"/>
        <v>0</v>
      </c>
      <c r="J949" s="295"/>
      <c r="K949" s="300"/>
      <c r="L949" s="300"/>
      <c r="M949" s="285"/>
      <c r="N949" s="1076"/>
      <c r="O949" s="294"/>
      <c r="P949" s="423"/>
      <c r="Q949" s="404"/>
      <c r="R949" s="301"/>
      <c r="S949" s="301"/>
      <c r="T949" s="301"/>
      <c r="U949" s="301"/>
      <c r="V949" s="301"/>
    </row>
    <row r="950" spans="1:22" ht="14.4" thickTop="1" thickBot="1" x14ac:dyDescent="0.3">
      <c r="A950" s="292"/>
      <c r="B950" s="293" t="s">
        <v>2145</v>
      </c>
      <c r="C950" s="294"/>
      <c r="D950" s="294">
        <v>6</v>
      </c>
      <c r="E950" s="294">
        <v>1</v>
      </c>
      <c r="F950" s="310">
        <v>1.58</v>
      </c>
      <c r="G950" s="310">
        <f>0.175*0.175</f>
        <v>3.0624999999999996E-2</v>
      </c>
      <c r="H950" s="310">
        <v>4</v>
      </c>
      <c r="I950" s="295">
        <f t="shared" si="98"/>
        <v>37.92</v>
      </c>
      <c r="J950" s="295"/>
      <c r="K950" s="300"/>
      <c r="L950" s="300"/>
      <c r="M950" s="285"/>
      <c r="N950" s="1076"/>
      <c r="O950" s="294"/>
      <c r="P950" s="423">
        <f>I878</f>
        <v>0.38499999999999995</v>
      </c>
      <c r="Q950" s="404">
        <f t="shared" si="99"/>
        <v>98.493506493506516</v>
      </c>
      <c r="R950" s="301"/>
      <c r="S950" s="301"/>
      <c r="T950" s="301"/>
      <c r="U950" s="301"/>
      <c r="V950" s="301"/>
    </row>
    <row r="951" spans="1:22" ht="14.4" thickTop="1" thickBot="1" x14ac:dyDescent="0.3">
      <c r="A951" s="292"/>
      <c r="B951" s="293"/>
      <c r="C951" s="294"/>
      <c r="D951" s="294">
        <v>28</v>
      </c>
      <c r="E951" s="294">
        <v>1</v>
      </c>
      <c r="F951" s="310">
        <v>0.61199999999999999</v>
      </c>
      <c r="G951" s="310"/>
      <c r="H951" s="310">
        <v>1.1000000000000001</v>
      </c>
      <c r="I951" s="295">
        <f t="shared" si="98"/>
        <v>18.849600000000002</v>
      </c>
      <c r="J951" s="295"/>
      <c r="K951" s="300"/>
      <c r="L951" s="300"/>
      <c r="M951" s="285"/>
      <c r="N951" s="1076"/>
      <c r="O951" s="294"/>
      <c r="P951" s="423"/>
      <c r="Q951" s="404"/>
      <c r="R951" s="301"/>
      <c r="S951" s="301"/>
      <c r="T951" s="301"/>
      <c r="U951" s="301"/>
      <c r="V951" s="301"/>
    </row>
    <row r="952" spans="1:22" ht="14.4" thickTop="1" thickBot="1" x14ac:dyDescent="0.3">
      <c r="A952" s="292"/>
      <c r="B952" s="293" t="s">
        <v>2146</v>
      </c>
      <c r="C952" s="294"/>
      <c r="D952" s="294">
        <v>8</v>
      </c>
      <c r="E952" s="294">
        <v>1</v>
      </c>
      <c r="F952" s="310">
        <v>1.58</v>
      </c>
      <c r="G952" s="310">
        <f>0.225*0.225</f>
        <v>5.0625000000000003E-2</v>
      </c>
      <c r="H952" s="310">
        <v>4</v>
      </c>
      <c r="I952" s="295">
        <f t="shared" si="98"/>
        <v>50.56</v>
      </c>
      <c r="J952" s="295"/>
      <c r="K952" s="300"/>
      <c r="L952" s="300"/>
      <c r="M952" s="285"/>
      <c r="N952" s="1076"/>
      <c r="O952" s="294"/>
      <c r="P952" s="423">
        <f>I879</f>
        <v>0.63642857142857145</v>
      </c>
      <c r="Q952" s="404">
        <f t="shared" si="99"/>
        <v>79.44332210998877</v>
      </c>
      <c r="R952" s="301"/>
      <c r="S952" s="301"/>
      <c r="T952" s="301"/>
      <c r="U952" s="301"/>
      <c r="V952" s="301"/>
    </row>
    <row r="953" spans="1:22" ht="14.4" thickTop="1" thickBot="1" x14ac:dyDescent="0.3">
      <c r="A953" s="292"/>
      <c r="B953" s="293"/>
      <c r="C953" s="294"/>
      <c r="D953" s="294">
        <v>28</v>
      </c>
      <c r="E953" s="294">
        <v>1</v>
      </c>
      <c r="F953" s="310">
        <v>0.61199999999999999</v>
      </c>
      <c r="G953" s="310"/>
      <c r="H953" s="310">
        <v>1.3</v>
      </c>
      <c r="I953" s="295">
        <f t="shared" si="98"/>
        <v>22.276799999999998</v>
      </c>
      <c r="J953" s="295"/>
      <c r="K953" s="300"/>
      <c r="L953" s="300"/>
      <c r="M953" s="285"/>
      <c r="N953" s="1076"/>
      <c r="O953" s="294"/>
      <c r="P953" s="423"/>
      <c r="Q953" s="404"/>
      <c r="R953" s="301"/>
      <c r="S953" s="301"/>
      <c r="T953" s="301"/>
      <c r="U953" s="301"/>
      <c r="V953" s="301"/>
    </row>
    <row r="954" spans="1:22" ht="14.4" thickTop="1" thickBot="1" x14ac:dyDescent="0.3">
      <c r="A954" s="292"/>
      <c r="B954" s="293" t="s">
        <v>2148</v>
      </c>
      <c r="C954" s="294"/>
      <c r="D954" s="294"/>
      <c r="E954" s="294">
        <v>2</v>
      </c>
      <c r="F954" s="310">
        <f>22/7</f>
        <v>3.1428571428571428</v>
      </c>
      <c r="G954" s="310">
        <f>0.225*0.225</f>
        <v>5.0625000000000003E-2</v>
      </c>
      <c r="H954" s="310">
        <v>4</v>
      </c>
      <c r="I954" s="295">
        <f t="shared" si="98"/>
        <v>0</v>
      </c>
      <c r="J954" s="295"/>
      <c r="K954" s="300"/>
      <c r="L954" s="300"/>
      <c r="M954" s="285"/>
      <c r="N954" s="1076"/>
      <c r="O954" s="294"/>
      <c r="P954" s="423">
        <f t="shared" ref="P954:P968" si="100">I880</f>
        <v>1.2728571428571429</v>
      </c>
      <c r="Q954" s="404">
        <f t="shared" si="99"/>
        <v>0</v>
      </c>
      <c r="R954" s="301"/>
      <c r="S954" s="301"/>
      <c r="T954" s="301"/>
      <c r="U954" s="301"/>
      <c r="V954" s="301"/>
    </row>
    <row r="955" spans="1:22" ht="14.4" thickTop="1" thickBot="1" x14ac:dyDescent="0.3">
      <c r="A955" s="292"/>
      <c r="B955" s="293" t="s">
        <v>2149</v>
      </c>
      <c r="C955" s="294"/>
      <c r="D955" s="294"/>
      <c r="E955" s="294">
        <v>1</v>
      </c>
      <c r="F955" s="310">
        <f>22/7</f>
        <v>3.1428571428571428</v>
      </c>
      <c r="G955" s="310">
        <f>0.225*0.225</f>
        <v>5.0625000000000003E-2</v>
      </c>
      <c r="H955" s="310">
        <v>4</v>
      </c>
      <c r="I955" s="295">
        <f t="shared" si="98"/>
        <v>0</v>
      </c>
      <c r="J955" s="295"/>
      <c r="K955" s="300"/>
      <c r="L955" s="300"/>
      <c r="M955" s="285"/>
      <c r="N955" s="1076"/>
      <c r="O955" s="294"/>
      <c r="P955" s="423">
        <f t="shared" si="100"/>
        <v>0.63642857142857145</v>
      </c>
      <c r="Q955" s="404">
        <f t="shared" si="99"/>
        <v>0</v>
      </c>
      <c r="R955" s="301"/>
      <c r="S955" s="301"/>
      <c r="T955" s="301"/>
      <c r="U955" s="301"/>
      <c r="V955" s="301"/>
    </row>
    <row r="956" spans="1:22" ht="14.4" thickTop="1" thickBot="1" x14ac:dyDescent="0.3">
      <c r="A956" s="292"/>
      <c r="B956" s="293" t="s">
        <v>2150</v>
      </c>
      <c r="C956" s="294"/>
      <c r="D956" s="294"/>
      <c r="E956" s="294">
        <v>1</v>
      </c>
      <c r="F956" s="310">
        <v>0.3</v>
      </c>
      <c r="G956" s="310">
        <v>0.3</v>
      </c>
      <c r="H956" s="310">
        <v>4</v>
      </c>
      <c r="I956" s="295">
        <f t="shared" si="98"/>
        <v>0</v>
      </c>
      <c r="J956" s="295"/>
      <c r="K956" s="300"/>
      <c r="L956" s="300"/>
      <c r="M956" s="285"/>
      <c r="N956" s="1076"/>
      <c r="O956" s="294"/>
      <c r="P956" s="423">
        <f t="shared" si="100"/>
        <v>0.36</v>
      </c>
      <c r="Q956" s="404">
        <f t="shared" si="99"/>
        <v>0</v>
      </c>
      <c r="R956" s="301"/>
      <c r="S956" s="301"/>
      <c r="T956" s="301"/>
      <c r="U956" s="301"/>
      <c r="V956" s="301"/>
    </row>
    <row r="957" spans="1:22" ht="14.4" thickTop="1" thickBot="1" x14ac:dyDescent="0.3">
      <c r="A957" s="292"/>
      <c r="B957" s="293" t="s">
        <v>2151</v>
      </c>
      <c r="C957" s="294"/>
      <c r="D957" s="294"/>
      <c r="E957" s="294">
        <v>5</v>
      </c>
      <c r="F957" s="310">
        <f t="shared" ref="F957:F964" si="101">22/7</f>
        <v>3.1428571428571428</v>
      </c>
      <c r="G957" s="310">
        <f t="shared" ref="G957:G959" si="102">0.175*0.175</f>
        <v>3.0624999999999996E-2</v>
      </c>
      <c r="H957" s="310">
        <v>4</v>
      </c>
      <c r="I957" s="295">
        <f t="shared" si="98"/>
        <v>0</v>
      </c>
      <c r="J957" s="295"/>
      <c r="K957" s="300"/>
      <c r="L957" s="300"/>
      <c r="M957" s="285"/>
      <c r="N957" s="1076"/>
      <c r="O957" s="294"/>
      <c r="P957" s="423">
        <f t="shared" si="100"/>
        <v>1.9249999999999998</v>
      </c>
      <c r="Q957" s="404">
        <f t="shared" si="99"/>
        <v>0</v>
      </c>
      <c r="R957" s="301"/>
      <c r="S957" s="301"/>
      <c r="T957" s="301"/>
      <c r="U957" s="301"/>
      <c r="V957" s="301"/>
    </row>
    <row r="958" spans="1:22" ht="14.4" thickTop="1" thickBot="1" x14ac:dyDescent="0.3">
      <c r="A958" s="292"/>
      <c r="B958" s="293" t="s">
        <v>2152</v>
      </c>
      <c r="C958" s="294"/>
      <c r="D958" s="294"/>
      <c r="E958" s="294">
        <v>1</v>
      </c>
      <c r="F958" s="310">
        <f t="shared" si="101"/>
        <v>3.1428571428571428</v>
      </c>
      <c r="G958" s="310">
        <f>0.175*0.175</f>
        <v>3.0624999999999996E-2</v>
      </c>
      <c r="H958" s="310">
        <v>4</v>
      </c>
      <c r="I958" s="295">
        <f t="shared" si="98"/>
        <v>0</v>
      </c>
      <c r="J958" s="295"/>
      <c r="K958" s="300"/>
      <c r="L958" s="300"/>
      <c r="M958" s="285"/>
      <c r="N958" s="1076"/>
      <c r="O958" s="294"/>
      <c r="P958" s="423">
        <f t="shared" si="100"/>
        <v>0.38499999999999995</v>
      </c>
      <c r="Q958" s="404">
        <f t="shared" si="99"/>
        <v>0</v>
      </c>
      <c r="R958" s="301"/>
      <c r="S958" s="301"/>
      <c r="T958" s="301"/>
      <c r="U958" s="301"/>
      <c r="V958" s="301"/>
    </row>
    <row r="959" spans="1:22" ht="14.4" thickTop="1" thickBot="1" x14ac:dyDescent="0.3">
      <c r="A959" s="292"/>
      <c r="B959" s="293" t="s">
        <v>2153</v>
      </c>
      <c r="C959" s="294"/>
      <c r="D959" s="294"/>
      <c r="E959" s="294">
        <v>1</v>
      </c>
      <c r="F959" s="310">
        <f t="shared" si="101"/>
        <v>3.1428571428571428</v>
      </c>
      <c r="G959" s="310">
        <f t="shared" si="102"/>
        <v>3.0624999999999996E-2</v>
      </c>
      <c r="H959" s="310">
        <v>4</v>
      </c>
      <c r="I959" s="295">
        <f t="shared" si="98"/>
        <v>0</v>
      </c>
      <c r="J959" s="295"/>
      <c r="K959" s="300"/>
      <c r="L959" s="300"/>
      <c r="M959" s="285"/>
      <c r="N959" s="1076"/>
      <c r="O959" s="294"/>
      <c r="P959" s="423">
        <f t="shared" si="100"/>
        <v>0.38499999999999995</v>
      </c>
      <c r="Q959" s="404">
        <f t="shared" si="99"/>
        <v>0</v>
      </c>
      <c r="R959" s="301"/>
      <c r="S959" s="301"/>
      <c r="T959" s="301"/>
      <c r="U959" s="301"/>
      <c r="V959" s="301"/>
    </row>
    <row r="960" spans="1:22" ht="14.4" thickTop="1" thickBot="1" x14ac:dyDescent="0.3">
      <c r="A960" s="292"/>
      <c r="B960" s="293" t="s">
        <v>2154</v>
      </c>
      <c r="C960" s="294"/>
      <c r="D960" s="294"/>
      <c r="E960" s="294">
        <v>2</v>
      </c>
      <c r="F960" s="310">
        <f t="shared" si="101"/>
        <v>3.1428571428571428</v>
      </c>
      <c r="G960" s="310">
        <f>0.225*0.225</f>
        <v>5.0625000000000003E-2</v>
      </c>
      <c r="H960" s="310">
        <v>4</v>
      </c>
      <c r="I960" s="295">
        <f t="shared" si="98"/>
        <v>0</v>
      </c>
      <c r="J960" s="295"/>
      <c r="K960" s="300"/>
      <c r="L960" s="300"/>
      <c r="M960" s="285"/>
      <c r="N960" s="1076"/>
      <c r="O960" s="294"/>
      <c r="P960" s="423">
        <f t="shared" si="100"/>
        <v>1.2728571428571429</v>
      </c>
      <c r="Q960" s="404">
        <f t="shared" si="99"/>
        <v>0</v>
      </c>
      <c r="R960" s="301"/>
      <c r="S960" s="301"/>
      <c r="T960" s="301"/>
      <c r="U960" s="301"/>
      <c r="V960" s="301"/>
    </row>
    <row r="961" spans="1:22" ht="14.4" thickTop="1" thickBot="1" x14ac:dyDescent="0.3">
      <c r="A961" s="292"/>
      <c r="B961" s="293" t="s">
        <v>2155</v>
      </c>
      <c r="C961" s="294"/>
      <c r="D961" s="294"/>
      <c r="E961" s="294">
        <v>4</v>
      </c>
      <c r="F961" s="310">
        <f t="shared" si="101"/>
        <v>3.1428571428571428</v>
      </c>
      <c r="G961" s="310">
        <f t="shared" ref="G961" si="103">0.225*0.225</f>
        <v>5.0625000000000003E-2</v>
      </c>
      <c r="H961" s="310">
        <v>4</v>
      </c>
      <c r="I961" s="295">
        <f t="shared" si="98"/>
        <v>0</v>
      </c>
      <c r="J961" s="295"/>
      <c r="K961" s="300"/>
      <c r="L961" s="300"/>
      <c r="M961" s="285"/>
      <c r="N961" s="1076"/>
      <c r="O961" s="294"/>
      <c r="P961" s="423">
        <f t="shared" si="100"/>
        <v>2.5457142857142858</v>
      </c>
      <c r="Q961" s="404">
        <f t="shared" si="99"/>
        <v>0</v>
      </c>
      <c r="R961" s="301"/>
      <c r="S961" s="301"/>
      <c r="T961" s="301"/>
      <c r="U961" s="301"/>
      <c r="V961" s="301"/>
    </row>
    <row r="962" spans="1:22" ht="14.4" thickTop="1" thickBot="1" x14ac:dyDescent="0.3">
      <c r="A962" s="292"/>
      <c r="B962" s="293" t="s">
        <v>2156</v>
      </c>
      <c r="C962" s="294"/>
      <c r="D962" s="294"/>
      <c r="E962" s="294">
        <v>1</v>
      </c>
      <c r="F962" s="310">
        <v>0.3</v>
      </c>
      <c r="G962" s="310">
        <v>0.3</v>
      </c>
      <c r="H962" s="310">
        <v>4</v>
      </c>
      <c r="I962" s="295">
        <f t="shared" si="98"/>
        <v>0</v>
      </c>
      <c r="J962" s="295"/>
      <c r="K962" s="300"/>
      <c r="L962" s="300"/>
      <c r="M962" s="285"/>
      <c r="N962" s="1076"/>
      <c r="O962" s="294"/>
      <c r="P962" s="423">
        <f t="shared" si="100"/>
        <v>0.36</v>
      </c>
      <c r="Q962" s="404">
        <f t="shared" si="99"/>
        <v>0</v>
      </c>
      <c r="R962" s="301"/>
      <c r="S962" s="301"/>
      <c r="T962" s="301"/>
      <c r="U962" s="301"/>
      <c r="V962" s="301"/>
    </row>
    <row r="963" spans="1:22" ht="14.4" thickTop="1" thickBot="1" x14ac:dyDescent="0.3">
      <c r="A963" s="292"/>
      <c r="B963" s="293" t="s">
        <v>2157</v>
      </c>
      <c r="C963" s="294"/>
      <c r="D963" s="294"/>
      <c r="E963" s="294">
        <v>2</v>
      </c>
      <c r="F963" s="310">
        <f t="shared" si="101"/>
        <v>3.1428571428571428</v>
      </c>
      <c r="G963" s="310">
        <f>0.225*0.225</f>
        <v>5.0625000000000003E-2</v>
      </c>
      <c r="H963" s="310">
        <v>4</v>
      </c>
      <c r="I963" s="295">
        <f t="shared" si="98"/>
        <v>0</v>
      </c>
      <c r="J963" s="295"/>
      <c r="K963" s="300"/>
      <c r="L963" s="300"/>
      <c r="M963" s="285"/>
      <c r="N963" s="1076"/>
      <c r="O963" s="294"/>
      <c r="P963" s="423">
        <f t="shared" si="100"/>
        <v>1.2728571428571429</v>
      </c>
      <c r="Q963" s="404">
        <f t="shared" si="99"/>
        <v>0</v>
      </c>
      <c r="R963" s="301"/>
      <c r="S963" s="301"/>
      <c r="T963" s="301"/>
      <c r="U963" s="301"/>
      <c r="V963" s="301"/>
    </row>
    <row r="964" spans="1:22" ht="14.4" thickTop="1" thickBot="1" x14ac:dyDescent="0.3">
      <c r="A964" s="292"/>
      <c r="B964" s="293" t="s">
        <v>2159</v>
      </c>
      <c r="C964" s="294"/>
      <c r="D964" s="294"/>
      <c r="E964" s="294">
        <v>5</v>
      </c>
      <c r="F964" s="310">
        <f t="shared" si="101"/>
        <v>3.1428571428571428</v>
      </c>
      <c r="G964" s="310">
        <f>0.225*0.225</f>
        <v>5.0625000000000003E-2</v>
      </c>
      <c r="H964" s="310">
        <v>4</v>
      </c>
      <c r="I964" s="295">
        <f t="shared" si="98"/>
        <v>0</v>
      </c>
      <c r="J964" s="295"/>
      <c r="K964" s="300"/>
      <c r="L964" s="300"/>
      <c r="M964" s="285"/>
      <c r="N964" s="1076"/>
      <c r="O964" s="294"/>
      <c r="P964" s="423">
        <f t="shared" si="100"/>
        <v>3.1821428571428574</v>
      </c>
      <c r="Q964" s="404">
        <f t="shared" si="99"/>
        <v>0</v>
      </c>
      <c r="R964" s="301"/>
      <c r="S964" s="301"/>
      <c r="T964" s="301"/>
      <c r="U964" s="301"/>
      <c r="V964" s="301"/>
    </row>
    <row r="965" spans="1:22" ht="14.4" thickTop="1" thickBot="1" x14ac:dyDescent="0.3">
      <c r="A965" s="292"/>
      <c r="B965" s="293" t="s">
        <v>2160</v>
      </c>
      <c r="C965" s="294"/>
      <c r="D965" s="294"/>
      <c r="E965" s="294">
        <v>2</v>
      </c>
      <c r="F965" s="310">
        <v>0.22500000000000001</v>
      </c>
      <c r="G965" s="310">
        <v>0.22500000000000001</v>
      </c>
      <c r="H965" s="310">
        <v>4</v>
      </c>
      <c r="I965" s="295">
        <f t="shared" si="98"/>
        <v>0</v>
      </c>
      <c r="J965" s="295"/>
      <c r="K965" s="300"/>
      <c r="L965" s="300"/>
      <c r="M965" s="285"/>
      <c r="N965" s="1076"/>
      <c r="O965" s="294"/>
      <c r="P965" s="423">
        <f t="shared" si="100"/>
        <v>0.40500000000000003</v>
      </c>
      <c r="Q965" s="404">
        <f t="shared" si="99"/>
        <v>0</v>
      </c>
      <c r="R965" s="301"/>
      <c r="S965" s="301"/>
      <c r="T965" s="301"/>
      <c r="U965" s="301"/>
      <c r="V965" s="301"/>
    </row>
    <row r="966" spans="1:22" ht="14.4" thickTop="1" thickBot="1" x14ac:dyDescent="0.3">
      <c r="A966" s="292"/>
      <c r="B966" s="293" t="s">
        <v>2162</v>
      </c>
      <c r="C966" s="294"/>
      <c r="D966" s="294"/>
      <c r="E966" s="294">
        <v>1</v>
      </c>
      <c r="F966" s="310">
        <v>0.3</v>
      </c>
      <c r="G966" s="310">
        <v>0.3</v>
      </c>
      <c r="H966" s="310">
        <v>4</v>
      </c>
      <c r="I966" s="295">
        <f t="shared" si="98"/>
        <v>0</v>
      </c>
      <c r="J966" s="295"/>
      <c r="K966" s="300"/>
      <c r="L966" s="300"/>
      <c r="M966" s="285"/>
      <c r="N966" s="1076"/>
      <c r="O966" s="294"/>
      <c r="P966" s="423">
        <f t="shared" si="100"/>
        <v>0.36</v>
      </c>
      <c r="Q966" s="404">
        <f t="shared" si="99"/>
        <v>0</v>
      </c>
      <c r="R966" s="301"/>
      <c r="S966" s="301"/>
      <c r="T966" s="301"/>
      <c r="U966" s="301"/>
      <c r="V966" s="301"/>
    </row>
    <row r="967" spans="1:22" ht="14.4" thickTop="1" thickBot="1" x14ac:dyDescent="0.3">
      <c r="A967" s="292"/>
      <c r="B967" s="293" t="s">
        <v>2163</v>
      </c>
      <c r="C967" s="294"/>
      <c r="D967" s="294"/>
      <c r="E967" s="294">
        <v>3</v>
      </c>
      <c r="F967" s="310">
        <f t="shared" ref="F967" si="104">22/7</f>
        <v>3.1428571428571428</v>
      </c>
      <c r="G967" s="310">
        <f>0.225*0.225</f>
        <v>5.0625000000000003E-2</v>
      </c>
      <c r="H967" s="310">
        <v>4</v>
      </c>
      <c r="I967" s="295">
        <f t="shared" si="98"/>
        <v>0</v>
      </c>
      <c r="J967" s="295"/>
      <c r="K967" s="300"/>
      <c r="L967" s="300"/>
      <c r="M967" s="285"/>
      <c r="N967" s="1076"/>
      <c r="O967" s="294"/>
      <c r="P967" s="423">
        <f t="shared" si="100"/>
        <v>1.9092857142857143</v>
      </c>
      <c r="Q967" s="404">
        <f t="shared" si="99"/>
        <v>0</v>
      </c>
      <c r="R967" s="301"/>
      <c r="S967" s="301"/>
      <c r="T967" s="301"/>
      <c r="U967" s="301"/>
      <c r="V967" s="301"/>
    </row>
    <row r="968" spans="1:22" ht="14.4" thickTop="1" thickBot="1" x14ac:dyDescent="0.3">
      <c r="A968" s="292"/>
      <c r="B968" s="293" t="s">
        <v>2164</v>
      </c>
      <c r="C968" s="294"/>
      <c r="D968" s="294"/>
      <c r="E968" s="294">
        <v>2</v>
      </c>
      <c r="F968" s="310">
        <v>0.3</v>
      </c>
      <c r="G968" s="310">
        <v>0.3</v>
      </c>
      <c r="H968" s="310">
        <v>4</v>
      </c>
      <c r="I968" s="295">
        <f t="shared" si="98"/>
        <v>0</v>
      </c>
      <c r="J968" s="295"/>
      <c r="K968" s="300">
        <f t="shared" si="84"/>
        <v>1.1000000000000001</v>
      </c>
      <c r="L968" s="300">
        <f t="shared" ref="L968:L976" si="105">K968*J968</f>
        <v>0</v>
      </c>
      <c r="M968" s="285">
        <f t="shared" ref="M968:M976" si="106">ROUND(L968,1)</f>
        <v>0</v>
      </c>
      <c r="N968" s="1076">
        <f t="shared" ref="N968:N976" si="107">ROUNDUP(M968,0)</f>
        <v>0</v>
      </c>
      <c r="O968" s="294"/>
      <c r="P968" s="423">
        <f t="shared" si="100"/>
        <v>0.72</v>
      </c>
      <c r="Q968" s="404">
        <f t="shared" si="99"/>
        <v>0</v>
      </c>
      <c r="R968" s="301"/>
      <c r="S968" s="301"/>
      <c r="T968" s="301"/>
      <c r="U968" s="301"/>
      <c r="V968" s="301"/>
    </row>
    <row r="969" spans="1:22" ht="14.4" thickTop="1" thickBot="1" x14ac:dyDescent="0.3">
      <c r="A969" s="292"/>
      <c r="B969" s="293"/>
      <c r="C969" s="294"/>
      <c r="D969" s="294"/>
      <c r="E969" s="294"/>
      <c r="F969" s="310"/>
      <c r="G969" s="310"/>
      <c r="H969" s="310"/>
      <c r="I969" s="295"/>
      <c r="J969" s="295"/>
      <c r="K969" s="300">
        <f t="shared" si="84"/>
        <v>1.1000000000000001</v>
      </c>
      <c r="L969" s="300">
        <f t="shared" si="105"/>
        <v>0</v>
      </c>
      <c r="M969" s="285">
        <f t="shared" si="106"/>
        <v>0</v>
      </c>
      <c r="N969" s="1076">
        <f t="shared" si="107"/>
        <v>0</v>
      </c>
      <c r="O969" s="294"/>
      <c r="P969" s="404"/>
      <c r="Q969" s="404"/>
      <c r="R969" s="301"/>
      <c r="S969" s="301"/>
      <c r="T969" s="301"/>
      <c r="U969" s="301"/>
      <c r="V969" s="301"/>
    </row>
    <row r="970" spans="1:22" ht="14.4" thickTop="1" thickBot="1" x14ac:dyDescent="0.3">
      <c r="A970" s="292"/>
      <c r="B970" s="293"/>
      <c r="C970" s="294"/>
      <c r="D970" s="294"/>
      <c r="E970" s="294"/>
      <c r="F970" s="310"/>
      <c r="G970" s="310"/>
      <c r="H970" s="310"/>
      <c r="I970" s="295"/>
      <c r="J970" s="295">
        <f>SUM(I932:I968)</f>
        <v>2293.5304000000001</v>
      </c>
      <c r="K970" s="300">
        <f t="shared" si="84"/>
        <v>1.1000000000000001</v>
      </c>
      <c r="L970" s="300">
        <f t="shared" si="105"/>
        <v>2522.8834400000005</v>
      </c>
      <c r="M970" s="285">
        <f t="shared" si="106"/>
        <v>2522.9</v>
      </c>
      <c r="N970" s="1076">
        <f t="shared" si="107"/>
        <v>2523</v>
      </c>
      <c r="O970" s="294"/>
      <c r="P970" s="404"/>
      <c r="Q970" s="404"/>
      <c r="R970" s="301"/>
      <c r="S970" s="301"/>
      <c r="T970" s="301"/>
      <c r="U970" s="301"/>
      <c r="V970" s="301"/>
    </row>
    <row r="971" spans="1:22" ht="14.4" thickTop="1" thickBot="1" x14ac:dyDescent="0.3">
      <c r="A971" s="292"/>
      <c r="B971" s="293"/>
      <c r="C971" s="294"/>
      <c r="D971" s="294"/>
      <c r="E971" s="294"/>
      <c r="F971" s="310"/>
      <c r="G971" s="310"/>
      <c r="H971" s="310"/>
      <c r="I971" s="295"/>
      <c r="J971" s="295">
        <f>J970/11</f>
        <v>208.50276363636365</v>
      </c>
      <c r="K971" s="300">
        <v>1.03</v>
      </c>
      <c r="L971" s="300">
        <f t="shared" si="105"/>
        <v>214.75784654545456</v>
      </c>
      <c r="M971" s="285">
        <f t="shared" si="106"/>
        <v>214.8</v>
      </c>
      <c r="N971" s="1076">
        <f t="shared" si="107"/>
        <v>215</v>
      </c>
      <c r="O971" s="294"/>
      <c r="P971" s="404"/>
      <c r="Q971" s="404"/>
      <c r="R971" s="301"/>
      <c r="S971" s="301"/>
      <c r="T971" s="301"/>
      <c r="U971" s="301"/>
      <c r="V971" s="301"/>
    </row>
    <row r="972" spans="1:22" ht="14.4" thickTop="1" thickBot="1" x14ac:dyDescent="0.3">
      <c r="A972" s="292"/>
      <c r="B972" s="293"/>
      <c r="C972" s="294"/>
      <c r="D972" s="294"/>
      <c r="E972" s="294"/>
      <c r="F972" s="310"/>
      <c r="G972" s="310"/>
      <c r="H972" s="310"/>
      <c r="I972" s="295"/>
      <c r="J972" s="295">
        <f>J895</f>
        <v>34.182142857142857</v>
      </c>
      <c r="K972" s="300">
        <f t="shared" si="84"/>
        <v>1.1000000000000001</v>
      </c>
      <c r="L972" s="300">
        <f t="shared" si="105"/>
        <v>37.600357142857149</v>
      </c>
      <c r="M972" s="285">
        <f t="shared" si="106"/>
        <v>37.6</v>
      </c>
      <c r="N972" s="1076">
        <f t="shared" si="107"/>
        <v>38</v>
      </c>
      <c r="O972" s="294"/>
      <c r="P972" s="404"/>
      <c r="Q972" s="404"/>
      <c r="R972" s="301"/>
      <c r="S972" s="301"/>
      <c r="T972" s="301"/>
      <c r="U972" s="301"/>
      <c r="V972" s="301"/>
    </row>
    <row r="973" spans="1:22" ht="14.4" thickTop="1" thickBot="1" x14ac:dyDescent="0.3">
      <c r="A973" s="292"/>
      <c r="B973" s="293"/>
      <c r="C973" s="294"/>
      <c r="D973" s="294"/>
      <c r="E973" s="294"/>
      <c r="F973" s="310"/>
      <c r="G973" s="310"/>
      <c r="H973" s="310"/>
      <c r="I973" s="295"/>
      <c r="J973" s="295">
        <f>J972*L971</f>
        <v>7340.8833903090908</v>
      </c>
      <c r="K973" s="300">
        <f t="shared" si="84"/>
        <v>1.1000000000000001</v>
      </c>
      <c r="L973" s="300">
        <f t="shared" si="105"/>
        <v>8074.9717293400008</v>
      </c>
      <c r="M973" s="285">
        <f t="shared" si="106"/>
        <v>8075</v>
      </c>
      <c r="N973" s="1076">
        <f t="shared" si="107"/>
        <v>8075</v>
      </c>
      <c r="O973" s="294"/>
      <c r="P973" s="404"/>
      <c r="Q973" s="404"/>
      <c r="R973" s="301"/>
      <c r="S973" s="301"/>
      <c r="T973" s="301"/>
      <c r="U973" s="301"/>
      <c r="V973" s="301"/>
    </row>
    <row r="974" spans="1:22" ht="14.4" thickTop="1" thickBot="1" x14ac:dyDescent="0.3">
      <c r="A974" s="292"/>
      <c r="B974" s="293"/>
      <c r="C974" s="294"/>
      <c r="D974" s="294"/>
      <c r="E974" s="294"/>
      <c r="F974" s="310"/>
      <c r="G974" s="310"/>
      <c r="H974" s="310"/>
      <c r="I974" s="295"/>
      <c r="J974" s="295"/>
      <c r="K974" s="300">
        <f t="shared" si="84"/>
        <v>1.1000000000000001</v>
      </c>
      <c r="L974" s="300">
        <f t="shared" si="105"/>
        <v>0</v>
      </c>
      <c r="M974" s="285">
        <f t="shared" si="106"/>
        <v>0</v>
      </c>
      <c r="N974" s="1076">
        <f t="shared" si="107"/>
        <v>0</v>
      </c>
      <c r="O974" s="294"/>
      <c r="P974" s="404"/>
      <c r="Q974" s="404"/>
      <c r="R974" s="301"/>
      <c r="S974" s="301"/>
      <c r="T974" s="301"/>
      <c r="U974" s="301"/>
      <c r="V974" s="301"/>
    </row>
    <row r="975" spans="1:22" ht="14.4" thickTop="1" thickBot="1" x14ac:dyDescent="0.3">
      <c r="A975" s="292"/>
      <c r="B975" s="293"/>
      <c r="C975" s="294"/>
      <c r="D975" s="294"/>
      <c r="E975" s="294"/>
      <c r="F975" s="310"/>
      <c r="G975" s="310"/>
      <c r="H975" s="310"/>
      <c r="I975" s="295"/>
      <c r="J975" s="295"/>
      <c r="K975" s="300">
        <f t="shared" si="84"/>
        <v>1.1000000000000001</v>
      </c>
      <c r="L975" s="300">
        <f t="shared" si="105"/>
        <v>0</v>
      </c>
      <c r="M975" s="285">
        <f t="shared" si="106"/>
        <v>0</v>
      </c>
      <c r="N975" s="1076">
        <f t="shared" si="107"/>
        <v>0</v>
      </c>
      <c r="O975" s="294"/>
      <c r="P975" s="404"/>
      <c r="Q975" s="404"/>
      <c r="R975" s="301"/>
      <c r="S975" s="301"/>
      <c r="T975" s="301"/>
      <c r="U975" s="301"/>
      <c r="V975" s="301"/>
    </row>
    <row r="976" spans="1:22" ht="14.4" thickTop="1" thickBot="1" x14ac:dyDescent="0.3">
      <c r="A976" s="292"/>
      <c r="B976" s="293"/>
      <c r="C976" s="294"/>
      <c r="D976" s="294"/>
      <c r="E976" s="294"/>
      <c r="F976" s="310"/>
      <c r="G976" s="310"/>
      <c r="H976" s="310"/>
      <c r="I976" s="295"/>
      <c r="J976" s="295"/>
      <c r="K976" s="300">
        <f t="shared" si="84"/>
        <v>1.1000000000000001</v>
      </c>
      <c r="L976" s="300">
        <f t="shared" si="105"/>
        <v>0</v>
      </c>
      <c r="M976" s="285">
        <f t="shared" si="106"/>
        <v>0</v>
      </c>
      <c r="N976" s="1076">
        <f t="shared" si="107"/>
        <v>0</v>
      </c>
      <c r="O976" s="294"/>
      <c r="P976" s="404"/>
      <c r="Q976" s="404"/>
      <c r="R976" s="301"/>
      <c r="S976" s="301"/>
      <c r="T976" s="301"/>
      <c r="U976" s="301"/>
      <c r="V976" s="301"/>
    </row>
    <row r="977" spans="1:22" ht="14.4" thickTop="1" thickBot="1" x14ac:dyDescent="0.3">
      <c r="A977" s="292"/>
      <c r="B977" s="293"/>
      <c r="C977" s="294"/>
      <c r="D977" s="294"/>
      <c r="E977" s="294"/>
      <c r="F977" s="310"/>
      <c r="G977" s="310"/>
      <c r="H977" s="310"/>
      <c r="I977" s="295"/>
      <c r="J977" s="295"/>
      <c r="K977" s="300">
        <f t="shared" si="84"/>
        <v>1.1000000000000001</v>
      </c>
      <c r="L977" s="300">
        <f t="shared" si="77"/>
        <v>0</v>
      </c>
      <c r="M977" s="285">
        <f t="shared" si="78"/>
        <v>0</v>
      </c>
      <c r="N977" s="1076">
        <f t="shared" si="79"/>
        <v>0</v>
      </c>
      <c r="O977" s="294"/>
      <c r="P977" s="404"/>
      <c r="Q977" s="404"/>
      <c r="R977" s="301"/>
      <c r="S977" s="301"/>
      <c r="T977" s="301"/>
      <c r="U977" s="301"/>
      <c r="V977" s="301"/>
    </row>
    <row r="978" spans="1:22" ht="14.4" thickTop="1" thickBot="1" x14ac:dyDescent="0.3">
      <c r="A978" s="292"/>
      <c r="B978" s="293"/>
      <c r="C978" s="294"/>
      <c r="D978" s="294"/>
      <c r="E978" s="294"/>
      <c r="F978" s="310"/>
      <c r="G978" s="310"/>
      <c r="H978" s="310"/>
      <c r="I978" s="295"/>
      <c r="J978" s="295"/>
      <c r="K978" s="300">
        <f t="shared" si="84"/>
        <v>1.1000000000000001</v>
      </c>
      <c r="L978" s="300">
        <f t="shared" si="77"/>
        <v>0</v>
      </c>
      <c r="M978" s="285">
        <f t="shared" si="78"/>
        <v>0</v>
      </c>
      <c r="N978" s="1076">
        <f t="shared" si="79"/>
        <v>0</v>
      </c>
      <c r="O978" s="294"/>
      <c r="P978" s="404"/>
      <c r="Q978" s="404"/>
      <c r="R978" s="301"/>
      <c r="S978" s="301"/>
      <c r="T978" s="301"/>
      <c r="U978" s="301"/>
      <c r="V978" s="301"/>
    </row>
    <row r="979" spans="1:22" ht="14.4" thickTop="1" thickBot="1" x14ac:dyDescent="0.3">
      <c r="A979" s="292"/>
      <c r="B979" s="293" t="s">
        <v>735</v>
      </c>
      <c r="C979" s="294"/>
      <c r="D979" s="294"/>
      <c r="E979" s="294"/>
      <c r="F979" s="310"/>
      <c r="G979" s="310"/>
      <c r="H979" s="310"/>
      <c r="I979" s="295"/>
      <c r="J979" s="295"/>
      <c r="K979" s="300">
        <f t="shared" si="84"/>
        <v>1.1000000000000001</v>
      </c>
      <c r="L979" s="300">
        <f t="shared" si="77"/>
        <v>0</v>
      </c>
      <c r="M979" s="285">
        <f t="shared" si="78"/>
        <v>0</v>
      </c>
      <c r="N979" s="1076">
        <f t="shared" si="79"/>
        <v>0</v>
      </c>
      <c r="O979" s="294"/>
      <c r="P979" s="404"/>
      <c r="Q979" s="404"/>
      <c r="R979" s="301"/>
      <c r="S979" s="301"/>
      <c r="T979" s="301"/>
      <c r="U979" s="301"/>
      <c r="V979" s="301"/>
    </row>
    <row r="980" spans="1:22" ht="14.4" thickTop="1" thickBot="1" x14ac:dyDescent="0.3">
      <c r="A980" s="292"/>
      <c r="B980" s="293" t="s">
        <v>1605</v>
      </c>
      <c r="C980" s="294"/>
      <c r="D980" s="294"/>
      <c r="E980" s="294"/>
      <c r="F980" s="310">
        <v>1.7</v>
      </c>
      <c r="G980" s="310">
        <v>0.35</v>
      </c>
      <c r="H980" s="310">
        <v>0.45</v>
      </c>
      <c r="I980" s="295">
        <f>H980*G980*F980</f>
        <v>0.26774999999999999</v>
      </c>
      <c r="J980" s="295"/>
      <c r="K980" s="300">
        <f t="shared" si="84"/>
        <v>1.1000000000000001</v>
      </c>
      <c r="L980" s="300">
        <f t="shared" si="77"/>
        <v>0</v>
      </c>
      <c r="M980" s="285">
        <f t="shared" si="78"/>
        <v>0</v>
      </c>
      <c r="N980" s="1076">
        <f t="shared" si="79"/>
        <v>0</v>
      </c>
      <c r="O980" s="294"/>
      <c r="P980" s="404"/>
      <c r="Q980" s="404"/>
      <c r="R980" s="301"/>
      <c r="S980" s="301"/>
      <c r="T980" s="301"/>
      <c r="U980" s="301"/>
      <c r="V980" s="301"/>
    </row>
    <row r="981" spans="1:22" ht="14.4" thickTop="1" thickBot="1" x14ac:dyDescent="0.3">
      <c r="A981" s="292"/>
      <c r="B981" s="293" t="s">
        <v>2169</v>
      </c>
      <c r="C981" s="294"/>
      <c r="D981" s="294"/>
      <c r="E981" s="294"/>
      <c r="F981" s="310">
        <v>1.5</v>
      </c>
      <c r="G981" s="310">
        <v>1.7</v>
      </c>
      <c r="H981" s="310">
        <v>0.125</v>
      </c>
      <c r="I981" s="295">
        <f t="shared" ref="I981:I985" si="108">H981*G981*F981</f>
        <v>0.31874999999999998</v>
      </c>
      <c r="J981" s="295"/>
      <c r="K981" s="300">
        <f t="shared" si="84"/>
        <v>1.1000000000000001</v>
      </c>
      <c r="L981" s="300">
        <f t="shared" si="77"/>
        <v>0</v>
      </c>
      <c r="M981" s="285">
        <f t="shared" si="78"/>
        <v>0</v>
      </c>
      <c r="N981" s="1076">
        <f t="shared" si="79"/>
        <v>0</v>
      </c>
      <c r="O981" s="294"/>
      <c r="P981" s="404"/>
      <c r="Q981" s="404"/>
      <c r="R981" s="301"/>
      <c r="S981" s="301"/>
      <c r="T981" s="301"/>
      <c r="U981" s="301"/>
      <c r="V981" s="301"/>
    </row>
    <row r="982" spans="1:22" ht="14.4" thickTop="1" thickBot="1" x14ac:dyDescent="0.3">
      <c r="A982" s="292"/>
      <c r="B982" s="293" t="s">
        <v>2171</v>
      </c>
      <c r="C982" s="294"/>
      <c r="D982" s="294"/>
      <c r="E982" s="294"/>
      <c r="F982" s="310">
        <v>1.5</v>
      </c>
      <c r="G982" s="310">
        <v>1.5</v>
      </c>
      <c r="H982" s="310">
        <v>0.125</v>
      </c>
      <c r="I982" s="295">
        <f t="shared" si="108"/>
        <v>0.28125</v>
      </c>
      <c r="J982" s="295"/>
      <c r="K982" s="300">
        <f t="shared" si="84"/>
        <v>1.1000000000000001</v>
      </c>
      <c r="L982" s="300">
        <f t="shared" si="77"/>
        <v>0</v>
      </c>
      <c r="M982" s="285">
        <f t="shared" si="78"/>
        <v>0</v>
      </c>
      <c r="N982" s="1076">
        <f t="shared" si="79"/>
        <v>0</v>
      </c>
      <c r="O982" s="294"/>
      <c r="P982" s="404"/>
      <c r="Q982" s="404"/>
      <c r="R982" s="301"/>
      <c r="S982" s="301"/>
      <c r="T982" s="301"/>
      <c r="U982" s="301"/>
      <c r="V982" s="301"/>
    </row>
    <row r="983" spans="1:22" ht="14.4" thickTop="1" thickBot="1" x14ac:dyDescent="0.3">
      <c r="A983" s="292"/>
      <c r="B983" s="293" t="s">
        <v>2170</v>
      </c>
      <c r="C983" s="294"/>
      <c r="D983" s="294"/>
      <c r="E983" s="294"/>
      <c r="F983" s="310">
        <v>2</v>
      </c>
      <c r="G983" s="310">
        <v>1.7</v>
      </c>
      <c r="H983" s="310">
        <v>0.125</v>
      </c>
      <c r="I983" s="295">
        <f t="shared" si="108"/>
        <v>0.42499999999999999</v>
      </c>
      <c r="J983" s="295"/>
      <c r="K983" s="300">
        <f t="shared" si="84"/>
        <v>1.1000000000000001</v>
      </c>
      <c r="L983" s="300">
        <f t="shared" si="77"/>
        <v>0</v>
      </c>
      <c r="M983" s="285">
        <f t="shared" si="78"/>
        <v>0</v>
      </c>
      <c r="N983" s="1076">
        <f t="shared" si="79"/>
        <v>0</v>
      </c>
      <c r="O983" s="294"/>
      <c r="P983" s="404"/>
      <c r="Q983" s="404"/>
      <c r="R983" s="301"/>
      <c r="S983" s="301"/>
      <c r="T983" s="301"/>
      <c r="U983" s="301"/>
      <c r="V983" s="301"/>
    </row>
    <row r="984" spans="1:22" ht="14.4" thickTop="1" thickBot="1" x14ac:dyDescent="0.3">
      <c r="A984" s="292"/>
      <c r="B984" s="293" t="s">
        <v>2172</v>
      </c>
      <c r="C984" s="294"/>
      <c r="D984" s="294"/>
      <c r="E984" s="294"/>
      <c r="F984" s="310">
        <v>1.5</v>
      </c>
      <c r="G984" s="310">
        <v>1.5</v>
      </c>
      <c r="H984" s="310">
        <v>0.125</v>
      </c>
      <c r="I984" s="295">
        <f t="shared" si="108"/>
        <v>0.28125</v>
      </c>
      <c r="J984" s="295"/>
      <c r="K984" s="300">
        <f t="shared" si="84"/>
        <v>1.1000000000000001</v>
      </c>
      <c r="L984" s="300">
        <f t="shared" si="77"/>
        <v>0</v>
      </c>
      <c r="M984" s="285">
        <f t="shared" si="78"/>
        <v>0</v>
      </c>
      <c r="N984" s="1076">
        <f t="shared" si="79"/>
        <v>0</v>
      </c>
      <c r="O984" s="294"/>
      <c r="P984" s="404"/>
      <c r="Q984" s="404"/>
      <c r="R984" s="301"/>
      <c r="S984" s="301"/>
      <c r="T984" s="301"/>
      <c r="U984" s="301"/>
      <c r="V984" s="301"/>
    </row>
    <row r="985" spans="1:22" ht="14.4" thickTop="1" thickBot="1" x14ac:dyDescent="0.3">
      <c r="A985" s="292"/>
      <c r="B985" s="293" t="s">
        <v>2173</v>
      </c>
      <c r="C985" s="294"/>
      <c r="D985" s="294"/>
      <c r="E985" s="294"/>
      <c r="F985" s="310">
        <v>1</v>
      </c>
      <c r="G985" s="310">
        <v>1.7</v>
      </c>
      <c r="H985" s="310">
        <v>0.125</v>
      </c>
      <c r="I985" s="295">
        <f t="shared" si="108"/>
        <v>0.21249999999999999</v>
      </c>
      <c r="J985" s="295"/>
      <c r="K985" s="300">
        <f t="shared" si="84"/>
        <v>1.1000000000000001</v>
      </c>
      <c r="L985" s="300">
        <f t="shared" si="77"/>
        <v>0</v>
      </c>
      <c r="M985" s="285">
        <f t="shared" si="78"/>
        <v>0</v>
      </c>
      <c r="N985" s="1076">
        <f t="shared" si="79"/>
        <v>0</v>
      </c>
      <c r="O985" s="294"/>
      <c r="P985" s="404"/>
      <c r="Q985" s="404"/>
      <c r="R985" s="301"/>
      <c r="S985" s="301"/>
      <c r="T985" s="301"/>
      <c r="U985" s="301"/>
      <c r="V985" s="301"/>
    </row>
    <row r="986" spans="1:22" ht="14.4" thickTop="1" thickBot="1" x14ac:dyDescent="0.3">
      <c r="A986" s="292"/>
      <c r="B986" s="293" t="s">
        <v>2174</v>
      </c>
      <c r="C986" s="294"/>
      <c r="D986" s="294">
        <v>18</v>
      </c>
      <c r="E986" s="294">
        <v>0.5</v>
      </c>
      <c r="F986" s="310">
        <v>1.7</v>
      </c>
      <c r="G986" s="310">
        <v>0.25</v>
      </c>
      <c r="H986" s="310">
        <v>0.18</v>
      </c>
      <c r="I986" s="295">
        <f>H986*G986*F986*E986*D986</f>
        <v>0.6885</v>
      </c>
      <c r="J986" s="295"/>
      <c r="K986" s="300">
        <f t="shared" si="84"/>
        <v>1.1000000000000001</v>
      </c>
      <c r="L986" s="300">
        <f t="shared" si="77"/>
        <v>0</v>
      </c>
      <c r="M986" s="285">
        <f t="shared" si="78"/>
        <v>0</v>
      </c>
      <c r="N986" s="1076">
        <f t="shared" si="79"/>
        <v>0</v>
      </c>
      <c r="O986" s="294"/>
      <c r="P986" s="404"/>
      <c r="Q986" s="404"/>
      <c r="R986" s="301"/>
      <c r="S986" s="301"/>
      <c r="T986" s="301"/>
      <c r="U986" s="301"/>
      <c r="V986" s="301"/>
    </row>
    <row r="987" spans="1:22" ht="14.4" thickTop="1" thickBot="1" x14ac:dyDescent="0.3">
      <c r="A987" s="292"/>
      <c r="B987" s="293"/>
      <c r="C987" s="294"/>
      <c r="D987" s="294"/>
      <c r="E987" s="294"/>
      <c r="F987" s="310"/>
      <c r="G987" s="310"/>
      <c r="H987" s="310"/>
      <c r="I987" s="295"/>
      <c r="J987" s="295">
        <f>SUM(I980:I986)</f>
        <v>2.4750000000000001</v>
      </c>
      <c r="K987" s="300">
        <f t="shared" si="84"/>
        <v>1.1000000000000001</v>
      </c>
      <c r="L987" s="300">
        <f t="shared" si="77"/>
        <v>2.7225000000000001</v>
      </c>
      <c r="M987" s="285">
        <f t="shared" si="78"/>
        <v>2.7</v>
      </c>
      <c r="N987" s="1076">
        <f t="shared" si="79"/>
        <v>3</v>
      </c>
      <c r="O987" s="294"/>
      <c r="P987" s="404"/>
      <c r="Q987" s="404"/>
      <c r="R987" s="301"/>
      <c r="S987" s="301"/>
      <c r="T987" s="301"/>
      <c r="U987" s="301"/>
      <c r="V987" s="301"/>
    </row>
    <row r="988" spans="1:22" ht="14.4" thickTop="1" thickBot="1" x14ac:dyDescent="0.3">
      <c r="A988" s="292"/>
      <c r="B988" s="293"/>
      <c r="C988" s="294"/>
      <c r="D988" s="294"/>
      <c r="E988" s="294"/>
      <c r="F988" s="310"/>
      <c r="G988" s="310"/>
      <c r="H988" s="310"/>
      <c r="I988" s="295"/>
      <c r="J988" s="295">
        <f>J987/2.83</f>
        <v>0.87455830388692579</v>
      </c>
      <c r="K988" s="300">
        <f t="shared" si="84"/>
        <v>1.1000000000000001</v>
      </c>
      <c r="L988" s="300">
        <f t="shared" si="77"/>
        <v>0.96201413427561844</v>
      </c>
      <c r="M988" s="285">
        <f t="shared" si="78"/>
        <v>1</v>
      </c>
      <c r="N988" s="1076">
        <f t="shared" si="79"/>
        <v>1</v>
      </c>
      <c r="O988" s="294"/>
      <c r="P988" s="404"/>
      <c r="Q988" s="404"/>
      <c r="R988" s="301"/>
      <c r="S988" s="301"/>
      <c r="T988" s="301"/>
      <c r="U988" s="301"/>
      <c r="V988" s="301"/>
    </row>
    <row r="989" spans="1:22" ht="14.4" thickTop="1" thickBot="1" x14ac:dyDescent="0.3">
      <c r="A989" s="292"/>
      <c r="B989" s="293"/>
      <c r="C989" s="294"/>
      <c r="D989" s="294"/>
      <c r="E989" s="294"/>
      <c r="F989" s="310"/>
      <c r="G989" s="310"/>
      <c r="H989" s="310"/>
      <c r="I989" s="295"/>
      <c r="J989" s="295"/>
      <c r="K989" s="300">
        <f t="shared" si="84"/>
        <v>1.1000000000000001</v>
      </c>
      <c r="L989" s="300">
        <f t="shared" si="77"/>
        <v>0</v>
      </c>
      <c r="M989" s="285">
        <f t="shared" si="78"/>
        <v>0</v>
      </c>
      <c r="N989" s="1076">
        <f t="shared" si="79"/>
        <v>0</v>
      </c>
      <c r="O989" s="294"/>
      <c r="P989" s="404"/>
      <c r="Q989" s="404"/>
      <c r="R989" s="301"/>
      <c r="S989" s="301"/>
      <c r="T989" s="301"/>
      <c r="U989" s="301"/>
      <c r="V989" s="301"/>
    </row>
    <row r="990" spans="1:22" ht="14.4" thickTop="1" thickBot="1" x14ac:dyDescent="0.3">
      <c r="A990" s="292"/>
      <c r="B990" s="293" t="s">
        <v>2178</v>
      </c>
      <c r="C990" s="294"/>
      <c r="D990" s="294"/>
      <c r="E990" s="294"/>
      <c r="F990" s="310"/>
      <c r="G990" s="310"/>
      <c r="H990" s="310"/>
      <c r="I990" s="295"/>
      <c r="J990" s="295"/>
      <c r="K990" s="300">
        <f t="shared" si="84"/>
        <v>1.1000000000000001</v>
      </c>
      <c r="L990" s="300">
        <f t="shared" si="77"/>
        <v>0</v>
      </c>
      <c r="M990" s="285">
        <f t="shared" si="78"/>
        <v>0</v>
      </c>
      <c r="N990" s="1076">
        <f t="shared" si="79"/>
        <v>0</v>
      </c>
      <c r="O990" s="294"/>
      <c r="P990" s="404"/>
      <c r="Q990" s="404"/>
      <c r="R990" s="301"/>
      <c r="S990" s="301"/>
      <c r="T990" s="301"/>
      <c r="U990" s="301"/>
      <c r="V990" s="301"/>
    </row>
    <row r="991" spans="1:22" ht="14.4" thickTop="1" thickBot="1" x14ac:dyDescent="0.3">
      <c r="A991" s="292"/>
      <c r="B991" s="293" t="s">
        <v>1605</v>
      </c>
      <c r="C991" s="294"/>
      <c r="D991" s="294"/>
      <c r="E991" s="294">
        <v>2</v>
      </c>
      <c r="F991" s="310">
        <f>F980</f>
        <v>1.7</v>
      </c>
      <c r="G991" s="310"/>
      <c r="H991" s="310">
        <f>H980</f>
        <v>0.45</v>
      </c>
      <c r="I991" s="295">
        <f>H991*F991*E991</f>
        <v>1.53</v>
      </c>
      <c r="J991" s="295"/>
      <c r="K991" s="300">
        <f t="shared" si="84"/>
        <v>1.1000000000000001</v>
      </c>
      <c r="L991" s="300">
        <f t="shared" si="77"/>
        <v>0</v>
      </c>
      <c r="M991" s="285">
        <f t="shared" si="78"/>
        <v>0</v>
      </c>
      <c r="N991" s="1076">
        <f t="shared" si="79"/>
        <v>0</v>
      </c>
      <c r="O991" s="294"/>
      <c r="P991" s="404"/>
      <c r="Q991" s="404"/>
      <c r="R991" s="301"/>
      <c r="S991" s="301"/>
      <c r="T991" s="301"/>
      <c r="U991" s="301"/>
      <c r="V991" s="301"/>
    </row>
    <row r="992" spans="1:22" ht="14.4" thickTop="1" thickBot="1" x14ac:dyDescent="0.3">
      <c r="A992" s="292"/>
      <c r="B992" s="293"/>
      <c r="C992" s="294"/>
      <c r="D992" s="294"/>
      <c r="E992" s="294">
        <v>2</v>
      </c>
      <c r="F992" s="310">
        <f>G980</f>
        <v>0.35</v>
      </c>
      <c r="G992" s="310"/>
      <c r="H992" s="310">
        <v>0.45</v>
      </c>
      <c r="I992" s="295">
        <f>H992*F992*E992</f>
        <v>0.315</v>
      </c>
      <c r="J992" s="295"/>
      <c r="K992" s="300">
        <f t="shared" si="84"/>
        <v>1.1000000000000001</v>
      </c>
      <c r="L992" s="300">
        <f t="shared" si="77"/>
        <v>0</v>
      </c>
      <c r="M992" s="285">
        <f t="shared" si="78"/>
        <v>0</v>
      </c>
      <c r="N992" s="1076">
        <f t="shared" si="79"/>
        <v>0</v>
      </c>
      <c r="O992" s="294"/>
      <c r="P992" s="404"/>
      <c r="Q992" s="404"/>
      <c r="R992" s="301"/>
      <c r="S992" s="301"/>
      <c r="T992" s="301"/>
      <c r="U992" s="301"/>
      <c r="V992" s="301"/>
    </row>
    <row r="993" spans="1:22" ht="14.4" thickTop="1" thickBot="1" x14ac:dyDescent="0.3">
      <c r="A993" s="292"/>
      <c r="B993" s="293" t="s">
        <v>2169</v>
      </c>
      <c r="C993" s="294"/>
      <c r="D993" s="294"/>
      <c r="E993" s="294"/>
      <c r="F993" s="310">
        <f>F981</f>
        <v>1.5</v>
      </c>
      <c r="G993" s="310">
        <f>G981</f>
        <v>1.7</v>
      </c>
      <c r="H993" s="310"/>
      <c r="I993" s="295">
        <f>G993*F993</f>
        <v>2.5499999999999998</v>
      </c>
      <c r="J993" s="295"/>
      <c r="K993" s="300">
        <f t="shared" si="84"/>
        <v>1.1000000000000001</v>
      </c>
      <c r="L993" s="300">
        <f t="shared" si="77"/>
        <v>0</v>
      </c>
      <c r="M993" s="285">
        <f t="shared" si="78"/>
        <v>0</v>
      </c>
      <c r="N993" s="1076">
        <f t="shared" si="79"/>
        <v>0</v>
      </c>
      <c r="O993" s="294"/>
      <c r="P993" s="404"/>
      <c r="Q993" s="404"/>
      <c r="R993" s="301"/>
      <c r="S993" s="301"/>
      <c r="T993" s="301"/>
      <c r="U993" s="301"/>
      <c r="V993" s="301"/>
    </row>
    <row r="994" spans="1:22" ht="14.4" thickTop="1" thickBot="1" x14ac:dyDescent="0.3">
      <c r="A994" s="292"/>
      <c r="B994" s="293"/>
      <c r="C994" s="294"/>
      <c r="D994" s="294"/>
      <c r="E994" s="294">
        <v>2</v>
      </c>
      <c r="F994" s="310">
        <f>G993</f>
        <v>1.7</v>
      </c>
      <c r="G994" s="310">
        <v>0.35</v>
      </c>
      <c r="H994" s="310"/>
      <c r="I994" s="295">
        <f>G994*F994*E994</f>
        <v>1.19</v>
      </c>
      <c r="J994" s="295"/>
      <c r="K994" s="300"/>
      <c r="L994" s="300"/>
      <c r="M994" s="285"/>
      <c r="N994" s="1076"/>
      <c r="O994" s="294"/>
      <c r="P994" s="404"/>
      <c r="Q994" s="404"/>
      <c r="R994" s="301"/>
      <c r="S994" s="301"/>
      <c r="T994" s="301"/>
      <c r="U994" s="301"/>
      <c r="V994" s="301"/>
    </row>
    <row r="995" spans="1:22" ht="14.4" thickTop="1" thickBot="1" x14ac:dyDescent="0.3">
      <c r="A995" s="292"/>
      <c r="B995" s="293" t="s">
        <v>2171</v>
      </c>
      <c r="C995" s="294"/>
      <c r="D995" s="294"/>
      <c r="E995" s="294"/>
      <c r="F995" s="310">
        <f>F982</f>
        <v>1.5</v>
      </c>
      <c r="G995" s="310">
        <f>G982</f>
        <v>1.5</v>
      </c>
      <c r="H995" s="310"/>
      <c r="I995" s="295">
        <f t="shared" ref="I995:I1001" si="109">G995*F995</f>
        <v>2.25</v>
      </c>
      <c r="J995" s="295"/>
      <c r="K995" s="300">
        <f t="shared" si="84"/>
        <v>1.1000000000000001</v>
      </c>
      <c r="L995" s="300">
        <f t="shared" si="77"/>
        <v>0</v>
      </c>
      <c r="M995" s="285">
        <f t="shared" si="78"/>
        <v>0</v>
      </c>
      <c r="N995" s="1076">
        <f t="shared" si="79"/>
        <v>0</v>
      </c>
      <c r="O995" s="294"/>
      <c r="P995" s="404"/>
      <c r="Q995" s="404"/>
      <c r="R995" s="301"/>
      <c r="S995" s="301"/>
      <c r="T995" s="301"/>
      <c r="U995" s="301"/>
      <c r="V995" s="301"/>
    </row>
    <row r="996" spans="1:22" ht="14.4" thickTop="1" thickBot="1" x14ac:dyDescent="0.3">
      <c r="A996" s="292"/>
      <c r="B996" s="293"/>
      <c r="C996" s="294"/>
      <c r="D996" s="294"/>
      <c r="E996" s="294">
        <v>4</v>
      </c>
      <c r="F996" s="310">
        <f>F995</f>
        <v>1.5</v>
      </c>
      <c r="G996" s="310">
        <v>0.125</v>
      </c>
      <c r="H996" s="310"/>
      <c r="I996" s="295">
        <f>G996*F996*E996</f>
        <v>0.75</v>
      </c>
      <c r="J996" s="295"/>
      <c r="K996" s="300"/>
      <c r="L996" s="300"/>
      <c r="M996" s="285"/>
      <c r="N996" s="1076"/>
      <c r="O996" s="294"/>
      <c r="P996" s="404"/>
      <c r="Q996" s="404"/>
      <c r="R996" s="301"/>
      <c r="S996" s="301"/>
      <c r="T996" s="301"/>
      <c r="U996" s="301"/>
      <c r="V996" s="301"/>
    </row>
    <row r="997" spans="1:22" ht="14.4" thickTop="1" thickBot="1" x14ac:dyDescent="0.3">
      <c r="A997" s="292"/>
      <c r="B997" s="293" t="s">
        <v>2170</v>
      </c>
      <c r="C997" s="294"/>
      <c r="D997" s="294"/>
      <c r="E997" s="294"/>
      <c r="F997" s="310">
        <f>F983</f>
        <v>2</v>
      </c>
      <c r="G997" s="310">
        <f>G983</f>
        <v>1.7</v>
      </c>
      <c r="H997" s="310"/>
      <c r="I997" s="295">
        <f t="shared" si="109"/>
        <v>3.4</v>
      </c>
      <c r="J997" s="295"/>
      <c r="K997" s="300">
        <f t="shared" si="84"/>
        <v>1.1000000000000001</v>
      </c>
      <c r="L997" s="300">
        <f t="shared" si="77"/>
        <v>0</v>
      </c>
      <c r="M997" s="285">
        <f t="shared" si="78"/>
        <v>0</v>
      </c>
      <c r="N997" s="1076">
        <f t="shared" si="79"/>
        <v>0</v>
      </c>
      <c r="O997" s="294"/>
      <c r="P997" s="404"/>
      <c r="Q997" s="404"/>
      <c r="R997" s="301"/>
      <c r="S997" s="301"/>
      <c r="T997" s="301"/>
      <c r="U997" s="301"/>
      <c r="V997" s="301"/>
    </row>
    <row r="998" spans="1:22" ht="14.4" thickTop="1" thickBot="1" x14ac:dyDescent="0.3">
      <c r="A998" s="292"/>
      <c r="B998" s="293"/>
      <c r="C998" s="294"/>
      <c r="D998" s="294"/>
      <c r="E998" s="294">
        <v>2</v>
      </c>
      <c r="F998" s="310">
        <f>F997</f>
        <v>2</v>
      </c>
      <c r="G998" s="310">
        <v>0.35</v>
      </c>
      <c r="H998" s="310"/>
      <c r="I998" s="295">
        <f>G998*F998*E998</f>
        <v>1.4</v>
      </c>
      <c r="J998" s="295"/>
      <c r="K998" s="300"/>
      <c r="L998" s="300"/>
      <c r="M998" s="285"/>
      <c r="N998" s="1076"/>
      <c r="O998" s="294"/>
      <c r="P998" s="404"/>
      <c r="Q998" s="404"/>
      <c r="R998" s="301"/>
      <c r="S998" s="301"/>
      <c r="T998" s="301"/>
      <c r="U998" s="301"/>
      <c r="V998" s="301"/>
    </row>
    <row r="999" spans="1:22" ht="14.4" thickTop="1" thickBot="1" x14ac:dyDescent="0.3">
      <c r="A999" s="292"/>
      <c r="B999" s="293" t="s">
        <v>2172</v>
      </c>
      <c r="C999" s="294"/>
      <c r="D999" s="294"/>
      <c r="E999" s="294"/>
      <c r="F999" s="310">
        <f>F984</f>
        <v>1.5</v>
      </c>
      <c r="G999" s="310">
        <f>G984</f>
        <v>1.5</v>
      </c>
      <c r="H999" s="310"/>
      <c r="I999" s="295">
        <f t="shared" si="109"/>
        <v>2.25</v>
      </c>
      <c r="J999" s="295"/>
      <c r="K999" s="300">
        <f t="shared" si="84"/>
        <v>1.1000000000000001</v>
      </c>
      <c r="L999" s="300">
        <f t="shared" si="77"/>
        <v>0</v>
      </c>
      <c r="M999" s="285">
        <f t="shared" si="78"/>
        <v>0</v>
      </c>
      <c r="N999" s="1076">
        <f t="shared" si="79"/>
        <v>0</v>
      </c>
      <c r="O999" s="294"/>
      <c r="P999" s="404"/>
      <c r="Q999" s="404"/>
      <c r="R999" s="301"/>
      <c r="S999" s="301"/>
      <c r="T999" s="301"/>
      <c r="U999" s="301"/>
      <c r="V999" s="301"/>
    </row>
    <row r="1000" spans="1:22" ht="14.4" thickTop="1" thickBot="1" x14ac:dyDescent="0.3">
      <c r="A1000" s="292"/>
      <c r="B1000" s="293"/>
      <c r="C1000" s="294"/>
      <c r="D1000" s="294"/>
      <c r="E1000" s="294">
        <v>4</v>
      </c>
      <c r="F1000" s="310">
        <f>F999</f>
        <v>1.5</v>
      </c>
      <c r="G1000" s="310">
        <v>0.125</v>
      </c>
      <c r="H1000" s="310"/>
      <c r="I1000" s="295">
        <f>G1000*F1000*E1000</f>
        <v>0.75</v>
      </c>
      <c r="J1000" s="295"/>
      <c r="K1000" s="300"/>
      <c r="L1000" s="300"/>
      <c r="M1000" s="285"/>
      <c r="N1000" s="1076"/>
      <c r="O1000" s="294"/>
      <c r="P1000" s="404"/>
      <c r="Q1000" s="404"/>
      <c r="R1000" s="301"/>
      <c r="S1000" s="301"/>
      <c r="T1000" s="301"/>
      <c r="U1000" s="301"/>
      <c r="V1000" s="301"/>
    </row>
    <row r="1001" spans="1:22" ht="14.4" thickTop="1" thickBot="1" x14ac:dyDescent="0.3">
      <c r="A1001" s="292"/>
      <c r="B1001" s="293" t="s">
        <v>2173</v>
      </c>
      <c r="C1001" s="294"/>
      <c r="D1001" s="294"/>
      <c r="E1001" s="294"/>
      <c r="F1001" s="310">
        <f>F985</f>
        <v>1</v>
      </c>
      <c r="G1001" s="310">
        <f>G985</f>
        <v>1.7</v>
      </c>
      <c r="H1001" s="310"/>
      <c r="I1001" s="295">
        <f t="shared" si="109"/>
        <v>1.7</v>
      </c>
      <c r="J1001" s="295"/>
      <c r="K1001" s="300">
        <f t="shared" si="84"/>
        <v>1.1000000000000001</v>
      </c>
      <c r="L1001" s="300">
        <f t="shared" si="77"/>
        <v>0</v>
      </c>
      <c r="M1001" s="285">
        <f t="shared" si="78"/>
        <v>0</v>
      </c>
      <c r="N1001" s="1076">
        <f t="shared" si="79"/>
        <v>0</v>
      </c>
      <c r="O1001" s="294"/>
      <c r="P1001" s="404"/>
      <c r="Q1001" s="404"/>
      <c r="R1001" s="301"/>
      <c r="S1001" s="301"/>
      <c r="T1001" s="301"/>
      <c r="U1001" s="301"/>
      <c r="V1001" s="301"/>
    </row>
    <row r="1002" spans="1:22" ht="14.4" thickTop="1" thickBot="1" x14ac:dyDescent="0.3">
      <c r="A1002" s="292"/>
      <c r="B1002" s="293"/>
      <c r="C1002" s="294"/>
      <c r="D1002" s="294"/>
      <c r="E1002" s="294">
        <v>2</v>
      </c>
      <c r="F1002" s="310">
        <f>G1001</f>
        <v>1.7</v>
      </c>
      <c r="G1002" s="310">
        <v>0.35</v>
      </c>
      <c r="H1002" s="310"/>
      <c r="I1002" s="295">
        <f>G1002*F1002*E1002</f>
        <v>1.19</v>
      </c>
      <c r="J1002" s="295"/>
      <c r="K1002" s="300"/>
      <c r="L1002" s="300"/>
      <c r="M1002" s="285"/>
      <c r="N1002" s="1076"/>
      <c r="O1002" s="294"/>
      <c r="P1002" s="404"/>
      <c r="Q1002" s="404"/>
      <c r="R1002" s="301"/>
      <c r="S1002" s="301"/>
      <c r="T1002" s="301"/>
      <c r="U1002" s="301"/>
      <c r="V1002" s="301"/>
    </row>
    <row r="1003" spans="1:22" ht="14.4" thickTop="1" thickBot="1" x14ac:dyDescent="0.3">
      <c r="A1003" s="292"/>
      <c r="B1003" s="293" t="s">
        <v>2174</v>
      </c>
      <c r="C1003" s="294"/>
      <c r="D1003" s="294"/>
      <c r="E1003" s="294">
        <v>18</v>
      </c>
      <c r="F1003" s="310">
        <f>F986</f>
        <v>1.7</v>
      </c>
      <c r="G1003" s="310">
        <v>0.25</v>
      </c>
      <c r="H1003" s="310"/>
      <c r="I1003" s="295">
        <f>G1003*F1003*E1003</f>
        <v>7.6499999999999995</v>
      </c>
      <c r="J1003" s="295">
        <f>SUM(I991:I1003)</f>
        <v>26.924999999999997</v>
      </c>
      <c r="K1003" s="300">
        <f t="shared" si="84"/>
        <v>1.1000000000000001</v>
      </c>
      <c r="L1003" s="300">
        <f t="shared" si="77"/>
        <v>29.6175</v>
      </c>
      <c r="M1003" s="285">
        <f t="shared" si="78"/>
        <v>29.6</v>
      </c>
      <c r="N1003" s="1076">
        <f t="shared" si="79"/>
        <v>30</v>
      </c>
      <c r="O1003" s="294"/>
      <c r="P1003" s="404"/>
      <c r="Q1003" s="404"/>
      <c r="R1003" s="301"/>
      <c r="S1003" s="301"/>
      <c r="T1003" s="301"/>
      <c r="U1003" s="301"/>
      <c r="V1003" s="301"/>
    </row>
    <row r="1004" spans="1:22" ht="14.4" thickTop="1" thickBot="1" x14ac:dyDescent="0.3">
      <c r="A1004" s="292"/>
      <c r="B1004" s="293"/>
      <c r="C1004" s="294"/>
      <c r="D1004" s="294"/>
      <c r="E1004" s="294"/>
      <c r="F1004" s="310"/>
      <c r="G1004" s="310"/>
      <c r="H1004" s="310"/>
      <c r="I1004" s="295"/>
      <c r="J1004" s="295">
        <f>J1003*10.76</f>
        <v>289.71299999999997</v>
      </c>
      <c r="K1004" s="300">
        <f t="shared" si="84"/>
        <v>1.1000000000000001</v>
      </c>
      <c r="L1004" s="300">
        <f t="shared" si="77"/>
        <v>318.68430000000001</v>
      </c>
      <c r="M1004" s="285">
        <f t="shared" si="78"/>
        <v>318.7</v>
      </c>
      <c r="N1004" s="1076">
        <f t="shared" si="79"/>
        <v>319</v>
      </c>
      <c r="O1004" s="294"/>
      <c r="P1004" s="404"/>
      <c r="Q1004" s="404"/>
      <c r="R1004" s="301"/>
      <c r="S1004" s="301"/>
      <c r="T1004" s="301"/>
      <c r="U1004" s="301"/>
      <c r="V1004" s="301"/>
    </row>
    <row r="1005" spans="1:22" ht="14.4" thickTop="1" thickBot="1" x14ac:dyDescent="0.3">
      <c r="A1005" s="292"/>
      <c r="B1005" s="293"/>
      <c r="C1005" s="294"/>
      <c r="D1005" s="294"/>
      <c r="E1005" s="294"/>
      <c r="F1005" s="310"/>
      <c r="G1005" s="310"/>
      <c r="H1005" s="310"/>
      <c r="I1005" s="295"/>
      <c r="J1005" s="295">
        <f>J1004/100</f>
        <v>2.8971299999999998</v>
      </c>
      <c r="K1005" s="300">
        <v>1.05</v>
      </c>
      <c r="L1005" s="300">
        <f t="shared" si="77"/>
        <v>3.0419864999999997</v>
      </c>
      <c r="M1005" s="285">
        <f t="shared" si="78"/>
        <v>3</v>
      </c>
      <c r="N1005" s="1076">
        <f t="shared" si="79"/>
        <v>3</v>
      </c>
      <c r="O1005" s="294"/>
      <c r="P1005" s="413">
        <f>J1003/9.29</f>
        <v>2.8982777179763186</v>
      </c>
      <c r="Q1005" s="404"/>
      <c r="R1005" s="301"/>
      <c r="S1005" s="301"/>
      <c r="T1005" s="301"/>
      <c r="U1005" s="301"/>
      <c r="V1005" s="301"/>
    </row>
    <row r="1006" spans="1:22" ht="14.4" thickTop="1" thickBot="1" x14ac:dyDescent="0.3">
      <c r="A1006" s="292"/>
      <c r="B1006" s="293"/>
      <c r="C1006" s="294"/>
      <c r="D1006" s="294"/>
      <c r="E1006" s="294"/>
      <c r="F1006" s="310"/>
      <c r="G1006" s="310"/>
      <c r="H1006" s="310"/>
      <c r="I1006" s="295"/>
      <c r="J1006" s="295"/>
      <c r="K1006" s="300"/>
      <c r="L1006" s="300">
        <f t="shared" si="77"/>
        <v>0</v>
      </c>
      <c r="M1006" s="285">
        <f t="shared" si="78"/>
        <v>0</v>
      </c>
      <c r="N1006" s="1076">
        <f t="shared" si="79"/>
        <v>0</v>
      </c>
      <c r="O1006" s="294"/>
      <c r="P1006" s="404"/>
      <c r="Q1006" s="404"/>
      <c r="R1006" s="301"/>
      <c r="S1006" s="301"/>
      <c r="T1006" s="301"/>
      <c r="U1006" s="301"/>
      <c r="V1006" s="301"/>
    </row>
    <row r="1007" spans="1:22" ht="14.4" thickTop="1" thickBot="1" x14ac:dyDescent="0.3">
      <c r="A1007" s="292"/>
      <c r="B1007" s="296" t="s">
        <v>2180</v>
      </c>
      <c r="C1007" s="294"/>
      <c r="D1007" s="294"/>
      <c r="E1007" s="294"/>
      <c r="F1007" s="310"/>
      <c r="G1007" s="310"/>
      <c r="H1007" s="310"/>
      <c r="I1007" s="295"/>
      <c r="J1007" s="295"/>
      <c r="K1007" s="300">
        <f t="shared" si="84"/>
        <v>1.1000000000000001</v>
      </c>
      <c r="L1007" s="300">
        <f t="shared" si="77"/>
        <v>0</v>
      </c>
      <c r="M1007" s="285">
        <f t="shared" si="78"/>
        <v>0</v>
      </c>
      <c r="N1007" s="1076">
        <f t="shared" si="79"/>
        <v>0</v>
      </c>
      <c r="O1007" s="294"/>
      <c r="P1007" s="404"/>
      <c r="Q1007" s="404"/>
      <c r="R1007" s="301"/>
      <c r="S1007" s="301"/>
      <c r="T1007" s="301"/>
      <c r="U1007" s="301"/>
      <c r="V1007" s="301"/>
    </row>
    <row r="1008" spans="1:22" ht="14.4" thickTop="1" thickBot="1" x14ac:dyDescent="0.3">
      <c r="A1008" s="292"/>
      <c r="B1008" s="293" t="s">
        <v>1627</v>
      </c>
      <c r="C1008" s="294"/>
      <c r="D1008" s="294"/>
      <c r="E1008" s="294">
        <v>1</v>
      </c>
      <c r="F1008" s="310">
        <v>0.3</v>
      </c>
      <c r="G1008" s="310">
        <v>0.3</v>
      </c>
      <c r="H1008" s="310">
        <v>4</v>
      </c>
      <c r="I1008" s="295">
        <f>H1008*G1008*F1008*E1008</f>
        <v>0.36</v>
      </c>
      <c r="J1008" s="295"/>
      <c r="K1008" s="300">
        <f t="shared" si="84"/>
        <v>1.1000000000000001</v>
      </c>
      <c r="L1008" s="300">
        <f t="shared" si="77"/>
        <v>0</v>
      </c>
      <c r="M1008" s="285">
        <f t="shared" si="78"/>
        <v>0</v>
      </c>
      <c r="N1008" s="1076">
        <f t="shared" si="79"/>
        <v>0</v>
      </c>
      <c r="O1008" s="294"/>
      <c r="P1008" s="404"/>
      <c r="Q1008" s="404"/>
      <c r="R1008" s="301"/>
      <c r="S1008" s="301"/>
      <c r="T1008" s="301"/>
      <c r="U1008" s="301"/>
      <c r="V1008" s="301"/>
    </row>
    <row r="1009" spans="1:22" ht="14.4" thickTop="1" thickBot="1" x14ac:dyDescent="0.3">
      <c r="A1009" s="292"/>
      <c r="B1009" s="293" t="s">
        <v>1628</v>
      </c>
      <c r="C1009" s="294"/>
      <c r="D1009" s="294"/>
      <c r="E1009" s="294">
        <v>8</v>
      </c>
      <c r="F1009" s="310">
        <v>0.3</v>
      </c>
      <c r="G1009" s="310">
        <v>0.3</v>
      </c>
      <c r="H1009" s="310">
        <v>4</v>
      </c>
      <c r="I1009" s="295">
        <f t="shared" ref="I1009:I1037" si="110">H1009*G1009*F1009*E1009</f>
        <v>2.88</v>
      </c>
      <c r="J1009" s="295"/>
      <c r="K1009" s="300">
        <f t="shared" si="84"/>
        <v>1.1000000000000001</v>
      </c>
      <c r="L1009" s="300">
        <f t="shared" si="77"/>
        <v>0</v>
      </c>
      <c r="M1009" s="285">
        <f t="shared" si="78"/>
        <v>0</v>
      </c>
      <c r="N1009" s="1076">
        <f t="shared" si="79"/>
        <v>0</v>
      </c>
      <c r="O1009" s="294"/>
      <c r="P1009" s="404"/>
      <c r="Q1009" s="404"/>
      <c r="R1009" s="301"/>
      <c r="S1009" s="301"/>
      <c r="T1009" s="301"/>
      <c r="U1009" s="301"/>
      <c r="V1009" s="301"/>
    </row>
    <row r="1010" spans="1:22" ht="14.4" thickTop="1" thickBot="1" x14ac:dyDescent="0.3">
      <c r="A1010" s="292"/>
      <c r="B1010" s="293" t="s">
        <v>2137</v>
      </c>
      <c r="C1010" s="294"/>
      <c r="D1010" s="294"/>
      <c r="E1010" s="294">
        <v>3</v>
      </c>
      <c r="F1010" s="310">
        <v>0.3</v>
      </c>
      <c r="G1010" s="310">
        <v>0.3</v>
      </c>
      <c r="H1010" s="310">
        <v>4</v>
      </c>
      <c r="I1010" s="295">
        <f t="shared" si="110"/>
        <v>1.08</v>
      </c>
      <c r="J1010" s="295"/>
      <c r="K1010" s="300">
        <f t="shared" si="84"/>
        <v>1.1000000000000001</v>
      </c>
      <c r="L1010" s="300">
        <f t="shared" si="77"/>
        <v>0</v>
      </c>
      <c r="M1010" s="285">
        <f t="shared" si="78"/>
        <v>0</v>
      </c>
      <c r="N1010" s="1076">
        <f t="shared" si="79"/>
        <v>0</v>
      </c>
      <c r="O1010" s="294"/>
      <c r="P1010" s="404"/>
      <c r="Q1010" s="404"/>
      <c r="R1010" s="301"/>
      <c r="S1010" s="301"/>
      <c r="T1010" s="301"/>
      <c r="U1010" s="301"/>
      <c r="V1010" s="301"/>
    </row>
    <row r="1011" spans="1:22" ht="14.4" thickTop="1" thickBot="1" x14ac:dyDescent="0.3">
      <c r="A1011" s="292"/>
      <c r="B1011" s="293" t="s">
        <v>2138</v>
      </c>
      <c r="C1011" s="294"/>
      <c r="D1011" s="294"/>
      <c r="E1011" s="294">
        <v>1</v>
      </c>
      <c r="F1011" s="310">
        <v>0.22500000000000001</v>
      </c>
      <c r="G1011" s="310">
        <v>0.22500000000000001</v>
      </c>
      <c r="H1011" s="310">
        <v>4</v>
      </c>
      <c r="I1011" s="295">
        <f t="shared" si="110"/>
        <v>0.20250000000000001</v>
      </c>
      <c r="J1011" s="295"/>
      <c r="K1011" s="300">
        <f t="shared" si="84"/>
        <v>1.1000000000000001</v>
      </c>
      <c r="L1011" s="300">
        <f t="shared" si="77"/>
        <v>0</v>
      </c>
      <c r="M1011" s="285">
        <f t="shared" si="78"/>
        <v>0</v>
      </c>
      <c r="N1011" s="1076">
        <f t="shared" si="79"/>
        <v>0</v>
      </c>
      <c r="O1011" s="294"/>
      <c r="P1011" s="404"/>
      <c r="Q1011" s="404"/>
      <c r="R1011" s="301"/>
      <c r="S1011" s="301"/>
      <c r="T1011" s="301"/>
      <c r="U1011" s="301"/>
      <c r="V1011" s="301"/>
    </row>
    <row r="1012" spans="1:22" ht="14.4" thickTop="1" thickBot="1" x14ac:dyDescent="0.3">
      <c r="A1012" s="292"/>
      <c r="B1012" s="293" t="s">
        <v>2139</v>
      </c>
      <c r="C1012" s="294"/>
      <c r="D1012" s="294"/>
      <c r="E1012" s="294">
        <v>1</v>
      </c>
      <c r="F1012" s="310">
        <v>0.22500000000000001</v>
      </c>
      <c r="G1012" s="310">
        <v>0.22500000000000001</v>
      </c>
      <c r="H1012" s="310">
        <v>4</v>
      </c>
      <c r="I1012" s="295">
        <f t="shared" si="110"/>
        <v>0.20250000000000001</v>
      </c>
      <c r="J1012" s="295"/>
      <c r="K1012" s="300">
        <f t="shared" si="84"/>
        <v>1.1000000000000001</v>
      </c>
      <c r="L1012" s="300">
        <f t="shared" si="77"/>
        <v>0</v>
      </c>
      <c r="M1012" s="285">
        <f t="shared" si="78"/>
        <v>0</v>
      </c>
      <c r="N1012" s="1076">
        <f t="shared" si="79"/>
        <v>0</v>
      </c>
      <c r="O1012" s="294"/>
      <c r="P1012" s="404"/>
      <c r="Q1012" s="404"/>
      <c r="R1012" s="301"/>
      <c r="S1012" s="301"/>
      <c r="T1012" s="301"/>
      <c r="U1012" s="301"/>
      <c r="V1012" s="301"/>
    </row>
    <row r="1013" spans="1:22" ht="14.4" thickTop="1" thickBot="1" x14ac:dyDescent="0.3">
      <c r="A1013" s="292"/>
      <c r="B1013" s="293" t="s">
        <v>2140</v>
      </c>
      <c r="C1013" s="294"/>
      <c r="D1013" s="294"/>
      <c r="E1013" s="294">
        <v>6</v>
      </c>
      <c r="F1013" s="310">
        <f>22/7</f>
        <v>3.1428571428571428</v>
      </c>
      <c r="G1013" s="310">
        <f>0.225*0.225</f>
        <v>5.0625000000000003E-2</v>
      </c>
      <c r="H1013" s="310">
        <v>4</v>
      </c>
      <c r="I1013" s="295">
        <f>H1013*G1013*F1013*E1013</f>
        <v>3.8185714285714285</v>
      </c>
      <c r="J1013" s="295"/>
      <c r="K1013" s="300">
        <f t="shared" si="84"/>
        <v>1.1000000000000001</v>
      </c>
      <c r="L1013" s="300">
        <f t="shared" si="77"/>
        <v>0</v>
      </c>
      <c r="M1013" s="285">
        <f t="shared" si="78"/>
        <v>0</v>
      </c>
      <c r="N1013" s="1076">
        <f t="shared" si="79"/>
        <v>0</v>
      </c>
      <c r="O1013" s="294"/>
      <c r="P1013" s="404"/>
      <c r="Q1013" s="404"/>
      <c r="R1013" s="301"/>
      <c r="S1013" s="301"/>
      <c r="T1013" s="301"/>
      <c r="U1013" s="301"/>
      <c r="V1013" s="301"/>
    </row>
    <row r="1014" spans="1:22" ht="14.4" thickTop="1" thickBot="1" x14ac:dyDescent="0.3">
      <c r="A1014" s="292"/>
      <c r="B1014" s="293" t="s">
        <v>2141</v>
      </c>
      <c r="C1014" s="294"/>
      <c r="D1014" s="294"/>
      <c r="E1014" s="294">
        <v>12</v>
      </c>
      <c r="F1014" s="310">
        <f>22/7</f>
        <v>3.1428571428571428</v>
      </c>
      <c r="G1014" s="310">
        <f>0.175*0.1755</f>
        <v>3.0712499999999997E-2</v>
      </c>
      <c r="H1014" s="310">
        <v>4</v>
      </c>
      <c r="I1014" s="295">
        <f t="shared" si="110"/>
        <v>4.6331999999999995</v>
      </c>
      <c r="J1014" s="295"/>
      <c r="K1014" s="300">
        <f t="shared" si="84"/>
        <v>1.1000000000000001</v>
      </c>
      <c r="L1014" s="300">
        <f t="shared" si="77"/>
        <v>0</v>
      </c>
      <c r="M1014" s="285">
        <f t="shared" si="78"/>
        <v>0</v>
      </c>
      <c r="N1014" s="1076">
        <f t="shared" si="79"/>
        <v>0</v>
      </c>
      <c r="O1014" s="294"/>
      <c r="P1014" s="404"/>
      <c r="Q1014" s="404"/>
      <c r="R1014" s="301"/>
      <c r="S1014" s="301"/>
      <c r="T1014" s="301"/>
      <c r="U1014" s="301"/>
      <c r="V1014" s="301"/>
    </row>
    <row r="1015" spans="1:22" ht="14.4" thickTop="1" thickBot="1" x14ac:dyDescent="0.3">
      <c r="A1015" s="292"/>
      <c r="B1015" s="293" t="s">
        <v>2142</v>
      </c>
      <c r="C1015" s="294"/>
      <c r="D1015" s="294"/>
      <c r="E1015" s="294">
        <v>5</v>
      </c>
      <c r="F1015" s="310">
        <f>22/7</f>
        <v>3.1428571428571428</v>
      </c>
      <c r="G1015" s="310">
        <f>0.175*0.1755</f>
        <v>3.0712499999999997E-2</v>
      </c>
      <c r="H1015" s="310">
        <v>4</v>
      </c>
      <c r="I1015" s="295">
        <f t="shared" si="110"/>
        <v>1.9304999999999997</v>
      </c>
      <c r="J1015" s="295"/>
      <c r="K1015" s="300">
        <f t="shared" si="84"/>
        <v>1.1000000000000001</v>
      </c>
      <c r="L1015" s="300">
        <f t="shared" si="77"/>
        <v>0</v>
      </c>
      <c r="M1015" s="285">
        <f t="shared" si="78"/>
        <v>0</v>
      </c>
      <c r="N1015" s="1076">
        <f t="shared" si="79"/>
        <v>0</v>
      </c>
      <c r="O1015" s="294"/>
      <c r="P1015" s="404"/>
      <c r="Q1015" s="404"/>
      <c r="R1015" s="301"/>
      <c r="S1015" s="301"/>
      <c r="T1015" s="301"/>
      <c r="U1015" s="301"/>
      <c r="V1015" s="301"/>
    </row>
    <row r="1016" spans="1:22" ht="14.4" thickTop="1" thickBot="1" x14ac:dyDescent="0.3">
      <c r="A1016" s="292"/>
      <c r="B1016" s="293" t="s">
        <v>2143</v>
      </c>
      <c r="C1016" s="294"/>
      <c r="D1016" s="294"/>
      <c r="E1016" s="294">
        <v>14</v>
      </c>
      <c r="F1016" s="310">
        <v>0.3</v>
      </c>
      <c r="G1016" s="310">
        <v>0.3</v>
      </c>
      <c r="H1016" s="310">
        <v>4</v>
      </c>
      <c r="I1016" s="295">
        <f t="shared" si="110"/>
        <v>5.04</v>
      </c>
      <c r="J1016" s="295"/>
      <c r="K1016" s="300">
        <f t="shared" si="84"/>
        <v>1.1000000000000001</v>
      </c>
      <c r="L1016" s="300">
        <f t="shared" si="77"/>
        <v>0</v>
      </c>
      <c r="M1016" s="285">
        <f t="shared" si="78"/>
        <v>0</v>
      </c>
      <c r="N1016" s="1076">
        <f t="shared" si="79"/>
        <v>0</v>
      </c>
      <c r="O1016" s="294"/>
      <c r="P1016" s="404"/>
      <c r="Q1016" s="404"/>
      <c r="R1016" s="301"/>
      <c r="S1016" s="301"/>
      <c r="T1016" s="301"/>
      <c r="U1016" s="301"/>
      <c r="V1016" s="301"/>
    </row>
    <row r="1017" spans="1:22" ht="14.4" thickTop="1" thickBot="1" x14ac:dyDescent="0.3">
      <c r="A1017" s="292"/>
      <c r="B1017" s="293" t="s">
        <v>2144</v>
      </c>
      <c r="C1017" s="294"/>
      <c r="D1017" s="294"/>
      <c r="E1017" s="294">
        <v>2</v>
      </c>
      <c r="F1017" s="310">
        <v>0.22500000000000001</v>
      </c>
      <c r="G1017" s="310">
        <v>0.22500000000000001</v>
      </c>
      <c r="H1017" s="310">
        <v>4</v>
      </c>
      <c r="I1017" s="295">
        <f t="shared" si="110"/>
        <v>0.40500000000000003</v>
      </c>
      <c r="J1017" s="295"/>
      <c r="K1017" s="300">
        <f t="shared" si="84"/>
        <v>1.1000000000000001</v>
      </c>
      <c r="L1017" s="300">
        <f t="shared" si="77"/>
        <v>0</v>
      </c>
      <c r="M1017" s="285">
        <f t="shared" si="78"/>
        <v>0</v>
      </c>
      <c r="N1017" s="1076">
        <f t="shared" si="79"/>
        <v>0</v>
      </c>
      <c r="O1017" s="294"/>
      <c r="P1017" s="404"/>
      <c r="Q1017" s="404"/>
      <c r="R1017" s="301"/>
      <c r="S1017" s="301"/>
      <c r="T1017" s="301"/>
      <c r="U1017" s="301"/>
      <c r="V1017" s="301"/>
    </row>
    <row r="1018" spans="1:22" ht="14.4" thickTop="1" thickBot="1" x14ac:dyDescent="0.3">
      <c r="A1018" s="292"/>
      <c r="B1018" s="293" t="s">
        <v>2145</v>
      </c>
      <c r="C1018" s="294"/>
      <c r="D1018" s="294"/>
      <c r="E1018" s="294">
        <v>1</v>
      </c>
      <c r="F1018" s="310">
        <f>22/7</f>
        <v>3.1428571428571428</v>
      </c>
      <c r="G1018" s="310">
        <f>0.175*0.1755</f>
        <v>3.0712499999999997E-2</v>
      </c>
      <c r="H1018" s="310">
        <v>4</v>
      </c>
      <c r="I1018" s="295">
        <f t="shared" si="110"/>
        <v>0.38609999999999994</v>
      </c>
      <c r="J1018" s="295"/>
      <c r="K1018" s="300">
        <f t="shared" si="84"/>
        <v>1.1000000000000001</v>
      </c>
      <c r="L1018" s="300">
        <f t="shared" si="77"/>
        <v>0</v>
      </c>
      <c r="M1018" s="285">
        <f t="shared" si="78"/>
        <v>0</v>
      </c>
      <c r="N1018" s="1076">
        <f t="shared" si="79"/>
        <v>0</v>
      </c>
      <c r="O1018" s="294"/>
      <c r="P1018" s="404"/>
      <c r="Q1018" s="404"/>
      <c r="R1018" s="301"/>
      <c r="S1018" s="301"/>
      <c r="T1018" s="301"/>
      <c r="U1018" s="301"/>
      <c r="V1018" s="301"/>
    </row>
    <row r="1019" spans="1:22" ht="14.4" thickTop="1" thickBot="1" x14ac:dyDescent="0.3">
      <c r="A1019" s="292"/>
      <c r="B1019" s="293" t="s">
        <v>2146</v>
      </c>
      <c r="C1019" s="294"/>
      <c r="D1019" s="294"/>
      <c r="E1019" s="294">
        <v>1</v>
      </c>
      <c r="F1019" s="310">
        <f>22/7</f>
        <v>3.1428571428571428</v>
      </c>
      <c r="G1019" s="310">
        <f>0.225*0.225</f>
        <v>5.0625000000000003E-2</v>
      </c>
      <c r="H1019" s="310">
        <v>4</v>
      </c>
      <c r="I1019" s="295">
        <f t="shared" si="110"/>
        <v>0.63642857142857145</v>
      </c>
      <c r="J1019" s="295"/>
      <c r="K1019" s="300">
        <f t="shared" si="84"/>
        <v>1.1000000000000001</v>
      </c>
      <c r="L1019" s="300">
        <f t="shared" si="77"/>
        <v>0</v>
      </c>
      <c r="M1019" s="285">
        <f t="shared" si="78"/>
        <v>0</v>
      </c>
      <c r="N1019" s="1076">
        <f t="shared" si="79"/>
        <v>0</v>
      </c>
      <c r="O1019" s="294"/>
      <c r="P1019" s="404"/>
      <c r="Q1019" s="404"/>
      <c r="R1019" s="301"/>
      <c r="S1019" s="301"/>
      <c r="T1019" s="301"/>
      <c r="U1019" s="301"/>
      <c r="V1019" s="301"/>
    </row>
    <row r="1020" spans="1:22" ht="14.4" thickTop="1" thickBot="1" x14ac:dyDescent="0.3">
      <c r="A1020" s="292"/>
      <c r="B1020" s="293" t="s">
        <v>2147</v>
      </c>
      <c r="C1020" s="294"/>
      <c r="D1020" s="294"/>
      <c r="E1020" s="294">
        <v>4</v>
      </c>
      <c r="F1020" s="310">
        <v>0.22500000000000001</v>
      </c>
      <c r="G1020" s="310">
        <v>0.22500000000000001</v>
      </c>
      <c r="H1020" s="310">
        <v>4</v>
      </c>
      <c r="I1020" s="295">
        <f t="shared" si="110"/>
        <v>0.81</v>
      </c>
      <c r="J1020" s="295"/>
      <c r="K1020" s="300">
        <f t="shared" si="84"/>
        <v>1.1000000000000001</v>
      </c>
      <c r="L1020" s="300">
        <f t="shared" si="77"/>
        <v>0</v>
      </c>
      <c r="M1020" s="285">
        <f t="shared" si="78"/>
        <v>0</v>
      </c>
      <c r="N1020" s="1076">
        <f t="shared" si="79"/>
        <v>0</v>
      </c>
      <c r="O1020" s="294"/>
      <c r="P1020" s="404"/>
      <c r="Q1020" s="404"/>
      <c r="R1020" s="301"/>
      <c r="S1020" s="301"/>
      <c r="T1020" s="301"/>
      <c r="U1020" s="301"/>
      <c r="V1020" s="301"/>
    </row>
    <row r="1021" spans="1:22" ht="14.4" thickTop="1" thickBot="1" x14ac:dyDescent="0.3">
      <c r="A1021" s="292"/>
      <c r="B1021" s="293" t="s">
        <v>2148</v>
      </c>
      <c r="C1021" s="294"/>
      <c r="D1021" s="294"/>
      <c r="E1021" s="294">
        <v>2</v>
      </c>
      <c r="F1021" s="310">
        <f>22/7</f>
        <v>3.1428571428571428</v>
      </c>
      <c r="G1021" s="310">
        <f>0.225*0.225</f>
        <v>5.0625000000000003E-2</v>
      </c>
      <c r="H1021" s="310">
        <v>4</v>
      </c>
      <c r="I1021" s="295">
        <f t="shared" si="110"/>
        <v>1.2728571428571429</v>
      </c>
      <c r="J1021" s="295"/>
      <c r="K1021" s="300">
        <f t="shared" si="84"/>
        <v>1.1000000000000001</v>
      </c>
      <c r="L1021" s="300">
        <f t="shared" si="77"/>
        <v>0</v>
      </c>
      <c r="M1021" s="285">
        <f t="shared" si="78"/>
        <v>0</v>
      </c>
      <c r="N1021" s="1076">
        <f t="shared" si="79"/>
        <v>0</v>
      </c>
      <c r="O1021" s="294"/>
      <c r="P1021" s="404"/>
      <c r="Q1021" s="404"/>
      <c r="R1021" s="301"/>
      <c r="S1021" s="301"/>
      <c r="T1021" s="301"/>
      <c r="U1021" s="301"/>
      <c r="V1021" s="301"/>
    </row>
    <row r="1022" spans="1:22" ht="14.4" thickTop="1" thickBot="1" x14ac:dyDescent="0.3">
      <c r="A1022" s="292"/>
      <c r="B1022" s="293" t="s">
        <v>2149</v>
      </c>
      <c r="C1022" s="294"/>
      <c r="D1022" s="294"/>
      <c r="E1022" s="294">
        <v>1</v>
      </c>
      <c r="F1022" s="310">
        <f>22/7</f>
        <v>3.1428571428571428</v>
      </c>
      <c r="G1022" s="310">
        <f>0.225*0.225</f>
        <v>5.0625000000000003E-2</v>
      </c>
      <c r="H1022" s="310">
        <v>4</v>
      </c>
      <c r="I1022" s="295">
        <f t="shared" si="110"/>
        <v>0.63642857142857145</v>
      </c>
      <c r="J1022" s="295"/>
      <c r="K1022" s="300">
        <f t="shared" si="84"/>
        <v>1.1000000000000001</v>
      </c>
      <c r="L1022" s="300">
        <f t="shared" si="77"/>
        <v>0</v>
      </c>
      <c r="M1022" s="285">
        <f t="shared" si="78"/>
        <v>0</v>
      </c>
      <c r="N1022" s="1076">
        <f t="shared" si="79"/>
        <v>0</v>
      </c>
      <c r="O1022" s="294"/>
      <c r="P1022" s="404"/>
      <c r="Q1022" s="404"/>
      <c r="R1022" s="301"/>
      <c r="S1022" s="301"/>
      <c r="T1022" s="301"/>
      <c r="U1022" s="301"/>
      <c r="V1022" s="301"/>
    </row>
    <row r="1023" spans="1:22" ht="14.4" thickTop="1" thickBot="1" x14ac:dyDescent="0.3">
      <c r="A1023" s="292"/>
      <c r="B1023" s="293" t="s">
        <v>2150</v>
      </c>
      <c r="C1023" s="294"/>
      <c r="D1023" s="294"/>
      <c r="E1023" s="294">
        <v>1</v>
      </c>
      <c r="F1023" s="310">
        <v>0.3</v>
      </c>
      <c r="G1023" s="310">
        <v>0.3</v>
      </c>
      <c r="H1023" s="310">
        <v>4</v>
      </c>
      <c r="I1023" s="295">
        <f t="shared" si="110"/>
        <v>0.36</v>
      </c>
      <c r="J1023" s="295"/>
      <c r="K1023" s="300">
        <f t="shared" si="84"/>
        <v>1.1000000000000001</v>
      </c>
      <c r="L1023" s="300">
        <f t="shared" si="77"/>
        <v>0</v>
      </c>
      <c r="M1023" s="285">
        <f t="shared" si="78"/>
        <v>0</v>
      </c>
      <c r="N1023" s="1076">
        <f t="shared" si="79"/>
        <v>0</v>
      </c>
      <c r="O1023" s="294"/>
      <c r="P1023" s="404"/>
      <c r="Q1023" s="404"/>
      <c r="R1023" s="301"/>
      <c r="S1023" s="301"/>
      <c r="T1023" s="301"/>
      <c r="U1023" s="301"/>
      <c r="V1023" s="301"/>
    </row>
    <row r="1024" spans="1:22" ht="14.4" thickTop="1" thickBot="1" x14ac:dyDescent="0.3">
      <c r="A1024" s="292"/>
      <c r="B1024" s="293" t="s">
        <v>2151</v>
      </c>
      <c r="C1024" s="294"/>
      <c r="D1024" s="294"/>
      <c r="E1024" s="294">
        <v>5</v>
      </c>
      <c r="F1024" s="310">
        <f t="shared" ref="F1024:F1032" si="111">22/7</f>
        <v>3.1428571428571428</v>
      </c>
      <c r="G1024" s="310">
        <f t="shared" ref="G1024:G1026" si="112">0.175*0.1755</f>
        <v>3.0712499999999997E-2</v>
      </c>
      <c r="H1024" s="310">
        <v>4</v>
      </c>
      <c r="I1024" s="295">
        <f t="shared" si="110"/>
        <v>1.9304999999999997</v>
      </c>
      <c r="J1024" s="295"/>
      <c r="K1024" s="300">
        <f t="shared" si="84"/>
        <v>1.1000000000000001</v>
      </c>
      <c r="L1024" s="300">
        <f t="shared" si="77"/>
        <v>0</v>
      </c>
      <c r="M1024" s="285">
        <f t="shared" si="78"/>
        <v>0</v>
      </c>
      <c r="N1024" s="1076">
        <f t="shared" si="79"/>
        <v>0</v>
      </c>
      <c r="O1024" s="294"/>
      <c r="P1024" s="404"/>
      <c r="Q1024" s="404"/>
      <c r="R1024" s="301"/>
      <c r="S1024" s="301"/>
      <c r="T1024" s="301"/>
      <c r="U1024" s="301"/>
      <c r="V1024" s="301"/>
    </row>
    <row r="1025" spans="1:22" ht="14.4" thickTop="1" thickBot="1" x14ac:dyDescent="0.3">
      <c r="A1025" s="292"/>
      <c r="B1025" s="293" t="s">
        <v>2152</v>
      </c>
      <c r="C1025" s="294"/>
      <c r="D1025" s="294"/>
      <c r="E1025" s="294">
        <v>1</v>
      </c>
      <c r="F1025" s="310">
        <f t="shared" si="111"/>
        <v>3.1428571428571428</v>
      </c>
      <c r="G1025" s="310">
        <f t="shared" si="112"/>
        <v>3.0712499999999997E-2</v>
      </c>
      <c r="H1025" s="310">
        <v>4</v>
      </c>
      <c r="I1025" s="295">
        <f t="shared" si="110"/>
        <v>0.38609999999999994</v>
      </c>
      <c r="J1025" s="295"/>
      <c r="K1025" s="300">
        <f t="shared" si="84"/>
        <v>1.1000000000000001</v>
      </c>
      <c r="L1025" s="300">
        <f t="shared" si="77"/>
        <v>0</v>
      </c>
      <c r="M1025" s="285">
        <f t="shared" si="78"/>
        <v>0</v>
      </c>
      <c r="N1025" s="1076">
        <f t="shared" si="79"/>
        <v>0</v>
      </c>
      <c r="O1025" s="294"/>
      <c r="P1025" s="404"/>
      <c r="Q1025" s="404"/>
      <c r="R1025" s="301"/>
      <c r="S1025" s="301"/>
      <c r="T1025" s="301"/>
      <c r="U1025" s="301"/>
      <c r="V1025" s="301"/>
    </row>
    <row r="1026" spans="1:22" ht="14.4" thickTop="1" thickBot="1" x14ac:dyDescent="0.3">
      <c r="A1026" s="292"/>
      <c r="B1026" s="293" t="s">
        <v>2153</v>
      </c>
      <c r="C1026" s="294"/>
      <c r="D1026" s="294"/>
      <c r="E1026" s="294">
        <v>2</v>
      </c>
      <c r="F1026" s="310">
        <f t="shared" si="111"/>
        <v>3.1428571428571428</v>
      </c>
      <c r="G1026" s="310">
        <f t="shared" si="112"/>
        <v>3.0712499999999997E-2</v>
      </c>
      <c r="H1026" s="310">
        <v>4</v>
      </c>
      <c r="I1026" s="295">
        <f t="shared" si="110"/>
        <v>0.77219999999999989</v>
      </c>
      <c r="J1026" s="295"/>
      <c r="K1026" s="300">
        <f t="shared" si="84"/>
        <v>1.1000000000000001</v>
      </c>
      <c r="L1026" s="300">
        <f t="shared" si="77"/>
        <v>0</v>
      </c>
      <c r="M1026" s="285">
        <f t="shared" si="78"/>
        <v>0</v>
      </c>
      <c r="N1026" s="1076">
        <f t="shared" si="79"/>
        <v>0</v>
      </c>
      <c r="O1026" s="294"/>
      <c r="P1026" s="404"/>
      <c r="Q1026" s="404"/>
      <c r="R1026" s="301"/>
      <c r="S1026" s="301"/>
      <c r="T1026" s="301"/>
      <c r="U1026" s="301"/>
      <c r="V1026" s="301"/>
    </row>
    <row r="1027" spans="1:22" ht="14.4" thickTop="1" thickBot="1" x14ac:dyDescent="0.3">
      <c r="A1027" s="292"/>
      <c r="B1027" s="293" t="s">
        <v>2154</v>
      </c>
      <c r="C1027" s="294"/>
      <c r="D1027" s="294"/>
      <c r="E1027" s="294">
        <v>2</v>
      </c>
      <c r="F1027" s="310">
        <f t="shared" si="111"/>
        <v>3.1428571428571428</v>
      </c>
      <c r="G1027" s="310">
        <f t="shared" ref="G1027:G1032" si="113">0.225*0.225</f>
        <v>5.0625000000000003E-2</v>
      </c>
      <c r="H1027" s="310">
        <v>4</v>
      </c>
      <c r="I1027" s="295">
        <f t="shared" si="110"/>
        <v>1.2728571428571429</v>
      </c>
      <c r="J1027" s="295"/>
      <c r="K1027" s="300">
        <f t="shared" si="84"/>
        <v>1.1000000000000001</v>
      </c>
      <c r="L1027" s="300">
        <f t="shared" si="77"/>
        <v>0</v>
      </c>
      <c r="M1027" s="285">
        <f t="shared" si="78"/>
        <v>0</v>
      </c>
      <c r="N1027" s="1076">
        <f t="shared" si="79"/>
        <v>0</v>
      </c>
      <c r="O1027" s="294"/>
      <c r="P1027" s="404"/>
      <c r="Q1027" s="404"/>
      <c r="R1027" s="301"/>
      <c r="S1027" s="301"/>
      <c r="T1027" s="301"/>
      <c r="U1027" s="301"/>
      <c r="V1027" s="301"/>
    </row>
    <row r="1028" spans="1:22" ht="14.4" thickTop="1" thickBot="1" x14ac:dyDescent="0.3">
      <c r="A1028" s="292"/>
      <c r="B1028" s="293" t="s">
        <v>2155</v>
      </c>
      <c r="C1028" s="294"/>
      <c r="D1028" s="294"/>
      <c r="E1028" s="294">
        <v>4</v>
      </c>
      <c r="F1028" s="310">
        <f t="shared" si="111"/>
        <v>3.1428571428571428</v>
      </c>
      <c r="G1028" s="310">
        <f t="shared" si="113"/>
        <v>5.0625000000000003E-2</v>
      </c>
      <c r="H1028" s="310">
        <v>4</v>
      </c>
      <c r="I1028" s="295">
        <f t="shared" si="110"/>
        <v>2.5457142857142858</v>
      </c>
      <c r="J1028" s="295"/>
      <c r="K1028" s="300">
        <f t="shared" si="84"/>
        <v>1.1000000000000001</v>
      </c>
      <c r="L1028" s="300">
        <f t="shared" si="77"/>
        <v>0</v>
      </c>
      <c r="M1028" s="285">
        <f t="shared" si="78"/>
        <v>0</v>
      </c>
      <c r="N1028" s="1076">
        <f t="shared" si="79"/>
        <v>0</v>
      </c>
      <c r="O1028" s="294"/>
      <c r="P1028" s="404"/>
      <c r="Q1028" s="404"/>
      <c r="R1028" s="301"/>
      <c r="S1028" s="301"/>
      <c r="T1028" s="301"/>
      <c r="U1028" s="301"/>
      <c r="V1028" s="301"/>
    </row>
    <row r="1029" spans="1:22" ht="14.4" thickTop="1" thickBot="1" x14ac:dyDescent="0.3">
      <c r="A1029" s="292"/>
      <c r="B1029" s="293" t="s">
        <v>2156</v>
      </c>
      <c r="C1029" s="294"/>
      <c r="D1029" s="294"/>
      <c r="E1029" s="294">
        <v>1</v>
      </c>
      <c r="F1029" s="310">
        <v>0.3</v>
      </c>
      <c r="G1029" s="310">
        <v>0.3</v>
      </c>
      <c r="H1029" s="310">
        <v>4</v>
      </c>
      <c r="I1029" s="295">
        <f t="shared" si="110"/>
        <v>0.36</v>
      </c>
      <c r="J1029" s="295"/>
      <c r="K1029" s="300">
        <f t="shared" si="84"/>
        <v>1.1000000000000001</v>
      </c>
      <c r="L1029" s="300">
        <f t="shared" si="77"/>
        <v>0</v>
      </c>
      <c r="M1029" s="285">
        <f t="shared" si="78"/>
        <v>0</v>
      </c>
      <c r="N1029" s="1076">
        <f t="shared" si="79"/>
        <v>0</v>
      </c>
      <c r="O1029" s="294"/>
      <c r="P1029" s="404"/>
      <c r="Q1029" s="404"/>
      <c r="R1029" s="301"/>
      <c r="S1029" s="301"/>
      <c r="T1029" s="301"/>
      <c r="U1029" s="301"/>
      <c r="V1029" s="301"/>
    </row>
    <row r="1030" spans="1:22" ht="14.4" thickTop="1" thickBot="1" x14ac:dyDescent="0.3">
      <c r="A1030" s="292"/>
      <c r="B1030" s="293" t="s">
        <v>2157</v>
      </c>
      <c r="C1030" s="294"/>
      <c r="D1030" s="294"/>
      <c r="E1030" s="294">
        <v>2</v>
      </c>
      <c r="F1030" s="310">
        <f t="shared" si="111"/>
        <v>3.1428571428571428</v>
      </c>
      <c r="G1030" s="310">
        <f t="shared" si="113"/>
        <v>5.0625000000000003E-2</v>
      </c>
      <c r="H1030" s="310">
        <v>4</v>
      </c>
      <c r="I1030" s="295">
        <f t="shared" si="110"/>
        <v>1.2728571428571429</v>
      </c>
      <c r="J1030" s="295"/>
      <c r="K1030" s="300">
        <f t="shared" si="84"/>
        <v>1.1000000000000001</v>
      </c>
      <c r="L1030" s="300">
        <f t="shared" si="77"/>
        <v>0</v>
      </c>
      <c r="M1030" s="285">
        <f t="shared" si="78"/>
        <v>0</v>
      </c>
      <c r="N1030" s="1076">
        <f t="shared" si="79"/>
        <v>0</v>
      </c>
      <c r="O1030" s="294"/>
      <c r="P1030" s="404"/>
      <c r="Q1030" s="404"/>
      <c r="R1030" s="301"/>
      <c r="S1030" s="301"/>
      <c r="T1030" s="301"/>
      <c r="U1030" s="301"/>
      <c r="V1030" s="301"/>
    </row>
    <row r="1031" spans="1:22" ht="14.4" thickTop="1" thickBot="1" x14ac:dyDescent="0.3">
      <c r="A1031" s="292"/>
      <c r="B1031" s="293" t="s">
        <v>2158</v>
      </c>
      <c r="C1031" s="294"/>
      <c r="D1031" s="294"/>
      <c r="E1031" s="294">
        <v>3</v>
      </c>
      <c r="F1031" s="310"/>
      <c r="G1031" s="310"/>
      <c r="H1031" s="310">
        <v>4</v>
      </c>
      <c r="I1031" s="295">
        <f t="shared" si="110"/>
        <v>0</v>
      </c>
      <c r="J1031" s="295"/>
      <c r="K1031" s="300">
        <f t="shared" si="84"/>
        <v>1.1000000000000001</v>
      </c>
      <c r="L1031" s="300">
        <f t="shared" si="77"/>
        <v>0</v>
      </c>
      <c r="M1031" s="285">
        <f t="shared" si="78"/>
        <v>0</v>
      </c>
      <c r="N1031" s="1076">
        <f t="shared" si="79"/>
        <v>0</v>
      </c>
      <c r="O1031" s="294"/>
      <c r="P1031" s="404"/>
      <c r="Q1031" s="404"/>
      <c r="R1031" s="301"/>
      <c r="S1031" s="301"/>
      <c r="T1031" s="301"/>
      <c r="U1031" s="301"/>
      <c r="V1031" s="301"/>
    </row>
    <row r="1032" spans="1:22" ht="14.4" thickTop="1" thickBot="1" x14ac:dyDescent="0.3">
      <c r="A1032" s="292"/>
      <c r="B1032" s="293" t="s">
        <v>2159</v>
      </c>
      <c r="C1032" s="294"/>
      <c r="D1032" s="294"/>
      <c r="E1032" s="294">
        <v>5</v>
      </c>
      <c r="F1032" s="310">
        <f t="shared" si="111"/>
        <v>3.1428571428571428</v>
      </c>
      <c r="G1032" s="310">
        <f t="shared" si="113"/>
        <v>5.0625000000000003E-2</v>
      </c>
      <c r="H1032" s="310">
        <v>4</v>
      </c>
      <c r="I1032" s="295">
        <f t="shared" si="110"/>
        <v>3.1821428571428574</v>
      </c>
      <c r="J1032" s="295"/>
      <c r="K1032" s="300">
        <f t="shared" si="84"/>
        <v>1.1000000000000001</v>
      </c>
      <c r="L1032" s="300">
        <f t="shared" si="77"/>
        <v>0</v>
      </c>
      <c r="M1032" s="285">
        <f t="shared" si="78"/>
        <v>0</v>
      </c>
      <c r="N1032" s="1076">
        <f t="shared" si="79"/>
        <v>0</v>
      </c>
      <c r="O1032" s="294"/>
      <c r="P1032" s="404"/>
      <c r="Q1032" s="404"/>
      <c r="R1032" s="301"/>
      <c r="S1032" s="301"/>
      <c r="T1032" s="301"/>
      <c r="U1032" s="301"/>
      <c r="V1032" s="301"/>
    </row>
    <row r="1033" spans="1:22" ht="14.4" thickTop="1" thickBot="1" x14ac:dyDescent="0.3">
      <c r="A1033" s="292"/>
      <c r="B1033" s="293" t="s">
        <v>2160</v>
      </c>
      <c r="C1033" s="294"/>
      <c r="D1033" s="294"/>
      <c r="E1033" s="294">
        <v>2</v>
      </c>
      <c r="F1033" s="310">
        <v>0.22500000000000001</v>
      </c>
      <c r="G1033" s="310">
        <v>0.22500000000000001</v>
      </c>
      <c r="H1033" s="310">
        <v>4</v>
      </c>
      <c r="I1033" s="295">
        <f t="shared" si="110"/>
        <v>0.40500000000000003</v>
      </c>
      <c r="J1033" s="295"/>
      <c r="K1033" s="300">
        <f t="shared" si="84"/>
        <v>1.1000000000000001</v>
      </c>
      <c r="L1033" s="300">
        <f t="shared" si="77"/>
        <v>0</v>
      </c>
      <c r="M1033" s="285">
        <f t="shared" si="78"/>
        <v>0</v>
      </c>
      <c r="N1033" s="1076">
        <f t="shared" si="79"/>
        <v>0</v>
      </c>
      <c r="O1033" s="294"/>
      <c r="P1033" s="404"/>
      <c r="Q1033" s="404"/>
      <c r="R1033" s="301"/>
      <c r="S1033" s="301"/>
      <c r="T1033" s="301"/>
      <c r="U1033" s="301"/>
      <c r="V1033" s="301"/>
    </row>
    <row r="1034" spans="1:22" ht="14.4" thickTop="1" thickBot="1" x14ac:dyDescent="0.3">
      <c r="A1034" s="292"/>
      <c r="B1034" s="293" t="s">
        <v>2161</v>
      </c>
      <c r="C1034" s="294"/>
      <c r="D1034" s="294"/>
      <c r="E1034" s="294">
        <v>2</v>
      </c>
      <c r="F1034" s="310">
        <v>0.22500000000000001</v>
      </c>
      <c r="G1034" s="310">
        <v>0.22500000000000001</v>
      </c>
      <c r="H1034" s="310">
        <v>4</v>
      </c>
      <c r="I1034" s="295">
        <f t="shared" si="110"/>
        <v>0.40500000000000003</v>
      </c>
      <c r="J1034" s="295"/>
      <c r="K1034" s="300">
        <f t="shared" si="84"/>
        <v>1.1000000000000001</v>
      </c>
      <c r="L1034" s="300">
        <f t="shared" si="77"/>
        <v>0</v>
      </c>
      <c r="M1034" s="285">
        <f t="shared" si="78"/>
        <v>0</v>
      </c>
      <c r="N1034" s="1076">
        <f t="shared" si="79"/>
        <v>0</v>
      </c>
      <c r="O1034" s="294"/>
      <c r="P1034" s="404"/>
      <c r="Q1034" s="404"/>
      <c r="R1034" s="301"/>
      <c r="S1034" s="301"/>
      <c r="T1034" s="301"/>
      <c r="U1034" s="301"/>
      <c r="V1034" s="301"/>
    </row>
    <row r="1035" spans="1:22" ht="14.4" thickTop="1" thickBot="1" x14ac:dyDescent="0.3">
      <c r="A1035" s="292"/>
      <c r="B1035" s="293" t="s">
        <v>2162</v>
      </c>
      <c r="C1035" s="294"/>
      <c r="D1035" s="294"/>
      <c r="E1035" s="294">
        <v>1</v>
      </c>
      <c r="F1035" s="310">
        <v>0.3</v>
      </c>
      <c r="G1035" s="310">
        <v>0.3</v>
      </c>
      <c r="H1035" s="310">
        <v>4</v>
      </c>
      <c r="I1035" s="295">
        <f t="shared" si="110"/>
        <v>0.36</v>
      </c>
      <c r="J1035" s="295"/>
      <c r="K1035" s="300">
        <f t="shared" si="84"/>
        <v>1.1000000000000001</v>
      </c>
      <c r="L1035" s="300">
        <f t="shared" si="77"/>
        <v>0</v>
      </c>
      <c r="M1035" s="285">
        <f t="shared" si="78"/>
        <v>0</v>
      </c>
      <c r="N1035" s="1076">
        <f t="shared" si="79"/>
        <v>0</v>
      </c>
      <c r="O1035" s="294"/>
      <c r="P1035" s="404"/>
      <c r="Q1035" s="404"/>
      <c r="R1035" s="301"/>
      <c r="S1035" s="301"/>
      <c r="T1035" s="301"/>
      <c r="U1035" s="301"/>
      <c r="V1035" s="301"/>
    </row>
    <row r="1036" spans="1:22" ht="14.4" thickTop="1" thickBot="1" x14ac:dyDescent="0.3">
      <c r="A1036" s="292"/>
      <c r="B1036" s="293" t="s">
        <v>2163</v>
      </c>
      <c r="C1036" s="294"/>
      <c r="D1036" s="294"/>
      <c r="E1036" s="294">
        <v>3</v>
      </c>
      <c r="F1036" s="310">
        <f t="shared" ref="F1036" si="114">22/7</f>
        <v>3.1428571428571428</v>
      </c>
      <c r="G1036" s="310">
        <f t="shared" ref="G1036" si="115">0.225*0.225</f>
        <v>5.0625000000000003E-2</v>
      </c>
      <c r="H1036" s="310">
        <v>4</v>
      </c>
      <c r="I1036" s="295">
        <f t="shared" si="110"/>
        <v>1.9092857142857143</v>
      </c>
      <c r="J1036" s="295"/>
      <c r="K1036" s="300">
        <f t="shared" si="84"/>
        <v>1.1000000000000001</v>
      </c>
      <c r="L1036" s="300">
        <f t="shared" si="77"/>
        <v>0</v>
      </c>
      <c r="M1036" s="285">
        <f t="shared" si="78"/>
        <v>0</v>
      </c>
      <c r="N1036" s="1076">
        <f t="shared" si="79"/>
        <v>0</v>
      </c>
      <c r="O1036" s="294"/>
      <c r="P1036" s="404"/>
      <c r="Q1036" s="404"/>
      <c r="R1036" s="301"/>
      <c r="S1036" s="301"/>
      <c r="T1036" s="301"/>
      <c r="U1036" s="301"/>
      <c r="V1036" s="301"/>
    </row>
    <row r="1037" spans="1:22" ht="14.4" thickTop="1" thickBot="1" x14ac:dyDescent="0.3">
      <c r="A1037" s="292"/>
      <c r="B1037" s="293" t="s">
        <v>2164</v>
      </c>
      <c r="C1037" s="294"/>
      <c r="D1037" s="294"/>
      <c r="E1037" s="294">
        <v>2</v>
      </c>
      <c r="F1037" s="310">
        <v>0.3</v>
      </c>
      <c r="G1037" s="310">
        <v>0.3</v>
      </c>
      <c r="H1037" s="310">
        <v>4</v>
      </c>
      <c r="I1037" s="295">
        <f t="shared" si="110"/>
        <v>0.72</v>
      </c>
      <c r="J1037" s="295">
        <f>SUM(I1008:I1037)</f>
        <v>40.175742857142851</v>
      </c>
      <c r="K1037" s="300">
        <f t="shared" si="84"/>
        <v>1.1000000000000001</v>
      </c>
      <c r="L1037" s="300">
        <f t="shared" si="77"/>
        <v>44.19331714285714</v>
      </c>
      <c r="M1037" s="285">
        <f t="shared" si="78"/>
        <v>44.2</v>
      </c>
      <c r="N1037" s="1076">
        <f t="shared" si="79"/>
        <v>45</v>
      </c>
      <c r="O1037" s="294"/>
      <c r="P1037" s="404">
        <f>SUM(E1008:E1037)</f>
        <v>98</v>
      </c>
      <c r="Q1037" s="404"/>
      <c r="R1037" s="301"/>
      <c r="S1037" s="301"/>
      <c r="T1037" s="301"/>
      <c r="U1037" s="301"/>
      <c r="V1037" s="301"/>
    </row>
    <row r="1038" spans="1:22" ht="14.4" thickTop="1" thickBot="1" x14ac:dyDescent="0.3">
      <c r="A1038" s="292"/>
      <c r="B1038" s="293"/>
      <c r="C1038" s="294"/>
      <c r="D1038" s="294"/>
      <c r="E1038" s="294"/>
      <c r="F1038" s="310"/>
      <c r="G1038" s="310"/>
      <c r="H1038" s="310"/>
      <c r="I1038" s="295"/>
      <c r="J1038" s="295">
        <f>J1037/2.83</f>
        <v>14.196375567895</v>
      </c>
      <c r="K1038" s="300">
        <f t="shared" si="84"/>
        <v>1.1000000000000001</v>
      </c>
      <c r="L1038" s="300">
        <f t="shared" si="77"/>
        <v>15.616013124684502</v>
      </c>
      <c r="M1038" s="285">
        <f t="shared" si="78"/>
        <v>15.6</v>
      </c>
      <c r="N1038" s="1076">
        <f t="shared" si="79"/>
        <v>16</v>
      </c>
      <c r="O1038" s="294"/>
      <c r="P1038" s="404"/>
      <c r="Q1038" s="404"/>
      <c r="R1038" s="301"/>
      <c r="S1038" s="301"/>
      <c r="T1038" s="301"/>
      <c r="U1038" s="301"/>
      <c r="V1038" s="301"/>
    </row>
    <row r="1039" spans="1:22" ht="14.4" thickTop="1" thickBot="1" x14ac:dyDescent="0.3">
      <c r="A1039" s="292"/>
      <c r="B1039" s="293"/>
      <c r="C1039" s="294"/>
      <c r="D1039" s="294"/>
      <c r="E1039" s="294"/>
      <c r="F1039" s="310"/>
      <c r="G1039" s="310"/>
      <c r="H1039" s="310"/>
      <c r="I1039" s="295"/>
      <c r="J1039" s="295"/>
      <c r="K1039" s="300">
        <f t="shared" si="84"/>
        <v>1.1000000000000001</v>
      </c>
      <c r="L1039" s="300">
        <f t="shared" si="77"/>
        <v>0</v>
      </c>
      <c r="M1039" s="285">
        <f t="shared" si="78"/>
        <v>0</v>
      </c>
      <c r="N1039" s="1076">
        <f t="shared" si="79"/>
        <v>0</v>
      </c>
      <c r="O1039" s="294"/>
      <c r="P1039" s="404"/>
      <c r="Q1039" s="404"/>
      <c r="R1039" s="301"/>
      <c r="S1039" s="301"/>
      <c r="T1039" s="301"/>
      <c r="U1039" s="301"/>
      <c r="V1039" s="301"/>
    </row>
    <row r="1040" spans="1:22" ht="14.4" thickTop="1" thickBot="1" x14ac:dyDescent="0.3">
      <c r="A1040" s="292"/>
      <c r="B1040" s="293"/>
      <c r="C1040" s="294"/>
      <c r="D1040" s="294"/>
      <c r="E1040" s="294"/>
      <c r="F1040" s="310"/>
      <c r="G1040" s="310"/>
      <c r="H1040" s="310"/>
      <c r="I1040" s="295"/>
      <c r="J1040" s="295"/>
      <c r="K1040" s="300">
        <f t="shared" si="84"/>
        <v>1.1000000000000001</v>
      </c>
      <c r="L1040" s="300">
        <f t="shared" si="77"/>
        <v>0</v>
      </c>
      <c r="M1040" s="285">
        <f t="shared" si="78"/>
        <v>0</v>
      </c>
      <c r="N1040" s="1076">
        <f t="shared" si="79"/>
        <v>0</v>
      </c>
      <c r="O1040" s="294"/>
      <c r="P1040" s="404"/>
      <c r="Q1040" s="404"/>
      <c r="R1040" s="301"/>
      <c r="S1040" s="301"/>
      <c r="T1040" s="301"/>
      <c r="U1040" s="301"/>
      <c r="V1040" s="301"/>
    </row>
    <row r="1041" spans="1:22" ht="14.4" thickTop="1" thickBot="1" x14ac:dyDescent="0.3">
      <c r="A1041" s="292"/>
      <c r="B1041" s="296" t="s">
        <v>2181</v>
      </c>
      <c r="C1041" s="294"/>
      <c r="D1041" s="294"/>
      <c r="E1041" s="294"/>
      <c r="F1041" s="310">
        <v>1051</v>
      </c>
      <c r="G1041" s="310"/>
      <c r="H1041" s="310">
        <v>0.1</v>
      </c>
      <c r="I1041" s="295">
        <f>H1041*F1041</f>
        <v>105.10000000000001</v>
      </c>
      <c r="J1041" s="295">
        <f>I1041</f>
        <v>105.10000000000001</v>
      </c>
      <c r="K1041" s="300">
        <f t="shared" si="84"/>
        <v>1.1000000000000001</v>
      </c>
      <c r="L1041" s="300">
        <f t="shared" si="77"/>
        <v>115.61000000000001</v>
      </c>
      <c r="M1041" s="285">
        <f t="shared" si="78"/>
        <v>115.6</v>
      </c>
      <c r="N1041" s="1076">
        <f t="shared" si="79"/>
        <v>116</v>
      </c>
      <c r="O1041" s="294"/>
      <c r="P1041" s="404"/>
      <c r="Q1041" s="404"/>
      <c r="R1041" s="301"/>
      <c r="S1041" s="301"/>
      <c r="T1041" s="301"/>
      <c r="U1041" s="301"/>
      <c r="V1041" s="301"/>
    </row>
    <row r="1042" spans="1:22" ht="14.4" thickTop="1" thickBot="1" x14ac:dyDescent="0.3">
      <c r="A1042" s="292"/>
      <c r="B1042" s="293"/>
      <c r="C1042" s="294"/>
      <c r="D1042" s="294"/>
      <c r="E1042" s="294"/>
      <c r="F1042" s="310"/>
      <c r="G1042" s="310"/>
      <c r="H1042" s="310"/>
      <c r="I1042" s="295"/>
      <c r="J1042" s="295">
        <f>J1041/2.83</f>
        <v>37.137809187279153</v>
      </c>
      <c r="K1042" s="300">
        <v>1.05</v>
      </c>
      <c r="L1042" s="300">
        <f t="shared" si="77"/>
        <v>38.994699646643113</v>
      </c>
      <c r="M1042" s="285">
        <f t="shared" si="78"/>
        <v>39</v>
      </c>
      <c r="N1042" s="1076">
        <f t="shared" si="79"/>
        <v>39</v>
      </c>
      <c r="O1042" s="294"/>
      <c r="P1042" s="413">
        <f>N1042-J1042</f>
        <v>1.8621908127208471</v>
      </c>
      <c r="Q1042" s="404"/>
      <c r="R1042" s="301"/>
      <c r="S1042" s="301"/>
      <c r="T1042" s="301"/>
      <c r="U1042" s="301"/>
      <c r="V1042" s="301"/>
    </row>
    <row r="1043" spans="1:22" ht="14.4" thickTop="1" thickBot="1" x14ac:dyDescent="0.3">
      <c r="A1043" s="292"/>
      <c r="B1043" s="293"/>
      <c r="C1043" s="294"/>
      <c r="D1043" s="294"/>
      <c r="E1043" s="294"/>
      <c r="F1043" s="310"/>
      <c r="G1043" s="310"/>
      <c r="H1043" s="310"/>
      <c r="I1043" s="295"/>
      <c r="J1043" s="295"/>
      <c r="K1043" s="300">
        <f t="shared" si="84"/>
        <v>1.1000000000000001</v>
      </c>
      <c r="L1043" s="300">
        <f t="shared" si="77"/>
        <v>0</v>
      </c>
      <c r="M1043" s="285">
        <f t="shared" si="78"/>
        <v>0</v>
      </c>
      <c r="N1043" s="1076">
        <f t="shared" si="79"/>
        <v>0</v>
      </c>
      <c r="O1043" s="294"/>
      <c r="P1043" s="404"/>
      <c r="Q1043" s="404"/>
      <c r="R1043" s="301"/>
      <c r="S1043" s="301"/>
      <c r="T1043" s="301"/>
      <c r="U1043" s="301"/>
      <c r="V1043" s="301"/>
    </row>
    <row r="1044" spans="1:22" ht="14.4" thickTop="1" thickBot="1" x14ac:dyDescent="0.3">
      <c r="A1044" s="292"/>
      <c r="B1044" s="293"/>
      <c r="C1044" s="294"/>
      <c r="D1044" s="294"/>
      <c r="E1044" s="294"/>
      <c r="F1044" s="310"/>
      <c r="G1044" s="310"/>
      <c r="H1044" s="310"/>
      <c r="I1044" s="295"/>
      <c r="J1044" s="295"/>
      <c r="K1044" s="300">
        <f t="shared" si="84"/>
        <v>1.1000000000000001</v>
      </c>
      <c r="L1044" s="300">
        <f t="shared" si="77"/>
        <v>0</v>
      </c>
      <c r="M1044" s="285">
        <f t="shared" si="78"/>
        <v>0</v>
      </c>
      <c r="N1044" s="1076">
        <f t="shared" si="79"/>
        <v>0</v>
      </c>
      <c r="O1044" s="294"/>
      <c r="P1044" s="404"/>
      <c r="Q1044" s="404"/>
      <c r="R1044" s="301"/>
      <c r="S1044" s="301"/>
      <c r="T1044" s="301"/>
      <c r="U1044" s="301"/>
      <c r="V1044" s="301"/>
    </row>
    <row r="1045" spans="1:22" ht="14.4" thickTop="1" thickBot="1" x14ac:dyDescent="0.3">
      <c r="A1045" s="292"/>
      <c r="B1045" s="296" t="s">
        <v>2182</v>
      </c>
      <c r="C1045" s="294"/>
      <c r="D1045" s="294"/>
      <c r="E1045" s="294"/>
      <c r="F1045" s="310">
        <v>2.2000000000000002</v>
      </c>
      <c r="G1045" s="310">
        <v>2.6</v>
      </c>
      <c r="H1045" s="310"/>
      <c r="I1045" s="295">
        <f>G1045*F1045</f>
        <v>5.7200000000000006</v>
      </c>
      <c r="J1045" s="295">
        <f>I1045</f>
        <v>5.7200000000000006</v>
      </c>
      <c r="K1045" s="300">
        <f t="shared" si="84"/>
        <v>1.1000000000000001</v>
      </c>
      <c r="L1045" s="300">
        <f t="shared" si="77"/>
        <v>6.2920000000000016</v>
      </c>
      <c r="M1045" s="285">
        <f t="shared" si="78"/>
        <v>6.3</v>
      </c>
      <c r="N1045" s="1076">
        <f t="shared" si="79"/>
        <v>7</v>
      </c>
      <c r="O1045" s="294"/>
      <c r="P1045" s="404"/>
      <c r="Q1045" s="404"/>
      <c r="R1045" s="301"/>
      <c r="S1045" s="301"/>
      <c r="T1045" s="301"/>
      <c r="U1045" s="301"/>
      <c r="V1045" s="301"/>
    </row>
    <row r="1046" spans="1:22" ht="14.4" thickTop="1" thickBot="1" x14ac:dyDescent="0.3">
      <c r="A1046" s="292"/>
      <c r="B1046" s="293"/>
      <c r="C1046" s="294"/>
      <c r="D1046" s="294"/>
      <c r="E1046" s="294"/>
      <c r="F1046" s="310"/>
      <c r="G1046" s="310"/>
      <c r="H1046" s="310"/>
      <c r="I1046" s="295"/>
      <c r="J1046" s="295">
        <f>J1045*10.76</f>
        <v>61.547200000000004</v>
      </c>
      <c r="K1046" s="300">
        <f t="shared" si="84"/>
        <v>1.1000000000000001</v>
      </c>
      <c r="L1046" s="300">
        <f t="shared" si="77"/>
        <v>67.701920000000015</v>
      </c>
      <c r="M1046" s="285">
        <f t="shared" si="78"/>
        <v>67.7</v>
      </c>
      <c r="N1046" s="1076">
        <f t="shared" si="79"/>
        <v>68</v>
      </c>
      <c r="O1046" s="294"/>
      <c r="P1046" s="404"/>
      <c r="Q1046" s="404"/>
      <c r="R1046" s="301"/>
      <c r="S1046" s="301"/>
      <c r="T1046" s="301"/>
      <c r="U1046" s="301"/>
      <c r="V1046" s="301"/>
    </row>
    <row r="1047" spans="1:22" ht="14.4" thickTop="1" thickBot="1" x14ac:dyDescent="0.3">
      <c r="A1047" s="292"/>
      <c r="B1047" s="293"/>
      <c r="C1047" s="294"/>
      <c r="D1047" s="294"/>
      <c r="E1047" s="294"/>
      <c r="F1047" s="310"/>
      <c r="G1047" s="310"/>
      <c r="H1047" s="310"/>
      <c r="I1047" s="295"/>
      <c r="J1047" s="295">
        <f>J1046/100</f>
        <v>0.61547200000000002</v>
      </c>
      <c r="K1047" s="300">
        <f t="shared" si="84"/>
        <v>1.1000000000000001</v>
      </c>
      <c r="L1047" s="300">
        <f t="shared" si="77"/>
        <v>0.67701920000000004</v>
      </c>
      <c r="M1047" s="285">
        <f t="shared" si="78"/>
        <v>0.7</v>
      </c>
      <c r="N1047" s="1076">
        <f t="shared" si="79"/>
        <v>1</v>
      </c>
      <c r="O1047" s="294"/>
      <c r="P1047" s="404"/>
      <c r="Q1047" s="404"/>
      <c r="R1047" s="301"/>
      <c r="S1047" s="301"/>
      <c r="T1047" s="301"/>
      <c r="U1047" s="301"/>
      <c r="V1047" s="301"/>
    </row>
    <row r="1048" spans="1:22" ht="14.4" thickTop="1" thickBot="1" x14ac:dyDescent="0.3">
      <c r="A1048" s="292"/>
      <c r="B1048" s="293"/>
      <c r="C1048" s="294"/>
      <c r="D1048" s="294"/>
      <c r="E1048" s="294"/>
      <c r="F1048" s="310"/>
      <c r="G1048" s="310"/>
      <c r="H1048" s="310"/>
      <c r="I1048" s="295"/>
      <c r="J1048" s="295"/>
      <c r="K1048" s="300">
        <f t="shared" si="84"/>
        <v>1.1000000000000001</v>
      </c>
      <c r="L1048" s="300">
        <f t="shared" si="77"/>
        <v>0</v>
      </c>
      <c r="M1048" s="285">
        <f t="shared" si="78"/>
        <v>0</v>
      </c>
      <c r="N1048" s="1076">
        <f t="shared" si="79"/>
        <v>0</v>
      </c>
      <c r="O1048" s="294"/>
      <c r="P1048" s="404"/>
      <c r="Q1048" s="404"/>
      <c r="R1048" s="301"/>
      <c r="S1048" s="301"/>
      <c r="T1048" s="301"/>
      <c r="U1048" s="301"/>
      <c r="V1048" s="301"/>
    </row>
    <row r="1049" spans="1:22" ht="14.4" thickTop="1" thickBot="1" x14ac:dyDescent="0.3">
      <c r="A1049" s="292"/>
      <c r="B1049" s="296" t="s">
        <v>1085</v>
      </c>
      <c r="C1049" s="294"/>
      <c r="D1049" s="294"/>
      <c r="E1049" s="294"/>
      <c r="F1049" s="310">
        <v>2.2000000000000002</v>
      </c>
      <c r="G1049" s="310">
        <v>2.6</v>
      </c>
      <c r="H1049" s="310">
        <v>0.2</v>
      </c>
      <c r="I1049" s="295">
        <f>H1049*G1049*F1049</f>
        <v>1.1440000000000001</v>
      </c>
      <c r="J1049" s="304"/>
      <c r="K1049" s="300"/>
      <c r="L1049" s="300"/>
      <c r="M1049" s="285"/>
      <c r="N1049" s="1076"/>
      <c r="O1049" s="294"/>
      <c r="P1049" s="404"/>
      <c r="Q1049" s="404"/>
      <c r="R1049" s="301"/>
      <c r="S1049" s="301"/>
      <c r="T1049" s="301"/>
      <c r="U1049" s="301"/>
      <c r="V1049" s="301"/>
    </row>
    <row r="1050" spans="1:22" ht="14.4" thickTop="1" thickBot="1" x14ac:dyDescent="0.3">
      <c r="A1050" s="292"/>
      <c r="B1050" s="296" t="s">
        <v>822</v>
      </c>
      <c r="C1050" s="294"/>
      <c r="D1050" s="294"/>
      <c r="E1050" s="294">
        <v>2</v>
      </c>
      <c r="F1050" s="310">
        <f>F1049</f>
        <v>2.2000000000000002</v>
      </c>
      <c r="G1050" s="310">
        <v>1.65</v>
      </c>
      <c r="H1050" s="310">
        <v>0.22500000000000001</v>
      </c>
      <c r="I1050" s="295">
        <f>F1050*H1050*G1050*E1050</f>
        <v>1.6335000000000002</v>
      </c>
      <c r="J1050" s="295"/>
      <c r="K1050" s="300"/>
      <c r="L1050" s="300"/>
      <c r="M1050" s="285"/>
      <c r="N1050" s="1076"/>
      <c r="O1050" s="294"/>
      <c r="P1050" s="404"/>
      <c r="Q1050" s="404"/>
      <c r="R1050" s="301"/>
      <c r="S1050" s="301"/>
      <c r="T1050" s="301"/>
      <c r="U1050" s="301"/>
      <c r="V1050" s="301"/>
    </row>
    <row r="1051" spans="1:22" ht="14.4" thickTop="1" thickBot="1" x14ac:dyDescent="0.3">
      <c r="A1051" s="292"/>
      <c r="B1051" s="293"/>
      <c r="C1051" s="294"/>
      <c r="D1051" s="294"/>
      <c r="E1051" s="294">
        <v>2</v>
      </c>
      <c r="F1051" s="310">
        <f>G1049</f>
        <v>2.6</v>
      </c>
      <c r="G1051" s="310">
        <v>1.65</v>
      </c>
      <c r="H1051" s="310">
        <v>0.22500000000000001</v>
      </c>
      <c r="I1051" s="295">
        <f>F1051*H1051*G1051*E1051</f>
        <v>1.9305000000000001</v>
      </c>
      <c r="J1051" s="295">
        <f>SUM(I1049:I1051)</f>
        <v>4.7080000000000002</v>
      </c>
      <c r="K1051" s="300">
        <f t="shared" si="84"/>
        <v>1.1000000000000001</v>
      </c>
      <c r="L1051" s="300">
        <f t="shared" ref="L1051:L1129" si="116">K1051*J1051</f>
        <v>5.1788000000000007</v>
      </c>
      <c r="M1051" s="285">
        <f t="shared" ref="M1051:M1129" si="117">ROUND(L1051,1)</f>
        <v>5.2</v>
      </c>
      <c r="N1051" s="1076">
        <f t="shared" ref="N1051:N1129" si="118">ROUNDUP(M1051,0)</f>
        <v>6</v>
      </c>
      <c r="O1051" s="294"/>
      <c r="P1051" s="404"/>
      <c r="Q1051" s="404"/>
      <c r="R1051" s="301"/>
      <c r="S1051" s="301"/>
      <c r="T1051" s="301"/>
      <c r="U1051" s="301"/>
      <c r="V1051" s="301"/>
    </row>
    <row r="1052" spans="1:22" ht="14.4" thickTop="1" thickBot="1" x14ac:dyDescent="0.3">
      <c r="A1052" s="292"/>
      <c r="B1052" s="293"/>
      <c r="C1052" s="294"/>
      <c r="D1052" s="294"/>
      <c r="E1052" s="294"/>
      <c r="F1052" s="310"/>
      <c r="G1052" s="310"/>
      <c r="H1052" s="310"/>
      <c r="I1052" s="295"/>
      <c r="J1052" s="295">
        <f>J1051/2.83</f>
        <v>1.6636042402826856</v>
      </c>
      <c r="K1052" s="300">
        <f t="shared" si="84"/>
        <v>1.1000000000000001</v>
      </c>
      <c r="L1052" s="300">
        <f t="shared" si="116"/>
        <v>1.8299646643109544</v>
      </c>
      <c r="M1052" s="285">
        <f t="shared" si="117"/>
        <v>1.8</v>
      </c>
      <c r="N1052" s="1076">
        <f t="shared" si="118"/>
        <v>2</v>
      </c>
      <c r="O1052" s="294"/>
      <c r="P1052" s="404"/>
      <c r="Q1052" s="404"/>
      <c r="R1052" s="301"/>
      <c r="S1052" s="301"/>
      <c r="T1052" s="301"/>
      <c r="U1052" s="301"/>
      <c r="V1052" s="301"/>
    </row>
    <row r="1053" spans="1:22" ht="14.4" thickTop="1" thickBot="1" x14ac:dyDescent="0.3">
      <c r="A1053" s="292"/>
      <c r="B1053" s="293"/>
      <c r="C1053" s="294"/>
      <c r="D1053" s="294"/>
      <c r="E1053" s="294"/>
      <c r="F1053" s="310"/>
      <c r="G1053" s="310"/>
      <c r="H1053" s="310"/>
      <c r="I1053" s="295"/>
      <c r="J1053" s="295"/>
      <c r="K1053" s="300">
        <f t="shared" si="84"/>
        <v>1.1000000000000001</v>
      </c>
      <c r="L1053" s="300">
        <f t="shared" si="116"/>
        <v>0</v>
      </c>
      <c r="M1053" s="285">
        <f t="shared" si="117"/>
        <v>0</v>
      </c>
      <c r="N1053" s="1076">
        <f t="shared" si="118"/>
        <v>0</v>
      </c>
      <c r="O1053" s="294"/>
      <c r="P1053" s="404"/>
      <c r="Q1053" s="404"/>
      <c r="R1053" s="301"/>
      <c r="S1053" s="301"/>
      <c r="T1053" s="301"/>
      <c r="U1053" s="301"/>
      <c r="V1053" s="301"/>
    </row>
    <row r="1054" spans="1:22" ht="14.4" thickTop="1" thickBot="1" x14ac:dyDescent="0.3">
      <c r="A1054" s="292"/>
      <c r="B1054" s="293"/>
      <c r="C1054" s="294"/>
      <c r="D1054" s="294"/>
      <c r="E1054" s="294"/>
      <c r="F1054" s="310"/>
      <c r="G1054" s="310"/>
      <c r="H1054" s="310"/>
      <c r="I1054" s="295"/>
      <c r="J1054" s="295"/>
      <c r="K1054" s="300"/>
      <c r="L1054" s="300"/>
      <c r="M1054" s="285"/>
      <c r="N1054" s="1076"/>
      <c r="O1054" s="294"/>
      <c r="P1054" s="404"/>
      <c r="Q1054" s="404"/>
      <c r="R1054" s="301"/>
      <c r="S1054" s="301"/>
      <c r="T1054" s="301"/>
      <c r="U1054" s="301"/>
      <c r="V1054" s="301"/>
    </row>
    <row r="1055" spans="1:22" ht="14.4" thickTop="1" thickBot="1" x14ac:dyDescent="0.3">
      <c r="A1055" s="292"/>
      <c r="B1055" s="293"/>
      <c r="C1055" s="294"/>
      <c r="D1055" s="294"/>
      <c r="E1055" s="294"/>
      <c r="F1055" s="310"/>
      <c r="G1055" s="310"/>
      <c r="H1055" s="310"/>
      <c r="I1055" s="295"/>
      <c r="J1055" s="295"/>
      <c r="K1055" s="300"/>
      <c r="L1055" s="300"/>
      <c r="M1055" s="285"/>
      <c r="N1055" s="1076"/>
      <c r="O1055" s="294"/>
      <c r="P1055" s="404"/>
      <c r="Q1055" s="404"/>
      <c r="R1055" s="301"/>
      <c r="S1055" s="301"/>
      <c r="T1055" s="301"/>
      <c r="U1055" s="301"/>
      <c r="V1055" s="301"/>
    </row>
    <row r="1056" spans="1:22" ht="14.4" thickTop="1" thickBot="1" x14ac:dyDescent="0.3">
      <c r="A1056" s="292"/>
      <c r="B1056" s="293"/>
      <c r="C1056" s="294"/>
      <c r="D1056" s="294"/>
      <c r="E1056" s="294"/>
      <c r="F1056" s="310"/>
      <c r="G1056" s="310"/>
      <c r="H1056" s="310"/>
      <c r="I1056" s="295"/>
      <c r="J1056" s="295"/>
      <c r="K1056" s="300"/>
      <c r="L1056" s="300"/>
      <c r="M1056" s="285"/>
      <c r="N1056" s="1076"/>
      <c r="O1056" s="294"/>
      <c r="P1056" s="404"/>
      <c r="Q1056" s="404"/>
      <c r="R1056" s="301"/>
      <c r="S1056" s="301"/>
      <c r="T1056" s="301"/>
      <c r="U1056" s="301"/>
      <c r="V1056" s="301"/>
    </row>
    <row r="1057" spans="1:22" ht="14.4" thickTop="1" thickBot="1" x14ac:dyDescent="0.3">
      <c r="A1057" s="292"/>
      <c r="B1057" s="293"/>
      <c r="C1057" s="294"/>
      <c r="D1057" s="294"/>
      <c r="E1057" s="294"/>
      <c r="F1057" s="310"/>
      <c r="G1057" s="310"/>
      <c r="H1057" s="310"/>
      <c r="I1057" s="295"/>
      <c r="J1057" s="295"/>
      <c r="K1057" s="300"/>
      <c r="L1057" s="300"/>
      <c r="M1057" s="285"/>
      <c r="N1057" s="1076"/>
      <c r="O1057" s="294"/>
      <c r="P1057" s="404"/>
      <c r="Q1057" s="404"/>
      <c r="R1057" s="301"/>
      <c r="S1057" s="301"/>
      <c r="T1057" s="301"/>
      <c r="U1057" s="301"/>
      <c r="V1057" s="301"/>
    </row>
    <row r="1058" spans="1:22" ht="14.4" thickTop="1" thickBot="1" x14ac:dyDescent="0.3">
      <c r="A1058" s="292"/>
      <c r="B1058" s="296" t="s">
        <v>2189</v>
      </c>
      <c r="C1058" s="294"/>
      <c r="D1058" s="294"/>
      <c r="E1058" s="294">
        <v>2</v>
      </c>
      <c r="F1058" s="310">
        <f>F1049</f>
        <v>2.2000000000000002</v>
      </c>
      <c r="G1058" s="310">
        <v>0.22500000000000001</v>
      </c>
      <c r="H1058" s="310">
        <f>H932</f>
        <v>4</v>
      </c>
      <c r="I1058" s="295">
        <f>H1058*G1058*F1058*E1058</f>
        <v>3.9600000000000004</v>
      </c>
      <c r="J1058" s="295"/>
      <c r="K1058" s="300">
        <f t="shared" si="84"/>
        <v>1.1000000000000001</v>
      </c>
      <c r="L1058" s="300">
        <f t="shared" si="116"/>
        <v>0</v>
      </c>
      <c r="M1058" s="285">
        <f t="shared" si="117"/>
        <v>0</v>
      </c>
      <c r="N1058" s="1076">
        <f t="shared" si="118"/>
        <v>0</v>
      </c>
      <c r="O1058" s="294"/>
      <c r="P1058" s="404"/>
      <c r="Q1058" s="404"/>
      <c r="R1058" s="301"/>
      <c r="S1058" s="301"/>
      <c r="T1058" s="301"/>
      <c r="U1058" s="301"/>
      <c r="V1058" s="301"/>
    </row>
    <row r="1059" spans="1:22" ht="14.4" thickTop="1" thickBot="1" x14ac:dyDescent="0.3">
      <c r="A1059" s="292"/>
      <c r="B1059" s="293"/>
      <c r="C1059" s="294"/>
      <c r="D1059" s="294"/>
      <c r="E1059" s="294">
        <v>2</v>
      </c>
      <c r="F1059" s="310">
        <f>G1049</f>
        <v>2.6</v>
      </c>
      <c r="G1059" s="310">
        <v>0.22500000000000001</v>
      </c>
      <c r="H1059" s="310">
        <f>H1058</f>
        <v>4</v>
      </c>
      <c r="I1059" s="295">
        <f>H1059*G1059*F1059*E1059</f>
        <v>4.6800000000000006</v>
      </c>
      <c r="J1059" s="295">
        <f>SUM(I1058:I1059)</f>
        <v>8.64</v>
      </c>
      <c r="K1059" s="300">
        <f t="shared" si="84"/>
        <v>1.1000000000000001</v>
      </c>
      <c r="L1059" s="300">
        <f t="shared" si="116"/>
        <v>9.5040000000000013</v>
      </c>
      <c r="M1059" s="285">
        <f t="shared" si="117"/>
        <v>9.5</v>
      </c>
      <c r="N1059" s="1076">
        <f t="shared" si="118"/>
        <v>10</v>
      </c>
      <c r="O1059" s="294"/>
      <c r="P1059" s="404"/>
      <c r="Q1059" s="404"/>
      <c r="R1059" s="301"/>
      <c r="S1059" s="301"/>
      <c r="T1059" s="301"/>
      <c r="U1059" s="301"/>
      <c r="V1059" s="301"/>
    </row>
    <row r="1060" spans="1:22" ht="14.4" thickTop="1" thickBot="1" x14ac:dyDescent="0.3">
      <c r="A1060" s="292"/>
      <c r="B1060" s="293"/>
      <c r="C1060" s="294"/>
      <c r="D1060" s="294"/>
      <c r="E1060" s="294"/>
      <c r="F1060" s="310"/>
      <c r="G1060" s="310"/>
      <c r="H1060" s="310"/>
      <c r="I1060" s="295"/>
      <c r="J1060" s="295">
        <f>J1059/2.83</f>
        <v>3.0530035335689045</v>
      </c>
      <c r="K1060" s="300">
        <v>0.95</v>
      </c>
      <c r="L1060" s="300">
        <f t="shared" si="116"/>
        <v>2.9003533568904594</v>
      </c>
      <c r="M1060" s="285">
        <f t="shared" si="117"/>
        <v>2.9</v>
      </c>
      <c r="N1060" s="1076">
        <f t="shared" si="118"/>
        <v>3</v>
      </c>
      <c r="O1060" s="294"/>
      <c r="P1060" s="404"/>
      <c r="Q1060" s="404"/>
      <c r="R1060" s="301"/>
      <c r="S1060" s="301"/>
      <c r="T1060" s="301"/>
      <c r="U1060" s="301"/>
      <c r="V1060" s="301"/>
    </row>
    <row r="1061" spans="1:22" ht="14.4" thickTop="1" thickBot="1" x14ac:dyDescent="0.3">
      <c r="A1061" s="292"/>
      <c r="B1061" s="293"/>
      <c r="C1061" s="294"/>
      <c r="D1061" s="294"/>
      <c r="E1061" s="294"/>
      <c r="F1061" s="310"/>
      <c r="G1061" s="310"/>
      <c r="H1061" s="310"/>
      <c r="I1061" s="295"/>
      <c r="J1061" s="295"/>
      <c r="K1061" s="300">
        <f t="shared" si="84"/>
        <v>1.1000000000000001</v>
      </c>
      <c r="L1061" s="300">
        <f t="shared" si="116"/>
        <v>0</v>
      </c>
      <c r="M1061" s="285">
        <f t="shared" si="117"/>
        <v>0</v>
      </c>
      <c r="N1061" s="1076">
        <f t="shared" si="118"/>
        <v>0</v>
      </c>
      <c r="O1061" s="294"/>
      <c r="P1061" s="404"/>
      <c r="Q1061" s="404"/>
      <c r="R1061" s="301"/>
      <c r="S1061" s="301"/>
      <c r="T1061" s="301"/>
      <c r="U1061" s="301"/>
      <c r="V1061" s="301"/>
    </row>
    <row r="1062" spans="1:22" ht="14.4" thickTop="1" thickBot="1" x14ac:dyDescent="0.3">
      <c r="A1062" s="292"/>
      <c r="B1062" s="296" t="s">
        <v>2190</v>
      </c>
      <c r="C1062" s="294"/>
      <c r="D1062" s="294"/>
      <c r="E1062" s="294">
        <v>2</v>
      </c>
      <c r="F1062" s="310">
        <v>1.7</v>
      </c>
      <c r="G1062" s="310">
        <v>0.45</v>
      </c>
      <c r="H1062" s="310"/>
      <c r="I1062" s="295">
        <f>G1062*F1062*E1062</f>
        <v>1.53</v>
      </c>
      <c r="J1062" s="295"/>
      <c r="K1062" s="300">
        <f t="shared" si="84"/>
        <v>1.1000000000000001</v>
      </c>
      <c r="L1062" s="300">
        <f t="shared" si="116"/>
        <v>0</v>
      </c>
      <c r="M1062" s="285">
        <f t="shared" si="117"/>
        <v>0</v>
      </c>
      <c r="N1062" s="1076">
        <f t="shared" si="118"/>
        <v>0</v>
      </c>
      <c r="O1062" s="294"/>
      <c r="P1062" s="404"/>
      <c r="Q1062" s="404"/>
      <c r="R1062" s="301"/>
      <c r="S1062" s="301"/>
      <c r="T1062" s="301"/>
      <c r="U1062" s="301"/>
      <c r="V1062" s="301"/>
    </row>
    <row r="1063" spans="1:22" ht="14.4" thickTop="1" thickBot="1" x14ac:dyDescent="0.3">
      <c r="A1063" s="292"/>
      <c r="B1063" s="293"/>
      <c r="C1063" s="294"/>
      <c r="D1063" s="294"/>
      <c r="E1063" s="294">
        <v>2</v>
      </c>
      <c r="F1063" s="310">
        <v>0.35</v>
      </c>
      <c r="G1063" s="310">
        <v>0.45</v>
      </c>
      <c r="H1063" s="310"/>
      <c r="I1063" s="295">
        <f>G1063*F1063*E1063</f>
        <v>0.315</v>
      </c>
      <c r="J1063" s="295"/>
      <c r="K1063" s="300">
        <f t="shared" si="84"/>
        <v>1.1000000000000001</v>
      </c>
      <c r="L1063" s="300">
        <f t="shared" si="116"/>
        <v>0</v>
      </c>
      <c r="M1063" s="285">
        <f t="shared" si="117"/>
        <v>0</v>
      </c>
      <c r="N1063" s="1076">
        <f t="shared" si="118"/>
        <v>0</v>
      </c>
      <c r="O1063" s="294"/>
      <c r="P1063" s="404"/>
      <c r="Q1063" s="404"/>
      <c r="R1063" s="301"/>
      <c r="S1063" s="301"/>
      <c r="T1063" s="301"/>
      <c r="U1063" s="301"/>
      <c r="V1063" s="301"/>
    </row>
    <row r="1064" spans="1:22" ht="14.4" thickTop="1" thickBot="1" x14ac:dyDescent="0.3">
      <c r="A1064" s="292"/>
      <c r="B1064" s="296" t="s">
        <v>2191</v>
      </c>
      <c r="C1064" s="294"/>
      <c r="D1064" s="294"/>
      <c r="E1064" s="294">
        <v>4</v>
      </c>
      <c r="F1064" s="310">
        <f>F1049</f>
        <v>2.2000000000000002</v>
      </c>
      <c r="G1064" s="310"/>
      <c r="H1064" s="310">
        <v>2</v>
      </c>
      <c r="I1064" s="295">
        <f>F1064*H1064*E1064</f>
        <v>17.600000000000001</v>
      </c>
      <c r="J1064" s="295"/>
      <c r="K1064" s="300">
        <f t="shared" si="84"/>
        <v>1.1000000000000001</v>
      </c>
      <c r="L1064" s="300">
        <f t="shared" si="116"/>
        <v>0</v>
      </c>
      <c r="M1064" s="285">
        <f t="shared" si="117"/>
        <v>0</v>
      </c>
      <c r="N1064" s="1076">
        <f t="shared" si="118"/>
        <v>0</v>
      </c>
      <c r="O1064" s="294"/>
      <c r="P1064" s="404"/>
      <c r="Q1064" s="404"/>
      <c r="R1064" s="301"/>
      <c r="S1064" s="301"/>
      <c r="T1064" s="301"/>
      <c r="U1064" s="301"/>
      <c r="V1064" s="301"/>
    </row>
    <row r="1065" spans="1:22" ht="14.4" thickTop="1" thickBot="1" x14ac:dyDescent="0.3">
      <c r="A1065" s="292"/>
      <c r="B1065" s="293"/>
      <c r="C1065" s="294"/>
      <c r="D1065" s="294"/>
      <c r="E1065" s="294">
        <v>4</v>
      </c>
      <c r="F1065" s="310">
        <f>G1049</f>
        <v>2.6</v>
      </c>
      <c r="G1065" s="310"/>
      <c r="H1065" s="310">
        <v>2</v>
      </c>
      <c r="I1065" s="295">
        <f>F1065*H1065*E1065</f>
        <v>20.8</v>
      </c>
      <c r="J1065" s="295"/>
      <c r="K1065" s="300">
        <f t="shared" si="84"/>
        <v>1.1000000000000001</v>
      </c>
      <c r="L1065" s="300">
        <f t="shared" si="116"/>
        <v>0</v>
      </c>
      <c r="M1065" s="285">
        <f t="shared" si="117"/>
        <v>0</v>
      </c>
      <c r="N1065" s="1076">
        <f t="shared" si="118"/>
        <v>0</v>
      </c>
      <c r="O1065" s="294"/>
      <c r="P1065" s="404"/>
      <c r="Q1065" s="404"/>
      <c r="R1065" s="301"/>
      <c r="S1065" s="301"/>
      <c r="T1065" s="301"/>
      <c r="U1065" s="301"/>
      <c r="V1065" s="301"/>
    </row>
    <row r="1066" spans="1:22" ht="14.4" thickTop="1" thickBot="1" x14ac:dyDescent="0.3">
      <c r="A1066" s="292"/>
      <c r="B1066" s="293"/>
      <c r="C1066" s="294"/>
      <c r="D1066" s="294"/>
      <c r="E1066" s="294"/>
      <c r="F1066" s="310"/>
      <c r="G1066" s="310"/>
      <c r="H1066" s="310"/>
      <c r="I1066" s="295"/>
      <c r="J1066" s="295">
        <f>SUM(I1062:I1065)</f>
        <v>40.245000000000005</v>
      </c>
      <c r="K1066" s="300">
        <f t="shared" si="84"/>
        <v>1.1000000000000001</v>
      </c>
      <c r="L1066" s="300">
        <f t="shared" si="116"/>
        <v>44.269500000000008</v>
      </c>
      <c r="M1066" s="285">
        <f t="shared" si="117"/>
        <v>44.3</v>
      </c>
      <c r="N1066" s="1076">
        <f t="shared" si="118"/>
        <v>45</v>
      </c>
      <c r="O1066" s="294"/>
      <c r="P1066" s="404"/>
      <c r="Q1066" s="404"/>
      <c r="R1066" s="301"/>
      <c r="S1066" s="301"/>
      <c r="T1066" s="301"/>
      <c r="U1066" s="301"/>
      <c r="V1066" s="301"/>
    </row>
    <row r="1067" spans="1:22" ht="14.4" thickTop="1" thickBot="1" x14ac:dyDescent="0.3">
      <c r="A1067" s="292"/>
      <c r="B1067" s="293"/>
      <c r="C1067" s="294"/>
      <c r="D1067" s="294"/>
      <c r="E1067" s="294"/>
      <c r="F1067" s="310"/>
      <c r="G1067" s="310"/>
      <c r="H1067" s="310"/>
      <c r="I1067" s="295"/>
      <c r="J1067" s="295">
        <f>J1066*10.76</f>
        <v>433.03620000000006</v>
      </c>
      <c r="K1067" s="300">
        <f t="shared" si="84"/>
        <v>1.1000000000000001</v>
      </c>
      <c r="L1067" s="300">
        <f t="shared" si="116"/>
        <v>476.33982000000009</v>
      </c>
      <c r="M1067" s="285">
        <f t="shared" si="117"/>
        <v>476.3</v>
      </c>
      <c r="N1067" s="1076">
        <f t="shared" si="118"/>
        <v>477</v>
      </c>
      <c r="O1067" s="294"/>
      <c r="P1067" s="404"/>
      <c r="Q1067" s="404"/>
      <c r="R1067" s="301"/>
      <c r="S1067" s="301"/>
      <c r="T1067" s="301"/>
      <c r="U1067" s="301"/>
      <c r="V1067" s="301"/>
    </row>
    <row r="1068" spans="1:22" ht="14.4" thickTop="1" thickBot="1" x14ac:dyDescent="0.3">
      <c r="A1068" s="292"/>
      <c r="B1068" s="293"/>
      <c r="C1068" s="294"/>
      <c r="D1068" s="294"/>
      <c r="E1068" s="294"/>
      <c r="F1068" s="310"/>
      <c r="G1068" s="310"/>
      <c r="H1068" s="310"/>
      <c r="I1068" s="295"/>
      <c r="J1068" s="295">
        <f>J1067/100</f>
        <v>4.3303620000000009</v>
      </c>
      <c r="K1068" s="300">
        <f t="shared" si="84"/>
        <v>1.1000000000000001</v>
      </c>
      <c r="L1068" s="300">
        <f t="shared" si="116"/>
        <v>4.763398200000001</v>
      </c>
      <c r="M1068" s="285">
        <f t="shared" si="117"/>
        <v>4.8</v>
      </c>
      <c r="N1068" s="1076">
        <f t="shared" si="118"/>
        <v>5</v>
      </c>
      <c r="O1068" s="294"/>
      <c r="P1068" s="404"/>
      <c r="Q1068" s="404"/>
      <c r="R1068" s="301"/>
      <c r="S1068" s="301"/>
      <c r="T1068" s="301"/>
      <c r="U1068" s="301"/>
      <c r="V1068" s="301"/>
    </row>
    <row r="1069" spans="1:22" ht="14.4" thickTop="1" thickBot="1" x14ac:dyDescent="0.3">
      <c r="A1069" s="292"/>
      <c r="B1069" s="293"/>
      <c r="C1069" s="294"/>
      <c r="D1069" s="294"/>
      <c r="E1069" s="294"/>
      <c r="F1069" s="310"/>
      <c r="G1069" s="310"/>
      <c r="H1069" s="310"/>
      <c r="I1069" s="295"/>
      <c r="J1069" s="295"/>
      <c r="K1069" s="300"/>
      <c r="L1069" s="300"/>
      <c r="M1069" s="285"/>
      <c r="N1069" s="1076"/>
      <c r="O1069" s="294"/>
      <c r="P1069" s="404"/>
      <c r="Q1069" s="404"/>
      <c r="R1069" s="301"/>
      <c r="S1069" s="301"/>
      <c r="T1069" s="301"/>
      <c r="U1069" s="301"/>
      <c r="V1069" s="301"/>
    </row>
    <row r="1070" spans="1:22" ht="14.4" thickTop="1" thickBot="1" x14ac:dyDescent="0.3">
      <c r="A1070" s="292"/>
      <c r="B1070" s="293" t="s">
        <v>2329</v>
      </c>
      <c r="C1070" s="294"/>
      <c r="D1070" s="294"/>
      <c r="E1070" s="294">
        <v>4</v>
      </c>
      <c r="F1070" s="310">
        <v>2.2000000000000002</v>
      </c>
      <c r="G1070" s="310"/>
      <c r="H1070" s="310">
        <v>4</v>
      </c>
      <c r="I1070" s="295">
        <f>H1070*F1070*E1070</f>
        <v>35.200000000000003</v>
      </c>
      <c r="J1070" s="295"/>
      <c r="K1070" s="300"/>
      <c r="L1070" s="300"/>
      <c r="M1070" s="285"/>
      <c r="N1070" s="1076"/>
      <c r="O1070" s="294"/>
      <c r="P1070" s="404"/>
      <c r="Q1070" s="404"/>
      <c r="R1070" s="301"/>
      <c r="S1070" s="301"/>
      <c r="T1070" s="301"/>
      <c r="U1070" s="301"/>
      <c r="V1070" s="301"/>
    </row>
    <row r="1071" spans="1:22" ht="14.4" thickTop="1" thickBot="1" x14ac:dyDescent="0.3">
      <c r="A1071" s="292"/>
      <c r="B1071" s="293"/>
      <c r="C1071" s="294"/>
      <c r="D1071" s="294"/>
      <c r="E1071" s="294">
        <v>4</v>
      </c>
      <c r="F1071" s="310">
        <v>2.6</v>
      </c>
      <c r="G1071" s="310"/>
      <c r="H1071" s="310">
        <v>4</v>
      </c>
      <c r="I1071" s="295">
        <f>H1071*F1071*E1071</f>
        <v>41.6</v>
      </c>
      <c r="J1071" s="295">
        <f>SUM(I1070:I1071)</f>
        <v>76.800000000000011</v>
      </c>
      <c r="K1071" s="300">
        <f t="shared" si="84"/>
        <v>1.1000000000000001</v>
      </c>
      <c r="L1071" s="300">
        <f t="shared" ref="L1071:L1073" si="119">K1071*J1071</f>
        <v>84.480000000000018</v>
      </c>
      <c r="M1071" s="285">
        <f t="shared" ref="M1071:M1073" si="120">ROUND(L1071,1)</f>
        <v>84.5</v>
      </c>
      <c r="N1071" s="1076">
        <f t="shared" ref="N1071:N1073" si="121">ROUNDUP(M1071,0)</f>
        <v>85</v>
      </c>
      <c r="O1071" s="294"/>
      <c r="P1071" s="404"/>
      <c r="Q1071" s="404"/>
      <c r="R1071" s="301"/>
      <c r="S1071" s="301"/>
      <c r="T1071" s="301"/>
      <c r="U1071" s="301"/>
      <c r="V1071" s="301"/>
    </row>
    <row r="1072" spans="1:22" ht="14.4" thickTop="1" thickBot="1" x14ac:dyDescent="0.3">
      <c r="A1072" s="292"/>
      <c r="B1072" s="293"/>
      <c r="C1072" s="294"/>
      <c r="D1072" s="294"/>
      <c r="E1072" s="294"/>
      <c r="F1072" s="310"/>
      <c r="G1072" s="310"/>
      <c r="H1072" s="310"/>
      <c r="I1072" s="295"/>
      <c r="J1072" s="295">
        <f>J1071*10.76</f>
        <v>826.36800000000005</v>
      </c>
      <c r="K1072" s="300">
        <f t="shared" si="84"/>
        <v>1.1000000000000001</v>
      </c>
      <c r="L1072" s="300">
        <f t="shared" si="119"/>
        <v>909.00480000000016</v>
      </c>
      <c r="M1072" s="285">
        <f t="shared" si="120"/>
        <v>909</v>
      </c>
      <c r="N1072" s="1076">
        <f t="shared" si="121"/>
        <v>909</v>
      </c>
      <c r="O1072" s="294"/>
      <c r="P1072" s="404"/>
      <c r="Q1072" s="404"/>
      <c r="R1072" s="301"/>
      <c r="S1072" s="301"/>
      <c r="T1072" s="301"/>
      <c r="U1072" s="301"/>
      <c r="V1072" s="301"/>
    </row>
    <row r="1073" spans="1:22" ht="14.4" thickTop="1" thickBot="1" x14ac:dyDescent="0.3">
      <c r="A1073" s="292"/>
      <c r="B1073" s="293"/>
      <c r="C1073" s="294"/>
      <c r="D1073" s="294"/>
      <c r="E1073" s="294"/>
      <c r="F1073" s="310"/>
      <c r="G1073" s="310"/>
      <c r="H1073" s="310"/>
      <c r="I1073" s="295"/>
      <c r="J1073" s="295">
        <f>J1072/100</f>
        <v>8.2636800000000008</v>
      </c>
      <c r="K1073" s="300">
        <f t="shared" si="84"/>
        <v>1.1000000000000001</v>
      </c>
      <c r="L1073" s="300">
        <f t="shared" si="119"/>
        <v>9.0900480000000012</v>
      </c>
      <c r="M1073" s="285">
        <f t="shared" si="120"/>
        <v>9.1</v>
      </c>
      <c r="N1073" s="1076">
        <f t="shared" si="121"/>
        <v>10</v>
      </c>
      <c r="O1073" s="294"/>
      <c r="P1073" s="423">
        <f>I1049</f>
        <v>1.1440000000000001</v>
      </c>
      <c r="Q1073" s="404">
        <f>J1077/P1073</f>
        <v>230.37062937062939</v>
      </c>
      <c r="R1073" s="301"/>
      <c r="S1073" s="301"/>
      <c r="T1073" s="301"/>
      <c r="U1073" s="301"/>
      <c r="V1073" s="301"/>
    </row>
    <row r="1074" spans="1:22" ht="14.4" thickTop="1" thickBot="1" x14ac:dyDescent="0.3">
      <c r="A1074" s="292"/>
      <c r="B1074" s="293"/>
      <c r="C1074" s="294"/>
      <c r="D1074" s="294"/>
      <c r="E1074" s="294"/>
      <c r="F1074" s="310"/>
      <c r="G1074" s="310"/>
      <c r="H1074" s="310"/>
      <c r="I1074" s="295"/>
      <c r="J1074" s="295"/>
      <c r="K1074" s="300">
        <f t="shared" si="84"/>
        <v>1.1000000000000001</v>
      </c>
      <c r="L1074" s="300">
        <f t="shared" si="116"/>
        <v>0</v>
      </c>
      <c r="M1074" s="285">
        <f t="shared" si="117"/>
        <v>0</v>
      </c>
      <c r="N1074" s="1076">
        <f t="shared" si="118"/>
        <v>0</v>
      </c>
      <c r="O1074" s="294"/>
      <c r="P1074" s="404"/>
      <c r="Q1074" s="404"/>
      <c r="R1074" s="301"/>
      <c r="S1074" s="301"/>
      <c r="T1074" s="301"/>
      <c r="U1074" s="301"/>
      <c r="V1074" s="301"/>
    </row>
    <row r="1075" spans="1:22" ht="14.4" thickTop="1" thickBot="1" x14ac:dyDescent="0.3">
      <c r="A1075" s="292"/>
      <c r="B1075" s="293" t="s">
        <v>2330</v>
      </c>
      <c r="C1075" s="294"/>
      <c r="D1075" s="294"/>
      <c r="E1075" s="294"/>
      <c r="F1075" s="310"/>
      <c r="G1075" s="310"/>
      <c r="H1075" s="310"/>
      <c r="I1075" s="295"/>
      <c r="J1075" s="295"/>
      <c r="K1075" s="300"/>
      <c r="L1075" s="300"/>
      <c r="M1075" s="285"/>
      <c r="N1075" s="1076"/>
      <c r="O1075" s="294"/>
      <c r="P1075" s="404"/>
      <c r="Q1075" s="404"/>
      <c r="R1075" s="301"/>
      <c r="S1075" s="301"/>
      <c r="T1075" s="301"/>
      <c r="U1075" s="301"/>
      <c r="V1075" s="301"/>
    </row>
    <row r="1076" spans="1:22" ht="14.4" thickTop="1" thickBot="1" x14ac:dyDescent="0.3">
      <c r="A1076" s="292"/>
      <c r="B1076" s="293" t="s">
        <v>1605</v>
      </c>
      <c r="C1076" s="294"/>
      <c r="D1076" s="294">
        <v>2</v>
      </c>
      <c r="E1076" s="294">
        <v>19</v>
      </c>
      <c r="F1076" s="310">
        <f>F1070</f>
        <v>2.2000000000000002</v>
      </c>
      <c r="G1076" s="310">
        <v>1.58</v>
      </c>
      <c r="H1076" s="310"/>
      <c r="I1076" s="295">
        <f>G1076*F1076*E1076*D1076</f>
        <v>132.08800000000002</v>
      </c>
      <c r="J1076" s="295"/>
      <c r="K1076" s="300"/>
      <c r="L1076" s="300"/>
      <c r="M1076" s="285"/>
      <c r="N1076" s="1076"/>
      <c r="O1076" s="294"/>
      <c r="P1076" s="413">
        <f>F1076/0.15</f>
        <v>14.666666666666668</v>
      </c>
      <c r="Q1076" s="404"/>
      <c r="R1076" s="301"/>
      <c r="S1076" s="301"/>
      <c r="T1076" s="301"/>
      <c r="U1076" s="301"/>
      <c r="V1076" s="301"/>
    </row>
    <row r="1077" spans="1:22" ht="14.4" thickTop="1" thickBot="1" x14ac:dyDescent="0.3">
      <c r="A1077" s="292"/>
      <c r="B1077" s="293"/>
      <c r="C1077" s="294"/>
      <c r="D1077" s="294">
        <v>2</v>
      </c>
      <c r="E1077" s="294">
        <v>16</v>
      </c>
      <c r="F1077" s="310">
        <f>F1071</f>
        <v>2.6</v>
      </c>
      <c r="G1077" s="310">
        <v>1.58</v>
      </c>
      <c r="H1077" s="310"/>
      <c r="I1077" s="295">
        <f>G1077*F1077*E1077*D1077</f>
        <v>131.45600000000002</v>
      </c>
      <c r="J1077" s="295">
        <f>SUM(I1076:I1077)</f>
        <v>263.54400000000004</v>
      </c>
      <c r="K1077" s="300"/>
      <c r="L1077" s="300"/>
      <c r="M1077" s="285"/>
      <c r="N1077" s="1076"/>
      <c r="O1077" s="294"/>
      <c r="P1077" s="413">
        <f>F1077/0.15</f>
        <v>17.333333333333336</v>
      </c>
      <c r="Q1077" s="404"/>
      <c r="R1077" s="301"/>
      <c r="S1077" s="301"/>
      <c r="T1077" s="301"/>
      <c r="U1077" s="301"/>
      <c r="V1077" s="301"/>
    </row>
    <row r="1078" spans="1:22" ht="14.4" thickTop="1" thickBot="1" x14ac:dyDescent="0.3">
      <c r="A1078" s="292"/>
      <c r="B1078" s="293"/>
      <c r="C1078" s="294"/>
      <c r="D1078" s="294"/>
      <c r="E1078" s="294"/>
      <c r="F1078" s="310"/>
      <c r="G1078" s="310"/>
      <c r="H1078" s="310"/>
      <c r="I1078" s="295"/>
      <c r="J1078" s="295"/>
      <c r="K1078" s="300"/>
      <c r="L1078" s="300"/>
      <c r="M1078" s="285"/>
      <c r="N1078" s="1076"/>
      <c r="O1078" s="294"/>
      <c r="P1078" s="404"/>
      <c r="Q1078" s="404"/>
      <c r="R1078" s="301"/>
      <c r="S1078" s="301"/>
      <c r="T1078" s="301"/>
      <c r="U1078" s="301"/>
      <c r="V1078" s="301"/>
    </row>
    <row r="1079" spans="1:22" ht="14.4" thickTop="1" thickBot="1" x14ac:dyDescent="0.3">
      <c r="A1079" s="292"/>
      <c r="B1079" s="293" t="s">
        <v>2331</v>
      </c>
      <c r="C1079" s="294"/>
      <c r="D1079" s="294"/>
      <c r="E1079" s="294"/>
      <c r="F1079" s="310">
        <v>4</v>
      </c>
      <c r="G1079" s="310">
        <v>2</v>
      </c>
      <c r="H1079" s="310">
        <v>0.22500000000000001</v>
      </c>
      <c r="I1079" s="295">
        <f>H1079*G1079*F1079</f>
        <v>1.8</v>
      </c>
      <c r="J1079" s="295"/>
      <c r="K1079" s="300"/>
      <c r="L1079" s="300"/>
      <c r="M1079" s="285"/>
      <c r="N1079" s="1076"/>
      <c r="O1079" s="294"/>
      <c r="P1079" s="404">
        <f>4/0.17</f>
        <v>23.52941176470588</v>
      </c>
      <c r="Q1079" s="404">
        <f>2/0.15</f>
        <v>13.333333333333334</v>
      </c>
      <c r="R1079" s="301"/>
      <c r="S1079" s="301"/>
      <c r="T1079" s="301"/>
      <c r="U1079" s="301"/>
      <c r="V1079" s="301"/>
    </row>
    <row r="1080" spans="1:22" ht="14.4" thickTop="1" thickBot="1" x14ac:dyDescent="0.3">
      <c r="A1080" s="292"/>
      <c r="B1080" s="293"/>
      <c r="C1080" s="294"/>
      <c r="D1080" s="294">
        <v>2</v>
      </c>
      <c r="E1080" s="294">
        <v>25</v>
      </c>
      <c r="F1080" s="310">
        <v>2</v>
      </c>
      <c r="G1080" s="310">
        <v>0.61699999999999999</v>
      </c>
      <c r="H1080" s="310"/>
      <c r="I1080" s="295">
        <f>G1080*F1080*E1080*D1080</f>
        <v>61.7</v>
      </c>
      <c r="J1080" s="295"/>
      <c r="K1080" s="300"/>
      <c r="L1080" s="300"/>
      <c r="M1080" s="285"/>
      <c r="N1080" s="1076"/>
      <c r="O1080" s="294"/>
      <c r="P1080" s="404"/>
      <c r="Q1080" s="404">
        <f>10*10/162</f>
        <v>0.61728395061728392</v>
      </c>
      <c r="R1080" s="301"/>
      <c r="S1080" s="301"/>
      <c r="T1080" s="301"/>
      <c r="U1080" s="301"/>
      <c r="V1080" s="301"/>
    </row>
    <row r="1081" spans="1:22" ht="14.4" thickTop="1" thickBot="1" x14ac:dyDescent="0.3">
      <c r="A1081" s="292"/>
      <c r="B1081" s="293"/>
      <c r="C1081" s="294"/>
      <c r="D1081" s="294">
        <v>2</v>
      </c>
      <c r="E1081" s="294">
        <v>15</v>
      </c>
      <c r="F1081" s="310">
        <v>4</v>
      </c>
      <c r="G1081" s="310">
        <v>0.61699999999999999</v>
      </c>
      <c r="H1081" s="310"/>
      <c r="I1081" s="295">
        <f>G1081*F1081*E1081*D1081</f>
        <v>74.039999999999992</v>
      </c>
      <c r="J1081" s="295">
        <f>SUM(I1080:I1081)</f>
        <v>135.74</v>
      </c>
      <c r="K1081" s="300"/>
      <c r="L1081" s="300"/>
      <c r="M1081" s="285"/>
      <c r="N1081" s="1076"/>
      <c r="O1081" s="294"/>
      <c r="P1081" s="404"/>
      <c r="Q1081" s="404"/>
      <c r="R1081" s="301"/>
      <c r="S1081" s="301"/>
      <c r="T1081" s="301"/>
      <c r="U1081" s="301"/>
      <c r="V1081" s="301"/>
    </row>
    <row r="1082" spans="1:22" ht="14.4" thickTop="1" thickBot="1" x14ac:dyDescent="0.3">
      <c r="A1082" s="292"/>
      <c r="B1082" s="293"/>
      <c r="C1082" s="294"/>
      <c r="D1082" s="294"/>
      <c r="E1082" s="294"/>
      <c r="F1082" s="310"/>
      <c r="G1082" s="310"/>
      <c r="H1082" s="310"/>
      <c r="I1082" s="295"/>
      <c r="J1082" s="295">
        <f>J1081/I1079</f>
        <v>75.411111111111111</v>
      </c>
      <c r="K1082" s="300"/>
      <c r="L1082" s="300"/>
      <c r="M1082" s="285"/>
      <c r="N1082" s="1076"/>
      <c r="O1082" s="294"/>
      <c r="P1082" s="404"/>
      <c r="Q1082" s="404"/>
      <c r="R1082" s="301"/>
      <c r="S1082" s="301"/>
      <c r="T1082" s="301"/>
      <c r="U1082" s="301"/>
      <c r="V1082" s="301"/>
    </row>
    <row r="1083" spans="1:22" ht="14.4" thickTop="1" thickBot="1" x14ac:dyDescent="0.3">
      <c r="A1083" s="292"/>
      <c r="B1083" s="293"/>
      <c r="C1083" s="294"/>
      <c r="D1083" s="294"/>
      <c r="E1083" s="294"/>
      <c r="F1083" s="310"/>
      <c r="G1083" s="310"/>
      <c r="H1083" s="310"/>
      <c r="I1083" s="295"/>
      <c r="J1083" s="295"/>
      <c r="K1083" s="300"/>
      <c r="L1083" s="300"/>
      <c r="M1083" s="285"/>
      <c r="N1083" s="1076"/>
      <c r="O1083" s="294"/>
      <c r="P1083" s="404"/>
      <c r="Q1083" s="404"/>
      <c r="R1083" s="301"/>
      <c r="S1083" s="301"/>
      <c r="T1083" s="301"/>
      <c r="U1083" s="301"/>
      <c r="V1083" s="301"/>
    </row>
    <row r="1084" spans="1:22" ht="14.4" thickTop="1" thickBot="1" x14ac:dyDescent="0.3">
      <c r="A1084" s="292"/>
      <c r="B1084" s="293"/>
      <c r="C1084" s="294"/>
      <c r="D1084" s="294"/>
      <c r="E1084" s="294"/>
      <c r="F1084" s="310"/>
      <c r="G1084" s="310"/>
      <c r="H1084" s="310"/>
      <c r="I1084" s="295"/>
      <c r="J1084" s="295"/>
      <c r="K1084" s="300"/>
      <c r="L1084" s="300"/>
      <c r="M1084" s="285"/>
      <c r="N1084" s="1076"/>
      <c r="O1084" s="294"/>
      <c r="P1084" s="404"/>
      <c r="Q1084" s="404"/>
      <c r="R1084" s="301"/>
      <c r="S1084" s="301"/>
      <c r="T1084" s="301"/>
      <c r="U1084" s="301"/>
      <c r="V1084" s="301"/>
    </row>
    <row r="1085" spans="1:22" ht="14.4" thickTop="1" thickBot="1" x14ac:dyDescent="0.3">
      <c r="A1085" s="292"/>
      <c r="B1085" s="296" t="s">
        <v>2192</v>
      </c>
      <c r="C1085" s="294"/>
      <c r="D1085" s="294"/>
      <c r="E1085" s="294"/>
      <c r="F1085" s="310"/>
      <c r="G1085" s="310"/>
      <c r="H1085" s="310"/>
      <c r="I1085" s="295"/>
      <c r="J1085" s="295"/>
      <c r="K1085" s="300">
        <f t="shared" si="84"/>
        <v>1.1000000000000001</v>
      </c>
      <c r="L1085" s="300">
        <f t="shared" si="116"/>
        <v>0</v>
      </c>
      <c r="M1085" s="285">
        <f t="shared" si="117"/>
        <v>0</v>
      </c>
      <c r="N1085" s="1076">
        <f t="shared" si="118"/>
        <v>0</v>
      </c>
      <c r="O1085" s="294"/>
      <c r="P1085" s="404"/>
      <c r="Q1085" s="404"/>
      <c r="R1085" s="301"/>
      <c r="S1085" s="301"/>
      <c r="T1085" s="301"/>
      <c r="U1085" s="301"/>
      <c r="V1085" s="301"/>
    </row>
    <row r="1086" spans="1:22" ht="14.4" thickTop="1" thickBot="1" x14ac:dyDescent="0.3">
      <c r="A1086" s="292"/>
      <c r="B1086" s="296" t="s">
        <v>2230</v>
      </c>
      <c r="C1086" s="294"/>
      <c r="D1086" s="294"/>
      <c r="E1086" s="294"/>
      <c r="F1086" s="310">
        <v>7.9589999999999996</v>
      </c>
      <c r="G1086" s="310">
        <v>0.3</v>
      </c>
      <c r="H1086" s="310">
        <v>0.6</v>
      </c>
      <c r="I1086" s="295">
        <f>H1086*G1086*F1086</f>
        <v>1.4326199999999998</v>
      </c>
      <c r="J1086" s="295"/>
      <c r="K1086" s="300"/>
      <c r="L1086" s="300"/>
      <c r="M1086" s="285"/>
      <c r="N1086" s="1076"/>
      <c r="O1086" s="294"/>
      <c r="P1086" s="404">
        <f>F1086*G1086*0.125</f>
        <v>0.29846249999999996</v>
      </c>
      <c r="Q1086" s="404"/>
      <c r="R1086" s="301"/>
      <c r="S1086" s="301"/>
      <c r="T1086" s="301"/>
      <c r="U1086" s="301"/>
      <c r="V1086" s="301"/>
    </row>
    <row r="1087" spans="1:22" ht="14.4" thickTop="1" thickBot="1" x14ac:dyDescent="0.3">
      <c r="A1087" s="292"/>
      <c r="B1087" s="296" t="s">
        <v>2193</v>
      </c>
      <c r="C1087" s="294"/>
      <c r="D1087" s="294"/>
      <c r="E1087" s="294"/>
      <c r="F1087" s="310">
        <v>59.545999999999999</v>
      </c>
      <c r="G1087" s="310">
        <v>0.22500000000000001</v>
      </c>
      <c r="H1087" s="310">
        <v>0.45</v>
      </c>
      <c r="I1087" s="295">
        <f t="shared" ref="I1087:I1124" si="122">H1087*G1087*F1087</f>
        <v>6.0290325000000005</v>
      </c>
      <c r="J1087" s="295"/>
      <c r="K1087" s="300">
        <f t="shared" si="84"/>
        <v>1.1000000000000001</v>
      </c>
      <c r="L1087" s="300">
        <f t="shared" si="116"/>
        <v>0</v>
      </c>
      <c r="M1087" s="285">
        <f t="shared" si="117"/>
        <v>0</v>
      </c>
      <c r="N1087" s="1076">
        <f t="shared" si="118"/>
        <v>0</v>
      </c>
      <c r="O1087" s="294"/>
      <c r="P1087" s="404">
        <f t="shared" ref="P1087:P1124" si="123">F1087*G1087*0.125</f>
        <v>1.67473125</v>
      </c>
      <c r="Q1087" s="404"/>
      <c r="R1087" s="301"/>
      <c r="S1087" s="301"/>
      <c r="T1087" s="301"/>
      <c r="U1087" s="301"/>
      <c r="V1087" s="301"/>
    </row>
    <row r="1088" spans="1:22" ht="14.4" thickTop="1" thickBot="1" x14ac:dyDescent="0.3">
      <c r="A1088" s="292"/>
      <c r="B1088" s="296" t="s">
        <v>2194</v>
      </c>
      <c r="C1088" s="294"/>
      <c r="D1088" s="294"/>
      <c r="E1088" s="294"/>
      <c r="F1088" s="310">
        <v>59.545999999999999</v>
      </c>
      <c r="G1088" s="310">
        <v>0.3</v>
      </c>
      <c r="H1088" s="310">
        <v>0.45</v>
      </c>
      <c r="I1088" s="295">
        <f t="shared" si="122"/>
        <v>8.03871</v>
      </c>
      <c r="J1088" s="295"/>
      <c r="K1088" s="300">
        <f t="shared" si="84"/>
        <v>1.1000000000000001</v>
      </c>
      <c r="L1088" s="300">
        <f t="shared" si="116"/>
        <v>0</v>
      </c>
      <c r="M1088" s="285">
        <f t="shared" si="117"/>
        <v>0</v>
      </c>
      <c r="N1088" s="1076">
        <f t="shared" si="118"/>
        <v>0</v>
      </c>
      <c r="O1088" s="294"/>
      <c r="P1088" s="404">
        <f t="shared" si="123"/>
        <v>2.2329749999999997</v>
      </c>
      <c r="Q1088" s="404"/>
      <c r="R1088" s="301"/>
      <c r="S1088" s="301"/>
      <c r="T1088" s="301"/>
      <c r="U1088" s="301"/>
      <c r="V1088" s="301"/>
    </row>
    <row r="1089" spans="1:22" ht="14.4" thickTop="1" thickBot="1" x14ac:dyDescent="0.3">
      <c r="A1089" s="292"/>
      <c r="B1089" s="296" t="s">
        <v>2195</v>
      </c>
      <c r="C1089" s="294"/>
      <c r="D1089" s="294"/>
      <c r="E1089" s="294"/>
      <c r="F1089" s="310">
        <v>9.7620000000000005</v>
      </c>
      <c r="G1089" s="310">
        <v>0.22500000000000001</v>
      </c>
      <c r="H1089" s="310">
        <v>0.45</v>
      </c>
      <c r="I1089" s="295">
        <f t="shared" si="122"/>
        <v>0.98840250000000007</v>
      </c>
      <c r="J1089" s="295"/>
      <c r="K1089" s="300">
        <f t="shared" si="84"/>
        <v>1.1000000000000001</v>
      </c>
      <c r="L1089" s="300">
        <f t="shared" si="116"/>
        <v>0</v>
      </c>
      <c r="M1089" s="285">
        <f t="shared" si="117"/>
        <v>0</v>
      </c>
      <c r="N1089" s="1076">
        <f t="shared" si="118"/>
        <v>0</v>
      </c>
      <c r="O1089" s="294"/>
      <c r="P1089" s="404">
        <f t="shared" si="123"/>
        <v>0.27455625</v>
      </c>
      <c r="Q1089" s="404"/>
      <c r="R1089" s="301"/>
      <c r="S1089" s="301"/>
      <c r="T1089" s="301"/>
      <c r="U1089" s="301"/>
      <c r="V1089" s="301"/>
    </row>
    <row r="1090" spans="1:22" ht="14.4" thickTop="1" thickBot="1" x14ac:dyDescent="0.3">
      <c r="A1090" s="292"/>
      <c r="B1090" s="296" t="s">
        <v>2196</v>
      </c>
      <c r="C1090" s="294"/>
      <c r="D1090" s="294"/>
      <c r="E1090" s="294"/>
      <c r="F1090" s="310">
        <v>19.05</v>
      </c>
      <c r="G1090" s="310">
        <v>0.22500000000000001</v>
      </c>
      <c r="H1090" s="310">
        <v>0.45</v>
      </c>
      <c r="I1090" s="295">
        <f t="shared" si="122"/>
        <v>1.9288125000000003</v>
      </c>
      <c r="J1090" s="295"/>
      <c r="K1090" s="300">
        <f t="shared" si="84"/>
        <v>1.1000000000000001</v>
      </c>
      <c r="L1090" s="300">
        <f t="shared" si="116"/>
        <v>0</v>
      </c>
      <c r="M1090" s="285">
        <f t="shared" si="117"/>
        <v>0</v>
      </c>
      <c r="N1090" s="1076">
        <f t="shared" si="118"/>
        <v>0</v>
      </c>
      <c r="O1090" s="294"/>
      <c r="P1090" s="404">
        <f t="shared" si="123"/>
        <v>0.53578124999999999</v>
      </c>
      <c r="Q1090" s="404"/>
      <c r="R1090" s="301"/>
      <c r="S1090" s="301"/>
      <c r="T1090" s="301"/>
      <c r="U1090" s="301"/>
      <c r="V1090" s="301"/>
    </row>
    <row r="1091" spans="1:22" ht="14.4" thickTop="1" thickBot="1" x14ac:dyDescent="0.3">
      <c r="A1091" s="292"/>
      <c r="B1091" s="296" t="s">
        <v>2197</v>
      </c>
      <c r="C1091" s="294"/>
      <c r="D1091" s="294"/>
      <c r="E1091" s="294"/>
      <c r="F1091" s="310">
        <v>17.824999999999999</v>
      </c>
      <c r="G1091" s="310">
        <v>0.3</v>
      </c>
      <c r="H1091" s="310">
        <v>0.45</v>
      </c>
      <c r="I1091" s="295">
        <f t="shared" si="122"/>
        <v>2.4063750000000002</v>
      </c>
      <c r="J1091" s="295"/>
      <c r="K1091" s="300">
        <f t="shared" si="84"/>
        <v>1.1000000000000001</v>
      </c>
      <c r="L1091" s="300">
        <f t="shared" si="116"/>
        <v>0</v>
      </c>
      <c r="M1091" s="285">
        <f t="shared" si="117"/>
        <v>0</v>
      </c>
      <c r="N1091" s="1076">
        <f t="shared" si="118"/>
        <v>0</v>
      </c>
      <c r="O1091" s="294"/>
      <c r="P1091" s="404">
        <f t="shared" si="123"/>
        <v>0.66843749999999991</v>
      </c>
      <c r="Q1091" s="404"/>
      <c r="R1091" s="301"/>
      <c r="S1091" s="301"/>
      <c r="T1091" s="301"/>
      <c r="U1091" s="301"/>
      <c r="V1091" s="301"/>
    </row>
    <row r="1092" spans="1:22" ht="14.4" thickTop="1" thickBot="1" x14ac:dyDescent="0.3">
      <c r="A1092" s="292"/>
      <c r="B1092" s="296" t="s">
        <v>2198</v>
      </c>
      <c r="C1092" s="294"/>
      <c r="D1092" s="294"/>
      <c r="E1092" s="294"/>
      <c r="F1092" s="310">
        <v>22.776</v>
      </c>
      <c r="G1092" s="310">
        <v>0.3</v>
      </c>
      <c r="H1092" s="310">
        <v>0.45</v>
      </c>
      <c r="I1092" s="295">
        <f t="shared" si="122"/>
        <v>3.0747600000000004</v>
      </c>
      <c r="J1092" s="295"/>
      <c r="K1092" s="300">
        <f t="shared" si="84"/>
        <v>1.1000000000000001</v>
      </c>
      <c r="L1092" s="300">
        <f t="shared" si="116"/>
        <v>0</v>
      </c>
      <c r="M1092" s="285">
        <f t="shared" si="117"/>
        <v>0</v>
      </c>
      <c r="N1092" s="1076">
        <f t="shared" si="118"/>
        <v>0</v>
      </c>
      <c r="O1092" s="294"/>
      <c r="P1092" s="404">
        <f t="shared" si="123"/>
        <v>0.85409999999999997</v>
      </c>
      <c r="Q1092" s="404"/>
      <c r="R1092" s="301"/>
      <c r="S1092" s="301"/>
      <c r="T1092" s="301"/>
      <c r="U1092" s="301"/>
      <c r="V1092" s="301"/>
    </row>
    <row r="1093" spans="1:22" ht="14.4" thickTop="1" thickBot="1" x14ac:dyDescent="0.3">
      <c r="A1093" s="292"/>
      <c r="B1093" s="296" t="s">
        <v>2199</v>
      </c>
      <c r="C1093" s="294"/>
      <c r="D1093" s="294"/>
      <c r="E1093" s="294"/>
      <c r="F1093" s="310">
        <v>35.923999999999999</v>
      </c>
      <c r="G1093" s="310">
        <v>0.3</v>
      </c>
      <c r="H1093" s="310">
        <v>0.45</v>
      </c>
      <c r="I1093" s="295">
        <f t="shared" si="122"/>
        <v>4.8497400000000006</v>
      </c>
      <c r="J1093" s="295"/>
      <c r="K1093" s="300">
        <f t="shared" si="84"/>
        <v>1.1000000000000001</v>
      </c>
      <c r="L1093" s="300">
        <f t="shared" si="116"/>
        <v>0</v>
      </c>
      <c r="M1093" s="285">
        <f t="shared" si="117"/>
        <v>0</v>
      </c>
      <c r="N1093" s="1076">
        <f t="shared" si="118"/>
        <v>0</v>
      </c>
      <c r="O1093" s="294"/>
      <c r="P1093" s="404">
        <f t="shared" si="123"/>
        <v>1.3471499999999998</v>
      </c>
      <c r="Q1093" s="404"/>
      <c r="R1093" s="301"/>
      <c r="S1093" s="301"/>
      <c r="T1093" s="301"/>
      <c r="U1093" s="301"/>
      <c r="V1093" s="301"/>
    </row>
    <row r="1094" spans="1:22" ht="14.4" thickTop="1" thickBot="1" x14ac:dyDescent="0.3">
      <c r="A1094" s="292"/>
      <c r="B1094" s="296" t="s">
        <v>2200</v>
      </c>
      <c r="C1094" s="294"/>
      <c r="D1094" s="294"/>
      <c r="E1094" s="294"/>
      <c r="F1094" s="310">
        <v>27.925000000000001</v>
      </c>
      <c r="G1094" s="310">
        <v>0.22500000000000001</v>
      </c>
      <c r="H1094" s="310">
        <v>0.45</v>
      </c>
      <c r="I1094" s="295">
        <f t="shared" si="122"/>
        <v>2.8274062500000001</v>
      </c>
      <c r="J1094" s="295"/>
      <c r="K1094" s="300">
        <f t="shared" si="84"/>
        <v>1.1000000000000001</v>
      </c>
      <c r="L1094" s="300">
        <f t="shared" si="116"/>
        <v>0</v>
      </c>
      <c r="M1094" s="285">
        <f t="shared" si="117"/>
        <v>0</v>
      </c>
      <c r="N1094" s="1076">
        <f t="shared" si="118"/>
        <v>0</v>
      </c>
      <c r="O1094" s="294"/>
      <c r="P1094" s="404">
        <f t="shared" si="123"/>
        <v>0.78539062500000001</v>
      </c>
      <c r="Q1094" s="404"/>
      <c r="R1094" s="301"/>
      <c r="S1094" s="301"/>
      <c r="T1094" s="301"/>
      <c r="U1094" s="301"/>
      <c r="V1094" s="301"/>
    </row>
    <row r="1095" spans="1:22" ht="14.4" thickTop="1" thickBot="1" x14ac:dyDescent="0.3">
      <c r="A1095" s="292"/>
      <c r="B1095" s="296" t="s">
        <v>2201</v>
      </c>
      <c r="C1095" s="294"/>
      <c r="D1095" s="294"/>
      <c r="E1095" s="294"/>
      <c r="F1095" s="310">
        <v>26.074999999999999</v>
      </c>
      <c r="G1095" s="310">
        <v>0.22500000000000001</v>
      </c>
      <c r="H1095" s="310">
        <v>0.45</v>
      </c>
      <c r="I1095" s="295">
        <f t="shared" si="122"/>
        <v>2.6400937500000001</v>
      </c>
      <c r="J1095" s="295"/>
      <c r="K1095" s="300">
        <f t="shared" si="84"/>
        <v>1.1000000000000001</v>
      </c>
      <c r="L1095" s="300">
        <f t="shared" si="116"/>
        <v>0</v>
      </c>
      <c r="M1095" s="285">
        <f t="shared" si="117"/>
        <v>0</v>
      </c>
      <c r="N1095" s="1076">
        <f t="shared" si="118"/>
        <v>0</v>
      </c>
      <c r="O1095" s="294"/>
      <c r="P1095" s="404">
        <f t="shared" si="123"/>
        <v>0.73335937500000004</v>
      </c>
      <c r="Q1095" s="404"/>
      <c r="R1095" s="301"/>
      <c r="S1095" s="301"/>
      <c r="T1095" s="301"/>
      <c r="U1095" s="301"/>
      <c r="V1095" s="301"/>
    </row>
    <row r="1096" spans="1:22" ht="14.4" thickTop="1" thickBot="1" x14ac:dyDescent="0.3">
      <c r="A1096" s="292"/>
      <c r="B1096" s="296" t="s">
        <v>2202</v>
      </c>
      <c r="C1096" s="294"/>
      <c r="D1096" s="294"/>
      <c r="E1096" s="294"/>
      <c r="F1096" s="310">
        <v>27.774999999999999</v>
      </c>
      <c r="G1096" s="310">
        <v>0.3</v>
      </c>
      <c r="H1096" s="310">
        <v>0.45</v>
      </c>
      <c r="I1096" s="295">
        <f t="shared" si="122"/>
        <v>3.749625</v>
      </c>
      <c r="J1096" s="295"/>
      <c r="K1096" s="300">
        <f t="shared" si="84"/>
        <v>1.1000000000000001</v>
      </c>
      <c r="L1096" s="300">
        <f t="shared" si="116"/>
        <v>0</v>
      </c>
      <c r="M1096" s="285">
        <f t="shared" si="117"/>
        <v>0</v>
      </c>
      <c r="N1096" s="1076">
        <f t="shared" si="118"/>
        <v>0</v>
      </c>
      <c r="O1096" s="294"/>
      <c r="P1096" s="404">
        <f t="shared" si="123"/>
        <v>1.0415624999999999</v>
      </c>
      <c r="Q1096" s="404"/>
      <c r="R1096" s="301"/>
      <c r="S1096" s="301"/>
      <c r="T1096" s="301"/>
      <c r="U1096" s="301"/>
      <c r="V1096" s="301"/>
    </row>
    <row r="1097" spans="1:22" ht="14.4" thickTop="1" thickBot="1" x14ac:dyDescent="0.3">
      <c r="A1097" s="292"/>
      <c r="B1097" s="296" t="s">
        <v>2203</v>
      </c>
      <c r="C1097" s="294"/>
      <c r="D1097" s="294"/>
      <c r="E1097" s="294"/>
      <c r="F1097" s="310">
        <v>2.1120000000000001</v>
      </c>
      <c r="G1097" s="310">
        <v>0.22500000000000001</v>
      </c>
      <c r="H1097" s="310">
        <v>0.45</v>
      </c>
      <c r="I1097" s="295">
        <f t="shared" si="122"/>
        <v>0.21384000000000003</v>
      </c>
      <c r="J1097" s="295"/>
      <c r="K1097" s="300">
        <f t="shared" si="84"/>
        <v>1.1000000000000001</v>
      </c>
      <c r="L1097" s="300">
        <f t="shared" si="116"/>
        <v>0</v>
      </c>
      <c r="M1097" s="285">
        <f t="shared" si="117"/>
        <v>0</v>
      </c>
      <c r="N1097" s="1076">
        <f t="shared" si="118"/>
        <v>0</v>
      </c>
      <c r="O1097" s="294"/>
      <c r="P1097" s="404">
        <f t="shared" si="123"/>
        <v>5.9400000000000001E-2</v>
      </c>
      <c r="Q1097" s="404"/>
      <c r="R1097" s="301"/>
      <c r="S1097" s="301"/>
      <c r="T1097" s="301"/>
      <c r="U1097" s="301"/>
      <c r="V1097" s="301"/>
    </row>
    <row r="1098" spans="1:22" ht="14.4" thickTop="1" thickBot="1" x14ac:dyDescent="0.3">
      <c r="A1098" s="292"/>
      <c r="B1098" s="296" t="s">
        <v>2204</v>
      </c>
      <c r="C1098" s="294"/>
      <c r="D1098" s="294"/>
      <c r="E1098" s="294"/>
      <c r="F1098" s="310">
        <v>23.736999999999998</v>
      </c>
      <c r="G1098" s="310">
        <v>0.3</v>
      </c>
      <c r="H1098" s="310">
        <v>0.45</v>
      </c>
      <c r="I1098" s="295">
        <f t="shared" si="122"/>
        <v>3.2044950000000001</v>
      </c>
      <c r="J1098" s="295"/>
      <c r="K1098" s="300">
        <f t="shared" ref="K1098:K1178" si="124">$K$2</f>
        <v>1.1000000000000001</v>
      </c>
      <c r="L1098" s="300">
        <f t="shared" si="116"/>
        <v>0</v>
      </c>
      <c r="M1098" s="285">
        <f t="shared" si="117"/>
        <v>0</v>
      </c>
      <c r="N1098" s="1076">
        <f t="shared" si="118"/>
        <v>0</v>
      </c>
      <c r="O1098" s="294"/>
      <c r="P1098" s="404">
        <f t="shared" si="123"/>
        <v>0.89013749999999991</v>
      </c>
      <c r="Q1098" s="404"/>
      <c r="R1098" s="301"/>
      <c r="S1098" s="301"/>
      <c r="T1098" s="301"/>
      <c r="U1098" s="301"/>
      <c r="V1098" s="301"/>
    </row>
    <row r="1099" spans="1:22" ht="14.4" thickTop="1" thickBot="1" x14ac:dyDescent="0.3">
      <c r="A1099" s="292"/>
      <c r="B1099" s="296" t="s">
        <v>2205</v>
      </c>
      <c r="C1099" s="294"/>
      <c r="D1099" s="294"/>
      <c r="E1099" s="294"/>
      <c r="F1099" s="310">
        <v>20.638000000000002</v>
      </c>
      <c r="G1099" s="310">
        <v>0.22500000000000001</v>
      </c>
      <c r="H1099" s="310">
        <v>0.55000000000000004</v>
      </c>
      <c r="I1099" s="295">
        <f t="shared" si="122"/>
        <v>2.5539525000000003</v>
      </c>
      <c r="J1099" s="295"/>
      <c r="K1099" s="300">
        <f t="shared" si="124"/>
        <v>1.1000000000000001</v>
      </c>
      <c r="L1099" s="300">
        <f t="shared" si="116"/>
        <v>0</v>
      </c>
      <c r="M1099" s="285">
        <f t="shared" si="117"/>
        <v>0</v>
      </c>
      <c r="N1099" s="1076">
        <f t="shared" si="118"/>
        <v>0</v>
      </c>
      <c r="O1099" s="294"/>
      <c r="P1099" s="404">
        <f t="shared" si="123"/>
        <v>0.58044375000000004</v>
      </c>
      <c r="Q1099" s="404"/>
      <c r="R1099" s="301"/>
      <c r="S1099" s="301"/>
      <c r="T1099" s="301"/>
      <c r="U1099" s="301"/>
      <c r="V1099" s="301"/>
    </row>
    <row r="1100" spans="1:22" ht="14.4" thickTop="1" thickBot="1" x14ac:dyDescent="0.3">
      <c r="A1100" s="292"/>
      <c r="B1100" s="296" t="s">
        <v>2206</v>
      </c>
      <c r="C1100" s="294"/>
      <c r="D1100" s="294"/>
      <c r="E1100" s="294"/>
      <c r="F1100" s="310">
        <v>7.2130000000000001</v>
      </c>
      <c r="G1100" s="310">
        <v>0.22500000000000001</v>
      </c>
      <c r="H1100" s="310">
        <v>0.45</v>
      </c>
      <c r="I1100" s="295">
        <f t="shared" si="122"/>
        <v>0.73031625000000011</v>
      </c>
      <c r="J1100" s="295"/>
      <c r="K1100" s="300">
        <f t="shared" si="124"/>
        <v>1.1000000000000001</v>
      </c>
      <c r="L1100" s="300">
        <f t="shared" si="116"/>
        <v>0</v>
      </c>
      <c r="M1100" s="285">
        <f t="shared" si="117"/>
        <v>0</v>
      </c>
      <c r="N1100" s="1076">
        <f t="shared" si="118"/>
        <v>0</v>
      </c>
      <c r="O1100" s="294"/>
      <c r="P1100" s="404">
        <f t="shared" si="123"/>
        <v>0.20286562499999999</v>
      </c>
      <c r="Q1100" s="404"/>
      <c r="R1100" s="301"/>
      <c r="S1100" s="301"/>
      <c r="T1100" s="301"/>
      <c r="U1100" s="301"/>
      <c r="V1100" s="301"/>
    </row>
    <row r="1101" spans="1:22" ht="14.4" thickTop="1" thickBot="1" x14ac:dyDescent="0.3">
      <c r="A1101" s="292"/>
      <c r="B1101" s="296" t="s">
        <v>2207</v>
      </c>
      <c r="C1101" s="294"/>
      <c r="D1101" s="294"/>
      <c r="E1101" s="294"/>
      <c r="F1101" s="310">
        <v>15.625</v>
      </c>
      <c r="G1101" s="310">
        <v>0.22500000000000001</v>
      </c>
      <c r="H1101" s="310">
        <v>0.45</v>
      </c>
      <c r="I1101" s="295">
        <f t="shared" si="122"/>
        <v>1.58203125</v>
      </c>
      <c r="J1101" s="295"/>
      <c r="K1101" s="300">
        <f t="shared" si="124"/>
        <v>1.1000000000000001</v>
      </c>
      <c r="L1101" s="300">
        <f t="shared" si="116"/>
        <v>0</v>
      </c>
      <c r="M1101" s="285">
        <f t="shared" si="117"/>
        <v>0</v>
      </c>
      <c r="N1101" s="1076">
        <f t="shared" si="118"/>
        <v>0</v>
      </c>
      <c r="O1101" s="294"/>
      <c r="P1101" s="404">
        <f t="shared" si="123"/>
        <v>0.439453125</v>
      </c>
      <c r="Q1101" s="404"/>
      <c r="R1101" s="301"/>
      <c r="S1101" s="301"/>
      <c r="T1101" s="301"/>
      <c r="U1101" s="301"/>
      <c r="V1101" s="301"/>
    </row>
    <row r="1102" spans="1:22" ht="14.4" thickTop="1" thickBot="1" x14ac:dyDescent="0.3">
      <c r="A1102" s="292"/>
      <c r="B1102" s="296" t="s">
        <v>2208</v>
      </c>
      <c r="C1102" s="294"/>
      <c r="D1102" s="294"/>
      <c r="E1102" s="294"/>
      <c r="F1102" s="310">
        <v>8</v>
      </c>
      <c r="G1102" s="310">
        <v>0.22500000000000001</v>
      </c>
      <c r="H1102" s="310">
        <v>0.45</v>
      </c>
      <c r="I1102" s="295">
        <f t="shared" si="122"/>
        <v>0.81</v>
      </c>
      <c r="J1102" s="295"/>
      <c r="K1102" s="300">
        <f t="shared" si="124"/>
        <v>1.1000000000000001</v>
      </c>
      <c r="L1102" s="300">
        <f t="shared" si="116"/>
        <v>0</v>
      </c>
      <c r="M1102" s="285">
        <f t="shared" si="117"/>
        <v>0</v>
      </c>
      <c r="N1102" s="1076">
        <f t="shared" si="118"/>
        <v>0</v>
      </c>
      <c r="O1102" s="294"/>
      <c r="P1102" s="404">
        <f t="shared" si="123"/>
        <v>0.22500000000000001</v>
      </c>
      <c r="Q1102" s="404"/>
      <c r="R1102" s="301"/>
      <c r="S1102" s="301"/>
      <c r="T1102" s="301"/>
      <c r="U1102" s="301"/>
      <c r="V1102" s="301"/>
    </row>
    <row r="1103" spans="1:22" ht="14.4" thickTop="1" thickBot="1" x14ac:dyDescent="0.3">
      <c r="A1103" s="292"/>
      <c r="B1103" s="296" t="s">
        <v>2209</v>
      </c>
      <c r="C1103" s="294"/>
      <c r="D1103" s="294"/>
      <c r="E1103" s="294"/>
      <c r="F1103" s="310">
        <v>18.983000000000001</v>
      </c>
      <c r="G1103" s="310">
        <v>0.22500000000000001</v>
      </c>
      <c r="H1103" s="310">
        <v>0.45</v>
      </c>
      <c r="I1103" s="295">
        <f t="shared" si="122"/>
        <v>1.9220287500000002</v>
      </c>
      <c r="J1103" s="295"/>
      <c r="K1103" s="300">
        <f t="shared" si="124"/>
        <v>1.1000000000000001</v>
      </c>
      <c r="L1103" s="300">
        <f t="shared" si="116"/>
        <v>0</v>
      </c>
      <c r="M1103" s="285">
        <f t="shared" si="117"/>
        <v>0</v>
      </c>
      <c r="N1103" s="1076">
        <f t="shared" si="118"/>
        <v>0</v>
      </c>
      <c r="O1103" s="294"/>
      <c r="P1103" s="404">
        <f t="shared" si="123"/>
        <v>0.53389687500000005</v>
      </c>
      <c r="Q1103" s="404"/>
      <c r="R1103" s="301"/>
      <c r="S1103" s="301"/>
      <c r="T1103" s="301"/>
      <c r="U1103" s="301"/>
      <c r="V1103" s="301"/>
    </row>
    <row r="1104" spans="1:22" ht="14.4" thickTop="1" thickBot="1" x14ac:dyDescent="0.3">
      <c r="A1104" s="292"/>
      <c r="B1104" s="296" t="s">
        <v>2210</v>
      </c>
      <c r="C1104" s="294"/>
      <c r="D1104" s="294"/>
      <c r="E1104" s="294"/>
      <c r="F1104" s="310">
        <v>18.983000000000001</v>
      </c>
      <c r="G1104" s="310">
        <v>0.3</v>
      </c>
      <c r="H1104" s="310">
        <v>0.5</v>
      </c>
      <c r="I1104" s="295">
        <f t="shared" si="122"/>
        <v>2.8474499999999998</v>
      </c>
      <c r="J1104" s="295"/>
      <c r="K1104" s="300">
        <f t="shared" si="124"/>
        <v>1.1000000000000001</v>
      </c>
      <c r="L1104" s="300">
        <f t="shared" si="116"/>
        <v>0</v>
      </c>
      <c r="M1104" s="285">
        <f t="shared" si="117"/>
        <v>0</v>
      </c>
      <c r="N1104" s="1076">
        <f t="shared" si="118"/>
        <v>0</v>
      </c>
      <c r="O1104" s="294"/>
      <c r="P1104" s="404">
        <f t="shared" si="123"/>
        <v>0.71186249999999995</v>
      </c>
      <c r="Q1104" s="404"/>
      <c r="R1104" s="301"/>
      <c r="S1104" s="301"/>
      <c r="T1104" s="301"/>
      <c r="U1104" s="301"/>
      <c r="V1104" s="301"/>
    </row>
    <row r="1105" spans="1:22" ht="14.4" thickTop="1" thickBot="1" x14ac:dyDescent="0.3">
      <c r="A1105" s="292"/>
      <c r="B1105" s="296" t="s">
        <v>2211</v>
      </c>
      <c r="C1105" s="294"/>
      <c r="D1105" s="294"/>
      <c r="E1105" s="294"/>
      <c r="F1105" s="310">
        <v>14.788</v>
      </c>
      <c r="G1105" s="310">
        <v>0.3</v>
      </c>
      <c r="H1105" s="310">
        <v>0.5</v>
      </c>
      <c r="I1105" s="295">
        <f t="shared" si="122"/>
        <v>2.2181999999999999</v>
      </c>
      <c r="J1105" s="295"/>
      <c r="K1105" s="300">
        <f t="shared" si="124"/>
        <v>1.1000000000000001</v>
      </c>
      <c r="L1105" s="300">
        <f t="shared" si="116"/>
        <v>0</v>
      </c>
      <c r="M1105" s="285">
        <f t="shared" si="117"/>
        <v>0</v>
      </c>
      <c r="N1105" s="1076">
        <f t="shared" si="118"/>
        <v>0</v>
      </c>
      <c r="O1105" s="294"/>
      <c r="P1105" s="404">
        <f t="shared" si="123"/>
        <v>0.55454999999999999</v>
      </c>
      <c r="Q1105" s="404"/>
      <c r="R1105" s="301"/>
      <c r="S1105" s="301"/>
      <c r="T1105" s="301"/>
      <c r="U1105" s="301"/>
      <c r="V1105" s="301"/>
    </row>
    <row r="1106" spans="1:22" ht="14.4" thickTop="1" thickBot="1" x14ac:dyDescent="0.3">
      <c r="A1106" s="292"/>
      <c r="B1106" s="296" t="s">
        <v>2212</v>
      </c>
      <c r="C1106" s="294"/>
      <c r="D1106" s="294"/>
      <c r="E1106" s="294"/>
      <c r="F1106" s="310">
        <v>4.42</v>
      </c>
      <c r="G1106" s="310">
        <v>0.22500000000000001</v>
      </c>
      <c r="H1106" s="310">
        <v>0.45</v>
      </c>
      <c r="I1106" s="295">
        <f t="shared" si="122"/>
        <v>0.44752500000000001</v>
      </c>
      <c r="J1106" s="295"/>
      <c r="K1106" s="300">
        <f t="shared" si="124"/>
        <v>1.1000000000000001</v>
      </c>
      <c r="L1106" s="300">
        <f t="shared" si="116"/>
        <v>0</v>
      </c>
      <c r="M1106" s="285">
        <f t="shared" si="117"/>
        <v>0</v>
      </c>
      <c r="N1106" s="1076">
        <f t="shared" si="118"/>
        <v>0</v>
      </c>
      <c r="O1106" s="294"/>
      <c r="P1106" s="404">
        <f t="shared" si="123"/>
        <v>0.12431250000000001</v>
      </c>
      <c r="Q1106" s="404"/>
      <c r="R1106" s="301"/>
      <c r="S1106" s="301"/>
      <c r="T1106" s="301"/>
      <c r="U1106" s="301"/>
      <c r="V1106" s="301"/>
    </row>
    <row r="1107" spans="1:22" ht="14.4" thickTop="1" thickBot="1" x14ac:dyDescent="0.3">
      <c r="A1107" s="292"/>
      <c r="B1107" s="296" t="s">
        <v>2213</v>
      </c>
      <c r="C1107" s="294"/>
      <c r="D1107" s="294"/>
      <c r="E1107" s="294"/>
      <c r="F1107" s="310">
        <v>17.625</v>
      </c>
      <c r="G1107" s="310">
        <v>0.3</v>
      </c>
      <c r="H1107" s="310">
        <v>0.5</v>
      </c>
      <c r="I1107" s="295">
        <f t="shared" si="122"/>
        <v>2.6437499999999998</v>
      </c>
      <c r="J1107" s="295"/>
      <c r="K1107" s="300">
        <f t="shared" si="124"/>
        <v>1.1000000000000001</v>
      </c>
      <c r="L1107" s="300">
        <f t="shared" si="116"/>
        <v>0</v>
      </c>
      <c r="M1107" s="285">
        <f t="shared" si="117"/>
        <v>0</v>
      </c>
      <c r="N1107" s="1076">
        <f t="shared" si="118"/>
        <v>0</v>
      </c>
      <c r="O1107" s="294"/>
      <c r="P1107" s="404">
        <f t="shared" si="123"/>
        <v>0.66093749999999996</v>
      </c>
      <c r="Q1107" s="404"/>
      <c r="R1107" s="301"/>
      <c r="S1107" s="301"/>
      <c r="T1107" s="301"/>
      <c r="U1107" s="301"/>
      <c r="V1107" s="301"/>
    </row>
    <row r="1108" spans="1:22" ht="14.4" thickTop="1" thickBot="1" x14ac:dyDescent="0.3">
      <c r="A1108" s="292"/>
      <c r="B1108" s="296" t="s">
        <v>2214</v>
      </c>
      <c r="C1108" s="294"/>
      <c r="D1108" s="294"/>
      <c r="E1108" s="294"/>
      <c r="F1108" s="310">
        <v>17.55</v>
      </c>
      <c r="G1108" s="310">
        <v>0.3</v>
      </c>
      <c r="H1108" s="310">
        <v>0.5</v>
      </c>
      <c r="I1108" s="295">
        <f t="shared" si="122"/>
        <v>2.6324999999999998</v>
      </c>
      <c r="J1108" s="295"/>
      <c r="K1108" s="300">
        <f t="shared" si="124"/>
        <v>1.1000000000000001</v>
      </c>
      <c r="L1108" s="300">
        <f t="shared" si="116"/>
        <v>0</v>
      </c>
      <c r="M1108" s="285">
        <f t="shared" si="117"/>
        <v>0</v>
      </c>
      <c r="N1108" s="1076">
        <f t="shared" si="118"/>
        <v>0</v>
      </c>
      <c r="O1108" s="294"/>
      <c r="P1108" s="404">
        <f t="shared" si="123"/>
        <v>0.65812499999999996</v>
      </c>
      <c r="Q1108" s="404"/>
      <c r="R1108" s="301"/>
      <c r="S1108" s="301"/>
      <c r="T1108" s="301"/>
      <c r="U1108" s="301"/>
      <c r="V1108" s="301"/>
    </row>
    <row r="1109" spans="1:22" ht="14.4" thickTop="1" thickBot="1" x14ac:dyDescent="0.3">
      <c r="A1109" s="292"/>
      <c r="B1109" s="296" t="s">
        <v>2215</v>
      </c>
      <c r="C1109" s="294"/>
      <c r="D1109" s="294"/>
      <c r="E1109" s="294"/>
      <c r="F1109" s="310">
        <v>17.55</v>
      </c>
      <c r="G1109" s="310">
        <v>0.3</v>
      </c>
      <c r="H1109" s="310">
        <v>0.5</v>
      </c>
      <c r="I1109" s="295">
        <f t="shared" si="122"/>
        <v>2.6324999999999998</v>
      </c>
      <c r="J1109" s="295"/>
      <c r="K1109" s="300">
        <f t="shared" si="124"/>
        <v>1.1000000000000001</v>
      </c>
      <c r="L1109" s="300">
        <f t="shared" si="116"/>
        <v>0</v>
      </c>
      <c r="M1109" s="285">
        <f t="shared" si="117"/>
        <v>0</v>
      </c>
      <c r="N1109" s="1076">
        <f t="shared" si="118"/>
        <v>0</v>
      </c>
      <c r="O1109" s="294"/>
      <c r="P1109" s="404">
        <f t="shared" si="123"/>
        <v>0.65812499999999996</v>
      </c>
      <c r="Q1109" s="404"/>
      <c r="R1109" s="301"/>
      <c r="S1109" s="301"/>
      <c r="T1109" s="301"/>
      <c r="U1109" s="301"/>
      <c r="V1109" s="301"/>
    </row>
    <row r="1110" spans="1:22" ht="14.4" thickTop="1" thickBot="1" x14ac:dyDescent="0.3">
      <c r="A1110" s="292"/>
      <c r="B1110" s="296" t="s">
        <v>2216</v>
      </c>
      <c r="C1110" s="294"/>
      <c r="D1110" s="294"/>
      <c r="E1110" s="294"/>
      <c r="F1110" s="310">
        <v>1.8</v>
      </c>
      <c r="G1110" s="310">
        <v>0.22500000000000001</v>
      </c>
      <c r="H1110" s="310">
        <v>0.45</v>
      </c>
      <c r="I1110" s="295">
        <f t="shared" si="122"/>
        <v>0.18225000000000002</v>
      </c>
      <c r="J1110" s="295"/>
      <c r="K1110" s="300">
        <f t="shared" si="124"/>
        <v>1.1000000000000001</v>
      </c>
      <c r="L1110" s="300">
        <f t="shared" si="116"/>
        <v>0</v>
      </c>
      <c r="M1110" s="285">
        <f t="shared" si="117"/>
        <v>0</v>
      </c>
      <c r="N1110" s="1076">
        <f t="shared" si="118"/>
        <v>0</v>
      </c>
      <c r="O1110" s="294"/>
      <c r="P1110" s="404">
        <f t="shared" si="123"/>
        <v>5.0625000000000003E-2</v>
      </c>
      <c r="Q1110" s="404"/>
      <c r="R1110" s="301"/>
      <c r="S1110" s="301"/>
      <c r="T1110" s="301"/>
      <c r="U1110" s="301"/>
      <c r="V1110" s="301"/>
    </row>
    <row r="1111" spans="1:22" ht="14.4" thickTop="1" thickBot="1" x14ac:dyDescent="0.3">
      <c r="A1111" s="292"/>
      <c r="B1111" s="296" t="s">
        <v>2217</v>
      </c>
      <c r="C1111" s="294"/>
      <c r="D1111" s="294"/>
      <c r="E1111" s="294"/>
      <c r="F1111" s="310">
        <v>17.55</v>
      </c>
      <c r="G1111" s="310">
        <v>0.3</v>
      </c>
      <c r="H1111" s="310">
        <v>0.5</v>
      </c>
      <c r="I1111" s="295">
        <f t="shared" si="122"/>
        <v>2.6324999999999998</v>
      </c>
      <c r="J1111" s="295"/>
      <c r="K1111" s="300">
        <f t="shared" si="124"/>
        <v>1.1000000000000001</v>
      </c>
      <c r="L1111" s="300">
        <f t="shared" si="116"/>
        <v>0</v>
      </c>
      <c r="M1111" s="285">
        <f t="shared" si="117"/>
        <v>0</v>
      </c>
      <c r="N1111" s="1076">
        <f t="shared" si="118"/>
        <v>0</v>
      </c>
      <c r="O1111" s="294"/>
      <c r="P1111" s="404">
        <f t="shared" si="123"/>
        <v>0.65812499999999996</v>
      </c>
      <c r="Q1111" s="404"/>
      <c r="R1111" s="301"/>
      <c r="S1111" s="301"/>
      <c r="T1111" s="301"/>
      <c r="U1111" s="301"/>
      <c r="V1111" s="301"/>
    </row>
    <row r="1112" spans="1:22" ht="14.4" thickTop="1" thickBot="1" x14ac:dyDescent="0.3">
      <c r="A1112" s="292"/>
      <c r="B1112" s="296" t="s">
        <v>2218</v>
      </c>
      <c r="C1112" s="294"/>
      <c r="D1112" s="294"/>
      <c r="E1112" s="294"/>
      <c r="F1112" s="310">
        <v>2.9550000000000001</v>
      </c>
      <c r="G1112" s="310">
        <v>0.22500000000000001</v>
      </c>
      <c r="H1112" s="310">
        <v>0.3</v>
      </c>
      <c r="I1112" s="295">
        <f t="shared" si="122"/>
        <v>0.19946250000000001</v>
      </c>
      <c r="J1112" s="295"/>
      <c r="K1112" s="300">
        <f t="shared" si="124"/>
        <v>1.1000000000000001</v>
      </c>
      <c r="L1112" s="300">
        <f t="shared" si="116"/>
        <v>0</v>
      </c>
      <c r="M1112" s="285">
        <f t="shared" si="117"/>
        <v>0</v>
      </c>
      <c r="N1112" s="1076">
        <f t="shared" si="118"/>
        <v>0</v>
      </c>
      <c r="O1112" s="294"/>
      <c r="P1112" s="404">
        <f t="shared" si="123"/>
        <v>8.3109374999999999E-2</v>
      </c>
      <c r="Q1112" s="404"/>
      <c r="R1112" s="301"/>
      <c r="S1112" s="301"/>
      <c r="T1112" s="301"/>
      <c r="U1112" s="301"/>
      <c r="V1112" s="301"/>
    </row>
    <row r="1113" spans="1:22" ht="14.4" thickTop="1" thickBot="1" x14ac:dyDescent="0.3">
      <c r="A1113" s="292"/>
      <c r="B1113" s="296" t="s">
        <v>2219</v>
      </c>
      <c r="C1113" s="294"/>
      <c r="D1113" s="294"/>
      <c r="E1113" s="294"/>
      <c r="F1113" s="310">
        <v>22.65</v>
      </c>
      <c r="G1113" s="310">
        <v>0.3</v>
      </c>
      <c r="H1113" s="310">
        <v>0.5</v>
      </c>
      <c r="I1113" s="295">
        <f t="shared" si="122"/>
        <v>3.3974999999999995</v>
      </c>
      <c r="J1113" s="295"/>
      <c r="K1113" s="300">
        <f t="shared" si="124"/>
        <v>1.1000000000000001</v>
      </c>
      <c r="L1113" s="300">
        <f t="shared" si="116"/>
        <v>0</v>
      </c>
      <c r="M1113" s="285">
        <f t="shared" si="117"/>
        <v>0</v>
      </c>
      <c r="N1113" s="1076">
        <f t="shared" si="118"/>
        <v>0</v>
      </c>
      <c r="O1113" s="294"/>
      <c r="P1113" s="404">
        <f t="shared" si="123"/>
        <v>0.84937499999999988</v>
      </c>
      <c r="Q1113" s="404"/>
      <c r="R1113" s="301"/>
      <c r="S1113" s="301"/>
      <c r="T1113" s="301"/>
      <c r="U1113" s="301"/>
      <c r="V1113" s="301"/>
    </row>
    <row r="1114" spans="1:22" ht="14.4" thickTop="1" thickBot="1" x14ac:dyDescent="0.3">
      <c r="A1114" s="292"/>
      <c r="B1114" s="296" t="s">
        <v>2220</v>
      </c>
      <c r="C1114" s="294"/>
      <c r="D1114" s="294"/>
      <c r="E1114" s="294"/>
      <c r="F1114" s="310">
        <v>3.26</v>
      </c>
      <c r="G1114" s="310">
        <v>0.22500000000000001</v>
      </c>
      <c r="H1114" s="310">
        <v>0.45</v>
      </c>
      <c r="I1114" s="295">
        <f t="shared" si="122"/>
        <v>0.33007500000000001</v>
      </c>
      <c r="J1114" s="295"/>
      <c r="K1114" s="300">
        <f t="shared" si="124"/>
        <v>1.1000000000000001</v>
      </c>
      <c r="L1114" s="300">
        <f t="shared" si="116"/>
        <v>0</v>
      </c>
      <c r="M1114" s="285">
        <f t="shared" si="117"/>
        <v>0</v>
      </c>
      <c r="N1114" s="1076">
        <f t="shared" si="118"/>
        <v>0</v>
      </c>
      <c r="O1114" s="294"/>
      <c r="P1114" s="404">
        <f t="shared" si="123"/>
        <v>9.1687499999999991E-2</v>
      </c>
      <c r="Q1114" s="404"/>
      <c r="R1114" s="301"/>
      <c r="S1114" s="301"/>
      <c r="T1114" s="301"/>
      <c r="U1114" s="301"/>
      <c r="V1114" s="301"/>
    </row>
    <row r="1115" spans="1:22" ht="14.4" thickTop="1" thickBot="1" x14ac:dyDescent="0.3">
      <c r="A1115" s="292"/>
      <c r="B1115" s="296" t="s">
        <v>2221</v>
      </c>
      <c r="C1115" s="294"/>
      <c r="D1115" s="294"/>
      <c r="E1115" s="294"/>
      <c r="F1115" s="310">
        <v>11.686999999999999</v>
      </c>
      <c r="G1115" s="310">
        <v>0.3</v>
      </c>
      <c r="H1115" s="310">
        <v>0.45</v>
      </c>
      <c r="I1115" s="295">
        <f t="shared" si="122"/>
        <v>1.577745</v>
      </c>
      <c r="J1115" s="295"/>
      <c r="K1115" s="300">
        <f t="shared" si="124"/>
        <v>1.1000000000000001</v>
      </c>
      <c r="L1115" s="300">
        <f t="shared" si="116"/>
        <v>0</v>
      </c>
      <c r="M1115" s="285">
        <f t="shared" si="117"/>
        <v>0</v>
      </c>
      <c r="N1115" s="1076">
        <f t="shared" si="118"/>
        <v>0</v>
      </c>
      <c r="O1115" s="294"/>
      <c r="P1115" s="404">
        <f t="shared" si="123"/>
        <v>0.43826249999999994</v>
      </c>
      <c r="Q1115" s="404"/>
      <c r="R1115" s="301"/>
      <c r="S1115" s="301"/>
      <c r="T1115" s="301"/>
      <c r="U1115" s="301"/>
      <c r="V1115" s="301"/>
    </row>
    <row r="1116" spans="1:22" ht="14.4" thickTop="1" thickBot="1" x14ac:dyDescent="0.3">
      <c r="A1116" s="292"/>
      <c r="B1116" s="296" t="s">
        <v>2222</v>
      </c>
      <c r="C1116" s="294"/>
      <c r="D1116" s="294"/>
      <c r="E1116" s="294"/>
      <c r="F1116" s="310">
        <v>13.35</v>
      </c>
      <c r="G1116" s="310">
        <v>0.3</v>
      </c>
      <c r="H1116" s="310">
        <v>0.45</v>
      </c>
      <c r="I1116" s="295">
        <f t="shared" si="122"/>
        <v>1.8022500000000001</v>
      </c>
      <c r="J1116" s="295"/>
      <c r="K1116" s="300">
        <f t="shared" si="124"/>
        <v>1.1000000000000001</v>
      </c>
      <c r="L1116" s="300">
        <f t="shared" si="116"/>
        <v>0</v>
      </c>
      <c r="M1116" s="285">
        <f t="shared" si="117"/>
        <v>0</v>
      </c>
      <c r="N1116" s="1076">
        <f t="shared" si="118"/>
        <v>0</v>
      </c>
      <c r="O1116" s="294"/>
      <c r="P1116" s="404">
        <f t="shared" si="123"/>
        <v>0.50062499999999999</v>
      </c>
      <c r="Q1116" s="404"/>
      <c r="R1116" s="301"/>
      <c r="S1116" s="301"/>
      <c r="T1116" s="301"/>
      <c r="U1116" s="301"/>
      <c r="V1116" s="301"/>
    </row>
    <row r="1117" spans="1:22" ht="14.4" thickTop="1" thickBot="1" x14ac:dyDescent="0.3">
      <c r="A1117" s="292"/>
      <c r="B1117" s="296" t="s">
        <v>2223</v>
      </c>
      <c r="C1117" s="294"/>
      <c r="D1117" s="294"/>
      <c r="E1117" s="294"/>
      <c r="F1117" s="310">
        <v>20.236999999999998</v>
      </c>
      <c r="G1117" s="310">
        <v>0.3</v>
      </c>
      <c r="H1117" s="310">
        <v>0.6</v>
      </c>
      <c r="I1117" s="295">
        <f t="shared" si="122"/>
        <v>3.6426599999999993</v>
      </c>
      <c r="J1117" s="295"/>
      <c r="K1117" s="300">
        <f t="shared" si="124"/>
        <v>1.1000000000000001</v>
      </c>
      <c r="L1117" s="300">
        <f t="shared" si="116"/>
        <v>0</v>
      </c>
      <c r="M1117" s="285">
        <f t="shared" si="117"/>
        <v>0</v>
      </c>
      <c r="N1117" s="1076">
        <f t="shared" si="118"/>
        <v>0</v>
      </c>
      <c r="O1117" s="294"/>
      <c r="P1117" s="404">
        <f t="shared" si="123"/>
        <v>0.75888749999999994</v>
      </c>
      <c r="Q1117" s="404"/>
      <c r="R1117" s="301"/>
      <c r="S1117" s="301"/>
      <c r="T1117" s="301"/>
      <c r="U1117" s="301"/>
      <c r="V1117" s="301"/>
    </row>
    <row r="1118" spans="1:22" ht="14.4" thickTop="1" thickBot="1" x14ac:dyDescent="0.3">
      <c r="A1118" s="292"/>
      <c r="B1118" s="296" t="s">
        <v>2231</v>
      </c>
      <c r="C1118" s="294"/>
      <c r="D1118" s="294"/>
      <c r="E1118" s="294"/>
      <c r="F1118" s="310">
        <v>6.1120000000000001</v>
      </c>
      <c r="G1118" s="310">
        <v>0.22500000000000001</v>
      </c>
      <c r="H1118" s="310">
        <v>0.45</v>
      </c>
      <c r="I1118" s="295">
        <f t="shared" si="122"/>
        <v>0.61884000000000006</v>
      </c>
      <c r="J1118" s="295"/>
      <c r="K1118" s="300"/>
      <c r="L1118" s="300"/>
      <c r="M1118" s="285"/>
      <c r="N1118" s="1076"/>
      <c r="O1118" s="294"/>
      <c r="P1118" s="404">
        <f t="shared" si="123"/>
        <v>0.1719</v>
      </c>
      <c r="Q1118" s="404"/>
      <c r="R1118" s="301"/>
      <c r="S1118" s="301"/>
      <c r="T1118" s="301"/>
      <c r="U1118" s="301"/>
      <c r="V1118" s="301"/>
    </row>
    <row r="1119" spans="1:22" ht="14.4" thickTop="1" thickBot="1" x14ac:dyDescent="0.3">
      <c r="A1119" s="292"/>
      <c r="B1119" s="296" t="s">
        <v>2224</v>
      </c>
      <c r="C1119" s="294"/>
      <c r="D1119" s="294"/>
      <c r="E1119" s="294"/>
      <c r="F1119" s="310">
        <v>3.65</v>
      </c>
      <c r="G1119" s="310">
        <v>0.22500000000000001</v>
      </c>
      <c r="H1119" s="310">
        <v>0.45</v>
      </c>
      <c r="I1119" s="295">
        <f t="shared" si="122"/>
        <v>0.36956250000000002</v>
      </c>
      <c r="J1119" s="295"/>
      <c r="K1119" s="300">
        <f t="shared" si="124"/>
        <v>1.1000000000000001</v>
      </c>
      <c r="L1119" s="300">
        <f t="shared" si="116"/>
        <v>0</v>
      </c>
      <c r="M1119" s="285">
        <f t="shared" si="117"/>
        <v>0</v>
      </c>
      <c r="N1119" s="1076">
        <f t="shared" si="118"/>
        <v>0</v>
      </c>
      <c r="O1119" s="294"/>
      <c r="P1119" s="404">
        <f t="shared" si="123"/>
        <v>0.10265625</v>
      </c>
      <c r="Q1119" s="404"/>
      <c r="R1119" s="301"/>
      <c r="S1119" s="301"/>
      <c r="T1119" s="301"/>
      <c r="U1119" s="301"/>
      <c r="V1119" s="301"/>
    </row>
    <row r="1120" spans="1:22" ht="14.4" thickTop="1" thickBot="1" x14ac:dyDescent="0.3">
      <c r="A1120" s="292"/>
      <c r="B1120" s="296" t="s">
        <v>2225</v>
      </c>
      <c r="C1120" s="294"/>
      <c r="D1120" s="294"/>
      <c r="E1120" s="294"/>
      <c r="F1120" s="310">
        <v>16.888000000000002</v>
      </c>
      <c r="G1120" s="310">
        <v>0.3</v>
      </c>
      <c r="H1120" s="310">
        <v>0.6</v>
      </c>
      <c r="I1120" s="295">
        <f t="shared" si="122"/>
        <v>3.0398400000000003</v>
      </c>
      <c r="J1120" s="295"/>
      <c r="K1120" s="300">
        <f t="shared" si="124"/>
        <v>1.1000000000000001</v>
      </c>
      <c r="L1120" s="300">
        <f t="shared" si="116"/>
        <v>0</v>
      </c>
      <c r="M1120" s="285">
        <f t="shared" si="117"/>
        <v>0</v>
      </c>
      <c r="N1120" s="1076">
        <f t="shared" si="118"/>
        <v>0</v>
      </c>
      <c r="O1120" s="294"/>
      <c r="P1120" s="404">
        <f t="shared" si="123"/>
        <v>0.63330000000000009</v>
      </c>
      <c r="Q1120" s="404"/>
      <c r="R1120" s="301"/>
      <c r="S1120" s="301"/>
      <c r="T1120" s="301"/>
      <c r="U1120" s="301"/>
      <c r="V1120" s="301"/>
    </row>
    <row r="1121" spans="1:22" ht="14.4" thickTop="1" thickBot="1" x14ac:dyDescent="0.3">
      <c r="A1121" s="292"/>
      <c r="B1121" s="296" t="s">
        <v>2226</v>
      </c>
      <c r="C1121" s="294"/>
      <c r="D1121" s="294"/>
      <c r="E1121" s="294"/>
      <c r="F1121" s="310">
        <v>18.888000000000002</v>
      </c>
      <c r="G1121" s="310">
        <v>0.3</v>
      </c>
      <c r="H1121" s="310">
        <v>0.6</v>
      </c>
      <c r="I1121" s="295">
        <f t="shared" si="122"/>
        <v>3.3998400000000002</v>
      </c>
      <c r="J1121" s="295"/>
      <c r="K1121" s="300">
        <f t="shared" si="124"/>
        <v>1.1000000000000001</v>
      </c>
      <c r="L1121" s="300">
        <f t="shared" si="116"/>
        <v>0</v>
      </c>
      <c r="M1121" s="285">
        <f t="shared" si="117"/>
        <v>0</v>
      </c>
      <c r="N1121" s="1076">
        <f t="shared" si="118"/>
        <v>0</v>
      </c>
      <c r="O1121" s="294"/>
      <c r="P1121" s="404">
        <f t="shared" si="123"/>
        <v>0.70830000000000004</v>
      </c>
      <c r="Q1121" s="404"/>
      <c r="R1121" s="301"/>
      <c r="S1121" s="301"/>
      <c r="T1121" s="301"/>
      <c r="U1121" s="301"/>
      <c r="V1121" s="301"/>
    </row>
    <row r="1122" spans="1:22" ht="14.4" thickTop="1" thickBot="1" x14ac:dyDescent="0.3">
      <c r="A1122" s="292"/>
      <c r="B1122" s="296" t="s">
        <v>2227</v>
      </c>
      <c r="C1122" s="294"/>
      <c r="D1122" s="294"/>
      <c r="E1122" s="294"/>
      <c r="F1122" s="310">
        <v>18.888000000000002</v>
      </c>
      <c r="G1122" s="310">
        <v>0.3</v>
      </c>
      <c r="H1122" s="310">
        <v>0.6</v>
      </c>
      <c r="I1122" s="295">
        <f t="shared" si="122"/>
        <v>3.3998400000000002</v>
      </c>
      <c r="J1122" s="295"/>
      <c r="K1122" s="300">
        <f t="shared" si="124"/>
        <v>1.1000000000000001</v>
      </c>
      <c r="L1122" s="300">
        <f t="shared" si="116"/>
        <v>0</v>
      </c>
      <c r="M1122" s="285">
        <f t="shared" si="117"/>
        <v>0</v>
      </c>
      <c r="N1122" s="1076">
        <f t="shared" si="118"/>
        <v>0</v>
      </c>
      <c r="O1122" s="294"/>
      <c r="P1122" s="404">
        <f t="shared" si="123"/>
        <v>0.70830000000000004</v>
      </c>
      <c r="Q1122" s="404"/>
      <c r="R1122" s="301"/>
      <c r="S1122" s="301"/>
      <c r="T1122" s="301"/>
      <c r="U1122" s="301"/>
      <c r="V1122" s="301"/>
    </row>
    <row r="1123" spans="1:22" ht="14.4" thickTop="1" thickBot="1" x14ac:dyDescent="0.3">
      <c r="A1123" s="292"/>
      <c r="B1123" s="296" t="s">
        <v>2228</v>
      </c>
      <c r="C1123" s="294"/>
      <c r="D1123" s="294"/>
      <c r="E1123" s="294"/>
      <c r="F1123" s="310">
        <v>18.888000000000002</v>
      </c>
      <c r="G1123" s="310">
        <v>0.3</v>
      </c>
      <c r="H1123" s="310">
        <v>0.45</v>
      </c>
      <c r="I1123" s="295">
        <f t="shared" si="122"/>
        <v>2.5498800000000004</v>
      </c>
      <c r="J1123" s="295"/>
      <c r="K1123" s="300">
        <f t="shared" si="124"/>
        <v>1.1000000000000001</v>
      </c>
      <c r="L1123" s="300">
        <f t="shared" si="116"/>
        <v>0</v>
      </c>
      <c r="M1123" s="285">
        <f t="shared" si="117"/>
        <v>0</v>
      </c>
      <c r="N1123" s="1076">
        <f t="shared" si="118"/>
        <v>0</v>
      </c>
      <c r="O1123" s="294"/>
      <c r="P1123" s="404">
        <f t="shared" si="123"/>
        <v>0.70830000000000004</v>
      </c>
      <c r="Q1123" s="404"/>
      <c r="R1123" s="301"/>
      <c r="S1123" s="301"/>
      <c r="T1123" s="301"/>
      <c r="U1123" s="301"/>
      <c r="V1123" s="301"/>
    </row>
    <row r="1124" spans="1:22" ht="14.4" thickTop="1" thickBot="1" x14ac:dyDescent="0.3">
      <c r="A1124" s="292"/>
      <c r="B1124" s="296" t="s">
        <v>2229</v>
      </c>
      <c r="C1124" s="294"/>
      <c r="D1124" s="294"/>
      <c r="E1124" s="294"/>
      <c r="F1124" s="310">
        <v>18.888000000000002</v>
      </c>
      <c r="G1124" s="310">
        <v>0.3</v>
      </c>
      <c r="H1124" s="310">
        <v>0.45</v>
      </c>
      <c r="I1124" s="295">
        <f t="shared" si="122"/>
        <v>2.5498800000000004</v>
      </c>
      <c r="J1124" s="295">
        <f>SUM(I1086:I1124)</f>
        <v>92.096291249999979</v>
      </c>
      <c r="K1124" s="300">
        <v>1.1000000000000001</v>
      </c>
      <c r="L1124" s="300">
        <f t="shared" si="116"/>
        <v>101.30592037499999</v>
      </c>
      <c r="M1124" s="285">
        <f t="shared" si="117"/>
        <v>101.3</v>
      </c>
      <c r="N1124" s="1076">
        <f t="shared" si="118"/>
        <v>102</v>
      </c>
      <c r="O1124" s="294"/>
      <c r="P1124" s="404">
        <f t="shared" si="123"/>
        <v>0.70830000000000004</v>
      </c>
      <c r="Q1124" s="404">
        <f>SUM(P1086:P1124)</f>
        <v>23.917368749999998</v>
      </c>
      <c r="R1124" s="301"/>
      <c r="S1124" s="301"/>
      <c r="T1124" s="301"/>
      <c r="U1124" s="301"/>
      <c r="V1124" s="301"/>
    </row>
    <row r="1125" spans="1:22" ht="14.4" thickTop="1" thickBot="1" x14ac:dyDescent="0.3">
      <c r="A1125" s="292"/>
      <c r="B1125" s="293"/>
      <c r="C1125" s="294"/>
      <c r="D1125" s="294"/>
      <c r="E1125" s="294"/>
      <c r="F1125" s="310"/>
      <c r="G1125" s="310"/>
      <c r="H1125" s="310"/>
      <c r="I1125" s="295"/>
      <c r="J1125" s="295"/>
      <c r="K1125" s="300">
        <f t="shared" si="124"/>
        <v>1.1000000000000001</v>
      </c>
      <c r="L1125" s="300">
        <f t="shared" si="116"/>
        <v>0</v>
      </c>
      <c r="M1125" s="285">
        <f t="shared" si="117"/>
        <v>0</v>
      </c>
      <c r="N1125" s="1076">
        <f t="shared" si="118"/>
        <v>0</v>
      </c>
      <c r="O1125" s="294"/>
      <c r="P1125" s="404"/>
      <c r="Q1125" s="404"/>
      <c r="R1125" s="301"/>
      <c r="S1125" s="301"/>
      <c r="T1125" s="301"/>
      <c r="U1125" s="301"/>
      <c r="V1125" s="301"/>
    </row>
    <row r="1126" spans="1:22" ht="14.4" thickTop="1" thickBot="1" x14ac:dyDescent="0.3">
      <c r="A1126" s="292"/>
      <c r="B1126" s="296" t="s">
        <v>2232</v>
      </c>
      <c r="C1126" s="294"/>
      <c r="D1126" s="294"/>
      <c r="E1126" s="294"/>
      <c r="F1126" s="310"/>
      <c r="G1126" s="310"/>
      <c r="H1126" s="310"/>
      <c r="I1126" s="295"/>
      <c r="J1126" s="295"/>
      <c r="K1126" s="300">
        <f t="shared" si="124"/>
        <v>1.1000000000000001</v>
      </c>
      <c r="L1126" s="300">
        <f t="shared" si="116"/>
        <v>0</v>
      </c>
      <c r="M1126" s="285">
        <f t="shared" si="117"/>
        <v>0</v>
      </c>
      <c r="N1126" s="1076">
        <f t="shared" si="118"/>
        <v>0</v>
      </c>
      <c r="O1126" s="294"/>
      <c r="P1126" s="404"/>
      <c r="Q1126" s="404"/>
      <c r="R1126" s="301"/>
      <c r="S1126" s="301"/>
      <c r="T1126" s="301"/>
      <c r="U1126" s="301"/>
      <c r="V1126" s="301"/>
    </row>
    <row r="1127" spans="1:22" ht="14.4" thickTop="1" thickBot="1" x14ac:dyDescent="0.3">
      <c r="A1127" s="292"/>
      <c r="B1127" s="296" t="s">
        <v>2230</v>
      </c>
      <c r="C1127" s="294"/>
      <c r="D1127" s="294"/>
      <c r="E1127" s="294"/>
      <c r="F1127" s="310">
        <v>7.9589999999999996</v>
      </c>
      <c r="G1127" s="310"/>
      <c r="H1127" s="310">
        <f>G1086+H1086+H1086</f>
        <v>1.5</v>
      </c>
      <c r="I1127" s="295">
        <f>H1127*F1127</f>
        <v>11.938499999999999</v>
      </c>
      <c r="J1127" s="295"/>
      <c r="K1127" s="300">
        <f t="shared" si="124"/>
        <v>1.1000000000000001</v>
      </c>
      <c r="L1127" s="300">
        <f t="shared" si="116"/>
        <v>0</v>
      </c>
      <c r="M1127" s="285">
        <f t="shared" si="117"/>
        <v>0</v>
      </c>
      <c r="N1127" s="1076">
        <f t="shared" si="118"/>
        <v>0</v>
      </c>
      <c r="O1127" s="294"/>
      <c r="P1127" s="404"/>
      <c r="Q1127" s="404"/>
      <c r="R1127" s="301"/>
      <c r="S1127" s="301"/>
      <c r="T1127" s="301"/>
      <c r="U1127" s="301"/>
      <c r="V1127" s="301"/>
    </row>
    <row r="1128" spans="1:22" ht="14.4" thickTop="1" thickBot="1" x14ac:dyDescent="0.3">
      <c r="A1128" s="292"/>
      <c r="B1128" s="296" t="s">
        <v>2193</v>
      </c>
      <c r="C1128" s="294"/>
      <c r="D1128" s="294"/>
      <c r="E1128" s="294"/>
      <c r="F1128" s="310">
        <v>59.545999999999999</v>
      </c>
      <c r="G1128" s="310"/>
      <c r="H1128" s="310">
        <f t="shared" ref="H1128:H1164" si="125">G1087+H1087+H1087</f>
        <v>1.125</v>
      </c>
      <c r="I1128" s="295">
        <f t="shared" ref="I1128:I1165" si="126">H1128*F1128</f>
        <v>66.989249999999998</v>
      </c>
      <c r="J1128" s="295"/>
      <c r="K1128" s="300">
        <f t="shared" si="124"/>
        <v>1.1000000000000001</v>
      </c>
      <c r="L1128" s="300">
        <f t="shared" si="116"/>
        <v>0</v>
      </c>
      <c r="M1128" s="285">
        <f t="shared" si="117"/>
        <v>0</v>
      </c>
      <c r="N1128" s="1076">
        <f t="shared" si="118"/>
        <v>0</v>
      </c>
      <c r="O1128" s="294"/>
      <c r="P1128" s="404"/>
      <c r="Q1128" s="404"/>
      <c r="R1128" s="301"/>
      <c r="S1128" s="301"/>
      <c r="T1128" s="301"/>
      <c r="U1128" s="301"/>
      <c r="V1128" s="301"/>
    </row>
    <row r="1129" spans="1:22" ht="14.4" thickTop="1" thickBot="1" x14ac:dyDescent="0.3">
      <c r="A1129" s="292"/>
      <c r="B1129" s="296" t="s">
        <v>2194</v>
      </c>
      <c r="C1129" s="294"/>
      <c r="D1129" s="294"/>
      <c r="E1129" s="294"/>
      <c r="F1129" s="310">
        <v>59.545999999999999</v>
      </c>
      <c r="G1129" s="310"/>
      <c r="H1129" s="310">
        <f t="shared" si="125"/>
        <v>1.2</v>
      </c>
      <c r="I1129" s="295">
        <f t="shared" si="126"/>
        <v>71.455199999999991</v>
      </c>
      <c r="J1129" s="295"/>
      <c r="K1129" s="300">
        <f t="shared" si="124"/>
        <v>1.1000000000000001</v>
      </c>
      <c r="L1129" s="300">
        <f t="shared" si="116"/>
        <v>0</v>
      </c>
      <c r="M1129" s="285">
        <f t="shared" si="117"/>
        <v>0</v>
      </c>
      <c r="N1129" s="1076">
        <f t="shared" si="118"/>
        <v>0</v>
      </c>
      <c r="O1129" s="294"/>
      <c r="P1129" s="404"/>
      <c r="Q1129" s="404"/>
      <c r="R1129" s="301"/>
      <c r="S1129" s="301"/>
      <c r="T1129" s="301"/>
      <c r="U1129" s="301"/>
      <c r="V1129" s="301"/>
    </row>
    <row r="1130" spans="1:22" ht="14.4" thickTop="1" thickBot="1" x14ac:dyDescent="0.3">
      <c r="A1130" s="292"/>
      <c r="B1130" s="296" t="s">
        <v>2195</v>
      </c>
      <c r="C1130" s="294"/>
      <c r="D1130" s="294"/>
      <c r="E1130" s="294"/>
      <c r="F1130" s="310">
        <v>9.7620000000000005</v>
      </c>
      <c r="G1130" s="310"/>
      <c r="H1130" s="310">
        <f t="shared" si="125"/>
        <v>1.125</v>
      </c>
      <c r="I1130" s="295">
        <f t="shared" si="126"/>
        <v>10.982250000000001</v>
      </c>
      <c r="J1130" s="295"/>
      <c r="K1130" s="300">
        <f t="shared" si="124"/>
        <v>1.1000000000000001</v>
      </c>
      <c r="L1130" s="300">
        <f t="shared" ref="L1130:L1193" si="127">K1130*J1130</f>
        <v>0</v>
      </c>
      <c r="M1130" s="285">
        <f t="shared" ref="M1130:M1193" si="128">ROUND(L1130,1)</f>
        <v>0</v>
      </c>
      <c r="N1130" s="1076">
        <f t="shared" ref="N1130:N1193" si="129">ROUNDUP(M1130,0)</f>
        <v>0</v>
      </c>
      <c r="O1130" s="294"/>
      <c r="P1130" s="404"/>
      <c r="Q1130" s="404"/>
      <c r="R1130" s="301"/>
      <c r="S1130" s="301"/>
      <c r="T1130" s="301"/>
      <c r="U1130" s="301"/>
      <c r="V1130" s="301"/>
    </row>
    <row r="1131" spans="1:22" ht="14.4" thickTop="1" thickBot="1" x14ac:dyDescent="0.3">
      <c r="A1131" s="292"/>
      <c r="B1131" s="296" t="s">
        <v>2196</v>
      </c>
      <c r="C1131" s="294"/>
      <c r="D1131" s="294"/>
      <c r="E1131" s="294"/>
      <c r="F1131" s="310">
        <v>19.05</v>
      </c>
      <c r="G1131" s="310"/>
      <c r="H1131" s="310">
        <f t="shared" si="125"/>
        <v>1.125</v>
      </c>
      <c r="I1131" s="295">
        <f t="shared" si="126"/>
        <v>21.431250000000002</v>
      </c>
      <c r="J1131" s="295"/>
      <c r="K1131" s="300">
        <f t="shared" si="124"/>
        <v>1.1000000000000001</v>
      </c>
      <c r="L1131" s="300">
        <f t="shared" si="127"/>
        <v>0</v>
      </c>
      <c r="M1131" s="285">
        <f t="shared" si="128"/>
        <v>0</v>
      </c>
      <c r="N1131" s="1076">
        <f t="shared" si="129"/>
        <v>0</v>
      </c>
      <c r="O1131" s="294"/>
      <c r="P1131" s="404"/>
      <c r="Q1131" s="404"/>
      <c r="R1131" s="301"/>
      <c r="S1131" s="301"/>
      <c r="T1131" s="301"/>
      <c r="U1131" s="301"/>
      <c r="V1131" s="301"/>
    </row>
    <row r="1132" spans="1:22" ht="14.4" thickTop="1" thickBot="1" x14ac:dyDescent="0.3">
      <c r="A1132" s="292"/>
      <c r="B1132" s="296" t="s">
        <v>2197</v>
      </c>
      <c r="C1132" s="294"/>
      <c r="D1132" s="294"/>
      <c r="E1132" s="294"/>
      <c r="F1132" s="310">
        <v>17.824999999999999</v>
      </c>
      <c r="G1132" s="310"/>
      <c r="H1132" s="310">
        <f t="shared" si="125"/>
        <v>1.2</v>
      </c>
      <c r="I1132" s="295">
        <f t="shared" si="126"/>
        <v>21.389999999999997</v>
      </c>
      <c r="J1132" s="295"/>
      <c r="K1132" s="300">
        <f t="shared" si="124"/>
        <v>1.1000000000000001</v>
      </c>
      <c r="L1132" s="300">
        <f t="shared" si="127"/>
        <v>0</v>
      </c>
      <c r="M1132" s="285">
        <f t="shared" si="128"/>
        <v>0</v>
      </c>
      <c r="N1132" s="1076">
        <f t="shared" si="129"/>
        <v>0</v>
      </c>
      <c r="O1132" s="294"/>
      <c r="P1132" s="404"/>
      <c r="Q1132" s="404"/>
      <c r="R1132" s="301"/>
      <c r="S1132" s="301"/>
      <c r="T1132" s="301"/>
      <c r="U1132" s="301"/>
      <c r="V1132" s="301"/>
    </row>
    <row r="1133" spans="1:22" ht="14.4" thickTop="1" thickBot="1" x14ac:dyDescent="0.3">
      <c r="A1133" s="292"/>
      <c r="B1133" s="296" t="s">
        <v>2198</v>
      </c>
      <c r="C1133" s="294"/>
      <c r="D1133" s="294"/>
      <c r="E1133" s="294"/>
      <c r="F1133" s="310">
        <v>22.776</v>
      </c>
      <c r="G1133" s="310"/>
      <c r="H1133" s="310">
        <f t="shared" si="125"/>
        <v>1.2</v>
      </c>
      <c r="I1133" s="295">
        <f t="shared" si="126"/>
        <v>27.331199999999999</v>
      </c>
      <c r="J1133" s="295"/>
      <c r="K1133" s="300">
        <f t="shared" si="124"/>
        <v>1.1000000000000001</v>
      </c>
      <c r="L1133" s="300">
        <f t="shared" si="127"/>
        <v>0</v>
      </c>
      <c r="M1133" s="285">
        <f t="shared" si="128"/>
        <v>0</v>
      </c>
      <c r="N1133" s="1076">
        <f t="shared" si="129"/>
        <v>0</v>
      </c>
      <c r="O1133" s="294"/>
      <c r="P1133" s="404"/>
      <c r="Q1133" s="404"/>
      <c r="R1133" s="301"/>
      <c r="S1133" s="301"/>
      <c r="T1133" s="301"/>
      <c r="U1133" s="301"/>
      <c r="V1133" s="301"/>
    </row>
    <row r="1134" spans="1:22" ht="14.4" thickTop="1" thickBot="1" x14ac:dyDescent="0.3">
      <c r="A1134" s="292"/>
      <c r="B1134" s="296" t="s">
        <v>2199</v>
      </c>
      <c r="C1134" s="294"/>
      <c r="D1134" s="294"/>
      <c r="E1134" s="294"/>
      <c r="F1134" s="310">
        <v>35.923999999999999</v>
      </c>
      <c r="G1134" s="310"/>
      <c r="H1134" s="310">
        <f t="shared" si="125"/>
        <v>1.2</v>
      </c>
      <c r="I1134" s="295">
        <f t="shared" si="126"/>
        <v>43.108799999999995</v>
      </c>
      <c r="J1134" s="295"/>
      <c r="K1134" s="300">
        <f t="shared" si="124"/>
        <v>1.1000000000000001</v>
      </c>
      <c r="L1134" s="300">
        <f t="shared" si="127"/>
        <v>0</v>
      </c>
      <c r="M1134" s="285">
        <f t="shared" si="128"/>
        <v>0</v>
      </c>
      <c r="N1134" s="1076">
        <f t="shared" si="129"/>
        <v>0</v>
      </c>
      <c r="O1134" s="294"/>
      <c r="P1134" s="404"/>
      <c r="Q1134" s="404"/>
      <c r="R1134" s="301"/>
      <c r="S1134" s="301"/>
      <c r="T1134" s="301"/>
      <c r="U1134" s="301"/>
      <c r="V1134" s="301"/>
    </row>
    <row r="1135" spans="1:22" ht="14.4" thickTop="1" thickBot="1" x14ac:dyDescent="0.3">
      <c r="A1135" s="292"/>
      <c r="B1135" s="296" t="s">
        <v>2200</v>
      </c>
      <c r="C1135" s="294"/>
      <c r="D1135" s="294"/>
      <c r="E1135" s="294"/>
      <c r="F1135" s="310">
        <v>27.925000000000001</v>
      </c>
      <c r="G1135" s="310"/>
      <c r="H1135" s="310">
        <f t="shared" si="125"/>
        <v>1.125</v>
      </c>
      <c r="I1135" s="295">
        <f t="shared" si="126"/>
        <v>31.415625000000002</v>
      </c>
      <c r="J1135" s="295"/>
      <c r="K1135" s="300">
        <f t="shared" si="124"/>
        <v>1.1000000000000001</v>
      </c>
      <c r="L1135" s="300">
        <f t="shared" si="127"/>
        <v>0</v>
      </c>
      <c r="M1135" s="285">
        <f t="shared" si="128"/>
        <v>0</v>
      </c>
      <c r="N1135" s="1076">
        <f t="shared" si="129"/>
        <v>0</v>
      </c>
      <c r="O1135" s="294"/>
      <c r="P1135" s="404"/>
      <c r="Q1135" s="404"/>
      <c r="R1135" s="301"/>
      <c r="S1135" s="301"/>
      <c r="T1135" s="301"/>
      <c r="U1135" s="301"/>
      <c r="V1135" s="301"/>
    </row>
    <row r="1136" spans="1:22" ht="14.4" thickTop="1" thickBot="1" x14ac:dyDescent="0.3">
      <c r="A1136" s="292"/>
      <c r="B1136" s="296" t="s">
        <v>2201</v>
      </c>
      <c r="C1136" s="294"/>
      <c r="D1136" s="294"/>
      <c r="E1136" s="294"/>
      <c r="F1136" s="310">
        <v>26.074999999999999</v>
      </c>
      <c r="G1136" s="310"/>
      <c r="H1136" s="310">
        <f t="shared" si="125"/>
        <v>1.125</v>
      </c>
      <c r="I1136" s="295">
        <f t="shared" si="126"/>
        <v>29.334374999999998</v>
      </c>
      <c r="J1136" s="295"/>
      <c r="K1136" s="300">
        <f t="shared" si="124"/>
        <v>1.1000000000000001</v>
      </c>
      <c r="L1136" s="300">
        <f t="shared" si="127"/>
        <v>0</v>
      </c>
      <c r="M1136" s="285">
        <f t="shared" si="128"/>
        <v>0</v>
      </c>
      <c r="N1136" s="1076">
        <f t="shared" si="129"/>
        <v>0</v>
      </c>
      <c r="O1136" s="294"/>
      <c r="P1136" s="404"/>
      <c r="Q1136" s="404"/>
      <c r="R1136" s="301"/>
      <c r="S1136" s="301"/>
      <c r="T1136" s="301"/>
      <c r="U1136" s="301"/>
      <c r="V1136" s="301"/>
    </row>
    <row r="1137" spans="1:22" ht="14.4" thickTop="1" thickBot="1" x14ac:dyDescent="0.3">
      <c r="A1137" s="292"/>
      <c r="B1137" s="296" t="s">
        <v>2202</v>
      </c>
      <c r="C1137" s="294"/>
      <c r="D1137" s="294"/>
      <c r="E1137" s="294"/>
      <c r="F1137" s="310">
        <v>27.774999999999999</v>
      </c>
      <c r="G1137" s="310"/>
      <c r="H1137" s="310">
        <f t="shared" si="125"/>
        <v>1.2</v>
      </c>
      <c r="I1137" s="295">
        <f t="shared" si="126"/>
        <v>33.33</v>
      </c>
      <c r="J1137" s="295"/>
      <c r="K1137" s="300">
        <f t="shared" si="124"/>
        <v>1.1000000000000001</v>
      </c>
      <c r="L1137" s="300">
        <f t="shared" si="127"/>
        <v>0</v>
      </c>
      <c r="M1137" s="285">
        <f t="shared" si="128"/>
        <v>0</v>
      </c>
      <c r="N1137" s="1076">
        <f t="shared" si="129"/>
        <v>0</v>
      </c>
      <c r="O1137" s="294"/>
      <c r="P1137" s="404"/>
      <c r="Q1137" s="404"/>
      <c r="R1137" s="301"/>
      <c r="S1137" s="301"/>
      <c r="T1137" s="301"/>
      <c r="U1137" s="301"/>
      <c r="V1137" s="301"/>
    </row>
    <row r="1138" spans="1:22" ht="14.4" thickTop="1" thickBot="1" x14ac:dyDescent="0.3">
      <c r="A1138" s="292"/>
      <c r="B1138" s="296" t="s">
        <v>2203</v>
      </c>
      <c r="C1138" s="294"/>
      <c r="D1138" s="294"/>
      <c r="E1138" s="294"/>
      <c r="F1138" s="310">
        <v>2.1120000000000001</v>
      </c>
      <c r="G1138" s="310"/>
      <c r="H1138" s="310">
        <f t="shared" si="125"/>
        <v>1.125</v>
      </c>
      <c r="I1138" s="295">
        <f t="shared" si="126"/>
        <v>2.3760000000000003</v>
      </c>
      <c r="J1138" s="295"/>
      <c r="K1138" s="300">
        <f t="shared" si="124"/>
        <v>1.1000000000000001</v>
      </c>
      <c r="L1138" s="300">
        <f t="shared" si="127"/>
        <v>0</v>
      </c>
      <c r="M1138" s="285">
        <f t="shared" si="128"/>
        <v>0</v>
      </c>
      <c r="N1138" s="1076">
        <f t="shared" si="129"/>
        <v>0</v>
      </c>
      <c r="O1138" s="294"/>
      <c r="P1138" s="404"/>
      <c r="Q1138" s="404"/>
      <c r="R1138" s="301"/>
      <c r="S1138" s="301"/>
      <c r="T1138" s="301"/>
      <c r="U1138" s="301"/>
      <c r="V1138" s="301"/>
    </row>
    <row r="1139" spans="1:22" ht="14.4" thickTop="1" thickBot="1" x14ac:dyDescent="0.3">
      <c r="A1139" s="292"/>
      <c r="B1139" s="296" t="s">
        <v>2204</v>
      </c>
      <c r="C1139" s="294"/>
      <c r="D1139" s="294"/>
      <c r="E1139" s="294"/>
      <c r="F1139" s="310">
        <v>23.736999999999998</v>
      </c>
      <c r="G1139" s="310"/>
      <c r="H1139" s="310">
        <f t="shared" si="125"/>
        <v>1.2</v>
      </c>
      <c r="I1139" s="295">
        <f t="shared" si="126"/>
        <v>28.484399999999997</v>
      </c>
      <c r="J1139" s="295"/>
      <c r="K1139" s="300">
        <f t="shared" si="124"/>
        <v>1.1000000000000001</v>
      </c>
      <c r="L1139" s="300">
        <f t="shared" si="127"/>
        <v>0</v>
      </c>
      <c r="M1139" s="285">
        <f t="shared" si="128"/>
        <v>0</v>
      </c>
      <c r="N1139" s="1076">
        <f t="shared" si="129"/>
        <v>0</v>
      </c>
      <c r="O1139" s="294"/>
      <c r="P1139" s="404"/>
      <c r="Q1139" s="404"/>
      <c r="R1139" s="301"/>
      <c r="S1139" s="301"/>
      <c r="T1139" s="301"/>
      <c r="U1139" s="301"/>
      <c r="V1139" s="301"/>
    </row>
    <row r="1140" spans="1:22" ht="14.4" thickTop="1" thickBot="1" x14ac:dyDescent="0.3">
      <c r="A1140" s="292"/>
      <c r="B1140" s="296" t="s">
        <v>2205</v>
      </c>
      <c r="C1140" s="294"/>
      <c r="D1140" s="294"/>
      <c r="E1140" s="294"/>
      <c r="F1140" s="310">
        <v>20.638000000000002</v>
      </c>
      <c r="G1140" s="310"/>
      <c r="H1140" s="310">
        <f t="shared" si="125"/>
        <v>1.3250000000000002</v>
      </c>
      <c r="I1140" s="295">
        <f t="shared" si="126"/>
        <v>27.345350000000007</v>
      </c>
      <c r="J1140" s="295"/>
      <c r="K1140" s="300">
        <f t="shared" si="124"/>
        <v>1.1000000000000001</v>
      </c>
      <c r="L1140" s="300">
        <f t="shared" si="127"/>
        <v>0</v>
      </c>
      <c r="M1140" s="285">
        <f t="shared" si="128"/>
        <v>0</v>
      </c>
      <c r="N1140" s="1076">
        <f t="shared" si="129"/>
        <v>0</v>
      </c>
      <c r="O1140" s="294"/>
      <c r="P1140" s="404"/>
      <c r="Q1140" s="404"/>
      <c r="R1140" s="301"/>
      <c r="S1140" s="301"/>
      <c r="T1140" s="301"/>
      <c r="U1140" s="301"/>
      <c r="V1140" s="301"/>
    </row>
    <row r="1141" spans="1:22" ht="14.4" thickTop="1" thickBot="1" x14ac:dyDescent="0.3">
      <c r="A1141" s="292"/>
      <c r="B1141" s="296" t="s">
        <v>2206</v>
      </c>
      <c r="C1141" s="294"/>
      <c r="D1141" s="294"/>
      <c r="E1141" s="294"/>
      <c r="F1141" s="310">
        <v>7.2130000000000001</v>
      </c>
      <c r="G1141" s="310"/>
      <c r="H1141" s="310">
        <f t="shared" si="125"/>
        <v>1.125</v>
      </c>
      <c r="I1141" s="295">
        <f t="shared" si="126"/>
        <v>8.1146250000000002</v>
      </c>
      <c r="J1141" s="295"/>
      <c r="K1141" s="300">
        <f t="shared" si="124"/>
        <v>1.1000000000000001</v>
      </c>
      <c r="L1141" s="300">
        <f t="shared" si="127"/>
        <v>0</v>
      </c>
      <c r="M1141" s="285">
        <f t="shared" si="128"/>
        <v>0</v>
      </c>
      <c r="N1141" s="1076">
        <f t="shared" si="129"/>
        <v>0</v>
      </c>
      <c r="O1141" s="294"/>
      <c r="P1141" s="404"/>
      <c r="Q1141" s="404"/>
      <c r="R1141" s="301"/>
      <c r="S1141" s="301"/>
      <c r="T1141" s="301"/>
      <c r="U1141" s="301"/>
      <c r="V1141" s="301"/>
    </row>
    <row r="1142" spans="1:22" ht="14.4" thickTop="1" thickBot="1" x14ac:dyDescent="0.3">
      <c r="A1142" s="292"/>
      <c r="B1142" s="296" t="s">
        <v>2207</v>
      </c>
      <c r="C1142" s="294"/>
      <c r="D1142" s="294"/>
      <c r="E1142" s="294"/>
      <c r="F1142" s="310">
        <v>15.625</v>
      </c>
      <c r="G1142" s="310"/>
      <c r="H1142" s="310">
        <f t="shared" si="125"/>
        <v>1.125</v>
      </c>
      <c r="I1142" s="295">
        <f t="shared" si="126"/>
        <v>17.578125</v>
      </c>
      <c r="J1142" s="295"/>
      <c r="K1142" s="300">
        <f t="shared" si="124"/>
        <v>1.1000000000000001</v>
      </c>
      <c r="L1142" s="300">
        <f t="shared" si="127"/>
        <v>0</v>
      </c>
      <c r="M1142" s="285">
        <f t="shared" si="128"/>
        <v>0</v>
      </c>
      <c r="N1142" s="1076">
        <f t="shared" si="129"/>
        <v>0</v>
      </c>
      <c r="O1142" s="294"/>
      <c r="P1142" s="404"/>
      <c r="Q1142" s="404"/>
      <c r="R1142" s="301"/>
      <c r="S1142" s="301"/>
      <c r="T1142" s="301"/>
      <c r="U1142" s="301"/>
      <c r="V1142" s="301"/>
    </row>
    <row r="1143" spans="1:22" ht="14.4" thickTop="1" thickBot="1" x14ac:dyDescent="0.3">
      <c r="A1143" s="292"/>
      <c r="B1143" s="296" t="s">
        <v>2208</v>
      </c>
      <c r="C1143" s="294"/>
      <c r="D1143" s="294"/>
      <c r="E1143" s="294"/>
      <c r="F1143" s="310">
        <v>8</v>
      </c>
      <c r="G1143" s="310"/>
      <c r="H1143" s="310">
        <f t="shared" si="125"/>
        <v>1.125</v>
      </c>
      <c r="I1143" s="295">
        <f t="shared" si="126"/>
        <v>9</v>
      </c>
      <c r="J1143" s="295"/>
      <c r="K1143" s="300">
        <f t="shared" si="124"/>
        <v>1.1000000000000001</v>
      </c>
      <c r="L1143" s="300">
        <f t="shared" si="127"/>
        <v>0</v>
      </c>
      <c r="M1143" s="285">
        <f t="shared" si="128"/>
        <v>0</v>
      </c>
      <c r="N1143" s="1076">
        <f t="shared" si="129"/>
        <v>0</v>
      </c>
      <c r="O1143" s="294"/>
      <c r="P1143" s="404"/>
      <c r="Q1143" s="404"/>
      <c r="R1143" s="301"/>
      <c r="S1143" s="301"/>
      <c r="T1143" s="301"/>
      <c r="U1143" s="301"/>
      <c r="V1143" s="301"/>
    </row>
    <row r="1144" spans="1:22" ht="14.4" thickTop="1" thickBot="1" x14ac:dyDescent="0.3">
      <c r="A1144" s="292"/>
      <c r="B1144" s="296" t="s">
        <v>2209</v>
      </c>
      <c r="C1144" s="294"/>
      <c r="D1144" s="294"/>
      <c r="E1144" s="294"/>
      <c r="F1144" s="310">
        <v>18.983000000000001</v>
      </c>
      <c r="G1144" s="310"/>
      <c r="H1144" s="310">
        <f t="shared" si="125"/>
        <v>1.125</v>
      </c>
      <c r="I1144" s="295">
        <f t="shared" si="126"/>
        <v>21.355875000000001</v>
      </c>
      <c r="J1144" s="295"/>
      <c r="K1144" s="300">
        <f t="shared" si="124"/>
        <v>1.1000000000000001</v>
      </c>
      <c r="L1144" s="300">
        <f t="shared" si="127"/>
        <v>0</v>
      </c>
      <c r="M1144" s="285">
        <f t="shared" si="128"/>
        <v>0</v>
      </c>
      <c r="N1144" s="1076">
        <f t="shared" si="129"/>
        <v>0</v>
      </c>
      <c r="O1144" s="294"/>
      <c r="P1144" s="404"/>
      <c r="Q1144" s="404"/>
      <c r="R1144" s="301"/>
      <c r="S1144" s="301"/>
      <c r="T1144" s="301"/>
      <c r="U1144" s="301"/>
      <c r="V1144" s="301"/>
    </row>
    <row r="1145" spans="1:22" ht="14.4" thickTop="1" thickBot="1" x14ac:dyDescent="0.3">
      <c r="A1145" s="292"/>
      <c r="B1145" s="296" t="s">
        <v>2210</v>
      </c>
      <c r="C1145" s="294"/>
      <c r="D1145" s="294"/>
      <c r="E1145" s="294"/>
      <c r="F1145" s="310">
        <v>18.983000000000001</v>
      </c>
      <c r="G1145" s="310"/>
      <c r="H1145" s="310">
        <f t="shared" si="125"/>
        <v>1.3</v>
      </c>
      <c r="I1145" s="295">
        <f t="shared" si="126"/>
        <v>24.677900000000001</v>
      </c>
      <c r="J1145" s="295"/>
      <c r="K1145" s="300">
        <f t="shared" si="124"/>
        <v>1.1000000000000001</v>
      </c>
      <c r="L1145" s="300">
        <f t="shared" si="127"/>
        <v>0</v>
      </c>
      <c r="M1145" s="285">
        <f t="shared" si="128"/>
        <v>0</v>
      </c>
      <c r="N1145" s="1076">
        <f t="shared" si="129"/>
        <v>0</v>
      </c>
      <c r="O1145" s="294"/>
      <c r="P1145" s="404"/>
      <c r="Q1145" s="404"/>
      <c r="R1145" s="301"/>
      <c r="S1145" s="301"/>
      <c r="T1145" s="301"/>
      <c r="U1145" s="301"/>
      <c r="V1145" s="301"/>
    </row>
    <row r="1146" spans="1:22" ht="14.4" thickTop="1" thickBot="1" x14ac:dyDescent="0.3">
      <c r="A1146" s="292"/>
      <c r="B1146" s="296" t="s">
        <v>2211</v>
      </c>
      <c r="C1146" s="294"/>
      <c r="D1146" s="294"/>
      <c r="E1146" s="294"/>
      <c r="F1146" s="310">
        <v>14.788</v>
      </c>
      <c r="G1146" s="310"/>
      <c r="H1146" s="310">
        <f t="shared" si="125"/>
        <v>1.3</v>
      </c>
      <c r="I1146" s="295">
        <f t="shared" si="126"/>
        <v>19.224399999999999</v>
      </c>
      <c r="J1146" s="295"/>
      <c r="K1146" s="300">
        <f t="shared" si="124"/>
        <v>1.1000000000000001</v>
      </c>
      <c r="L1146" s="300">
        <f t="shared" si="127"/>
        <v>0</v>
      </c>
      <c r="M1146" s="285">
        <f t="shared" si="128"/>
        <v>0</v>
      </c>
      <c r="N1146" s="1076">
        <f t="shared" si="129"/>
        <v>0</v>
      </c>
      <c r="O1146" s="294"/>
      <c r="P1146" s="404"/>
      <c r="Q1146" s="404"/>
      <c r="R1146" s="301"/>
      <c r="S1146" s="301"/>
      <c r="T1146" s="301"/>
      <c r="U1146" s="301"/>
      <c r="V1146" s="301"/>
    </row>
    <row r="1147" spans="1:22" ht="14.4" thickTop="1" thickBot="1" x14ac:dyDescent="0.3">
      <c r="A1147" s="292"/>
      <c r="B1147" s="296" t="s">
        <v>2212</v>
      </c>
      <c r="C1147" s="294"/>
      <c r="D1147" s="294"/>
      <c r="E1147" s="294"/>
      <c r="F1147" s="310">
        <v>4.42</v>
      </c>
      <c r="G1147" s="310"/>
      <c r="H1147" s="310">
        <f t="shared" si="125"/>
        <v>1.125</v>
      </c>
      <c r="I1147" s="295">
        <f t="shared" si="126"/>
        <v>4.9725000000000001</v>
      </c>
      <c r="J1147" s="295"/>
      <c r="K1147" s="300">
        <f t="shared" si="124"/>
        <v>1.1000000000000001</v>
      </c>
      <c r="L1147" s="300">
        <f t="shared" si="127"/>
        <v>0</v>
      </c>
      <c r="M1147" s="285">
        <f t="shared" si="128"/>
        <v>0</v>
      </c>
      <c r="N1147" s="1076">
        <f t="shared" si="129"/>
        <v>0</v>
      </c>
      <c r="O1147" s="294"/>
      <c r="P1147" s="404"/>
      <c r="Q1147" s="404"/>
      <c r="R1147" s="301"/>
      <c r="S1147" s="301"/>
      <c r="T1147" s="301"/>
      <c r="U1147" s="301"/>
      <c r="V1147" s="301"/>
    </row>
    <row r="1148" spans="1:22" ht="14.4" thickTop="1" thickBot="1" x14ac:dyDescent="0.3">
      <c r="A1148" s="292"/>
      <c r="B1148" s="296" t="s">
        <v>2213</v>
      </c>
      <c r="C1148" s="294"/>
      <c r="D1148" s="294"/>
      <c r="E1148" s="294"/>
      <c r="F1148" s="310">
        <v>17.625</v>
      </c>
      <c r="G1148" s="310"/>
      <c r="H1148" s="310">
        <f t="shared" si="125"/>
        <v>1.3</v>
      </c>
      <c r="I1148" s="295">
        <f t="shared" si="126"/>
        <v>22.912500000000001</v>
      </c>
      <c r="J1148" s="295"/>
      <c r="K1148" s="300">
        <f t="shared" si="124"/>
        <v>1.1000000000000001</v>
      </c>
      <c r="L1148" s="300">
        <f t="shared" si="127"/>
        <v>0</v>
      </c>
      <c r="M1148" s="285">
        <f t="shared" si="128"/>
        <v>0</v>
      </c>
      <c r="N1148" s="1076">
        <f t="shared" si="129"/>
        <v>0</v>
      </c>
      <c r="O1148" s="294"/>
      <c r="P1148" s="404"/>
      <c r="Q1148" s="404"/>
      <c r="R1148" s="301"/>
      <c r="S1148" s="301"/>
      <c r="T1148" s="301"/>
      <c r="U1148" s="301"/>
      <c r="V1148" s="301"/>
    </row>
    <row r="1149" spans="1:22" ht="14.4" thickTop="1" thickBot="1" x14ac:dyDescent="0.3">
      <c r="A1149" s="292"/>
      <c r="B1149" s="296" t="s">
        <v>2214</v>
      </c>
      <c r="C1149" s="294"/>
      <c r="D1149" s="294"/>
      <c r="E1149" s="294"/>
      <c r="F1149" s="310">
        <v>17.55</v>
      </c>
      <c r="G1149" s="310"/>
      <c r="H1149" s="310">
        <f t="shared" si="125"/>
        <v>1.3</v>
      </c>
      <c r="I1149" s="295">
        <f t="shared" si="126"/>
        <v>22.815000000000001</v>
      </c>
      <c r="J1149" s="295"/>
      <c r="K1149" s="300">
        <f t="shared" si="124"/>
        <v>1.1000000000000001</v>
      </c>
      <c r="L1149" s="300">
        <f t="shared" si="127"/>
        <v>0</v>
      </c>
      <c r="M1149" s="285">
        <f t="shared" si="128"/>
        <v>0</v>
      </c>
      <c r="N1149" s="1076">
        <f t="shared" si="129"/>
        <v>0</v>
      </c>
      <c r="O1149" s="294"/>
      <c r="P1149" s="404"/>
      <c r="Q1149" s="404"/>
      <c r="R1149" s="301"/>
      <c r="S1149" s="301"/>
      <c r="T1149" s="301"/>
      <c r="U1149" s="301"/>
      <c r="V1149" s="301"/>
    </row>
    <row r="1150" spans="1:22" ht="14.4" thickTop="1" thickBot="1" x14ac:dyDescent="0.3">
      <c r="A1150" s="292"/>
      <c r="B1150" s="296" t="s">
        <v>2215</v>
      </c>
      <c r="C1150" s="294"/>
      <c r="D1150" s="294"/>
      <c r="E1150" s="294"/>
      <c r="F1150" s="310">
        <v>17.55</v>
      </c>
      <c r="G1150" s="310"/>
      <c r="H1150" s="310">
        <f t="shared" si="125"/>
        <v>1.3</v>
      </c>
      <c r="I1150" s="295">
        <f t="shared" si="126"/>
        <v>22.815000000000001</v>
      </c>
      <c r="J1150" s="295"/>
      <c r="K1150" s="300">
        <f t="shared" si="124"/>
        <v>1.1000000000000001</v>
      </c>
      <c r="L1150" s="300">
        <f t="shared" si="127"/>
        <v>0</v>
      </c>
      <c r="M1150" s="285">
        <f t="shared" si="128"/>
        <v>0</v>
      </c>
      <c r="N1150" s="1076">
        <f t="shared" si="129"/>
        <v>0</v>
      </c>
      <c r="O1150" s="294"/>
      <c r="P1150" s="404"/>
      <c r="Q1150" s="404"/>
      <c r="R1150" s="301"/>
      <c r="S1150" s="301"/>
      <c r="T1150" s="301"/>
      <c r="U1150" s="301"/>
      <c r="V1150" s="301"/>
    </row>
    <row r="1151" spans="1:22" ht="14.4" thickTop="1" thickBot="1" x14ac:dyDescent="0.3">
      <c r="A1151" s="292"/>
      <c r="B1151" s="296" t="s">
        <v>2216</v>
      </c>
      <c r="C1151" s="294"/>
      <c r="D1151" s="294"/>
      <c r="E1151" s="294"/>
      <c r="F1151" s="310">
        <v>1.8</v>
      </c>
      <c r="G1151" s="310"/>
      <c r="H1151" s="310">
        <f t="shared" si="125"/>
        <v>1.125</v>
      </c>
      <c r="I1151" s="295">
        <f t="shared" si="126"/>
        <v>2.0249999999999999</v>
      </c>
      <c r="J1151" s="295"/>
      <c r="K1151" s="300">
        <f t="shared" si="124"/>
        <v>1.1000000000000001</v>
      </c>
      <c r="L1151" s="300">
        <f t="shared" si="127"/>
        <v>0</v>
      </c>
      <c r="M1151" s="285">
        <f t="shared" si="128"/>
        <v>0</v>
      </c>
      <c r="N1151" s="1076">
        <f t="shared" si="129"/>
        <v>0</v>
      </c>
      <c r="O1151" s="294"/>
      <c r="P1151" s="404"/>
      <c r="Q1151" s="404"/>
      <c r="R1151" s="301"/>
      <c r="S1151" s="301"/>
      <c r="T1151" s="301"/>
      <c r="U1151" s="301"/>
      <c r="V1151" s="301"/>
    </row>
    <row r="1152" spans="1:22" ht="14.4" thickTop="1" thickBot="1" x14ac:dyDescent="0.3">
      <c r="A1152" s="292"/>
      <c r="B1152" s="296" t="s">
        <v>2217</v>
      </c>
      <c r="C1152" s="294"/>
      <c r="D1152" s="294"/>
      <c r="E1152" s="294"/>
      <c r="F1152" s="310">
        <v>17.55</v>
      </c>
      <c r="G1152" s="310"/>
      <c r="H1152" s="310">
        <f t="shared" si="125"/>
        <v>1.3</v>
      </c>
      <c r="I1152" s="295">
        <f t="shared" si="126"/>
        <v>22.815000000000001</v>
      </c>
      <c r="J1152" s="295"/>
      <c r="K1152" s="300">
        <f t="shared" si="124"/>
        <v>1.1000000000000001</v>
      </c>
      <c r="L1152" s="300">
        <f t="shared" si="127"/>
        <v>0</v>
      </c>
      <c r="M1152" s="285">
        <f t="shared" si="128"/>
        <v>0</v>
      </c>
      <c r="N1152" s="1076">
        <f t="shared" si="129"/>
        <v>0</v>
      </c>
      <c r="O1152" s="294"/>
      <c r="P1152" s="404"/>
      <c r="Q1152" s="404"/>
      <c r="R1152" s="301"/>
      <c r="S1152" s="301"/>
      <c r="T1152" s="301"/>
      <c r="U1152" s="301"/>
      <c r="V1152" s="301"/>
    </row>
    <row r="1153" spans="1:22" ht="14.4" thickTop="1" thickBot="1" x14ac:dyDescent="0.3">
      <c r="A1153" s="292"/>
      <c r="B1153" s="296" t="s">
        <v>2218</v>
      </c>
      <c r="C1153" s="294"/>
      <c r="D1153" s="294"/>
      <c r="E1153" s="294"/>
      <c r="F1153" s="310">
        <v>2.9550000000000001</v>
      </c>
      <c r="G1153" s="310"/>
      <c r="H1153" s="310">
        <f t="shared" si="125"/>
        <v>0.82499999999999996</v>
      </c>
      <c r="I1153" s="295">
        <f t="shared" si="126"/>
        <v>2.437875</v>
      </c>
      <c r="J1153" s="295"/>
      <c r="K1153" s="300">
        <f t="shared" si="124"/>
        <v>1.1000000000000001</v>
      </c>
      <c r="L1153" s="300">
        <f t="shared" si="127"/>
        <v>0</v>
      </c>
      <c r="M1153" s="285">
        <f t="shared" si="128"/>
        <v>0</v>
      </c>
      <c r="N1153" s="1076">
        <f t="shared" si="129"/>
        <v>0</v>
      </c>
      <c r="O1153" s="294"/>
      <c r="P1153" s="404"/>
      <c r="Q1153" s="404"/>
      <c r="R1153" s="301"/>
      <c r="S1153" s="301"/>
      <c r="T1153" s="301"/>
      <c r="U1153" s="301"/>
      <c r="V1153" s="301"/>
    </row>
    <row r="1154" spans="1:22" ht="14.4" thickTop="1" thickBot="1" x14ac:dyDescent="0.3">
      <c r="A1154" s="292"/>
      <c r="B1154" s="296" t="s">
        <v>2219</v>
      </c>
      <c r="C1154" s="294"/>
      <c r="D1154" s="294"/>
      <c r="E1154" s="294"/>
      <c r="F1154" s="310">
        <v>22.65</v>
      </c>
      <c r="G1154" s="310"/>
      <c r="H1154" s="310">
        <f t="shared" si="125"/>
        <v>1.3</v>
      </c>
      <c r="I1154" s="295">
        <f t="shared" si="126"/>
        <v>29.445</v>
      </c>
      <c r="J1154" s="295"/>
      <c r="K1154" s="300">
        <f t="shared" si="124"/>
        <v>1.1000000000000001</v>
      </c>
      <c r="L1154" s="300">
        <f t="shared" si="127"/>
        <v>0</v>
      </c>
      <c r="M1154" s="285">
        <f t="shared" si="128"/>
        <v>0</v>
      </c>
      <c r="N1154" s="1076">
        <f t="shared" si="129"/>
        <v>0</v>
      </c>
      <c r="O1154" s="294"/>
      <c r="P1154" s="404"/>
      <c r="Q1154" s="404"/>
      <c r="R1154" s="301"/>
      <c r="S1154" s="301"/>
      <c r="T1154" s="301"/>
      <c r="U1154" s="301"/>
      <c r="V1154" s="301"/>
    </row>
    <row r="1155" spans="1:22" ht="14.4" thickTop="1" thickBot="1" x14ac:dyDescent="0.3">
      <c r="A1155" s="292"/>
      <c r="B1155" s="296" t="s">
        <v>2220</v>
      </c>
      <c r="C1155" s="294"/>
      <c r="D1155" s="294"/>
      <c r="E1155" s="294"/>
      <c r="F1155" s="310">
        <v>3.26</v>
      </c>
      <c r="G1155" s="310"/>
      <c r="H1155" s="310">
        <f t="shared" si="125"/>
        <v>1.125</v>
      </c>
      <c r="I1155" s="295">
        <f t="shared" si="126"/>
        <v>3.6674999999999995</v>
      </c>
      <c r="J1155" s="295"/>
      <c r="K1155" s="300">
        <f t="shared" si="124"/>
        <v>1.1000000000000001</v>
      </c>
      <c r="L1155" s="300">
        <f t="shared" si="127"/>
        <v>0</v>
      </c>
      <c r="M1155" s="285">
        <f t="shared" si="128"/>
        <v>0</v>
      </c>
      <c r="N1155" s="1076">
        <f t="shared" si="129"/>
        <v>0</v>
      </c>
      <c r="O1155" s="294"/>
      <c r="P1155" s="404"/>
      <c r="Q1155" s="404"/>
      <c r="R1155" s="301"/>
      <c r="S1155" s="301"/>
      <c r="T1155" s="301"/>
      <c r="U1155" s="301"/>
      <c r="V1155" s="301"/>
    </row>
    <row r="1156" spans="1:22" ht="14.4" thickTop="1" thickBot="1" x14ac:dyDescent="0.3">
      <c r="A1156" s="292"/>
      <c r="B1156" s="296" t="s">
        <v>2221</v>
      </c>
      <c r="C1156" s="294"/>
      <c r="D1156" s="294"/>
      <c r="E1156" s="294"/>
      <c r="F1156" s="310">
        <v>11.686999999999999</v>
      </c>
      <c r="G1156" s="310"/>
      <c r="H1156" s="310">
        <f t="shared" si="125"/>
        <v>1.2</v>
      </c>
      <c r="I1156" s="295">
        <f t="shared" si="126"/>
        <v>14.024399999999998</v>
      </c>
      <c r="J1156" s="295"/>
      <c r="K1156" s="300">
        <f t="shared" si="124"/>
        <v>1.1000000000000001</v>
      </c>
      <c r="L1156" s="300">
        <f t="shared" si="127"/>
        <v>0</v>
      </c>
      <c r="M1156" s="285">
        <f t="shared" si="128"/>
        <v>0</v>
      </c>
      <c r="N1156" s="1076">
        <f t="shared" si="129"/>
        <v>0</v>
      </c>
      <c r="O1156" s="294"/>
      <c r="P1156" s="404"/>
      <c r="Q1156" s="404"/>
      <c r="R1156" s="301"/>
      <c r="S1156" s="301"/>
      <c r="T1156" s="301"/>
      <c r="U1156" s="301"/>
      <c r="V1156" s="301"/>
    </row>
    <row r="1157" spans="1:22" ht="14.4" thickTop="1" thickBot="1" x14ac:dyDescent="0.3">
      <c r="A1157" s="292"/>
      <c r="B1157" s="296" t="s">
        <v>2222</v>
      </c>
      <c r="C1157" s="294"/>
      <c r="D1157" s="294"/>
      <c r="E1157" s="294"/>
      <c r="F1157" s="310">
        <v>13.35</v>
      </c>
      <c r="G1157" s="310"/>
      <c r="H1157" s="310">
        <f t="shared" si="125"/>
        <v>1.2</v>
      </c>
      <c r="I1157" s="295">
        <f t="shared" si="126"/>
        <v>16.02</v>
      </c>
      <c r="J1157" s="295"/>
      <c r="K1157" s="300">
        <f t="shared" si="124"/>
        <v>1.1000000000000001</v>
      </c>
      <c r="L1157" s="300">
        <f t="shared" si="127"/>
        <v>0</v>
      </c>
      <c r="M1157" s="285">
        <f t="shared" si="128"/>
        <v>0</v>
      </c>
      <c r="N1157" s="1076">
        <f t="shared" si="129"/>
        <v>0</v>
      </c>
      <c r="O1157" s="294"/>
      <c r="P1157" s="404"/>
      <c r="Q1157" s="404"/>
      <c r="R1157" s="301"/>
      <c r="S1157" s="301"/>
      <c r="T1157" s="301"/>
      <c r="U1157" s="301"/>
      <c r="V1157" s="301"/>
    </row>
    <row r="1158" spans="1:22" ht="14.4" thickTop="1" thickBot="1" x14ac:dyDescent="0.3">
      <c r="A1158" s="292"/>
      <c r="B1158" s="296" t="s">
        <v>2223</v>
      </c>
      <c r="C1158" s="294"/>
      <c r="D1158" s="294"/>
      <c r="E1158" s="294"/>
      <c r="F1158" s="310">
        <v>20.236999999999998</v>
      </c>
      <c r="G1158" s="310"/>
      <c r="H1158" s="310">
        <f t="shared" si="125"/>
        <v>1.5</v>
      </c>
      <c r="I1158" s="295">
        <f t="shared" si="126"/>
        <v>30.355499999999999</v>
      </c>
      <c r="J1158" s="295"/>
      <c r="K1158" s="300">
        <f t="shared" si="124"/>
        <v>1.1000000000000001</v>
      </c>
      <c r="L1158" s="300">
        <f t="shared" si="127"/>
        <v>0</v>
      </c>
      <c r="M1158" s="285">
        <f t="shared" si="128"/>
        <v>0</v>
      </c>
      <c r="N1158" s="1076">
        <f t="shared" si="129"/>
        <v>0</v>
      </c>
      <c r="O1158" s="294"/>
      <c r="P1158" s="404"/>
      <c r="Q1158" s="404"/>
      <c r="R1158" s="301"/>
      <c r="S1158" s="301"/>
      <c r="T1158" s="301"/>
      <c r="U1158" s="301"/>
      <c r="V1158" s="301"/>
    </row>
    <row r="1159" spans="1:22" ht="14.4" thickTop="1" thickBot="1" x14ac:dyDescent="0.3">
      <c r="A1159" s="292"/>
      <c r="B1159" s="296" t="s">
        <v>2231</v>
      </c>
      <c r="C1159" s="294"/>
      <c r="D1159" s="294"/>
      <c r="E1159" s="294"/>
      <c r="F1159" s="310">
        <v>6.1120000000000001</v>
      </c>
      <c r="G1159" s="310"/>
      <c r="H1159" s="310">
        <f t="shared" si="125"/>
        <v>1.125</v>
      </c>
      <c r="I1159" s="295">
        <f t="shared" si="126"/>
        <v>6.8760000000000003</v>
      </c>
      <c r="J1159" s="295"/>
      <c r="K1159" s="300">
        <f t="shared" si="124"/>
        <v>1.1000000000000001</v>
      </c>
      <c r="L1159" s="300">
        <f t="shared" si="127"/>
        <v>0</v>
      </c>
      <c r="M1159" s="285">
        <f t="shared" si="128"/>
        <v>0</v>
      </c>
      <c r="N1159" s="1076">
        <f t="shared" si="129"/>
        <v>0</v>
      </c>
      <c r="O1159" s="294"/>
      <c r="P1159" s="404"/>
      <c r="Q1159" s="404"/>
      <c r="R1159" s="301"/>
      <c r="S1159" s="301"/>
      <c r="T1159" s="301"/>
      <c r="U1159" s="301"/>
      <c r="V1159" s="301"/>
    </row>
    <row r="1160" spans="1:22" ht="14.4" thickTop="1" thickBot="1" x14ac:dyDescent="0.3">
      <c r="A1160" s="292"/>
      <c r="B1160" s="296" t="s">
        <v>2224</v>
      </c>
      <c r="C1160" s="294"/>
      <c r="D1160" s="294"/>
      <c r="E1160" s="294"/>
      <c r="F1160" s="310">
        <v>3.65</v>
      </c>
      <c r="G1160" s="310"/>
      <c r="H1160" s="310">
        <f t="shared" si="125"/>
        <v>1.125</v>
      </c>
      <c r="I1160" s="295">
        <f t="shared" si="126"/>
        <v>4.1062500000000002</v>
      </c>
      <c r="J1160" s="295"/>
      <c r="K1160" s="300">
        <f t="shared" si="124"/>
        <v>1.1000000000000001</v>
      </c>
      <c r="L1160" s="300">
        <f t="shared" si="127"/>
        <v>0</v>
      </c>
      <c r="M1160" s="285">
        <f t="shared" si="128"/>
        <v>0</v>
      </c>
      <c r="N1160" s="1076">
        <f t="shared" si="129"/>
        <v>0</v>
      </c>
      <c r="O1160" s="294"/>
      <c r="P1160" s="404"/>
      <c r="Q1160" s="404"/>
      <c r="R1160" s="301"/>
      <c r="S1160" s="301"/>
      <c r="T1160" s="301"/>
      <c r="U1160" s="301"/>
      <c r="V1160" s="301"/>
    </row>
    <row r="1161" spans="1:22" ht="14.4" thickTop="1" thickBot="1" x14ac:dyDescent="0.3">
      <c r="A1161" s="292"/>
      <c r="B1161" s="296" t="s">
        <v>2225</v>
      </c>
      <c r="C1161" s="294"/>
      <c r="D1161" s="294"/>
      <c r="E1161" s="294"/>
      <c r="F1161" s="310">
        <v>16.888000000000002</v>
      </c>
      <c r="G1161" s="310"/>
      <c r="H1161" s="310">
        <f t="shared" si="125"/>
        <v>1.5</v>
      </c>
      <c r="I1161" s="295">
        <f t="shared" si="126"/>
        <v>25.332000000000001</v>
      </c>
      <c r="J1161" s="295"/>
      <c r="K1161" s="300">
        <f t="shared" si="124"/>
        <v>1.1000000000000001</v>
      </c>
      <c r="L1161" s="300">
        <f t="shared" si="127"/>
        <v>0</v>
      </c>
      <c r="M1161" s="285">
        <f t="shared" si="128"/>
        <v>0</v>
      </c>
      <c r="N1161" s="1076">
        <f t="shared" si="129"/>
        <v>0</v>
      </c>
      <c r="O1161" s="294"/>
      <c r="P1161" s="404"/>
      <c r="Q1161" s="404"/>
      <c r="R1161" s="301"/>
      <c r="S1161" s="301"/>
      <c r="T1161" s="301"/>
      <c r="U1161" s="301"/>
      <c r="V1161" s="301"/>
    </row>
    <row r="1162" spans="1:22" ht="14.4" thickTop="1" thickBot="1" x14ac:dyDescent="0.3">
      <c r="A1162" s="292"/>
      <c r="B1162" s="296" t="s">
        <v>2226</v>
      </c>
      <c r="C1162" s="294"/>
      <c r="D1162" s="294"/>
      <c r="E1162" s="294"/>
      <c r="F1162" s="310">
        <v>18.888000000000002</v>
      </c>
      <c r="G1162" s="310"/>
      <c r="H1162" s="310">
        <f t="shared" si="125"/>
        <v>1.5</v>
      </c>
      <c r="I1162" s="295">
        <f t="shared" si="126"/>
        <v>28.332000000000001</v>
      </c>
      <c r="J1162" s="295"/>
      <c r="K1162" s="300">
        <f t="shared" si="124"/>
        <v>1.1000000000000001</v>
      </c>
      <c r="L1162" s="300">
        <f t="shared" si="127"/>
        <v>0</v>
      </c>
      <c r="M1162" s="285">
        <f t="shared" si="128"/>
        <v>0</v>
      </c>
      <c r="N1162" s="1076">
        <f t="shared" si="129"/>
        <v>0</v>
      </c>
      <c r="O1162" s="294"/>
      <c r="P1162" s="404"/>
      <c r="Q1162" s="404"/>
      <c r="R1162" s="301"/>
      <c r="S1162" s="301"/>
      <c r="T1162" s="301"/>
      <c r="U1162" s="301"/>
      <c r="V1162" s="301"/>
    </row>
    <row r="1163" spans="1:22" ht="14.4" thickTop="1" thickBot="1" x14ac:dyDescent="0.3">
      <c r="A1163" s="292"/>
      <c r="B1163" s="296" t="s">
        <v>2227</v>
      </c>
      <c r="C1163" s="294"/>
      <c r="D1163" s="294"/>
      <c r="E1163" s="294"/>
      <c r="F1163" s="310">
        <v>18.888000000000002</v>
      </c>
      <c r="G1163" s="310"/>
      <c r="H1163" s="310">
        <f t="shared" si="125"/>
        <v>1.5</v>
      </c>
      <c r="I1163" s="295">
        <f t="shared" si="126"/>
        <v>28.332000000000001</v>
      </c>
      <c r="J1163" s="295"/>
      <c r="K1163" s="300">
        <f t="shared" si="124"/>
        <v>1.1000000000000001</v>
      </c>
      <c r="L1163" s="300">
        <f t="shared" si="127"/>
        <v>0</v>
      </c>
      <c r="M1163" s="285">
        <f t="shared" si="128"/>
        <v>0</v>
      </c>
      <c r="N1163" s="1076">
        <f t="shared" si="129"/>
        <v>0</v>
      </c>
      <c r="O1163" s="294"/>
      <c r="P1163" s="404"/>
      <c r="Q1163" s="404"/>
      <c r="R1163" s="301"/>
      <c r="S1163" s="301"/>
      <c r="T1163" s="301"/>
      <c r="U1163" s="301"/>
      <c r="V1163" s="301"/>
    </row>
    <row r="1164" spans="1:22" ht="14.4" thickTop="1" thickBot="1" x14ac:dyDescent="0.3">
      <c r="A1164" s="292"/>
      <c r="B1164" s="296" t="s">
        <v>2228</v>
      </c>
      <c r="C1164" s="294"/>
      <c r="D1164" s="294"/>
      <c r="E1164" s="294"/>
      <c r="F1164" s="310">
        <v>18.888000000000002</v>
      </c>
      <c r="G1164" s="310"/>
      <c r="H1164" s="310">
        <f t="shared" si="125"/>
        <v>1.2</v>
      </c>
      <c r="I1164" s="295">
        <f t="shared" si="126"/>
        <v>22.665600000000001</v>
      </c>
      <c r="J1164" s="295"/>
      <c r="K1164" s="300">
        <f t="shared" si="124"/>
        <v>1.1000000000000001</v>
      </c>
      <c r="L1164" s="300">
        <f t="shared" si="127"/>
        <v>0</v>
      </c>
      <c r="M1164" s="285">
        <f t="shared" si="128"/>
        <v>0</v>
      </c>
      <c r="N1164" s="1076">
        <f t="shared" si="129"/>
        <v>0</v>
      </c>
      <c r="O1164" s="294"/>
      <c r="P1164" s="404"/>
      <c r="Q1164" s="404"/>
      <c r="R1164" s="301"/>
      <c r="S1164" s="301"/>
      <c r="T1164" s="301"/>
      <c r="U1164" s="301"/>
      <c r="V1164" s="301"/>
    </row>
    <row r="1165" spans="1:22" ht="14.4" thickTop="1" thickBot="1" x14ac:dyDescent="0.3">
      <c r="A1165" s="292"/>
      <c r="B1165" s="296" t="s">
        <v>2229</v>
      </c>
      <c r="C1165" s="294"/>
      <c r="D1165" s="294"/>
      <c r="E1165" s="294"/>
      <c r="F1165" s="310">
        <v>18.888000000000002</v>
      </c>
      <c r="G1165" s="310"/>
      <c r="H1165" s="310">
        <f>G1124+H1124+H1124</f>
        <v>1.2</v>
      </c>
      <c r="I1165" s="295">
        <f t="shared" si="126"/>
        <v>22.665600000000001</v>
      </c>
      <c r="J1165" s="295"/>
      <c r="K1165" s="300">
        <f t="shared" si="124"/>
        <v>1.1000000000000001</v>
      </c>
      <c r="L1165" s="300">
        <f t="shared" si="127"/>
        <v>0</v>
      </c>
      <c r="M1165" s="285">
        <f t="shared" si="128"/>
        <v>0</v>
      </c>
      <c r="N1165" s="1076">
        <f t="shared" si="129"/>
        <v>0</v>
      </c>
      <c r="O1165" s="294"/>
      <c r="P1165" s="404"/>
      <c r="Q1165" s="404"/>
      <c r="R1165" s="301"/>
      <c r="S1165" s="301"/>
      <c r="T1165" s="301"/>
      <c r="U1165" s="301"/>
      <c r="V1165" s="301"/>
    </row>
    <row r="1166" spans="1:22" ht="14.4" thickTop="1" thickBot="1" x14ac:dyDescent="0.3">
      <c r="A1166" s="292"/>
      <c r="B1166" s="293"/>
      <c r="C1166" s="294"/>
      <c r="D1166" s="294"/>
      <c r="E1166" s="294"/>
      <c r="F1166" s="310"/>
      <c r="G1166" s="310"/>
      <c r="H1166" s="310"/>
      <c r="I1166" s="295"/>
      <c r="J1166" s="295">
        <f>SUM(I1127:I1165)</f>
        <v>859.47785000000022</v>
      </c>
      <c r="K1166" s="300">
        <f t="shared" si="124"/>
        <v>1.1000000000000001</v>
      </c>
      <c r="L1166" s="300">
        <f t="shared" si="127"/>
        <v>945.42563500000028</v>
      </c>
      <c r="M1166" s="285">
        <f t="shared" si="128"/>
        <v>945.4</v>
      </c>
      <c r="N1166" s="1076">
        <f t="shared" si="129"/>
        <v>946</v>
      </c>
      <c r="O1166" s="294"/>
      <c r="P1166" s="404"/>
      <c r="Q1166" s="404"/>
      <c r="R1166" s="301"/>
      <c r="S1166" s="301"/>
      <c r="T1166" s="301"/>
      <c r="U1166" s="301"/>
      <c r="V1166" s="301"/>
    </row>
    <row r="1167" spans="1:22" ht="14.4" thickTop="1" thickBot="1" x14ac:dyDescent="0.3">
      <c r="A1167" s="292"/>
      <c r="B1167" s="293"/>
      <c r="C1167" s="294"/>
      <c r="D1167" s="294"/>
      <c r="E1167" s="294"/>
      <c r="F1167" s="310"/>
      <c r="G1167" s="310"/>
      <c r="H1167" s="310"/>
      <c r="I1167" s="295"/>
      <c r="J1167" s="295">
        <f>J1166*10.76</f>
        <v>9247.9816660000015</v>
      </c>
      <c r="K1167" s="300">
        <f t="shared" si="124"/>
        <v>1.1000000000000001</v>
      </c>
      <c r="L1167" s="300">
        <f t="shared" si="127"/>
        <v>10172.779832600003</v>
      </c>
      <c r="M1167" s="285">
        <f t="shared" si="128"/>
        <v>10172.799999999999</v>
      </c>
      <c r="N1167" s="1076">
        <f t="shared" si="129"/>
        <v>10173</v>
      </c>
      <c r="O1167" s="294"/>
      <c r="P1167" s="404"/>
      <c r="Q1167" s="404"/>
      <c r="R1167" s="301"/>
      <c r="S1167" s="301"/>
      <c r="T1167" s="301"/>
      <c r="U1167" s="301"/>
      <c r="V1167" s="301"/>
    </row>
    <row r="1168" spans="1:22" ht="14.4" thickTop="1" thickBot="1" x14ac:dyDescent="0.3">
      <c r="A1168" s="292"/>
      <c r="B1168" s="293"/>
      <c r="C1168" s="294"/>
      <c r="D1168" s="294"/>
      <c r="E1168" s="294"/>
      <c r="F1168" s="310"/>
      <c r="G1168" s="310"/>
      <c r="H1168" s="310"/>
      <c r="I1168" s="295"/>
      <c r="J1168" s="295">
        <f>J1167/100</f>
        <v>92.479816660000012</v>
      </c>
      <c r="K1168" s="300">
        <v>1.02</v>
      </c>
      <c r="L1168" s="300">
        <f t="shared" si="127"/>
        <v>94.329412993200009</v>
      </c>
      <c r="M1168" s="285">
        <f t="shared" si="128"/>
        <v>94.3</v>
      </c>
      <c r="N1168" s="1076">
        <f t="shared" si="129"/>
        <v>95</v>
      </c>
      <c r="O1168" s="294"/>
      <c r="P1168" s="413">
        <f>N1168-J1168</f>
        <v>2.5201833399999884</v>
      </c>
      <c r="Q1168" s="404"/>
      <c r="R1168" s="301"/>
      <c r="S1168" s="301"/>
      <c r="T1168" s="301"/>
      <c r="U1168" s="301"/>
      <c r="V1168" s="301"/>
    </row>
    <row r="1169" spans="1:22" ht="14.4" thickTop="1" thickBot="1" x14ac:dyDescent="0.3">
      <c r="A1169" s="292"/>
      <c r="B1169" s="293"/>
      <c r="C1169" s="294"/>
      <c r="D1169" s="294"/>
      <c r="E1169" s="294"/>
      <c r="F1169" s="310"/>
      <c r="G1169" s="310"/>
      <c r="H1169" s="310"/>
      <c r="I1169" s="295"/>
      <c r="J1169" s="295"/>
      <c r="K1169" s="300">
        <f t="shared" si="124"/>
        <v>1.1000000000000001</v>
      </c>
      <c r="L1169" s="300">
        <f t="shared" si="127"/>
        <v>0</v>
      </c>
      <c r="M1169" s="285">
        <f t="shared" si="128"/>
        <v>0</v>
      </c>
      <c r="N1169" s="1076">
        <f t="shared" si="129"/>
        <v>0</v>
      </c>
      <c r="O1169" s="294"/>
      <c r="P1169" s="404"/>
      <c r="Q1169" s="404"/>
      <c r="R1169" s="301"/>
      <c r="S1169" s="301"/>
      <c r="T1169" s="301"/>
      <c r="U1169" s="301"/>
      <c r="V1169" s="301"/>
    </row>
    <row r="1170" spans="1:22" ht="14.4" thickTop="1" thickBot="1" x14ac:dyDescent="0.3">
      <c r="A1170" s="292"/>
      <c r="B1170" s="296" t="s">
        <v>2239</v>
      </c>
      <c r="C1170" s="294"/>
      <c r="D1170" s="294"/>
      <c r="E1170" s="294"/>
      <c r="F1170" s="310"/>
      <c r="G1170" s="310"/>
      <c r="H1170" s="310"/>
      <c r="I1170" s="295"/>
      <c r="J1170" s="295"/>
      <c r="K1170" s="300">
        <f t="shared" si="124"/>
        <v>1.1000000000000001</v>
      </c>
      <c r="L1170" s="300">
        <f t="shared" si="127"/>
        <v>0</v>
      </c>
      <c r="M1170" s="285">
        <f t="shared" si="128"/>
        <v>0</v>
      </c>
      <c r="N1170" s="1076">
        <f t="shared" si="129"/>
        <v>0</v>
      </c>
      <c r="O1170" s="294"/>
      <c r="P1170" s="404"/>
      <c r="Q1170" s="404"/>
      <c r="R1170" s="301"/>
      <c r="S1170" s="301"/>
      <c r="T1170" s="301"/>
      <c r="U1170" s="301"/>
      <c r="V1170" s="301"/>
    </row>
    <row r="1171" spans="1:22" ht="14.4" thickTop="1" thickBot="1" x14ac:dyDescent="0.3">
      <c r="A1171" s="292"/>
      <c r="B1171" s="296" t="s">
        <v>2230</v>
      </c>
      <c r="C1171" s="294"/>
      <c r="D1171" s="294"/>
      <c r="E1171" s="294"/>
      <c r="F1171" s="310">
        <v>7.9589999999999996</v>
      </c>
      <c r="G1171" s="310">
        <v>0.3</v>
      </c>
      <c r="H1171" s="310">
        <v>0.6</v>
      </c>
      <c r="I1171" s="295">
        <f>H1171*G1171*F1171</f>
        <v>1.4326199999999998</v>
      </c>
      <c r="J1171" s="295"/>
      <c r="K1171" s="300">
        <f t="shared" si="124"/>
        <v>1.1000000000000001</v>
      </c>
      <c r="L1171" s="300">
        <f t="shared" si="127"/>
        <v>0</v>
      </c>
      <c r="M1171" s="285">
        <f t="shared" si="128"/>
        <v>0</v>
      </c>
      <c r="N1171" s="1076">
        <f t="shared" si="129"/>
        <v>0</v>
      </c>
      <c r="O1171" s="294"/>
      <c r="P1171" s="404"/>
      <c r="Q1171" s="404"/>
      <c r="R1171" s="301"/>
      <c r="S1171" s="301"/>
      <c r="T1171" s="301"/>
      <c r="U1171" s="301"/>
      <c r="V1171" s="301"/>
    </row>
    <row r="1172" spans="1:22" ht="14.4" thickTop="1" thickBot="1" x14ac:dyDescent="0.3">
      <c r="A1172" s="292"/>
      <c r="B1172" s="296" t="s">
        <v>2240</v>
      </c>
      <c r="C1172" s="294"/>
      <c r="D1172" s="294"/>
      <c r="E1172" s="294">
        <v>3</v>
      </c>
      <c r="F1172" s="310">
        <f>F1171+0.8</f>
        <v>8.7590000000000003</v>
      </c>
      <c r="G1172" s="310">
        <v>1.58</v>
      </c>
      <c r="H1172" s="310"/>
      <c r="I1172" s="295">
        <f>F1172*G1172*E1172</f>
        <v>41.517660000000006</v>
      </c>
      <c r="J1172" s="295"/>
      <c r="K1172" s="300">
        <f t="shared" si="124"/>
        <v>1.1000000000000001</v>
      </c>
      <c r="L1172" s="300">
        <f t="shared" si="127"/>
        <v>0</v>
      </c>
      <c r="M1172" s="285">
        <f t="shared" si="128"/>
        <v>0</v>
      </c>
      <c r="N1172" s="1076">
        <f t="shared" si="129"/>
        <v>0</v>
      </c>
      <c r="O1172" s="294"/>
      <c r="P1172" s="404">
        <f>16*50</f>
        <v>800</v>
      </c>
      <c r="Q1172" s="404">
        <f>16*16/162</f>
        <v>1.5802469135802468</v>
      </c>
      <c r="R1172" s="301"/>
      <c r="S1172" s="301"/>
      <c r="T1172" s="301"/>
      <c r="U1172" s="301"/>
      <c r="V1172" s="301"/>
    </row>
    <row r="1173" spans="1:22" ht="14.4" thickTop="1" thickBot="1" x14ac:dyDescent="0.3">
      <c r="A1173" s="292"/>
      <c r="B1173" s="296" t="s">
        <v>2241</v>
      </c>
      <c r="C1173" s="294"/>
      <c r="D1173" s="294"/>
      <c r="E1173" s="294">
        <v>3</v>
      </c>
      <c r="F1173" s="310">
        <f>F1172</f>
        <v>8.7590000000000003</v>
      </c>
      <c r="G1173" s="310">
        <v>1.58</v>
      </c>
      <c r="H1173" s="310"/>
      <c r="I1173" s="295">
        <f t="shared" ref="I1173:I1175" si="130">F1173*G1173*E1173</f>
        <v>41.517660000000006</v>
      </c>
      <c r="J1173" s="295"/>
      <c r="K1173" s="300">
        <f t="shared" si="124"/>
        <v>1.1000000000000001</v>
      </c>
      <c r="L1173" s="300">
        <f t="shared" si="127"/>
        <v>0</v>
      </c>
      <c r="M1173" s="285">
        <f t="shared" si="128"/>
        <v>0</v>
      </c>
      <c r="N1173" s="1076">
        <f t="shared" si="129"/>
        <v>0</v>
      </c>
      <c r="O1173" s="294"/>
      <c r="P1173" s="404">
        <f>16*50</f>
        <v>800</v>
      </c>
      <c r="Q1173" s="404"/>
      <c r="R1173" s="301"/>
      <c r="S1173" s="301"/>
      <c r="T1173" s="301"/>
      <c r="U1173" s="301"/>
      <c r="V1173" s="301"/>
    </row>
    <row r="1174" spans="1:22" ht="14.4" thickTop="1" thickBot="1" x14ac:dyDescent="0.3">
      <c r="A1174" s="292"/>
      <c r="B1174" s="296" t="s">
        <v>2242</v>
      </c>
      <c r="C1174" s="294"/>
      <c r="D1174" s="294"/>
      <c r="E1174" s="294">
        <v>3</v>
      </c>
      <c r="F1174" s="310">
        <f>F1173</f>
        <v>8.7590000000000003</v>
      </c>
      <c r="G1174" s="310">
        <v>2.4689999999999999</v>
      </c>
      <c r="H1174" s="310"/>
      <c r="I1174" s="295">
        <f t="shared" si="130"/>
        <v>64.877913000000007</v>
      </c>
      <c r="J1174" s="295"/>
      <c r="K1174" s="300">
        <f t="shared" si="124"/>
        <v>1.1000000000000001</v>
      </c>
      <c r="L1174" s="300">
        <f t="shared" si="127"/>
        <v>0</v>
      </c>
      <c r="M1174" s="285">
        <f t="shared" si="128"/>
        <v>0</v>
      </c>
      <c r="N1174" s="1076">
        <f t="shared" si="129"/>
        <v>0</v>
      </c>
      <c r="O1174" s="294"/>
      <c r="P1174" s="404">
        <f>20*20/162</f>
        <v>2.4691358024691357</v>
      </c>
      <c r="Q1174" s="413">
        <f>F1171/0.175</f>
        <v>45.480000000000004</v>
      </c>
      <c r="R1174" s="301"/>
      <c r="S1174" s="301"/>
      <c r="T1174" s="301"/>
      <c r="U1174" s="301"/>
      <c r="V1174" s="301"/>
    </row>
    <row r="1175" spans="1:22" ht="14.4" thickTop="1" thickBot="1" x14ac:dyDescent="0.3">
      <c r="A1175" s="292"/>
      <c r="B1175" s="296" t="s">
        <v>2243</v>
      </c>
      <c r="C1175" s="294"/>
      <c r="D1175" s="294"/>
      <c r="E1175" s="294">
        <v>46</v>
      </c>
      <c r="F1175" s="310">
        <f>0.25+0.25+0.55+0.55+0.3</f>
        <v>1.9000000000000001</v>
      </c>
      <c r="G1175" s="310">
        <v>0.39500000000000002</v>
      </c>
      <c r="H1175" s="310"/>
      <c r="I1175" s="295">
        <f t="shared" si="130"/>
        <v>34.523000000000003</v>
      </c>
      <c r="J1175" s="295">
        <f>SUM(I1172:I1175)</f>
        <v>182.43623300000002</v>
      </c>
      <c r="K1175" s="300">
        <f t="shared" si="124"/>
        <v>1.1000000000000001</v>
      </c>
      <c r="L1175" s="300">
        <f t="shared" si="127"/>
        <v>200.67985630000004</v>
      </c>
      <c r="M1175" s="285">
        <f t="shared" si="128"/>
        <v>200.7</v>
      </c>
      <c r="N1175" s="1076">
        <f t="shared" si="129"/>
        <v>201</v>
      </c>
      <c r="O1175" s="294"/>
      <c r="P1175" s="404">
        <f>10*10/162</f>
        <v>0.61728395061728392</v>
      </c>
      <c r="Q1175" s="404">
        <f>8*8/162</f>
        <v>0.39506172839506171</v>
      </c>
      <c r="R1175" s="301">
        <f>SUM(I1172:I1175)</f>
        <v>182.43623300000002</v>
      </c>
      <c r="S1175" s="301"/>
      <c r="T1175" s="301"/>
      <c r="U1175" s="301"/>
      <c r="V1175" s="301"/>
    </row>
    <row r="1176" spans="1:22" ht="14.4" thickTop="1" thickBot="1" x14ac:dyDescent="0.3">
      <c r="A1176" s="292"/>
      <c r="B1176" s="293"/>
      <c r="C1176" s="294"/>
      <c r="D1176" s="294"/>
      <c r="E1176" s="294"/>
      <c r="F1176" s="310"/>
      <c r="G1176" s="310"/>
      <c r="H1176" s="310"/>
      <c r="I1176" s="295"/>
      <c r="J1176" s="295"/>
      <c r="K1176" s="300">
        <f t="shared" si="124"/>
        <v>1.1000000000000001</v>
      </c>
      <c r="L1176" s="300">
        <f t="shared" si="127"/>
        <v>0</v>
      </c>
      <c r="M1176" s="285">
        <f t="shared" si="128"/>
        <v>0</v>
      </c>
      <c r="N1176" s="1076">
        <f t="shared" si="129"/>
        <v>0</v>
      </c>
      <c r="O1176" s="294"/>
      <c r="P1176" s="404"/>
      <c r="Q1176" s="404"/>
      <c r="R1176" s="301">
        <f>R1175/I1086</f>
        <v>127.3444688752077</v>
      </c>
      <c r="S1176" s="301"/>
      <c r="T1176" s="301"/>
      <c r="U1176" s="301"/>
      <c r="V1176" s="301"/>
    </row>
    <row r="1177" spans="1:22" ht="14.4" thickTop="1" thickBot="1" x14ac:dyDescent="0.3">
      <c r="A1177" s="292"/>
      <c r="B1177" s="296" t="s">
        <v>2193</v>
      </c>
      <c r="C1177" s="294"/>
      <c r="D1177" s="294"/>
      <c r="E1177" s="294"/>
      <c r="F1177" s="310">
        <v>59.545999999999999</v>
      </c>
      <c r="G1177" s="310">
        <v>0.22500000000000001</v>
      </c>
      <c r="H1177" s="310">
        <v>0.45</v>
      </c>
      <c r="I1177" s="295">
        <f t="shared" ref="I1177" si="131">H1177*G1177*F1177</f>
        <v>6.0290325000000005</v>
      </c>
      <c r="J1177" s="295"/>
      <c r="K1177" s="300">
        <f t="shared" si="124"/>
        <v>1.1000000000000001</v>
      </c>
      <c r="L1177" s="300">
        <f t="shared" si="127"/>
        <v>0</v>
      </c>
      <c r="M1177" s="285">
        <f t="shared" si="128"/>
        <v>0</v>
      </c>
      <c r="N1177" s="1076">
        <f t="shared" si="129"/>
        <v>0</v>
      </c>
      <c r="O1177" s="294"/>
      <c r="P1177" s="404">
        <f>61/6</f>
        <v>10.166666666666666</v>
      </c>
      <c r="Q1177" s="404">
        <f>16*50</f>
        <v>800</v>
      </c>
      <c r="R1177" s="301"/>
      <c r="S1177" s="301"/>
      <c r="T1177" s="301"/>
      <c r="U1177" s="301"/>
      <c r="V1177" s="301"/>
    </row>
    <row r="1178" spans="1:22" ht="14.4" thickTop="1" thickBot="1" x14ac:dyDescent="0.3">
      <c r="A1178" s="292"/>
      <c r="B1178" s="296" t="s">
        <v>2244</v>
      </c>
      <c r="C1178" s="294"/>
      <c r="D1178" s="294"/>
      <c r="E1178" s="294">
        <v>2</v>
      </c>
      <c r="F1178" s="310">
        <f>61+(11*0.8)</f>
        <v>69.8</v>
      </c>
      <c r="G1178" s="310">
        <v>1.58</v>
      </c>
      <c r="H1178" s="310"/>
      <c r="I1178" s="295">
        <f>G1178*F1178*E1178</f>
        <v>220.56800000000001</v>
      </c>
      <c r="J1178" s="295"/>
      <c r="K1178" s="300">
        <f t="shared" si="124"/>
        <v>1.1000000000000001</v>
      </c>
      <c r="L1178" s="300">
        <f t="shared" si="127"/>
        <v>0</v>
      </c>
      <c r="M1178" s="285">
        <f t="shared" si="128"/>
        <v>0</v>
      </c>
      <c r="N1178" s="1076">
        <f t="shared" si="129"/>
        <v>0</v>
      </c>
      <c r="O1178" s="294"/>
      <c r="P1178" s="404"/>
      <c r="Q1178" s="404"/>
      <c r="R1178" s="301"/>
      <c r="S1178" s="301"/>
      <c r="T1178" s="301"/>
      <c r="U1178" s="301"/>
      <c r="V1178" s="301"/>
    </row>
    <row r="1179" spans="1:22" ht="14.4" thickTop="1" thickBot="1" x14ac:dyDescent="0.3">
      <c r="A1179" s="292"/>
      <c r="B1179" s="296" t="s">
        <v>2245</v>
      </c>
      <c r="C1179" s="294"/>
      <c r="D1179" s="294"/>
      <c r="E1179" s="294">
        <v>1</v>
      </c>
      <c r="F1179" s="310">
        <v>5.2110000000000003</v>
      </c>
      <c r="G1179" s="310">
        <v>1.58</v>
      </c>
      <c r="H1179" s="310"/>
      <c r="I1179" s="295">
        <f t="shared" ref="I1179:I1188" si="132">G1179*F1179*E1179</f>
        <v>8.2333800000000004</v>
      </c>
      <c r="J1179" s="295"/>
      <c r="K1179" s="300">
        <f t="shared" ref="K1179:K1246" si="133">$K$2</f>
        <v>1.1000000000000001</v>
      </c>
      <c r="L1179" s="300">
        <f t="shared" si="127"/>
        <v>0</v>
      </c>
      <c r="M1179" s="285">
        <f t="shared" si="128"/>
        <v>0</v>
      </c>
      <c r="N1179" s="1076">
        <f t="shared" si="129"/>
        <v>0</v>
      </c>
      <c r="O1179" s="294"/>
      <c r="P1179" s="404"/>
      <c r="Q1179" s="404"/>
      <c r="R1179" s="301"/>
      <c r="S1179" s="301"/>
      <c r="T1179" s="301"/>
      <c r="U1179" s="301"/>
      <c r="V1179" s="301"/>
    </row>
    <row r="1180" spans="1:22" ht="14.4" thickTop="1" thickBot="1" x14ac:dyDescent="0.3">
      <c r="A1180" s="292"/>
      <c r="B1180" s="296" t="s">
        <v>2246</v>
      </c>
      <c r="C1180" s="294"/>
      <c r="D1180" s="294"/>
      <c r="E1180" s="294">
        <v>3</v>
      </c>
      <c r="F1180" s="310">
        <v>5.2110000000000003</v>
      </c>
      <c r="G1180" s="310">
        <v>1.58</v>
      </c>
      <c r="H1180" s="310"/>
      <c r="I1180" s="295">
        <f t="shared" si="132"/>
        <v>24.700140000000001</v>
      </c>
      <c r="J1180" s="295"/>
      <c r="K1180" s="300">
        <f t="shared" si="133"/>
        <v>1.1000000000000001</v>
      </c>
      <c r="L1180" s="300">
        <f t="shared" si="127"/>
        <v>0</v>
      </c>
      <c r="M1180" s="285">
        <f t="shared" si="128"/>
        <v>0</v>
      </c>
      <c r="N1180" s="1076">
        <f t="shared" si="129"/>
        <v>0</v>
      </c>
      <c r="O1180" s="294"/>
      <c r="P1180" s="404"/>
      <c r="Q1180" s="404"/>
      <c r="R1180" s="301"/>
      <c r="S1180" s="301"/>
      <c r="T1180" s="301"/>
      <c r="U1180" s="301"/>
      <c r="V1180" s="301"/>
    </row>
    <row r="1181" spans="1:22" ht="14.4" thickTop="1" thickBot="1" x14ac:dyDescent="0.3">
      <c r="A1181" s="292"/>
      <c r="B1181" s="296" t="s">
        <v>2247</v>
      </c>
      <c r="C1181" s="294"/>
      <c r="D1181" s="294"/>
      <c r="E1181" s="294">
        <v>2</v>
      </c>
      <c r="F1181" s="310">
        <v>4.3120000000000003</v>
      </c>
      <c r="G1181" s="310">
        <v>1.58</v>
      </c>
      <c r="H1181" s="310"/>
      <c r="I1181" s="295">
        <f t="shared" si="132"/>
        <v>13.625920000000001</v>
      </c>
      <c r="J1181" s="295"/>
      <c r="K1181" s="300">
        <f t="shared" si="133"/>
        <v>1.1000000000000001</v>
      </c>
      <c r="L1181" s="300">
        <f t="shared" si="127"/>
        <v>0</v>
      </c>
      <c r="M1181" s="285">
        <f t="shared" si="128"/>
        <v>0</v>
      </c>
      <c r="N1181" s="1076">
        <f t="shared" si="129"/>
        <v>0</v>
      </c>
      <c r="O1181" s="294"/>
      <c r="P1181" s="404"/>
      <c r="Q1181" s="404"/>
      <c r="R1181" s="301"/>
      <c r="S1181" s="301"/>
      <c r="T1181" s="301"/>
      <c r="U1181" s="301"/>
      <c r="V1181" s="301"/>
    </row>
    <row r="1182" spans="1:22" ht="14.4" thickTop="1" thickBot="1" x14ac:dyDescent="0.3">
      <c r="A1182" s="292"/>
      <c r="B1182" s="296" t="s">
        <v>2248</v>
      </c>
      <c r="C1182" s="294"/>
      <c r="D1182" s="294"/>
      <c r="E1182" s="294">
        <v>1</v>
      </c>
      <c r="F1182" s="310">
        <v>4.3120000000000003</v>
      </c>
      <c r="G1182" s="310">
        <v>2.4689999999999999</v>
      </c>
      <c r="H1182" s="310"/>
      <c r="I1182" s="295">
        <f t="shared" si="132"/>
        <v>10.646328</v>
      </c>
      <c r="J1182" s="295"/>
      <c r="K1182" s="300">
        <f t="shared" si="133"/>
        <v>1.1000000000000001</v>
      </c>
      <c r="L1182" s="300">
        <f t="shared" si="127"/>
        <v>0</v>
      </c>
      <c r="M1182" s="285">
        <f t="shared" si="128"/>
        <v>0</v>
      </c>
      <c r="N1182" s="1076">
        <f t="shared" si="129"/>
        <v>0</v>
      </c>
      <c r="O1182" s="294"/>
      <c r="P1182" s="404"/>
      <c r="Q1182" s="404"/>
      <c r="R1182" s="301"/>
      <c r="S1182" s="301"/>
      <c r="T1182" s="301"/>
      <c r="U1182" s="301"/>
      <c r="V1182" s="301"/>
    </row>
    <row r="1183" spans="1:22" ht="14.4" thickTop="1" thickBot="1" x14ac:dyDescent="0.3">
      <c r="A1183" s="292"/>
      <c r="B1183" s="296" t="s">
        <v>2249</v>
      </c>
      <c r="C1183" s="294"/>
      <c r="D1183" s="294"/>
      <c r="E1183" s="294">
        <v>1</v>
      </c>
      <c r="F1183" s="310">
        <v>3.9649999999999999</v>
      </c>
      <c r="G1183" s="310">
        <v>1.58</v>
      </c>
      <c r="H1183" s="310"/>
      <c r="I1183" s="295">
        <f t="shared" si="132"/>
        <v>6.2647000000000004</v>
      </c>
      <c r="J1183" s="295"/>
      <c r="K1183" s="300">
        <f t="shared" si="133"/>
        <v>1.1000000000000001</v>
      </c>
      <c r="L1183" s="300">
        <f t="shared" si="127"/>
        <v>0</v>
      </c>
      <c r="M1183" s="285">
        <f t="shared" si="128"/>
        <v>0</v>
      </c>
      <c r="N1183" s="1076">
        <f t="shared" si="129"/>
        <v>0</v>
      </c>
      <c r="O1183" s="294"/>
      <c r="P1183" s="404"/>
      <c r="Q1183" s="404"/>
      <c r="R1183" s="301"/>
      <c r="S1183" s="301"/>
      <c r="T1183" s="301"/>
      <c r="U1183" s="301"/>
      <c r="V1183" s="301"/>
    </row>
    <row r="1184" spans="1:22" ht="14.4" thickTop="1" thickBot="1" x14ac:dyDescent="0.3">
      <c r="A1184" s="292"/>
      <c r="B1184" s="296" t="s">
        <v>2250</v>
      </c>
      <c r="C1184" s="294"/>
      <c r="D1184" s="294"/>
      <c r="E1184" s="294">
        <v>2</v>
      </c>
      <c r="F1184" s="310">
        <v>3.95</v>
      </c>
      <c r="G1184" s="310">
        <v>1.58</v>
      </c>
      <c r="H1184" s="310"/>
      <c r="I1184" s="295">
        <f t="shared" si="132"/>
        <v>12.482000000000001</v>
      </c>
      <c r="J1184" s="295"/>
      <c r="K1184" s="300">
        <f t="shared" si="133"/>
        <v>1.1000000000000001</v>
      </c>
      <c r="L1184" s="300">
        <f t="shared" si="127"/>
        <v>0</v>
      </c>
      <c r="M1184" s="285">
        <f t="shared" si="128"/>
        <v>0</v>
      </c>
      <c r="N1184" s="1076">
        <f t="shared" si="129"/>
        <v>0</v>
      </c>
      <c r="O1184" s="294"/>
      <c r="P1184" s="404"/>
      <c r="Q1184" s="404"/>
      <c r="R1184" s="301"/>
      <c r="S1184" s="301"/>
      <c r="T1184" s="301"/>
      <c r="U1184" s="301"/>
      <c r="V1184" s="301"/>
    </row>
    <row r="1185" spans="1:22" ht="14.4" thickTop="1" thickBot="1" x14ac:dyDescent="0.3">
      <c r="A1185" s="292"/>
      <c r="B1185" s="296" t="s">
        <v>2251</v>
      </c>
      <c r="C1185" s="294"/>
      <c r="D1185" s="294"/>
      <c r="E1185" s="294">
        <v>2</v>
      </c>
      <c r="F1185" s="310">
        <f>61+(11*0.8)</f>
        <v>69.8</v>
      </c>
      <c r="G1185" s="310">
        <v>1.58</v>
      </c>
      <c r="H1185" s="310"/>
      <c r="I1185" s="295">
        <f t="shared" si="132"/>
        <v>220.56800000000001</v>
      </c>
      <c r="J1185" s="295"/>
      <c r="K1185" s="300">
        <f t="shared" si="133"/>
        <v>1.1000000000000001</v>
      </c>
      <c r="L1185" s="300">
        <f t="shared" si="127"/>
        <v>0</v>
      </c>
      <c r="M1185" s="285">
        <f t="shared" si="128"/>
        <v>0</v>
      </c>
      <c r="N1185" s="1076">
        <f t="shared" si="129"/>
        <v>0</v>
      </c>
      <c r="O1185" s="294"/>
      <c r="P1185" s="413">
        <f>F1177/0.125</f>
        <v>476.36799999999999</v>
      </c>
      <c r="Q1185" s="404"/>
      <c r="R1185" s="301"/>
      <c r="S1185" s="301"/>
      <c r="T1185" s="301"/>
      <c r="U1185" s="301"/>
      <c r="V1185" s="301"/>
    </row>
    <row r="1186" spans="1:22" ht="14.4" thickTop="1" thickBot="1" x14ac:dyDescent="0.3">
      <c r="A1186" s="292"/>
      <c r="B1186" s="296" t="s">
        <v>2252</v>
      </c>
      <c r="C1186" s="294"/>
      <c r="D1186" s="294"/>
      <c r="E1186" s="294">
        <v>1</v>
      </c>
      <c r="F1186" s="310">
        <f>14.622+(3*1)</f>
        <v>17.622</v>
      </c>
      <c r="G1186" s="310">
        <v>2.4689999999999999</v>
      </c>
      <c r="H1186" s="310"/>
      <c r="I1186" s="295">
        <f t="shared" si="132"/>
        <v>43.508717999999995</v>
      </c>
      <c r="J1186" s="295"/>
      <c r="K1186" s="300">
        <f t="shared" si="133"/>
        <v>1.1000000000000001</v>
      </c>
      <c r="L1186" s="300">
        <f t="shared" si="127"/>
        <v>0</v>
      </c>
      <c r="M1186" s="285">
        <f t="shared" si="128"/>
        <v>0</v>
      </c>
      <c r="N1186" s="1076">
        <f t="shared" si="129"/>
        <v>0</v>
      </c>
      <c r="O1186" s="294"/>
      <c r="P1186" s="413">
        <f>F1186/6</f>
        <v>2.9369999999999998</v>
      </c>
      <c r="Q1186" s="404">
        <f>20*50</f>
        <v>1000</v>
      </c>
      <c r="R1186" s="301"/>
      <c r="S1186" s="301"/>
      <c r="T1186" s="301"/>
      <c r="U1186" s="301"/>
      <c r="V1186" s="301"/>
    </row>
    <row r="1187" spans="1:22" ht="14.4" thickTop="1" thickBot="1" x14ac:dyDescent="0.3">
      <c r="A1187" s="292"/>
      <c r="B1187" s="296" t="s">
        <v>2253</v>
      </c>
      <c r="C1187" s="294"/>
      <c r="D1187" s="294"/>
      <c r="E1187" s="294">
        <v>3</v>
      </c>
      <c r="F1187" s="310">
        <f>F1186</f>
        <v>17.622</v>
      </c>
      <c r="G1187" s="310">
        <v>1.58</v>
      </c>
      <c r="H1187" s="310"/>
      <c r="I1187" s="295">
        <f t="shared" si="132"/>
        <v>83.528280000000009</v>
      </c>
      <c r="J1187" s="295"/>
      <c r="K1187" s="300">
        <f t="shared" si="133"/>
        <v>1.1000000000000001</v>
      </c>
      <c r="L1187" s="300">
        <f t="shared" si="127"/>
        <v>0</v>
      </c>
      <c r="M1187" s="285">
        <f t="shared" si="128"/>
        <v>0</v>
      </c>
      <c r="N1187" s="1076">
        <f t="shared" si="129"/>
        <v>0</v>
      </c>
      <c r="O1187" s="294"/>
      <c r="P1187" s="423">
        <f>SUM(I1178:I1188)</f>
        <v>781.40546600000005</v>
      </c>
      <c r="Q1187" s="404">
        <f>P1187/I1177</f>
        <v>129.60710793978967</v>
      </c>
      <c r="R1187" s="301"/>
      <c r="S1187" s="301"/>
      <c r="T1187" s="301"/>
      <c r="U1187" s="301"/>
      <c r="V1187" s="301"/>
    </row>
    <row r="1188" spans="1:22" ht="14.4" thickTop="1" thickBot="1" x14ac:dyDescent="0.3">
      <c r="A1188" s="292"/>
      <c r="B1188" s="296" t="s">
        <v>2243</v>
      </c>
      <c r="C1188" s="294"/>
      <c r="D1188" s="294"/>
      <c r="E1188" s="294">
        <v>480</v>
      </c>
      <c r="F1188" s="310">
        <f>0.175+0.175+0.4+0.4+0.15</f>
        <v>1.2999999999999998</v>
      </c>
      <c r="G1188" s="310">
        <v>0.22</v>
      </c>
      <c r="H1188" s="310"/>
      <c r="I1188" s="295">
        <f t="shared" si="132"/>
        <v>137.28</v>
      </c>
      <c r="J1188" s="295">
        <f>SUM(I1178:I1188)</f>
        <v>781.40546600000005</v>
      </c>
      <c r="K1188" s="300">
        <f t="shared" si="133"/>
        <v>1.1000000000000001</v>
      </c>
      <c r="L1188" s="300">
        <f t="shared" si="127"/>
        <v>859.54601260000015</v>
      </c>
      <c r="M1188" s="285">
        <f t="shared" si="128"/>
        <v>859.5</v>
      </c>
      <c r="N1188" s="1076">
        <f t="shared" si="129"/>
        <v>860</v>
      </c>
      <c r="O1188" s="294"/>
      <c r="P1188" s="404"/>
      <c r="Q1188" s="404"/>
      <c r="R1188" s="301"/>
      <c r="S1188" s="301"/>
      <c r="T1188" s="301"/>
      <c r="U1188" s="301"/>
      <c r="V1188" s="301"/>
    </row>
    <row r="1189" spans="1:22" ht="14.4" thickTop="1" thickBot="1" x14ac:dyDescent="0.3">
      <c r="A1189" s="292"/>
      <c r="B1189" s="293"/>
      <c r="C1189" s="294"/>
      <c r="D1189" s="294"/>
      <c r="E1189" s="294"/>
      <c r="F1189" s="310"/>
      <c r="G1189" s="310"/>
      <c r="H1189" s="310"/>
      <c r="I1189" s="295"/>
      <c r="J1189" s="295"/>
      <c r="K1189" s="300">
        <f t="shared" si="133"/>
        <v>1.1000000000000001</v>
      </c>
      <c r="L1189" s="300">
        <f t="shared" si="127"/>
        <v>0</v>
      </c>
      <c r="M1189" s="285">
        <f t="shared" si="128"/>
        <v>0</v>
      </c>
      <c r="N1189" s="1076">
        <f t="shared" si="129"/>
        <v>0</v>
      </c>
      <c r="O1189" s="294"/>
      <c r="P1189" s="404"/>
      <c r="Q1189" s="404"/>
      <c r="R1189" s="301"/>
      <c r="S1189" s="301"/>
      <c r="T1189" s="301"/>
      <c r="U1189" s="301"/>
      <c r="V1189" s="301"/>
    </row>
    <row r="1190" spans="1:22" ht="14.4" thickTop="1" thickBot="1" x14ac:dyDescent="0.3">
      <c r="A1190" s="292"/>
      <c r="B1190" s="296" t="s">
        <v>2197</v>
      </c>
      <c r="C1190" s="294"/>
      <c r="D1190" s="294"/>
      <c r="E1190" s="294"/>
      <c r="F1190" s="310">
        <v>17.824999999999999</v>
      </c>
      <c r="G1190" s="310">
        <v>0.3</v>
      </c>
      <c r="H1190" s="310">
        <v>0.45</v>
      </c>
      <c r="I1190" s="295">
        <f t="shared" ref="I1190" si="134">H1190*G1190*F1190</f>
        <v>2.4063750000000002</v>
      </c>
      <c r="J1190" s="295"/>
      <c r="K1190" s="300">
        <f t="shared" si="133"/>
        <v>1.1000000000000001</v>
      </c>
      <c r="L1190" s="300">
        <f t="shared" si="127"/>
        <v>0</v>
      </c>
      <c r="M1190" s="285">
        <f t="shared" si="128"/>
        <v>0</v>
      </c>
      <c r="N1190" s="1076">
        <f t="shared" si="129"/>
        <v>0</v>
      </c>
      <c r="O1190" s="294"/>
      <c r="P1190" s="404">
        <f>16*50</f>
        <v>800</v>
      </c>
      <c r="Q1190" s="413">
        <f>F1190/6</f>
        <v>2.9708333333333332</v>
      </c>
      <c r="R1190" s="301"/>
      <c r="S1190" s="301"/>
      <c r="T1190" s="301"/>
      <c r="U1190" s="301"/>
      <c r="V1190" s="301"/>
    </row>
    <row r="1191" spans="1:22" ht="14.4" thickTop="1" thickBot="1" x14ac:dyDescent="0.3">
      <c r="A1191" s="292"/>
      <c r="B1191" s="296" t="s">
        <v>2254</v>
      </c>
      <c r="C1191" s="294"/>
      <c r="D1191" s="294"/>
      <c r="E1191" s="294">
        <v>2</v>
      </c>
      <c r="F1191" s="310">
        <f>19.369+(3*0.8)</f>
        <v>21.768999999999998</v>
      </c>
      <c r="G1191" s="310">
        <v>1.58</v>
      </c>
      <c r="H1191" s="310"/>
      <c r="I1191" s="295">
        <f t="shared" ref="I1191:I1200" si="135">G1191*F1191*E1191</f>
        <v>68.790040000000005</v>
      </c>
      <c r="J1191" s="295"/>
      <c r="K1191" s="300">
        <f t="shared" si="133"/>
        <v>1.1000000000000001</v>
      </c>
      <c r="L1191" s="300">
        <f t="shared" si="127"/>
        <v>0</v>
      </c>
      <c r="M1191" s="285">
        <f t="shared" si="128"/>
        <v>0</v>
      </c>
      <c r="N1191" s="1076">
        <f t="shared" si="129"/>
        <v>0</v>
      </c>
      <c r="O1191" s="294"/>
      <c r="P1191" s="404"/>
      <c r="Q1191" s="404"/>
      <c r="R1191" s="301"/>
      <c r="S1191" s="301"/>
      <c r="T1191" s="301"/>
      <c r="U1191" s="301"/>
      <c r="V1191" s="301"/>
    </row>
    <row r="1192" spans="1:22" ht="14.4" thickTop="1" thickBot="1" x14ac:dyDescent="0.3">
      <c r="A1192" s="292"/>
      <c r="B1192" s="296" t="s">
        <v>2255</v>
      </c>
      <c r="C1192" s="294"/>
      <c r="D1192" s="294"/>
      <c r="E1192" s="294">
        <v>1</v>
      </c>
      <c r="F1192" s="310">
        <v>2.5</v>
      </c>
      <c r="G1192" s="310">
        <v>0.88900000000000001</v>
      </c>
      <c r="H1192" s="310"/>
      <c r="I1192" s="295">
        <f t="shared" si="135"/>
        <v>2.2225000000000001</v>
      </c>
      <c r="J1192" s="295"/>
      <c r="K1192" s="300">
        <f t="shared" si="133"/>
        <v>1.1000000000000001</v>
      </c>
      <c r="L1192" s="300">
        <f t="shared" si="127"/>
        <v>0</v>
      </c>
      <c r="M1192" s="285">
        <f t="shared" si="128"/>
        <v>0</v>
      </c>
      <c r="N1192" s="1076">
        <f t="shared" si="129"/>
        <v>0</v>
      </c>
      <c r="O1192" s="294"/>
      <c r="P1192" s="413">
        <f>F1190/0.25</f>
        <v>71.3</v>
      </c>
      <c r="Q1192" s="404"/>
      <c r="R1192" s="301"/>
      <c r="S1192" s="301"/>
      <c r="T1192" s="301"/>
      <c r="U1192" s="301"/>
      <c r="V1192" s="301"/>
    </row>
    <row r="1193" spans="1:22" ht="14.4" thickTop="1" thickBot="1" x14ac:dyDescent="0.3">
      <c r="A1193" s="292"/>
      <c r="B1193" s="296" t="s">
        <v>2256</v>
      </c>
      <c r="C1193" s="294"/>
      <c r="D1193" s="294"/>
      <c r="E1193" s="294">
        <v>1</v>
      </c>
      <c r="F1193" s="310">
        <v>2.75</v>
      </c>
      <c r="G1193" s="310">
        <v>0.88900000000000001</v>
      </c>
      <c r="H1193" s="310"/>
      <c r="I1193" s="295">
        <f t="shared" si="135"/>
        <v>2.44475</v>
      </c>
      <c r="J1193" s="295"/>
      <c r="K1193" s="300">
        <f t="shared" si="133"/>
        <v>1.1000000000000001</v>
      </c>
      <c r="L1193" s="300">
        <f t="shared" si="127"/>
        <v>0</v>
      </c>
      <c r="M1193" s="285">
        <f t="shared" si="128"/>
        <v>0</v>
      </c>
      <c r="N1193" s="1076">
        <f t="shared" si="129"/>
        <v>0</v>
      </c>
      <c r="O1193" s="294"/>
      <c r="P1193" s="404"/>
      <c r="Q1193" s="404"/>
      <c r="R1193" s="301"/>
      <c r="S1193" s="301"/>
      <c r="T1193" s="301"/>
      <c r="U1193" s="301"/>
      <c r="V1193" s="301"/>
    </row>
    <row r="1194" spans="1:22" ht="14.4" thickTop="1" thickBot="1" x14ac:dyDescent="0.3">
      <c r="A1194" s="292"/>
      <c r="B1194" s="296" t="s">
        <v>2257</v>
      </c>
      <c r="C1194" s="294"/>
      <c r="D1194" s="294"/>
      <c r="E1194" s="294">
        <v>1</v>
      </c>
      <c r="F1194" s="310">
        <v>2.78</v>
      </c>
      <c r="G1194" s="310">
        <v>0.88900000000000001</v>
      </c>
      <c r="H1194" s="310"/>
      <c r="I1194" s="295">
        <f t="shared" si="135"/>
        <v>2.4714199999999997</v>
      </c>
      <c r="J1194" s="295"/>
      <c r="K1194" s="300">
        <f t="shared" si="133"/>
        <v>1.1000000000000001</v>
      </c>
      <c r="L1194" s="300">
        <f t="shared" ref="L1194:L1257" si="136">K1194*J1194</f>
        <v>0</v>
      </c>
      <c r="M1194" s="285">
        <f t="shared" ref="M1194:M1257" si="137">ROUND(L1194,1)</f>
        <v>0</v>
      </c>
      <c r="N1194" s="1076">
        <f t="shared" ref="N1194:N1257" si="138">ROUNDUP(M1194,0)</f>
        <v>0</v>
      </c>
      <c r="O1194" s="294"/>
      <c r="P1194" s="404"/>
      <c r="Q1194" s="404"/>
      <c r="R1194" s="301"/>
      <c r="S1194" s="301"/>
      <c r="T1194" s="301"/>
      <c r="U1194" s="301"/>
      <c r="V1194" s="301"/>
    </row>
    <row r="1195" spans="1:22" ht="14.4" thickTop="1" thickBot="1" x14ac:dyDescent="0.3">
      <c r="A1195" s="292"/>
      <c r="B1195" s="296" t="s">
        <v>2258</v>
      </c>
      <c r="C1195" s="294"/>
      <c r="D1195" s="294"/>
      <c r="E1195" s="294">
        <v>1</v>
      </c>
      <c r="F1195" s="310">
        <v>2.4500000000000002</v>
      </c>
      <c r="G1195" s="310">
        <v>0.88900000000000001</v>
      </c>
      <c r="H1195" s="310"/>
      <c r="I1195" s="295">
        <f t="shared" si="135"/>
        <v>2.1780500000000003</v>
      </c>
      <c r="J1195" s="295"/>
      <c r="K1195" s="300">
        <f t="shared" si="133"/>
        <v>1.1000000000000001</v>
      </c>
      <c r="L1195" s="300">
        <f t="shared" si="136"/>
        <v>0</v>
      </c>
      <c r="M1195" s="285">
        <f t="shared" si="137"/>
        <v>0</v>
      </c>
      <c r="N1195" s="1076">
        <f t="shared" si="138"/>
        <v>0</v>
      </c>
      <c r="O1195" s="294"/>
      <c r="P1195" s="423">
        <f>SUM(I1191:I1200)</f>
        <v>197.82489999999999</v>
      </c>
      <c r="Q1195" s="404"/>
      <c r="R1195" s="301"/>
      <c r="S1195" s="301"/>
      <c r="T1195" s="301"/>
      <c r="U1195" s="301"/>
      <c r="V1195" s="301"/>
    </row>
    <row r="1196" spans="1:22" ht="14.4" thickTop="1" thickBot="1" x14ac:dyDescent="0.3">
      <c r="A1196" s="292"/>
      <c r="B1196" s="296" t="s">
        <v>2259</v>
      </c>
      <c r="C1196" s="294"/>
      <c r="D1196" s="294"/>
      <c r="E1196" s="294">
        <v>2</v>
      </c>
      <c r="F1196" s="310">
        <f>19.369+(3*0.8)</f>
        <v>21.768999999999998</v>
      </c>
      <c r="G1196" s="310">
        <v>1.58</v>
      </c>
      <c r="H1196" s="310"/>
      <c r="I1196" s="295">
        <f t="shared" si="135"/>
        <v>68.790040000000005</v>
      </c>
      <c r="J1196" s="295"/>
      <c r="K1196" s="300">
        <f t="shared" si="133"/>
        <v>1.1000000000000001</v>
      </c>
      <c r="L1196" s="300">
        <f t="shared" si="136"/>
        <v>0</v>
      </c>
      <c r="M1196" s="285">
        <f t="shared" si="137"/>
        <v>0</v>
      </c>
      <c r="N1196" s="1076">
        <f t="shared" si="138"/>
        <v>0</v>
      </c>
      <c r="O1196" s="294"/>
      <c r="P1196" s="404">
        <f>P1195/I1190</f>
        <v>82.208674874032511</v>
      </c>
      <c r="Q1196" s="404"/>
      <c r="R1196" s="301"/>
      <c r="S1196" s="301"/>
      <c r="T1196" s="301"/>
      <c r="U1196" s="301"/>
      <c r="V1196" s="301"/>
    </row>
    <row r="1197" spans="1:22" ht="14.4" thickTop="1" thickBot="1" x14ac:dyDescent="0.3">
      <c r="A1197" s="292"/>
      <c r="B1197" s="296" t="s">
        <v>2260</v>
      </c>
      <c r="C1197" s="294"/>
      <c r="D1197" s="294"/>
      <c r="E1197" s="294">
        <v>1</v>
      </c>
      <c r="F1197" s="310">
        <v>3.6</v>
      </c>
      <c r="G1197" s="310">
        <v>0.88900000000000001</v>
      </c>
      <c r="H1197" s="310"/>
      <c r="I1197" s="295">
        <f t="shared" si="135"/>
        <v>3.2004000000000001</v>
      </c>
      <c r="J1197" s="295"/>
      <c r="K1197" s="300">
        <f t="shared" si="133"/>
        <v>1.1000000000000001</v>
      </c>
      <c r="L1197" s="300">
        <f t="shared" si="136"/>
        <v>0</v>
      </c>
      <c r="M1197" s="285">
        <f t="shared" si="137"/>
        <v>0</v>
      </c>
      <c r="N1197" s="1076">
        <f t="shared" si="138"/>
        <v>0</v>
      </c>
      <c r="O1197" s="294"/>
      <c r="P1197" s="404"/>
      <c r="Q1197" s="404"/>
      <c r="R1197" s="301"/>
      <c r="S1197" s="301"/>
      <c r="T1197" s="301"/>
      <c r="U1197" s="301"/>
      <c r="V1197" s="301"/>
    </row>
    <row r="1198" spans="1:22" ht="14.4" thickTop="1" thickBot="1" x14ac:dyDescent="0.3">
      <c r="A1198" s="292"/>
      <c r="B1198" s="296" t="s">
        <v>2261</v>
      </c>
      <c r="C1198" s="294"/>
      <c r="D1198" s="294"/>
      <c r="E1198" s="294">
        <v>1</v>
      </c>
      <c r="F1198" s="310">
        <v>3.6</v>
      </c>
      <c r="G1198" s="310">
        <v>0.88900000000000001</v>
      </c>
      <c r="H1198" s="310"/>
      <c r="I1198" s="295">
        <f t="shared" si="135"/>
        <v>3.2004000000000001</v>
      </c>
      <c r="J1198" s="295"/>
      <c r="K1198" s="300">
        <f t="shared" si="133"/>
        <v>1.1000000000000001</v>
      </c>
      <c r="L1198" s="300">
        <f t="shared" si="136"/>
        <v>0</v>
      </c>
      <c r="M1198" s="285">
        <f t="shared" si="137"/>
        <v>0</v>
      </c>
      <c r="N1198" s="1076">
        <f t="shared" si="138"/>
        <v>0</v>
      </c>
      <c r="O1198" s="294"/>
      <c r="P1198" s="404"/>
      <c r="Q1198" s="404"/>
      <c r="R1198" s="301"/>
      <c r="S1198" s="301"/>
      <c r="T1198" s="301"/>
      <c r="U1198" s="301"/>
      <c r="V1198" s="301"/>
    </row>
    <row r="1199" spans="1:22" ht="14.4" thickTop="1" thickBot="1" x14ac:dyDescent="0.3">
      <c r="A1199" s="292"/>
      <c r="B1199" s="296" t="s">
        <v>2262</v>
      </c>
      <c r="C1199" s="294"/>
      <c r="D1199" s="294"/>
      <c r="E1199" s="294">
        <v>1</v>
      </c>
      <c r="F1199" s="310">
        <v>3.7</v>
      </c>
      <c r="G1199" s="310">
        <v>0.88900000000000001</v>
      </c>
      <c r="H1199" s="310"/>
      <c r="I1199" s="295">
        <f t="shared" si="135"/>
        <v>3.2893000000000003</v>
      </c>
      <c r="J1199" s="295"/>
      <c r="K1199" s="300">
        <f t="shared" si="133"/>
        <v>1.1000000000000001</v>
      </c>
      <c r="L1199" s="300">
        <f t="shared" si="136"/>
        <v>0</v>
      </c>
      <c r="M1199" s="285">
        <f t="shared" si="137"/>
        <v>0</v>
      </c>
      <c r="N1199" s="1076">
        <f t="shared" si="138"/>
        <v>0</v>
      </c>
      <c r="O1199" s="294"/>
      <c r="P1199" s="404"/>
      <c r="Q1199" s="404"/>
      <c r="R1199" s="301"/>
      <c r="S1199" s="301"/>
      <c r="T1199" s="301"/>
      <c r="U1199" s="301"/>
      <c r="V1199" s="301"/>
    </row>
    <row r="1200" spans="1:22" ht="14.4" thickTop="1" thickBot="1" x14ac:dyDescent="0.3">
      <c r="A1200" s="292"/>
      <c r="B1200" s="296" t="s">
        <v>2243</v>
      </c>
      <c r="C1200" s="294"/>
      <c r="D1200" s="294"/>
      <c r="E1200" s="294">
        <v>72</v>
      </c>
      <c r="F1200" s="310">
        <f>0.25+0.25+0.4+0.4+0.15</f>
        <v>1.45</v>
      </c>
      <c r="G1200" s="310">
        <v>0.39500000000000002</v>
      </c>
      <c r="H1200" s="310"/>
      <c r="I1200" s="295">
        <f t="shared" si="135"/>
        <v>41.238</v>
      </c>
      <c r="J1200" s="295">
        <f>SUM(I1191:I1200)</f>
        <v>197.82489999999999</v>
      </c>
      <c r="K1200" s="300">
        <f t="shared" si="133"/>
        <v>1.1000000000000001</v>
      </c>
      <c r="L1200" s="300">
        <f t="shared" si="136"/>
        <v>217.60739000000001</v>
      </c>
      <c r="M1200" s="285">
        <f t="shared" si="137"/>
        <v>217.6</v>
      </c>
      <c r="N1200" s="1076">
        <f t="shared" si="138"/>
        <v>218</v>
      </c>
      <c r="O1200" s="294"/>
      <c r="P1200" s="404"/>
      <c r="Q1200" s="404"/>
      <c r="R1200" s="301"/>
      <c r="S1200" s="301"/>
      <c r="T1200" s="301"/>
      <c r="U1200" s="301"/>
      <c r="V1200" s="301"/>
    </row>
    <row r="1201" spans="1:22" ht="14.4" thickTop="1" thickBot="1" x14ac:dyDescent="0.3">
      <c r="A1201" s="292"/>
      <c r="B1201" s="293"/>
      <c r="C1201" s="294"/>
      <c r="D1201" s="294"/>
      <c r="E1201" s="294"/>
      <c r="F1201" s="310"/>
      <c r="G1201" s="310"/>
      <c r="H1201" s="310"/>
      <c r="I1201" s="295"/>
      <c r="J1201" s="295"/>
      <c r="K1201" s="300">
        <f t="shared" si="133"/>
        <v>1.1000000000000001</v>
      </c>
      <c r="L1201" s="300">
        <f t="shared" si="136"/>
        <v>0</v>
      </c>
      <c r="M1201" s="285">
        <f t="shared" si="137"/>
        <v>0</v>
      </c>
      <c r="N1201" s="1076">
        <f t="shared" si="138"/>
        <v>0</v>
      </c>
      <c r="O1201" s="294"/>
      <c r="P1201" s="404"/>
      <c r="Q1201" s="404"/>
      <c r="R1201" s="301"/>
      <c r="S1201" s="301"/>
      <c r="T1201" s="301"/>
      <c r="U1201" s="301"/>
      <c r="V1201" s="301"/>
    </row>
    <row r="1202" spans="1:22" ht="14.4" thickTop="1" thickBot="1" x14ac:dyDescent="0.3">
      <c r="A1202" s="292"/>
      <c r="B1202" s="296" t="s">
        <v>2200</v>
      </c>
      <c r="C1202" s="294"/>
      <c r="D1202" s="294"/>
      <c r="E1202" s="294"/>
      <c r="F1202" s="310">
        <v>27.925000000000001</v>
      </c>
      <c r="G1202" s="310">
        <v>0.22500000000000001</v>
      </c>
      <c r="H1202" s="310">
        <v>0.45</v>
      </c>
      <c r="I1202" s="295">
        <f t="shared" ref="I1202" si="139">H1202*G1202*F1202</f>
        <v>2.8274062500000001</v>
      </c>
      <c r="J1202" s="295"/>
      <c r="K1202" s="300">
        <f t="shared" si="133"/>
        <v>1.1000000000000001</v>
      </c>
      <c r="L1202" s="300">
        <f t="shared" si="136"/>
        <v>0</v>
      </c>
      <c r="M1202" s="285">
        <f t="shared" si="137"/>
        <v>0</v>
      </c>
      <c r="N1202" s="1076">
        <f t="shared" si="138"/>
        <v>0</v>
      </c>
      <c r="O1202" s="294"/>
      <c r="P1202" s="413">
        <f>F1202/6</f>
        <v>4.6541666666666668</v>
      </c>
      <c r="Q1202" s="404"/>
      <c r="R1202" s="301"/>
      <c r="S1202" s="301"/>
      <c r="T1202" s="301"/>
      <c r="U1202" s="301"/>
      <c r="V1202" s="301"/>
    </row>
    <row r="1203" spans="1:22" ht="14.4" thickTop="1" thickBot="1" x14ac:dyDescent="0.3">
      <c r="A1203" s="292"/>
      <c r="B1203" s="296" t="s">
        <v>2263</v>
      </c>
      <c r="C1203" s="294"/>
      <c r="D1203" s="294"/>
      <c r="E1203" s="294">
        <v>2</v>
      </c>
      <c r="F1203" s="310">
        <f>F1202+(0.8*5)</f>
        <v>31.925000000000001</v>
      </c>
      <c r="G1203" s="310">
        <v>1.58</v>
      </c>
      <c r="H1203" s="310"/>
      <c r="I1203" s="295">
        <f t="shared" ref="I1203:I1215" si="140">G1203*F1203*E1203</f>
        <v>100.88300000000001</v>
      </c>
      <c r="J1203" s="295"/>
      <c r="K1203" s="300">
        <f t="shared" si="133"/>
        <v>1.1000000000000001</v>
      </c>
      <c r="L1203" s="300">
        <f t="shared" si="136"/>
        <v>0</v>
      </c>
      <c r="M1203" s="285">
        <f t="shared" si="137"/>
        <v>0</v>
      </c>
      <c r="N1203" s="1076">
        <f t="shared" si="138"/>
        <v>0</v>
      </c>
      <c r="O1203" s="294"/>
      <c r="P1203" s="404"/>
      <c r="Q1203" s="404"/>
      <c r="R1203" s="301"/>
      <c r="S1203" s="301"/>
      <c r="T1203" s="301"/>
      <c r="U1203" s="301"/>
      <c r="V1203" s="301"/>
    </row>
    <row r="1204" spans="1:22" ht="14.4" thickTop="1" thickBot="1" x14ac:dyDescent="0.3">
      <c r="A1204" s="292"/>
      <c r="B1204" s="296" t="s">
        <v>2264</v>
      </c>
      <c r="C1204" s="294"/>
      <c r="D1204" s="294"/>
      <c r="E1204" s="294">
        <v>1</v>
      </c>
      <c r="F1204" s="310">
        <v>2.5350000000000001</v>
      </c>
      <c r="G1204" s="310">
        <v>0.88900000000000001</v>
      </c>
      <c r="H1204" s="310"/>
      <c r="I1204" s="295">
        <f t="shared" si="140"/>
        <v>2.2536150000000004</v>
      </c>
      <c r="J1204" s="295"/>
      <c r="K1204" s="300">
        <f t="shared" si="133"/>
        <v>1.1000000000000001</v>
      </c>
      <c r="L1204" s="300">
        <f t="shared" si="136"/>
        <v>0</v>
      </c>
      <c r="M1204" s="285">
        <f t="shared" si="137"/>
        <v>0</v>
      </c>
      <c r="N1204" s="1076">
        <f t="shared" si="138"/>
        <v>0</v>
      </c>
      <c r="O1204" s="294"/>
      <c r="P1204" s="404"/>
      <c r="Q1204" s="404"/>
      <c r="R1204" s="301"/>
      <c r="S1204" s="301"/>
      <c r="T1204" s="301"/>
      <c r="U1204" s="301"/>
      <c r="V1204" s="301"/>
    </row>
    <row r="1205" spans="1:22" ht="14.4" thickTop="1" thickBot="1" x14ac:dyDescent="0.3">
      <c r="A1205" s="292"/>
      <c r="B1205" s="296" t="s">
        <v>2265</v>
      </c>
      <c r="C1205" s="294"/>
      <c r="D1205" s="294"/>
      <c r="E1205" s="294">
        <v>1</v>
      </c>
      <c r="F1205" s="310">
        <v>2.78</v>
      </c>
      <c r="G1205" s="310">
        <v>0.88900000000000001</v>
      </c>
      <c r="H1205" s="310"/>
      <c r="I1205" s="295">
        <f t="shared" si="140"/>
        <v>2.4714199999999997</v>
      </c>
      <c r="J1205" s="295"/>
      <c r="K1205" s="300">
        <f t="shared" si="133"/>
        <v>1.1000000000000001</v>
      </c>
      <c r="L1205" s="300">
        <f t="shared" si="136"/>
        <v>0</v>
      </c>
      <c r="M1205" s="285">
        <f t="shared" si="137"/>
        <v>0</v>
      </c>
      <c r="N1205" s="1076">
        <f t="shared" si="138"/>
        <v>0</v>
      </c>
      <c r="O1205" s="294"/>
      <c r="P1205" s="404"/>
      <c r="Q1205" s="404"/>
      <c r="R1205" s="301"/>
      <c r="S1205" s="301"/>
      <c r="T1205" s="301"/>
      <c r="U1205" s="301"/>
      <c r="V1205" s="301"/>
    </row>
    <row r="1206" spans="1:22" ht="14.4" thickTop="1" thickBot="1" x14ac:dyDescent="0.3">
      <c r="A1206" s="292"/>
      <c r="B1206" s="296" t="s">
        <v>2266</v>
      </c>
      <c r="C1206" s="294"/>
      <c r="D1206" s="294"/>
      <c r="E1206" s="294">
        <v>1</v>
      </c>
      <c r="F1206" s="310">
        <v>2.7</v>
      </c>
      <c r="G1206" s="310">
        <v>1.58</v>
      </c>
      <c r="H1206" s="310"/>
      <c r="I1206" s="295">
        <f t="shared" si="140"/>
        <v>4.2660000000000009</v>
      </c>
      <c r="J1206" s="295"/>
      <c r="K1206" s="300">
        <f t="shared" si="133"/>
        <v>1.1000000000000001</v>
      </c>
      <c r="L1206" s="300">
        <f t="shared" si="136"/>
        <v>0</v>
      </c>
      <c r="M1206" s="285">
        <f t="shared" si="137"/>
        <v>0</v>
      </c>
      <c r="N1206" s="1076">
        <f t="shared" si="138"/>
        <v>0</v>
      </c>
      <c r="O1206" s="294"/>
      <c r="P1206" s="404">
        <f>P1205/I1200</f>
        <v>0</v>
      </c>
      <c r="Q1206" s="404"/>
      <c r="R1206" s="301"/>
      <c r="S1206" s="301"/>
      <c r="T1206" s="301"/>
      <c r="U1206" s="301"/>
      <c r="V1206" s="301"/>
    </row>
    <row r="1207" spans="1:22" ht="14.4" thickTop="1" thickBot="1" x14ac:dyDescent="0.3">
      <c r="A1207" s="292"/>
      <c r="B1207" s="296" t="s">
        <v>2267</v>
      </c>
      <c r="C1207" s="294"/>
      <c r="D1207" s="294"/>
      <c r="E1207" s="294">
        <v>1</v>
      </c>
      <c r="F1207" s="310">
        <v>3.3</v>
      </c>
      <c r="G1207" s="310">
        <v>1.58</v>
      </c>
      <c r="H1207" s="310"/>
      <c r="I1207" s="295">
        <f t="shared" si="140"/>
        <v>5.2139999999999995</v>
      </c>
      <c r="J1207" s="295"/>
      <c r="K1207" s="300">
        <f t="shared" si="133"/>
        <v>1.1000000000000001</v>
      </c>
      <c r="L1207" s="300">
        <f t="shared" si="136"/>
        <v>0</v>
      </c>
      <c r="M1207" s="285">
        <f t="shared" si="137"/>
        <v>0</v>
      </c>
      <c r="N1207" s="1076">
        <f t="shared" si="138"/>
        <v>0</v>
      </c>
      <c r="O1207" s="294"/>
      <c r="P1207" s="423">
        <f>SUM(I1203:I1215)</f>
        <v>192.37053499999999</v>
      </c>
      <c r="Q1207" s="404">
        <f>P1207/I1202</f>
        <v>68.037812040629106</v>
      </c>
      <c r="R1207" s="301"/>
      <c r="S1207" s="301"/>
      <c r="T1207" s="301"/>
      <c r="U1207" s="301"/>
      <c r="V1207" s="301"/>
    </row>
    <row r="1208" spans="1:22" ht="14.4" thickTop="1" thickBot="1" x14ac:dyDescent="0.3">
      <c r="A1208" s="292"/>
      <c r="B1208" s="296" t="s">
        <v>2268</v>
      </c>
      <c r="C1208" s="294"/>
      <c r="D1208" s="294"/>
      <c r="E1208" s="294">
        <v>3</v>
      </c>
      <c r="F1208" s="310">
        <v>3.3</v>
      </c>
      <c r="G1208" s="310">
        <v>1.58</v>
      </c>
      <c r="H1208" s="310"/>
      <c r="I1208" s="295">
        <f t="shared" si="140"/>
        <v>15.641999999999999</v>
      </c>
      <c r="J1208" s="295"/>
      <c r="K1208" s="300">
        <f t="shared" si="133"/>
        <v>1.1000000000000001</v>
      </c>
      <c r="L1208" s="300">
        <f t="shared" si="136"/>
        <v>0</v>
      </c>
      <c r="M1208" s="285">
        <f t="shared" si="137"/>
        <v>0</v>
      </c>
      <c r="N1208" s="1076">
        <f t="shared" si="138"/>
        <v>0</v>
      </c>
      <c r="O1208" s="294"/>
      <c r="P1208" s="404"/>
      <c r="Q1208" s="404"/>
      <c r="R1208" s="301"/>
      <c r="S1208" s="301"/>
      <c r="T1208" s="301"/>
      <c r="U1208" s="301"/>
      <c r="V1208" s="301"/>
    </row>
    <row r="1209" spans="1:22" ht="14.4" thickTop="1" thickBot="1" x14ac:dyDescent="0.3">
      <c r="A1209" s="292"/>
      <c r="B1209" s="296" t="s">
        <v>2269</v>
      </c>
      <c r="C1209" s="294"/>
      <c r="D1209" s="294"/>
      <c r="E1209" s="294">
        <v>2</v>
      </c>
      <c r="F1209" s="310">
        <v>4.4000000000000004</v>
      </c>
      <c r="G1209" s="310">
        <v>1.58</v>
      </c>
      <c r="H1209" s="310"/>
      <c r="I1209" s="295">
        <f t="shared" si="140"/>
        <v>13.904000000000002</v>
      </c>
      <c r="J1209" s="295"/>
      <c r="K1209" s="300">
        <f t="shared" si="133"/>
        <v>1.1000000000000001</v>
      </c>
      <c r="L1209" s="300">
        <f t="shared" si="136"/>
        <v>0</v>
      </c>
      <c r="M1209" s="285">
        <f t="shared" si="137"/>
        <v>0</v>
      </c>
      <c r="N1209" s="1076">
        <f t="shared" si="138"/>
        <v>0</v>
      </c>
      <c r="O1209" s="294"/>
      <c r="P1209" s="404"/>
      <c r="Q1209" s="404"/>
      <c r="R1209" s="301"/>
      <c r="S1209" s="301"/>
      <c r="T1209" s="301"/>
      <c r="U1209" s="301"/>
      <c r="V1209" s="301"/>
    </row>
    <row r="1210" spans="1:22" ht="14.4" thickTop="1" thickBot="1" x14ac:dyDescent="0.3">
      <c r="A1210" s="292"/>
      <c r="B1210" s="296" t="s">
        <v>2270</v>
      </c>
      <c r="C1210" s="294"/>
      <c r="D1210" s="294"/>
      <c r="E1210" s="294">
        <v>1</v>
      </c>
      <c r="F1210" s="310">
        <v>4.4000000000000004</v>
      </c>
      <c r="G1210" s="310">
        <v>1.58</v>
      </c>
      <c r="H1210" s="310"/>
      <c r="I1210" s="295">
        <f t="shared" si="140"/>
        <v>6.9520000000000008</v>
      </c>
      <c r="J1210" s="295"/>
      <c r="K1210" s="300">
        <f t="shared" si="133"/>
        <v>1.1000000000000001</v>
      </c>
      <c r="L1210" s="300">
        <f t="shared" si="136"/>
        <v>0</v>
      </c>
      <c r="M1210" s="285">
        <f t="shared" si="137"/>
        <v>0</v>
      </c>
      <c r="N1210" s="1076">
        <f t="shared" si="138"/>
        <v>0</v>
      </c>
      <c r="O1210" s="294"/>
      <c r="P1210" s="404"/>
      <c r="Q1210" s="404"/>
      <c r="R1210" s="301"/>
      <c r="S1210" s="301"/>
      <c r="T1210" s="301"/>
      <c r="U1210" s="301"/>
      <c r="V1210" s="301"/>
    </row>
    <row r="1211" spans="1:22" ht="14.4" thickTop="1" thickBot="1" x14ac:dyDescent="0.3">
      <c r="A1211" s="292"/>
      <c r="B1211" s="296" t="s">
        <v>2271</v>
      </c>
      <c r="C1211" s="294"/>
      <c r="D1211" s="294"/>
      <c r="E1211" s="294">
        <v>1</v>
      </c>
      <c r="F1211" s="310">
        <v>4.4800000000000004</v>
      </c>
      <c r="G1211" s="310">
        <v>1.58</v>
      </c>
      <c r="H1211" s="310"/>
      <c r="I1211" s="295">
        <f t="shared" si="140"/>
        <v>7.0784000000000011</v>
      </c>
      <c r="J1211" s="295"/>
      <c r="K1211" s="300">
        <f t="shared" si="133"/>
        <v>1.1000000000000001</v>
      </c>
      <c r="L1211" s="300">
        <f t="shared" si="136"/>
        <v>0</v>
      </c>
      <c r="M1211" s="285">
        <f t="shared" si="137"/>
        <v>0</v>
      </c>
      <c r="N1211" s="1076">
        <f t="shared" si="138"/>
        <v>0</v>
      </c>
      <c r="O1211" s="294"/>
      <c r="P1211" s="404"/>
      <c r="Q1211" s="404"/>
      <c r="R1211" s="301"/>
      <c r="S1211" s="301"/>
      <c r="T1211" s="301"/>
      <c r="U1211" s="301"/>
      <c r="V1211" s="301"/>
    </row>
    <row r="1212" spans="1:22" ht="14.4" thickTop="1" thickBot="1" x14ac:dyDescent="0.3">
      <c r="A1212" s="292"/>
      <c r="B1212" s="296" t="s">
        <v>2272</v>
      </c>
      <c r="C1212" s="294"/>
      <c r="D1212" s="294"/>
      <c r="E1212" s="294">
        <v>1</v>
      </c>
      <c r="F1212" s="310">
        <v>3.7</v>
      </c>
      <c r="G1212" s="310">
        <v>0.88900000000000001</v>
      </c>
      <c r="H1212" s="310"/>
      <c r="I1212" s="295">
        <f t="shared" si="140"/>
        <v>3.2893000000000003</v>
      </c>
      <c r="J1212" s="295"/>
      <c r="K1212" s="300">
        <f t="shared" si="133"/>
        <v>1.1000000000000001</v>
      </c>
      <c r="L1212" s="300">
        <f t="shared" si="136"/>
        <v>0</v>
      </c>
      <c r="M1212" s="285">
        <f t="shared" si="137"/>
        <v>0</v>
      </c>
      <c r="N1212" s="1076">
        <f t="shared" si="138"/>
        <v>0</v>
      </c>
      <c r="O1212" s="294"/>
      <c r="P1212" s="404"/>
      <c r="Q1212" s="404"/>
      <c r="R1212" s="301"/>
      <c r="S1212" s="301"/>
      <c r="T1212" s="301"/>
      <c r="U1212" s="301"/>
      <c r="V1212" s="301"/>
    </row>
    <row r="1213" spans="1:22" ht="14.4" thickTop="1" thickBot="1" x14ac:dyDescent="0.3">
      <c r="A1213" s="292"/>
      <c r="B1213" s="296" t="s">
        <v>2273</v>
      </c>
      <c r="C1213" s="294"/>
      <c r="D1213" s="294"/>
      <c r="E1213" s="294">
        <v>1</v>
      </c>
      <c r="F1213" s="310">
        <v>3.6</v>
      </c>
      <c r="G1213" s="310">
        <v>0.88900000000000001</v>
      </c>
      <c r="H1213" s="310"/>
      <c r="I1213" s="295">
        <f t="shared" si="140"/>
        <v>3.2004000000000001</v>
      </c>
      <c r="J1213" s="295"/>
      <c r="K1213" s="300">
        <f t="shared" si="133"/>
        <v>1.1000000000000001</v>
      </c>
      <c r="L1213" s="300">
        <f t="shared" si="136"/>
        <v>0</v>
      </c>
      <c r="M1213" s="285">
        <f t="shared" si="137"/>
        <v>0</v>
      </c>
      <c r="N1213" s="1076">
        <f t="shared" si="138"/>
        <v>0</v>
      </c>
      <c r="O1213" s="294"/>
      <c r="P1213" s="404"/>
      <c r="Q1213" s="404"/>
      <c r="R1213" s="301"/>
      <c r="S1213" s="301"/>
      <c r="T1213" s="301"/>
      <c r="U1213" s="301"/>
      <c r="V1213" s="301"/>
    </row>
    <row r="1214" spans="1:22" ht="14.4" thickTop="1" thickBot="1" x14ac:dyDescent="0.3">
      <c r="A1214" s="292"/>
      <c r="B1214" s="296" t="s">
        <v>2274</v>
      </c>
      <c r="C1214" s="294"/>
      <c r="D1214" s="294"/>
      <c r="E1214" s="294">
        <v>1</v>
      </c>
      <c r="F1214" s="310">
        <v>3.6</v>
      </c>
      <c r="G1214" s="310">
        <v>0.88900000000000001</v>
      </c>
      <c r="H1214" s="310"/>
      <c r="I1214" s="295">
        <f t="shared" si="140"/>
        <v>3.2004000000000001</v>
      </c>
      <c r="J1214" s="295"/>
      <c r="K1214" s="300">
        <f t="shared" si="133"/>
        <v>1.1000000000000001</v>
      </c>
      <c r="L1214" s="300">
        <f t="shared" si="136"/>
        <v>0</v>
      </c>
      <c r="M1214" s="285">
        <f t="shared" si="137"/>
        <v>0</v>
      </c>
      <c r="N1214" s="1076">
        <f t="shared" si="138"/>
        <v>0</v>
      </c>
      <c r="O1214" s="294"/>
      <c r="P1214" s="404"/>
      <c r="Q1214" s="404"/>
      <c r="R1214" s="301"/>
      <c r="S1214" s="301"/>
      <c r="T1214" s="301"/>
      <c r="U1214" s="301"/>
      <c r="V1214" s="301"/>
    </row>
    <row r="1215" spans="1:22" ht="14.4" thickTop="1" thickBot="1" x14ac:dyDescent="0.3">
      <c r="A1215" s="292"/>
      <c r="B1215" s="296" t="s">
        <v>2275</v>
      </c>
      <c r="C1215" s="294"/>
      <c r="D1215" s="294"/>
      <c r="E1215" s="294">
        <v>2</v>
      </c>
      <c r="F1215" s="310">
        <f>F1214+(0.8*5)</f>
        <v>7.6</v>
      </c>
      <c r="G1215" s="310">
        <v>1.58</v>
      </c>
      <c r="H1215" s="310"/>
      <c r="I1215" s="295">
        <f t="shared" si="140"/>
        <v>24.015999999999998</v>
      </c>
      <c r="J1215" s="295">
        <f>SUM(I1203:I1215)</f>
        <v>192.37053499999999</v>
      </c>
      <c r="K1215" s="300">
        <f t="shared" si="133"/>
        <v>1.1000000000000001</v>
      </c>
      <c r="L1215" s="300">
        <f t="shared" si="136"/>
        <v>211.60758850000002</v>
      </c>
      <c r="M1215" s="285">
        <f t="shared" si="137"/>
        <v>211.6</v>
      </c>
      <c r="N1215" s="1076">
        <f t="shared" si="138"/>
        <v>212</v>
      </c>
      <c r="O1215" s="294"/>
      <c r="P1215" s="404"/>
      <c r="Q1215" s="404"/>
      <c r="R1215" s="301"/>
      <c r="S1215" s="301"/>
      <c r="T1215" s="301"/>
      <c r="U1215" s="301"/>
      <c r="V1215" s="301"/>
    </row>
    <row r="1216" spans="1:22" ht="14.4" thickTop="1" thickBot="1" x14ac:dyDescent="0.3">
      <c r="A1216" s="292"/>
      <c r="B1216" s="293"/>
      <c r="C1216" s="294"/>
      <c r="D1216" s="294"/>
      <c r="E1216" s="294"/>
      <c r="F1216" s="310"/>
      <c r="G1216" s="310"/>
      <c r="H1216" s="310"/>
      <c r="I1216" s="295"/>
      <c r="J1216" s="295">
        <f>J1215+J1200+J1188+J1175</f>
        <v>1354.0371340000002</v>
      </c>
      <c r="K1216" s="300">
        <f t="shared" si="133"/>
        <v>1.1000000000000001</v>
      </c>
      <c r="L1216" s="300">
        <f t="shared" si="136"/>
        <v>1489.4408474000004</v>
      </c>
      <c r="M1216" s="285">
        <f t="shared" si="137"/>
        <v>1489.4</v>
      </c>
      <c r="N1216" s="1076">
        <f t="shared" si="138"/>
        <v>1490</v>
      </c>
      <c r="O1216" s="294"/>
      <c r="P1216" s="404"/>
      <c r="Q1216" s="404"/>
      <c r="R1216" s="301"/>
      <c r="S1216" s="301"/>
      <c r="T1216" s="301"/>
      <c r="U1216" s="301"/>
      <c r="V1216" s="301"/>
    </row>
    <row r="1217" spans="1:22" ht="14.4" thickTop="1" thickBot="1" x14ac:dyDescent="0.3">
      <c r="A1217" s="292"/>
      <c r="B1217" s="293"/>
      <c r="C1217" s="294"/>
      <c r="D1217" s="294"/>
      <c r="E1217" s="294"/>
      <c r="F1217" s="310"/>
      <c r="G1217" s="310"/>
      <c r="H1217" s="310"/>
      <c r="I1217" s="295"/>
      <c r="J1217" s="295">
        <f>I1202+I1190+I1177+I1171</f>
        <v>12.695433749999999</v>
      </c>
      <c r="K1217" s="300">
        <f t="shared" si="133"/>
        <v>1.1000000000000001</v>
      </c>
      <c r="L1217" s="300">
        <f t="shared" si="136"/>
        <v>13.964977125000001</v>
      </c>
      <c r="M1217" s="285">
        <f t="shared" si="137"/>
        <v>14</v>
      </c>
      <c r="N1217" s="1076">
        <f t="shared" si="138"/>
        <v>14</v>
      </c>
      <c r="O1217" s="294"/>
      <c r="P1217" s="404"/>
      <c r="Q1217" s="404"/>
      <c r="R1217" s="301"/>
      <c r="S1217" s="301"/>
      <c r="T1217" s="301"/>
      <c r="U1217" s="301"/>
      <c r="V1217" s="301"/>
    </row>
    <row r="1218" spans="1:22" ht="14.4" thickTop="1" thickBot="1" x14ac:dyDescent="0.3">
      <c r="A1218" s="292"/>
      <c r="B1218" s="293"/>
      <c r="C1218" s="294"/>
      <c r="D1218" s="294"/>
      <c r="E1218" s="294"/>
      <c r="F1218" s="310"/>
      <c r="G1218" s="310"/>
      <c r="H1218" s="310"/>
      <c r="I1218" s="295"/>
      <c r="J1218" s="295">
        <f>J1216/J1217</f>
        <v>106.65544483661303</v>
      </c>
      <c r="K1218" s="300">
        <f t="shared" si="133"/>
        <v>1.1000000000000001</v>
      </c>
      <c r="L1218" s="300">
        <f t="shared" si="136"/>
        <v>117.32098932027434</v>
      </c>
      <c r="M1218" s="285">
        <f t="shared" si="137"/>
        <v>117.3</v>
      </c>
      <c r="N1218" s="1076">
        <f>ROUNDUP(M1218,0)</f>
        <v>118</v>
      </c>
      <c r="O1218" s="294"/>
      <c r="P1218" s="404"/>
      <c r="Q1218" s="404"/>
      <c r="R1218" s="301"/>
      <c r="S1218" s="301"/>
      <c r="T1218" s="301"/>
      <c r="U1218" s="301"/>
      <c r="V1218" s="301"/>
    </row>
    <row r="1219" spans="1:22" ht="14.4" thickTop="1" thickBot="1" x14ac:dyDescent="0.3">
      <c r="A1219" s="292"/>
      <c r="B1219" s="293"/>
      <c r="C1219" s="294"/>
      <c r="D1219" s="294"/>
      <c r="E1219" s="294"/>
      <c r="F1219" s="310"/>
      <c r="G1219" s="310"/>
      <c r="H1219" s="310"/>
      <c r="I1219" s="295"/>
      <c r="J1219" s="295"/>
      <c r="K1219" s="300">
        <f t="shared" si="133"/>
        <v>1.1000000000000001</v>
      </c>
      <c r="L1219" s="300">
        <f t="shared" si="136"/>
        <v>0</v>
      </c>
      <c r="M1219" s="285">
        <f t="shared" si="137"/>
        <v>0</v>
      </c>
      <c r="N1219" s="1076">
        <f t="shared" si="138"/>
        <v>0</v>
      </c>
      <c r="O1219" s="294"/>
      <c r="P1219" s="404"/>
      <c r="Q1219" s="404"/>
      <c r="R1219" s="301"/>
      <c r="S1219" s="301"/>
      <c r="T1219" s="301"/>
      <c r="U1219" s="301"/>
      <c r="V1219" s="301"/>
    </row>
    <row r="1220" spans="1:22" ht="14.4" thickTop="1" thickBot="1" x14ac:dyDescent="0.3">
      <c r="A1220" s="292"/>
      <c r="B1220" s="293" t="s">
        <v>728</v>
      </c>
      <c r="C1220" s="294"/>
      <c r="D1220" s="294"/>
      <c r="E1220" s="294"/>
      <c r="F1220" s="310"/>
      <c r="G1220" s="310"/>
      <c r="H1220" s="310"/>
      <c r="I1220" s="295"/>
      <c r="J1220" s="295"/>
      <c r="K1220" s="300">
        <f t="shared" si="133"/>
        <v>1.1000000000000001</v>
      </c>
      <c r="L1220" s="300">
        <f t="shared" si="136"/>
        <v>0</v>
      </c>
      <c r="M1220" s="285">
        <f t="shared" si="137"/>
        <v>0</v>
      </c>
      <c r="N1220" s="1076">
        <f t="shared" si="138"/>
        <v>0</v>
      </c>
      <c r="O1220" s="294"/>
      <c r="P1220" s="404"/>
      <c r="Q1220" s="404"/>
      <c r="R1220" s="301"/>
      <c r="S1220" s="301"/>
      <c r="T1220" s="301"/>
      <c r="U1220" s="301"/>
      <c r="V1220" s="301"/>
    </row>
    <row r="1221" spans="1:22" ht="14.4" thickTop="1" thickBot="1" x14ac:dyDescent="0.3">
      <c r="A1221" s="292"/>
      <c r="B1221" s="293" t="s">
        <v>1571</v>
      </c>
      <c r="C1221" s="294"/>
      <c r="D1221" s="294"/>
      <c r="E1221" s="294"/>
      <c r="F1221" s="310"/>
      <c r="G1221" s="310"/>
      <c r="H1221" s="310"/>
      <c r="I1221" s="295"/>
      <c r="J1221" s="295"/>
      <c r="K1221" s="300">
        <f t="shared" si="133"/>
        <v>1.1000000000000001</v>
      </c>
      <c r="L1221" s="300">
        <f t="shared" si="136"/>
        <v>0</v>
      </c>
      <c r="M1221" s="285">
        <f t="shared" si="137"/>
        <v>0</v>
      </c>
      <c r="N1221" s="1076">
        <f t="shared" si="138"/>
        <v>0</v>
      </c>
      <c r="O1221" s="294"/>
      <c r="P1221" s="404"/>
      <c r="Q1221" s="404"/>
      <c r="R1221" s="301"/>
      <c r="S1221" s="301"/>
      <c r="T1221" s="301"/>
      <c r="U1221" s="301"/>
      <c r="V1221" s="301"/>
    </row>
    <row r="1222" spans="1:22" ht="14.4" thickTop="1" thickBot="1" x14ac:dyDescent="0.3">
      <c r="A1222" s="292"/>
      <c r="B1222" s="293" t="s">
        <v>2276</v>
      </c>
      <c r="C1222" s="294"/>
      <c r="D1222" s="294"/>
      <c r="E1222" s="294"/>
      <c r="F1222" s="310">
        <v>59.54</v>
      </c>
      <c r="G1222" s="310">
        <v>0.22500000000000001</v>
      </c>
      <c r="H1222" s="310">
        <v>0.45</v>
      </c>
      <c r="I1222" s="295">
        <f>H1222*G1222*F1222</f>
        <v>6.0284250000000004</v>
      </c>
      <c r="J1222" s="295"/>
      <c r="K1222" s="300">
        <f t="shared" si="133"/>
        <v>1.1000000000000001</v>
      </c>
      <c r="L1222" s="300">
        <f t="shared" si="136"/>
        <v>0</v>
      </c>
      <c r="M1222" s="285">
        <f t="shared" si="137"/>
        <v>0</v>
      </c>
      <c r="N1222" s="1076">
        <f t="shared" si="138"/>
        <v>0</v>
      </c>
      <c r="O1222" s="294"/>
      <c r="P1222" s="404"/>
      <c r="Q1222" s="404"/>
      <c r="R1222" s="301"/>
      <c r="S1222" s="301"/>
      <c r="T1222" s="301"/>
      <c r="U1222" s="301"/>
      <c r="V1222" s="301"/>
    </row>
    <row r="1223" spans="1:22" ht="14.4" thickTop="1" thickBot="1" x14ac:dyDescent="0.3">
      <c r="A1223" s="292"/>
      <c r="B1223" s="293" t="s">
        <v>2277</v>
      </c>
      <c r="C1223" s="294"/>
      <c r="D1223" s="294"/>
      <c r="E1223" s="294"/>
      <c r="F1223" s="310">
        <v>59.54</v>
      </c>
      <c r="G1223" s="310">
        <v>0.3</v>
      </c>
      <c r="H1223" s="310">
        <v>0.45</v>
      </c>
      <c r="I1223" s="295">
        <f t="shared" ref="I1223:I1255" si="141">H1223*G1223*F1223</f>
        <v>8.0379000000000005</v>
      </c>
      <c r="J1223" s="295"/>
      <c r="K1223" s="300">
        <f t="shared" si="133"/>
        <v>1.1000000000000001</v>
      </c>
      <c r="L1223" s="300">
        <f t="shared" si="136"/>
        <v>0</v>
      </c>
      <c r="M1223" s="285">
        <f t="shared" si="137"/>
        <v>0</v>
      </c>
      <c r="N1223" s="1076">
        <f t="shared" si="138"/>
        <v>0</v>
      </c>
      <c r="O1223" s="294"/>
      <c r="P1223" s="404"/>
      <c r="Q1223" s="404"/>
      <c r="R1223" s="301"/>
      <c r="S1223" s="301"/>
      <c r="T1223" s="301"/>
      <c r="U1223" s="301"/>
      <c r="V1223" s="301"/>
    </row>
    <row r="1224" spans="1:22" ht="14.4" thickTop="1" thickBot="1" x14ac:dyDescent="0.3">
      <c r="A1224" s="292"/>
      <c r="B1224" s="293" t="s">
        <v>2278</v>
      </c>
      <c r="C1224" s="294"/>
      <c r="D1224" s="294"/>
      <c r="E1224" s="294"/>
      <c r="F1224" s="310">
        <v>17.937999999999999</v>
      </c>
      <c r="G1224" s="310">
        <v>0.3</v>
      </c>
      <c r="H1224" s="310">
        <v>0.45</v>
      </c>
      <c r="I1224" s="295">
        <f t="shared" si="141"/>
        <v>2.4216299999999999</v>
      </c>
      <c r="J1224" s="295"/>
      <c r="K1224" s="300">
        <f t="shared" si="133"/>
        <v>1.1000000000000001</v>
      </c>
      <c r="L1224" s="300">
        <f t="shared" si="136"/>
        <v>0</v>
      </c>
      <c r="M1224" s="285">
        <f t="shared" si="137"/>
        <v>0</v>
      </c>
      <c r="N1224" s="1076">
        <f t="shared" si="138"/>
        <v>0</v>
      </c>
      <c r="O1224" s="294"/>
      <c r="P1224" s="404"/>
      <c r="Q1224" s="404"/>
      <c r="R1224" s="301"/>
      <c r="S1224" s="301"/>
      <c r="T1224" s="301"/>
      <c r="U1224" s="301"/>
      <c r="V1224" s="301"/>
    </row>
    <row r="1225" spans="1:22" ht="14.4" thickTop="1" thickBot="1" x14ac:dyDescent="0.3">
      <c r="A1225" s="292"/>
      <c r="B1225" s="293" t="s">
        <v>2279</v>
      </c>
      <c r="C1225" s="294"/>
      <c r="D1225" s="294"/>
      <c r="E1225" s="294"/>
      <c r="F1225" s="310">
        <v>9.6489999999999991</v>
      </c>
      <c r="G1225" s="310">
        <v>0.22500000000000001</v>
      </c>
      <c r="H1225" s="310">
        <v>0.45</v>
      </c>
      <c r="I1225" s="295">
        <f t="shared" si="141"/>
        <v>0.97696125</v>
      </c>
      <c r="J1225" s="295"/>
      <c r="K1225" s="300">
        <f t="shared" si="133"/>
        <v>1.1000000000000001</v>
      </c>
      <c r="L1225" s="300">
        <f t="shared" si="136"/>
        <v>0</v>
      </c>
      <c r="M1225" s="285">
        <f t="shared" si="137"/>
        <v>0</v>
      </c>
      <c r="N1225" s="1076">
        <f t="shared" si="138"/>
        <v>0</v>
      </c>
      <c r="O1225" s="294"/>
      <c r="P1225" s="404"/>
      <c r="Q1225" s="404"/>
      <c r="R1225" s="301"/>
      <c r="S1225" s="301"/>
      <c r="T1225" s="301"/>
      <c r="U1225" s="301"/>
      <c r="V1225" s="301"/>
    </row>
    <row r="1226" spans="1:22" ht="14.4" thickTop="1" thickBot="1" x14ac:dyDescent="0.3">
      <c r="A1226" s="292"/>
      <c r="B1226" s="293" t="s">
        <v>2280</v>
      </c>
      <c r="C1226" s="294"/>
      <c r="D1226" s="294"/>
      <c r="E1226" s="294"/>
      <c r="F1226" s="310">
        <v>19.876000000000001</v>
      </c>
      <c r="G1226" s="310">
        <v>0.22500000000000001</v>
      </c>
      <c r="H1226" s="310">
        <v>0.45</v>
      </c>
      <c r="I1226" s="295">
        <f t="shared" si="141"/>
        <v>2.012445</v>
      </c>
      <c r="J1226" s="295"/>
      <c r="K1226" s="300">
        <f t="shared" si="133"/>
        <v>1.1000000000000001</v>
      </c>
      <c r="L1226" s="300">
        <f t="shared" si="136"/>
        <v>0</v>
      </c>
      <c r="M1226" s="285">
        <f t="shared" si="137"/>
        <v>0</v>
      </c>
      <c r="N1226" s="1076">
        <f t="shared" si="138"/>
        <v>0</v>
      </c>
      <c r="O1226" s="294"/>
      <c r="P1226" s="404"/>
      <c r="Q1226" s="404"/>
      <c r="R1226" s="301"/>
      <c r="S1226" s="301"/>
      <c r="T1226" s="301"/>
      <c r="U1226" s="301"/>
      <c r="V1226" s="301"/>
    </row>
    <row r="1227" spans="1:22" ht="14.4" thickTop="1" thickBot="1" x14ac:dyDescent="0.3">
      <c r="A1227" s="292"/>
      <c r="B1227" s="293" t="s">
        <v>2281</v>
      </c>
      <c r="C1227" s="294"/>
      <c r="D1227" s="294"/>
      <c r="E1227" s="294"/>
      <c r="F1227" s="310">
        <v>23.738</v>
      </c>
      <c r="G1227" s="310">
        <v>0.3</v>
      </c>
      <c r="H1227" s="310">
        <v>0.45</v>
      </c>
      <c r="I1227" s="295">
        <f t="shared" si="141"/>
        <v>3.2046300000000003</v>
      </c>
      <c r="J1227" s="295"/>
      <c r="K1227" s="300">
        <f t="shared" si="133"/>
        <v>1.1000000000000001</v>
      </c>
      <c r="L1227" s="300">
        <f t="shared" si="136"/>
        <v>0</v>
      </c>
      <c r="M1227" s="285">
        <f t="shared" si="137"/>
        <v>0</v>
      </c>
      <c r="N1227" s="1076">
        <f t="shared" si="138"/>
        <v>0</v>
      </c>
      <c r="O1227" s="294"/>
      <c r="P1227" s="404"/>
      <c r="Q1227" s="404"/>
      <c r="R1227" s="301"/>
      <c r="S1227" s="301"/>
      <c r="T1227" s="301"/>
      <c r="U1227" s="301"/>
      <c r="V1227" s="301"/>
    </row>
    <row r="1228" spans="1:22" ht="14.4" thickTop="1" thickBot="1" x14ac:dyDescent="0.3">
      <c r="A1228" s="292"/>
      <c r="B1228" s="293" t="s">
        <v>2282</v>
      </c>
      <c r="C1228" s="294"/>
      <c r="D1228" s="294"/>
      <c r="E1228" s="294"/>
      <c r="F1228" s="310">
        <v>33.24</v>
      </c>
      <c r="G1228" s="310">
        <v>0.3</v>
      </c>
      <c r="H1228" s="310">
        <v>0.45</v>
      </c>
      <c r="I1228" s="295">
        <f t="shared" si="141"/>
        <v>4.4874000000000009</v>
      </c>
      <c r="J1228" s="295"/>
      <c r="K1228" s="300">
        <f t="shared" si="133"/>
        <v>1.1000000000000001</v>
      </c>
      <c r="L1228" s="300">
        <f t="shared" si="136"/>
        <v>0</v>
      </c>
      <c r="M1228" s="285">
        <f t="shared" si="137"/>
        <v>0</v>
      </c>
      <c r="N1228" s="1076">
        <f t="shared" si="138"/>
        <v>0</v>
      </c>
      <c r="O1228" s="294"/>
      <c r="P1228" s="404"/>
      <c r="Q1228" s="404"/>
      <c r="R1228" s="301"/>
      <c r="S1228" s="301"/>
      <c r="T1228" s="301"/>
      <c r="U1228" s="301"/>
      <c r="V1228" s="301"/>
    </row>
    <row r="1229" spans="1:22" ht="14.4" thickTop="1" thickBot="1" x14ac:dyDescent="0.3">
      <c r="A1229" s="292"/>
      <c r="B1229" s="293" t="s">
        <v>2283</v>
      </c>
      <c r="C1229" s="294"/>
      <c r="D1229" s="294"/>
      <c r="E1229" s="294"/>
      <c r="F1229" s="310">
        <v>25.286999999999999</v>
      </c>
      <c r="G1229" s="310">
        <v>0.22500000000000001</v>
      </c>
      <c r="H1229" s="310">
        <v>0.45</v>
      </c>
      <c r="I1229" s="295">
        <f t="shared" si="141"/>
        <v>2.5603087499999999</v>
      </c>
      <c r="J1229" s="295"/>
      <c r="K1229" s="300">
        <f t="shared" si="133"/>
        <v>1.1000000000000001</v>
      </c>
      <c r="L1229" s="300">
        <f t="shared" si="136"/>
        <v>0</v>
      </c>
      <c r="M1229" s="285">
        <f t="shared" si="137"/>
        <v>0</v>
      </c>
      <c r="N1229" s="1076">
        <f t="shared" si="138"/>
        <v>0</v>
      </c>
      <c r="O1229" s="294"/>
      <c r="P1229" s="404"/>
      <c r="Q1229" s="404"/>
      <c r="R1229" s="301"/>
      <c r="S1229" s="301"/>
      <c r="T1229" s="301"/>
      <c r="U1229" s="301"/>
      <c r="V1229" s="301"/>
    </row>
    <row r="1230" spans="1:22" ht="14.4" thickTop="1" thickBot="1" x14ac:dyDescent="0.3">
      <c r="A1230" s="292"/>
      <c r="B1230" s="293" t="s">
        <v>2284</v>
      </c>
      <c r="C1230" s="294"/>
      <c r="D1230" s="294"/>
      <c r="E1230" s="294"/>
      <c r="F1230" s="310">
        <v>31.509</v>
      </c>
      <c r="G1230" s="310">
        <v>0.22500000000000001</v>
      </c>
      <c r="H1230" s="310">
        <v>0.45</v>
      </c>
      <c r="I1230" s="295">
        <f t="shared" si="141"/>
        <v>3.1902862500000002</v>
      </c>
      <c r="J1230" s="295"/>
      <c r="K1230" s="300">
        <f t="shared" si="133"/>
        <v>1.1000000000000001</v>
      </c>
      <c r="L1230" s="300">
        <f t="shared" si="136"/>
        <v>0</v>
      </c>
      <c r="M1230" s="285">
        <f t="shared" si="137"/>
        <v>0</v>
      </c>
      <c r="N1230" s="1076">
        <f t="shared" si="138"/>
        <v>0</v>
      </c>
      <c r="O1230" s="294"/>
      <c r="P1230" s="404"/>
      <c r="Q1230" s="404"/>
      <c r="R1230" s="301"/>
      <c r="S1230" s="301"/>
      <c r="T1230" s="301"/>
      <c r="U1230" s="301"/>
      <c r="V1230" s="301"/>
    </row>
    <row r="1231" spans="1:22" ht="14.4" thickTop="1" thickBot="1" x14ac:dyDescent="0.3">
      <c r="A1231" s="292"/>
      <c r="B1231" s="293" t="s">
        <v>2285</v>
      </c>
      <c r="C1231" s="294"/>
      <c r="D1231" s="294"/>
      <c r="E1231" s="294"/>
      <c r="F1231" s="310">
        <v>27.888000000000002</v>
      </c>
      <c r="G1231" s="310">
        <v>0.3</v>
      </c>
      <c r="H1231" s="310">
        <v>0.45</v>
      </c>
      <c r="I1231" s="295">
        <f t="shared" si="141"/>
        <v>3.7648800000000007</v>
      </c>
      <c r="J1231" s="295"/>
      <c r="K1231" s="300">
        <f t="shared" si="133"/>
        <v>1.1000000000000001</v>
      </c>
      <c r="L1231" s="300">
        <f t="shared" si="136"/>
        <v>0</v>
      </c>
      <c r="M1231" s="285">
        <f t="shared" si="137"/>
        <v>0</v>
      </c>
      <c r="N1231" s="1076">
        <f t="shared" si="138"/>
        <v>0</v>
      </c>
      <c r="O1231" s="294"/>
      <c r="P1231" s="404"/>
      <c r="Q1231" s="404"/>
      <c r="R1231" s="301"/>
      <c r="S1231" s="301"/>
      <c r="T1231" s="301"/>
      <c r="U1231" s="301"/>
      <c r="V1231" s="301"/>
    </row>
    <row r="1232" spans="1:22" ht="14.4" thickTop="1" thickBot="1" x14ac:dyDescent="0.3">
      <c r="A1232" s="292"/>
      <c r="B1232" s="293" t="s">
        <v>2286</v>
      </c>
      <c r="C1232" s="294"/>
      <c r="D1232" s="294"/>
      <c r="E1232" s="294"/>
      <c r="F1232" s="310">
        <v>31.582999999999998</v>
      </c>
      <c r="G1232" s="310">
        <v>0.3</v>
      </c>
      <c r="H1232" s="310">
        <v>0.45</v>
      </c>
      <c r="I1232" s="295">
        <f t="shared" si="141"/>
        <v>4.2637049999999999</v>
      </c>
      <c r="J1232" s="295"/>
      <c r="K1232" s="300">
        <f t="shared" si="133"/>
        <v>1.1000000000000001</v>
      </c>
      <c r="L1232" s="300">
        <f t="shared" si="136"/>
        <v>0</v>
      </c>
      <c r="M1232" s="285">
        <f t="shared" si="137"/>
        <v>0</v>
      </c>
      <c r="N1232" s="1076">
        <f t="shared" si="138"/>
        <v>0</v>
      </c>
      <c r="O1232" s="294"/>
      <c r="P1232" s="404"/>
      <c r="Q1232" s="404"/>
      <c r="R1232" s="301"/>
      <c r="S1232" s="301"/>
      <c r="T1232" s="301"/>
      <c r="U1232" s="301"/>
      <c r="V1232" s="301"/>
    </row>
    <row r="1233" spans="1:22" ht="14.4" thickTop="1" thickBot="1" x14ac:dyDescent="0.3">
      <c r="A1233" s="292"/>
      <c r="B1233" s="293" t="s">
        <v>2287</v>
      </c>
      <c r="C1233" s="294"/>
      <c r="D1233" s="294"/>
      <c r="E1233" s="294"/>
      <c r="F1233" s="310">
        <v>7.25</v>
      </c>
      <c r="G1233" s="310">
        <v>0.22500000000000001</v>
      </c>
      <c r="H1233" s="310">
        <v>0.45</v>
      </c>
      <c r="I1233" s="295">
        <f t="shared" si="141"/>
        <v>0.73406250000000006</v>
      </c>
      <c r="J1233" s="295"/>
      <c r="K1233" s="300">
        <f t="shared" si="133"/>
        <v>1.1000000000000001</v>
      </c>
      <c r="L1233" s="300">
        <f t="shared" si="136"/>
        <v>0</v>
      </c>
      <c r="M1233" s="285">
        <f t="shared" si="137"/>
        <v>0</v>
      </c>
      <c r="N1233" s="1076">
        <f t="shared" si="138"/>
        <v>0</v>
      </c>
      <c r="O1233" s="294"/>
      <c r="P1233" s="404"/>
      <c r="Q1233" s="404"/>
      <c r="R1233" s="301"/>
      <c r="S1233" s="301"/>
      <c r="T1233" s="301"/>
      <c r="U1233" s="301"/>
      <c r="V1233" s="301"/>
    </row>
    <row r="1234" spans="1:22" ht="14.4" thickTop="1" thickBot="1" x14ac:dyDescent="0.3">
      <c r="A1234" s="292"/>
      <c r="B1234" s="293" t="s">
        <v>2288</v>
      </c>
      <c r="C1234" s="294"/>
      <c r="D1234" s="294"/>
      <c r="E1234" s="294"/>
      <c r="F1234" s="310">
        <v>20.413</v>
      </c>
      <c r="G1234" s="310">
        <v>0.22500000000000001</v>
      </c>
      <c r="H1234" s="310">
        <v>0.6</v>
      </c>
      <c r="I1234" s="295">
        <f t="shared" si="141"/>
        <v>2.7557550000000002</v>
      </c>
      <c r="J1234" s="295"/>
      <c r="K1234" s="300">
        <f t="shared" si="133"/>
        <v>1.1000000000000001</v>
      </c>
      <c r="L1234" s="300">
        <f t="shared" si="136"/>
        <v>0</v>
      </c>
      <c r="M1234" s="285">
        <f t="shared" si="137"/>
        <v>0</v>
      </c>
      <c r="N1234" s="1076">
        <f t="shared" si="138"/>
        <v>0</v>
      </c>
      <c r="O1234" s="294"/>
      <c r="P1234" s="404"/>
      <c r="Q1234" s="404"/>
      <c r="R1234" s="301"/>
      <c r="S1234" s="301"/>
      <c r="T1234" s="301"/>
      <c r="U1234" s="301"/>
      <c r="V1234" s="301"/>
    </row>
    <row r="1235" spans="1:22" ht="14.4" thickTop="1" thickBot="1" x14ac:dyDescent="0.3">
      <c r="A1235" s="292"/>
      <c r="B1235" s="293" t="s">
        <v>2289</v>
      </c>
      <c r="C1235" s="294"/>
      <c r="D1235" s="294"/>
      <c r="E1235" s="294"/>
      <c r="F1235" s="310">
        <v>31.734000000000002</v>
      </c>
      <c r="G1235" s="310">
        <v>0.22500000000000001</v>
      </c>
      <c r="H1235" s="310">
        <v>0.6</v>
      </c>
      <c r="I1235" s="295">
        <f t="shared" si="141"/>
        <v>4.2840900000000008</v>
      </c>
      <c r="J1235" s="295"/>
      <c r="K1235" s="300">
        <f t="shared" si="133"/>
        <v>1.1000000000000001</v>
      </c>
      <c r="L1235" s="300">
        <f t="shared" si="136"/>
        <v>0</v>
      </c>
      <c r="M1235" s="285">
        <f t="shared" si="137"/>
        <v>0</v>
      </c>
      <c r="N1235" s="1076">
        <f t="shared" si="138"/>
        <v>0</v>
      </c>
      <c r="O1235" s="294"/>
      <c r="P1235" s="404"/>
      <c r="Q1235" s="404"/>
      <c r="R1235" s="301"/>
      <c r="S1235" s="301"/>
      <c r="T1235" s="301"/>
      <c r="U1235" s="301"/>
      <c r="V1235" s="301"/>
    </row>
    <row r="1236" spans="1:22" ht="14.4" thickTop="1" thickBot="1" x14ac:dyDescent="0.3">
      <c r="A1236" s="292"/>
      <c r="B1236" s="293" t="s">
        <v>2290</v>
      </c>
      <c r="C1236" s="294"/>
      <c r="D1236" s="294"/>
      <c r="E1236" s="294"/>
      <c r="F1236" s="310">
        <v>6.0380000000000003</v>
      </c>
      <c r="G1236" s="310">
        <v>0.22500000000000001</v>
      </c>
      <c r="H1236" s="310">
        <v>0.45</v>
      </c>
      <c r="I1236" s="295">
        <f t="shared" si="141"/>
        <v>0.61134750000000004</v>
      </c>
      <c r="J1236" s="295"/>
      <c r="K1236" s="300">
        <f t="shared" si="133"/>
        <v>1.1000000000000001</v>
      </c>
      <c r="L1236" s="300">
        <f t="shared" si="136"/>
        <v>0</v>
      </c>
      <c r="M1236" s="285">
        <f t="shared" si="137"/>
        <v>0</v>
      </c>
      <c r="N1236" s="1076">
        <f t="shared" si="138"/>
        <v>0</v>
      </c>
      <c r="O1236" s="294"/>
      <c r="P1236" s="404"/>
      <c r="Q1236" s="404"/>
      <c r="R1236" s="301"/>
      <c r="S1236" s="301"/>
      <c r="T1236" s="301"/>
      <c r="U1236" s="301"/>
      <c r="V1236" s="301"/>
    </row>
    <row r="1237" spans="1:22" ht="14.4" thickTop="1" thickBot="1" x14ac:dyDescent="0.3">
      <c r="A1237" s="292"/>
      <c r="B1237" s="293" t="s">
        <v>2291</v>
      </c>
      <c r="C1237" s="294"/>
      <c r="D1237" s="294"/>
      <c r="E1237" s="294"/>
      <c r="F1237" s="310">
        <v>4.2699999999999996</v>
      </c>
      <c r="G1237" s="310">
        <v>0.22500000000000001</v>
      </c>
      <c r="H1237" s="310">
        <v>0.45</v>
      </c>
      <c r="I1237" s="295">
        <f t="shared" si="141"/>
        <v>0.43233749999999999</v>
      </c>
      <c r="J1237" s="295"/>
      <c r="K1237" s="300">
        <f t="shared" si="133"/>
        <v>1.1000000000000001</v>
      </c>
      <c r="L1237" s="300">
        <f t="shared" si="136"/>
        <v>0</v>
      </c>
      <c r="M1237" s="285">
        <f t="shared" si="137"/>
        <v>0</v>
      </c>
      <c r="N1237" s="1076">
        <f t="shared" si="138"/>
        <v>0</v>
      </c>
      <c r="O1237" s="294"/>
      <c r="P1237" s="404"/>
      <c r="Q1237" s="404"/>
      <c r="R1237" s="301"/>
      <c r="S1237" s="301"/>
      <c r="T1237" s="301"/>
      <c r="U1237" s="301"/>
      <c r="V1237" s="301"/>
    </row>
    <row r="1238" spans="1:22" ht="14.4" thickTop="1" thickBot="1" x14ac:dyDescent="0.3">
      <c r="A1238" s="292"/>
      <c r="B1238" s="293" t="s">
        <v>2292</v>
      </c>
      <c r="C1238" s="294"/>
      <c r="D1238" s="294"/>
      <c r="E1238" s="294"/>
      <c r="F1238" s="310">
        <v>14.975</v>
      </c>
      <c r="G1238" s="310">
        <v>0.3</v>
      </c>
      <c r="H1238" s="310">
        <v>0.45</v>
      </c>
      <c r="I1238" s="295">
        <f t="shared" si="141"/>
        <v>2.0216250000000002</v>
      </c>
      <c r="J1238" s="295"/>
      <c r="K1238" s="300">
        <f t="shared" si="133"/>
        <v>1.1000000000000001</v>
      </c>
      <c r="L1238" s="300">
        <f t="shared" si="136"/>
        <v>0</v>
      </c>
      <c r="M1238" s="285">
        <f t="shared" si="137"/>
        <v>0</v>
      </c>
      <c r="N1238" s="1076">
        <f t="shared" si="138"/>
        <v>0</v>
      </c>
      <c r="O1238" s="294"/>
      <c r="P1238" s="404"/>
      <c r="Q1238" s="404"/>
      <c r="R1238" s="301"/>
      <c r="S1238" s="301"/>
      <c r="T1238" s="301"/>
      <c r="U1238" s="301"/>
      <c r="V1238" s="301"/>
    </row>
    <row r="1239" spans="1:22" ht="14.4" thickTop="1" thickBot="1" x14ac:dyDescent="0.3">
      <c r="A1239" s="292"/>
      <c r="B1239" s="293" t="s">
        <v>2293</v>
      </c>
      <c r="C1239" s="294"/>
      <c r="D1239" s="294"/>
      <c r="E1239" s="294"/>
      <c r="F1239" s="310">
        <v>14.686999999999999</v>
      </c>
      <c r="G1239" s="310">
        <v>0.3</v>
      </c>
      <c r="H1239" s="310">
        <v>0.45</v>
      </c>
      <c r="I1239" s="295">
        <f t="shared" si="141"/>
        <v>1.982745</v>
      </c>
      <c r="J1239" s="295"/>
      <c r="K1239" s="300">
        <f t="shared" si="133"/>
        <v>1.1000000000000001</v>
      </c>
      <c r="L1239" s="300">
        <f t="shared" si="136"/>
        <v>0</v>
      </c>
      <c r="M1239" s="285">
        <f t="shared" si="137"/>
        <v>0</v>
      </c>
      <c r="N1239" s="1076">
        <f t="shared" si="138"/>
        <v>0</v>
      </c>
      <c r="O1239" s="294"/>
      <c r="P1239" s="404"/>
      <c r="Q1239" s="404"/>
      <c r="R1239" s="301"/>
      <c r="S1239" s="301"/>
      <c r="T1239" s="301"/>
      <c r="U1239" s="301"/>
      <c r="V1239" s="301"/>
    </row>
    <row r="1240" spans="1:22" ht="14.4" thickTop="1" thickBot="1" x14ac:dyDescent="0.3">
      <c r="A1240" s="292"/>
      <c r="B1240" s="293" t="s">
        <v>2294</v>
      </c>
      <c r="C1240" s="294"/>
      <c r="D1240" s="294"/>
      <c r="E1240" s="294"/>
      <c r="F1240" s="310">
        <v>4.2329999999999997</v>
      </c>
      <c r="G1240" s="310">
        <v>0.22500000000000001</v>
      </c>
      <c r="H1240" s="310">
        <v>0.6</v>
      </c>
      <c r="I1240" s="295">
        <f t="shared" si="141"/>
        <v>0.57145499999999994</v>
      </c>
      <c r="J1240" s="295"/>
      <c r="K1240" s="300">
        <f t="shared" si="133"/>
        <v>1.1000000000000001</v>
      </c>
      <c r="L1240" s="300">
        <f t="shared" si="136"/>
        <v>0</v>
      </c>
      <c r="M1240" s="285">
        <f t="shared" si="137"/>
        <v>0</v>
      </c>
      <c r="N1240" s="1076">
        <f t="shared" si="138"/>
        <v>0</v>
      </c>
      <c r="O1240" s="294"/>
      <c r="P1240" s="404"/>
      <c r="Q1240" s="404"/>
      <c r="R1240" s="301"/>
      <c r="S1240" s="301"/>
      <c r="T1240" s="301"/>
      <c r="U1240" s="301"/>
      <c r="V1240" s="301"/>
    </row>
    <row r="1241" spans="1:22" ht="14.4" thickTop="1" thickBot="1" x14ac:dyDescent="0.3">
      <c r="A1241" s="292"/>
      <c r="B1241" s="293" t="s">
        <v>2295</v>
      </c>
      <c r="C1241" s="294"/>
      <c r="D1241" s="294"/>
      <c r="E1241" s="294"/>
      <c r="F1241" s="310">
        <v>17.625</v>
      </c>
      <c r="G1241" s="310">
        <v>0.3</v>
      </c>
      <c r="H1241" s="310">
        <v>0.5</v>
      </c>
      <c r="I1241" s="295">
        <f t="shared" si="141"/>
        <v>2.6437499999999998</v>
      </c>
      <c r="J1241" s="295"/>
      <c r="K1241" s="300">
        <f t="shared" si="133"/>
        <v>1.1000000000000001</v>
      </c>
      <c r="L1241" s="300">
        <f t="shared" si="136"/>
        <v>0</v>
      </c>
      <c r="M1241" s="285">
        <f t="shared" si="137"/>
        <v>0</v>
      </c>
      <c r="N1241" s="1076">
        <f t="shared" si="138"/>
        <v>0</v>
      </c>
      <c r="O1241" s="294"/>
      <c r="P1241" s="404"/>
      <c r="Q1241" s="404"/>
      <c r="R1241" s="301"/>
      <c r="S1241" s="301"/>
      <c r="T1241" s="301"/>
      <c r="U1241" s="301"/>
      <c r="V1241" s="301"/>
    </row>
    <row r="1242" spans="1:22" ht="14.4" thickTop="1" thickBot="1" x14ac:dyDescent="0.3">
      <c r="A1242" s="292"/>
      <c r="B1242" s="293" t="s">
        <v>2296</v>
      </c>
      <c r="C1242" s="294"/>
      <c r="D1242" s="294"/>
      <c r="E1242" s="294"/>
      <c r="F1242" s="310">
        <v>17.625</v>
      </c>
      <c r="G1242" s="310">
        <v>0.3</v>
      </c>
      <c r="H1242" s="310">
        <v>0.5</v>
      </c>
      <c r="I1242" s="295">
        <f t="shared" si="141"/>
        <v>2.6437499999999998</v>
      </c>
      <c r="J1242" s="295"/>
      <c r="K1242" s="300">
        <f t="shared" si="133"/>
        <v>1.1000000000000001</v>
      </c>
      <c r="L1242" s="300">
        <f t="shared" si="136"/>
        <v>0</v>
      </c>
      <c r="M1242" s="285">
        <f t="shared" si="137"/>
        <v>0</v>
      </c>
      <c r="N1242" s="1076">
        <f t="shared" si="138"/>
        <v>0</v>
      </c>
      <c r="O1242" s="294"/>
      <c r="P1242" s="404"/>
      <c r="Q1242" s="404"/>
      <c r="R1242" s="301"/>
      <c r="S1242" s="301"/>
      <c r="T1242" s="301"/>
      <c r="U1242" s="301"/>
      <c r="V1242" s="301"/>
    </row>
    <row r="1243" spans="1:22" ht="14.4" thickTop="1" thickBot="1" x14ac:dyDescent="0.3">
      <c r="A1243" s="292"/>
      <c r="B1243" s="293" t="s">
        <v>2297</v>
      </c>
      <c r="C1243" s="294"/>
      <c r="D1243" s="294"/>
      <c r="E1243" s="294"/>
      <c r="F1243" s="310">
        <v>17.625</v>
      </c>
      <c r="G1243" s="310">
        <v>0.3</v>
      </c>
      <c r="H1243" s="310">
        <v>0.5</v>
      </c>
      <c r="I1243" s="295">
        <f t="shared" si="141"/>
        <v>2.6437499999999998</v>
      </c>
      <c r="J1243" s="295"/>
      <c r="K1243" s="300">
        <f t="shared" si="133"/>
        <v>1.1000000000000001</v>
      </c>
      <c r="L1243" s="300">
        <f t="shared" si="136"/>
        <v>0</v>
      </c>
      <c r="M1243" s="285">
        <f t="shared" si="137"/>
        <v>0</v>
      </c>
      <c r="N1243" s="1076">
        <f t="shared" si="138"/>
        <v>0</v>
      </c>
      <c r="O1243" s="294"/>
      <c r="P1243" s="404"/>
      <c r="Q1243" s="404"/>
      <c r="R1243" s="301"/>
      <c r="S1243" s="301"/>
      <c r="T1243" s="301"/>
      <c r="U1243" s="301"/>
      <c r="V1243" s="301"/>
    </row>
    <row r="1244" spans="1:22" ht="14.4" thickTop="1" thickBot="1" x14ac:dyDescent="0.3">
      <c r="A1244" s="292"/>
      <c r="B1244" s="293" t="s">
        <v>2298</v>
      </c>
      <c r="C1244" s="294"/>
      <c r="D1244" s="294"/>
      <c r="E1244" s="294"/>
      <c r="F1244" s="310">
        <v>1.9630000000000001</v>
      </c>
      <c r="G1244" s="310">
        <v>0.22500000000000001</v>
      </c>
      <c r="H1244" s="310">
        <v>0.45</v>
      </c>
      <c r="I1244" s="295">
        <f t="shared" si="141"/>
        <v>0.19875375000000003</v>
      </c>
      <c r="J1244" s="295"/>
      <c r="K1244" s="300">
        <f t="shared" si="133"/>
        <v>1.1000000000000001</v>
      </c>
      <c r="L1244" s="300">
        <f t="shared" si="136"/>
        <v>0</v>
      </c>
      <c r="M1244" s="285">
        <f t="shared" si="137"/>
        <v>0</v>
      </c>
      <c r="N1244" s="1076">
        <f t="shared" si="138"/>
        <v>0</v>
      </c>
      <c r="O1244" s="294"/>
      <c r="P1244" s="404"/>
      <c r="Q1244" s="404"/>
      <c r="R1244" s="301"/>
      <c r="S1244" s="301"/>
      <c r="T1244" s="301"/>
      <c r="U1244" s="301"/>
      <c r="V1244" s="301"/>
    </row>
    <row r="1245" spans="1:22" ht="14.4" thickTop="1" thickBot="1" x14ac:dyDescent="0.3">
      <c r="A1245" s="292"/>
      <c r="B1245" s="293" t="s">
        <v>2299</v>
      </c>
      <c r="C1245" s="294"/>
      <c r="D1245" s="294"/>
      <c r="E1245" s="294"/>
      <c r="F1245" s="310">
        <v>17.734999999999999</v>
      </c>
      <c r="G1245" s="310">
        <v>0.3</v>
      </c>
      <c r="H1245" s="310">
        <v>0.5</v>
      </c>
      <c r="I1245" s="295">
        <f t="shared" si="141"/>
        <v>2.66025</v>
      </c>
      <c r="J1245" s="295"/>
      <c r="K1245" s="300">
        <f t="shared" si="133"/>
        <v>1.1000000000000001</v>
      </c>
      <c r="L1245" s="300">
        <f t="shared" si="136"/>
        <v>0</v>
      </c>
      <c r="M1245" s="285">
        <f t="shared" si="137"/>
        <v>0</v>
      </c>
      <c r="N1245" s="1076">
        <f t="shared" si="138"/>
        <v>0</v>
      </c>
      <c r="O1245" s="294"/>
      <c r="P1245" s="404"/>
      <c r="Q1245" s="404"/>
      <c r="R1245" s="301"/>
      <c r="S1245" s="301"/>
      <c r="T1245" s="301"/>
      <c r="U1245" s="301"/>
      <c r="V1245" s="301"/>
    </row>
    <row r="1246" spans="1:22" ht="14.4" thickTop="1" thickBot="1" x14ac:dyDescent="0.3">
      <c r="A1246" s="292"/>
      <c r="B1246" s="293" t="s">
        <v>2300</v>
      </c>
      <c r="C1246" s="294"/>
      <c r="D1246" s="294"/>
      <c r="E1246" s="294"/>
      <c r="F1246" s="310">
        <v>19.789000000000001</v>
      </c>
      <c r="G1246" s="310">
        <v>0.22500000000000001</v>
      </c>
      <c r="H1246" s="310">
        <v>0.45</v>
      </c>
      <c r="I1246" s="295">
        <f t="shared" si="141"/>
        <v>2.0036362500000005</v>
      </c>
      <c r="J1246" s="295"/>
      <c r="K1246" s="300">
        <f t="shared" si="133"/>
        <v>1.1000000000000001</v>
      </c>
      <c r="L1246" s="300">
        <f t="shared" si="136"/>
        <v>0</v>
      </c>
      <c r="M1246" s="285">
        <f t="shared" si="137"/>
        <v>0</v>
      </c>
      <c r="N1246" s="1076">
        <f t="shared" si="138"/>
        <v>0</v>
      </c>
      <c r="O1246" s="294"/>
      <c r="P1246" s="404"/>
      <c r="Q1246" s="404"/>
      <c r="R1246" s="301"/>
      <c r="S1246" s="301"/>
      <c r="T1246" s="301"/>
      <c r="U1246" s="301"/>
      <c r="V1246" s="301"/>
    </row>
    <row r="1247" spans="1:22" ht="14.4" thickTop="1" thickBot="1" x14ac:dyDescent="0.3">
      <c r="A1247" s="292"/>
      <c r="B1247" s="293" t="s">
        <v>2301</v>
      </c>
      <c r="C1247" s="294"/>
      <c r="D1247" s="294"/>
      <c r="E1247" s="294">
        <v>2</v>
      </c>
      <c r="F1247" s="310">
        <v>6.3250000000000002</v>
      </c>
      <c r="G1247" s="310">
        <v>0.22500000000000001</v>
      </c>
      <c r="H1247" s="310">
        <v>0.6</v>
      </c>
      <c r="I1247" s="295">
        <f>H1247*G1247*F1247*E1247</f>
        <v>1.7077500000000001</v>
      </c>
      <c r="J1247" s="295"/>
      <c r="K1247" s="300">
        <f t="shared" ref="K1247:K1254" si="142">$K$2</f>
        <v>1.1000000000000001</v>
      </c>
      <c r="L1247" s="300">
        <f t="shared" si="136"/>
        <v>0</v>
      </c>
      <c r="M1247" s="285">
        <f t="shared" si="137"/>
        <v>0</v>
      </c>
      <c r="N1247" s="1076">
        <f t="shared" si="138"/>
        <v>0</v>
      </c>
      <c r="O1247" s="294"/>
      <c r="P1247" s="404"/>
      <c r="Q1247" s="404"/>
      <c r="R1247" s="301"/>
      <c r="S1247" s="301"/>
      <c r="T1247" s="301"/>
      <c r="U1247" s="301"/>
      <c r="V1247" s="301"/>
    </row>
    <row r="1248" spans="1:22" ht="14.4" thickTop="1" thickBot="1" x14ac:dyDescent="0.3">
      <c r="A1248" s="292"/>
      <c r="B1248" s="293" t="s">
        <v>2302</v>
      </c>
      <c r="C1248" s="294"/>
      <c r="D1248" s="294"/>
      <c r="E1248" s="294"/>
      <c r="F1248" s="310">
        <v>19.677</v>
      </c>
      <c r="G1248" s="310">
        <v>0.3</v>
      </c>
      <c r="H1248" s="310">
        <v>0.6</v>
      </c>
      <c r="I1248" s="295">
        <f t="shared" si="141"/>
        <v>3.5418599999999998</v>
      </c>
      <c r="J1248" s="295"/>
      <c r="K1248" s="300">
        <f t="shared" si="142"/>
        <v>1.1000000000000001</v>
      </c>
      <c r="L1248" s="300">
        <f t="shared" si="136"/>
        <v>0</v>
      </c>
      <c r="M1248" s="285">
        <f t="shared" si="137"/>
        <v>0</v>
      </c>
      <c r="N1248" s="1076">
        <f t="shared" si="138"/>
        <v>0</v>
      </c>
      <c r="O1248" s="294"/>
      <c r="P1248" s="404"/>
      <c r="Q1248" s="404"/>
      <c r="R1248" s="301"/>
      <c r="S1248" s="301"/>
      <c r="T1248" s="301"/>
      <c r="U1248" s="301"/>
      <c r="V1248" s="301"/>
    </row>
    <row r="1249" spans="1:22" ht="14.4" thickTop="1" thickBot="1" x14ac:dyDescent="0.3">
      <c r="A1249" s="292"/>
      <c r="B1249" s="293" t="s">
        <v>2303</v>
      </c>
      <c r="C1249" s="294"/>
      <c r="D1249" s="294"/>
      <c r="E1249" s="294"/>
      <c r="F1249" s="310">
        <v>19.789000000000001</v>
      </c>
      <c r="G1249" s="310">
        <v>0.3</v>
      </c>
      <c r="H1249" s="310">
        <v>0.75</v>
      </c>
      <c r="I1249" s="295">
        <f t="shared" si="141"/>
        <v>4.4525249999999996</v>
      </c>
      <c r="J1249" s="295"/>
      <c r="K1249" s="300">
        <f t="shared" si="142"/>
        <v>1.1000000000000001</v>
      </c>
      <c r="L1249" s="300">
        <f t="shared" si="136"/>
        <v>0</v>
      </c>
      <c r="M1249" s="285">
        <f t="shared" si="137"/>
        <v>0</v>
      </c>
      <c r="N1249" s="1076">
        <f t="shared" si="138"/>
        <v>0</v>
      </c>
      <c r="O1249" s="294"/>
      <c r="P1249" s="404"/>
      <c r="Q1249" s="404"/>
      <c r="R1249" s="301"/>
      <c r="S1249" s="301"/>
      <c r="T1249" s="301"/>
      <c r="U1249" s="301"/>
      <c r="V1249" s="301"/>
    </row>
    <row r="1250" spans="1:22" ht="14.4" thickTop="1" thickBot="1" x14ac:dyDescent="0.3">
      <c r="A1250" s="292"/>
      <c r="B1250" s="293" t="s">
        <v>2304</v>
      </c>
      <c r="C1250" s="294"/>
      <c r="D1250" s="294"/>
      <c r="E1250" s="294"/>
      <c r="F1250" s="310">
        <v>6.2619999999999996</v>
      </c>
      <c r="G1250" s="310">
        <v>0.22500000000000001</v>
      </c>
      <c r="H1250" s="310">
        <v>0.45</v>
      </c>
      <c r="I1250" s="295">
        <f t="shared" si="141"/>
        <v>0.63402749999999997</v>
      </c>
      <c r="J1250" s="295"/>
      <c r="K1250" s="300">
        <f t="shared" si="142"/>
        <v>1.1000000000000001</v>
      </c>
      <c r="L1250" s="300">
        <f t="shared" si="136"/>
        <v>0</v>
      </c>
      <c r="M1250" s="285">
        <f t="shared" si="137"/>
        <v>0</v>
      </c>
      <c r="N1250" s="1076">
        <f t="shared" si="138"/>
        <v>0</v>
      </c>
      <c r="O1250" s="294"/>
      <c r="P1250" s="404"/>
      <c r="Q1250" s="404"/>
      <c r="R1250" s="301"/>
      <c r="S1250" s="301"/>
      <c r="T1250" s="301"/>
      <c r="U1250" s="301"/>
      <c r="V1250" s="301"/>
    </row>
    <row r="1251" spans="1:22" ht="14.4" thickTop="1" thickBot="1" x14ac:dyDescent="0.3">
      <c r="A1251" s="292"/>
      <c r="B1251" s="293" t="s">
        <v>2305</v>
      </c>
      <c r="C1251" s="294"/>
      <c r="D1251" s="294"/>
      <c r="E1251" s="294"/>
      <c r="F1251" s="310">
        <v>19.564</v>
      </c>
      <c r="G1251" s="310">
        <v>0.3</v>
      </c>
      <c r="H1251" s="310">
        <v>0.6</v>
      </c>
      <c r="I1251" s="295">
        <f t="shared" si="141"/>
        <v>3.5215199999999998</v>
      </c>
      <c r="J1251" s="295"/>
      <c r="K1251" s="300">
        <f t="shared" si="142"/>
        <v>1.1000000000000001</v>
      </c>
      <c r="L1251" s="300">
        <f t="shared" si="136"/>
        <v>0</v>
      </c>
      <c r="M1251" s="285">
        <f t="shared" si="137"/>
        <v>0</v>
      </c>
      <c r="N1251" s="1076">
        <f t="shared" si="138"/>
        <v>0</v>
      </c>
      <c r="O1251" s="294"/>
      <c r="P1251" s="404"/>
      <c r="Q1251" s="404"/>
      <c r="R1251" s="301"/>
      <c r="S1251" s="301"/>
      <c r="T1251" s="301"/>
      <c r="U1251" s="301"/>
      <c r="V1251" s="301"/>
    </row>
    <row r="1252" spans="1:22" ht="14.4" thickTop="1" thickBot="1" x14ac:dyDescent="0.3">
      <c r="A1252" s="292"/>
      <c r="B1252" s="293" t="s">
        <v>2306</v>
      </c>
      <c r="C1252" s="294"/>
      <c r="D1252" s="294"/>
      <c r="E1252" s="294"/>
      <c r="F1252" s="310">
        <v>19.789000000000001</v>
      </c>
      <c r="G1252" s="310">
        <v>0.3</v>
      </c>
      <c r="H1252" s="310">
        <v>0.6</v>
      </c>
      <c r="I1252" s="295">
        <f t="shared" si="141"/>
        <v>3.56202</v>
      </c>
      <c r="J1252" s="295"/>
      <c r="K1252" s="300">
        <f t="shared" si="142"/>
        <v>1.1000000000000001</v>
      </c>
      <c r="L1252" s="300">
        <f t="shared" si="136"/>
        <v>0</v>
      </c>
      <c r="M1252" s="285">
        <f t="shared" si="137"/>
        <v>0</v>
      </c>
      <c r="N1252" s="1076">
        <f t="shared" si="138"/>
        <v>0</v>
      </c>
      <c r="O1252" s="294"/>
      <c r="P1252" s="404"/>
      <c r="Q1252" s="404"/>
      <c r="R1252" s="301"/>
      <c r="S1252" s="301"/>
      <c r="T1252" s="301"/>
      <c r="U1252" s="301"/>
      <c r="V1252" s="301"/>
    </row>
    <row r="1253" spans="1:22" ht="14.4" thickTop="1" thickBot="1" x14ac:dyDescent="0.3">
      <c r="A1253" s="292"/>
      <c r="B1253" s="293" t="s">
        <v>2307</v>
      </c>
      <c r="C1253" s="294"/>
      <c r="D1253" s="294"/>
      <c r="E1253" s="294"/>
      <c r="F1253" s="310">
        <v>19.789000000000001</v>
      </c>
      <c r="G1253" s="310">
        <v>0.3</v>
      </c>
      <c r="H1253" s="310">
        <v>0.6</v>
      </c>
      <c r="I1253" s="295">
        <f t="shared" si="141"/>
        <v>3.56202</v>
      </c>
      <c r="J1253" s="295"/>
      <c r="K1253" s="300">
        <f t="shared" si="142"/>
        <v>1.1000000000000001</v>
      </c>
      <c r="L1253" s="300">
        <f t="shared" si="136"/>
        <v>0</v>
      </c>
      <c r="M1253" s="285">
        <f t="shared" si="137"/>
        <v>0</v>
      </c>
      <c r="N1253" s="1076">
        <f t="shared" si="138"/>
        <v>0</v>
      </c>
      <c r="O1253" s="294"/>
      <c r="P1253" s="404"/>
      <c r="Q1253" s="404"/>
      <c r="R1253" s="301"/>
      <c r="S1253" s="301"/>
      <c r="T1253" s="301"/>
      <c r="U1253" s="301"/>
      <c r="V1253" s="301"/>
    </row>
    <row r="1254" spans="1:22" ht="14.4" thickTop="1" thickBot="1" x14ac:dyDescent="0.3">
      <c r="A1254" s="292"/>
      <c r="B1254" s="293" t="s">
        <v>2308</v>
      </c>
      <c r="C1254" s="294"/>
      <c r="D1254" s="294"/>
      <c r="E1254" s="294"/>
      <c r="F1254" s="310">
        <v>19.789000000000001</v>
      </c>
      <c r="G1254" s="310">
        <v>0.3</v>
      </c>
      <c r="H1254" s="310">
        <v>0.6</v>
      </c>
      <c r="I1254" s="295">
        <f t="shared" si="141"/>
        <v>3.56202</v>
      </c>
      <c r="J1254" s="295"/>
      <c r="K1254" s="300">
        <f t="shared" si="142"/>
        <v>1.1000000000000001</v>
      </c>
      <c r="L1254" s="300">
        <f t="shared" si="136"/>
        <v>0</v>
      </c>
      <c r="M1254" s="285">
        <f t="shared" si="137"/>
        <v>0</v>
      </c>
      <c r="N1254" s="1076">
        <f t="shared" si="138"/>
        <v>0</v>
      </c>
      <c r="O1254" s="294"/>
      <c r="P1254" s="404"/>
      <c r="Q1254" s="404"/>
      <c r="R1254" s="301"/>
      <c r="S1254" s="301"/>
      <c r="T1254" s="301"/>
      <c r="U1254" s="301"/>
      <c r="V1254" s="301"/>
    </row>
    <row r="1255" spans="1:22" ht="14.4" thickTop="1" thickBot="1" x14ac:dyDescent="0.3">
      <c r="A1255" s="292"/>
      <c r="B1255" s="293" t="s">
        <v>2309</v>
      </c>
      <c r="C1255" s="294"/>
      <c r="D1255" s="294"/>
      <c r="E1255" s="294"/>
      <c r="F1255" s="310">
        <v>19.789000000000001</v>
      </c>
      <c r="G1255" s="310">
        <v>0.3</v>
      </c>
      <c r="H1255" s="310">
        <v>0.45</v>
      </c>
      <c r="I1255" s="295">
        <f t="shared" si="141"/>
        <v>2.6715150000000003</v>
      </c>
      <c r="J1255" s="295">
        <f>SUM(I1222:I1255)</f>
        <v>94.35113625000001</v>
      </c>
      <c r="K1255" s="300">
        <v>1.1000000000000001</v>
      </c>
      <c r="L1255" s="300">
        <f t="shared" si="136"/>
        <v>103.78624987500002</v>
      </c>
      <c r="M1255" s="285">
        <f t="shared" si="137"/>
        <v>103.8</v>
      </c>
      <c r="N1255" s="1076">
        <f t="shared" si="138"/>
        <v>104</v>
      </c>
      <c r="O1255" s="294"/>
      <c r="P1255" s="413">
        <f>N1255-J1255</f>
        <v>9.6488637499999896</v>
      </c>
      <c r="Q1255" s="404"/>
      <c r="R1255" s="301"/>
      <c r="S1255" s="301"/>
      <c r="T1255" s="301"/>
      <c r="U1255" s="301"/>
      <c r="V1255" s="301"/>
    </row>
    <row r="1256" spans="1:22" ht="14.4" thickTop="1" thickBot="1" x14ac:dyDescent="0.3">
      <c r="A1256" s="292"/>
      <c r="B1256" s="293"/>
      <c r="C1256" s="294"/>
      <c r="D1256" s="294"/>
      <c r="E1256" s="294"/>
      <c r="F1256" s="310"/>
      <c r="G1256" s="310"/>
      <c r="H1256" s="310"/>
      <c r="I1256" s="295"/>
      <c r="J1256" s="295"/>
      <c r="K1256" s="300">
        <f t="shared" ref="K1256:K1319" si="143">$K$2</f>
        <v>1.1000000000000001</v>
      </c>
      <c r="L1256" s="300">
        <f t="shared" si="136"/>
        <v>0</v>
      </c>
      <c r="M1256" s="285">
        <f t="shared" si="137"/>
        <v>0</v>
      </c>
      <c r="N1256" s="1076">
        <f t="shared" si="138"/>
        <v>0</v>
      </c>
      <c r="O1256" s="294"/>
      <c r="P1256" s="404"/>
      <c r="Q1256" s="404"/>
      <c r="R1256" s="301"/>
      <c r="S1256" s="301"/>
      <c r="T1256" s="301"/>
      <c r="U1256" s="301"/>
      <c r="V1256" s="301"/>
    </row>
    <row r="1257" spans="1:22" ht="14.4" thickTop="1" thickBot="1" x14ac:dyDescent="0.3">
      <c r="A1257" s="292"/>
      <c r="B1257" s="293" t="s">
        <v>2310</v>
      </c>
      <c r="C1257" s="294"/>
      <c r="D1257" s="294"/>
      <c r="E1257" s="294"/>
      <c r="F1257" s="310"/>
      <c r="G1257" s="310"/>
      <c r="H1257" s="310"/>
      <c r="I1257" s="295"/>
      <c r="J1257" s="295"/>
      <c r="K1257" s="300">
        <f t="shared" si="143"/>
        <v>1.1000000000000001</v>
      </c>
      <c r="L1257" s="300">
        <f t="shared" si="136"/>
        <v>0</v>
      </c>
      <c r="M1257" s="285">
        <f t="shared" si="137"/>
        <v>0</v>
      </c>
      <c r="N1257" s="1076">
        <f t="shared" si="138"/>
        <v>0</v>
      </c>
      <c r="O1257" s="294"/>
      <c r="P1257" s="404"/>
      <c r="Q1257" s="404"/>
      <c r="R1257" s="301"/>
      <c r="S1257" s="301"/>
      <c r="T1257" s="301"/>
      <c r="U1257" s="301"/>
      <c r="V1257" s="301"/>
    </row>
    <row r="1258" spans="1:22" ht="14.4" thickTop="1" thickBot="1" x14ac:dyDescent="0.3">
      <c r="A1258" s="292"/>
      <c r="B1258" s="293" t="s">
        <v>2276</v>
      </c>
      <c r="C1258" s="294"/>
      <c r="D1258" s="294"/>
      <c r="E1258" s="294"/>
      <c r="F1258" s="310">
        <v>59.54</v>
      </c>
      <c r="G1258" s="310"/>
      <c r="H1258" s="310">
        <f>G1222+H1222+H1222</f>
        <v>1.125</v>
      </c>
      <c r="I1258" s="295">
        <f>H1258*F1258</f>
        <v>66.982500000000002</v>
      </c>
      <c r="J1258" s="295"/>
      <c r="K1258" s="300">
        <f t="shared" si="143"/>
        <v>1.1000000000000001</v>
      </c>
      <c r="L1258" s="300">
        <f t="shared" ref="L1258:L1321" si="144">K1258*J1258</f>
        <v>0</v>
      </c>
      <c r="M1258" s="285">
        <f t="shared" ref="M1258:M1321" si="145">ROUND(L1258,1)</f>
        <v>0</v>
      </c>
      <c r="N1258" s="1076">
        <f t="shared" ref="N1258:N1321" si="146">ROUNDUP(M1258,0)</f>
        <v>0</v>
      </c>
      <c r="O1258" s="294"/>
      <c r="P1258" s="404"/>
      <c r="Q1258" s="404"/>
      <c r="R1258" s="301"/>
      <c r="S1258" s="301"/>
      <c r="T1258" s="301"/>
      <c r="U1258" s="301"/>
      <c r="V1258" s="301"/>
    </row>
    <row r="1259" spans="1:22" ht="14.4" thickTop="1" thickBot="1" x14ac:dyDescent="0.3">
      <c r="A1259" s="292"/>
      <c r="B1259" s="293" t="s">
        <v>2277</v>
      </c>
      <c r="C1259" s="294"/>
      <c r="D1259" s="294"/>
      <c r="E1259" s="294"/>
      <c r="F1259" s="310">
        <v>59.54</v>
      </c>
      <c r="G1259" s="310"/>
      <c r="H1259" s="310">
        <f t="shared" ref="H1259:H1291" si="147">G1223+H1223+H1223</f>
        <v>1.2</v>
      </c>
      <c r="I1259" s="295">
        <f t="shared" ref="I1259:I1291" si="148">H1259*F1259</f>
        <v>71.447999999999993</v>
      </c>
      <c r="J1259" s="295"/>
      <c r="K1259" s="300">
        <f t="shared" si="143"/>
        <v>1.1000000000000001</v>
      </c>
      <c r="L1259" s="300">
        <f t="shared" si="144"/>
        <v>0</v>
      </c>
      <c r="M1259" s="285">
        <f t="shared" si="145"/>
        <v>0</v>
      </c>
      <c r="N1259" s="1076">
        <f t="shared" si="146"/>
        <v>0</v>
      </c>
      <c r="O1259" s="294"/>
      <c r="P1259" s="404"/>
      <c r="Q1259" s="404"/>
      <c r="R1259" s="301"/>
      <c r="S1259" s="301"/>
      <c r="T1259" s="301"/>
      <c r="U1259" s="301"/>
      <c r="V1259" s="301"/>
    </row>
    <row r="1260" spans="1:22" ht="14.4" thickTop="1" thickBot="1" x14ac:dyDescent="0.3">
      <c r="A1260" s="292"/>
      <c r="B1260" s="293" t="s">
        <v>2278</v>
      </c>
      <c r="C1260" s="294"/>
      <c r="D1260" s="294"/>
      <c r="E1260" s="294"/>
      <c r="F1260" s="310">
        <v>17.937999999999999</v>
      </c>
      <c r="G1260" s="310"/>
      <c r="H1260" s="310">
        <f t="shared" si="147"/>
        <v>1.2</v>
      </c>
      <c r="I1260" s="295">
        <f t="shared" si="148"/>
        <v>21.525599999999997</v>
      </c>
      <c r="J1260" s="295"/>
      <c r="K1260" s="300">
        <f t="shared" si="143"/>
        <v>1.1000000000000001</v>
      </c>
      <c r="L1260" s="300">
        <f t="shared" si="144"/>
        <v>0</v>
      </c>
      <c r="M1260" s="285">
        <f t="shared" si="145"/>
        <v>0</v>
      </c>
      <c r="N1260" s="1076">
        <f t="shared" si="146"/>
        <v>0</v>
      </c>
      <c r="O1260" s="294"/>
      <c r="P1260" s="404"/>
      <c r="Q1260" s="404"/>
      <c r="R1260" s="301"/>
      <c r="S1260" s="301"/>
      <c r="T1260" s="301"/>
      <c r="U1260" s="301"/>
      <c r="V1260" s="301"/>
    </row>
    <row r="1261" spans="1:22" ht="14.4" thickTop="1" thickBot="1" x14ac:dyDescent="0.3">
      <c r="A1261" s="292"/>
      <c r="B1261" s="293" t="s">
        <v>2279</v>
      </c>
      <c r="C1261" s="294"/>
      <c r="D1261" s="294"/>
      <c r="E1261" s="294"/>
      <c r="F1261" s="310">
        <v>9.6489999999999991</v>
      </c>
      <c r="G1261" s="310"/>
      <c r="H1261" s="310">
        <f t="shared" si="147"/>
        <v>1.125</v>
      </c>
      <c r="I1261" s="295">
        <f t="shared" si="148"/>
        <v>10.855124999999999</v>
      </c>
      <c r="J1261" s="295"/>
      <c r="K1261" s="300">
        <f t="shared" si="143"/>
        <v>1.1000000000000001</v>
      </c>
      <c r="L1261" s="300">
        <f t="shared" si="144"/>
        <v>0</v>
      </c>
      <c r="M1261" s="285">
        <f t="shared" si="145"/>
        <v>0</v>
      </c>
      <c r="N1261" s="1076">
        <f t="shared" si="146"/>
        <v>0</v>
      </c>
      <c r="O1261" s="294"/>
      <c r="P1261" s="404"/>
      <c r="Q1261" s="404"/>
      <c r="R1261" s="301"/>
      <c r="S1261" s="301"/>
      <c r="T1261" s="301"/>
      <c r="U1261" s="301"/>
      <c r="V1261" s="301"/>
    </row>
    <row r="1262" spans="1:22" ht="14.4" thickTop="1" thickBot="1" x14ac:dyDescent="0.3">
      <c r="A1262" s="292"/>
      <c r="B1262" s="293" t="s">
        <v>2280</v>
      </c>
      <c r="C1262" s="294"/>
      <c r="D1262" s="294"/>
      <c r="E1262" s="294"/>
      <c r="F1262" s="310">
        <v>19.876000000000001</v>
      </c>
      <c r="G1262" s="310"/>
      <c r="H1262" s="310">
        <f t="shared" si="147"/>
        <v>1.125</v>
      </c>
      <c r="I1262" s="295">
        <f t="shared" si="148"/>
        <v>22.360500000000002</v>
      </c>
      <c r="J1262" s="295"/>
      <c r="K1262" s="300">
        <f t="shared" si="143"/>
        <v>1.1000000000000001</v>
      </c>
      <c r="L1262" s="300">
        <f t="shared" si="144"/>
        <v>0</v>
      </c>
      <c r="M1262" s="285">
        <f t="shared" si="145"/>
        <v>0</v>
      </c>
      <c r="N1262" s="1076">
        <f t="shared" si="146"/>
        <v>0</v>
      </c>
      <c r="O1262" s="294"/>
      <c r="P1262" s="404"/>
      <c r="Q1262" s="404"/>
      <c r="R1262" s="301"/>
      <c r="S1262" s="301"/>
      <c r="T1262" s="301"/>
      <c r="U1262" s="301"/>
      <c r="V1262" s="301"/>
    </row>
    <row r="1263" spans="1:22" ht="14.4" thickTop="1" thickBot="1" x14ac:dyDescent="0.3">
      <c r="A1263" s="292"/>
      <c r="B1263" s="293" t="s">
        <v>2281</v>
      </c>
      <c r="C1263" s="294"/>
      <c r="D1263" s="294"/>
      <c r="E1263" s="294"/>
      <c r="F1263" s="310">
        <v>23.738</v>
      </c>
      <c r="G1263" s="310"/>
      <c r="H1263" s="310">
        <f t="shared" si="147"/>
        <v>1.2</v>
      </c>
      <c r="I1263" s="295">
        <f t="shared" si="148"/>
        <v>28.485599999999998</v>
      </c>
      <c r="J1263" s="295"/>
      <c r="K1263" s="300">
        <f t="shared" si="143"/>
        <v>1.1000000000000001</v>
      </c>
      <c r="L1263" s="300">
        <f t="shared" si="144"/>
        <v>0</v>
      </c>
      <c r="M1263" s="285">
        <f t="shared" si="145"/>
        <v>0</v>
      </c>
      <c r="N1263" s="1076">
        <f t="shared" si="146"/>
        <v>0</v>
      </c>
      <c r="O1263" s="294"/>
      <c r="P1263" s="404"/>
      <c r="Q1263" s="404"/>
      <c r="R1263" s="301"/>
      <c r="S1263" s="301"/>
      <c r="T1263" s="301"/>
      <c r="U1263" s="301"/>
      <c r="V1263" s="301"/>
    </row>
    <row r="1264" spans="1:22" ht="14.4" thickTop="1" thickBot="1" x14ac:dyDescent="0.3">
      <c r="A1264" s="292"/>
      <c r="B1264" s="293" t="s">
        <v>2282</v>
      </c>
      <c r="C1264" s="294"/>
      <c r="D1264" s="294"/>
      <c r="E1264" s="294"/>
      <c r="F1264" s="310">
        <v>33.24</v>
      </c>
      <c r="G1264" s="310"/>
      <c r="H1264" s="310">
        <f t="shared" si="147"/>
        <v>1.2</v>
      </c>
      <c r="I1264" s="295">
        <f t="shared" si="148"/>
        <v>39.887999999999998</v>
      </c>
      <c r="J1264" s="295"/>
      <c r="K1264" s="300">
        <f t="shared" si="143"/>
        <v>1.1000000000000001</v>
      </c>
      <c r="L1264" s="300">
        <f t="shared" si="144"/>
        <v>0</v>
      </c>
      <c r="M1264" s="285">
        <f t="shared" si="145"/>
        <v>0</v>
      </c>
      <c r="N1264" s="1076">
        <f t="shared" si="146"/>
        <v>0</v>
      </c>
      <c r="O1264" s="294"/>
      <c r="P1264" s="404"/>
      <c r="Q1264" s="404"/>
      <c r="R1264" s="301"/>
      <c r="S1264" s="301"/>
      <c r="T1264" s="301"/>
      <c r="U1264" s="301"/>
      <c r="V1264" s="301"/>
    </row>
    <row r="1265" spans="1:22" ht="14.4" thickTop="1" thickBot="1" x14ac:dyDescent="0.3">
      <c r="A1265" s="292"/>
      <c r="B1265" s="293" t="s">
        <v>2283</v>
      </c>
      <c r="C1265" s="294"/>
      <c r="D1265" s="294"/>
      <c r="E1265" s="294"/>
      <c r="F1265" s="310">
        <v>25.286999999999999</v>
      </c>
      <c r="G1265" s="310"/>
      <c r="H1265" s="310">
        <f t="shared" si="147"/>
        <v>1.125</v>
      </c>
      <c r="I1265" s="295">
        <f t="shared" si="148"/>
        <v>28.447875</v>
      </c>
      <c r="J1265" s="295"/>
      <c r="K1265" s="300">
        <f t="shared" si="143"/>
        <v>1.1000000000000001</v>
      </c>
      <c r="L1265" s="300">
        <f t="shared" si="144"/>
        <v>0</v>
      </c>
      <c r="M1265" s="285">
        <f t="shared" si="145"/>
        <v>0</v>
      </c>
      <c r="N1265" s="1076">
        <f t="shared" si="146"/>
        <v>0</v>
      </c>
      <c r="O1265" s="294"/>
      <c r="P1265" s="404"/>
      <c r="Q1265" s="404"/>
      <c r="R1265" s="301"/>
      <c r="S1265" s="301"/>
      <c r="T1265" s="301"/>
      <c r="U1265" s="301"/>
      <c r="V1265" s="301"/>
    </row>
    <row r="1266" spans="1:22" ht="14.4" thickTop="1" thickBot="1" x14ac:dyDescent="0.3">
      <c r="A1266" s="292"/>
      <c r="B1266" s="293" t="s">
        <v>2284</v>
      </c>
      <c r="C1266" s="294"/>
      <c r="D1266" s="294"/>
      <c r="E1266" s="294"/>
      <c r="F1266" s="310">
        <v>31.509</v>
      </c>
      <c r="G1266" s="310"/>
      <c r="H1266" s="310">
        <f t="shared" si="147"/>
        <v>1.125</v>
      </c>
      <c r="I1266" s="295">
        <f t="shared" si="148"/>
        <v>35.447625000000002</v>
      </c>
      <c r="J1266" s="295"/>
      <c r="K1266" s="300">
        <f t="shared" si="143"/>
        <v>1.1000000000000001</v>
      </c>
      <c r="L1266" s="300">
        <f t="shared" si="144"/>
        <v>0</v>
      </c>
      <c r="M1266" s="285">
        <f t="shared" si="145"/>
        <v>0</v>
      </c>
      <c r="N1266" s="1076">
        <f t="shared" si="146"/>
        <v>0</v>
      </c>
      <c r="O1266" s="294"/>
      <c r="P1266" s="404"/>
      <c r="Q1266" s="404"/>
      <c r="R1266" s="301"/>
      <c r="S1266" s="301"/>
      <c r="T1266" s="301"/>
      <c r="U1266" s="301"/>
      <c r="V1266" s="301"/>
    </row>
    <row r="1267" spans="1:22" ht="14.4" thickTop="1" thickBot="1" x14ac:dyDescent="0.3">
      <c r="A1267" s="292"/>
      <c r="B1267" s="293" t="s">
        <v>2285</v>
      </c>
      <c r="C1267" s="294"/>
      <c r="D1267" s="294"/>
      <c r="E1267" s="294"/>
      <c r="F1267" s="310">
        <v>27.888000000000002</v>
      </c>
      <c r="G1267" s="310"/>
      <c r="H1267" s="310">
        <f t="shared" si="147"/>
        <v>1.2</v>
      </c>
      <c r="I1267" s="295">
        <f t="shared" si="148"/>
        <v>33.465600000000002</v>
      </c>
      <c r="J1267" s="295"/>
      <c r="K1267" s="300">
        <f t="shared" si="143"/>
        <v>1.1000000000000001</v>
      </c>
      <c r="L1267" s="300">
        <f t="shared" si="144"/>
        <v>0</v>
      </c>
      <c r="M1267" s="285">
        <f t="shared" si="145"/>
        <v>0</v>
      </c>
      <c r="N1267" s="1076">
        <f t="shared" si="146"/>
        <v>0</v>
      </c>
      <c r="O1267" s="294"/>
      <c r="P1267" s="404"/>
      <c r="Q1267" s="404"/>
      <c r="R1267" s="301"/>
      <c r="S1267" s="301"/>
      <c r="T1267" s="301"/>
      <c r="U1267" s="301"/>
      <c r="V1267" s="301"/>
    </row>
    <row r="1268" spans="1:22" ht="14.4" thickTop="1" thickBot="1" x14ac:dyDescent="0.3">
      <c r="A1268" s="292"/>
      <c r="B1268" s="293" t="s">
        <v>2286</v>
      </c>
      <c r="C1268" s="294"/>
      <c r="D1268" s="294"/>
      <c r="E1268" s="294"/>
      <c r="F1268" s="310">
        <v>31.582999999999998</v>
      </c>
      <c r="G1268" s="310"/>
      <c r="H1268" s="310">
        <f t="shared" si="147"/>
        <v>1.2</v>
      </c>
      <c r="I1268" s="295">
        <f t="shared" si="148"/>
        <v>37.8996</v>
      </c>
      <c r="J1268" s="295"/>
      <c r="K1268" s="300">
        <f t="shared" si="143"/>
        <v>1.1000000000000001</v>
      </c>
      <c r="L1268" s="300">
        <f t="shared" si="144"/>
        <v>0</v>
      </c>
      <c r="M1268" s="285">
        <f t="shared" si="145"/>
        <v>0</v>
      </c>
      <c r="N1268" s="1076">
        <f t="shared" si="146"/>
        <v>0</v>
      </c>
      <c r="O1268" s="294"/>
      <c r="P1268" s="404"/>
      <c r="Q1268" s="404"/>
      <c r="R1268" s="301"/>
      <c r="S1268" s="301"/>
      <c r="T1268" s="301"/>
      <c r="U1268" s="301"/>
      <c r="V1268" s="301"/>
    </row>
    <row r="1269" spans="1:22" ht="14.4" thickTop="1" thickBot="1" x14ac:dyDescent="0.3">
      <c r="A1269" s="292"/>
      <c r="B1269" s="293" t="s">
        <v>2287</v>
      </c>
      <c r="C1269" s="294"/>
      <c r="D1269" s="294"/>
      <c r="E1269" s="294"/>
      <c r="F1269" s="310">
        <v>7.25</v>
      </c>
      <c r="G1269" s="310"/>
      <c r="H1269" s="310">
        <f t="shared" si="147"/>
        <v>1.125</v>
      </c>
      <c r="I1269" s="295">
        <f t="shared" si="148"/>
        <v>8.15625</v>
      </c>
      <c r="J1269" s="295"/>
      <c r="K1269" s="300">
        <f t="shared" si="143"/>
        <v>1.1000000000000001</v>
      </c>
      <c r="L1269" s="300">
        <f t="shared" si="144"/>
        <v>0</v>
      </c>
      <c r="M1269" s="285">
        <f t="shared" si="145"/>
        <v>0</v>
      </c>
      <c r="N1269" s="1076">
        <f t="shared" si="146"/>
        <v>0</v>
      </c>
      <c r="O1269" s="294"/>
      <c r="P1269" s="404"/>
      <c r="Q1269" s="404"/>
      <c r="R1269" s="301"/>
      <c r="S1269" s="301"/>
      <c r="T1269" s="301"/>
      <c r="U1269" s="301"/>
      <c r="V1269" s="301"/>
    </row>
    <row r="1270" spans="1:22" ht="14.4" thickTop="1" thickBot="1" x14ac:dyDescent="0.3">
      <c r="A1270" s="292"/>
      <c r="B1270" s="293" t="s">
        <v>2288</v>
      </c>
      <c r="C1270" s="294"/>
      <c r="D1270" s="294"/>
      <c r="E1270" s="294"/>
      <c r="F1270" s="310">
        <v>20.413</v>
      </c>
      <c r="G1270" s="310"/>
      <c r="H1270" s="310">
        <f t="shared" si="147"/>
        <v>1.4249999999999998</v>
      </c>
      <c r="I1270" s="295">
        <f t="shared" si="148"/>
        <v>29.088524999999997</v>
      </c>
      <c r="J1270" s="295"/>
      <c r="K1270" s="300">
        <f t="shared" si="143"/>
        <v>1.1000000000000001</v>
      </c>
      <c r="L1270" s="300">
        <f t="shared" si="144"/>
        <v>0</v>
      </c>
      <c r="M1270" s="285">
        <f t="shared" si="145"/>
        <v>0</v>
      </c>
      <c r="N1270" s="1076">
        <f t="shared" si="146"/>
        <v>0</v>
      </c>
      <c r="O1270" s="294"/>
      <c r="P1270" s="404"/>
      <c r="Q1270" s="404"/>
      <c r="R1270" s="301"/>
      <c r="S1270" s="301"/>
      <c r="T1270" s="301"/>
      <c r="U1270" s="301"/>
      <c r="V1270" s="301"/>
    </row>
    <row r="1271" spans="1:22" ht="14.4" thickTop="1" thickBot="1" x14ac:dyDescent="0.3">
      <c r="A1271" s="292"/>
      <c r="B1271" s="293" t="s">
        <v>2289</v>
      </c>
      <c r="C1271" s="294"/>
      <c r="D1271" s="294"/>
      <c r="E1271" s="294"/>
      <c r="F1271" s="310">
        <v>31.734000000000002</v>
      </c>
      <c r="G1271" s="310"/>
      <c r="H1271" s="310">
        <f t="shared" si="147"/>
        <v>1.4249999999999998</v>
      </c>
      <c r="I1271" s="295">
        <f t="shared" si="148"/>
        <v>45.220949999999995</v>
      </c>
      <c r="J1271" s="295"/>
      <c r="K1271" s="300">
        <f t="shared" si="143"/>
        <v>1.1000000000000001</v>
      </c>
      <c r="L1271" s="300">
        <f t="shared" si="144"/>
        <v>0</v>
      </c>
      <c r="M1271" s="285">
        <f t="shared" si="145"/>
        <v>0</v>
      </c>
      <c r="N1271" s="1076">
        <f t="shared" si="146"/>
        <v>0</v>
      </c>
      <c r="O1271" s="294"/>
      <c r="P1271" s="404"/>
      <c r="Q1271" s="404"/>
      <c r="R1271" s="301"/>
      <c r="S1271" s="301"/>
      <c r="T1271" s="301"/>
      <c r="U1271" s="301"/>
      <c r="V1271" s="301"/>
    </row>
    <row r="1272" spans="1:22" ht="14.4" thickTop="1" thickBot="1" x14ac:dyDescent="0.3">
      <c r="A1272" s="292"/>
      <c r="B1272" s="293" t="s">
        <v>2290</v>
      </c>
      <c r="C1272" s="294"/>
      <c r="D1272" s="294"/>
      <c r="E1272" s="294"/>
      <c r="F1272" s="310">
        <v>6.0380000000000003</v>
      </c>
      <c r="G1272" s="310"/>
      <c r="H1272" s="310">
        <f t="shared" si="147"/>
        <v>1.125</v>
      </c>
      <c r="I1272" s="295">
        <f t="shared" si="148"/>
        <v>6.7927499999999998</v>
      </c>
      <c r="J1272" s="295"/>
      <c r="K1272" s="300">
        <f t="shared" si="143"/>
        <v>1.1000000000000001</v>
      </c>
      <c r="L1272" s="300">
        <f t="shared" si="144"/>
        <v>0</v>
      </c>
      <c r="M1272" s="285">
        <f t="shared" si="145"/>
        <v>0</v>
      </c>
      <c r="N1272" s="1076">
        <f t="shared" si="146"/>
        <v>0</v>
      </c>
      <c r="O1272" s="294"/>
      <c r="P1272" s="404"/>
      <c r="Q1272" s="404"/>
      <c r="R1272" s="301"/>
      <c r="S1272" s="301"/>
      <c r="T1272" s="301"/>
      <c r="U1272" s="301"/>
      <c r="V1272" s="301"/>
    </row>
    <row r="1273" spans="1:22" ht="14.4" thickTop="1" thickBot="1" x14ac:dyDescent="0.3">
      <c r="A1273" s="292"/>
      <c r="B1273" s="293" t="s">
        <v>2291</v>
      </c>
      <c r="C1273" s="294"/>
      <c r="D1273" s="294"/>
      <c r="E1273" s="294"/>
      <c r="F1273" s="310">
        <v>4.2699999999999996</v>
      </c>
      <c r="G1273" s="310"/>
      <c r="H1273" s="310">
        <f t="shared" si="147"/>
        <v>1.125</v>
      </c>
      <c r="I1273" s="295">
        <f t="shared" si="148"/>
        <v>4.8037499999999991</v>
      </c>
      <c r="J1273" s="295"/>
      <c r="K1273" s="300">
        <f t="shared" si="143"/>
        <v>1.1000000000000001</v>
      </c>
      <c r="L1273" s="300">
        <f t="shared" si="144"/>
        <v>0</v>
      </c>
      <c r="M1273" s="285">
        <f t="shared" si="145"/>
        <v>0</v>
      </c>
      <c r="N1273" s="1076">
        <f t="shared" si="146"/>
        <v>0</v>
      </c>
      <c r="O1273" s="294"/>
      <c r="P1273" s="404"/>
      <c r="Q1273" s="404"/>
      <c r="R1273" s="301"/>
      <c r="S1273" s="301"/>
      <c r="T1273" s="301"/>
      <c r="U1273" s="301"/>
      <c r="V1273" s="301"/>
    </row>
    <row r="1274" spans="1:22" ht="14.4" thickTop="1" thickBot="1" x14ac:dyDescent="0.3">
      <c r="A1274" s="292"/>
      <c r="B1274" s="293" t="s">
        <v>2292</v>
      </c>
      <c r="C1274" s="294"/>
      <c r="D1274" s="294"/>
      <c r="E1274" s="294"/>
      <c r="F1274" s="310">
        <v>14.975</v>
      </c>
      <c r="G1274" s="310"/>
      <c r="H1274" s="310">
        <f t="shared" si="147"/>
        <v>1.2</v>
      </c>
      <c r="I1274" s="295">
        <f t="shared" si="148"/>
        <v>17.97</v>
      </c>
      <c r="J1274" s="295"/>
      <c r="K1274" s="300">
        <f t="shared" si="143"/>
        <v>1.1000000000000001</v>
      </c>
      <c r="L1274" s="300">
        <f t="shared" si="144"/>
        <v>0</v>
      </c>
      <c r="M1274" s="285">
        <f t="shared" si="145"/>
        <v>0</v>
      </c>
      <c r="N1274" s="1076">
        <f t="shared" si="146"/>
        <v>0</v>
      </c>
      <c r="O1274" s="294"/>
      <c r="P1274" s="404"/>
      <c r="Q1274" s="404"/>
      <c r="R1274" s="301"/>
      <c r="S1274" s="301"/>
      <c r="T1274" s="301"/>
      <c r="U1274" s="301"/>
      <c r="V1274" s="301"/>
    </row>
    <row r="1275" spans="1:22" ht="14.4" thickTop="1" thickBot="1" x14ac:dyDescent="0.3">
      <c r="A1275" s="292"/>
      <c r="B1275" s="293" t="s">
        <v>2293</v>
      </c>
      <c r="C1275" s="294"/>
      <c r="D1275" s="294"/>
      <c r="E1275" s="294"/>
      <c r="F1275" s="310">
        <v>14.686999999999999</v>
      </c>
      <c r="G1275" s="310"/>
      <c r="H1275" s="310">
        <f t="shared" si="147"/>
        <v>1.2</v>
      </c>
      <c r="I1275" s="295">
        <f t="shared" si="148"/>
        <v>17.624399999999998</v>
      </c>
      <c r="J1275" s="295"/>
      <c r="K1275" s="300">
        <f t="shared" si="143"/>
        <v>1.1000000000000001</v>
      </c>
      <c r="L1275" s="300">
        <f t="shared" si="144"/>
        <v>0</v>
      </c>
      <c r="M1275" s="285">
        <f t="shared" si="145"/>
        <v>0</v>
      </c>
      <c r="N1275" s="1076">
        <f t="shared" si="146"/>
        <v>0</v>
      </c>
      <c r="O1275" s="294"/>
      <c r="P1275" s="404"/>
      <c r="Q1275" s="404"/>
      <c r="R1275" s="301"/>
      <c r="S1275" s="301"/>
      <c r="T1275" s="301"/>
      <c r="U1275" s="301"/>
      <c r="V1275" s="301"/>
    </row>
    <row r="1276" spans="1:22" ht="14.4" thickTop="1" thickBot="1" x14ac:dyDescent="0.3">
      <c r="A1276" s="292"/>
      <c r="B1276" s="293" t="s">
        <v>2294</v>
      </c>
      <c r="C1276" s="294"/>
      <c r="D1276" s="294"/>
      <c r="E1276" s="294"/>
      <c r="F1276" s="310">
        <v>4.2329999999999997</v>
      </c>
      <c r="G1276" s="310"/>
      <c r="H1276" s="310">
        <f t="shared" si="147"/>
        <v>1.4249999999999998</v>
      </c>
      <c r="I1276" s="295">
        <f t="shared" si="148"/>
        <v>6.0320249999999991</v>
      </c>
      <c r="J1276" s="295"/>
      <c r="K1276" s="300">
        <f t="shared" si="143"/>
        <v>1.1000000000000001</v>
      </c>
      <c r="L1276" s="300">
        <f t="shared" si="144"/>
        <v>0</v>
      </c>
      <c r="M1276" s="285">
        <f t="shared" si="145"/>
        <v>0</v>
      </c>
      <c r="N1276" s="1076">
        <f t="shared" si="146"/>
        <v>0</v>
      </c>
      <c r="O1276" s="294"/>
      <c r="P1276" s="404"/>
      <c r="Q1276" s="404"/>
      <c r="R1276" s="301"/>
      <c r="S1276" s="301"/>
      <c r="T1276" s="301"/>
      <c r="U1276" s="301"/>
      <c r="V1276" s="301"/>
    </row>
    <row r="1277" spans="1:22" ht="14.4" thickTop="1" thickBot="1" x14ac:dyDescent="0.3">
      <c r="A1277" s="292"/>
      <c r="B1277" s="293" t="s">
        <v>2295</v>
      </c>
      <c r="C1277" s="294"/>
      <c r="D1277" s="294"/>
      <c r="E1277" s="294"/>
      <c r="F1277" s="310">
        <v>17.625</v>
      </c>
      <c r="G1277" s="310"/>
      <c r="H1277" s="310">
        <f t="shared" si="147"/>
        <v>1.3</v>
      </c>
      <c r="I1277" s="295">
        <f t="shared" si="148"/>
        <v>22.912500000000001</v>
      </c>
      <c r="J1277" s="295"/>
      <c r="K1277" s="300">
        <f t="shared" si="143"/>
        <v>1.1000000000000001</v>
      </c>
      <c r="L1277" s="300">
        <f t="shared" si="144"/>
        <v>0</v>
      </c>
      <c r="M1277" s="285">
        <f t="shared" si="145"/>
        <v>0</v>
      </c>
      <c r="N1277" s="1076">
        <f t="shared" si="146"/>
        <v>0</v>
      </c>
      <c r="O1277" s="294"/>
      <c r="P1277" s="404"/>
      <c r="Q1277" s="404"/>
      <c r="R1277" s="301"/>
      <c r="S1277" s="301"/>
      <c r="T1277" s="301"/>
      <c r="U1277" s="301"/>
      <c r="V1277" s="301"/>
    </row>
    <row r="1278" spans="1:22" ht="14.4" thickTop="1" thickBot="1" x14ac:dyDescent="0.3">
      <c r="A1278" s="292"/>
      <c r="B1278" s="293" t="s">
        <v>2296</v>
      </c>
      <c r="C1278" s="294"/>
      <c r="D1278" s="294"/>
      <c r="E1278" s="294"/>
      <c r="F1278" s="310">
        <v>17.625</v>
      </c>
      <c r="G1278" s="310"/>
      <c r="H1278" s="310">
        <f t="shared" si="147"/>
        <v>1.3</v>
      </c>
      <c r="I1278" s="295">
        <f t="shared" si="148"/>
        <v>22.912500000000001</v>
      </c>
      <c r="J1278" s="295"/>
      <c r="K1278" s="300">
        <f t="shared" si="143"/>
        <v>1.1000000000000001</v>
      </c>
      <c r="L1278" s="300">
        <f t="shared" si="144"/>
        <v>0</v>
      </c>
      <c r="M1278" s="285">
        <f t="shared" si="145"/>
        <v>0</v>
      </c>
      <c r="N1278" s="1076">
        <f t="shared" si="146"/>
        <v>0</v>
      </c>
      <c r="O1278" s="294"/>
      <c r="P1278" s="404"/>
      <c r="Q1278" s="404"/>
      <c r="R1278" s="301"/>
      <c r="S1278" s="301"/>
      <c r="T1278" s="301"/>
      <c r="U1278" s="301"/>
      <c r="V1278" s="301"/>
    </row>
    <row r="1279" spans="1:22" ht="14.4" thickTop="1" thickBot="1" x14ac:dyDescent="0.3">
      <c r="A1279" s="292"/>
      <c r="B1279" s="293" t="s">
        <v>2297</v>
      </c>
      <c r="C1279" s="294"/>
      <c r="D1279" s="294"/>
      <c r="E1279" s="294"/>
      <c r="F1279" s="310">
        <v>17.625</v>
      </c>
      <c r="G1279" s="310"/>
      <c r="H1279" s="310">
        <f t="shared" si="147"/>
        <v>1.3</v>
      </c>
      <c r="I1279" s="295">
        <f t="shared" si="148"/>
        <v>22.912500000000001</v>
      </c>
      <c r="J1279" s="295"/>
      <c r="K1279" s="300">
        <f t="shared" si="143"/>
        <v>1.1000000000000001</v>
      </c>
      <c r="L1279" s="300">
        <f t="shared" si="144"/>
        <v>0</v>
      </c>
      <c r="M1279" s="285">
        <f t="shared" si="145"/>
        <v>0</v>
      </c>
      <c r="N1279" s="1076">
        <f t="shared" si="146"/>
        <v>0</v>
      </c>
      <c r="O1279" s="294"/>
      <c r="P1279" s="404"/>
      <c r="Q1279" s="404"/>
      <c r="R1279" s="301"/>
      <c r="S1279" s="301"/>
      <c r="T1279" s="301"/>
      <c r="U1279" s="301"/>
      <c r="V1279" s="301"/>
    </row>
    <row r="1280" spans="1:22" ht="14.4" thickTop="1" thickBot="1" x14ac:dyDescent="0.3">
      <c r="A1280" s="292"/>
      <c r="B1280" s="293" t="s">
        <v>2298</v>
      </c>
      <c r="C1280" s="294"/>
      <c r="D1280" s="294"/>
      <c r="E1280" s="294"/>
      <c r="F1280" s="310">
        <v>1.9630000000000001</v>
      </c>
      <c r="G1280" s="310"/>
      <c r="H1280" s="310">
        <f t="shared" si="147"/>
        <v>1.125</v>
      </c>
      <c r="I1280" s="295">
        <f t="shared" si="148"/>
        <v>2.2083750000000002</v>
      </c>
      <c r="J1280" s="295"/>
      <c r="K1280" s="300">
        <f t="shared" si="143"/>
        <v>1.1000000000000001</v>
      </c>
      <c r="L1280" s="300">
        <f t="shared" si="144"/>
        <v>0</v>
      </c>
      <c r="M1280" s="285">
        <f t="shared" si="145"/>
        <v>0</v>
      </c>
      <c r="N1280" s="1076">
        <f t="shared" si="146"/>
        <v>0</v>
      </c>
      <c r="O1280" s="294"/>
      <c r="P1280" s="404"/>
      <c r="Q1280" s="404"/>
      <c r="R1280" s="301"/>
      <c r="S1280" s="301"/>
      <c r="T1280" s="301"/>
      <c r="U1280" s="301"/>
      <c r="V1280" s="301"/>
    </row>
    <row r="1281" spans="1:22" ht="14.4" thickTop="1" thickBot="1" x14ac:dyDescent="0.3">
      <c r="A1281" s="292"/>
      <c r="B1281" s="293" t="s">
        <v>2299</v>
      </c>
      <c r="C1281" s="294"/>
      <c r="D1281" s="294"/>
      <c r="E1281" s="294"/>
      <c r="F1281" s="310">
        <v>17.734999999999999</v>
      </c>
      <c r="G1281" s="310"/>
      <c r="H1281" s="310">
        <f t="shared" si="147"/>
        <v>1.3</v>
      </c>
      <c r="I1281" s="295">
        <f t="shared" si="148"/>
        <v>23.055499999999999</v>
      </c>
      <c r="J1281" s="295"/>
      <c r="K1281" s="300">
        <f t="shared" si="143"/>
        <v>1.1000000000000001</v>
      </c>
      <c r="L1281" s="300">
        <f t="shared" si="144"/>
        <v>0</v>
      </c>
      <c r="M1281" s="285">
        <f t="shared" si="145"/>
        <v>0</v>
      </c>
      <c r="N1281" s="1076">
        <f t="shared" si="146"/>
        <v>0</v>
      </c>
      <c r="O1281" s="294"/>
      <c r="P1281" s="404"/>
      <c r="Q1281" s="404"/>
      <c r="R1281" s="301"/>
      <c r="S1281" s="301"/>
      <c r="T1281" s="301"/>
      <c r="U1281" s="301"/>
      <c r="V1281" s="301"/>
    </row>
    <row r="1282" spans="1:22" ht="14.4" thickTop="1" thickBot="1" x14ac:dyDescent="0.3">
      <c r="A1282" s="292"/>
      <c r="B1282" s="293" t="s">
        <v>2300</v>
      </c>
      <c r="C1282" s="294"/>
      <c r="D1282" s="294"/>
      <c r="E1282" s="294"/>
      <c r="F1282" s="310">
        <v>19.789000000000001</v>
      </c>
      <c r="G1282" s="310"/>
      <c r="H1282" s="310">
        <f t="shared" si="147"/>
        <v>1.125</v>
      </c>
      <c r="I1282" s="295">
        <f t="shared" si="148"/>
        <v>22.262625</v>
      </c>
      <c r="J1282" s="295"/>
      <c r="K1282" s="300">
        <f t="shared" si="143"/>
        <v>1.1000000000000001</v>
      </c>
      <c r="L1282" s="300">
        <f t="shared" si="144"/>
        <v>0</v>
      </c>
      <c r="M1282" s="285">
        <f t="shared" si="145"/>
        <v>0</v>
      </c>
      <c r="N1282" s="1076">
        <f t="shared" si="146"/>
        <v>0</v>
      </c>
      <c r="O1282" s="294"/>
      <c r="P1282" s="404"/>
      <c r="Q1282" s="404"/>
      <c r="R1282" s="301"/>
      <c r="S1282" s="301"/>
      <c r="T1282" s="301"/>
      <c r="U1282" s="301"/>
      <c r="V1282" s="301"/>
    </row>
    <row r="1283" spans="1:22" ht="14.4" thickTop="1" thickBot="1" x14ac:dyDescent="0.3">
      <c r="A1283" s="292"/>
      <c r="B1283" s="293" t="s">
        <v>2301</v>
      </c>
      <c r="C1283" s="294"/>
      <c r="D1283" s="294"/>
      <c r="E1283" s="294">
        <v>2</v>
      </c>
      <c r="F1283" s="310">
        <v>6.3250000000000002</v>
      </c>
      <c r="G1283" s="310"/>
      <c r="H1283" s="310">
        <f t="shared" si="147"/>
        <v>1.4249999999999998</v>
      </c>
      <c r="I1283" s="295">
        <f>H1283*F1283*E1283</f>
        <v>18.026249999999997</v>
      </c>
      <c r="J1283" s="295"/>
      <c r="K1283" s="300">
        <f t="shared" si="143"/>
        <v>1.1000000000000001</v>
      </c>
      <c r="L1283" s="300">
        <f t="shared" si="144"/>
        <v>0</v>
      </c>
      <c r="M1283" s="285">
        <f t="shared" si="145"/>
        <v>0</v>
      </c>
      <c r="N1283" s="1076">
        <f t="shared" si="146"/>
        <v>0</v>
      </c>
      <c r="O1283" s="294"/>
      <c r="P1283" s="404"/>
      <c r="Q1283" s="404"/>
      <c r="R1283" s="301"/>
      <c r="S1283" s="301"/>
      <c r="T1283" s="301"/>
      <c r="U1283" s="301"/>
      <c r="V1283" s="301"/>
    </row>
    <row r="1284" spans="1:22" ht="14.4" thickTop="1" thickBot="1" x14ac:dyDescent="0.3">
      <c r="A1284" s="292"/>
      <c r="B1284" s="293" t="s">
        <v>2302</v>
      </c>
      <c r="C1284" s="294"/>
      <c r="D1284" s="294"/>
      <c r="E1284" s="294"/>
      <c r="F1284" s="310">
        <v>19.677</v>
      </c>
      <c r="G1284" s="310"/>
      <c r="H1284" s="310">
        <f t="shared" si="147"/>
        <v>1.5</v>
      </c>
      <c r="I1284" s="295">
        <f t="shared" si="148"/>
        <v>29.515499999999999</v>
      </c>
      <c r="J1284" s="295"/>
      <c r="K1284" s="300">
        <f t="shared" si="143"/>
        <v>1.1000000000000001</v>
      </c>
      <c r="L1284" s="300">
        <f t="shared" si="144"/>
        <v>0</v>
      </c>
      <c r="M1284" s="285">
        <f t="shared" si="145"/>
        <v>0</v>
      </c>
      <c r="N1284" s="1076">
        <f t="shared" si="146"/>
        <v>0</v>
      </c>
      <c r="O1284" s="294"/>
      <c r="P1284" s="404"/>
      <c r="Q1284" s="404"/>
      <c r="R1284" s="301"/>
      <c r="S1284" s="301"/>
      <c r="T1284" s="301"/>
      <c r="U1284" s="301"/>
      <c r="V1284" s="301"/>
    </row>
    <row r="1285" spans="1:22" ht="14.4" thickTop="1" thickBot="1" x14ac:dyDescent="0.3">
      <c r="A1285" s="292"/>
      <c r="B1285" s="293" t="s">
        <v>2303</v>
      </c>
      <c r="C1285" s="294"/>
      <c r="D1285" s="294"/>
      <c r="E1285" s="294"/>
      <c r="F1285" s="310">
        <v>19.789000000000001</v>
      </c>
      <c r="G1285" s="310"/>
      <c r="H1285" s="310">
        <f t="shared" si="147"/>
        <v>1.8</v>
      </c>
      <c r="I1285" s="295">
        <f t="shared" si="148"/>
        <v>35.620200000000004</v>
      </c>
      <c r="J1285" s="295"/>
      <c r="K1285" s="300">
        <f t="shared" si="143"/>
        <v>1.1000000000000001</v>
      </c>
      <c r="L1285" s="300">
        <f t="shared" si="144"/>
        <v>0</v>
      </c>
      <c r="M1285" s="285">
        <f t="shared" si="145"/>
        <v>0</v>
      </c>
      <c r="N1285" s="1076">
        <f t="shared" si="146"/>
        <v>0</v>
      </c>
      <c r="O1285" s="294"/>
      <c r="P1285" s="404"/>
      <c r="Q1285" s="404"/>
      <c r="R1285" s="301"/>
      <c r="S1285" s="301"/>
      <c r="T1285" s="301"/>
      <c r="U1285" s="301"/>
      <c r="V1285" s="301"/>
    </row>
    <row r="1286" spans="1:22" ht="14.4" thickTop="1" thickBot="1" x14ac:dyDescent="0.3">
      <c r="A1286" s="292"/>
      <c r="B1286" s="293" t="s">
        <v>2304</v>
      </c>
      <c r="C1286" s="294"/>
      <c r="D1286" s="294"/>
      <c r="E1286" s="294"/>
      <c r="F1286" s="310">
        <v>6.2619999999999996</v>
      </c>
      <c r="G1286" s="310"/>
      <c r="H1286" s="310">
        <f t="shared" si="147"/>
        <v>1.125</v>
      </c>
      <c r="I1286" s="295">
        <f t="shared" si="148"/>
        <v>7.0447499999999996</v>
      </c>
      <c r="J1286" s="295"/>
      <c r="K1286" s="300">
        <f t="shared" si="143"/>
        <v>1.1000000000000001</v>
      </c>
      <c r="L1286" s="300">
        <f t="shared" si="144"/>
        <v>0</v>
      </c>
      <c r="M1286" s="285">
        <f t="shared" si="145"/>
        <v>0</v>
      </c>
      <c r="N1286" s="1076">
        <f t="shared" si="146"/>
        <v>0</v>
      </c>
      <c r="O1286" s="294"/>
      <c r="P1286" s="404"/>
      <c r="Q1286" s="404"/>
      <c r="R1286" s="301"/>
      <c r="S1286" s="301"/>
      <c r="T1286" s="301"/>
      <c r="U1286" s="301"/>
      <c r="V1286" s="301"/>
    </row>
    <row r="1287" spans="1:22" ht="14.4" thickTop="1" thickBot="1" x14ac:dyDescent="0.3">
      <c r="A1287" s="292"/>
      <c r="B1287" s="293" t="s">
        <v>2305</v>
      </c>
      <c r="C1287" s="294"/>
      <c r="D1287" s="294"/>
      <c r="E1287" s="294"/>
      <c r="F1287" s="310">
        <v>19.564</v>
      </c>
      <c r="G1287" s="310"/>
      <c r="H1287" s="310">
        <f t="shared" si="147"/>
        <v>1.5</v>
      </c>
      <c r="I1287" s="295">
        <f t="shared" si="148"/>
        <v>29.346</v>
      </c>
      <c r="J1287" s="295"/>
      <c r="K1287" s="300">
        <f t="shared" si="143"/>
        <v>1.1000000000000001</v>
      </c>
      <c r="L1287" s="300">
        <f t="shared" si="144"/>
        <v>0</v>
      </c>
      <c r="M1287" s="285">
        <f t="shared" si="145"/>
        <v>0</v>
      </c>
      <c r="N1287" s="1076">
        <f t="shared" si="146"/>
        <v>0</v>
      </c>
      <c r="O1287" s="294"/>
      <c r="P1287" s="404"/>
      <c r="Q1287" s="404"/>
      <c r="R1287" s="301"/>
      <c r="S1287" s="301"/>
      <c r="T1287" s="301"/>
      <c r="U1287" s="301"/>
      <c r="V1287" s="301"/>
    </row>
    <row r="1288" spans="1:22" ht="14.4" thickTop="1" thickBot="1" x14ac:dyDescent="0.3">
      <c r="A1288" s="292"/>
      <c r="B1288" s="293" t="s">
        <v>2306</v>
      </c>
      <c r="C1288" s="294"/>
      <c r="D1288" s="294"/>
      <c r="E1288" s="294"/>
      <c r="F1288" s="310">
        <v>19.789000000000001</v>
      </c>
      <c r="G1288" s="310"/>
      <c r="H1288" s="310">
        <f t="shared" si="147"/>
        <v>1.5</v>
      </c>
      <c r="I1288" s="295">
        <f t="shared" si="148"/>
        <v>29.683500000000002</v>
      </c>
      <c r="J1288" s="295"/>
      <c r="K1288" s="300">
        <f t="shared" si="143"/>
        <v>1.1000000000000001</v>
      </c>
      <c r="L1288" s="300">
        <f t="shared" si="144"/>
        <v>0</v>
      </c>
      <c r="M1288" s="285">
        <f t="shared" si="145"/>
        <v>0</v>
      </c>
      <c r="N1288" s="1076">
        <f t="shared" si="146"/>
        <v>0</v>
      </c>
      <c r="O1288" s="294"/>
      <c r="P1288" s="404"/>
      <c r="Q1288" s="404"/>
      <c r="R1288" s="301"/>
      <c r="S1288" s="301"/>
      <c r="T1288" s="301"/>
      <c r="U1288" s="301"/>
      <c r="V1288" s="301"/>
    </row>
    <row r="1289" spans="1:22" ht="14.4" thickTop="1" thickBot="1" x14ac:dyDescent="0.3">
      <c r="A1289" s="292"/>
      <c r="B1289" s="293" t="s">
        <v>2307</v>
      </c>
      <c r="C1289" s="294"/>
      <c r="D1289" s="294"/>
      <c r="E1289" s="294"/>
      <c r="F1289" s="310">
        <v>19.789000000000001</v>
      </c>
      <c r="G1289" s="310"/>
      <c r="H1289" s="310">
        <f t="shared" si="147"/>
        <v>1.5</v>
      </c>
      <c r="I1289" s="295">
        <f t="shared" si="148"/>
        <v>29.683500000000002</v>
      </c>
      <c r="J1289" s="295"/>
      <c r="K1289" s="300">
        <f t="shared" si="143"/>
        <v>1.1000000000000001</v>
      </c>
      <c r="L1289" s="300">
        <f t="shared" si="144"/>
        <v>0</v>
      </c>
      <c r="M1289" s="285">
        <f t="shared" si="145"/>
        <v>0</v>
      </c>
      <c r="N1289" s="1076">
        <f t="shared" si="146"/>
        <v>0</v>
      </c>
      <c r="O1289" s="294"/>
      <c r="P1289" s="404"/>
      <c r="Q1289" s="404"/>
      <c r="R1289" s="301"/>
      <c r="S1289" s="301"/>
      <c r="T1289" s="301"/>
      <c r="U1289" s="301"/>
      <c r="V1289" s="301"/>
    </row>
    <row r="1290" spans="1:22" ht="14.4" thickTop="1" thickBot="1" x14ac:dyDescent="0.3">
      <c r="A1290" s="292"/>
      <c r="B1290" s="293" t="s">
        <v>2308</v>
      </c>
      <c r="C1290" s="294"/>
      <c r="D1290" s="294"/>
      <c r="E1290" s="294"/>
      <c r="F1290" s="310">
        <v>19.789000000000001</v>
      </c>
      <c r="G1290" s="310"/>
      <c r="H1290" s="310">
        <f t="shared" si="147"/>
        <v>1.5</v>
      </c>
      <c r="I1290" s="295">
        <f t="shared" si="148"/>
        <v>29.683500000000002</v>
      </c>
      <c r="J1290" s="295"/>
      <c r="K1290" s="300">
        <f t="shared" si="143"/>
        <v>1.1000000000000001</v>
      </c>
      <c r="L1290" s="300">
        <f t="shared" si="144"/>
        <v>0</v>
      </c>
      <c r="M1290" s="285">
        <f t="shared" si="145"/>
        <v>0</v>
      </c>
      <c r="N1290" s="1076">
        <f t="shared" si="146"/>
        <v>0</v>
      </c>
      <c r="O1290" s="294"/>
      <c r="P1290" s="404"/>
      <c r="Q1290" s="404"/>
      <c r="R1290" s="301"/>
      <c r="S1290" s="301"/>
      <c r="T1290" s="301"/>
      <c r="U1290" s="301"/>
      <c r="V1290" s="301"/>
    </row>
    <row r="1291" spans="1:22" ht="14.4" thickTop="1" thickBot="1" x14ac:dyDescent="0.3">
      <c r="A1291" s="292"/>
      <c r="B1291" s="293" t="s">
        <v>2309</v>
      </c>
      <c r="C1291" s="294"/>
      <c r="D1291" s="294"/>
      <c r="E1291" s="294"/>
      <c r="F1291" s="310">
        <v>19.789000000000001</v>
      </c>
      <c r="G1291" s="310"/>
      <c r="H1291" s="310">
        <f t="shared" si="147"/>
        <v>1.2</v>
      </c>
      <c r="I1291" s="295">
        <f t="shared" si="148"/>
        <v>23.7468</v>
      </c>
      <c r="J1291" s="295">
        <f>SUM(I1258:I1291)</f>
        <v>881.10867500000006</v>
      </c>
      <c r="K1291" s="300">
        <f t="shared" si="143"/>
        <v>1.1000000000000001</v>
      </c>
      <c r="L1291" s="300">
        <f t="shared" si="144"/>
        <v>969.2195425000001</v>
      </c>
      <c r="M1291" s="285">
        <f t="shared" si="145"/>
        <v>969.2</v>
      </c>
      <c r="N1291" s="1076">
        <f t="shared" si="146"/>
        <v>970</v>
      </c>
      <c r="O1291" s="294"/>
      <c r="P1291" s="404"/>
      <c r="Q1291" s="404"/>
      <c r="R1291" s="301"/>
      <c r="S1291" s="301"/>
      <c r="T1291" s="301"/>
      <c r="U1291" s="301"/>
      <c r="V1291" s="301"/>
    </row>
    <row r="1292" spans="1:22" ht="14.4" thickTop="1" thickBot="1" x14ac:dyDescent="0.3">
      <c r="A1292" s="292"/>
      <c r="B1292" s="293"/>
      <c r="C1292" s="294"/>
      <c r="D1292" s="294"/>
      <c r="E1292" s="294"/>
      <c r="F1292" s="310"/>
      <c r="G1292" s="310"/>
      <c r="H1292" s="310"/>
      <c r="I1292" s="295"/>
      <c r="J1292" s="295">
        <f>J1291*10.76</f>
        <v>9480.7293430000009</v>
      </c>
      <c r="K1292" s="300">
        <f t="shared" si="143"/>
        <v>1.1000000000000001</v>
      </c>
      <c r="L1292" s="300">
        <f t="shared" si="144"/>
        <v>10428.802277300001</v>
      </c>
      <c r="M1292" s="285">
        <f t="shared" si="145"/>
        <v>10428.799999999999</v>
      </c>
      <c r="N1292" s="1076">
        <f t="shared" si="146"/>
        <v>10429</v>
      </c>
      <c r="O1292" s="294"/>
      <c r="P1292" s="404"/>
      <c r="Q1292" s="404"/>
      <c r="R1292" s="301"/>
      <c r="S1292" s="301"/>
      <c r="T1292" s="301"/>
      <c r="U1292" s="301"/>
      <c r="V1292" s="301"/>
    </row>
    <row r="1293" spans="1:22" ht="14.4" thickTop="1" thickBot="1" x14ac:dyDescent="0.3">
      <c r="A1293" s="292"/>
      <c r="B1293" s="293"/>
      <c r="C1293" s="294"/>
      <c r="D1293" s="294"/>
      <c r="E1293" s="294"/>
      <c r="F1293" s="310"/>
      <c r="G1293" s="310"/>
      <c r="H1293" s="310"/>
      <c r="I1293" s="295"/>
      <c r="J1293" s="295">
        <f>J1292/100</f>
        <v>94.807293430000016</v>
      </c>
      <c r="K1293" s="300">
        <v>1.05</v>
      </c>
      <c r="L1293" s="300">
        <f t="shared" si="144"/>
        <v>99.547658101500019</v>
      </c>
      <c r="M1293" s="285">
        <f t="shared" si="145"/>
        <v>99.5</v>
      </c>
      <c r="N1293" s="1076">
        <f t="shared" si="146"/>
        <v>100</v>
      </c>
      <c r="O1293" s="294"/>
      <c r="P1293" s="413">
        <f>N1293-J1293</f>
        <v>5.1927065699999844</v>
      </c>
      <c r="Q1293" s="413">
        <f>P1293*100</f>
        <v>519.27065699999844</v>
      </c>
      <c r="R1293" s="301"/>
      <c r="S1293" s="301"/>
      <c r="T1293" s="301"/>
      <c r="U1293" s="301"/>
      <c r="V1293" s="301"/>
    </row>
    <row r="1294" spans="1:22" ht="14.4" thickTop="1" thickBot="1" x14ac:dyDescent="0.3">
      <c r="A1294" s="292"/>
      <c r="B1294" s="293"/>
      <c r="C1294" s="294"/>
      <c r="D1294" s="294"/>
      <c r="E1294" s="294"/>
      <c r="F1294" s="310"/>
      <c r="G1294" s="310"/>
      <c r="H1294" s="310"/>
      <c r="I1294" s="295"/>
      <c r="J1294" s="295"/>
      <c r="K1294" s="300">
        <f t="shared" si="143"/>
        <v>1.1000000000000001</v>
      </c>
      <c r="L1294" s="300">
        <f t="shared" si="144"/>
        <v>0</v>
      </c>
      <c r="M1294" s="285">
        <f t="shared" si="145"/>
        <v>0</v>
      </c>
      <c r="N1294" s="1076">
        <f t="shared" si="146"/>
        <v>0</v>
      </c>
      <c r="O1294" s="294"/>
      <c r="P1294" s="404"/>
      <c r="Q1294" s="404"/>
      <c r="R1294" s="301"/>
      <c r="S1294" s="301"/>
      <c r="T1294" s="301"/>
      <c r="U1294" s="301"/>
      <c r="V1294" s="301"/>
    </row>
    <row r="1295" spans="1:22" ht="14.4" thickTop="1" thickBot="1" x14ac:dyDescent="0.3">
      <c r="A1295" s="292"/>
      <c r="B1295" s="293" t="s">
        <v>2311</v>
      </c>
      <c r="C1295" s="294"/>
      <c r="D1295" s="294"/>
      <c r="E1295" s="294"/>
      <c r="F1295" s="310"/>
      <c r="G1295" s="310"/>
      <c r="H1295" s="310"/>
      <c r="I1295" s="295"/>
      <c r="J1295" s="295"/>
      <c r="K1295" s="300">
        <f t="shared" si="143"/>
        <v>1.1000000000000001</v>
      </c>
      <c r="L1295" s="300">
        <f t="shared" si="144"/>
        <v>0</v>
      </c>
      <c r="M1295" s="285">
        <f t="shared" si="145"/>
        <v>0</v>
      </c>
      <c r="N1295" s="1076">
        <f t="shared" si="146"/>
        <v>0</v>
      </c>
      <c r="O1295" s="294"/>
      <c r="P1295" s="404"/>
      <c r="Q1295" s="404"/>
      <c r="R1295" s="301"/>
      <c r="S1295" s="301"/>
      <c r="T1295" s="301"/>
      <c r="U1295" s="301"/>
      <c r="V1295" s="301"/>
    </row>
    <row r="1296" spans="1:22" ht="14.4" thickTop="1" thickBot="1" x14ac:dyDescent="0.3">
      <c r="A1296" s="292"/>
      <c r="B1296" s="293" t="s">
        <v>1571</v>
      </c>
      <c r="C1296" s="294"/>
      <c r="D1296" s="294"/>
      <c r="E1296" s="294"/>
      <c r="F1296" s="310"/>
      <c r="G1296" s="310"/>
      <c r="H1296" s="310"/>
      <c r="I1296" s="295"/>
      <c r="J1296" s="295"/>
      <c r="K1296" s="300">
        <f t="shared" si="143"/>
        <v>1.1000000000000001</v>
      </c>
      <c r="L1296" s="300">
        <f t="shared" si="144"/>
        <v>0</v>
      </c>
      <c r="M1296" s="285">
        <f t="shared" si="145"/>
        <v>0</v>
      </c>
      <c r="N1296" s="1076">
        <f t="shared" si="146"/>
        <v>0</v>
      </c>
      <c r="O1296" s="294"/>
      <c r="P1296" s="404"/>
      <c r="Q1296" s="404"/>
      <c r="R1296" s="301"/>
      <c r="S1296" s="301"/>
      <c r="T1296" s="301"/>
      <c r="U1296" s="301"/>
      <c r="V1296" s="301"/>
    </row>
    <row r="1297" spans="1:22" ht="14.4" thickTop="1" thickBot="1" x14ac:dyDescent="0.3">
      <c r="A1297" s="292"/>
      <c r="B1297" s="293" t="s">
        <v>2312</v>
      </c>
      <c r="C1297" s="294"/>
      <c r="D1297" s="294"/>
      <c r="E1297" s="294"/>
      <c r="F1297" s="310">
        <v>12.045999999999999</v>
      </c>
      <c r="G1297" s="310">
        <v>0.3</v>
      </c>
      <c r="H1297" s="310">
        <v>0.6</v>
      </c>
      <c r="I1297" s="295">
        <f>H1297*G1297*F1297</f>
        <v>2.1682799999999998</v>
      </c>
      <c r="J1297" s="295"/>
      <c r="K1297" s="300">
        <f t="shared" si="143"/>
        <v>1.1000000000000001</v>
      </c>
      <c r="L1297" s="300">
        <f t="shared" si="144"/>
        <v>0</v>
      </c>
      <c r="M1297" s="285">
        <f t="shared" si="145"/>
        <v>0</v>
      </c>
      <c r="N1297" s="1076">
        <f t="shared" si="146"/>
        <v>0</v>
      </c>
      <c r="O1297" s="294"/>
      <c r="P1297" s="404"/>
      <c r="Q1297" s="404"/>
      <c r="R1297" s="301"/>
      <c r="S1297" s="301"/>
      <c r="T1297" s="301"/>
      <c r="U1297" s="301"/>
      <c r="V1297" s="301"/>
    </row>
    <row r="1298" spans="1:22" ht="14.4" thickTop="1" thickBot="1" x14ac:dyDescent="0.3">
      <c r="A1298" s="292"/>
      <c r="B1298" s="293" t="s">
        <v>2313</v>
      </c>
      <c r="C1298" s="294"/>
      <c r="D1298" s="294"/>
      <c r="E1298" s="294"/>
      <c r="F1298" s="310">
        <v>8</v>
      </c>
      <c r="G1298" s="310">
        <v>0.3</v>
      </c>
      <c r="H1298" s="310">
        <v>0.6</v>
      </c>
      <c r="I1298" s="295">
        <f t="shared" ref="I1298:I1304" si="149">H1298*G1298*F1298</f>
        <v>1.44</v>
      </c>
      <c r="J1298" s="295"/>
      <c r="K1298" s="300">
        <f t="shared" si="143"/>
        <v>1.1000000000000001</v>
      </c>
      <c r="L1298" s="300">
        <f t="shared" si="144"/>
        <v>0</v>
      </c>
      <c r="M1298" s="285">
        <f t="shared" si="145"/>
        <v>0</v>
      </c>
      <c r="N1298" s="1076">
        <f t="shared" si="146"/>
        <v>0</v>
      </c>
      <c r="O1298" s="294"/>
      <c r="P1298" s="404"/>
      <c r="Q1298" s="404"/>
      <c r="R1298" s="301"/>
      <c r="S1298" s="301"/>
      <c r="T1298" s="301"/>
      <c r="U1298" s="301"/>
      <c r="V1298" s="301"/>
    </row>
    <row r="1299" spans="1:22" ht="14.4" thickTop="1" thickBot="1" x14ac:dyDescent="0.3">
      <c r="A1299" s="292"/>
      <c r="B1299" s="293" t="s">
        <v>2314</v>
      </c>
      <c r="C1299" s="294"/>
      <c r="D1299" s="294"/>
      <c r="E1299" s="294"/>
      <c r="F1299" s="310">
        <v>3.9</v>
      </c>
      <c r="G1299" s="310">
        <v>0.3</v>
      </c>
      <c r="H1299" s="310">
        <v>0.6</v>
      </c>
      <c r="I1299" s="295">
        <f t="shared" si="149"/>
        <v>0.70199999999999996</v>
      </c>
      <c r="J1299" s="295"/>
      <c r="K1299" s="300">
        <f t="shared" si="143"/>
        <v>1.1000000000000001</v>
      </c>
      <c r="L1299" s="300">
        <f t="shared" si="144"/>
        <v>0</v>
      </c>
      <c r="M1299" s="285">
        <f t="shared" si="145"/>
        <v>0</v>
      </c>
      <c r="N1299" s="1076">
        <f t="shared" si="146"/>
        <v>0</v>
      </c>
      <c r="O1299" s="294"/>
      <c r="P1299" s="404"/>
      <c r="Q1299" s="404"/>
      <c r="R1299" s="301"/>
      <c r="S1299" s="301"/>
      <c r="T1299" s="301"/>
      <c r="U1299" s="301"/>
      <c r="V1299" s="301"/>
    </row>
    <row r="1300" spans="1:22" ht="14.4" thickTop="1" thickBot="1" x14ac:dyDescent="0.3">
      <c r="A1300" s="292"/>
      <c r="B1300" s="293" t="s">
        <v>2315</v>
      </c>
      <c r="C1300" s="294"/>
      <c r="D1300" s="294"/>
      <c r="E1300" s="294"/>
      <c r="F1300" s="310">
        <v>7.6589999999999998</v>
      </c>
      <c r="G1300" s="310">
        <v>0.3</v>
      </c>
      <c r="H1300" s="310">
        <v>0.6</v>
      </c>
      <c r="I1300" s="295">
        <f t="shared" si="149"/>
        <v>1.37862</v>
      </c>
      <c r="J1300" s="295"/>
      <c r="K1300" s="300">
        <f t="shared" si="143"/>
        <v>1.1000000000000001</v>
      </c>
      <c r="L1300" s="300">
        <f t="shared" si="144"/>
        <v>0</v>
      </c>
      <c r="M1300" s="285">
        <f t="shared" si="145"/>
        <v>0</v>
      </c>
      <c r="N1300" s="1076">
        <f t="shared" si="146"/>
        <v>0</v>
      </c>
      <c r="O1300" s="294"/>
      <c r="P1300" s="404"/>
      <c r="Q1300" s="404"/>
      <c r="R1300" s="301"/>
      <c r="S1300" s="301"/>
      <c r="T1300" s="301"/>
      <c r="U1300" s="301"/>
      <c r="V1300" s="301"/>
    </row>
    <row r="1301" spans="1:22" ht="14.4" thickTop="1" thickBot="1" x14ac:dyDescent="0.3">
      <c r="A1301" s="292"/>
      <c r="B1301" s="293" t="s">
        <v>2316</v>
      </c>
      <c r="C1301" s="294"/>
      <c r="D1301" s="294"/>
      <c r="E1301" s="294"/>
      <c r="F1301" s="310">
        <v>12.045999999999999</v>
      </c>
      <c r="G1301" s="310">
        <v>0.3</v>
      </c>
      <c r="H1301" s="310">
        <v>0.6</v>
      </c>
      <c r="I1301" s="295">
        <f t="shared" si="149"/>
        <v>2.1682799999999998</v>
      </c>
      <c r="J1301" s="295"/>
      <c r="K1301" s="300">
        <f t="shared" si="143"/>
        <v>1.1000000000000001</v>
      </c>
      <c r="L1301" s="300">
        <f t="shared" si="144"/>
        <v>0</v>
      </c>
      <c r="M1301" s="285">
        <f t="shared" si="145"/>
        <v>0</v>
      </c>
      <c r="N1301" s="1076">
        <f t="shared" si="146"/>
        <v>0</v>
      </c>
      <c r="O1301" s="294"/>
      <c r="P1301" s="404"/>
      <c r="Q1301" s="404"/>
      <c r="R1301" s="301"/>
      <c r="S1301" s="301"/>
      <c r="T1301" s="301"/>
      <c r="U1301" s="301"/>
      <c r="V1301" s="301"/>
    </row>
    <row r="1302" spans="1:22" ht="14.4" thickTop="1" thickBot="1" x14ac:dyDescent="0.3">
      <c r="A1302" s="292"/>
      <c r="B1302" s="293" t="s">
        <v>2317</v>
      </c>
      <c r="C1302" s="294"/>
      <c r="D1302" s="294"/>
      <c r="E1302" s="294"/>
      <c r="F1302" s="310">
        <v>14.112</v>
      </c>
      <c r="G1302" s="310">
        <v>0.3</v>
      </c>
      <c r="H1302" s="310">
        <v>0.6</v>
      </c>
      <c r="I1302" s="295">
        <f t="shared" si="149"/>
        <v>2.5401599999999998</v>
      </c>
      <c r="J1302" s="295"/>
      <c r="K1302" s="300">
        <f t="shared" si="143"/>
        <v>1.1000000000000001</v>
      </c>
      <c r="L1302" s="300">
        <f t="shared" si="144"/>
        <v>0</v>
      </c>
      <c r="M1302" s="285">
        <f t="shared" si="145"/>
        <v>0</v>
      </c>
      <c r="N1302" s="1076">
        <f t="shared" si="146"/>
        <v>0</v>
      </c>
      <c r="O1302" s="294"/>
      <c r="P1302" s="404"/>
      <c r="Q1302" s="404"/>
      <c r="R1302" s="301"/>
      <c r="S1302" s="301"/>
      <c r="T1302" s="301"/>
      <c r="U1302" s="301"/>
      <c r="V1302" s="301"/>
    </row>
    <row r="1303" spans="1:22" ht="14.4" thickTop="1" thickBot="1" x14ac:dyDescent="0.3">
      <c r="A1303" s="292"/>
      <c r="B1303" s="293" t="s">
        <v>2318</v>
      </c>
      <c r="C1303" s="294"/>
      <c r="D1303" s="294"/>
      <c r="E1303" s="294"/>
      <c r="F1303" s="310">
        <v>14.112</v>
      </c>
      <c r="G1303" s="310">
        <v>0.3</v>
      </c>
      <c r="H1303" s="310">
        <v>0.75</v>
      </c>
      <c r="I1303" s="295">
        <f t="shared" si="149"/>
        <v>3.1751999999999998</v>
      </c>
      <c r="J1303" s="295"/>
      <c r="K1303" s="300">
        <f t="shared" si="143"/>
        <v>1.1000000000000001</v>
      </c>
      <c r="L1303" s="300">
        <f t="shared" si="144"/>
        <v>0</v>
      </c>
      <c r="M1303" s="285">
        <f t="shared" si="145"/>
        <v>0</v>
      </c>
      <c r="N1303" s="1076">
        <f t="shared" si="146"/>
        <v>0</v>
      </c>
      <c r="O1303" s="294"/>
      <c r="P1303" s="404"/>
      <c r="Q1303" s="404"/>
      <c r="R1303" s="301"/>
      <c r="S1303" s="301"/>
      <c r="T1303" s="301"/>
      <c r="U1303" s="301"/>
      <c r="V1303" s="301"/>
    </row>
    <row r="1304" spans="1:22" ht="14.4" thickTop="1" thickBot="1" x14ac:dyDescent="0.3">
      <c r="A1304" s="292"/>
      <c r="B1304" s="293" t="s">
        <v>2319</v>
      </c>
      <c r="C1304" s="294"/>
      <c r="D1304" s="294"/>
      <c r="E1304" s="294"/>
      <c r="F1304" s="310">
        <v>14.112</v>
      </c>
      <c r="G1304" s="310">
        <v>0.3</v>
      </c>
      <c r="H1304" s="310">
        <v>0.75</v>
      </c>
      <c r="I1304" s="295">
        <f t="shared" si="149"/>
        <v>3.1751999999999998</v>
      </c>
      <c r="J1304" s="295">
        <f>SUM(I1297:I1304)</f>
        <v>16.74774</v>
      </c>
      <c r="K1304" s="300">
        <f t="shared" si="143"/>
        <v>1.1000000000000001</v>
      </c>
      <c r="L1304" s="300">
        <f t="shared" si="144"/>
        <v>18.422514000000003</v>
      </c>
      <c r="M1304" s="285">
        <f t="shared" si="145"/>
        <v>18.399999999999999</v>
      </c>
      <c r="N1304" s="1076">
        <f t="shared" si="146"/>
        <v>19</v>
      </c>
      <c r="O1304" s="294"/>
      <c r="P1304" s="404"/>
      <c r="Q1304" s="404"/>
      <c r="R1304" s="301"/>
      <c r="S1304" s="301"/>
      <c r="T1304" s="301"/>
      <c r="U1304" s="301"/>
      <c r="V1304" s="301"/>
    </row>
    <row r="1305" spans="1:22" ht="14.4" thickTop="1" thickBot="1" x14ac:dyDescent="0.3">
      <c r="A1305" s="292"/>
      <c r="B1305" s="293"/>
      <c r="C1305" s="294"/>
      <c r="D1305" s="294"/>
      <c r="E1305" s="294"/>
      <c r="F1305" s="310"/>
      <c r="G1305" s="310"/>
      <c r="H1305" s="310"/>
      <c r="I1305" s="295"/>
      <c r="J1305" s="295"/>
      <c r="K1305" s="300">
        <f t="shared" si="143"/>
        <v>1.1000000000000001</v>
      </c>
      <c r="L1305" s="300">
        <f t="shared" si="144"/>
        <v>0</v>
      </c>
      <c r="M1305" s="285">
        <f t="shared" si="145"/>
        <v>0</v>
      </c>
      <c r="N1305" s="1076">
        <f t="shared" si="146"/>
        <v>0</v>
      </c>
      <c r="O1305" s="294"/>
      <c r="P1305" s="404"/>
      <c r="Q1305" s="404"/>
      <c r="R1305" s="301"/>
      <c r="S1305" s="301"/>
      <c r="T1305" s="301"/>
      <c r="U1305" s="301"/>
      <c r="V1305" s="301"/>
    </row>
    <row r="1306" spans="1:22" ht="14.4" thickTop="1" thickBot="1" x14ac:dyDescent="0.3">
      <c r="A1306" s="292"/>
      <c r="B1306" s="293" t="s">
        <v>2310</v>
      </c>
      <c r="C1306" s="294"/>
      <c r="D1306" s="294"/>
      <c r="E1306" s="294"/>
      <c r="F1306" s="310"/>
      <c r="G1306" s="310"/>
      <c r="H1306" s="310"/>
      <c r="I1306" s="295"/>
      <c r="J1306" s="295"/>
      <c r="K1306" s="300">
        <f t="shared" si="143"/>
        <v>1.1000000000000001</v>
      </c>
      <c r="L1306" s="300">
        <f t="shared" si="144"/>
        <v>0</v>
      </c>
      <c r="M1306" s="285">
        <f t="shared" si="145"/>
        <v>0</v>
      </c>
      <c r="N1306" s="1076">
        <f t="shared" si="146"/>
        <v>0</v>
      </c>
      <c r="O1306" s="294"/>
      <c r="P1306" s="404"/>
      <c r="Q1306" s="404"/>
      <c r="R1306" s="301"/>
      <c r="S1306" s="301"/>
      <c r="T1306" s="301"/>
      <c r="U1306" s="301"/>
      <c r="V1306" s="301"/>
    </row>
    <row r="1307" spans="1:22" ht="14.4" thickTop="1" thickBot="1" x14ac:dyDescent="0.3">
      <c r="A1307" s="292"/>
      <c r="B1307" s="293" t="s">
        <v>2312</v>
      </c>
      <c r="C1307" s="294"/>
      <c r="D1307" s="294"/>
      <c r="E1307" s="294"/>
      <c r="F1307" s="310">
        <v>12.045999999999999</v>
      </c>
      <c r="G1307" s="310">
        <f>G1297+H1297+H1297</f>
        <v>1.5</v>
      </c>
      <c r="H1307" s="310"/>
      <c r="I1307" s="295">
        <f>G1307*F1307</f>
        <v>18.068999999999999</v>
      </c>
      <c r="J1307" s="295"/>
      <c r="K1307" s="300">
        <f t="shared" si="143"/>
        <v>1.1000000000000001</v>
      </c>
      <c r="L1307" s="300">
        <f t="shared" si="144"/>
        <v>0</v>
      </c>
      <c r="M1307" s="285">
        <f t="shared" si="145"/>
        <v>0</v>
      </c>
      <c r="N1307" s="1076">
        <f t="shared" si="146"/>
        <v>0</v>
      </c>
      <c r="O1307" s="294"/>
      <c r="P1307" s="404"/>
      <c r="Q1307" s="404"/>
      <c r="R1307" s="301"/>
      <c r="S1307" s="301"/>
      <c r="T1307" s="301"/>
      <c r="U1307" s="301"/>
      <c r="V1307" s="301"/>
    </row>
    <row r="1308" spans="1:22" ht="14.4" thickTop="1" thickBot="1" x14ac:dyDescent="0.3">
      <c r="A1308" s="292"/>
      <c r="B1308" s="293" t="s">
        <v>2313</v>
      </c>
      <c r="C1308" s="294"/>
      <c r="D1308" s="294"/>
      <c r="E1308" s="294"/>
      <c r="F1308" s="310">
        <v>8</v>
      </c>
      <c r="G1308" s="310">
        <f t="shared" ref="G1308:G1314" si="150">G1298+H1298+H1298</f>
        <v>1.5</v>
      </c>
      <c r="H1308" s="310"/>
      <c r="I1308" s="295">
        <f t="shared" ref="I1308:I1314" si="151">G1308*F1308</f>
        <v>12</v>
      </c>
      <c r="J1308" s="295"/>
      <c r="K1308" s="300">
        <f t="shared" si="143"/>
        <v>1.1000000000000001</v>
      </c>
      <c r="L1308" s="300">
        <f t="shared" si="144"/>
        <v>0</v>
      </c>
      <c r="M1308" s="285">
        <f t="shared" si="145"/>
        <v>0</v>
      </c>
      <c r="N1308" s="1076">
        <f t="shared" si="146"/>
        <v>0</v>
      </c>
      <c r="O1308" s="294"/>
      <c r="P1308" s="404"/>
      <c r="Q1308" s="404"/>
      <c r="R1308" s="301"/>
      <c r="S1308" s="301"/>
      <c r="T1308" s="301"/>
      <c r="U1308" s="301"/>
      <c r="V1308" s="301"/>
    </row>
    <row r="1309" spans="1:22" ht="14.4" thickTop="1" thickBot="1" x14ac:dyDescent="0.3">
      <c r="A1309" s="292"/>
      <c r="B1309" s="293" t="s">
        <v>2314</v>
      </c>
      <c r="C1309" s="294"/>
      <c r="D1309" s="294"/>
      <c r="E1309" s="294"/>
      <c r="F1309" s="310">
        <v>3.9</v>
      </c>
      <c r="G1309" s="310">
        <f t="shared" si="150"/>
        <v>1.5</v>
      </c>
      <c r="H1309" s="310"/>
      <c r="I1309" s="295">
        <f t="shared" si="151"/>
        <v>5.85</v>
      </c>
      <c r="J1309" s="295"/>
      <c r="K1309" s="300">
        <f t="shared" si="143"/>
        <v>1.1000000000000001</v>
      </c>
      <c r="L1309" s="300">
        <f t="shared" si="144"/>
        <v>0</v>
      </c>
      <c r="M1309" s="285">
        <f t="shared" si="145"/>
        <v>0</v>
      </c>
      <c r="N1309" s="1076">
        <f t="shared" si="146"/>
        <v>0</v>
      </c>
      <c r="O1309" s="294"/>
      <c r="P1309" s="404"/>
      <c r="Q1309" s="404"/>
      <c r="R1309" s="301"/>
      <c r="S1309" s="301"/>
      <c r="T1309" s="301"/>
      <c r="U1309" s="301"/>
      <c r="V1309" s="301"/>
    </row>
    <row r="1310" spans="1:22" ht="14.4" thickTop="1" thickBot="1" x14ac:dyDescent="0.3">
      <c r="A1310" s="292"/>
      <c r="B1310" s="293" t="s">
        <v>2315</v>
      </c>
      <c r="C1310" s="294"/>
      <c r="D1310" s="294"/>
      <c r="E1310" s="294"/>
      <c r="F1310" s="310">
        <v>7.6589999999999998</v>
      </c>
      <c r="G1310" s="310">
        <f t="shared" si="150"/>
        <v>1.5</v>
      </c>
      <c r="H1310" s="310"/>
      <c r="I1310" s="295">
        <f t="shared" si="151"/>
        <v>11.4885</v>
      </c>
      <c r="J1310" s="295"/>
      <c r="K1310" s="300">
        <f t="shared" si="143"/>
        <v>1.1000000000000001</v>
      </c>
      <c r="L1310" s="300">
        <f t="shared" si="144"/>
        <v>0</v>
      </c>
      <c r="M1310" s="285">
        <f t="shared" si="145"/>
        <v>0</v>
      </c>
      <c r="N1310" s="1076">
        <f t="shared" si="146"/>
        <v>0</v>
      </c>
      <c r="O1310" s="294"/>
      <c r="P1310" s="404"/>
      <c r="Q1310" s="404"/>
      <c r="R1310" s="301"/>
      <c r="S1310" s="301"/>
      <c r="T1310" s="301"/>
      <c r="U1310" s="301"/>
      <c r="V1310" s="301"/>
    </row>
    <row r="1311" spans="1:22" ht="14.4" thickTop="1" thickBot="1" x14ac:dyDescent="0.3">
      <c r="A1311" s="292"/>
      <c r="B1311" s="293" t="s">
        <v>2316</v>
      </c>
      <c r="C1311" s="294"/>
      <c r="D1311" s="294"/>
      <c r="E1311" s="294"/>
      <c r="F1311" s="310">
        <v>12.045999999999999</v>
      </c>
      <c r="G1311" s="310">
        <f t="shared" si="150"/>
        <v>1.5</v>
      </c>
      <c r="H1311" s="310"/>
      <c r="I1311" s="295">
        <f t="shared" si="151"/>
        <v>18.068999999999999</v>
      </c>
      <c r="J1311" s="295"/>
      <c r="K1311" s="300">
        <f t="shared" si="143"/>
        <v>1.1000000000000001</v>
      </c>
      <c r="L1311" s="300">
        <f t="shared" si="144"/>
        <v>0</v>
      </c>
      <c r="M1311" s="285">
        <f t="shared" si="145"/>
        <v>0</v>
      </c>
      <c r="N1311" s="1076">
        <f t="shared" si="146"/>
        <v>0</v>
      </c>
      <c r="O1311" s="294"/>
      <c r="P1311" s="404"/>
      <c r="Q1311" s="404"/>
      <c r="R1311" s="301"/>
      <c r="S1311" s="301"/>
      <c r="T1311" s="301"/>
      <c r="U1311" s="301"/>
      <c r="V1311" s="301"/>
    </row>
    <row r="1312" spans="1:22" ht="14.4" thickTop="1" thickBot="1" x14ac:dyDescent="0.3">
      <c r="A1312" s="292"/>
      <c r="B1312" s="293" t="s">
        <v>2317</v>
      </c>
      <c r="C1312" s="294"/>
      <c r="D1312" s="294"/>
      <c r="E1312" s="294"/>
      <c r="F1312" s="310">
        <v>14.112</v>
      </c>
      <c r="G1312" s="310">
        <f t="shared" si="150"/>
        <v>1.5</v>
      </c>
      <c r="H1312" s="310"/>
      <c r="I1312" s="295">
        <f t="shared" si="151"/>
        <v>21.167999999999999</v>
      </c>
      <c r="J1312" s="295"/>
      <c r="K1312" s="300">
        <f t="shared" si="143"/>
        <v>1.1000000000000001</v>
      </c>
      <c r="L1312" s="300">
        <f t="shared" si="144"/>
        <v>0</v>
      </c>
      <c r="M1312" s="285">
        <f t="shared" si="145"/>
        <v>0</v>
      </c>
      <c r="N1312" s="1076">
        <f t="shared" si="146"/>
        <v>0</v>
      </c>
      <c r="O1312" s="294"/>
      <c r="P1312" s="404"/>
      <c r="Q1312" s="404"/>
      <c r="R1312" s="301"/>
      <c r="S1312" s="301"/>
      <c r="T1312" s="301"/>
      <c r="U1312" s="301"/>
      <c r="V1312" s="301"/>
    </row>
    <row r="1313" spans="1:22" ht="14.4" thickTop="1" thickBot="1" x14ac:dyDescent="0.3">
      <c r="A1313" s="292"/>
      <c r="B1313" s="293" t="s">
        <v>2318</v>
      </c>
      <c r="C1313" s="294"/>
      <c r="D1313" s="294"/>
      <c r="E1313" s="294"/>
      <c r="F1313" s="310">
        <v>14.112</v>
      </c>
      <c r="G1313" s="310">
        <f t="shared" si="150"/>
        <v>1.8</v>
      </c>
      <c r="H1313" s="310"/>
      <c r="I1313" s="295">
        <f t="shared" si="151"/>
        <v>25.401600000000002</v>
      </c>
      <c r="J1313" s="295"/>
      <c r="K1313" s="300">
        <f t="shared" si="143"/>
        <v>1.1000000000000001</v>
      </c>
      <c r="L1313" s="300">
        <f t="shared" si="144"/>
        <v>0</v>
      </c>
      <c r="M1313" s="285">
        <f t="shared" si="145"/>
        <v>0</v>
      </c>
      <c r="N1313" s="1076">
        <f t="shared" si="146"/>
        <v>0</v>
      </c>
      <c r="O1313" s="294"/>
      <c r="P1313" s="404"/>
      <c r="Q1313" s="404"/>
      <c r="R1313" s="301"/>
      <c r="S1313" s="301"/>
      <c r="T1313" s="301"/>
      <c r="U1313" s="301"/>
      <c r="V1313" s="301"/>
    </row>
    <row r="1314" spans="1:22" ht="14.4" thickTop="1" thickBot="1" x14ac:dyDescent="0.3">
      <c r="A1314" s="292"/>
      <c r="B1314" s="293" t="s">
        <v>2319</v>
      </c>
      <c r="C1314" s="294"/>
      <c r="D1314" s="294"/>
      <c r="E1314" s="294"/>
      <c r="F1314" s="310">
        <v>14.112</v>
      </c>
      <c r="G1314" s="310">
        <f t="shared" si="150"/>
        <v>1.8</v>
      </c>
      <c r="H1314" s="310"/>
      <c r="I1314" s="295">
        <f t="shared" si="151"/>
        <v>25.401600000000002</v>
      </c>
      <c r="J1314" s="295">
        <f>SUM(I1307:I1314)</f>
        <v>137.4477</v>
      </c>
      <c r="K1314" s="300">
        <f t="shared" si="143"/>
        <v>1.1000000000000001</v>
      </c>
      <c r="L1314" s="300">
        <f t="shared" si="144"/>
        <v>151.19247000000001</v>
      </c>
      <c r="M1314" s="285">
        <f t="shared" si="145"/>
        <v>151.19999999999999</v>
      </c>
      <c r="N1314" s="1076">
        <f t="shared" si="146"/>
        <v>152</v>
      </c>
      <c r="O1314" s="294"/>
      <c r="P1314" s="404"/>
      <c r="Q1314" s="404"/>
      <c r="R1314" s="301"/>
      <c r="S1314" s="301"/>
      <c r="T1314" s="301"/>
      <c r="U1314" s="301"/>
      <c r="V1314" s="301"/>
    </row>
    <row r="1315" spans="1:22" ht="14.4" thickTop="1" thickBot="1" x14ac:dyDescent="0.3">
      <c r="A1315" s="292"/>
      <c r="B1315" s="293"/>
      <c r="C1315" s="294"/>
      <c r="D1315" s="294"/>
      <c r="E1315" s="294"/>
      <c r="F1315" s="310"/>
      <c r="G1315" s="310"/>
      <c r="H1315" s="310"/>
      <c r="I1315" s="295"/>
      <c r="J1315" s="295">
        <f>J1314*10.76</f>
        <v>1478.9372519999999</v>
      </c>
      <c r="K1315" s="300">
        <f t="shared" si="143"/>
        <v>1.1000000000000001</v>
      </c>
      <c r="L1315" s="300">
        <f t="shared" si="144"/>
        <v>1626.8309772</v>
      </c>
      <c r="M1315" s="285">
        <f t="shared" si="145"/>
        <v>1626.8</v>
      </c>
      <c r="N1315" s="1076">
        <f t="shared" si="146"/>
        <v>1627</v>
      </c>
      <c r="O1315" s="294"/>
      <c r="P1315" s="404"/>
      <c r="Q1315" s="404"/>
      <c r="R1315" s="301"/>
      <c r="S1315" s="301"/>
      <c r="T1315" s="301"/>
      <c r="U1315" s="301"/>
      <c r="V1315" s="301"/>
    </row>
    <row r="1316" spans="1:22" ht="14.4" thickTop="1" thickBot="1" x14ac:dyDescent="0.3">
      <c r="A1316" s="292"/>
      <c r="B1316" s="293"/>
      <c r="C1316" s="294"/>
      <c r="D1316" s="294"/>
      <c r="E1316" s="294"/>
      <c r="F1316" s="310"/>
      <c r="G1316" s="310"/>
      <c r="H1316" s="310"/>
      <c r="I1316" s="295"/>
      <c r="J1316" s="295">
        <f>J1315/100</f>
        <v>14.789372519999999</v>
      </c>
      <c r="K1316" s="300">
        <v>1.05</v>
      </c>
      <c r="L1316" s="300">
        <f t="shared" si="144"/>
        <v>15.528841146</v>
      </c>
      <c r="M1316" s="285">
        <f t="shared" si="145"/>
        <v>15.5</v>
      </c>
      <c r="N1316" s="1076">
        <f t="shared" si="146"/>
        <v>16</v>
      </c>
      <c r="O1316" s="294"/>
      <c r="P1316" s="413">
        <f>N1316-J1316</f>
        <v>1.2106274800000012</v>
      </c>
      <c r="Q1316" s="404"/>
      <c r="R1316" s="301"/>
      <c r="S1316" s="301"/>
      <c r="T1316" s="301"/>
      <c r="U1316" s="301"/>
      <c r="V1316" s="301"/>
    </row>
    <row r="1317" spans="1:22" ht="14.4" thickTop="1" thickBot="1" x14ac:dyDescent="0.3">
      <c r="A1317" s="292"/>
      <c r="B1317" s="293"/>
      <c r="C1317" s="294"/>
      <c r="D1317" s="294"/>
      <c r="E1317" s="294"/>
      <c r="F1317" s="310"/>
      <c r="G1317" s="310"/>
      <c r="H1317" s="310"/>
      <c r="I1317" s="295"/>
      <c r="J1317" s="295"/>
      <c r="K1317" s="300">
        <f t="shared" si="143"/>
        <v>1.1000000000000001</v>
      </c>
      <c r="L1317" s="300">
        <f t="shared" si="144"/>
        <v>0</v>
      </c>
      <c r="M1317" s="285">
        <f t="shared" si="145"/>
        <v>0</v>
      </c>
      <c r="N1317" s="1076">
        <f t="shared" si="146"/>
        <v>0</v>
      </c>
      <c r="O1317" s="294"/>
      <c r="P1317" s="404"/>
      <c r="Q1317" s="404"/>
      <c r="R1317" s="301"/>
      <c r="S1317" s="301"/>
      <c r="T1317" s="301"/>
      <c r="U1317" s="301"/>
      <c r="V1317" s="301"/>
    </row>
    <row r="1318" spans="1:22" ht="14.4" thickTop="1" thickBot="1" x14ac:dyDescent="0.3">
      <c r="A1318" s="292"/>
      <c r="B1318" s="293" t="s">
        <v>2320</v>
      </c>
      <c r="C1318" s="294"/>
      <c r="D1318" s="294"/>
      <c r="E1318" s="294"/>
      <c r="F1318" s="310">
        <f>1072.41-20</f>
        <v>1052.4100000000001</v>
      </c>
      <c r="G1318" s="310"/>
      <c r="H1318" s="310">
        <v>0.125</v>
      </c>
      <c r="I1318" s="295">
        <f>H1318*F1318</f>
        <v>131.55125000000001</v>
      </c>
      <c r="J1318" s="295">
        <f>I1318</f>
        <v>131.55125000000001</v>
      </c>
      <c r="K1318" s="300">
        <v>1.02</v>
      </c>
      <c r="L1318" s="300">
        <f t="shared" si="144"/>
        <v>134.182275</v>
      </c>
      <c r="M1318" s="285">
        <f t="shared" si="145"/>
        <v>134.19999999999999</v>
      </c>
      <c r="N1318" s="1076">
        <f t="shared" si="146"/>
        <v>135</v>
      </c>
      <c r="O1318" s="294"/>
      <c r="P1318" s="413">
        <f>N1318-23</f>
        <v>112</v>
      </c>
      <c r="Q1318" s="413">
        <f>N1318-P1318</f>
        <v>23</v>
      </c>
      <c r="R1318" s="301"/>
      <c r="S1318" s="301"/>
      <c r="T1318" s="301"/>
      <c r="U1318" s="301"/>
      <c r="V1318" s="301"/>
    </row>
    <row r="1319" spans="1:22" ht="14.4" thickTop="1" thickBot="1" x14ac:dyDescent="0.3">
      <c r="A1319" s="292"/>
      <c r="B1319" s="293"/>
      <c r="C1319" s="294"/>
      <c r="D1319" s="294"/>
      <c r="E1319" s="294"/>
      <c r="F1319" s="310"/>
      <c r="G1319" s="310"/>
      <c r="H1319" s="310"/>
      <c r="I1319" s="295"/>
      <c r="J1319" s="295"/>
      <c r="K1319" s="300">
        <f t="shared" si="143"/>
        <v>1.1000000000000001</v>
      </c>
      <c r="L1319" s="300">
        <f t="shared" si="144"/>
        <v>0</v>
      </c>
      <c r="M1319" s="285">
        <f t="shared" si="145"/>
        <v>0</v>
      </c>
      <c r="N1319" s="1076">
        <f t="shared" si="146"/>
        <v>0</v>
      </c>
      <c r="O1319" s="294"/>
      <c r="P1319" s="404"/>
      <c r="Q1319" s="404"/>
      <c r="R1319" s="301"/>
      <c r="S1319" s="301"/>
      <c r="T1319" s="301"/>
      <c r="U1319" s="301"/>
      <c r="V1319" s="301"/>
    </row>
    <row r="1320" spans="1:22" ht="14.4" thickTop="1" thickBot="1" x14ac:dyDescent="0.3">
      <c r="A1320" s="292"/>
      <c r="B1320" s="293" t="s">
        <v>2321</v>
      </c>
      <c r="C1320" s="294"/>
      <c r="D1320" s="294"/>
      <c r="E1320" s="294"/>
      <c r="F1320" s="310">
        <f>F1318</f>
        <v>1052.4100000000001</v>
      </c>
      <c r="G1320" s="310"/>
      <c r="H1320" s="310"/>
      <c r="I1320" s="295"/>
      <c r="J1320" s="295">
        <f>F1320</f>
        <v>1052.4100000000001</v>
      </c>
      <c r="K1320" s="300">
        <v>1.01</v>
      </c>
      <c r="L1320" s="300">
        <f t="shared" si="144"/>
        <v>1062.9341000000002</v>
      </c>
      <c r="M1320" s="285">
        <f t="shared" si="145"/>
        <v>1062.9000000000001</v>
      </c>
      <c r="N1320" s="1076">
        <f t="shared" si="146"/>
        <v>1063</v>
      </c>
      <c r="O1320" s="294"/>
      <c r="P1320" s="413">
        <f>N1320-J1320</f>
        <v>10.589999999999918</v>
      </c>
      <c r="Q1320" s="404"/>
      <c r="R1320" s="301"/>
      <c r="S1320" s="301"/>
      <c r="T1320" s="301"/>
      <c r="U1320" s="301"/>
      <c r="V1320" s="301"/>
    </row>
    <row r="1321" spans="1:22" ht="14.4" thickTop="1" thickBot="1" x14ac:dyDescent="0.3">
      <c r="A1321" s="292"/>
      <c r="B1321" s="293"/>
      <c r="C1321" s="294"/>
      <c r="D1321" s="294"/>
      <c r="E1321" s="294"/>
      <c r="F1321" s="310"/>
      <c r="G1321" s="310"/>
      <c r="H1321" s="310"/>
      <c r="I1321" s="295"/>
      <c r="J1321" s="295">
        <f>J1320*10.76</f>
        <v>11323.9316</v>
      </c>
      <c r="K1321" s="300">
        <v>1.02</v>
      </c>
      <c r="L1321" s="300">
        <f t="shared" si="144"/>
        <v>11550.410232</v>
      </c>
      <c r="M1321" s="285">
        <f t="shared" si="145"/>
        <v>11550.4</v>
      </c>
      <c r="N1321" s="1076">
        <f t="shared" si="146"/>
        <v>11551</v>
      </c>
      <c r="O1321" s="294"/>
      <c r="P1321" s="404"/>
      <c r="Q1321" s="404"/>
      <c r="R1321" s="301"/>
      <c r="S1321" s="301"/>
      <c r="T1321" s="301"/>
      <c r="U1321" s="301"/>
      <c r="V1321" s="301"/>
    </row>
    <row r="1322" spans="1:22" ht="14.4" thickTop="1" thickBot="1" x14ac:dyDescent="0.3">
      <c r="A1322" s="292"/>
      <c r="B1322" s="293"/>
      <c r="C1322" s="294"/>
      <c r="D1322" s="294"/>
      <c r="E1322" s="294"/>
      <c r="F1322" s="310"/>
      <c r="G1322" s="310"/>
      <c r="H1322" s="310"/>
      <c r="I1322" s="295"/>
      <c r="J1322" s="295">
        <f>J1321/100</f>
        <v>113.239316</v>
      </c>
      <c r="K1322" s="300">
        <v>1.02</v>
      </c>
      <c r="L1322" s="300">
        <f>K1322*J1322</f>
        <v>115.50410232</v>
      </c>
      <c r="M1322" s="285">
        <f>ROUND(L1322,1)</f>
        <v>115.5</v>
      </c>
      <c r="N1322" s="1076">
        <f>ROUNDUP(M1322,0)</f>
        <v>116</v>
      </c>
      <c r="O1322" s="294"/>
      <c r="P1322" s="413">
        <f>N1322-J1322</f>
        <v>2.7606839999999977</v>
      </c>
      <c r="Q1322" s="404"/>
      <c r="R1322" s="301"/>
      <c r="S1322" s="301"/>
      <c r="T1322" s="301"/>
      <c r="U1322" s="301"/>
      <c r="V1322" s="301"/>
    </row>
    <row r="1323" spans="1:22" ht="14.4" thickTop="1" thickBot="1" x14ac:dyDescent="0.3">
      <c r="A1323" s="292"/>
      <c r="B1323" s="293"/>
      <c r="C1323" s="294"/>
      <c r="D1323" s="294"/>
      <c r="E1323" s="294"/>
      <c r="F1323" s="310"/>
      <c r="G1323" s="310"/>
      <c r="H1323" s="310"/>
      <c r="I1323" s="295"/>
      <c r="J1323" s="295"/>
      <c r="K1323" s="300">
        <f t="shared" ref="K1323:K1412" si="152">$K$2</f>
        <v>1.1000000000000001</v>
      </c>
      <c r="L1323" s="300">
        <f t="shared" ref="L1323:L1412" si="153">K1323*J1323</f>
        <v>0</v>
      </c>
      <c r="M1323" s="285">
        <f t="shared" ref="M1323:M1412" si="154">ROUND(L1323,1)</f>
        <v>0</v>
      </c>
      <c r="N1323" s="1076">
        <f t="shared" ref="N1323:N1412" si="155">ROUNDUP(M1323,0)</f>
        <v>0</v>
      </c>
      <c r="O1323" s="294"/>
      <c r="P1323" s="404"/>
      <c r="Q1323" s="404"/>
      <c r="R1323" s="301"/>
      <c r="S1323" s="301"/>
      <c r="T1323" s="301"/>
      <c r="U1323" s="301"/>
      <c r="V1323" s="301"/>
    </row>
    <row r="1324" spans="1:22" ht="14.4" thickTop="1" thickBot="1" x14ac:dyDescent="0.3">
      <c r="A1324" s="292"/>
      <c r="B1324" s="293"/>
      <c r="C1324" s="294"/>
      <c r="D1324" s="294"/>
      <c r="E1324" s="294"/>
      <c r="F1324" s="310"/>
      <c r="G1324" s="310"/>
      <c r="H1324" s="310"/>
      <c r="I1324" s="295"/>
      <c r="J1324" s="295"/>
      <c r="K1324" s="300"/>
      <c r="L1324" s="300"/>
      <c r="M1324" s="285"/>
      <c r="N1324" s="1076"/>
      <c r="O1324" s="294"/>
      <c r="P1324" s="404"/>
      <c r="Q1324" s="404"/>
      <c r="R1324" s="301"/>
      <c r="S1324" s="301"/>
      <c r="T1324" s="301"/>
      <c r="U1324" s="301"/>
      <c r="V1324" s="301"/>
    </row>
    <row r="1325" spans="1:22" ht="14.4" thickTop="1" thickBot="1" x14ac:dyDescent="0.3">
      <c r="A1325" s="292"/>
      <c r="B1325" s="293" t="s">
        <v>2374</v>
      </c>
      <c r="C1325" s="294"/>
      <c r="D1325" s="294"/>
      <c r="E1325" s="294"/>
      <c r="F1325" s="310">
        <v>6.6630000000000003</v>
      </c>
      <c r="G1325" s="310">
        <v>6.375</v>
      </c>
      <c r="H1325" s="310">
        <v>0.125</v>
      </c>
      <c r="I1325" s="295">
        <f>H1325*G1325*F1325</f>
        <v>5.3095781249999998</v>
      </c>
      <c r="J1325" s="295"/>
      <c r="K1325" s="300"/>
      <c r="L1325" s="300"/>
      <c r="M1325" s="285"/>
      <c r="N1325" s="1076"/>
      <c r="O1325" s="294"/>
      <c r="P1325" s="404"/>
      <c r="Q1325" s="404"/>
      <c r="R1325" s="301"/>
      <c r="S1325" s="301"/>
      <c r="T1325" s="301"/>
      <c r="U1325" s="301"/>
      <c r="V1325" s="301"/>
    </row>
    <row r="1326" spans="1:22" ht="14.4" thickTop="1" thickBot="1" x14ac:dyDescent="0.3">
      <c r="A1326" s="292"/>
      <c r="B1326" s="293" t="s">
        <v>2375</v>
      </c>
      <c r="C1326" s="294"/>
      <c r="D1326" s="294"/>
      <c r="E1326" s="294">
        <v>10</v>
      </c>
      <c r="F1326" s="310">
        <v>2.1989999999999998</v>
      </c>
      <c r="G1326" s="310"/>
      <c r="H1326" s="310">
        <v>0.61199999999999999</v>
      </c>
      <c r="I1326" s="295">
        <f>H1326*F1326*E1326</f>
        <v>13.457879999999999</v>
      </c>
      <c r="J1326" s="295"/>
      <c r="K1326" s="300"/>
      <c r="L1326" s="300"/>
      <c r="M1326" s="285"/>
      <c r="N1326" s="1076"/>
      <c r="O1326" s="294"/>
      <c r="P1326" s="404">
        <f>2.075/0.25</f>
        <v>8.3000000000000007</v>
      </c>
      <c r="Q1326" s="404"/>
      <c r="R1326" s="301"/>
      <c r="S1326" s="301"/>
      <c r="T1326" s="301"/>
      <c r="U1326" s="301"/>
      <c r="V1326" s="301"/>
    </row>
    <row r="1327" spans="1:22" ht="14.4" thickTop="1" thickBot="1" x14ac:dyDescent="0.3">
      <c r="A1327" s="292"/>
      <c r="B1327" s="293" t="s">
        <v>2376</v>
      </c>
      <c r="C1327" s="294"/>
      <c r="D1327" s="294"/>
      <c r="E1327" s="294">
        <v>8</v>
      </c>
      <c r="F1327" s="310">
        <v>2.5750000000000002</v>
      </c>
      <c r="G1327" s="310"/>
      <c r="H1327" s="310">
        <v>0.61199999999999999</v>
      </c>
      <c r="I1327" s="295">
        <f t="shared" ref="I1327:I1339" si="156">H1327*F1327*E1327</f>
        <v>12.607200000000001</v>
      </c>
      <c r="J1327" s="295"/>
      <c r="K1327" s="300"/>
      <c r="L1327" s="300"/>
      <c r="M1327" s="285"/>
      <c r="N1327" s="1076"/>
      <c r="O1327" s="294"/>
      <c r="P1327" s="404">
        <f>1.7/0.25</f>
        <v>6.8</v>
      </c>
      <c r="Q1327" s="404"/>
      <c r="R1327" s="301"/>
      <c r="S1327" s="301"/>
      <c r="T1327" s="301"/>
      <c r="U1327" s="301"/>
      <c r="V1327" s="301"/>
    </row>
    <row r="1328" spans="1:22" ht="14.4" thickTop="1" thickBot="1" x14ac:dyDescent="0.3">
      <c r="A1328" s="292"/>
      <c r="B1328" s="293" t="s">
        <v>2377</v>
      </c>
      <c r="C1328" s="294"/>
      <c r="D1328" s="294"/>
      <c r="E1328" s="294">
        <v>8</v>
      </c>
      <c r="F1328" s="310">
        <v>3.7909999999999999</v>
      </c>
      <c r="G1328" s="310"/>
      <c r="H1328" s="310">
        <v>0.61199999999999999</v>
      </c>
      <c r="I1328" s="295">
        <f t="shared" si="156"/>
        <v>18.560735999999999</v>
      </c>
      <c r="J1328" s="295"/>
      <c r="K1328" s="300"/>
      <c r="L1328" s="300"/>
      <c r="M1328" s="285"/>
      <c r="N1328" s="1076"/>
      <c r="O1328" s="294"/>
      <c r="P1328" s="404"/>
      <c r="Q1328" s="404"/>
      <c r="R1328" s="301"/>
      <c r="S1328" s="301"/>
      <c r="T1328" s="301"/>
      <c r="U1328" s="301"/>
      <c r="V1328" s="301"/>
    </row>
    <row r="1329" spans="1:22" ht="14.4" thickTop="1" thickBot="1" x14ac:dyDescent="0.3">
      <c r="A1329" s="292"/>
      <c r="B1329" s="293" t="s">
        <v>2378</v>
      </c>
      <c r="C1329" s="294"/>
      <c r="D1329" s="294"/>
      <c r="E1329" s="294">
        <v>8</v>
      </c>
      <c r="F1329" s="310">
        <v>4.4000000000000004</v>
      </c>
      <c r="G1329" s="310"/>
      <c r="H1329" s="310">
        <v>0.61199999999999999</v>
      </c>
      <c r="I1329" s="295">
        <f t="shared" si="156"/>
        <v>21.542400000000001</v>
      </c>
      <c r="J1329" s="295"/>
      <c r="K1329" s="300"/>
      <c r="L1329" s="300"/>
      <c r="M1329" s="285"/>
      <c r="N1329" s="1076"/>
      <c r="O1329" s="294"/>
      <c r="P1329" s="404"/>
      <c r="Q1329" s="404"/>
      <c r="R1329" s="301"/>
      <c r="S1329" s="301"/>
      <c r="T1329" s="301"/>
      <c r="U1329" s="301"/>
      <c r="V1329" s="301"/>
    </row>
    <row r="1330" spans="1:22" ht="14.4" thickTop="1" thickBot="1" x14ac:dyDescent="0.3">
      <c r="A1330" s="292"/>
      <c r="B1330" s="293" t="s">
        <v>2379</v>
      </c>
      <c r="C1330" s="294"/>
      <c r="D1330" s="294"/>
      <c r="E1330" s="294">
        <v>17</v>
      </c>
      <c r="F1330" s="310">
        <v>2.2000000000000002</v>
      </c>
      <c r="G1330" s="310"/>
      <c r="H1330" s="310">
        <v>0.61199999999999999</v>
      </c>
      <c r="I1330" s="295">
        <f t="shared" si="156"/>
        <v>22.8888</v>
      </c>
      <c r="J1330" s="295"/>
      <c r="K1330" s="300"/>
      <c r="L1330" s="300"/>
      <c r="M1330" s="285"/>
      <c r="N1330" s="1076"/>
      <c r="O1330" s="294"/>
      <c r="P1330" s="404">
        <f>3.8/0.25</f>
        <v>15.2</v>
      </c>
      <c r="Q1330" s="404"/>
      <c r="R1330" s="301"/>
      <c r="S1330" s="301"/>
      <c r="T1330" s="301"/>
      <c r="U1330" s="301"/>
      <c r="V1330" s="301"/>
    </row>
    <row r="1331" spans="1:22" ht="14.4" thickTop="1" thickBot="1" x14ac:dyDescent="0.3">
      <c r="A1331" s="292"/>
      <c r="B1331" s="293" t="s">
        <v>2380</v>
      </c>
      <c r="C1331" s="294"/>
      <c r="D1331" s="294"/>
      <c r="E1331" s="294">
        <v>8</v>
      </c>
      <c r="F1331" s="310">
        <v>2.7330000000000001</v>
      </c>
      <c r="G1331" s="310"/>
      <c r="H1331" s="310">
        <v>0.61199999999999999</v>
      </c>
      <c r="I1331" s="295">
        <f t="shared" si="156"/>
        <v>13.380768</v>
      </c>
      <c r="J1331" s="295"/>
      <c r="K1331" s="300"/>
      <c r="L1331" s="300"/>
      <c r="M1331" s="285"/>
      <c r="N1331" s="1076"/>
      <c r="O1331" s="294"/>
      <c r="P1331" s="404"/>
      <c r="Q1331" s="404"/>
      <c r="R1331" s="301"/>
      <c r="S1331" s="301"/>
      <c r="T1331" s="301"/>
      <c r="U1331" s="301"/>
      <c r="V1331" s="301"/>
    </row>
    <row r="1332" spans="1:22" ht="14.4" thickTop="1" thickBot="1" x14ac:dyDescent="0.3">
      <c r="A1332" s="292"/>
      <c r="B1332" s="293" t="s">
        <v>2381</v>
      </c>
      <c r="C1332" s="294"/>
      <c r="D1332" s="294"/>
      <c r="E1332" s="294">
        <v>10</v>
      </c>
      <c r="F1332" s="310">
        <v>3.4</v>
      </c>
      <c r="G1332" s="310"/>
      <c r="H1332" s="310">
        <v>0.61199999999999999</v>
      </c>
      <c r="I1332" s="295">
        <f t="shared" si="156"/>
        <v>20.808</v>
      </c>
      <c r="J1332" s="295"/>
      <c r="K1332" s="300"/>
      <c r="L1332" s="300"/>
      <c r="M1332" s="285"/>
      <c r="N1332" s="1076"/>
      <c r="O1332" s="294"/>
      <c r="P1332" s="404">
        <f>2.037/0.25</f>
        <v>8.1479999999999997</v>
      </c>
      <c r="Q1332" s="404"/>
      <c r="R1332" s="301"/>
      <c r="S1332" s="301"/>
      <c r="T1332" s="301"/>
      <c r="U1332" s="301"/>
      <c r="V1332" s="301"/>
    </row>
    <row r="1333" spans="1:22" ht="14.4" thickTop="1" thickBot="1" x14ac:dyDescent="0.3">
      <c r="A1333" s="292"/>
      <c r="B1333" s="293" t="s">
        <v>2382</v>
      </c>
      <c r="C1333" s="294"/>
      <c r="D1333" s="294"/>
      <c r="E1333" s="294">
        <v>16</v>
      </c>
      <c r="F1333" s="310">
        <v>3.4</v>
      </c>
      <c r="G1333" s="310"/>
      <c r="H1333" s="310">
        <v>0.61199999999999999</v>
      </c>
      <c r="I1333" s="295">
        <f t="shared" si="156"/>
        <v>33.2928</v>
      </c>
      <c r="J1333" s="295"/>
      <c r="K1333" s="300"/>
      <c r="L1333" s="300"/>
      <c r="M1333" s="285"/>
      <c r="N1333" s="1076"/>
      <c r="O1333" s="294"/>
      <c r="P1333" s="404">
        <f>3.8/0.25</f>
        <v>15.2</v>
      </c>
      <c r="Q1333" s="404"/>
      <c r="R1333" s="301"/>
      <c r="S1333" s="301"/>
      <c r="T1333" s="301"/>
      <c r="U1333" s="301"/>
      <c r="V1333" s="301"/>
    </row>
    <row r="1334" spans="1:22" ht="14.4" thickTop="1" thickBot="1" x14ac:dyDescent="0.3">
      <c r="A1334" s="292"/>
      <c r="B1334" s="293" t="s">
        <v>2383</v>
      </c>
      <c r="C1334" s="294"/>
      <c r="D1334" s="294"/>
      <c r="E1334" s="294">
        <v>20</v>
      </c>
      <c r="F1334" s="310">
        <v>2.145</v>
      </c>
      <c r="G1334" s="310"/>
      <c r="H1334" s="310">
        <v>0.61199999999999999</v>
      </c>
      <c r="I1334" s="295">
        <f t="shared" si="156"/>
        <v>26.254799999999999</v>
      </c>
      <c r="J1334" s="295"/>
      <c r="K1334" s="300"/>
      <c r="L1334" s="300"/>
      <c r="M1334" s="285"/>
      <c r="N1334" s="1076"/>
      <c r="O1334" s="294"/>
      <c r="P1334" s="404">
        <f>3.775/0.2</f>
        <v>18.875</v>
      </c>
      <c r="Q1334" s="404"/>
      <c r="R1334" s="301"/>
      <c r="S1334" s="301"/>
      <c r="T1334" s="301"/>
      <c r="U1334" s="301"/>
      <c r="V1334" s="301"/>
    </row>
    <row r="1335" spans="1:22" ht="14.4" thickTop="1" thickBot="1" x14ac:dyDescent="0.3">
      <c r="A1335" s="292"/>
      <c r="B1335" s="293" t="s">
        <v>2384</v>
      </c>
      <c r="C1335" s="294"/>
      <c r="D1335" s="294"/>
      <c r="E1335" s="294">
        <v>10</v>
      </c>
      <c r="F1335" s="310">
        <v>4.375</v>
      </c>
      <c r="G1335" s="310"/>
      <c r="H1335" s="310">
        <v>0.61199999999999999</v>
      </c>
      <c r="I1335" s="295">
        <f t="shared" si="156"/>
        <v>26.774999999999999</v>
      </c>
      <c r="J1335" s="295"/>
      <c r="K1335" s="300"/>
      <c r="L1335" s="300"/>
      <c r="M1335" s="285"/>
      <c r="N1335" s="1076"/>
      <c r="O1335" s="294"/>
      <c r="P1335" s="404">
        <f>2.075/0.25</f>
        <v>8.3000000000000007</v>
      </c>
      <c r="Q1335" s="404"/>
      <c r="R1335" s="301"/>
      <c r="S1335" s="301"/>
      <c r="T1335" s="301"/>
      <c r="U1335" s="301"/>
      <c r="V1335" s="301"/>
    </row>
    <row r="1336" spans="1:22" ht="14.4" thickTop="1" thickBot="1" x14ac:dyDescent="0.3">
      <c r="A1336" s="292"/>
      <c r="B1336" s="293" t="s">
        <v>2384</v>
      </c>
      <c r="C1336" s="294"/>
      <c r="D1336" s="294"/>
      <c r="E1336" s="294">
        <v>20</v>
      </c>
      <c r="F1336" s="310">
        <v>2.5750000000000002</v>
      </c>
      <c r="G1336" s="310"/>
      <c r="H1336" s="310">
        <v>0.61199999999999999</v>
      </c>
      <c r="I1336" s="295">
        <f t="shared" si="156"/>
        <v>31.518000000000001</v>
      </c>
      <c r="J1336" s="295"/>
      <c r="K1336" s="300"/>
      <c r="L1336" s="300"/>
      <c r="M1336" s="285"/>
      <c r="N1336" s="1076"/>
      <c r="O1336" s="294"/>
      <c r="P1336" s="404">
        <f>3.775/0.2</f>
        <v>18.875</v>
      </c>
      <c r="Q1336" s="404"/>
      <c r="R1336" s="301"/>
      <c r="S1336" s="301"/>
      <c r="T1336" s="301"/>
      <c r="U1336" s="301"/>
      <c r="V1336" s="301"/>
    </row>
    <row r="1337" spans="1:22" ht="14.4" thickTop="1" thickBot="1" x14ac:dyDescent="0.3">
      <c r="A1337" s="292"/>
      <c r="B1337" s="293" t="s">
        <v>2385</v>
      </c>
      <c r="C1337" s="294"/>
      <c r="D1337" s="294"/>
      <c r="E1337" s="294">
        <v>14</v>
      </c>
      <c r="F1337" s="310">
        <v>0.83</v>
      </c>
      <c r="G1337" s="310"/>
      <c r="H1337" s="310">
        <v>0.61199999999999999</v>
      </c>
      <c r="I1337" s="295">
        <f t="shared" si="156"/>
        <v>7.11144</v>
      </c>
      <c r="J1337" s="295"/>
      <c r="K1337" s="300"/>
      <c r="L1337" s="300"/>
      <c r="M1337" s="285"/>
      <c r="N1337" s="1076"/>
      <c r="O1337" s="294"/>
      <c r="P1337" s="404">
        <f>3.775/0.3</f>
        <v>12.583333333333334</v>
      </c>
      <c r="Q1337" s="404"/>
      <c r="R1337" s="301"/>
      <c r="S1337" s="301"/>
      <c r="T1337" s="301"/>
      <c r="U1337" s="301"/>
      <c r="V1337" s="301"/>
    </row>
    <row r="1338" spans="1:22" ht="14.4" thickTop="1" thickBot="1" x14ac:dyDescent="0.3">
      <c r="A1338" s="292"/>
      <c r="B1338" s="293" t="s">
        <v>2387</v>
      </c>
      <c r="C1338" s="294"/>
      <c r="D1338" s="294"/>
      <c r="E1338" s="294">
        <v>19</v>
      </c>
      <c r="F1338" s="310">
        <v>4.375</v>
      </c>
      <c r="G1338" s="310"/>
      <c r="H1338" s="310">
        <v>0.61199999999999999</v>
      </c>
      <c r="I1338" s="295">
        <f t="shared" si="156"/>
        <v>50.872499999999995</v>
      </c>
      <c r="J1338" s="295"/>
      <c r="K1338" s="300"/>
      <c r="L1338" s="300"/>
      <c r="M1338" s="285"/>
      <c r="N1338" s="1076"/>
      <c r="O1338" s="294"/>
      <c r="P1338" s="404">
        <f>3.8/0.2</f>
        <v>18.999999999999996</v>
      </c>
      <c r="Q1338" s="404"/>
      <c r="R1338" s="301"/>
      <c r="S1338" s="301"/>
      <c r="T1338" s="301"/>
      <c r="U1338" s="301"/>
      <c r="V1338" s="301"/>
    </row>
    <row r="1339" spans="1:22" ht="14.4" thickTop="1" thickBot="1" x14ac:dyDescent="0.3">
      <c r="A1339" s="292"/>
      <c r="B1339" s="293" t="s">
        <v>2386</v>
      </c>
      <c r="C1339" s="294"/>
      <c r="D1339" s="294"/>
      <c r="E1339" s="294">
        <v>16</v>
      </c>
      <c r="F1339" s="310">
        <v>4.4000000000000004</v>
      </c>
      <c r="G1339" s="310"/>
      <c r="H1339" s="310">
        <v>0.61199999999999999</v>
      </c>
      <c r="I1339" s="295">
        <f t="shared" si="156"/>
        <v>43.084800000000001</v>
      </c>
      <c r="J1339" s="295">
        <f>SUM(I1326:I1339)</f>
        <v>342.155124</v>
      </c>
      <c r="K1339" s="300"/>
      <c r="L1339" s="300"/>
      <c r="M1339" s="285"/>
      <c r="N1339" s="1076"/>
      <c r="O1339" s="294"/>
      <c r="P1339" s="404">
        <f>3.775/0.25</f>
        <v>15.1</v>
      </c>
      <c r="Q1339" s="404"/>
      <c r="R1339" s="301"/>
      <c r="S1339" s="301"/>
      <c r="T1339" s="301"/>
      <c r="U1339" s="301"/>
      <c r="V1339" s="301"/>
    </row>
    <row r="1340" spans="1:22" ht="14.4" thickTop="1" thickBot="1" x14ac:dyDescent="0.3">
      <c r="A1340" s="292"/>
      <c r="B1340" s="293"/>
      <c r="C1340" s="294"/>
      <c r="D1340" s="294"/>
      <c r="E1340" s="294"/>
      <c r="F1340" s="310"/>
      <c r="G1340" s="310"/>
      <c r="H1340" s="310"/>
      <c r="I1340" s="295"/>
      <c r="J1340" s="295">
        <f>J1339/I1325</f>
        <v>64.441113012156691</v>
      </c>
      <c r="K1340" s="300">
        <v>1.1000000000000001</v>
      </c>
      <c r="L1340" s="300">
        <f>K1340*J1340</f>
        <v>70.885224313372362</v>
      </c>
      <c r="M1340" s="285">
        <f>ROUND(L1340,1)</f>
        <v>70.900000000000006</v>
      </c>
      <c r="N1340" s="1076">
        <f>ROUNDUP(M1340,0)</f>
        <v>71</v>
      </c>
      <c r="O1340" s="294"/>
      <c r="P1340" s="404"/>
      <c r="Q1340" s="404"/>
      <c r="R1340" s="301"/>
      <c r="S1340" s="301"/>
      <c r="T1340" s="301"/>
      <c r="U1340" s="301"/>
      <c r="V1340" s="301"/>
    </row>
    <row r="1341" spans="1:22" ht="14.4" thickTop="1" thickBot="1" x14ac:dyDescent="0.3">
      <c r="A1341" s="292"/>
      <c r="B1341" s="293"/>
      <c r="C1341" s="294"/>
      <c r="D1341" s="294"/>
      <c r="E1341" s="294"/>
      <c r="F1341" s="310"/>
      <c r="G1341" s="310"/>
      <c r="H1341" s="310"/>
      <c r="I1341" s="295"/>
      <c r="J1341" s="295"/>
      <c r="K1341" s="300"/>
      <c r="L1341" s="300"/>
      <c r="M1341" s="285"/>
      <c r="N1341" s="1076"/>
      <c r="O1341" s="294"/>
      <c r="P1341" s="413">
        <f>J1340/10*8</f>
        <v>51.55289040972535</v>
      </c>
      <c r="Q1341" s="404">
        <f>P1341*K1340</f>
        <v>56.708179450697891</v>
      </c>
      <c r="R1341" s="301"/>
      <c r="S1341" s="301"/>
      <c r="T1341" s="301"/>
      <c r="U1341" s="301"/>
      <c r="V1341" s="301"/>
    </row>
    <row r="1342" spans="1:22" ht="14.4" thickTop="1" thickBot="1" x14ac:dyDescent="0.3">
      <c r="A1342" s="292"/>
      <c r="B1342" s="293"/>
      <c r="C1342" s="294"/>
      <c r="D1342" s="294"/>
      <c r="E1342" s="294"/>
      <c r="F1342" s="310"/>
      <c r="G1342" s="310"/>
      <c r="H1342" s="310"/>
      <c r="I1342" s="295"/>
      <c r="J1342" s="295">
        <f>J1339/10*8</f>
        <v>273.72409920000001</v>
      </c>
      <c r="K1342" s="300"/>
      <c r="L1342" s="300"/>
      <c r="M1342" s="285"/>
      <c r="N1342" s="1076"/>
      <c r="O1342" s="294"/>
      <c r="P1342" s="404"/>
      <c r="Q1342" s="404"/>
      <c r="R1342" s="301"/>
      <c r="S1342" s="301"/>
      <c r="T1342" s="301"/>
      <c r="U1342" s="301"/>
      <c r="V1342" s="301"/>
    </row>
    <row r="1343" spans="1:22" ht="14.4" thickTop="1" thickBot="1" x14ac:dyDescent="0.3">
      <c r="A1343" s="292"/>
      <c r="B1343" s="293"/>
      <c r="C1343" s="294"/>
      <c r="D1343" s="294"/>
      <c r="E1343" s="294"/>
      <c r="F1343" s="310"/>
      <c r="G1343" s="310"/>
      <c r="H1343" s="310"/>
      <c r="I1343" s="295"/>
      <c r="J1343" s="295">
        <f>J1342/I1325</f>
        <v>51.55289040972535</v>
      </c>
      <c r="K1343" s="300">
        <v>1.1000000000000001</v>
      </c>
      <c r="L1343" s="300">
        <f>K1343*J1343</f>
        <v>56.708179450697891</v>
      </c>
      <c r="M1343" s="285">
        <f>ROUND(L1343,1)</f>
        <v>56.7</v>
      </c>
      <c r="N1343" s="1076">
        <f>ROUNDUP(M1343,0)</f>
        <v>57</v>
      </c>
      <c r="O1343" s="294"/>
      <c r="P1343" s="404"/>
      <c r="Q1343" s="404"/>
      <c r="R1343" s="301"/>
      <c r="S1343" s="301"/>
      <c r="T1343" s="301"/>
      <c r="U1343" s="301"/>
      <c r="V1343" s="301"/>
    </row>
    <row r="1344" spans="1:22" ht="14.4" thickTop="1" thickBot="1" x14ac:dyDescent="0.3">
      <c r="A1344" s="292"/>
      <c r="B1344" s="293" t="s">
        <v>2388</v>
      </c>
      <c r="C1344" s="294"/>
      <c r="D1344" s="294"/>
      <c r="E1344" s="294"/>
      <c r="F1344" s="310">
        <f>J1041</f>
        <v>105.10000000000001</v>
      </c>
      <c r="G1344" s="310"/>
      <c r="H1344" s="310"/>
      <c r="I1344" s="295"/>
      <c r="J1344" s="295"/>
      <c r="K1344" s="300"/>
      <c r="L1344" s="300"/>
      <c r="M1344" s="285"/>
      <c r="N1344" s="1076"/>
      <c r="O1344" s="294"/>
      <c r="P1344" s="404"/>
      <c r="Q1344" s="404"/>
      <c r="R1344" s="301"/>
      <c r="S1344" s="301"/>
      <c r="T1344" s="301"/>
      <c r="U1344" s="301"/>
      <c r="V1344" s="301"/>
    </row>
    <row r="1345" spans="1:22" ht="14.4" thickTop="1" thickBot="1" x14ac:dyDescent="0.3">
      <c r="A1345" s="292"/>
      <c r="B1345" s="293"/>
      <c r="C1345" s="294"/>
      <c r="D1345" s="294"/>
      <c r="E1345" s="294"/>
      <c r="F1345" s="310"/>
      <c r="G1345" s="310"/>
      <c r="H1345" s="310"/>
      <c r="I1345" s="295"/>
      <c r="J1345" s="295">
        <f>F1344*J1343</f>
        <v>5418.2087820621346</v>
      </c>
      <c r="K1345" s="300">
        <v>1.1000000000000001</v>
      </c>
      <c r="L1345" s="300">
        <f>K1345*J1345</f>
        <v>5960.0296602683484</v>
      </c>
      <c r="M1345" s="285">
        <f>ROUND(L1345,1)</f>
        <v>5960</v>
      </c>
      <c r="N1345" s="1076">
        <f>ROUNDUP(M1345,0)</f>
        <v>5960</v>
      </c>
      <c r="O1345" s="294"/>
      <c r="P1345" s="404"/>
      <c r="Q1345" s="404"/>
      <c r="R1345" s="301"/>
      <c r="S1345" s="301"/>
      <c r="T1345" s="301"/>
      <c r="U1345" s="301"/>
      <c r="V1345" s="301"/>
    </row>
    <row r="1346" spans="1:22" ht="14.4" thickTop="1" thickBot="1" x14ac:dyDescent="0.3">
      <c r="A1346" s="292"/>
      <c r="B1346" s="293"/>
      <c r="C1346" s="294"/>
      <c r="D1346" s="294"/>
      <c r="E1346" s="294"/>
      <c r="F1346" s="310"/>
      <c r="G1346" s="310"/>
      <c r="H1346" s="310"/>
      <c r="I1346" s="295"/>
      <c r="J1346" s="295"/>
      <c r="K1346" s="300"/>
      <c r="L1346" s="300"/>
      <c r="M1346" s="285"/>
      <c r="N1346" s="1076"/>
      <c r="O1346" s="294"/>
      <c r="P1346" s="404"/>
      <c r="Q1346" s="404"/>
      <c r="R1346" s="301"/>
      <c r="S1346" s="301"/>
      <c r="T1346" s="301"/>
      <c r="U1346" s="301"/>
      <c r="V1346" s="301"/>
    </row>
    <row r="1347" spans="1:22" ht="14.4" thickTop="1" thickBot="1" x14ac:dyDescent="0.3">
      <c r="A1347" s="292"/>
      <c r="B1347" s="293"/>
      <c r="C1347" s="294"/>
      <c r="D1347" s="294"/>
      <c r="E1347" s="294"/>
      <c r="F1347" s="310"/>
      <c r="G1347" s="310"/>
      <c r="H1347" s="310"/>
      <c r="I1347" s="295"/>
      <c r="J1347" s="295"/>
      <c r="K1347" s="300"/>
      <c r="L1347" s="300"/>
      <c r="M1347" s="285"/>
      <c r="N1347" s="1076"/>
      <c r="O1347" s="294"/>
      <c r="P1347" s="404"/>
      <c r="Q1347" s="404"/>
      <c r="R1347" s="301"/>
      <c r="S1347" s="301"/>
      <c r="T1347" s="301"/>
      <c r="U1347" s="301"/>
      <c r="V1347" s="301"/>
    </row>
    <row r="1348" spans="1:22" ht="14.4" thickTop="1" thickBot="1" x14ac:dyDescent="0.3">
      <c r="A1348" s="292"/>
      <c r="B1348" s="293"/>
      <c r="C1348" s="294"/>
      <c r="D1348" s="294"/>
      <c r="E1348" s="294"/>
      <c r="F1348" s="310"/>
      <c r="G1348" s="310"/>
      <c r="H1348" s="310"/>
      <c r="I1348" s="295"/>
      <c r="J1348" s="295"/>
      <c r="K1348" s="300"/>
      <c r="L1348" s="300"/>
      <c r="M1348" s="285"/>
      <c r="N1348" s="1076"/>
      <c r="O1348" s="294"/>
      <c r="P1348" s="404"/>
      <c r="Q1348" s="404"/>
      <c r="R1348" s="301"/>
      <c r="S1348" s="301"/>
      <c r="T1348" s="301"/>
      <c r="U1348" s="301"/>
      <c r="V1348" s="301"/>
    </row>
    <row r="1349" spans="1:22" ht="14.4" thickTop="1" thickBot="1" x14ac:dyDescent="0.3">
      <c r="A1349" s="292"/>
      <c r="B1349" s="293"/>
      <c r="C1349" s="294"/>
      <c r="D1349" s="294"/>
      <c r="E1349" s="294"/>
      <c r="F1349" s="310"/>
      <c r="G1349" s="310"/>
      <c r="H1349" s="310"/>
      <c r="I1349" s="295"/>
      <c r="J1349" s="295"/>
      <c r="K1349" s="300"/>
      <c r="L1349" s="300"/>
      <c r="M1349" s="285"/>
      <c r="N1349" s="1076"/>
      <c r="O1349" s="294"/>
      <c r="P1349" s="404"/>
      <c r="Q1349" s="404"/>
      <c r="R1349" s="301"/>
      <c r="S1349" s="301"/>
      <c r="T1349" s="301"/>
      <c r="U1349" s="301"/>
      <c r="V1349" s="301"/>
    </row>
    <row r="1350" spans="1:22" ht="14.4" thickTop="1" thickBot="1" x14ac:dyDescent="0.3">
      <c r="A1350" s="292"/>
      <c r="B1350" s="293"/>
      <c r="C1350" s="294"/>
      <c r="D1350" s="294"/>
      <c r="E1350" s="294"/>
      <c r="F1350" s="310"/>
      <c r="G1350" s="310"/>
      <c r="H1350" s="310"/>
      <c r="I1350" s="295"/>
      <c r="J1350" s="295"/>
      <c r="K1350" s="300"/>
      <c r="L1350" s="300"/>
      <c r="M1350" s="285"/>
      <c r="N1350" s="1076"/>
      <c r="O1350" s="294"/>
      <c r="P1350" s="404"/>
      <c r="Q1350" s="404"/>
      <c r="R1350" s="301"/>
      <c r="S1350" s="301"/>
      <c r="T1350" s="301"/>
      <c r="U1350" s="301"/>
      <c r="V1350" s="301"/>
    </row>
    <row r="1351" spans="1:22" ht="14.4" thickTop="1" thickBot="1" x14ac:dyDescent="0.3">
      <c r="A1351" s="292"/>
      <c r="B1351" s="293"/>
      <c r="C1351" s="294"/>
      <c r="D1351" s="294"/>
      <c r="E1351" s="294"/>
      <c r="F1351" s="310"/>
      <c r="G1351" s="310"/>
      <c r="H1351" s="310"/>
      <c r="I1351" s="295"/>
      <c r="J1351" s="295"/>
      <c r="K1351" s="300"/>
      <c r="L1351" s="300"/>
      <c r="M1351" s="285"/>
      <c r="N1351" s="1076"/>
      <c r="O1351" s="294"/>
      <c r="P1351" s="404"/>
      <c r="Q1351" s="404"/>
      <c r="R1351" s="301"/>
      <c r="S1351" s="301"/>
      <c r="T1351" s="301"/>
      <c r="U1351" s="301"/>
      <c r="V1351" s="301"/>
    </row>
    <row r="1352" spans="1:22" ht="14.4" thickTop="1" thickBot="1" x14ac:dyDescent="0.3">
      <c r="A1352" s="292"/>
      <c r="B1352" s="293"/>
      <c r="C1352" s="294"/>
      <c r="D1352" s="294"/>
      <c r="E1352" s="294"/>
      <c r="F1352" s="310"/>
      <c r="G1352" s="310"/>
      <c r="H1352" s="310"/>
      <c r="I1352" s="295"/>
      <c r="J1352" s="295"/>
      <c r="K1352" s="300">
        <f t="shared" si="152"/>
        <v>1.1000000000000001</v>
      </c>
      <c r="L1352" s="300">
        <f t="shared" si="153"/>
        <v>0</v>
      </c>
      <c r="M1352" s="285">
        <f t="shared" si="154"/>
        <v>0</v>
      </c>
      <c r="N1352" s="1076">
        <f t="shared" si="155"/>
        <v>0</v>
      </c>
      <c r="O1352" s="294"/>
      <c r="P1352" s="404"/>
      <c r="Q1352" s="404"/>
      <c r="R1352" s="301"/>
      <c r="S1352" s="301"/>
      <c r="T1352" s="301"/>
      <c r="U1352" s="301"/>
      <c r="V1352" s="301"/>
    </row>
    <row r="1353" spans="1:22" ht="14.4" thickTop="1" thickBot="1" x14ac:dyDescent="0.3">
      <c r="A1353" s="292"/>
      <c r="B1353" s="293" t="s">
        <v>2322</v>
      </c>
      <c r="C1353" s="294"/>
      <c r="D1353" s="294"/>
      <c r="E1353" s="294"/>
      <c r="F1353" s="310">
        <f>1126-20</f>
        <v>1106</v>
      </c>
      <c r="G1353" s="310"/>
      <c r="H1353" s="310">
        <v>0.125</v>
      </c>
      <c r="I1353" s="295">
        <f>H1353*F1353</f>
        <v>138.25</v>
      </c>
      <c r="J1353" s="295">
        <f>I1353</f>
        <v>138.25</v>
      </c>
      <c r="K1353" s="300">
        <v>1.02</v>
      </c>
      <c r="L1353" s="300">
        <f t="shared" si="153"/>
        <v>141.01500000000001</v>
      </c>
      <c r="M1353" s="285">
        <f t="shared" si="154"/>
        <v>141</v>
      </c>
      <c r="N1353" s="1076">
        <f t="shared" si="155"/>
        <v>141</v>
      </c>
      <c r="O1353" s="294"/>
      <c r="P1353" s="404"/>
      <c r="Q1353" s="404"/>
      <c r="R1353" s="301"/>
      <c r="S1353" s="301"/>
      <c r="T1353" s="301"/>
      <c r="U1353" s="301"/>
      <c r="V1353" s="301"/>
    </row>
    <row r="1354" spans="1:22" ht="14.4" thickTop="1" thickBot="1" x14ac:dyDescent="0.3">
      <c r="A1354" s="292"/>
      <c r="B1354" s="293"/>
      <c r="C1354" s="294"/>
      <c r="D1354" s="294"/>
      <c r="E1354" s="294"/>
      <c r="F1354" s="310"/>
      <c r="G1354" s="310"/>
      <c r="H1354" s="310"/>
      <c r="I1354" s="295"/>
      <c r="J1354" s="295"/>
      <c r="K1354" s="300">
        <f t="shared" si="152"/>
        <v>1.1000000000000001</v>
      </c>
      <c r="L1354" s="300">
        <f t="shared" si="153"/>
        <v>0</v>
      </c>
      <c r="M1354" s="285">
        <f t="shared" si="154"/>
        <v>0</v>
      </c>
      <c r="N1354" s="1076">
        <f t="shared" si="155"/>
        <v>0</v>
      </c>
      <c r="O1354" s="294"/>
      <c r="P1354" s="404"/>
      <c r="Q1354" s="404"/>
      <c r="R1354" s="301"/>
      <c r="S1354" s="301"/>
      <c r="T1354" s="301"/>
      <c r="U1354" s="301"/>
      <c r="V1354" s="301"/>
    </row>
    <row r="1355" spans="1:22" ht="14.4" thickTop="1" thickBot="1" x14ac:dyDescent="0.3">
      <c r="A1355" s="292"/>
      <c r="B1355" s="293" t="s">
        <v>2321</v>
      </c>
      <c r="C1355" s="294"/>
      <c r="D1355" s="294"/>
      <c r="E1355" s="294"/>
      <c r="F1355" s="310">
        <f>F1353</f>
        <v>1106</v>
      </c>
      <c r="G1355" s="310"/>
      <c r="H1355" s="310"/>
      <c r="I1355" s="295"/>
      <c r="J1355" s="295">
        <f>F1355</f>
        <v>1106</v>
      </c>
      <c r="K1355" s="300">
        <v>1.01</v>
      </c>
      <c r="L1355" s="300">
        <f t="shared" si="153"/>
        <v>1117.06</v>
      </c>
      <c r="M1355" s="285">
        <f t="shared" si="154"/>
        <v>1117.0999999999999</v>
      </c>
      <c r="N1355" s="1076">
        <f t="shared" si="155"/>
        <v>1118</v>
      </c>
      <c r="O1355" s="294"/>
      <c r="P1355" s="404"/>
      <c r="Q1355" s="404"/>
      <c r="R1355" s="301"/>
      <c r="S1355" s="301"/>
      <c r="T1355" s="301"/>
      <c r="U1355" s="301"/>
      <c r="V1355" s="301"/>
    </row>
    <row r="1356" spans="1:22" ht="14.4" thickTop="1" thickBot="1" x14ac:dyDescent="0.3">
      <c r="A1356" s="292"/>
      <c r="B1356" s="293"/>
      <c r="C1356" s="294"/>
      <c r="D1356" s="294"/>
      <c r="E1356" s="294"/>
      <c r="F1356" s="310"/>
      <c r="G1356" s="310"/>
      <c r="H1356" s="310"/>
      <c r="I1356" s="295"/>
      <c r="J1356" s="295">
        <f>J1355*10.76</f>
        <v>11900.56</v>
      </c>
      <c r="K1356" s="300">
        <v>1.02</v>
      </c>
      <c r="L1356" s="300">
        <f t="shared" si="153"/>
        <v>12138.5712</v>
      </c>
      <c r="M1356" s="285">
        <f t="shared" si="154"/>
        <v>12138.6</v>
      </c>
      <c r="N1356" s="1076">
        <f t="shared" si="155"/>
        <v>12139</v>
      </c>
      <c r="O1356" s="294"/>
      <c r="P1356" s="404"/>
      <c r="Q1356" s="404"/>
      <c r="R1356" s="301"/>
      <c r="S1356" s="301"/>
      <c r="T1356" s="301"/>
      <c r="U1356" s="301"/>
      <c r="V1356" s="301"/>
    </row>
    <row r="1357" spans="1:22" ht="14.4" thickTop="1" thickBot="1" x14ac:dyDescent="0.3">
      <c r="A1357" s="292"/>
      <c r="B1357" s="293"/>
      <c r="C1357" s="294"/>
      <c r="D1357" s="294"/>
      <c r="E1357" s="294"/>
      <c r="F1357" s="310"/>
      <c r="G1357" s="310"/>
      <c r="H1357" s="310"/>
      <c r="I1357" s="295"/>
      <c r="J1357" s="295">
        <f>J1356/100</f>
        <v>119.0056</v>
      </c>
      <c r="K1357" s="300">
        <v>1.02</v>
      </c>
      <c r="L1357" s="300">
        <f>K1357*J1357</f>
        <v>121.385712</v>
      </c>
      <c r="M1357" s="285">
        <f>ROUND(L1357,1)</f>
        <v>121.4</v>
      </c>
      <c r="N1357" s="1076">
        <f>ROUNDUP(M1357,0)</f>
        <v>122</v>
      </c>
      <c r="O1357" s="294"/>
      <c r="P1357" s="404"/>
      <c r="Q1357" s="404"/>
      <c r="R1357" s="301"/>
      <c r="S1357" s="301"/>
      <c r="T1357" s="301"/>
      <c r="U1357" s="301"/>
      <c r="V1357" s="301"/>
    </row>
    <row r="1358" spans="1:22" ht="14.4" thickTop="1" thickBot="1" x14ac:dyDescent="0.3">
      <c r="A1358" s="292"/>
      <c r="B1358" s="293"/>
      <c r="C1358" s="294"/>
      <c r="D1358" s="294"/>
      <c r="E1358" s="294"/>
      <c r="F1358" s="310"/>
      <c r="G1358" s="310"/>
      <c r="H1358" s="310"/>
      <c r="I1358" s="295"/>
      <c r="J1358" s="295"/>
      <c r="K1358" s="300"/>
      <c r="L1358" s="300"/>
      <c r="M1358" s="285"/>
      <c r="N1358" s="1076"/>
      <c r="O1358" s="294"/>
      <c r="P1358" s="404"/>
      <c r="Q1358" s="404"/>
      <c r="R1358" s="301"/>
      <c r="S1358" s="301"/>
      <c r="T1358" s="301"/>
      <c r="U1358" s="301"/>
      <c r="V1358" s="301"/>
    </row>
    <row r="1359" spans="1:22" ht="14.4" thickTop="1" thickBot="1" x14ac:dyDescent="0.3">
      <c r="A1359" s="292"/>
      <c r="B1359" s="293" t="s">
        <v>2323</v>
      </c>
      <c r="C1359" s="294"/>
      <c r="D1359" s="294"/>
      <c r="E1359" s="294"/>
      <c r="F1359" s="310">
        <v>151</v>
      </c>
      <c r="G1359" s="310"/>
      <c r="H1359" s="310">
        <v>0.125</v>
      </c>
      <c r="I1359" s="295">
        <f>H1359*F1359</f>
        <v>18.875</v>
      </c>
      <c r="J1359" s="295">
        <f>I1359</f>
        <v>18.875</v>
      </c>
      <c r="K1359" s="300">
        <v>1.02</v>
      </c>
      <c r="L1359" s="300">
        <f t="shared" ref="L1359" si="157">K1359*J1359</f>
        <v>19.252500000000001</v>
      </c>
      <c r="M1359" s="285">
        <f t="shared" ref="M1359" si="158">ROUND(L1359,1)</f>
        <v>19.3</v>
      </c>
      <c r="N1359" s="1076">
        <f t="shared" ref="N1359" si="159">ROUNDUP(M1359,0)</f>
        <v>20</v>
      </c>
      <c r="O1359" s="294"/>
      <c r="P1359" s="404"/>
      <c r="Q1359" s="404"/>
      <c r="R1359" s="301"/>
      <c r="S1359" s="301"/>
      <c r="T1359" s="301"/>
      <c r="U1359" s="301"/>
      <c r="V1359" s="301"/>
    </row>
    <row r="1360" spans="1:22" ht="14.4" thickTop="1" thickBot="1" x14ac:dyDescent="0.3">
      <c r="A1360" s="292"/>
      <c r="B1360" s="293"/>
      <c r="C1360" s="294"/>
      <c r="D1360" s="294"/>
      <c r="E1360" s="294"/>
      <c r="F1360" s="310"/>
      <c r="G1360" s="310"/>
      <c r="H1360" s="310"/>
      <c r="I1360" s="295"/>
      <c r="J1360" s="295"/>
      <c r="K1360" s="300">
        <f t="shared" si="152"/>
        <v>1.1000000000000001</v>
      </c>
      <c r="L1360" s="300">
        <f t="shared" si="153"/>
        <v>0</v>
      </c>
      <c r="M1360" s="285">
        <f t="shared" si="154"/>
        <v>0</v>
      </c>
      <c r="N1360" s="1076">
        <f t="shared" si="155"/>
        <v>0</v>
      </c>
      <c r="O1360" s="294"/>
      <c r="P1360" s="404"/>
      <c r="Q1360" s="404"/>
      <c r="R1360" s="301"/>
      <c r="S1360" s="301"/>
      <c r="T1360" s="301"/>
      <c r="U1360" s="301"/>
      <c r="V1360" s="301"/>
    </row>
    <row r="1361" spans="1:22" ht="14.4" thickTop="1" thickBot="1" x14ac:dyDescent="0.3">
      <c r="A1361" s="292"/>
      <c r="B1361" s="293" t="s">
        <v>2321</v>
      </c>
      <c r="C1361" s="294"/>
      <c r="D1361" s="294"/>
      <c r="E1361" s="294"/>
      <c r="F1361" s="310">
        <f>F1359</f>
        <v>151</v>
      </c>
      <c r="G1361" s="310"/>
      <c r="H1361" s="310"/>
      <c r="I1361" s="295"/>
      <c r="J1361" s="295">
        <f>F1361</f>
        <v>151</v>
      </c>
      <c r="K1361" s="300">
        <v>1.01</v>
      </c>
      <c r="L1361" s="300">
        <f t="shared" si="153"/>
        <v>152.51</v>
      </c>
      <c r="M1361" s="285">
        <f t="shared" si="154"/>
        <v>152.5</v>
      </c>
      <c r="N1361" s="1076">
        <f t="shared" si="155"/>
        <v>153</v>
      </c>
      <c r="O1361" s="294"/>
      <c r="P1361" s="404"/>
      <c r="Q1361" s="404"/>
      <c r="R1361" s="301"/>
      <c r="S1361" s="301"/>
      <c r="T1361" s="301"/>
      <c r="U1361" s="301"/>
      <c r="V1361" s="301"/>
    </row>
    <row r="1362" spans="1:22" ht="14.4" thickTop="1" thickBot="1" x14ac:dyDescent="0.3">
      <c r="A1362" s="292"/>
      <c r="B1362" s="293"/>
      <c r="C1362" s="294"/>
      <c r="D1362" s="294"/>
      <c r="E1362" s="294"/>
      <c r="F1362" s="310"/>
      <c r="G1362" s="310"/>
      <c r="H1362" s="310"/>
      <c r="I1362" s="295"/>
      <c r="J1362" s="295">
        <f>J1361*10.76</f>
        <v>1624.76</v>
      </c>
      <c r="K1362" s="300">
        <v>1.02</v>
      </c>
      <c r="L1362" s="300">
        <f t="shared" si="153"/>
        <v>1657.2552000000001</v>
      </c>
      <c r="M1362" s="285">
        <f t="shared" si="154"/>
        <v>1657.3</v>
      </c>
      <c r="N1362" s="1076">
        <f t="shared" si="155"/>
        <v>1658</v>
      </c>
      <c r="O1362" s="294"/>
      <c r="P1362" s="404"/>
      <c r="Q1362" s="404"/>
      <c r="R1362" s="301"/>
      <c r="S1362" s="301"/>
      <c r="T1362" s="301"/>
      <c r="U1362" s="301"/>
      <c r="V1362" s="301"/>
    </row>
    <row r="1363" spans="1:22" ht="14.4" thickTop="1" thickBot="1" x14ac:dyDescent="0.3">
      <c r="A1363" s="292"/>
      <c r="B1363" s="293"/>
      <c r="C1363" s="294"/>
      <c r="D1363" s="294"/>
      <c r="E1363" s="294"/>
      <c r="F1363" s="310"/>
      <c r="G1363" s="310"/>
      <c r="H1363" s="310"/>
      <c r="I1363" s="295"/>
      <c r="J1363" s="295">
        <f>J1362/100</f>
        <v>16.247599999999998</v>
      </c>
      <c r="K1363" s="300">
        <v>1.02</v>
      </c>
      <c r="L1363" s="300">
        <f>K1363*J1363</f>
        <v>16.572551999999998</v>
      </c>
      <c r="M1363" s="285">
        <f>ROUND(L1363,1)</f>
        <v>16.600000000000001</v>
      </c>
      <c r="N1363" s="1076">
        <f>ROUNDUP(M1363,0)</f>
        <v>17</v>
      </c>
      <c r="O1363" s="294"/>
      <c r="P1363" s="404"/>
      <c r="Q1363" s="404"/>
      <c r="R1363" s="301"/>
      <c r="S1363" s="301"/>
      <c r="T1363" s="301"/>
      <c r="U1363" s="301"/>
      <c r="V1363" s="301"/>
    </row>
    <row r="1364" spans="1:22" ht="14.4" thickTop="1" thickBot="1" x14ac:dyDescent="0.3">
      <c r="A1364" s="292"/>
      <c r="B1364" s="293"/>
      <c r="C1364" s="294"/>
      <c r="D1364" s="294"/>
      <c r="E1364" s="294"/>
      <c r="F1364" s="310"/>
      <c r="G1364" s="310"/>
      <c r="H1364" s="310"/>
      <c r="I1364" s="295"/>
      <c r="J1364" s="295"/>
      <c r="K1364" s="300">
        <f t="shared" si="152"/>
        <v>1.1000000000000001</v>
      </c>
      <c r="L1364" s="300">
        <f t="shared" si="153"/>
        <v>0</v>
      </c>
      <c r="M1364" s="285">
        <f t="shared" si="154"/>
        <v>0</v>
      </c>
      <c r="N1364" s="1076">
        <f t="shared" si="155"/>
        <v>0</v>
      </c>
      <c r="O1364" s="294"/>
      <c r="P1364" s="404"/>
      <c r="Q1364" s="404"/>
      <c r="R1364" s="301"/>
      <c r="S1364" s="301"/>
      <c r="T1364" s="301"/>
      <c r="U1364" s="301"/>
      <c r="V1364" s="301"/>
    </row>
    <row r="1365" spans="1:22" ht="14.4" thickTop="1" thickBot="1" x14ac:dyDescent="0.3">
      <c r="A1365" s="292"/>
      <c r="B1365" s="293" t="s">
        <v>2332</v>
      </c>
      <c r="C1365" s="294"/>
      <c r="D1365" s="294"/>
      <c r="E1365" s="294"/>
      <c r="F1365" s="310"/>
      <c r="G1365" s="310"/>
      <c r="H1365" s="310"/>
      <c r="I1365" s="295"/>
      <c r="J1365" s="295"/>
      <c r="K1365" s="300">
        <f t="shared" si="152"/>
        <v>1.1000000000000001</v>
      </c>
      <c r="L1365" s="300">
        <f t="shared" si="153"/>
        <v>0</v>
      </c>
      <c r="M1365" s="285">
        <f t="shared" si="154"/>
        <v>0</v>
      </c>
      <c r="N1365" s="1076">
        <f t="shared" si="155"/>
        <v>0</v>
      </c>
      <c r="O1365" s="294"/>
      <c r="P1365" s="404"/>
      <c r="Q1365" s="404"/>
      <c r="R1365" s="301"/>
      <c r="S1365" s="301"/>
      <c r="T1365" s="301"/>
      <c r="U1365" s="301"/>
      <c r="V1365" s="301"/>
    </row>
    <row r="1366" spans="1:22" ht="14.4" thickTop="1" thickBot="1" x14ac:dyDescent="0.3">
      <c r="A1366" s="292"/>
      <c r="B1366" s="293" t="s">
        <v>2333</v>
      </c>
      <c r="C1366" s="294"/>
      <c r="D1366" s="294"/>
      <c r="E1366" s="294">
        <v>1</v>
      </c>
      <c r="F1366" s="310">
        <f t="shared" ref="F1366:F1373" si="160">22/7</f>
        <v>3.1428571428571428</v>
      </c>
      <c r="G1366" s="310">
        <f>0.225*0.225</f>
        <v>5.0625000000000003E-2</v>
      </c>
      <c r="H1366" s="310">
        <v>4</v>
      </c>
      <c r="I1366" s="295">
        <f t="shared" ref="I1366:I1373" si="161">H1366*G1366*F1366*E1366</f>
        <v>0.63642857142857145</v>
      </c>
      <c r="J1366" s="295"/>
      <c r="K1366" s="300">
        <f t="shared" si="152"/>
        <v>1.1000000000000001</v>
      </c>
      <c r="L1366" s="300">
        <f t="shared" si="153"/>
        <v>0</v>
      </c>
      <c r="M1366" s="285">
        <f t="shared" si="154"/>
        <v>0</v>
      </c>
      <c r="N1366" s="1076">
        <f t="shared" si="155"/>
        <v>0</v>
      </c>
      <c r="O1366" s="294"/>
      <c r="P1366" s="404"/>
      <c r="Q1366" s="404"/>
      <c r="R1366" s="301"/>
      <c r="S1366" s="301"/>
      <c r="T1366" s="301"/>
      <c r="U1366" s="301"/>
      <c r="V1366" s="301"/>
    </row>
    <row r="1367" spans="1:22" ht="14.4" thickTop="1" thickBot="1" x14ac:dyDescent="0.3">
      <c r="A1367" s="292"/>
      <c r="B1367" s="293" t="s">
        <v>2334</v>
      </c>
      <c r="C1367" s="294"/>
      <c r="D1367" s="294"/>
      <c r="E1367" s="294">
        <v>2</v>
      </c>
      <c r="F1367" s="310">
        <f t="shared" si="160"/>
        <v>3.1428571428571428</v>
      </c>
      <c r="G1367" s="310">
        <f>0.225*0.225</f>
        <v>5.0625000000000003E-2</v>
      </c>
      <c r="H1367" s="310">
        <v>4</v>
      </c>
      <c r="I1367" s="295">
        <f t="shared" si="161"/>
        <v>1.2728571428571429</v>
      </c>
      <c r="J1367" s="295"/>
      <c r="K1367" s="300">
        <f t="shared" si="152"/>
        <v>1.1000000000000001</v>
      </c>
      <c r="L1367" s="300">
        <f t="shared" si="153"/>
        <v>0</v>
      </c>
      <c r="M1367" s="285">
        <f t="shared" si="154"/>
        <v>0</v>
      </c>
      <c r="N1367" s="1076">
        <f t="shared" si="155"/>
        <v>0</v>
      </c>
      <c r="O1367" s="294"/>
      <c r="P1367" s="404"/>
      <c r="Q1367" s="404"/>
      <c r="R1367" s="301"/>
      <c r="S1367" s="301"/>
      <c r="T1367" s="301"/>
      <c r="U1367" s="301"/>
      <c r="V1367" s="301"/>
    </row>
    <row r="1368" spans="1:22" ht="14.4" thickTop="1" thickBot="1" x14ac:dyDescent="0.3">
      <c r="A1368" s="292"/>
      <c r="B1368" s="293" t="s">
        <v>2335</v>
      </c>
      <c r="C1368" s="294"/>
      <c r="D1368" s="294"/>
      <c r="E1368" s="294">
        <v>1</v>
      </c>
      <c r="F1368" s="310">
        <f t="shared" si="160"/>
        <v>3.1428571428571428</v>
      </c>
      <c r="G1368" s="310">
        <f>0.225*0.225</f>
        <v>5.0625000000000003E-2</v>
      </c>
      <c r="H1368" s="310">
        <v>4</v>
      </c>
      <c r="I1368" s="295">
        <f t="shared" si="161"/>
        <v>0.63642857142857145</v>
      </c>
      <c r="J1368" s="295"/>
      <c r="K1368" s="300">
        <f t="shared" si="152"/>
        <v>1.1000000000000001</v>
      </c>
      <c r="L1368" s="300">
        <f t="shared" si="153"/>
        <v>0</v>
      </c>
      <c r="M1368" s="285">
        <f t="shared" si="154"/>
        <v>0</v>
      </c>
      <c r="N1368" s="1076">
        <f t="shared" si="155"/>
        <v>0</v>
      </c>
      <c r="O1368" s="294"/>
      <c r="P1368" s="404"/>
      <c r="Q1368" s="404"/>
      <c r="R1368" s="301"/>
      <c r="S1368" s="301"/>
      <c r="T1368" s="301"/>
      <c r="U1368" s="301"/>
      <c r="V1368" s="301"/>
    </row>
    <row r="1369" spans="1:22" ht="14.4" thickTop="1" thickBot="1" x14ac:dyDescent="0.3">
      <c r="A1369" s="292"/>
      <c r="B1369" s="293" t="s">
        <v>2339</v>
      </c>
      <c r="C1369" s="294"/>
      <c r="D1369" s="294"/>
      <c r="E1369" s="294">
        <v>1</v>
      </c>
      <c r="F1369" s="310">
        <f t="shared" si="160"/>
        <v>3.1428571428571428</v>
      </c>
      <c r="G1369" s="310">
        <f>0.175*0.175</f>
        <v>3.0624999999999996E-2</v>
      </c>
      <c r="H1369" s="310">
        <v>4</v>
      </c>
      <c r="I1369" s="295">
        <f t="shared" si="161"/>
        <v>0.38499999999999995</v>
      </c>
      <c r="J1369" s="295"/>
      <c r="K1369" s="300">
        <f t="shared" si="152"/>
        <v>1.1000000000000001</v>
      </c>
      <c r="L1369" s="300">
        <f t="shared" si="153"/>
        <v>0</v>
      </c>
      <c r="M1369" s="285">
        <f t="shared" si="154"/>
        <v>0</v>
      </c>
      <c r="N1369" s="1076">
        <f t="shared" si="155"/>
        <v>0</v>
      </c>
      <c r="O1369" s="294"/>
      <c r="P1369" s="404"/>
      <c r="Q1369" s="404"/>
      <c r="R1369" s="301"/>
      <c r="S1369" s="301"/>
      <c r="T1369" s="301"/>
      <c r="U1369" s="301"/>
      <c r="V1369" s="301"/>
    </row>
    <row r="1370" spans="1:22" ht="14.4" thickTop="1" thickBot="1" x14ac:dyDescent="0.3">
      <c r="A1370" s="292"/>
      <c r="B1370" s="293" t="s">
        <v>2336</v>
      </c>
      <c r="C1370" s="294"/>
      <c r="D1370" s="294"/>
      <c r="E1370" s="294">
        <v>1</v>
      </c>
      <c r="F1370" s="310">
        <f t="shared" si="160"/>
        <v>3.1428571428571428</v>
      </c>
      <c r="G1370" s="310">
        <f>0.175*0.175</f>
        <v>3.0624999999999996E-2</v>
      </c>
      <c r="H1370" s="310">
        <v>4</v>
      </c>
      <c r="I1370" s="295">
        <f t="shared" si="161"/>
        <v>0.38499999999999995</v>
      </c>
      <c r="J1370" s="295"/>
      <c r="K1370" s="300">
        <f t="shared" si="152"/>
        <v>1.1000000000000001</v>
      </c>
      <c r="L1370" s="300">
        <f t="shared" si="153"/>
        <v>0</v>
      </c>
      <c r="M1370" s="285">
        <f t="shared" si="154"/>
        <v>0</v>
      </c>
      <c r="N1370" s="1076">
        <f t="shared" si="155"/>
        <v>0</v>
      </c>
      <c r="O1370" s="294"/>
      <c r="P1370" s="404"/>
      <c r="Q1370" s="404"/>
      <c r="R1370" s="301"/>
      <c r="S1370" s="301"/>
      <c r="T1370" s="301"/>
      <c r="U1370" s="301"/>
      <c r="V1370" s="301"/>
    </row>
    <row r="1371" spans="1:22" ht="14.4" thickTop="1" thickBot="1" x14ac:dyDescent="0.3">
      <c r="A1371" s="292"/>
      <c r="B1371" s="293" t="s">
        <v>2340</v>
      </c>
      <c r="C1371" s="294"/>
      <c r="D1371" s="294"/>
      <c r="E1371" s="294">
        <v>2</v>
      </c>
      <c r="F1371" s="310">
        <f t="shared" si="160"/>
        <v>3.1428571428571428</v>
      </c>
      <c r="G1371" s="310">
        <f>0.225*0.225</f>
        <v>5.0625000000000003E-2</v>
      </c>
      <c r="H1371" s="310">
        <v>4</v>
      </c>
      <c r="I1371" s="295">
        <f t="shared" si="161"/>
        <v>1.2728571428571429</v>
      </c>
      <c r="J1371" s="295"/>
      <c r="K1371" s="300">
        <f t="shared" si="152"/>
        <v>1.1000000000000001</v>
      </c>
      <c r="L1371" s="300">
        <f t="shared" si="153"/>
        <v>0</v>
      </c>
      <c r="M1371" s="285">
        <f t="shared" si="154"/>
        <v>0</v>
      </c>
      <c r="N1371" s="1076">
        <f t="shared" si="155"/>
        <v>0</v>
      </c>
      <c r="O1371" s="294"/>
      <c r="P1371" s="404"/>
      <c r="Q1371" s="404"/>
      <c r="R1371" s="301"/>
      <c r="S1371" s="301"/>
      <c r="T1371" s="301"/>
      <c r="U1371" s="301"/>
      <c r="V1371" s="301"/>
    </row>
    <row r="1372" spans="1:22" ht="14.4" thickTop="1" thickBot="1" x14ac:dyDescent="0.3">
      <c r="A1372" s="292"/>
      <c r="B1372" s="293" t="s">
        <v>2337</v>
      </c>
      <c r="C1372" s="294"/>
      <c r="D1372" s="294"/>
      <c r="E1372" s="294">
        <v>1</v>
      </c>
      <c r="F1372" s="310">
        <f t="shared" si="160"/>
        <v>3.1428571428571428</v>
      </c>
      <c r="G1372" s="310">
        <f>0.225*0.225</f>
        <v>5.0625000000000003E-2</v>
      </c>
      <c r="H1372" s="310">
        <v>4</v>
      </c>
      <c r="I1372" s="295">
        <f t="shared" si="161"/>
        <v>0.63642857142857145</v>
      </c>
      <c r="J1372" s="295"/>
      <c r="K1372" s="300">
        <f t="shared" si="152"/>
        <v>1.1000000000000001</v>
      </c>
      <c r="L1372" s="300">
        <f t="shared" si="153"/>
        <v>0</v>
      </c>
      <c r="M1372" s="285">
        <f t="shared" si="154"/>
        <v>0</v>
      </c>
      <c r="N1372" s="1076">
        <f t="shared" si="155"/>
        <v>0</v>
      </c>
      <c r="O1372" s="294"/>
      <c r="P1372" s="404"/>
      <c r="Q1372" s="404"/>
      <c r="R1372" s="301"/>
      <c r="S1372" s="301"/>
      <c r="T1372" s="301"/>
      <c r="U1372" s="301"/>
      <c r="V1372" s="301"/>
    </row>
    <row r="1373" spans="1:22" ht="14.4" thickTop="1" thickBot="1" x14ac:dyDescent="0.3">
      <c r="A1373" s="292"/>
      <c r="B1373" s="293" t="s">
        <v>2338</v>
      </c>
      <c r="C1373" s="294"/>
      <c r="D1373" s="294"/>
      <c r="E1373" s="294">
        <v>1</v>
      </c>
      <c r="F1373" s="310">
        <f t="shared" si="160"/>
        <v>3.1428571428571428</v>
      </c>
      <c r="G1373" s="310">
        <f>0.225*0.225</f>
        <v>5.0625000000000003E-2</v>
      </c>
      <c r="H1373" s="310">
        <v>4</v>
      </c>
      <c r="I1373" s="295">
        <f t="shared" si="161"/>
        <v>0.63642857142857145</v>
      </c>
      <c r="J1373" s="295">
        <f>SUM(I1366:I1373)</f>
        <v>5.8614285714285712</v>
      </c>
      <c r="K1373" s="300">
        <f t="shared" si="152"/>
        <v>1.1000000000000001</v>
      </c>
      <c r="L1373" s="300">
        <f t="shared" si="153"/>
        <v>6.447571428571429</v>
      </c>
      <c r="M1373" s="285">
        <f t="shared" si="154"/>
        <v>6.4</v>
      </c>
      <c r="N1373" s="1076">
        <f t="shared" si="155"/>
        <v>7</v>
      </c>
      <c r="O1373" s="294"/>
      <c r="P1373" s="404">
        <f>SUM(E1366:E1373)</f>
        <v>10</v>
      </c>
      <c r="Q1373" s="404"/>
      <c r="R1373" s="301"/>
      <c r="S1373" s="301"/>
      <c r="T1373" s="301"/>
      <c r="U1373" s="301"/>
      <c r="V1373" s="301"/>
    </row>
    <row r="1374" spans="1:22" ht="14.4" thickTop="1" thickBot="1" x14ac:dyDescent="0.3">
      <c r="A1374" s="292"/>
      <c r="B1374" s="293"/>
      <c r="C1374" s="294"/>
      <c r="D1374" s="294"/>
      <c r="E1374" s="294"/>
      <c r="F1374" s="310"/>
      <c r="G1374" s="310"/>
      <c r="H1374" s="310"/>
      <c r="I1374" s="295"/>
      <c r="J1374" s="295">
        <f>J1373/2.83</f>
        <v>2.0711761736496719</v>
      </c>
      <c r="K1374" s="300">
        <f t="shared" si="152"/>
        <v>1.1000000000000001</v>
      </c>
      <c r="L1374" s="300">
        <f t="shared" si="153"/>
        <v>2.2782937910146392</v>
      </c>
      <c r="M1374" s="285">
        <f t="shared" si="154"/>
        <v>2.2999999999999998</v>
      </c>
      <c r="N1374" s="1076">
        <f t="shared" si="155"/>
        <v>3</v>
      </c>
      <c r="O1374" s="294"/>
      <c r="P1374" s="404"/>
      <c r="Q1374" s="404"/>
      <c r="R1374" s="301"/>
      <c r="S1374" s="301"/>
      <c r="T1374" s="301"/>
      <c r="U1374" s="301"/>
      <c r="V1374" s="301"/>
    </row>
    <row r="1375" spans="1:22" ht="14.4" thickTop="1" thickBot="1" x14ac:dyDescent="0.3">
      <c r="A1375" s="292"/>
      <c r="B1375" s="293" t="s">
        <v>2341</v>
      </c>
      <c r="C1375" s="294"/>
      <c r="D1375" s="294"/>
      <c r="E1375" s="294"/>
      <c r="F1375" s="310"/>
      <c r="G1375" s="310"/>
      <c r="H1375" s="310"/>
      <c r="I1375" s="295"/>
      <c r="J1375" s="295"/>
      <c r="K1375" s="300">
        <f t="shared" si="152"/>
        <v>1.1000000000000001</v>
      </c>
      <c r="L1375" s="300">
        <f t="shared" si="153"/>
        <v>0</v>
      </c>
      <c r="M1375" s="285">
        <f t="shared" si="154"/>
        <v>0</v>
      </c>
      <c r="N1375" s="1076">
        <f t="shared" si="155"/>
        <v>0</v>
      </c>
      <c r="O1375" s="294"/>
      <c r="P1375" s="404"/>
      <c r="Q1375" s="404"/>
      <c r="R1375" s="301"/>
      <c r="S1375" s="301"/>
      <c r="T1375" s="301"/>
      <c r="U1375" s="301"/>
      <c r="V1375" s="301"/>
    </row>
    <row r="1376" spans="1:22" ht="14.4" thickTop="1" thickBot="1" x14ac:dyDescent="0.3">
      <c r="A1376" s="292"/>
      <c r="B1376" s="293" t="s">
        <v>2333</v>
      </c>
      <c r="C1376" s="294"/>
      <c r="D1376" s="294"/>
      <c r="E1376" s="294">
        <v>1</v>
      </c>
      <c r="F1376" s="310">
        <f>2*(22/7)</f>
        <v>6.2857142857142856</v>
      </c>
      <c r="G1376" s="310">
        <f>0.225</f>
        <v>0.22500000000000001</v>
      </c>
      <c r="H1376" s="310">
        <v>4</v>
      </c>
      <c r="I1376" s="295">
        <f>H1376*G1376*F1376*E1376</f>
        <v>5.6571428571428575</v>
      </c>
      <c r="J1376" s="295"/>
      <c r="K1376" s="300">
        <f t="shared" si="152"/>
        <v>1.1000000000000001</v>
      </c>
      <c r="L1376" s="300">
        <f t="shared" si="153"/>
        <v>0</v>
      </c>
      <c r="M1376" s="285">
        <f t="shared" si="154"/>
        <v>0</v>
      </c>
      <c r="N1376" s="1076">
        <f t="shared" si="155"/>
        <v>0</v>
      </c>
      <c r="O1376" s="294"/>
      <c r="P1376" s="404"/>
      <c r="Q1376" s="404"/>
      <c r="R1376" s="301"/>
      <c r="S1376" s="301"/>
      <c r="T1376" s="301"/>
      <c r="U1376" s="301"/>
      <c r="V1376" s="301"/>
    </row>
    <row r="1377" spans="1:22" ht="14.4" thickTop="1" thickBot="1" x14ac:dyDescent="0.3">
      <c r="A1377" s="292"/>
      <c r="B1377" s="293" t="s">
        <v>2334</v>
      </c>
      <c r="C1377" s="294"/>
      <c r="D1377" s="294"/>
      <c r="E1377" s="294">
        <v>2</v>
      </c>
      <c r="F1377" s="310">
        <f t="shared" ref="F1377:F1383" si="162">2*(22/7)</f>
        <v>6.2857142857142856</v>
      </c>
      <c r="G1377" s="310">
        <f t="shared" ref="G1377:G1378" si="163">0.225</f>
        <v>0.22500000000000001</v>
      </c>
      <c r="H1377" s="310">
        <v>4</v>
      </c>
      <c r="I1377" s="295">
        <f t="shared" ref="I1377:I1383" si="164">H1377*G1377*F1377*E1377</f>
        <v>11.314285714285715</v>
      </c>
      <c r="J1377" s="295"/>
      <c r="K1377" s="300">
        <f t="shared" si="152"/>
        <v>1.1000000000000001</v>
      </c>
      <c r="L1377" s="300">
        <f t="shared" si="153"/>
        <v>0</v>
      </c>
      <c r="M1377" s="285">
        <f t="shared" si="154"/>
        <v>0</v>
      </c>
      <c r="N1377" s="1076">
        <f t="shared" si="155"/>
        <v>0</v>
      </c>
      <c r="O1377" s="294"/>
      <c r="P1377" s="404"/>
      <c r="Q1377" s="404"/>
      <c r="R1377" s="301"/>
      <c r="S1377" s="301"/>
      <c r="T1377" s="301"/>
      <c r="U1377" s="301"/>
      <c r="V1377" s="301"/>
    </row>
    <row r="1378" spans="1:22" ht="14.4" thickTop="1" thickBot="1" x14ac:dyDescent="0.3">
      <c r="A1378" s="292"/>
      <c r="B1378" s="293" t="s">
        <v>2335</v>
      </c>
      <c r="C1378" s="294"/>
      <c r="D1378" s="294"/>
      <c r="E1378" s="294">
        <v>1</v>
      </c>
      <c r="F1378" s="310">
        <f t="shared" si="162"/>
        <v>6.2857142857142856</v>
      </c>
      <c r="G1378" s="310">
        <f t="shared" si="163"/>
        <v>0.22500000000000001</v>
      </c>
      <c r="H1378" s="310">
        <v>4</v>
      </c>
      <c r="I1378" s="295">
        <f t="shared" si="164"/>
        <v>5.6571428571428575</v>
      </c>
      <c r="J1378" s="295"/>
      <c r="K1378" s="300">
        <f t="shared" si="152"/>
        <v>1.1000000000000001</v>
      </c>
      <c r="L1378" s="300">
        <f t="shared" si="153"/>
        <v>0</v>
      </c>
      <c r="M1378" s="285">
        <f t="shared" si="154"/>
        <v>0</v>
      </c>
      <c r="N1378" s="1076">
        <f t="shared" si="155"/>
        <v>0</v>
      </c>
      <c r="O1378" s="294"/>
      <c r="P1378" s="404"/>
      <c r="Q1378" s="404"/>
      <c r="R1378" s="301"/>
      <c r="S1378" s="301"/>
      <c r="T1378" s="301"/>
      <c r="U1378" s="301"/>
      <c r="V1378" s="301"/>
    </row>
    <row r="1379" spans="1:22" ht="14.4" thickTop="1" thickBot="1" x14ac:dyDescent="0.3">
      <c r="A1379" s="292"/>
      <c r="B1379" s="293" t="s">
        <v>2339</v>
      </c>
      <c r="C1379" s="294"/>
      <c r="D1379" s="294"/>
      <c r="E1379" s="294">
        <v>1</v>
      </c>
      <c r="F1379" s="310">
        <f t="shared" si="162"/>
        <v>6.2857142857142856</v>
      </c>
      <c r="G1379" s="310">
        <f t="shared" ref="G1379:G1380" si="165">0.175</f>
        <v>0.17499999999999999</v>
      </c>
      <c r="H1379" s="310">
        <v>4</v>
      </c>
      <c r="I1379" s="295">
        <f t="shared" si="164"/>
        <v>4.3999999999999995</v>
      </c>
      <c r="J1379" s="295"/>
      <c r="K1379" s="300">
        <f t="shared" si="152"/>
        <v>1.1000000000000001</v>
      </c>
      <c r="L1379" s="300">
        <f t="shared" si="153"/>
        <v>0</v>
      </c>
      <c r="M1379" s="285">
        <f t="shared" si="154"/>
        <v>0</v>
      </c>
      <c r="N1379" s="1076">
        <f t="shared" si="155"/>
        <v>0</v>
      </c>
      <c r="O1379" s="294"/>
      <c r="P1379" s="404"/>
      <c r="Q1379" s="404"/>
      <c r="R1379" s="301"/>
      <c r="S1379" s="301"/>
      <c r="T1379" s="301"/>
      <c r="U1379" s="301"/>
      <c r="V1379" s="301"/>
    </row>
    <row r="1380" spans="1:22" ht="14.4" thickTop="1" thickBot="1" x14ac:dyDescent="0.3">
      <c r="A1380" s="292"/>
      <c r="B1380" s="293" t="s">
        <v>2336</v>
      </c>
      <c r="C1380" s="294"/>
      <c r="D1380" s="294"/>
      <c r="E1380" s="294">
        <v>1</v>
      </c>
      <c r="F1380" s="310">
        <f t="shared" si="162"/>
        <v>6.2857142857142856</v>
      </c>
      <c r="G1380" s="310">
        <f t="shared" si="165"/>
        <v>0.17499999999999999</v>
      </c>
      <c r="H1380" s="310">
        <v>4</v>
      </c>
      <c r="I1380" s="295">
        <f t="shared" si="164"/>
        <v>4.3999999999999995</v>
      </c>
      <c r="J1380" s="295"/>
      <c r="K1380" s="300">
        <f t="shared" si="152"/>
        <v>1.1000000000000001</v>
      </c>
      <c r="L1380" s="300">
        <f t="shared" si="153"/>
        <v>0</v>
      </c>
      <c r="M1380" s="285">
        <f t="shared" si="154"/>
        <v>0</v>
      </c>
      <c r="N1380" s="1076">
        <f t="shared" si="155"/>
        <v>0</v>
      </c>
      <c r="O1380" s="294"/>
      <c r="P1380" s="404"/>
      <c r="Q1380" s="404"/>
      <c r="R1380" s="301"/>
      <c r="S1380" s="301"/>
      <c r="T1380" s="301"/>
      <c r="U1380" s="301"/>
      <c r="V1380" s="301"/>
    </row>
    <row r="1381" spans="1:22" ht="14.4" thickTop="1" thickBot="1" x14ac:dyDescent="0.3">
      <c r="A1381" s="292"/>
      <c r="B1381" s="293" t="s">
        <v>2340</v>
      </c>
      <c r="C1381" s="294"/>
      <c r="D1381" s="294"/>
      <c r="E1381" s="294">
        <v>2</v>
      </c>
      <c r="F1381" s="310">
        <f t="shared" si="162"/>
        <v>6.2857142857142856</v>
      </c>
      <c r="G1381" s="310">
        <f t="shared" ref="G1381:G1383" si="166">0.225</f>
        <v>0.22500000000000001</v>
      </c>
      <c r="H1381" s="310">
        <v>4</v>
      </c>
      <c r="I1381" s="295">
        <f t="shared" si="164"/>
        <v>11.314285714285715</v>
      </c>
      <c r="J1381" s="295"/>
      <c r="K1381" s="300">
        <f t="shared" si="152"/>
        <v>1.1000000000000001</v>
      </c>
      <c r="L1381" s="300">
        <f t="shared" si="153"/>
        <v>0</v>
      </c>
      <c r="M1381" s="285">
        <f t="shared" si="154"/>
        <v>0</v>
      </c>
      <c r="N1381" s="1076">
        <f t="shared" si="155"/>
        <v>0</v>
      </c>
      <c r="O1381" s="294"/>
      <c r="P1381" s="404"/>
      <c r="Q1381" s="404"/>
      <c r="R1381" s="301"/>
      <c r="S1381" s="301"/>
      <c r="T1381" s="301"/>
      <c r="U1381" s="301"/>
      <c r="V1381" s="301"/>
    </row>
    <row r="1382" spans="1:22" ht="14.4" thickTop="1" thickBot="1" x14ac:dyDescent="0.3">
      <c r="A1382" s="292"/>
      <c r="B1382" s="293" t="s">
        <v>2337</v>
      </c>
      <c r="C1382" s="294"/>
      <c r="D1382" s="294"/>
      <c r="E1382" s="294">
        <v>1</v>
      </c>
      <c r="F1382" s="310">
        <f t="shared" si="162"/>
        <v>6.2857142857142856</v>
      </c>
      <c r="G1382" s="310">
        <f t="shared" si="166"/>
        <v>0.22500000000000001</v>
      </c>
      <c r="H1382" s="310">
        <v>4</v>
      </c>
      <c r="I1382" s="295">
        <f t="shared" si="164"/>
        <v>5.6571428571428575</v>
      </c>
      <c r="J1382" s="295"/>
      <c r="K1382" s="300">
        <f t="shared" si="152"/>
        <v>1.1000000000000001</v>
      </c>
      <c r="L1382" s="300">
        <f t="shared" si="153"/>
        <v>0</v>
      </c>
      <c r="M1382" s="285">
        <f t="shared" si="154"/>
        <v>0</v>
      </c>
      <c r="N1382" s="1076">
        <f t="shared" si="155"/>
        <v>0</v>
      </c>
      <c r="O1382" s="294"/>
      <c r="P1382" s="404"/>
      <c r="Q1382" s="404"/>
      <c r="R1382" s="301"/>
      <c r="S1382" s="301"/>
      <c r="T1382" s="301"/>
      <c r="U1382" s="301"/>
      <c r="V1382" s="301"/>
    </row>
    <row r="1383" spans="1:22" ht="14.4" thickTop="1" thickBot="1" x14ac:dyDescent="0.3">
      <c r="A1383" s="292"/>
      <c r="B1383" s="293" t="s">
        <v>2338</v>
      </c>
      <c r="C1383" s="294"/>
      <c r="D1383" s="294"/>
      <c r="E1383" s="294">
        <v>1</v>
      </c>
      <c r="F1383" s="310">
        <f t="shared" si="162"/>
        <v>6.2857142857142856</v>
      </c>
      <c r="G1383" s="310">
        <f t="shared" si="166"/>
        <v>0.22500000000000001</v>
      </c>
      <c r="H1383" s="310">
        <v>4</v>
      </c>
      <c r="I1383" s="295">
        <f t="shared" si="164"/>
        <v>5.6571428571428575</v>
      </c>
      <c r="J1383" s="295"/>
      <c r="K1383" s="300">
        <f t="shared" si="152"/>
        <v>1.1000000000000001</v>
      </c>
      <c r="L1383" s="300">
        <f t="shared" si="153"/>
        <v>0</v>
      </c>
      <c r="M1383" s="285">
        <f t="shared" si="154"/>
        <v>0</v>
      </c>
      <c r="N1383" s="1076">
        <f t="shared" si="155"/>
        <v>0</v>
      </c>
      <c r="O1383" s="294"/>
      <c r="P1383" s="404"/>
      <c r="Q1383" s="404"/>
      <c r="R1383" s="301"/>
      <c r="S1383" s="301"/>
      <c r="T1383" s="301"/>
      <c r="U1383" s="301"/>
      <c r="V1383" s="301"/>
    </row>
    <row r="1384" spans="1:22" ht="14.4" thickTop="1" thickBot="1" x14ac:dyDescent="0.3">
      <c r="A1384" s="292"/>
      <c r="B1384" s="293"/>
      <c r="C1384" s="294"/>
      <c r="D1384" s="294"/>
      <c r="E1384" s="294"/>
      <c r="F1384" s="310"/>
      <c r="G1384" s="310"/>
      <c r="H1384" s="310"/>
      <c r="I1384" s="295"/>
      <c r="J1384" s="295">
        <f>SUM(I1376:I1383)</f>
        <v>54.057142857142857</v>
      </c>
      <c r="K1384" s="300">
        <f t="shared" si="152"/>
        <v>1.1000000000000001</v>
      </c>
      <c r="L1384" s="300">
        <f t="shared" si="153"/>
        <v>59.462857142857146</v>
      </c>
      <c r="M1384" s="285">
        <f t="shared" si="154"/>
        <v>59.5</v>
      </c>
      <c r="N1384" s="1076">
        <f t="shared" si="155"/>
        <v>60</v>
      </c>
      <c r="O1384" s="294"/>
      <c r="P1384" s="404"/>
      <c r="Q1384" s="404"/>
      <c r="R1384" s="301"/>
      <c r="S1384" s="301"/>
      <c r="T1384" s="301"/>
      <c r="U1384" s="301"/>
      <c r="V1384" s="301"/>
    </row>
    <row r="1385" spans="1:22" ht="14.4" thickTop="1" thickBot="1" x14ac:dyDescent="0.3">
      <c r="A1385" s="292"/>
      <c r="B1385" s="293"/>
      <c r="C1385" s="294"/>
      <c r="D1385" s="294"/>
      <c r="E1385" s="294"/>
      <c r="F1385" s="310"/>
      <c r="G1385" s="310"/>
      <c r="H1385" s="310"/>
      <c r="I1385" s="295"/>
      <c r="J1385" s="295">
        <f>J1384*10.76</f>
        <v>581.65485714285717</v>
      </c>
      <c r="K1385" s="300">
        <f t="shared" si="152"/>
        <v>1.1000000000000001</v>
      </c>
      <c r="L1385" s="300">
        <f t="shared" si="153"/>
        <v>639.82034285714292</v>
      </c>
      <c r="M1385" s="285">
        <f t="shared" si="154"/>
        <v>639.79999999999995</v>
      </c>
      <c r="N1385" s="1076">
        <f t="shared" si="155"/>
        <v>640</v>
      </c>
      <c r="O1385" s="294"/>
      <c r="P1385" s="404"/>
      <c r="Q1385" s="404"/>
      <c r="R1385" s="301"/>
      <c r="S1385" s="301"/>
      <c r="T1385" s="301"/>
      <c r="U1385" s="301"/>
      <c r="V1385" s="301"/>
    </row>
    <row r="1386" spans="1:22" ht="14.4" thickTop="1" thickBot="1" x14ac:dyDescent="0.3">
      <c r="A1386" s="292"/>
      <c r="B1386" s="293"/>
      <c r="C1386" s="294"/>
      <c r="D1386" s="294"/>
      <c r="E1386" s="294"/>
      <c r="F1386" s="310"/>
      <c r="G1386" s="310"/>
      <c r="H1386" s="310"/>
      <c r="I1386" s="295"/>
      <c r="J1386" s="295">
        <f>J1385/100</f>
        <v>5.8165485714285721</v>
      </c>
      <c r="K1386" s="300">
        <f t="shared" si="152"/>
        <v>1.1000000000000001</v>
      </c>
      <c r="L1386" s="300">
        <f t="shared" si="153"/>
        <v>6.3982034285714295</v>
      </c>
      <c r="M1386" s="285">
        <f t="shared" si="154"/>
        <v>6.4</v>
      </c>
      <c r="N1386" s="1076">
        <f t="shared" si="155"/>
        <v>7</v>
      </c>
      <c r="O1386" s="294"/>
      <c r="P1386" s="404"/>
      <c r="Q1386" s="404"/>
      <c r="R1386" s="301"/>
      <c r="S1386" s="301"/>
      <c r="T1386" s="301"/>
      <c r="U1386" s="301"/>
      <c r="V1386" s="301"/>
    </row>
    <row r="1387" spans="1:22" ht="14.4" thickTop="1" thickBot="1" x14ac:dyDescent="0.3">
      <c r="A1387" s="292"/>
      <c r="B1387" s="293"/>
      <c r="C1387" s="294"/>
      <c r="D1387" s="294"/>
      <c r="E1387" s="294"/>
      <c r="F1387" s="310"/>
      <c r="G1387" s="310"/>
      <c r="H1387" s="310"/>
      <c r="I1387" s="295"/>
      <c r="J1387" s="295"/>
      <c r="K1387" s="300">
        <f t="shared" si="152"/>
        <v>1.1000000000000001</v>
      </c>
      <c r="L1387" s="300">
        <f t="shared" si="153"/>
        <v>0</v>
      </c>
      <c r="M1387" s="285">
        <f t="shared" si="154"/>
        <v>0</v>
      </c>
      <c r="N1387" s="1076">
        <f t="shared" si="155"/>
        <v>0</v>
      </c>
      <c r="O1387" s="294"/>
      <c r="P1387" s="404"/>
      <c r="Q1387" s="404"/>
      <c r="R1387" s="301"/>
      <c r="S1387" s="301"/>
      <c r="T1387" s="301"/>
      <c r="U1387" s="301"/>
      <c r="V1387" s="301"/>
    </row>
    <row r="1388" spans="1:22" ht="14.4" thickTop="1" thickBot="1" x14ac:dyDescent="0.3">
      <c r="A1388" s="292"/>
      <c r="B1388" s="296" t="s">
        <v>2355</v>
      </c>
      <c r="C1388" s="294"/>
      <c r="D1388" s="294"/>
      <c r="E1388" s="294"/>
      <c r="F1388" s="310"/>
      <c r="G1388" s="310"/>
      <c r="H1388" s="310"/>
      <c r="I1388" s="295"/>
      <c r="J1388" s="295"/>
      <c r="K1388" s="300">
        <f t="shared" si="152"/>
        <v>1.1000000000000001</v>
      </c>
      <c r="L1388" s="300">
        <f t="shared" si="153"/>
        <v>0</v>
      </c>
      <c r="M1388" s="285">
        <f t="shared" si="154"/>
        <v>0</v>
      </c>
      <c r="N1388" s="1076">
        <f t="shared" si="155"/>
        <v>0</v>
      </c>
      <c r="O1388" s="294"/>
      <c r="P1388" s="404"/>
      <c r="Q1388" s="404"/>
      <c r="R1388" s="301"/>
      <c r="S1388" s="301"/>
      <c r="T1388" s="301"/>
      <c r="U1388" s="301"/>
      <c r="V1388" s="301"/>
    </row>
    <row r="1389" spans="1:22" ht="14.4" thickTop="1" thickBot="1" x14ac:dyDescent="0.3">
      <c r="A1389" s="292"/>
      <c r="B1389" s="296" t="s">
        <v>2356</v>
      </c>
      <c r="C1389" s="294"/>
      <c r="D1389" s="294"/>
      <c r="E1389" s="294">
        <v>21</v>
      </c>
      <c r="F1389" s="310">
        <v>16</v>
      </c>
      <c r="G1389" s="310"/>
      <c r="H1389" s="310"/>
      <c r="I1389" s="295">
        <f>F1389*E1389</f>
        <v>336</v>
      </c>
      <c r="J1389" s="295"/>
      <c r="K1389" s="300">
        <f t="shared" si="152"/>
        <v>1.1000000000000001</v>
      </c>
      <c r="L1389" s="300">
        <f t="shared" si="153"/>
        <v>0</v>
      </c>
      <c r="M1389" s="285">
        <f t="shared" si="154"/>
        <v>0</v>
      </c>
      <c r="N1389" s="1076">
        <f t="shared" si="155"/>
        <v>0</v>
      </c>
      <c r="O1389" s="294"/>
      <c r="P1389" s="404">
        <f>23.5/1.2</f>
        <v>19.583333333333336</v>
      </c>
      <c r="Q1389" s="404"/>
      <c r="R1389" s="301"/>
      <c r="S1389" s="301"/>
      <c r="T1389" s="301"/>
      <c r="U1389" s="301"/>
      <c r="V1389" s="301"/>
    </row>
    <row r="1390" spans="1:22" ht="14.4" thickTop="1" thickBot="1" x14ac:dyDescent="0.3">
      <c r="A1390" s="292"/>
      <c r="B1390" s="293"/>
      <c r="C1390" s="294"/>
      <c r="D1390" s="294"/>
      <c r="E1390" s="294">
        <v>13</v>
      </c>
      <c r="F1390" s="310">
        <v>16</v>
      </c>
      <c r="G1390" s="310"/>
      <c r="H1390" s="310"/>
      <c r="I1390" s="295">
        <f>F1390*E1390</f>
        <v>208</v>
      </c>
      <c r="J1390" s="295"/>
      <c r="K1390" s="300">
        <f t="shared" si="152"/>
        <v>1.1000000000000001</v>
      </c>
      <c r="L1390" s="300">
        <f t="shared" si="153"/>
        <v>0</v>
      </c>
      <c r="M1390" s="285">
        <f t="shared" si="154"/>
        <v>0</v>
      </c>
      <c r="N1390" s="1076">
        <f t="shared" si="155"/>
        <v>0</v>
      </c>
      <c r="O1390" s="294"/>
      <c r="P1390" s="404">
        <f>13/1.2</f>
        <v>10.833333333333334</v>
      </c>
      <c r="Q1390" s="404"/>
      <c r="R1390" s="301"/>
      <c r="S1390" s="301"/>
      <c r="T1390" s="301"/>
      <c r="U1390" s="301"/>
      <c r="V1390" s="301"/>
    </row>
    <row r="1391" spans="1:22" ht="14.4" thickTop="1" thickBot="1" x14ac:dyDescent="0.3">
      <c r="A1391" s="292"/>
      <c r="B1391" s="293"/>
      <c r="C1391" s="294"/>
      <c r="D1391" s="294"/>
      <c r="E1391" s="294"/>
      <c r="F1391" s="310"/>
      <c r="G1391" s="310"/>
      <c r="H1391" s="310"/>
      <c r="I1391" s="295"/>
      <c r="J1391" s="295">
        <f>SUM(I1389:I1390)</f>
        <v>544</v>
      </c>
      <c r="K1391" s="300">
        <v>1.1000000000000001</v>
      </c>
      <c r="L1391" s="300">
        <f t="shared" si="153"/>
        <v>598.40000000000009</v>
      </c>
      <c r="M1391" s="285">
        <f t="shared" si="154"/>
        <v>598.4</v>
      </c>
      <c r="N1391" s="1076">
        <f t="shared" si="155"/>
        <v>599</v>
      </c>
      <c r="O1391" s="294"/>
      <c r="P1391" s="404"/>
      <c r="Q1391" s="404"/>
      <c r="R1391" s="301"/>
      <c r="S1391" s="301"/>
      <c r="T1391" s="301"/>
      <c r="U1391" s="301"/>
      <c r="V1391" s="301"/>
    </row>
    <row r="1392" spans="1:22" ht="14.4" thickTop="1" thickBot="1" x14ac:dyDescent="0.3">
      <c r="A1392" s="292"/>
      <c r="B1392" s="293"/>
      <c r="C1392" s="294"/>
      <c r="D1392" s="294"/>
      <c r="E1392" s="294"/>
      <c r="F1392" s="310"/>
      <c r="G1392" s="310"/>
      <c r="H1392" s="310"/>
      <c r="I1392" s="295"/>
      <c r="J1392" s="295"/>
      <c r="K1392" s="300">
        <f t="shared" si="152"/>
        <v>1.1000000000000001</v>
      </c>
      <c r="L1392" s="300">
        <f t="shared" si="153"/>
        <v>0</v>
      </c>
      <c r="M1392" s="285">
        <f t="shared" si="154"/>
        <v>0</v>
      </c>
      <c r="N1392" s="1076">
        <f t="shared" si="155"/>
        <v>0</v>
      </c>
      <c r="O1392" s="294"/>
      <c r="P1392" s="404"/>
      <c r="Q1392" s="404"/>
      <c r="R1392" s="301"/>
      <c r="S1392" s="301"/>
      <c r="T1392" s="301"/>
      <c r="U1392" s="301"/>
      <c r="V1392" s="301"/>
    </row>
    <row r="1393" spans="1:22" ht="14.4" thickTop="1" thickBot="1" x14ac:dyDescent="0.3">
      <c r="A1393" s="292"/>
      <c r="B1393" s="296" t="s">
        <v>2357</v>
      </c>
      <c r="C1393" s="294"/>
      <c r="D1393" s="294"/>
      <c r="E1393" s="294"/>
      <c r="F1393" s="310">
        <v>23.233000000000001</v>
      </c>
      <c r="G1393" s="310">
        <v>16.5</v>
      </c>
      <c r="H1393" s="310"/>
      <c r="I1393" s="295">
        <f>G1393*F1393</f>
        <v>383.34449999999998</v>
      </c>
      <c r="J1393" s="295"/>
      <c r="K1393" s="300">
        <f t="shared" si="152"/>
        <v>1.1000000000000001</v>
      </c>
      <c r="L1393" s="300">
        <f t="shared" si="153"/>
        <v>0</v>
      </c>
      <c r="M1393" s="285">
        <f t="shared" si="154"/>
        <v>0</v>
      </c>
      <c r="N1393" s="1076">
        <f t="shared" si="155"/>
        <v>0</v>
      </c>
      <c r="O1393" s="294"/>
      <c r="P1393" s="404"/>
      <c r="Q1393" s="404"/>
      <c r="R1393" s="301"/>
      <c r="S1393" s="301"/>
      <c r="T1393" s="301"/>
      <c r="U1393" s="301"/>
      <c r="V1393" s="301"/>
    </row>
    <row r="1394" spans="1:22" ht="14.4" thickTop="1" thickBot="1" x14ac:dyDescent="0.3">
      <c r="A1394" s="292"/>
      <c r="B1394" s="293"/>
      <c r="C1394" s="294"/>
      <c r="D1394" s="294"/>
      <c r="E1394" s="294"/>
      <c r="F1394" s="310">
        <v>16.12</v>
      </c>
      <c r="G1394" s="310">
        <v>16.5</v>
      </c>
      <c r="H1394" s="310"/>
      <c r="I1394" s="295">
        <f>G1394*F1394</f>
        <v>265.98</v>
      </c>
      <c r="J1394" s="295"/>
      <c r="K1394" s="300">
        <f t="shared" si="152"/>
        <v>1.1000000000000001</v>
      </c>
      <c r="L1394" s="300">
        <f t="shared" si="153"/>
        <v>0</v>
      </c>
      <c r="M1394" s="285">
        <f t="shared" si="154"/>
        <v>0</v>
      </c>
      <c r="N1394" s="1076">
        <f t="shared" si="155"/>
        <v>0</v>
      </c>
      <c r="O1394" s="294"/>
      <c r="P1394" s="404"/>
      <c r="Q1394" s="404"/>
      <c r="R1394" s="301"/>
      <c r="S1394" s="301"/>
      <c r="T1394" s="301"/>
      <c r="U1394" s="301"/>
      <c r="V1394" s="301"/>
    </row>
    <row r="1395" spans="1:22" ht="14.4" thickTop="1" thickBot="1" x14ac:dyDescent="0.3">
      <c r="A1395" s="292"/>
      <c r="B1395" s="293"/>
      <c r="C1395" s="294"/>
      <c r="D1395" s="294"/>
      <c r="E1395" s="294"/>
      <c r="F1395" s="310"/>
      <c r="G1395" s="310"/>
      <c r="H1395" s="310"/>
      <c r="I1395" s="295"/>
      <c r="J1395" s="295">
        <f>SUM(I1393:I1394)</f>
        <v>649.32449999999994</v>
      </c>
      <c r="K1395" s="300">
        <f t="shared" si="152"/>
        <v>1.1000000000000001</v>
      </c>
      <c r="L1395" s="300">
        <f t="shared" si="153"/>
        <v>714.25694999999996</v>
      </c>
      <c r="M1395" s="285">
        <f t="shared" si="154"/>
        <v>714.3</v>
      </c>
      <c r="N1395" s="1076">
        <f t="shared" si="155"/>
        <v>715</v>
      </c>
      <c r="O1395" s="294"/>
      <c r="P1395" s="404"/>
      <c r="Q1395" s="404"/>
      <c r="R1395" s="301"/>
      <c r="S1395" s="301"/>
      <c r="T1395" s="301"/>
      <c r="U1395" s="301"/>
      <c r="V1395" s="301"/>
    </row>
    <row r="1396" spans="1:22" ht="14.4" thickTop="1" thickBot="1" x14ac:dyDescent="0.3">
      <c r="A1396" s="292"/>
      <c r="B1396" s="293"/>
      <c r="C1396" s="294"/>
      <c r="D1396" s="294"/>
      <c r="E1396" s="294"/>
      <c r="F1396" s="310"/>
      <c r="G1396" s="310"/>
      <c r="H1396" s="310"/>
      <c r="I1396" s="295"/>
      <c r="J1396" s="295">
        <f>J1395*10.76</f>
        <v>6986.7316199999996</v>
      </c>
      <c r="K1396" s="300">
        <f t="shared" si="152"/>
        <v>1.1000000000000001</v>
      </c>
      <c r="L1396" s="300">
        <f t="shared" si="153"/>
        <v>7685.4047820000005</v>
      </c>
      <c r="M1396" s="285">
        <f t="shared" si="154"/>
        <v>7685.4</v>
      </c>
      <c r="N1396" s="1076">
        <f t="shared" si="155"/>
        <v>7686</v>
      </c>
      <c r="O1396" s="294"/>
      <c r="P1396" s="404"/>
      <c r="Q1396" s="404"/>
      <c r="R1396" s="301"/>
      <c r="S1396" s="301"/>
      <c r="T1396" s="301"/>
      <c r="U1396" s="301"/>
      <c r="V1396" s="301"/>
    </row>
    <row r="1397" spans="1:22" ht="14.4" thickTop="1" thickBot="1" x14ac:dyDescent="0.3">
      <c r="A1397" s="292"/>
      <c r="B1397" s="293"/>
      <c r="C1397" s="294"/>
      <c r="D1397" s="294"/>
      <c r="E1397" s="294"/>
      <c r="F1397" s="310"/>
      <c r="G1397" s="310"/>
      <c r="H1397" s="310"/>
      <c r="I1397" s="295"/>
      <c r="J1397" s="295">
        <f>J1396/100</f>
        <v>69.867316199999991</v>
      </c>
      <c r="K1397" s="300">
        <v>1.02</v>
      </c>
      <c r="L1397" s="300">
        <f t="shared" si="153"/>
        <v>71.264662523999988</v>
      </c>
      <c r="M1397" s="285">
        <f t="shared" si="154"/>
        <v>71.3</v>
      </c>
      <c r="N1397" s="1076">
        <f t="shared" si="155"/>
        <v>72</v>
      </c>
      <c r="O1397" s="294"/>
      <c r="P1397" s="404"/>
      <c r="Q1397" s="404"/>
      <c r="R1397" s="301"/>
      <c r="S1397" s="301"/>
      <c r="T1397" s="301"/>
      <c r="U1397" s="301"/>
      <c r="V1397" s="301"/>
    </row>
    <row r="1398" spans="1:22" ht="14.4" thickTop="1" thickBot="1" x14ac:dyDescent="0.3">
      <c r="A1398" s="292"/>
      <c r="B1398" s="293"/>
      <c r="C1398" s="294"/>
      <c r="D1398" s="294"/>
      <c r="E1398" s="294"/>
      <c r="F1398" s="310"/>
      <c r="G1398" s="310"/>
      <c r="H1398" s="310"/>
      <c r="I1398" s="295"/>
      <c r="J1398" s="295"/>
      <c r="K1398" s="300">
        <f t="shared" si="152"/>
        <v>1.1000000000000001</v>
      </c>
      <c r="L1398" s="300">
        <f t="shared" si="153"/>
        <v>0</v>
      </c>
      <c r="M1398" s="285">
        <f t="shared" si="154"/>
        <v>0</v>
      </c>
      <c r="N1398" s="1076">
        <f t="shared" si="155"/>
        <v>0</v>
      </c>
      <c r="O1398" s="294"/>
      <c r="P1398" s="404"/>
      <c r="Q1398" s="404"/>
      <c r="R1398" s="301"/>
      <c r="S1398" s="301"/>
      <c r="T1398" s="301"/>
      <c r="U1398" s="301"/>
      <c r="V1398" s="301"/>
    </row>
    <row r="1399" spans="1:22" ht="14.4" thickTop="1" thickBot="1" x14ac:dyDescent="0.3">
      <c r="A1399" s="292"/>
      <c r="B1399" s="296" t="s">
        <v>1316</v>
      </c>
      <c r="C1399" s="294"/>
      <c r="D1399" s="294"/>
      <c r="E1399" s="294">
        <v>2</v>
      </c>
      <c r="F1399" s="310">
        <v>23</v>
      </c>
      <c r="G1399" s="310"/>
      <c r="H1399" s="310"/>
      <c r="I1399" s="295">
        <f>F1399*E1399</f>
        <v>46</v>
      </c>
      <c r="J1399" s="295"/>
      <c r="K1399" s="300">
        <f t="shared" si="152"/>
        <v>1.1000000000000001</v>
      </c>
      <c r="L1399" s="300">
        <f t="shared" si="153"/>
        <v>0</v>
      </c>
      <c r="M1399" s="285">
        <f t="shared" si="154"/>
        <v>0</v>
      </c>
      <c r="N1399" s="1076">
        <f t="shared" si="155"/>
        <v>0</v>
      </c>
      <c r="O1399" s="294"/>
      <c r="P1399" s="404"/>
      <c r="Q1399" s="404"/>
      <c r="R1399" s="301"/>
      <c r="S1399" s="301"/>
      <c r="T1399" s="301"/>
      <c r="U1399" s="301"/>
      <c r="V1399" s="301"/>
    </row>
    <row r="1400" spans="1:22" ht="14.4" thickTop="1" thickBot="1" x14ac:dyDescent="0.3">
      <c r="A1400" s="292"/>
      <c r="B1400" s="293"/>
      <c r="C1400" s="294"/>
      <c r="D1400" s="294"/>
      <c r="E1400" s="294">
        <v>2</v>
      </c>
      <c r="F1400" s="310">
        <v>16.5</v>
      </c>
      <c r="G1400" s="310"/>
      <c r="H1400" s="310"/>
      <c r="I1400" s="295">
        <f t="shared" ref="I1400:I1401" si="167">F1400*E1400</f>
        <v>33</v>
      </c>
      <c r="J1400" s="295"/>
      <c r="K1400" s="300">
        <f t="shared" si="152"/>
        <v>1.1000000000000001</v>
      </c>
      <c r="L1400" s="300">
        <f t="shared" si="153"/>
        <v>0</v>
      </c>
      <c r="M1400" s="285">
        <f t="shared" si="154"/>
        <v>0</v>
      </c>
      <c r="N1400" s="1076">
        <f t="shared" si="155"/>
        <v>0</v>
      </c>
      <c r="O1400" s="294"/>
      <c r="P1400" s="404"/>
      <c r="Q1400" s="404"/>
      <c r="R1400" s="301"/>
      <c r="S1400" s="301"/>
      <c r="T1400" s="301"/>
      <c r="U1400" s="301"/>
      <c r="V1400" s="301"/>
    </row>
    <row r="1401" spans="1:22" ht="14.4" thickTop="1" thickBot="1" x14ac:dyDescent="0.3">
      <c r="A1401" s="292"/>
      <c r="B1401" s="293"/>
      <c r="C1401" s="294"/>
      <c r="D1401" s="294"/>
      <c r="E1401" s="294">
        <v>2</v>
      </c>
      <c r="F1401" s="310">
        <v>13</v>
      </c>
      <c r="G1401" s="310"/>
      <c r="H1401" s="310"/>
      <c r="I1401" s="295">
        <f t="shared" si="167"/>
        <v>26</v>
      </c>
      <c r="J1401" s="295"/>
      <c r="K1401" s="300">
        <f t="shared" si="152"/>
        <v>1.1000000000000001</v>
      </c>
      <c r="L1401" s="300">
        <f t="shared" si="153"/>
        <v>0</v>
      </c>
      <c r="M1401" s="285">
        <f t="shared" si="154"/>
        <v>0</v>
      </c>
      <c r="N1401" s="1076">
        <f t="shared" si="155"/>
        <v>0</v>
      </c>
      <c r="O1401" s="294"/>
      <c r="P1401" s="404"/>
      <c r="Q1401" s="404"/>
      <c r="R1401" s="301"/>
      <c r="S1401" s="301"/>
      <c r="T1401" s="301"/>
      <c r="U1401" s="301"/>
      <c r="V1401" s="301"/>
    </row>
    <row r="1402" spans="1:22" ht="14.4" thickTop="1" thickBot="1" x14ac:dyDescent="0.3">
      <c r="A1402" s="292"/>
      <c r="B1402" s="293"/>
      <c r="C1402" s="294"/>
      <c r="D1402" s="294"/>
      <c r="E1402" s="294"/>
      <c r="F1402" s="310"/>
      <c r="G1402" s="310"/>
      <c r="H1402" s="310"/>
      <c r="I1402" s="295"/>
      <c r="J1402" s="295">
        <f>SUM(I1399:I1401)</f>
        <v>105</v>
      </c>
      <c r="K1402" s="300">
        <f t="shared" si="152"/>
        <v>1.1000000000000001</v>
      </c>
      <c r="L1402" s="300">
        <f t="shared" si="153"/>
        <v>115.50000000000001</v>
      </c>
      <c r="M1402" s="285">
        <f t="shared" si="154"/>
        <v>115.5</v>
      </c>
      <c r="N1402" s="1076">
        <f t="shared" si="155"/>
        <v>116</v>
      </c>
      <c r="O1402" s="294"/>
      <c r="P1402" s="404"/>
      <c r="Q1402" s="404"/>
      <c r="R1402" s="301"/>
      <c r="S1402" s="301"/>
      <c r="T1402" s="301"/>
      <c r="U1402" s="301"/>
      <c r="V1402" s="301"/>
    </row>
    <row r="1403" spans="1:22" ht="14.4" thickTop="1" thickBot="1" x14ac:dyDescent="0.3">
      <c r="A1403" s="292"/>
      <c r="B1403" s="293"/>
      <c r="C1403" s="294"/>
      <c r="D1403" s="294"/>
      <c r="E1403" s="294"/>
      <c r="F1403" s="310"/>
      <c r="G1403" s="310"/>
      <c r="H1403" s="310"/>
      <c r="I1403" s="295"/>
      <c r="J1403" s="295">
        <f>J1402*3.28</f>
        <v>344.4</v>
      </c>
      <c r="K1403" s="300">
        <f t="shared" si="152"/>
        <v>1.1000000000000001</v>
      </c>
      <c r="L1403" s="300">
        <f t="shared" si="153"/>
        <v>378.84000000000003</v>
      </c>
      <c r="M1403" s="285">
        <f t="shared" si="154"/>
        <v>378.8</v>
      </c>
      <c r="N1403" s="1076">
        <f t="shared" si="155"/>
        <v>379</v>
      </c>
      <c r="O1403" s="294"/>
      <c r="P1403" s="404"/>
      <c r="Q1403" s="404"/>
      <c r="R1403" s="301"/>
      <c r="S1403" s="301"/>
      <c r="T1403" s="301"/>
      <c r="U1403" s="301"/>
      <c r="V1403" s="301"/>
    </row>
    <row r="1404" spans="1:22" ht="14.4" thickTop="1" thickBot="1" x14ac:dyDescent="0.3">
      <c r="A1404" s="292"/>
      <c r="B1404" s="293"/>
      <c r="C1404" s="294"/>
      <c r="D1404" s="294"/>
      <c r="E1404" s="294"/>
      <c r="F1404" s="310"/>
      <c r="G1404" s="310"/>
      <c r="H1404" s="310"/>
      <c r="I1404" s="295"/>
      <c r="J1404" s="295"/>
      <c r="K1404" s="300">
        <f t="shared" si="152"/>
        <v>1.1000000000000001</v>
      </c>
      <c r="L1404" s="300">
        <f t="shared" si="153"/>
        <v>0</v>
      </c>
      <c r="M1404" s="285">
        <f t="shared" si="154"/>
        <v>0</v>
      </c>
      <c r="N1404" s="1076">
        <f t="shared" si="155"/>
        <v>0</v>
      </c>
      <c r="O1404" s="294"/>
      <c r="P1404" s="404"/>
      <c r="Q1404" s="404"/>
      <c r="R1404" s="301"/>
      <c r="S1404" s="301"/>
      <c r="T1404" s="301"/>
      <c r="U1404" s="301"/>
      <c r="V1404" s="301"/>
    </row>
    <row r="1405" spans="1:22" ht="14.4" thickTop="1" thickBot="1" x14ac:dyDescent="0.3">
      <c r="A1405" s="292"/>
      <c r="B1405" s="296" t="s">
        <v>1319</v>
      </c>
      <c r="C1405" s="294"/>
      <c r="D1405" s="294"/>
      <c r="E1405" s="294">
        <v>2</v>
      </c>
      <c r="F1405" s="310">
        <v>23</v>
      </c>
      <c r="G1405" s="310"/>
      <c r="H1405" s="310"/>
      <c r="I1405" s="295">
        <f>F1405*E1405</f>
        <v>46</v>
      </c>
      <c r="J1405" s="295"/>
      <c r="K1405" s="300">
        <f t="shared" si="152"/>
        <v>1.1000000000000001</v>
      </c>
      <c r="L1405" s="300">
        <f t="shared" si="153"/>
        <v>0</v>
      </c>
      <c r="M1405" s="285">
        <f t="shared" si="154"/>
        <v>0</v>
      </c>
      <c r="N1405" s="1076">
        <f t="shared" si="155"/>
        <v>0</v>
      </c>
      <c r="O1405" s="294"/>
      <c r="P1405" s="404"/>
      <c r="Q1405" s="404"/>
      <c r="R1405" s="301"/>
      <c r="S1405" s="301"/>
      <c r="T1405" s="301"/>
      <c r="U1405" s="301"/>
      <c r="V1405" s="301"/>
    </row>
    <row r="1406" spans="1:22" ht="14.4" thickTop="1" thickBot="1" x14ac:dyDescent="0.3">
      <c r="A1406" s="292"/>
      <c r="B1406" s="293"/>
      <c r="C1406" s="294"/>
      <c r="D1406" s="294"/>
      <c r="E1406" s="294">
        <v>4</v>
      </c>
      <c r="F1406" s="310">
        <v>16.5</v>
      </c>
      <c r="G1406" s="310"/>
      <c r="H1406" s="310"/>
      <c r="I1406" s="295">
        <f t="shared" ref="I1406:I1407" si="168">F1406*E1406</f>
        <v>66</v>
      </c>
      <c r="J1406" s="295"/>
      <c r="K1406" s="300">
        <f t="shared" si="152"/>
        <v>1.1000000000000001</v>
      </c>
      <c r="L1406" s="300">
        <f t="shared" si="153"/>
        <v>0</v>
      </c>
      <c r="M1406" s="285">
        <f t="shared" si="154"/>
        <v>0</v>
      </c>
      <c r="N1406" s="1076">
        <f t="shared" si="155"/>
        <v>0</v>
      </c>
      <c r="O1406" s="294"/>
      <c r="P1406" s="404"/>
      <c r="Q1406" s="404"/>
      <c r="R1406" s="301"/>
      <c r="S1406" s="301"/>
      <c r="T1406" s="301"/>
      <c r="U1406" s="301"/>
      <c r="V1406" s="301"/>
    </row>
    <row r="1407" spans="1:22" ht="14.4" thickTop="1" thickBot="1" x14ac:dyDescent="0.3">
      <c r="A1407" s="292"/>
      <c r="B1407" s="293"/>
      <c r="C1407" s="294"/>
      <c r="D1407" s="294"/>
      <c r="E1407" s="294">
        <v>2</v>
      </c>
      <c r="F1407" s="310">
        <v>13</v>
      </c>
      <c r="G1407" s="310"/>
      <c r="H1407" s="310"/>
      <c r="I1407" s="295">
        <f t="shared" si="168"/>
        <v>26</v>
      </c>
      <c r="J1407" s="295"/>
      <c r="K1407" s="300">
        <f t="shared" si="152"/>
        <v>1.1000000000000001</v>
      </c>
      <c r="L1407" s="300">
        <f t="shared" si="153"/>
        <v>0</v>
      </c>
      <c r="M1407" s="285">
        <f t="shared" si="154"/>
        <v>0</v>
      </c>
      <c r="N1407" s="1076">
        <f t="shared" si="155"/>
        <v>0</v>
      </c>
      <c r="O1407" s="294"/>
      <c r="P1407" s="404"/>
      <c r="Q1407" s="404"/>
      <c r="R1407" s="301"/>
      <c r="S1407" s="301"/>
      <c r="T1407" s="301"/>
      <c r="U1407" s="301"/>
      <c r="V1407" s="301"/>
    </row>
    <row r="1408" spans="1:22" ht="14.4" thickTop="1" thickBot="1" x14ac:dyDescent="0.3">
      <c r="A1408" s="292"/>
      <c r="B1408" s="293"/>
      <c r="C1408" s="294"/>
      <c r="D1408" s="294"/>
      <c r="E1408" s="294"/>
      <c r="F1408" s="310"/>
      <c r="G1408" s="310"/>
      <c r="H1408" s="310"/>
      <c r="I1408" s="295"/>
      <c r="J1408" s="295">
        <f>SUM(I1405:I1407)</f>
        <v>138</v>
      </c>
      <c r="K1408" s="300">
        <f t="shared" si="152"/>
        <v>1.1000000000000001</v>
      </c>
      <c r="L1408" s="300">
        <f t="shared" si="153"/>
        <v>151.80000000000001</v>
      </c>
      <c r="M1408" s="285">
        <f t="shared" si="154"/>
        <v>151.80000000000001</v>
      </c>
      <c r="N1408" s="1076">
        <f t="shared" si="155"/>
        <v>152</v>
      </c>
      <c r="O1408" s="294"/>
      <c r="P1408" s="404"/>
      <c r="Q1408" s="404"/>
      <c r="R1408" s="301"/>
      <c r="S1408" s="301"/>
      <c r="T1408" s="301"/>
      <c r="U1408" s="301"/>
      <c r="V1408" s="301"/>
    </row>
    <row r="1409" spans="1:22" ht="14.4" thickTop="1" thickBot="1" x14ac:dyDescent="0.3">
      <c r="A1409" s="292"/>
      <c r="B1409" s="293"/>
      <c r="C1409" s="294"/>
      <c r="D1409" s="294"/>
      <c r="E1409" s="294"/>
      <c r="F1409" s="310"/>
      <c r="G1409" s="310"/>
      <c r="H1409" s="310"/>
      <c r="I1409" s="295"/>
      <c r="J1409" s="295">
        <f>J1408*3.28</f>
        <v>452.64</v>
      </c>
      <c r="K1409" s="300">
        <f t="shared" si="152"/>
        <v>1.1000000000000001</v>
      </c>
      <c r="L1409" s="300">
        <f t="shared" si="153"/>
        <v>497.90400000000005</v>
      </c>
      <c r="M1409" s="285">
        <f t="shared" si="154"/>
        <v>497.9</v>
      </c>
      <c r="N1409" s="1076">
        <f t="shared" si="155"/>
        <v>498</v>
      </c>
      <c r="O1409" s="294"/>
      <c r="P1409" s="404"/>
      <c r="Q1409" s="404"/>
      <c r="R1409" s="301"/>
      <c r="S1409" s="301"/>
      <c r="T1409" s="301"/>
      <c r="U1409" s="301"/>
      <c r="V1409" s="301"/>
    </row>
    <row r="1410" spans="1:22" ht="14.4" thickTop="1" thickBot="1" x14ac:dyDescent="0.3">
      <c r="A1410" s="292"/>
      <c r="B1410" s="293"/>
      <c r="C1410" s="294"/>
      <c r="D1410" s="294"/>
      <c r="E1410" s="294"/>
      <c r="F1410" s="310"/>
      <c r="G1410" s="310"/>
      <c r="H1410" s="310"/>
      <c r="I1410" s="295"/>
      <c r="J1410" s="295"/>
      <c r="K1410" s="300">
        <f t="shared" si="152"/>
        <v>1.1000000000000001</v>
      </c>
      <c r="L1410" s="300">
        <f t="shared" si="153"/>
        <v>0</v>
      </c>
      <c r="M1410" s="285">
        <f t="shared" si="154"/>
        <v>0</v>
      </c>
      <c r="N1410" s="1076">
        <f t="shared" si="155"/>
        <v>0</v>
      </c>
      <c r="O1410" s="294"/>
      <c r="P1410" s="404"/>
      <c r="Q1410" s="404"/>
      <c r="R1410" s="301"/>
      <c r="S1410" s="301"/>
      <c r="T1410" s="301"/>
      <c r="U1410" s="301"/>
      <c r="V1410" s="301"/>
    </row>
    <row r="1411" spans="1:22" ht="14.4" thickTop="1" thickBot="1" x14ac:dyDescent="0.3">
      <c r="A1411" s="292"/>
      <c r="B1411" s="296" t="s">
        <v>991</v>
      </c>
      <c r="C1411" s="294"/>
      <c r="D1411" s="294"/>
      <c r="E1411" s="294">
        <v>2</v>
      </c>
      <c r="F1411" s="310">
        <v>16.5</v>
      </c>
      <c r="G1411" s="310"/>
      <c r="H1411" s="310"/>
      <c r="I1411" s="295">
        <f>F1411*E1411</f>
        <v>33</v>
      </c>
      <c r="J1411" s="295">
        <f>I1411</f>
        <v>33</v>
      </c>
      <c r="K1411" s="300">
        <f t="shared" si="152"/>
        <v>1.1000000000000001</v>
      </c>
      <c r="L1411" s="300">
        <f t="shared" si="153"/>
        <v>36.300000000000004</v>
      </c>
      <c r="M1411" s="285">
        <f t="shared" si="154"/>
        <v>36.299999999999997</v>
      </c>
      <c r="N1411" s="1076">
        <f t="shared" si="155"/>
        <v>37</v>
      </c>
      <c r="O1411" s="294"/>
      <c r="P1411" s="404"/>
      <c r="Q1411" s="404"/>
      <c r="R1411" s="301"/>
      <c r="S1411" s="301"/>
      <c r="T1411" s="301"/>
      <c r="U1411" s="301"/>
      <c r="V1411" s="301"/>
    </row>
    <row r="1412" spans="1:22" ht="14.4" thickTop="1" thickBot="1" x14ac:dyDescent="0.3">
      <c r="A1412" s="292"/>
      <c r="B1412" s="296"/>
      <c r="C1412" s="294"/>
      <c r="D1412" s="294"/>
      <c r="E1412" s="294"/>
      <c r="F1412" s="310"/>
      <c r="G1412" s="310"/>
      <c r="H1412" s="310"/>
      <c r="I1412" s="295"/>
      <c r="J1412" s="295">
        <f>J1411*3.28</f>
        <v>108.24</v>
      </c>
      <c r="K1412" s="300">
        <f t="shared" si="152"/>
        <v>1.1000000000000001</v>
      </c>
      <c r="L1412" s="300">
        <f t="shared" si="153"/>
        <v>119.06400000000001</v>
      </c>
      <c r="M1412" s="285">
        <f t="shared" si="154"/>
        <v>119.1</v>
      </c>
      <c r="N1412" s="1076">
        <f t="shared" si="155"/>
        <v>120</v>
      </c>
      <c r="O1412" s="294"/>
      <c r="P1412" s="404"/>
      <c r="Q1412" s="404"/>
      <c r="R1412" s="301"/>
      <c r="S1412" s="301"/>
      <c r="T1412" s="301"/>
      <c r="U1412" s="301"/>
      <c r="V1412" s="301"/>
    </row>
    <row r="1413" spans="1:22" ht="14.4" thickTop="1" thickBot="1" x14ac:dyDescent="0.3">
      <c r="A1413" s="292"/>
      <c r="B1413" s="293"/>
      <c r="C1413" s="294"/>
      <c r="D1413" s="294"/>
      <c r="E1413" s="294"/>
      <c r="F1413" s="310"/>
      <c r="G1413" s="310"/>
      <c r="H1413" s="310"/>
      <c r="I1413" s="295"/>
      <c r="J1413" s="295"/>
      <c r="K1413" s="300">
        <f t="shared" ref="K1413:K1477" si="169">$K$2</f>
        <v>1.1000000000000001</v>
      </c>
      <c r="L1413" s="300">
        <f t="shared" ref="L1413:L1477" si="170">K1413*J1413</f>
        <v>0</v>
      </c>
      <c r="M1413" s="285">
        <f t="shared" ref="M1413:M1477" si="171">ROUND(L1413,1)</f>
        <v>0</v>
      </c>
      <c r="N1413" s="1076">
        <f t="shared" ref="N1413:N1477" si="172">ROUNDUP(M1413,0)</f>
        <v>0</v>
      </c>
      <c r="O1413" s="294"/>
      <c r="P1413" s="404"/>
      <c r="Q1413" s="404"/>
      <c r="R1413" s="301"/>
      <c r="S1413" s="301"/>
      <c r="T1413" s="301"/>
      <c r="U1413" s="301"/>
      <c r="V1413" s="301"/>
    </row>
    <row r="1414" spans="1:22" ht="14.4" thickTop="1" thickBot="1" x14ac:dyDescent="0.3">
      <c r="A1414" s="292"/>
      <c r="B1414" s="296" t="s">
        <v>1318</v>
      </c>
      <c r="C1414" s="294"/>
      <c r="D1414" s="294"/>
      <c r="E1414" s="294">
        <v>4</v>
      </c>
      <c r="F1414" s="310">
        <v>25</v>
      </c>
      <c r="G1414" s="310"/>
      <c r="H1414" s="310"/>
      <c r="I1414" s="295">
        <f>F1414*E1414</f>
        <v>100</v>
      </c>
      <c r="J1414" s="295">
        <f>I1414</f>
        <v>100</v>
      </c>
      <c r="K1414" s="300">
        <f t="shared" si="169"/>
        <v>1.1000000000000001</v>
      </c>
      <c r="L1414" s="300">
        <f t="shared" si="170"/>
        <v>110.00000000000001</v>
      </c>
      <c r="M1414" s="285">
        <f t="shared" si="171"/>
        <v>110</v>
      </c>
      <c r="N1414" s="1076">
        <f t="shared" si="172"/>
        <v>110</v>
      </c>
      <c r="O1414" s="294"/>
      <c r="P1414" s="404"/>
      <c r="Q1414" s="404"/>
      <c r="R1414" s="301"/>
      <c r="S1414" s="301"/>
      <c r="T1414" s="301"/>
      <c r="U1414" s="301"/>
      <c r="V1414" s="301"/>
    </row>
    <row r="1415" spans="1:22" ht="14.4" thickTop="1" thickBot="1" x14ac:dyDescent="0.3">
      <c r="A1415" s="292"/>
      <c r="B1415" s="293"/>
      <c r="C1415" s="294"/>
      <c r="D1415" s="294"/>
      <c r="E1415" s="294"/>
      <c r="F1415" s="310"/>
      <c r="G1415" s="310"/>
      <c r="H1415" s="310"/>
      <c r="I1415" s="295"/>
      <c r="J1415" s="295">
        <f>J1414*3.28</f>
        <v>328</v>
      </c>
      <c r="K1415" s="300">
        <f t="shared" si="169"/>
        <v>1.1000000000000001</v>
      </c>
      <c r="L1415" s="300">
        <f t="shared" si="170"/>
        <v>360.8</v>
      </c>
      <c r="M1415" s="285">
        <f t="shared" si="171"/>
        <v>360.8</v>
      </c>
      <c r="N1415" s="1076">
        <f t="shared" si="172"/>
        <v>361</v>
      </c>
      <c r="O1415" s="294"/>
      <c r="P1415" s="404"/>
      <c r="Q1415" s="404"/>
      <c r="R1415" s="301"/>
      <c r="S1415" s="301"/>
      <c r="T1415" s="301"/>
      <c r="U1415" s="301"/>
      <c r="V1415" s="301"/>
    </row>
    <row r="1416" spans="1:22" ht="14.4" thickTop="1" thickBot="1" x14ac:dyDescent="0.3">
      <c r="A1416" s="292"/>
      <c r="B1416" s="293"/>
      <c r="C1416" s="294"/>
      <c r="D1416" s="294"/>
      <c r="E1416" s="294"/>
      <c r="F1416" s="310"/>
      <c r="G1416" s="310"/>
      <c r="H1416" s="310"/>
      <c r="I1416" s="295"/>
      <c r="J1416" s="295"/>
      <c r="K1416" s="300">
        <f t="shared" si="169"/>
        <v>1.1000000000000001</v>
      </c>
      <c r="L1416" s="300">
        <f t="shared" si="170"/>
        <v>0</v>
      </c>
      <c r="M1416" s="285">
        <f t="shared" si="171"/>
        <v>0</v>
      </c>
      <c r="N1416" s="1076">
        <f t="shared" si="172"/>
        <v>0</v>
      </c>
      <c r="O1416" s="294"/>
      <c r="P1416" s="404"/>
      <c r="Q1416" s="404"/>
      <c r="R1416" s="301"/>
      <c r="S1416" s="301"/>
      <c r="T1416" s="301"/>
      <c r="U1416" s="301"/>
      <c r="V1416" s="301"/>
    </row>
    <row r="1417" spans="1:22" ht="14.4" thickTop="1" thickBot="1" x14ac:dyDescent="0.3">
      <c r="A1417" s="292"/>
      <c r="B1417" s="293"/>
      <c r="C1417" s="294"/>
      <c r="D1417" s="294"/>
      <c r="E1417" s="294"/>
      <c r="F1417" s="310"/>
      <c r="G1417" s="310"/>
      <c r="H1417" s="310"/>
      <c r="I1417" s="295"/>
      <c r="J1417" s="295"/>
      <c r="K1417" s="300">
        <f t="shared" si="169"/>
        <v>1.1000000000000001</v>
      </c>
      <c r="L1417" s="300">
        <f t="shared" si="170"/>
        <v>0</v>
      </c>
      <c r="M1417" s="285">
        <f t="shared" si="171"/>
        <v>0</v>
      </c>
      <c r="N1417" s="1076">
        <f t="shared" si="172"/>
        <v>0</v>
      </c>
      <c r="O1417" s="294"/>
      <c r="P1417" s="404"/>
      <c r="Q1417" s="404"/>
      <c r="R1417" s="301"/>
      <c r="S1417" s="301"/>
      <c r="T1417" s="301"/>
      <c r="U1417" s="301"/>
      <c r="V1417" s="301"/>
    </row>
    <row r="1418" spans="1:22" ht="14.4" thickTop="1" thickBot="1" x14ac:dyDescent="0.3">
      <c r="A1418" s="292"/>
      <c r="B1418" s="296" t="s">
        <v>2367</v>
      </c>
      <c r="C1418" s="294"/>
      <c r="D1418" s="294"/>
      <c r="E1418" s="294">
        <v>26</v>
      </c>
      <c r="F1418" s="310">
        <v>6</v>
      </c>
      <c r="G1418" s="310"/>
      <c r="H1418" s="310"/>
      <c r="I1418" s="295">
        <f>F1418*E1418</f>
        <v>156</v>
      </c>
      <c r="J1418" s="295">
        <f>I1418</f>
        <v>156</v>
      </c>
      <c r="K1418" s="300">
        <f t="shared" si="169"/>
        <v>1.1000000000000001</v>
      </c>
      <c r="L1418" s="300">
        <f t="shared" si="170"/>
        <v>171.60000000000002</v>
      </c>
      <c r="M1418" s="285">
        <f t="shared" si="171"/>
        <v>171.6</v>
      </c>
      <c r="N1418" s="1076">
        <f t="shared" si="172"/>
        <v>172</v>
      </c>
      <c r="O1418" s="294"/>
      <c r="P1418" s="404"/>
      <c r="Q1418" s="404"/>
      <c r="R1418" s="301"/>
      <c r="S1418" s="301"/>
      <c r="T1418" s="301"/>
      <c r="U1418" s="301"/>
      <c r="V1418" s="301"/>
    </row>
    <row r="1419" spans="1:22" ht="14.4" thickTop="1" thickBot="1" x14ac:dyDescent="0.3">
      <c r="A1419" s="292"/>
      <c r="B1419" s="293"/>
      <c r="C1419" s="294"/>
      <c r="D1419" s="294"/>
      <c r="E1419" s="294"/>
      <c r="F1419" s="310"/>
      <c r="G1419" s="310"/>
      <c r="H1419" s="310"/>
      <c r="I1419" s="295"/>
      <c r="J1419" s="295">
        <f>J1418*29.6</f>
        <v>4617.6000000000004</v>
      </c>
      <c r="K1419" s="300">
        <v>1.1499999999999999</v>
      </c>
      <c r="L1419" s="300">
        <f t="shared" si="170"/>
        <v>5310.24</v>
      </c>
      <c r="M1419" s="285">
        <f t="shared" si="171"/>
        <v>5310.2</v>
      </c>
      <c r="N1419" s="1076">
        <f t="shared" si="172"/>
        <v>5311</v>
      </c>
      <c r="O1419" s="294"/>
      <c r="P1419" s="413">
        <f>N1419-J1419</f>
        <v>693.39999999999964</v>
      </c>
      <c r="Q1419" s="404"/>
      <c r="R1419" s="301"/>
      <c r="S1419" s="301"/>
      <c r="T1419" s="301"/>
      <c r="U1419" s="301"/>
      <c r="V1419" s="301"/>
    </row>
    <row r="1420" spans="1:22" ht="14.4" thickTop="1" thickBot="1" x14ac:dyDescent="0.3">
      <c r="A1420" s="292"/>
      <c r="B1420" s="293"/>
      <c r="C1420" s="294"/>
      <c r="D1420" s="294"/>
      <c r="E1420" s="294"/>
      <c r="F1420" s="310"/>
      <c r="G1420" s="310"/>
      <c r="H1420" s="310"/>
      <c r="I1420" s="295"/>
      <c r="J1420" s="295"/>
      <c r="K1420" s="300"/>
      <c r="L1420" s="300"/>
      <c r="M1420" s="285"/>
      <c r="N1420" s="1076">
        <f>N1419/1000</f>
        <v>5.3109999999999999</v>
      </c>
      <c r="O1420" s="294"/>
      <c r="P1420" s="404"/>
      <c r="Q1420" s="404"/>
      <c r="R1420" s="301"/>
      <c r="S1420" s="301"/>
      <c r="T1420" s="301"/>
      <c r="U1420" s="301"/>
      <c r="V1420" s="301"/>
    </row>
    <row r="1421" spans="1:22" ht="14.4" thickTop="1" thickBot="1" x14ac:dyDescent="0.3">
      <c r="A1421" s="292"/>
      <c r="B1421" s="296" t="s">
        <v>2372</v>
      </c>
      <c r="C1421" s="294"/>
      <c r="D1421" s="294"/>
      <c r="E1421" s="294">
        <v>4</v>
      </c>
      <c r="F1421" s="310">
        <v>23.233000000000001</v>
      </c>
      <c r="G1421" s="310"/>
      <c r="H1421" s="310"/>
      <c r="I1421" s="295">
        <f>F1421*E1421</f>
        <v>92.932000000000002</v>
      </c>
      <c r="J1421" s="295"/>
      <c r="K1421" s="300">
        <f t="shared" si="169"/>
        <v>1.1000000000000001</v>
      </c>
      <c r="L1421" s="300">
        <f t="shared" si="170"/>
        <v>0</v>
      </c>
      <c r="M1421" s="285">
        <f t="shared" si="171"/>
        <v>0</v>
      </c>
      <c r="N1421" s="1076">
        <f t="shared" si="172"/>
        <v>0</v>
      </c>
      <c r="O1421" s="294"/>
      <c r="P1421" s="404"/>
      <c r="Q1421" s="404"/>
      <c r="R1421" s="301"/>
      <c r="S1421" s="301"/>
      <c r="T1421" s="301"/>
      <c r="U1421" s="301"/>
      <c r="V1421" s="301"/>
    </row>
    <row r="1422" spans="1:22" ht="14.4" thickTop="1" thickBot="1" x14ac:dyDescent="0.3">
      <c r="A1422" s="292"/>
      <c r="B1422" s="293"/>
      <c r="C1422" s="294"/>
      <c r="D1422" s="294"/>
      <c r="E1422" s="294">
        <v>3</v>
      </c>
      <c r="F1422" s="310">
        <v>13</v>
      </c>
      <c r="G1422" s="310"/>
      <c r="H1422" s="310"/>
      <c r="I1422" s="295">
        <f>F1422*E1422</f>
        <v>39</v>
      </c>
      <c r="J1422" s="295">
        <f>SUM(I1421:I1422)</f>
        <v>131.93200000000002</v>
      </c>
      <c r="K1422" s="300">
        <f t="shared" si="169"/>
        <v>1.1000000000000001</v>
      </c>
      <c r="L1422" s="300">
        <f t="shared" si="170"/>
        <v>145.12520000000004</v>
      </c>
      <c r="M1422" s="285">
        <f t="shared" si="171"/>
        <v>145.1</v>
      </c>
      <c r="N1422" s="1076">
        <f t="shared" si="172"/>
        <v>146</v>
      </c>
      <c r="O1422" s="294"/>
      <c r="P1422" s="404"/>
      <c r="Q1422" s="404"/>
      <c r="R1422" s="301"/>
      <c r="S1422" s="301"/>
      <c r="T1422" s="301"/>
      <c r="U1422" s="301"/>
      <c r="V1422" s="301"/>
    </row>
    <row r="1423" spans="1:22" ht="14.4" thickTop="1" thickBot="1" x14ac:dyDescent="0.3">
      <c r="A1423" s="292"/>
      <c r="B1423" s="293"/>
      <c r="C1423" s="294"/>
      <c r="D1423" s="294"/>
      <c r="E1423" s="294"/>
      <c r="F1423" s="310"/>
      <c r="G1423" s="310"/>
      <c r="H1423" s="310"/>
      <c r="I1423" s="295"/>
      <c r="J1423" s="295">
        <f>J1422*29.6</f>
        <v>3905.1872000000008</v>
      </c>
      <c r="K1423" s="300">
        <v>1.1499999999999999</v>
      </c>
      <c r="L1423" s="300">
        <f t="shared" si="170"/>
        <v>4490.9652800000003</v>
      </c>
      <c r="M1423" s="285">
        <f t="shared" si="171"/>
        <v>4491</v>
      </c>
      <c r="N1423" s="1076">
        <f t="shared" si="172"/>
        <v>4491</v>
      </c>
      <c r="O1423" s="294"/>
      <c r="P1423" s="404"/>
      <c r="Q1423" s="404"/>
      <c r="R1423" s="301"/>
      <c r="S1423" s="301"/>
      <c r="T1423" s="301"/>
      <c r="U1423" s="301"/>
      <c r="V1423" s="301"/>
    </row>
    <row r="1424" spans="1:22" ht="14.4" thickTop="1" thickBot="1" x14ac:dyDescent="0.3">
      <c r="A1424" s="292"/>
      <c r="B1424" s="293"/>
      <c r="C1424" s="294"/>
      <c r="D1424" s="294"/>
      <c r="E1424" s="294"/>
      <c r="F1424" s="310"/>
      <c r="G1424" s="310"/>
      <c r="H1424" s="310"/>
      <c r="I1424" s="295"/>
      <c r="J1424" s="295"/>
      <c r="K1424" s="300"/>
      <c r="L1424" s="300"/>
      <c r="M1424" s="285"/>
      <c r="N1424" s="1076">
        <f>N1423/1000</f>
        <v>4.4909999999999997</v>
      </c>
      <c r="O1424" s="294"/>
      <c r="P1424" s="404"/>
      <c r="Q1424" s="404"/>
      <c r="R1424" s="301"/>
      <c r="S1424" s="301"/>
      <c r="T1424" s="301"/>
      <c r="U1424" s="301"/>
      <c r="V1424" s="301"/>
    </row>
    <row r="1425" spans="1:22" ht="14.4" thickTop="1" thickBot="1" x14ac:dyDescent="0.3">
      <c r="A1425" s="292"/>
      <c r="B1425" s="296" t="s">
        <v>2373</v>
      </c>
      <c r="C1425" s="294"/>
      <c r="D1425" s="294"/>
      <c r="E1425" s="294">
        <v>5</v>
      </c>
      <c r="F1425" s="310">
        <v>15</v>
      </c>
      <c r="G1425" s="310"/>
      <c r="H1425" s="310"/>
      <c r="I1425" s="295">
        <f>F1425*E1425</f>
        <v>75</v>
      </c>
      <c r="J1425" s="295"/>
      <c r="K1425" s="300">
        <f t="shared" si="169"/>
        <v>1.1000000000000001</v>
      </c>
      <c r="L1425" s="300">
        <f t="shared" si="170"/>
        <v>0</v>
      </c>
      <c r="M1425" s="285">
        <f t="shared" si="171"/>
        <v>0</v>
      </c>
      <c r="N1425" s="1076">
        <f t="shared" si="172"/>
        <v>0</v>
      </c>
      <c r="O1425" s="294"/>
      <c r="P1425" s="404"/>
      <c r="Q1425" s="404"/>
      <c r="R1425" s="301"/>
      <c r="S1425" s="301"/>
      <c r="T1425" s="301"/>
      <c r="U1425" s="301"/>
      <c r="V1425" s="301"/>
    </row>
    <row r="1426" spans="1:22" ht="14.4" thickTop="1" thickBot="1" x14ac:dyDescent="0.3">
      <c r="A1426" s="292"/>
      <c r="B1426" s="293"/>
      <c r="C1426" s="294"/>
      <c r="D1426" s="294"/>
      <c r="E1426" s="294">
        <v>2</v>
      </c>
      <c r="F1426" s="310">
        <v>17</v>
      </c>
      <c r="G1426" s="310"/>
      <c r="H1426" s="310"/>
      <c r="I1426" s="295">
        <f>F1426*E1426</f>
        <v>34</v>
      </c>
      <c r="J1426" s="295">
        <f>SUM(I1425:I1426)</f>
        <v>109</v>
      </c>
      <c r="K1426" s="300">
        <f t="shared" si="169"/>
        <v>1.1000000000000001</v>
      </c>
      <c r="L1426" s="300">
        <f t="shared" si="170"/>
        <v>119.9</v>
      </c>
      <c r="M1426" s="285">
        <f t="shared" si="171"/>
        <v>119.9</v>
      </c>
      <c r="N1426" s="1076">
        <f t="shared" si="172"/>
        <v>120</v>
      </c>
      <c r="O1426" s="294"/>
      <c r="P1426" s="404"/>
      <c r="Q1426" s="404"/>
      <c r="R1426" s="301"/>
      <c r="S1426" s="301"/>
      <c r="T1426" s="301"/>
      <c r="U1426" s="301"/>
      <c r="V1426" s="301"/>
    </row>
    <row r="1427" spans="1:22" ht="14.4" thickTop="1" thickBot="1" x14ac:dyDescent="0.3">
      <c r="A1427" s="292"/>
      <c r="B1427" s="293"/>
      <c r="C1427" s="294"/>
      <c r="D1427" s="294"/>
      <c r="E1427" s="294"/>
      <c r="F1427" s="310"/>
      <c r="G1427" s="310"/>
      <c r="H1427" s="310"/>
      <c r="I1427" s="295"/>
      <c r="J1427" s="295">
        <f>J1426*14</f>
        <v>1526</v>
      </c>
      <c r="K1427" s="300">
        <v>1.1499999999999999</v>
      </c>
      <c r="L1427" s="300">
        <f t="shared" si="170"/>
        <v>1754.8999999999999</v>
      </c>
      <c r="M1427" s="285">
        <f t="shared" si="171"/>
        <v>1754.9</v>
      </c>
      <c r="N1427" s="1076">
        <f t="shared" si="172"/>
        <v>1755</v>
      </c>
      <c r="O1427" s="294"/>
      <c r="P1427" s="404"/>
      <c r="Q1427" s="404"/>
      <c r="R1427" s="301"/>
      <c r="S1427" s="301"/>
      <c r="T1427" s="301"/>
      <c r="U1427" s="301"/>
      <c r="V1427" s="301"/>
    </row>
    <row r="1428" spans="1:22" ht="14.4" thickTop="1" thickBot="1" x14ac:dyDescent="0.3">
      <c r="A1428" s="292"/>
      <c r="B1428" s="293"/>
      <c r="C1428" s="294"/>
      <c r="D1428" s="294"/>
      <c r="E1428" s="294"/>
      <c r="F1428" s="310"/>
      <c r="G1428" s="310"/>
      <c r="H1428" s="310"/>
      <c r="I1428" s="295"/>
      <c r="J1428" s="295"/>
      <c r="K1428" s="300">
        <f t="shared" si="169"/>
        <v>1.1000000000000001</v>
      </c>
      <c r="L1428" s="300">
        <f t="shared" si="170"/>
        <v>0</v>
      </c>
      <c r="M1428" s="285">
        <f t="shared" si="171"/>
        <v>0</v>
      </c>
      <c r="N1428" s="1076">
        <f>N1427/1000</f>
        <v>1.7549999999999999</v>
      </c>
      <c r="O1428" s="294"/>
      <c r="P1428" s="404"/>
      <c r="Q1428" s="404"/>
      <c r="R1428" s="301"/>
      <c r="S1428" s="301"/>
      <c r="T1428" s="301"/>
      <c r="U1428" s="301"/>
      <c r="V1428" s="301"/>
    </row>
    <row r="1429" spans="1:22" ht="14.4" thickTop="1" thickBot="1" x14ac:dyDescent="0.3">
      <c r="A1429" s="292"/>
      <c r="B1429" s="293"/>
      <c r="C1429" s="294"/>
      <c r="D1429" s="294"/>
      <c r="E1429" s="294"/>
      <c r="F1429" s="310"/>
      <c r="G1429" s="310"/>
      <c r="H1429" s="310"/>
      <c r="I1429" s="295"/>
      <c r="J1429" s="295"/>
      <c r="K1429" s="300">
        <f t="shared" si="169"/>
        <v>1.1000000000000001</v>
      </c>
      <c r="L1429" s="300">
        <f t="shared" si="170"/>
        <v>0</v>
      </c>
      <c r="M1429" s="285">
        <f t="shared" si="171"/>
        <v>0</v>
      </c>
      <c r="N1429" s="1076">
        <f t="shared" si="172"/>
        <v>0</v>
      </c>
      <c r="O1429" s="294"/>
      <c r="P1429" s="404"/>
      <c r="Q1429" s="404"/>
      <c r="R1429" s="301"/>
      <c r="S1429" s="301"/>
      <c r="T1429" s="301"/>
      <c r="U1429" s="301"/>
      <c r="V1429" s="301"/>
    </row>
    <row r="1430" spans="1:22" ht="14.4" thickTop="1" thickBot="1" x14ac:dyDescent="0.3">
      <c r="A1430" s="292"/>
      <c r="B1430" s="293"/>
      <c r="C1430" s="294"/>
      <c r="D1430" s="294"/>
      <c r="E1430" s="294"/>
      <c r="F1430" s="310"/>
      <c r="G1430" s="310"/>
      <c r="H1430" s="310"/>
      <c r="I1430" s="295"/>
      <c r="J1430" s="295"/>
      <c r="K1430" s="300">
        <f t="shared" si="169"/>
        <v>1.1000000000000001</v>
      </c>
      <c r="L1430" s="300">
        <f t="shared" si="170"/>
        <v>0</v>
      </c>
      <c r="M1430" s="285">
        <f t="shared" si="171"/>
        <v>0</v>
      </c>
      <c r="N1430" s="1076">
        <f t="shared" si="172"/>
        <v>0</v>
      </c>
      <c r="O1430" s="294"/>
      <c r="P1430" s="404"/>
      <c r="Q1430" s="404"/>
      <c r="R1430" s="301"/>
      <c r="S1430" s="301"/>
      <c r="T1430" s="301"/>
      <c r="U1430" s="301"/>
      <c r="V1430" s="301"/>
    </row>
    <row r="1431" spans="1:22" ht="14.4" thickTop="1" thickBot="1" x14ac:dyDescent="0.3">
      <c r="A1431" s="292"/>
      <c r="B1431" s="293"/>
      <c r="C1431" s="294"/>
      <c r="D1431" s="294"/>
      <c r="E1431" s="294"/>
      <c r="F1431" s="310"/>
      <c r="G1431" s="310"/>
      <c r="H1431" s="310"/>
      <c r="I1431" s="295"/>
      <c r="J1431" s="295"/>
      <c r="K1431" s="300">
        <f t="shared" si="169"/>
        <v>1.1000000000000001</v>
      </c>
      <c r="L1431" s="300">
        <f t="shared" si="170"/>
        <v>0</v>
      </c>
      <c r="M1431" s="285">
        <f t="shared" si="171"/>
        <v>0</v>
      </c>
      <c r="N1431" s="1076">
        <f t="shared" si="172"/>
        <v>0</v>
      </c>
      <c r="O1431" s="294"/>
      <c r="P1431" s="404"/>
      <c r="Q1431" s="404"/>
      <c r="R1431" s="301"/>
      <c r="S1431" s="301"/>
      <c r="T1431" s="301"/>
      <c r="U1431" s="301"/>
      <c r="V1431" s="301"/>
    </row>
    <row r="1432" spans="1:22" ht="14.4" thickTop="1" thickBot="1" x14ac:dyDescent="0.3">
      <c r="A1432" s="292"/>
      <c r="B1432" s="293"/>
      <c r="C1432" s="294"/>
      <c r="D1432" s="294"/>
      <c r="E1432" s="294"/>
      <c r="F1432" s="310"/>
      <c r="G1432" s="310"/>
      <c r="H1432" s="310"/>
      <c r="I1432" s="295"/>
      <c r="J1432" s="295"/>
      <c r="K1432" s="300">
        <f t="shared" si="169"/>
        <v>1.1000000000000001</v>
      </c>
      <c r="L1432" s="300">
        <f t="shared" si="170"/>
        <v>0</v>
      </c>
      <c r="M1432" s="285">
        <f t="shared" si="171"/>
        <v>0</v>
      </c>
      <c r="N1432" s="1076">
        <f t="shared" si="172"/>
        <v>0</v>
      </c>
      <c r="O1432" s="294"/>
      <c r="P1432" s="404"/>
      <c r="Q1432" s="404"/>
      <c r="R1432" s="301"/>
      <c r="S1432" s="301"/>
      <c r="T1432" s="301"/>
      <c r="U1432" s="301"/>
      <c r="V1432" s="301"/>
    </row>
    <row r="1433" spans="1:22" ht="14.4" thickTop="1" thickBot="1" x14ac:dyDescent="0.3">
      <c r="A1433" s="292"/>
      <c r="B1433" s="293"/>
      <c r="C1433" s="294"/>
      <c r="D1433" s="294"/>
      <c r="E1433" s="294"/>
      <c r="F1433" s="310"/>
      <c r="G1433" s="310"/>
      <c r="H1433" s="310"/>
      <c r="I1433" s="295"/>
      <c r="J1433" s="295"/>
      <c r="K1433" s="300">
        <f t="shared" si="169"/>
        <v>1.1000000000000001</v>
      </c>
      <c r="L1433" s="300">
        <f t="shared" si="170"/>
        <v>0</v>
      </c>
      <c r="M1433" s="285">
        <f t="shared" si="171"/>
        <v>0</v>
      </c>
      <c r="N1433" s="1076">
        <f t="shared" si="172"/>
        <v>0</v>
      </c>
      <c r="O1433" s="294"/>
      <c r="P1433" s="404"/>
      <c r="Q1433" s="404"/>
      <c r="R1433" s="301"/>
      <c r="S1433" s="301"/>
      <c r="T1433" s="301"/>
      <c r="U1433" s="301"/>
      <c r="V1433" s="301"/>
    </row>
    <row r="1434" spans="1:22" ht="14.4" thickTop="1" thickBot="1" x14ac:dyDescent="0.3">
      <c r="A1434" s="292"/>
      <c r="B1434" s="293"/>
      <c r="C1434" s="294"/>
      <c r="D1434" s="294"/>
      <c r="E1434" s="294"/>
      <c r="F1434" s="310"/>
      <c r="G1434" s="310"/>
      <c r="H1434" s="310"/>
      <c r="I1434" s="295"/>
      <c r="J1434" s="295"/>
      <c r="K1434" s="300">
        <f t="shared" si="169"/>
        <v>1.1000000000000001</v>
      </c>
      <c r="L1434" s="300">
        <f t="shared" si="170"/>
        <v>0</v>
      </c>
      <c r="M1434" s="285">
        <f t="shared" si="171"/>
        <v>0</v>
      </c>
      <c r="N1434" s="1076">
        <f t="shared" si="172"/>
        <v>0</v>
      </c>
      <c r="O1434" s="294"/>
      <c r="P1434" s="404"/>
      <c r="Q1434" s="404"/>
      <c r="R1434" s="301"/>
      <c r="S1434" s="301"/>
      <c r="T1434" s="301"/>
      <c r="U1434" s="301"/>
      <c r="V1434" s="301"/>
    </row>
    <row r="1435" spans="1:22" ht="14.4" thickTop="1" thickBot="1" x14ac:dyDescent="0.3">
      <c r="A1435" s="292"/>
      <c r="B1435" s="293"/>
      <c r="C1435" s="294"/>
      <c r="D1435" s="294"/>
      <c r="E1435" s="294"/>
      <c r="F1435" s="310"/>
      <c r="G1435" s="310"/>
      <c r="H1435" s="310"/>
      <c r="I1435" s="295"/>
      <c r="J1435" s="295"/>
      <c r="K1435" s="300">
        <f t="shared" si="169"/>
        <v>1.1000000000000001</v>
      </c>
      <c r="L1435" s="300">
        <f t="shared" si="170"/>
        <v>0</v>
      </c>
      <c r="M1435" s="285">
        <f t="shared" si="171"/>
        <v>0</v>
      </c>
      <c r="N1435" s="1076">
        <f t="shared" si="172"/>
        <v>0</v>
      </c>
      <c r="O1435" s="294"/>
      <c r="P1435" s="404"/>
      <c r="Q1435" s="404"/>
      <c r="R1435" s="301"/>
      <c r="S1435" s="301"/>
      <c r="T1435" s="301"/>
      <c r="U1435" s="301"/>
      <c r="V1435" s="301"/>
    </row>
    <row r="1436" spans="1:22" ht="14.4" thickTop="1" thickBot="1" x14ac:dyDescent="0.3">
      <c r="A1436" s="292"/>
      <c r="B1436" s="293"/>
      <c r="C1436" s="294"/>
      <c r="D1436" s="294"/>
      <c r="E1436" s="294"/>
      <c r="F1436" s="310"/>
      <c r="G1436" s="310"/>
      <c r="H1436" s="310"/>
      <c r="I1436" s="295"/>
      <c r="J1436" s="295"/>
      <c r="K1436" s="300">
        <f t="shared" si="169"/>
        <v>1.1000000000000001</v>
      </c>
      <c r="L1436" s="300">
        <f t="shared" si="170"/>
        <v>0</v>
      </c>
      <c r="M1436" s="285">
        <f t="shared" si="171"/>
        <v>0</v>
      </c>
      <c r="N1436" s="1076">
        <f t="shared" si="172"/>
        <v>0</v>
      </c>
      <c r="O1436" s="294"/>
      <c r="P1436" s="404"/>
      <c r="Q1436" s="404"/>
      <c r="R1436" s="301"/>
      <c r="S1436" s="301"/>
      <c r="T1436" s="301"/>
      <c r="U1436" s="301"/>
      <c r="V1436" s="301"/>
    </row>
    <row r="1437" spans="1:22" ht="14.4" thickTop="1" thickBot="1" x14ac:dyDescent="0.3">
      <c r="A1437" s="292"/>
      <c r="B1437" s="293"/>
      <c r="C1437" s="294"/>
      <c r="D1437" s="294"/>
      <c r="E1437" s="294"/>
      <c r="F1437" s="310"/>
      <c r="G1437" s="310"/>
      <c r="H1437" s="310"/>
      <c r="I1437" s="295"/>
      <c r="J1437" s="295"/>
      <c r="K1437" s="300">
        <f t="shared" si="169"/>
        <v>1.1000000000000001</v>
      </c>
      <c r="L1437" s="300">
        <f t="shared" si="170"/>
        <v>0</v>
      </c>
      <c r="M1437" s="285">
        <f t="shared" si="171"/>
        <v>0</v>
      </c>
      <c r="N1437" s="1076">
        <f t="shared" si="172"/>
        <v>0</v>
      </c>
      <c r="O1437" s="294"/>
      <c r="P1437" s="404"/>
      <c r="Q1437" s="404"/>
      <c r="R1437" s="301"/>
      <c r="S1437" s="301"/>
      <c r="T1437" s="301"/>
      <c r="U1437" s="301"/>
      <c r="V1437" s="301"/>
    </row>
    <row r="1438" spans="1:22" ht="14.4" thickTop="1" thickBot="1" x14ac:dyDescent="0.3">
      <c r="A1438" s="292"/>
      <c r="B1438" s="293"/>
      <c r="C1438" s="294"/>
      <c r="D1438" s="294"/>
      <c r="E1438" s="294"/>
      <c r="F1438" s="310"/>
      <c r="G1438" s="310"/>
      <c r="H1438" s="310"/>
      <c r="I1438" s="295"/>
      <c r="J1438" s="295"/>
      <c r="K1438" s="300">
        <f t="shared" si="169"/>
        <v>1.1000000000000001</v>
      </c>
      <c r="L1438" s="300">
        <f t="shared" si="170"/>
        <v>0</v>
      </c>
      <c r="M1438" s="285">
        <f t="shared" si="171"/>
        <v>0</v>
      </c>
      <c r="N1438" s="1076">
        <f t="shared" si="172"/>
        <v>0</v>
      </c>
      <c r="O1438" s="294"/>
      <c r="P1438" s="404"/>
      <c r="Q1438" s="404"/>
      <c r="R1438" s="301"/>
      <c r="S1438" s="301"/>
      <c r="T1438" s="301"/>
      <c r="U1438" s="301"/>
      <c r="V1438" s="301"/>
    </row>
    <row r="1439" spans="1:22" ht="14.4" thickTop="1" thickBot="1" x14ac:dyDescent="0.3">
      <c r="A1439" s="292"/>
      <c r="B1439" s="293"/>
      <c r="C1439" s="294"/>
      <c r="D1439" s="294"/>
      <c r="E1439" s="294"/>
      <c r="F1439" s="310"/>
      <c r="G1439" s="310"/>
      <c r="H1439" s="310"/>
      <c r="I1439" s="295"/>
      <c r="J1439" s="295"/>
      <c r="K1439" s="300">
        <f t="shared" si="169"/>
        <v>1.1000000000000001</v>
      </c>
      <c r="L1439" s="300">
        <f t="shared" si="170"/>
        <v>0</v>
      </c>
      <c r="M1439" s="285">
        <f t="shared" si="171"/>
        <v>0</v>
      </c>
      <c r="N1439" s="1076">
        <f t="shared" si="172"/>
        <v>0</v>
      </c>
      <c r="O1439" s="294"/>
      <c r="P1439" s="404"/>
      <c r="Q1439" s="404"/>
      <c r="R1439" s="301"/>
      <c r="S1439" s="301"/>
      <c r="T1439" s="301"/>
      <c r="U1439" s="301"/>
      <c r="V1439" s="301"/>
    </row>
    <row r="1440" spans="1:22" ht="14.4" thickTop="1" thickBot="1" x14ac:dyDescent="0.3">
      <c r="A1440" s="292"/>
      <c r="B1440" s="293"/>
      <c r="C1440" s="294"/>
      <c r="D1440" s="294"/>
      <c r="E1440" s="294"/>
      <c r="F1440" s="310"/>
      <c r="G1440" s="310"/>
      <c r="H1440" s="310"/>
      <c r="I1440" s="295"/>
      <c r="J1440" s="295"/>
      <c r="K1440" s="300">
        <f t="shared" si="169"/>
        <v>1.1000000000000001</v>
      </c>
      <c r="L1440" s="300">
        <f t="shared" si="170"/>
        <v>0</v>
      </c>
      <c r="M1440" s="285">
        <f t="shared" si="171"/>
        <v>0</v>
      </c>
      <c r="N1440" s="1076">
        <f t="shared" si="172"/>
        <v>0</v>
      </c>
      <c r="O1440" s="294"/>
      <c r="P1440" s="404"/>
      <c r="Q1440" s="404"/>
      <c r="R1440" s="301"/>
      <c r="S1440" s="301"/>
      <c r="T1440" s="301"/>
      <c r="U1440" s="301"/>
      <c r="V1440" s="301"/>
    </row>
    <row r="1441" spans="1:22" ht="14.4" thickTop="1" thickBot="1" x14ac:dyDescent="0.3">
      <c r="A1441" s="292"/>
      <c r="B1441" s="293"/>
      <c r="C1441" s="294"/>
      <c r="D1441" s="294"/>
      <c r="E1441" s="294"/>
      <c r="F1441" s="310"/>
      <c r="G1441" s="310"/>
      <c r="H1441" s="310"/>
      <c r="I1441" s="295"/>
      <c r="J1441" s="295"/>
      <c r="K1441" s="300">
        <f t="shared" si="169"/>
        <v>1.1000000000000001</v>
      </c>
      <c r="L1441" s="300">
        <f t="shared" si="170"/>
        <v>0</v>
      </c>
      <c r="M1441" s="285">
        <f t="shared" si="171"/>
        <v>0</v>
      </c>
      <c r="N1441" s="1076">
        <f t="shared" si="172"/>
        <v>0</v>
      </c>
      <c r="O1441" s="294"/>
      <c r="P1441" s="404"/>
      <c r="Q1441" s="404"/>
      <c r="R1441" s="301"/>
      <c r="S1441" s="301"/>
      <c r="T1441" s="301"/>
      <c r="U1441" s="301"/>
      <c r="V1441" s="301"/>
    </row>
    <row r="1442" spans="1:22" ht="14.4" thickTop="1" thickBot="1" x14ac:dyDescent="0.3">
      <c r="A1442" s="292"/>
      <c r="B1442" s="293"/>
      <c r="C1442" s="294"/>
      <c r="D1442" s="294"/>
      <c r="E1442" s="294"/>
      <c r="F1442" s="310"/>
      <c r="G1442" s="310"/>
      <c r="H1442" s="310"/>
      <c r="I1442" s="295"/>
      <c r="J1442" s="295"/>
      <c r="K1442" s="300">
        <f t="shared" si="169"/>
        <v>1.1000000000000001</v>
      </c>
      <c r="L1442" s="300">
        <f t="shared" si="170"/>
        <v>0</v>
      </c>
      <c r="M1442" s="285">
        <f t="shared" si="171"/>
        <v>0</v>
      </c>
      <c r="N1442" s="1076">
        <f t="shared" si="172"/>
        <v>0</v>
      </c>
      <c r="O1442" s="294"/>
      <c r="P1442" s="404"/>
      <c r="Q1442" s="404"/>
      <c r="R1442" s="301"/>
      <c r="S1442" s="301"/>
      <c r="T1442" s="301"/>
      <c r="U1442" s="301"/>
      <c r="V1442" s="301"/>
    </row>
    <row r="1443" spans="1:22" ht="14.4" thickTop="1" thickBot="1" x14ac:dyDescent="0.3">
      <c r="A1443" s="292"/>
      <c r="B1443" s="293"/>
      <c r="C1443" s="294"/>
      <c r="D1443" s="294"/>
      <c r="E1443" s="294"/>
      <c r="F1443" s="310"/>
      <c r="G1443" s="310"/>
      <c r="H1443" s="310"/>
      <c r="I1443" s="295"/>
      <c r="J1443" s="295"/>
      <c r="K1443" s="300">
        <f t="shared" si="169"/>
        <v>1.1000000000000001</v>
      </c>
      <c r="L1443" s="300">
        <f t="shared" si="170"/>
        <v>0</v>
      </c>
      <c r="M1443" s="285">
        <f t="shared" si="171"/>
        <v>0</v>
      </c>
      <c r="N1443" s="1076">
        <f t="shared" si="172"/>
        <v>0</v>
      </c>
      <c r="O1443" s="294"/>
      <c r="P1443" s="404"/>
      <c r="Q1443" s="404"/>
      <c r="R1443" s="301"/>
      <c r="S1443" s="301"/>
      <c r="T1443" s="301"/>
      <c r="U1443" s="301"/>
      <c r="V1443" s="301"/>
    </row>
    <row r="1444" spans="1:22" ht="14.4" thickTop="1" thickBot="1" x14ac:dyDescent="0.3">
      <c r="A1444" s="292"/>
      <c r="B1444" s="293"/>
      <c r="C1444" s="294"/>
      <c r="D1444" s="294"/>
      <c r="E1444" s="294"/>
      <c r="F1444" s="310"/>
      <c r="G1444" s="310"/>
      <c r="H1444" s="310"/>
      <c r="I1444" s="295"/>
      <c r="J1444" s="295"/>
      <c r="K1444" s="300">
        <f t="shared" si="169"/>
        <v>1.1000000000000001</v>
      </c>
      <c r="L1444" s="300">
        <f t="shared" si="170"/>
        <v>0</v>
      </c>
      <c r="M1444" s="285">
        <f t="shared" si="171"/>
        <v>0</v>
      </c>
      <c r="N1444" s="1076">
        <f t="shared" si="172"/>
        <v>0</v>
      </c>
      <c r="O1444" s="294"/>
      <c r="P1444" s="404"/>
      <c r="Q1444" s="404"/>
      <c r="R1444" s="301"/>
      <c r="S1444" s="301"/>
      <c r="T1444" s="301"/>
      <c r="U1444" s="301"/>
      <c r="V1444" s="301"/>
    </row>
    <row r="1445" spans="1:22" ht="14.4" thickTop="1" thickBot="1" x14ac:dyDescent="0.3">
      <c r="A1445" s="292"/>
      <c r="B1445" s="293"/>
      <c r="C1445" s="294"/>
      <c r="D1445" s="294"/>
      <c r="E1445" s="294"/>
      <c r="F1445" s="310"/>
      <c r="G1445" s="310"/>
      <c r="H1445" s="310"/>
      <c r="I1445" s="295"/>
      <c r="J1445" s="295"/>
      <c r="K1445" s="300">
        <f t="shared" si="169"/>
        <v>1.1000000000000001</v>
      </c>
      <c r="L1445" s="300">
        <f t="shared" si="170"/>
        <v>0</v>
      </c>
      <c r="M1445" s="285">
        <f t="shared" si="171"/>
        <v>0</v>
      </c>
      <c r="N1445" s="1076">
        <f t="shared" si="172"/>
        <v>0</v>
      </c>
      <c r="O1445" s="294"/>
      <c r="P1445" s="404"/>
      <c r="Q1445" s="404"/>
      <c r="R1445" s="301"/>
      <c r="S1445" s="301"/>
      <c r="T1445" s="301"/>
      <c r="U1445" s="301"/>
      <c r="V1445" s="301"/>
    </row>
    <row r="1446" spans="1:22" ht="14.4" thickTop="1" thickBot="1" x14ac:dyDescent="0.3">
      <c r="A1446" s="292"/>
      <c r="B1446" s="293"/>
      <c r="C1446" s="294"/>
      <c r="D1446" s="294"/>
      <c r="E1446" s="294"/>
      <c r="F1446" s="310"/>
      <c r="G1446" s="310"/>
      <c r="H1446" s="310"/>
      <c r="I1446" s="295"/>
      <c r="J1446" s="295"/>
      <c r="K1446" s="300">
        <f t="shared" si="169"/>
        <v>1.1000000000000001</v>
      </c>
      <c r="L1446" s="300">
        <f t="shared" si="170"/>
        <v>0</v>
      </c>
      <c r="M1446" s="285">
        <f t="shared" si="171"/>
        <v>0</v>
      </c>
      <c r="N1446" s="1076">
        <f t="shared" si="172"/>
        <v>0</v>
      </c>
      <c r="O1446" s="294"/>
      <c r="P1446" s="404"/>
      <c r="Q1446" s="404"/>
      <c r="R1446" s="301"/>
      <c r="S1446" s="301"/>
      <c r="T1446" s="301"/>
      <c r="U1446" s="301"/>
      <c r="V1446" s="301"/>
    </row>
    <row r="1447" spans="1:22" ht="14.4" thickTop="1" thickBot="1" x14ac:dyDescent="0.3">
      <c r="A1447" s="292"/>
      <c r="B1447" s="293"/>
      <c r="C1447" s="294"/>
      <c r="D1447" s="294"/>
      <c r="E1447" s="294"/>
      <c r="F1447" s="310"/>
      <c r="G1447" s="310"/>
      <c r="H1447" s="310"/>
      <c r="I1447" s="295"/>
      <c r="J1447" s="295"/>
      <c r="K1447" s="300">
        <f t="shared" si="169"/>
        <v>1.1000000000000001</v>
      </c>
      <c r="L1447" s="300">
        <f t="shared" si="170"/>
        <v>0</v>
      </c>
      <c r="M1447" s="285">
        <f t="shared" si="171"/>
        <v>0</v>
      </c>
      <c r="N1447" s="1076">
        <f t="shared" si="172"/>
        <v>0</v>
      </c>
      <c r="O1447" s="294"/>
      <c r="P1447" s="404"/>
      <c r="Q1447" s="404"/>
      <c r="R1447" s="301"/>
      <c r="S1447" s="301"/>
      <c r="T1447" s="301"/>
      <c r="U1447" s="301"/>
      <c r="V1447" s="301"/>
    </row>
    <row r="1448" spans="1:22" ht="14.4" thickTop="1" thickBot="1" x14ac:dyDescent="0.3">
      <c r="A1448" s="292"/>
      <c r="B1448" s="293"/>
      <c r="C1448" s="294"/>
      <c r="D1448" s="294"/>
      <c r="E1448" s="294"/>
      <c r="F1448" s="310"/>
      <c r="G1448" s="310"/>
      <c r="H1448" s="310"/>
      <c r="I1448" s="295"/>
      <c r="J1448" s="295"/>
      <c r="K1448" s="300">
        <f t="shared" si="169"/>
        <v>1.1000000000000001</v>
      </c>
      <c r="L1448" s="300">
        <f t="shared" si="170"/>
        <v>0</v>
      </c>
      <c r="M1448" s="285">
        <f t="shared" si="171"/>
        <v>0</v>
      </c>
      <c r="N1448" s="1076">
        <f t="shared" si="172"/>
        <v>0</v>
      </c>
      <c r="O1448" s="294"/>
      <c r="P1448" s="404"/>
      <c r="Q1448" s="404"/>
      <c r="R1448" s="301"/>
      <c r="S1448" s="301"/>
      <c r="T1448" s="301"/>
      <c r="U1448" s="301"/>
      <c r="V1448" s="301"/>
    </row>
    <row r="1449" spans="1:22" ht="14.4" thickTop="1" thickBot="1" x14ac:dyDescent="0.3">
      <c r="A1449" s="292"/>
      <c r="B1449" s="293"/>
      <c r="C1449" s="294"/>
      <c r="D1449" s="294"/>
      <c r="E1449" s="294"/>
      <c r="F1449" s="310"/>
      <c r="G1449" s="310"/>
      <c r="H1449" s="310"/>
      <c r="I1449" s="295"/>
      <c r="J1449" s="295"/>
      <c r="K1449" s="300">
        <f t="shared" si="169"/>
        <v>1.1000000000000001</v>
      </c>
      <c r="L1449" s="300">
        <f t="shared" si="170"/>
        <v>0</v>
      </c>
      <c r="M1449" s="285">
        <f t="shared" si="171"/>
        <v>0</v>
      </c>
      <c r="N1449" s="1076">
        <f t="shared" si="172"/>
        <v>0</v>
      </c>
      <c r="O1449" s="294"/>
      <c r="P1449" s="404"/>
      <c r="Q1449" s="404"/>
      <c r="R1449" s="301"/>
      <c r="S1449" s="301"/>
      <c r="T1449" s="301"/>
      <c r="U1449" s="301"/>
      <c r="V1449" s="301"/>
    </row>
    <row r="1450" spans="1:22" ht="14.4" thickTop="1" thickBot="1" x14ac:dyDescent="0.3">
      <c r="A1450" s="292"/>
      <c r="B1450" s="293"/>
      <c r="C1450" s="294"/>
      <c r="D1450" s="294"/>
      <c r="E1450" s="294"/>
      <c r="F1450" s="310"/>
      <c r="G1450" s="310"/>
      <c r="H1450" s="310"/>
      <c r="I1450" s="295"/>
      <c r="J1450" s="295"/>
      <c r="K1450" s="300">
        <f t="shared" si="169"/>
        <v>1.1000000000000001</v>
      </c>
      <c r="L1450" s="300">
        <f t="shared" si="170"/>
        <v>0</v>
      </c>
      <c r="M1450" s="285">
        <f t="shared" si="171"/>
        <v>0</v>
      </c>
      <c r="N1450" s="1076">
        <f t="shared" si="172"/>
        <v>0</v>
      </c>
      <c r="O1450" s="294"/>
      <c r="P1450" s="404"/>
      <c r="Q1450" s="404"/>
      <c r="R1450" s="301"/>
      <c r="S1450" s="301"/>
      <c r="T1450" s="301"/>
      <c r="U1450" s="301"/>
      <c r="V1450" s="301"/>
    </row>
    <row r="1451" spans="1:22" ht="14.4" thickTop="1" thickBot="1" x14ac:dyDescent="0.3">
      <c r="A1451" s="292"/>
      <c r="B1451" s="293"/>
      <c r="C1451" s="294"/>
      <c r="D1451" s="294"/>
      <c r="E1451" s="294"/>
      <c r="F1451" s="310"/>
      <c r="G1451" s="310"/>
      <c r="H1451" s="310"/>
      <c r="I1451" s="295"/>
      <c r="J1451" s="295"/>
      <c r="K1451" s="300">
        <f t="shared" si="169"/>
        <v>1.1000000000000001</v>
      </c>
      <c r="L1451" s="300">
        <f t="shared" si="170"/>
        <v>0</v>
      </c>
      <c r="M1451" s="285">
        <f t="shared" si="171"/>
        <v>0</v>
      </c>
      <c r="N1451" s="1076">
        <f t="shared" si="172"/>
        <v>0</v>
      </c>
      <c r="O1451" s="294"/>
      <c r="P1451" s="404"/>
      <c r="Q1451" s="404"/>
      <c r="R1451" s="301"/>
      <c r="S1451" s="301"/>
      <c r="T1451" s="301"/>
      <c r="U1451" s="301"/>
      <c r="V1451" s="301"/>
    </row>
    <row r="1452" spans="1:22" ht="14.4" thickTop="1" thickBot="1" x14ac:dyDescent="0.3">
      <c r="A1452" s="292"/>
      <c r="B1452" s="293"/>
      <c r="C1452" s="294"/>
      <c r="D1452" s="294"/>
      <c r="E1452" s="294"/>
      <c r="F1452" s="310"/>
      <c r="G1452" s="310"/>
      <c r="H1452" s="310"/>
      <c r="I1452" s="295"/>
      <c r="J1452" s="295"/>
      <c r="K1452" s="300">
        <f t="shared" si="169"/>
        <v>1.1000000000000001</v>
      </c>
      <c r="L1452" s="300">
        <f t="shared" si="170"/>
        <v>0</v>
      </c>
      <c r="M1452" s="285">
        <f t="shared" si="171"/>
        <v>0</v>
      </c>
      <c r="N1452" s="1076">
        <f t="shared" si="172"/>
        <v>0</v>
      </c>
      <c r="O1452" s="294"/>
      <c r="P1452" s="404"/>
      <c r="Q1452" s="404"/>
      <c r="R1452" s="301"/>
      <c r="S1452" s="301"/>
      <c r="T1452" s="301"/>
      <c r="U1452" s="301"/>
      <c r="V1452" s="301"/>
    </row>
    <row r="1453" spans="1:22" ht="14.4" thickTop="1" thickBot="1" x14ac:dyDescent="0.3">
      <c r="A1453" s="292"/>
      <c r="B1453" s="293"/>
      <c r="C1453" s="294"/>
      <c r="D1453" s="294"/>
      <c r="E1453" s="294"/>
      <c r="F1453" s="310"/>
      <c r="G1453" s="310"/>
      <c r="H1453" s="310"/>
      <c r="I1453" s="295"/>
      <c r="J1453" s="295"/>
      <c r="K1453" s="300">
        <f t="shared" si="169"/>
        <v>1.1000000000000001</v>
      </c>
      <c r="L1453" s="300">
        <f t="shared" si="170"/>
        <v>0</v>
      </c>
      <c r="M1453" s="285">
        <f t="shared" si="171"/>
        <v>0</v>
      </c>
      <c r="N1453" s="1076">
        <f t="shared" si="172"/>
        <v>0</v>
      </c>
      <c r="O1453" s="294"/>
      <c r="P1453" s="404"/>
      <c r="Q1453" s="404"/>
      <c r="R1453" s="301"/>
      <c r="S1453" s="301"/>
      <c r="T1453" s="301"/>
      <c r="U1453" s="301"/>
      <c r="V1453" s="301"/>
    </row>
    <row r="1454" spans="1:22" ht="14.4" thickTop="1" thickBot="1" x14ac:dyDescent="0.3">
      <c r="A1454" s="292"/>
      <c r="B1454" s="293"/>
      <c r="C1454" s="294"/>
      <c r="D1454" s="294"/>
      <c r="E1454" s="294"/>
      <c r="F1454" s="310"/>
      <c r="G1454" s="310"/>
      <c r="H1454" s="310"/>
      <c r="I1454" s="295"/>
      <c r="J1454" s="295"/>
      <c r="K1454" s="300">
        <f t="shared" si="169"/>
        <v>1.1000000000000001</v>
      </c>
      <c r="L1454" s="300">
        <f t="shared" si="170"/>
        <v>0</v>
      </c>
      <c r="M1454" s="285">
        <f t="shared" si="171"/>
        <v>0</v>
      </c>
      <c r="N1454" s="1076">
        <f t="shared" si="172"/>
        <v>0</v>
      </c>
      <c r="O1454" s="294"/>
      <c r="P1454" s="404"/>
      <c r="Q1454" s="404"/>
      <c r="R1454" s="301"/>
      <c r="S1454" s="301"/>
      <c r="T1454" s="301"/>
      <c r="U1454" s="301"/>
      <c r="V1454" s="301"/>
    </row>
    <row r="1455" spans="1:22" ht="14.4" thickTop="1" thickBot="1" x14ac:dyDescent="0.3">
      <c r="A1455" s="292"/>
      <c r="B1455" s="293"/>
      <c r="C1455" s="294"/>
      <c r="D1455" s="294"/>
      <c r="E1455" s="294"/>
      <c r="F1455" s="310"/>
      <c r="G1455" s="310"/>
      <c r="H1455" s="310"/>
      <c r="I1455" s="295"/>
      <c r="J1455" s="295"/>
      <c r="K1455" s="300">
        <f t="shared" si="169"/>
        <v>1.1000000000000001</v>
      </c>
      <c r="L1455" s="300">
        <f t="shared" si="170"/>
        <v>0</v>
      </c>
      <c r="M1455" s="285">
        <f t="shared" si="171"/>
        <v>0</v>
      </c>
      <c r="N1455" s="1076">
        <f t="shared" si="172"/>
        <v>0</v>
      </c>
      <c r="O1455" s="294"/>
      <c r="P1455" s="404"/>
      <c r="Q1455" s="404"/>
      <c r="R1455" s="301"/>
      <c r="S1455" s="301"/>
      <c r="T1455" s="301"/>
      <c r="U1455" s="301"/>
      <c r="V1455" s="301"/>
    </row>
    <row r="1456" spans="1:22" ht="14.4" thickTop="1" thickBot="1" x14ac:dyDescent="0.3">
      <c r="A1456" s="292"/>
      <c r="B1456" s="293"/>
      <c r="C1456" s="294"/>
      <c r="D1456" s="294"/>
      <c r="E1456" s="294"/>
      <c r="F1456" s="310"/>
      <c r="G1456" s="310"/>
      <c r="H1456" s="310"/>
      <c r="I1456" s="295"/>
      <c r="J1456" s="295"/>
      <c r="K1456" s="300">
        <f t="shared" si="169"/>
        <v>1.1000000000000001</v>
      </c>
      <c r="L1456" s="300">
        <f t="shared" si="170"/>
        <v>0</v>
      </c>
      <c r="M1456" s="285">
        <f t="shared" si="171"/>
        <v>0</v>
      </c>
      <c r="N1456" s="1076">
        <f t="shared" si="172"/>
        <v>0</v>
      </c>
      <c r="O1456" s="294"/>
      <c r="P1456" s="404"/>
      <c r="Q1456" s="404"/>
      <c r="R1456" s="301"/>
      <c r="S1456" s="301"/>
      <c r="T1456" s="301"/>
      <c r="U1456" s="301"/>
      <c r="V1456" s="301"/>
    </row>
    <row r="1457" spans="1:22" ht="14.4" thickTop="1" thickBot="1" x14ac:dyDescent="0.3">
      <c r="A1457" s="292"/>
      <c r="B1457" s="293"/>
      <c r="C1457" s="294"/>
      <c r="D1457" s="294"/>
      <c r="E1457" s="294"/>
      <c r="F1457" s="310"/>
      <c r="G1457" s="310"/>
      <c r="H1457" s="310"/>
      <c r="I1457" s="295"/>
      <c r="J1457" s="295"/>
      <c r="K1457" s="300">
        <f t="shared" si="169"/>
        <v>1.1000000000000001</v>
      </c>
      <c r="L1457" s="300">
        <f t="shared" si="170"/>
        <v>0</v>
      </c>
      <c r="M1457" s="285">
        <f t="shared" si="171"/>
        <v>0</v>
      </c>
      <c r="N1457" s="1076">
        <f t="shared" si="172"/>
        <v>0</v>
      </c>
      <c r="O1457" s="294"/>
      <c r="P1457" s="404"/>
      <c r="Q1457" s="404"/>
      <c r="R1457" s="301"/>
      <c r="S1457" s="301"/>
      <c r="T1457" s="301"/>
      <c r="U1457" s="301"/>
      <c r="V1457" s="301"/>
    </row>
    <row r="1458" spans="1:22" ht="14.4" thickTop="1" thickBot="1" x14ac:dyDescent="0.3">
      <c r="A1458" s="292"/>
      <c r="B1458" s="293"/>
      <c r="C1458" s="294"/>
      <c r="D1458" s="294"/>
      <c r="E1458" s="294"/>
      <c r="F1458" s="310"/>
      <c r="G1458" s="310"/>
      <c r="H1458" s="310"/>
      <c r="I1458" s="295"/>
      <c r="J1458" s="295"/>
      <c r="K1458" s="300">
        <f t="shared" si="169"/>
        <v>1.1000000000000001</v>
      </c>
      <c r="L1458" s="300">
        <f t="shared" si="170"/>
        <v>0</v>
      </c>
      <c r="M1458" s="285">
        <f t="shared" si="171"/>
        <v>0</v>
      </c>
      <c r="N1458" s="1076">
        <f t="shared" si="172"/>
        <v>0</v>
      </c>
      <c r="O1458" s="294"/>
      <c r="P1458" s="404"/>
      <c r="Q1458" s="404"/>
      <c r="R1458" s="301"/>
      <c r="S1458" s="301"/>
      <c r="T1458" s="301"/>
      <c r="U1458" s="301"/>
      <c r="V1458" s="301"/>
    </row>
    <row r="1459" spans="1:22" ht="14.4" thickTop="1" thickBot="1" x14ac:dyDescent="0.3">
      <c r="A1459" s="292"/>
      <c r="B1459" s="293"/>
      <c r="C1459" s="294"/>
      <c r="D1459" s="294"/>
      <c r="E1459" s="294"/>
      <c r="F1459" s="310"/>
      <c r="G1459" s="310"/>
      <c r="H1459" s="310"/>
      <c r="I1459" s="295"/>
      <c r="J1459" s="295"/>
      <c r="K1459" s="300">
        <f t="shared" si="169"/>
        <v>1.1000000000000001</v>
      </c>
      <c r="L1459" s="300">
        <f t="shared" si="170"/>
        <v>0</v>
      </c>
      <c r="M1459" s="285">
        <f t="shared" si="171"/>
        <v>0</v>
      </c>
      <c r="N1459" s="1076">
        <f t="shared" si="172"/>
        <v>0</v>
      </c>
      <c r="O1459" s="294"/>
      <c r="P1459" s="404"/>
      <c r="Q1459" s="404"/>
      <c r="R1459" s="301"/>
      <c r="S1459" s="301"/>
      <c r="T1459" s="301"/>
      <c r="U1459" s="301"/>
      <c r="V1459" s="301"/>
    </row>
    <row r="1460" spans="1:22" ht="14.4" thickTop="1" thickBot="1" x14ac:dyDescent="0.3">
      <c r="A1460" s="292"/>
      <c r="B1460" s="293"/>
      <c r="C1460" s="294"/>
      <c r="D1460" s="294"/>
      <c r="E1460" s="294"/>
      <c r="F1460" s="310"/>
      <c r="G1460" s="310"/>
      <c r="H1460" s="310"/>
      <c r="I1460" s="295"/>
      <c r="J1460" s="295"/>
      <c r="K1460" s="300">
        <f t="shared" si="169"/>
        <v>1.1000000000000001</v>
      </c>
      <c r="L1460" s="300">
        <f t="shared" si="170"/>
        <v>0</v>
      </c>
      <c r="M1460" s="285">
        <f t="shared" si="171"/>
        <v>0</v>
      </c>
      <c r="N1460" s="1076">
        <f t="shared" si="172"/>
        <v>0</v>
      </c>
      <c r="O1460" s="294"/>
      <c r="P1460" s="404"/>
      <c r="Q1460" s="404"/>
      <c r="R1460" s="301"/>
      <c r="S1460" s="301"/>
      <c r="T1460" s="301"/>
      <c r="U1460" s="301"/>
      <c r="V1460" s="301"/>
    </row>
    <row r="1461" spans="1:22" ht="14.4" thickTop="1" thickBot="1" x14ac:dyDescent="0.3">
      <c r="A1461" s="292"/>
      <c r="B1461" s="293"/>
      <c r="C1461" s="294"/>
      <c r="D1461" s="294"/>
      <c r="E1461" s="294"/>
      <c r="F1461" s="310"/>
      <c r="G1461" s="310"/>
      <c r="H1461" s="310"/>
      <c r="I1461" s="295"/>
      <c r="J1461" s="295"/>
      <c r="K1461" s="300">
        <f t="shared" si="169"/>
        <v>1.1000000000000001</v>
      </c>
      <c r="L1461" s="300">
        <f t="shared" si="170"/>
        <v>0</v>
      </c>
      <c r="M1461" s="285">
        <f t="shared" si="171"/>
        <v>0</v>
      </c>
      <c r="N1461" s="1076">
        <f t="shared" si="172"/>
        <v>0</v>
      </c>
      <c r="O1461" s="294"/>
      <c r="P1461" s="404"/>
      <c r="Q1461" s="404"/>
      <c r="R1461" s="301"/>
      <c r="S1461" s="301"/>
      <c r="T1461" s="301"/>
      <c r="U1461" s="301"/>
      <c r="V1461" s="301"/>
    </row>
    <row r="1462" spans="1:22" ht="14.4" thickTop="1" thickBot="1" x14ac:dyDescent="0.3">
      <c r="A1462" s="292"/>
      <c r="B1462" s="293"/>
      <c r="C1462" s="294"/>
      <c r="D1462" s="294"/>
      <c r="E1462" s="294"/>
      <c r="F1462" s="310"/>
      <c r="G1462" s="310"/>
      <c r="H1462" s="310"/>
      <c r="I1462" s="295"/>
      <c r="J1462" s="295"/>
      <c r="K1462" s="300">
        <f t="shared" si="169"/>
        <v>1.1000000000000001</v>
      </c>
      <c r="L1462" s="300">
        <f t="shared" si="170"/>
        <v>0</v>
      </c>
      <c r="M1462" s="285">
        <f t="shared" si="171"/>
        <v>0</v>
      </c>
      <c r="N1462" s="1076">
        <f t="shared" si="172"/>
        <v>0</v>
      </c>
      <c r="O1462" s="294"/>
      <c r="P1462" s="404"/>
      <c r="Q1462" s="404"/>
      <c r="R1462" s="301"/>
      <c r="S1462" s="301"/>
      <c r="T1462" s="301"/>
      <c r="U1462" s="301"/>
      <c r="V1462" s="301"/>
    </row>
    <row r="1463" spans="1:22" ht="14.4" thickTop="1" thickBot="1" x14ac:dyDescent="0.3">
      <c r="A1463" s="292"/>
      <c r="B1463" s="293"/>
      <c r="C1463" s="294"/>
      <c r="D1463" s="294"/>
      <c r="E1463" s="294"/>
      <c r="F1463" s="310"/>
      <c r="G1463" s="310"/>
      <c r="H1463" s="310"/>
      <c r="I1463" s="295"/>
      <c r="J1463" s="295"/>
      <c r="K1463" s="300">
        <f t="shared" si="169"/>
        <v>1.1000000000000001</v>
      </c>
      <c r="L1463" s="300">
        <f t="shared" si="170"/>
        <v>0</v>
      </c>
      <c r="M1463" s="285">
        <f t="shared" si="171"/>
        <v>0</v>
      </c>
      <c r="N1463" s="1076">
        <f t="shared" si="172"/>
        <v>0</v>
      </c>
      <c r="O1463" s="294"/>
      <c r="P1463" s="404"/>
      <c r="Q1463" s="404"/>
      <c r="R1463" s="301"/>
      <c r="S1463" s="301"/>
      <c r="T1463" s="301"/>
      <c r="U1463" s="301"/>
      <c r="V1463" s="301"/>
    </row>
    <row r="1464" spans="1:22" ht="14.4" thickTop="1" thickBot="1" x14ac:dyDescent="0.3">
      <c r="A1464" s="292"/>
      <c r="B1464" s="293"/>
      <c r="C1464" s="294"/>
      <c r="D1464" s="294"/>
      <c r="E1464" s="294"/>
      <c r="F1464" s="310"/>
      <c r="G1464" s="310"/>
      <c r="H1464" s="310"/>
      <c r="I1464" s="295"/>
      <c r="J1464" s="295"/>
      <c r="K1464" s="300">
        <f t="shared" si="169"/>
        <v>1.1000000000000001</v>
      </c>
      <c r="L1464" s="300">
        <f t="shared" si="170"/>
        <v>0</v>
      </c>
      <c r="M1464" s="285">
        <f t="shared" si="171"/>
        <v>0</v>
      </c>
      <c r="N1464" s="1076">
        <f t="shared" si="172"/>
        <v>0</v>
      </c>
      <c r="O1464" s="294"/>
      <c r="P1464" s="404"/>
      <c r="Q1464" s="404"/>
      <c r="R1464" s="301"/>
      <c r="S1464" s="301"/>
      <c r="T1464" s="301"/>
      <c r="U1464" s="301"/>
      <c r="V1464" s="301"/>
    </row>
    <row r="1465" spans="1:22" ht="14.4" thickTop="1" thickBot="1" x14ac:dyDescent="0.3">
      <c r="A1465" s="292"/>
      <c r="B1465" s="293"/>
      <c r="C1465" s="294"/>
      <c r="D1465" s="294"/>
      <c r="E1465" s="294"/>
      <c r="F1465" s="310"/>
      <c r="G1465" s="310"/>
      <c r="H1465" s="310"/>
      <c r="I1465" s="295"/>
      <c r="J1465" s="295"/>
      <c r="K1465" s="300">
        <f t="shared" si="169"/>
        <v>1.1000000000000001</v>
      </c>
      <c r="L1465" s="300">
        <f t="shared" si="170"/>
        <v>0</v>
      </c>
      <c r="M1465" s="285">
        <f t="shared" si="171"/>
        <v>0</v>
      </c>
      <c r="N1465" s="1076">
        <f t="shared" si="172"/>
        <v>0</v>
      </c>
      <c r="O1465" s="294"/>
      <c r="P1465" s="404"/>
      <c r="Q1465" s="404"/>
      <c r="R1465" s="301"/>
      <c r="S1465" s="301"/>
      <c r="T1465" s="301"/>
      <c r="U1465" s="301"/>
      <c r="V1465" s="301"/>
    </row>
    <row r="1466" spans="1:22" ht="14.4" thickTop="1" thickBot="1" x14ac:dyDescent="0.3">
      <c r="A1466" s="292"/>
      <c r="B1466" s="293"/>
      <c r="C1466" s="294"/>
      <c r="D1466" s="294"/>
      <c r="E1466" s="294"/>
      <c r="F1466" s="310"/>
      <c r="G1466" s="310"/>
      <c r="H1466" s="310"/>
      <c r="I1466" s="295"/>
      <c r="J1466" s="295"/>
      <c r="K1466" s="300">
        <f t="shared" si="169"/>
        <v>1.1000000000000001</v>
      </c>
      <c r="L1466" s="300">
        <f t="shared" si="170"/>
        <v>0</v>
      </c>
      <c r="M1466" s="285">
        <f t="shared" si="171"/>
        <v>0</v>
      </c>
      <c r="N1466" s="1076">
        <f t="shared" si="172"/>
        <v>0</v>
      </c>
      <c r="O1466" s="294"/>
      <c r="P1466" s="404"/>
      <c r="Q1466" s="404"/>
      <c r="R1466" s="301"/>
      <c r="S1466" s="301"/>
      <c r="T1466" s="301"/>
      <c r="U1466" s="301"/>
      <c r="V1466" s="301"/>
    </row>
    <row r="1467" spans="1:22" ht="14.4" thickTop="1" thickBot="1" x14ac:dyDescent="0.3">
      <c r="A1467" s="292"/>
      <c r="B1467" s="293"/>
      <c r="C1467" s="294"/>
      <c r="D1467" s="294"/>
      <c r="E1467" s="294"/>
      <c r="F1467" s="310"/>
      <c r="G1467" s="310"/>
      <c r="H1467" s="310"/>
      <c r="I1467" s="295"/>
      <c r="J1467" s="295"/>
      <c r="K1467" s="300">
        <f t="shared" si="169"/>
        <v>1.1000000000000001</v>
      </c>
      <c r="L1467" s="300">
        <f t="shared" si="170"/>
        <v>0</v>
      </c>
      <c r="M1467" s="285">
        <f t="shared" si="171"/>
        <v>0</v>
      </c>
      <c r="N1467" s="1076">
        <f t="shared" si="172"/>
        <v>0</v>
      </c>
      <c r="O1467" s="294"/>
      <c r="P1467" s="404"/>
      <c r="Q1467" s="404"/>
      <c r="R1467" s="301"/>
      <c r="S1467" s="301"/>
      <c r="T1467" s="301"/>
      <c r="U1467" s="301"/>
      <c r="V1467" s="301"/>
    </row>
    <row r="1468" spans="1:22" ht="14.4" thickTop="1" thickBot="1" x14ac:dyDescent="0.3">
      <c r="A1468" s="292"/>
      <c r="B1468" s="293"/>
      <c r="C1468" s="294"/>
      <c r="D1468" s="294"/>
      <c r="E1468" s="294"/>
      <c r="F1468" s="310"/>
      <c r="G1468" s="310"/>
      <c r="H1468" s="310"/>
      <c r="I1468" s="295"/>
      <c r="J1468" s="295"/>
      <c r="K1468" s="300">
        <f t="shared" si="169"/>
        <v>1.1000000000000001</v>
      </c>
      <c r="L1468" s="300">
        <f t="shared" si="170"/>
        <v>0</v>
      </c>
      <c r="M1468" s="285">
        <f t="shared" si="171"/>
        <v>0</v>
      </c>
      <c r="N1468" s="1076">
        <f t="shared" si="172"/>
        <v>0</v>
      </c>
      <c r="O1468" s="294"/>
      <c r="P1468" s="404"/>
      <c r="Q1468" s="404"/>
      <c r="R1468" s="301"/>
      <c r="S1468" s="301"/>
      <c r="T1468" s="301"/>
      <c r="U1468" s="301"/>
      <c r="V1468" s="301"/>
    </row>
    <row r="1469" spans="1:22" ht="14.4" thickTop="1" thickBot="1" x14ac:dyDescent="0.3">
      <c r="A1469" s="292"/>
      <c r="B1469" s="293"/>
      <c r="C1469" s="294"/>
      <c r="D1469" s="294"/>
      <c r="E1469" s="294"/>
      <c r="F1469" s="310"/>
      <c r="G1469" s="310"/>
      <c r="H1469" s="310"/>
      <c r="I1469" s="295"/>
      <c r="J1469" s="295"/>
      <c r="K1469" s="300">
        <f t="shared" si="169"/>
        <v>1.1000000000000001</v>
      </c>
      <c r="L1469" s="300">
        <f t="shared" si="170"/>
        <v>0</v>
      </c>
      <c r="M1469" s="285">
        <f t="shared" si="171"/>
        <v>0</v>
      </c>
      <c r="N1469" s="1076">
        <f t="shared" si="172"/>
        <v>0</v>
      </c>
      <c r="O1469" s="294"/>
      <c r="P1469" s="404"/>
      <c r="Q1469" s="404"/>
      <c r="R1469" s="301"/>
      <c r="S1469" s="301"/>
      <c r="T1469" s="301"/>
      <c r="U1469" s="301"/>
      <c r="V1469" s="301"/>
    </row>
    <row r="1470" spans="1:22" ht="14.4" thickTop="1" thickBot="1" x14ac:dyDescent="0.3">
      <c r="A1470" s="292"/>
      <c r="B1470" s="293"/>
      <c r="C1470" s="294"/>
      <c r="D1470" s="294"/>
      <c r="E1470" s="294"/>
      <c r="F1470" s="310"/>
      <c r="G1470" s="310"/>
      <c r="H1470" s="310"/>
      <c r="I1470" s="295"/>
      <c r="J1470" s="295"/>
      <c r="K1470" s="300">
        <f t="shared" si="169"/>
        <v>1.1000000000000001</v>
      </c>
      <c r="L1470" s="300">
        <f t="shared" si="170"/>
        <v>0</v>
      </c>
      <c r="M1470" s="285">
        <f t="shared" si="171"/>
        <v>0</v>
      </c>
      <c r="N1470" s="1076">
        <f t="shared" si="172"/>
        <v>0</v>
      </c>
      <c r="O1470" s="294"/>
      <c r="P1470" s="404"/>
      <c r="Q1470" s="404"/>
      <c r="R1470" s="301"/>
      <c r="S1470" s="301"/>
      <c r="T1470" s="301"/>
      <c r="U1470" s="301"/>
      <c r="V1470" s="301"/>
    </row>
    <row r="1471" spans="1:22" ht="14.4" thickTop="1" thickBot="1" x14ac:dyDescent="0.3">
      <c r="A1471" s="292"/>
      <c r="B1471" s="293"/>
      <c r="C1471" s="294"/>
      <c r="D1471" s="294"/>
      <c r="E1471" s="294"/>
      <c r="F1471" s="310"/>
      <c r="G1471" s="310"/>
      <c r="H1471" s="310"/>
      <c r="I1471" s="295"/>
      <c r="J1471" s="295"/>
      <c r="K1471" s="300">
        <f t="shared" si="169"/>
        <v>1.1000000000000001</v>
      </c>
      <c r="L1471" s="300">
        <f t="shared" si="170"/>
        <v>0</v>
      </c>
      <c r="M1471" s="285">
        <f t="shared" si="171"/>
        <v>0</v>
      </c>
      <c r="N1471" s="1076">
        <f t="shared" si="172"/>
        <v>0</v>
      </c>
      <c r="O1471" s="294"/>
      <c r="P1471" s="404"/>
      <c r="Q1471" s="404"/>
      <c r="R1471" s="301"/>
      <c r="S1471" s="301"/>
      <c r="T1471" s="301"/>
      <c r="U1471" s="301"/>
      <c r="V1471" s="301"/>
    </row>
    <row r="1472" spans="1:22" ht="14.4" thickTop="1" thickBot="1" x14ac:dyDescent="0.3">
      <c r="A1472" s="292"/>
      <c r="B1472" s="293"/>
      <c r="C1472" s="294"/>
      <c r="D1472" s="294"/>
      <c r="E1472" s="294"/>
      <c r="F1472" s="310"/>
      <c r="G1472" s="310"/>
      <c r="H1472" s="310"/>
      <c r="I1472" s="295"/>
      <c r="J1472" s="295"/>
      <c r="K1472" s="300">
        <f t="shared" si="169"/>
        <v>1.1000000000000001</v>
      </c>
      <c r="L1472" s="300">
        <f t="shared" si="170"/>
        <v>0</v>
      </c>
      <c r="M1472" s="285">
        <f t="shared" si="171"/>
        <v>0</v>
      </c>
      <c r="N1472" s="1076">
        <f t="shared" si="172"/>
        <v>0</v>
      </c>
      <c r="O1472" s="294"/>
      <c r="P1472" s="404"/>
      <c r="Q1472" s="404"/>
      <c r="R1472" s="301"/>
      <c r="S1472" s="301"/>
      <c r="T1472" s="301"/>
      <c r="U1472" s="301"/>
      <c r="V1472" s="301"/>
    </row>
    <row r="1473" spans="1:22" ht="14.4" thickTop="1" thickBot="1" x14ac:dyDescent="0.3">
      <c r="A1473" s="292"/>
      <c r="B1473" s="293"/>
      <c r="C1473" s="294"/>
      <c r="D1473" s="294"/>
      <c r="E1473" s="294"/>
      <c r="F1473" s="310"/>
      <c r="G1473" s="310"/>
      <c r="H1473" s="310"/>
      <c r="I1473" s="295"/>
      <c r="J1473" s="295"/>
      <c r="K1473" s="300">
        <f t="shared" si="169"/>
        <v>1.1000000000000001</v>
      </c>
      <c r="L1473" s="300">
        <f t="shared" si="170"/>
        <v>0</v>
      </c>
      <c r="M1473" s="285">
        <f t="shared" si="171"/>
        <v>0</v>
      </c>
      <c r="N1473" s="1076">
        <f t="shared" si="172"/>
        <v>0</v>
      </c>
      <c r="O1473" s="294"/>
      <c r="P1473" s="404"/>
      <c r="Q1473" s="404"/>
      <c r="R1473" s="301"/>
      <c r="S1473" s="301"/>
      <c r="T1473" s="301"/>
      <c r="U1473" s="301"/>
      <c r="V1473" s="301"/>
    </row>
    <row r="1474" spans="1:22" ht="14.4" thickTop="1" thickBot="1" x14ac:dyDescent="0.3">
      <c r="A1474" s="292"/>
      <c r="B1474" s="293"/>
      <c r="C1474" s="294"/>
      <c r="D1474" s="294"/>
      <c r="E1474" s="294"/>
      <c r="F1474" s="310"/>
      <c r="G1474" s="310"/>
      <c r="H1474" s="310"/>
      <c r="I1474" s="295"/>
      <c r="J1474" s="295"/>
      <c r="K1474" s="300">
        <f t="shared" si="169"/>
        <v>1.1000000000000001</v>
      </c>
      <c r="L1474" s="300">
        <f t="shared" si="170"/>
        <v>0</v>
      </c>
      <c r="M1474" s="285">
        <f t="shared" si="171"/>
        <v>0</v>
      </c>
      <c r="N1474" s="1076">
        <f t="shared" si="172"/>
        <v>0</v>
      </c>
      <c r="O1474" s="294"/>
      <c r="P1474" s="404"/>
      <c r="Q1474" s="404"/>
      <c r="R1474" s="301"/>
      <c r="S1474" s="301"/>
      <c r="T1474" s="301"/>
      <c r="U1474" s="301"/>
      <c r="V1474" s="301"/>
    </row>
    <row r="1475" spans="1:22" ht="14.4" thickTop="1" thickBot="1" x14ac:dyDescent="0.3">
      <c r="A1475" s="292"/>
      <c r="B1475" s="293"/>
      <c r="C1475" s="294"/>
      <c r="D1475" s="294"/>
      <c r="E1475" s="294"/>
      <c r="F1475" s="310"/>
      <c r="G1475" s="310"/>
      <c r="H1475" s="310"/>
      <c r="I1475" s="295"/>
      <c r="J1475" s="295"/>
      <c r="K1475" s="300">
        <f t="shared" si="169"/>
        <v>1.1000000000000001</v>
      </c>
      <c r="L1475" s="300">
        <f t="shared" si="170"/>
        <v>0</v>
      </c>
      <c r="M1475" s="285">
        <f t="shared" si="171"/>
        <v>0</v>
      </c>
      <c r="N1475" s="1076">
        <f t="shared" si="172"/>
        <v>0</v>
      </c>
      <c r="O1475" s="294"/>
      <c r="P1475" s="404"/>
      <c r="Q1475" s="404"/>
      <c r="R1475" s="301"/>
      <c r="S1475" s="301"/>
      <c r="T1475" s="301"/>
      <c r="U1475" s="301"/>
      <c r="V1475" s="301"/>
    </row>
    <row r="1476" spans="1:22" ht="14.4" thickTop="1" thickBot="1" x14ac:dyDescent="0.3">
      <c r="A1476" s="292"/>
      <c r="B1476" s="293"/>
      <c r="C1476" s="294"/>
      <c r="D1476" s="294"/>
      <c r="E1476" s="294"/>
      <c r="F1476" s="310"/>
      <c r="G1476" s="310"/>
      <c r="H1476" s="310"/>
      <c r="I1476" s="295"/>
      <c r="J1476" s="295"/>
      <c r="K1476" s="300">
        <f t="shared" si="169"/>
        <v>1.1000000000000001</v>
      </c>
      <c r="L1476" s="300">
        <f t="shared" si="170"/>
        <v>0</v>
      </c>
      <c r="M1476" s="285">
        <f t="shared" si="171"/>
        <v>0</v>
      </c>
      <c r="N1476" s="1076">
        <f t="shared" si="172"/>
        <v>0</v>
      </c>
      <c r="O1476" s="294"/>
      <c r="P1476" s="404"/>
      <c r="Q1476" s="404"/>
      <c r="R1476" s="301"/>
      <c r="S1476" s="301"/>
      <c r="T1476" s="301"/>
      <c r="U1476" s="301"/>
      <c r="V1476" s="301"/>
    </row>
    <row r="1477" spans="1:22" ht="14.4" thickTop="1" thickBot="1" x14ac:dyDescent="0.3">
      <c r="A1477" s="292"/>
      <c r="B1477" s="293"/>
      <c r="C1477" s="294"/>
      <c r="D1477" s="294"/>
      <c r="E1477" s="294"/>
      <c r="F1477" s="310"/>
      <c r="G1477" s="310"/>
      <c r="H1477" s="310"/>
      <c r="I1477" s="295"/>
      <c r="J1477" s="295"/>
      <c r="K1477" s="300">
        <f t="shared" si="169"/>
        <v>1.1000000000000001</v>
      </c>
      <c r="L1477" s="300">
        <f t="shared" si="170"/>
        <v>0</v>
      </c>
      <c r="M1477" s="285">
        <f t="shared" si="171"/>
        <v>0</v>
      </c>
      <c r="N1477" s="1076">
        <f t="shared" si="172"/>
        <v>0</v>
      </c>
      <c r="O1477" s="294"/>
      <c r="P1477" s="404"/>
      <c r="Q1477" s="404"/>
      <c r="R1477" s="301"/>
      <c r="S1477" s="301"/>
      <c r="T1477" s="301"/>
      <c r="U1477" s="301"/>
      <c r="V1477" s="301"/>
    </row>
    <row r="1478" spans="1:22" ht="14.4" thickTop="1" thickBot="1" x14ac:dyDescent="0.3">
      <c r="A1478" s="292"/>
      <c r="B1478" s="293"/>
      <c r="C1478" s="294"/>
      <c r="D1478" s="294"/>
      <c r="E1478" s="294"/>
      <c r="F1478" s="310"/>
      <c r="G1478" s="310"/>
      <c r="H1478" s="310"/>
      <c r="I1478" s="295"/>
      <c r="J1478" s="295"/>
      <c r="K1478" s="300">
        <f t="shared" ref="K1478:K1541" si="173">$K$2</f>
        <v>1.1000000000000001</v>
      </c>
      <c r="L1478" s="300">
        <f t="shared" ref="L1478:L1541" si="174">K1478*J1478</f>
        <v>0</v>
      </c>
      <c r="M1478" s="285">
        <f t="shared" ref="M1478:M1541" si="175">ROUND(L1478,1)</f>
        <v>0</v>
      </c>
      <c r="N1478" s="1076">
        <f t="shared" ref="N1478:N1541" si="176">ROUNDUP(M1478,0)</f>
        <v>0</v>
      </c>
      <c r="O1478" s="294"/>
      <c r="P1478" s="404"/>
      <c r="Q1478" s="404"/>
      <c r="R1478" s="301"/>
      <c r="S1478" s="301"/>
      <c r="T1478" s="301"/>
      <c r="U1478" s="301"/>
      <c r="V1478" s="301"/>
    </row>
    <row r="1479" spans="1:22" ht="14.4" thickTop="1" thickBot="1" x14ac:dyDescent="0.3">
      <c r="A1479" s="292"/>
      <c r="B1479" s="293"/>
      <c r="C1479" s="294"/>
      <c r="D1479" s="294"/>
      <c r="E1479" s="294"/>
      <c r="F1479" s="310"/>
      <c r="G1479" s="310"/>
      <c r="H1479" s="310"/>
      <c r="I1479" s="295"/>
      <c r="J1479" s="295"/>
      <c r="K1479" s="300">
        <f t="shared" si="173"/>
        <v>1.1000000000000001</v>
      </c>
      <c r="L1479" s="300">
        <f t="shared" si="174"/>
        <v>0</v>
      </c>
      <c r="M1479" s="285">
        <f t="shared" si="175"/>
        <v>0</v>
      </c>
      <c r="N1479" s="1076">
        <f t="shared" si="176"/>
        <v>0</v>
      </c>
      <c r="O1479" s="294"/>
      <c r="P1479" s="404"/>
      <c r="Q1479" s="404"/>
      <c r="R1479" s="301"/>
      <c r="S1479" s="301"/>
      <c r="T1479" s="301"/>
      <c r="U1479" s="301"/>
      <c r="V1479" s="301"/>
    </row>
    <row r="1480" spans="1:22" ht="14.4" thickTop="1" thickBot="1" x14ac:dyDescent="0.3">
      <c r="A1480" s="292"/>
      <c r="B1480" s="293"/>
      <c r="C1480" s="294"/>
      <c r="D1480" s="294"/>
      <c r="E1480" s="294"/>
      <c r="F1480" s="310"/>
      <c r="G1480" s="310"/>
      <c r="H1480" s="310"/>
      <c r="I1480" s="295"/>
      <c r="J1480" s="295"/>
      <c r="K1480" s="300">
        <f t="shared" si="173"/>
        <v>1.1000000000000001</v>
      </c>
      <c r="L1480" s="300">
        <f t="shared" si="174"/>
        <v>0</v>
      </c>
      <c r="M1480" s="285">
        <f t="shared" si="175"/>
        <v>0</v>
      </c>
      <c r="N1480" s="1076">
        <f t="shared" si="176"/>
        <v>0</v>
      </c>
      <c r="O1480" s="294"/>
      <c r="P1480" s="404"/>
      <c r="Q1480" s="404"/>
      <c r="R1480" s="301"/>
      <c r="S1480" s="301"/>
      <c r="T1480" s="301"/>
      <c r="U1480" s="301"/>
      <c r="V1480" s="301"/>
    </row>
    <row r="1481" spans="1:22" ht="14.4" thickTop="1" thickBot="1" x14ac:dyDescent="0.3">
      <c r="A1481" s="292"/>
      <c r="B1481" s="293"/>
      <c r="C1481" s="294"/>
      <c r="D1481" s="294"/>
      <c r="E1481" s="294"/>
      <c r="F1481" s="310"/>
      <c r="G1481" s="310"/>
      <c r="H1481" s="310"/>
      <c r="I1481" s="295"/>
      <c r="J1481" s="295"/>
      <c r="K1481" s="300">
        <f t="shared" si="173"/>
        <v>1.1000000000000001</v>
      </c>
      <c r="L1481" s="300">
        <f t="shared" si="174"/>
        <v>0</v>
      </c>
      <c r="M1481" s="285">
        <f t="shared" si="175"/>
        <v>0</v>
      </c>
      <c r="N1481" s="1076">
        <f t="shared" si="176"/>
        <v>0</v>
      </c>
      <c r="O1481" s="294"/>
      <c r="P1481" s="404"/>
      <c r="Q1481" s="404"/>
      <c r="R1481" s="301"/>
      <c r="S1481" s="301"/>
      <c r="T1481" s="301"/>
      <c r="U1481" s="301"/>
      <c r="V1481" s="301"/>
    </row>
    <row r="1482" spans="1:22" ht="14.4" thickTop="1" thickBot="1" x14ac:dyDescent="0.3">
      <c r="A1482" s="292"/>
      <c r="B1482" s="293"/>
      <c r="C1482" s="294"/>
      <c r="D1482" s="294"/>
      <c r="E1482" s="294"/>
      <c r="F1482" s="310"/>
      <c r="G1482" s="310"/>
      <c r="H1482" s="310"/>
      <c r="I1482" s="295"/>
      <c r="J1482" s="295"/>
      <c r="K1482" s="300">
        <f t="shared" si="173"/>
        <v>1.1000000000000001</v>
      </c>
      <c r="L1482" s="300">
        <f t="shared" si="174"/>
        <v>0</v>
      </c>
      <c r="M1482" s="285">
        <f t="shared" si="175"/>
        <v>0</v>
      </c>
      <c r="N1482" s="1076">
        <f t="shared" si="176"/>
        <v>0</v>
      </c>
      <c r="O1482" s="294"/>
      <c r="P1482" s="404"/>
      <c r="Q1482" s="404"/>
      <c r="R1482" s="301"/>
      <c r="S1482" s="301"/>
      <c r="T1482" s="301"/>
      <c r="U1482" s="301"/>
      <c r="V1482" s="301"/>
    </row>
    <row r="1483" spans="1:22" ht="14.4" thickTop="1" thickBot="1" x14ac:dyDescent="0.3">
      <c r="A1483" s="292"/>
      <c r="B1483" s="293"/>
      <c r="C1483" s="294"/>
      <c r="D1483" s="294"/>
      <c r="E1483" s="294"/>
      <c r="F1483" s="310"/>
      <c r="G1483" s="310"/>
      <c r="H1483" s="310"/>
      <c r="I1483" s="295"/>
      <c r="J1483" s="295"/>
      <c r="K1483" s="300">
        <f t="shared" si="173"/>
        <v>1.1000000000000001</v>
      </c>
      <c r="L1483" s="300">
        <f t="shared" si="174"/>
        <v>0</v>
      </c>
      <c r="M1483" s="285">
        <f t="shared" si="175"/>
        <v>0</v>
      </c>
      <c r="N1483" s="1076">
        <f t="shared" si="176"/>
        <v>0</v>
      </c>
      <c r="O1483" s="294"/>
      <c r="P1483" s="404"/>
      <c r="Q1483" s="404"/>
      <c r="R1483" s="301"/>
      <c r="S1483" s="301"/>
      <c r="T1483" s="301"/>
      <c r="U1483" s="301"/>
      <c r="V1483" s="301"/>
    </row>
    <row r="1484" spans="1:22" ht="14.4" thickTop="1" thickBot="1" x14ac:dyDescent="0.3">
      <c r="A1484" s="292"/>
      <c r="B1484" s="293"/>
      <c r="C1484" s="294"/>
      <c r="D1484" s="294"/>
      <c r="E1484" s="294"/>
      <c r="F1484" s="310"/>
      <c r="G1484" s="310"/>
      <c r="H1484" s="310"/>
      <c r="I1484" s="295"/>
      <c r="J1484" s="295"/>
      <c r="K1484" s="300">
        <f t="shared" si="173"/>
        <v>1.1000000000000001</v>
      </c>
      <c r="L1484" s="300">
        <f t="shared" si="174"/>
        <v>0</v>
      </c>
      <c r="M1484" s="285">
        <f t="shared" si="175"/>
        <v>0</v>
      </c>
      <c r="N1484" s="1076">
        <f t="shared" si="176"/>
        <v>0</v>
      </c>
      <c r="O1484" s="294"/>
      <c r="P1484" s="404"/>
      <c r="Q1484" s="404"/>
      <c r="R1484" s="301"/>
      <c r="S1484" s="301"/>
      <c r="T1484" s="301"/>
      <c r="U1484" s="301"/>
      <c r="V1484" s="301"/>
    </row>
    <row r="1485" spans="1:22" ht="14.4" thickTop="1" thickBot="1" x14ac:dyDescent="0.3">
      <c r="A1485" s="292"/>
      <c r="B1485" s="293"/>
      <c r="C1485" s="294"/>
      <c r="D1485" s="294"/>
      <c r="E1485" s="294"/>
      <c r="F1485" s="310"/>
      <c r="G1485" s="310"/>
      <c r="H1485" s="310"/>
      <c r="I1485" s="295"/>
      <c r="J1485" s="295"/>
      <c r="K1485" s="300">
        <f t="shared" si="173"/>
        <v>1.1000000000000001</v>
      </c>
      <c r="L1485" s="300">
        <f t="shared" si="174"/>
        <v>0</v>
      </c>
      <c r="M1485" s="285">
        <f t="shared" si="175"/>
        <v>0</v>
      </c>
      <c r="N1485" s="1076">
        <f t="shared" si="176"/>
        <v>0</v>
      </c>
      <c r="O1485" s="294"/>
      <c r="P1485" s="404"/>
      <c r="Q1485" s="404"/>
      <c r="R1485" s="301"/>
      <c r="S1485" s="301"/>
      <c r="T1485" s="301"/>
      <c r="U1485" s="301"/>
      <c r="V1485" s="301"/>
    </row>
    <row r="1486" spans="1:22" ht="14.4" thickTop="1" thickBot="1" x14ac:dyDescent="0.3">
      <c r="A1486" s="292"/>
      <c r="B1486" s="293"/>
      <c r="C1486" s="294"/>
      <c r="D1486" s="294"/>
      <c r="E1486" s="294"/>
      <c r="F1486" s="310"/>
      <c r="G1486" s="310"/>
      <c r="H1486" s="310"/>
      <c r="I1486" s="295"/>
      <c r="J1486" s="295"/>
      <c r="K1486" s="300">
        <f t="shared" si="173"/>
        <v>1.1000000000000001</v>
      </c>
      <c r="L1486" s="300">
        <f t="shared" si="174"/>
        <v>0</v>
      </c>
      <c r="M1486" s="285">
        <f t="shared" si="175"/>
        <v>0</v>
      </c>
      <c r="N1486" s="1076">
        <f t="shared" si="176"/>
        <v>0</v>
      </c>
      <c r="O1486" s="294"/>
      <c r="P1486" s="404"/>
      <c r="Q1486" s="404"/>
      <c r="R1486" s="301"/>
      <c r="S1486" s="301"/>
      <c r="T1486" s="301"/>
      <c r="U1486" s="301"/>
      <c r="V1486" s="301"/>
    </row>
    <row r="1487" spans="1:22" ht="14.4" thickTop="1" thickBot="1" x14ac:dyDescent="0.3">
      <c r="A1487" s="292"/>
      <c r="B1487" s="293"/>
      <c r="C1487" s="294"/>
      <c r="D1487" s="294"/>
      <c r="E1487" s="294"/>
      <c r="F1487" s="310"/>
      <c r="G1487" s="310"/>
      <c r="H1487" s="310"/>
      <c r="I1487" s="295"/>
      <c r="J1487" s="295"/>
      <c r="K1487" s="300">
        <f t="shared" si="173"/>
        <v>1.1000000000000001</v>
      </c>
      <c r="L1487" s="300">
        <f t="shared" si="174"/>
        <v>0</v>
      </c>
      <c r="M1487" s="285">
        <f t="shared" si="175"/>
        <v>0</v>
      </c>
      <c r="N1487" s="1076">
        <f t="shared" si="176"/>
        <v>0</v>
      </c>
      <c r="O1487" s="294"/>
      <c r="P1487" s="404"/>
      <c r="Q1487" s="404"/>
      <c r="R1487" s="301"/>
      <c r="S1487" s="301"/>
      <c r="T1487" s="301"/>
      <c r="U1487" s="301"/>
      <c r="V1487" s="301"/>
    </row>
    <row r="1488" spans="1:22" ht="14.4" thickTop="1" thickBot="1" x14ac:dyDescent="0.3">
      <c r="A1488" s="292"/>
      <c r="B1488" s="293"/>
      <c r="C1488" s="294"/>
      <c r="D1488" s="294"/>
      <c r="E1488" s="294"/>
      <c r="F1488" s="310"/>
      <c r="G1488" s="310"/>
      <c r="H1488" s="310"/>
      <c r="I1488" s="295"/>
      <c r="J1488" s="295"/>
      <c r="K1488" s="300">
        <f t="shared" si="173"/>
        <v>1.1000000000000001</v>
      </c>
      <c r="L1488" s="300">
        <f t="shared" si="174"/>
        <v>0</v>
      </c>
      <c r="M1488" s="285">
        <f t="shared" si="175"/>
        <v>0</v>
      </c>
      <c r="N1488" s="1076">
        <f t="shared" si="176"/>
        <v>0</v>
      </c>
      <c r="O1488" s="294"/>
      <c r="P1488" s="404"/>
      <c r="Q1488" s="404"/>
      <c r="R1488" s="301"/>
      <c r="S1488" s="301"/>
      <c r="T1488" s="301"/>
      <c r="U1488" s="301"/>
      <c r="V1488" s="301"/>
    </row>
    <row r="1489" spans="1:22" ht="14.4" thickTop="1" thickBot="1" x14ac:dyDescent="0.3">
      <c r="A1489" s="292"/>
      <c r="B1489" s="293"/>
      <c r="C1489" s="294"/>
      <c r="D1489" s="294"/>
      <c r="E1489" s="294"/>
      <c r="F1489" s="310"/>
      <c r="G1489" s="310"/>
      <c r="H1489" s="310"/>
      <c r="I1489" s="295"/>
      <c r="J1489" s="295"/>
      <c r="K1489" s="300">
        <f t="shared" si="173"/>
        <v>1.1000000000000001</v>
      </c>
      <c r="L1489" s="300">
        <f t="shared" si="174"/>
        <v>0</v>
      </c>
      <c r="M1489" s="285">
        <f t="shared" si="175"/>
        <v>0</v>
      </c>
      <c r="N1489" s="1076">
        <f t="shared" si="176"/>
        <v>0</v>
      </c>
      <c r="O1489" s="294"/>
      <c r="P1489" s="404"/>
      <c r="Q1489" s="404"/>
      <c r="R1489" s="301"/>
      <c r="S1489" s="301"/>
      <c r="T1489" s="301"/>
      <c r="U1489" s="301"/>
      <c r="V1489" s="301"/>
    </row>
    <row r="1490" spans="1:22" ht="14.4" thickTop="1" thickBot="1" x14ac:dyDescent="0.3">
      <c r="A1490" s="292"/>
      <c r="B1490" s="293"/>
      <c r="C1490" s="294"/>
      <c r="D1490" s="294"/>
      <c r="E1490" s="294"/>
      <c r="F1490" s="310"/>
      <c r="G1490" s="310"/>
      <c r="H1490" s="310"/>
      <c r="I1490" s="295"/>
      <c r="J1490" s="295"/>
      <c r="K1490" s="300">
        <f t="shared" si="173"/>
        <v>1.1000000000000001</v>
      </c>
      <c r="L1490" s="300">
        <f t="shared" si="174"/>
        <v>0</v>
      </c>
      <c r="M1490" s="285">
        <f t="shared" si="175"/>
        <v>0</v>
      </c>
      <c r="N1490" s="1076">
        <f t="shared" si="176"/>
        <v>0</v>
      </c>
      <c r="O1490" s="294"/>
      <c r="P1490" s="404"/>
      <c r="Q1490" s="404"/>
      <c r="R1490" s="301"/>
      <c r="S1490" s="301"/>
      <c r="T1490" s="301"/>
      <c r="U1490" s="301"/>
      <c r="V1490" s="301"/>
    </row>
    <row r="1491" spans="1:22" ht="14.4" thickTop="1" thickBot="1" x14ac:dyDescent="0.3">
      <c r="A1491" s="292"/>
      <c r="B1491" s="293"/>
      <c r="C1491" s="294"/>
      <c r="D1491" s="294"/>
      <c r="E1491" s="294"/>
      <c r="F1491" s="310"/>
      <c r="G1491" s="310"/>
      <c r="H1491" s="310"/>
      <c r="I1491" s="295"/>
      <c r="J1491" s="295"/>
      <c r="K1491" s="300">
        <f t="shared" si="173"/>
        <v>1.1000000000000001</v>
      </c>
      <c r="L1491" s="300">
        <f t="shared" si="174"/>
        <v>0</v>
      </c>
      <c r="M1491" s="285">
        <f t="shared" si="175"/>
        <v>0</v>
      </c>
      <c r="N1491" s="1076">
        <f t="shared" si="176"/>
        <v>0</v>
      </c>
      <c r="O1491" s="294"/>
      <c r="P1491" s="404"/>
      <c r="Q1491" s="404"/>
      <c r="R1491" s="301"/>
      <c r="S1491" s="301"/>
      <c r="T1491" s="301"/>
      <c r="U1491" s="301"/>
      <c r="V1491" s="301"/>
    </row>
    <row r="1492" spans="1:22" ht="14.4" thickTop="1" thickBot="1" x14ac:dyDescent="0.3">
      <c r="A1492" s="292"/>
      <c r="B1492" s="293"/>
      <c r="C1492" s="294"/>
      <c r="D1492" s="294"/>
      <c r="E1492" s="294"/>
      <c r="F1492" s="310"/>
      <c r="G1492" s="310"/>
      <c r="H1492" s="310"/>
      <c r="I1492" s="295"/>
      <c r="J1492" s="295"/>
      <c r="K1492" s="300">
        <f t="shared" si="173"/>
        <v>1.1000000000000001</v>
      </c>
      <c r="L1492" s="300">
        <f t="shared" si="174"/>
        <v>0</v>
      </c>
      <c r="M1492" s="285">
        <f t="shared" si="175"/>
        <v>0</v>
      </c>
      <c r="N1492" s="1076">
        <f t="shared" si="176"/>
        <v>0</v>
      </c>
      <c r="O1492" s="294"/>
      <c r="P1492" s="404"/>
      <c r="Q1492" s="404"/>
      <c r="R1492" s="301"/>
      <c r="S1492" s="301"/>
      <c r="T1492" s="301"/>
      <c r="U1492" s="301"/>
      <c r="V1492" s="301"/>
    </row>
    <row r="1493" spans="1:22" ht="14.4" thickTop="1" thickBot="1" x14ac:dyDescent="0.3">
      <c r="A1493" s="292"/>
      <c r="B1493" s="293"/>
      <c r="C1493" s="294"/>
      <c r="D1493" s="294"/>
      <c r="E1493" s="294"/>
      <c r="F1493" s="310"/>
      <c r="G1493" s="310"/>
      <c r="H1493" s="310"/>
      <c r="I1493" s="295"/>
      <c r="J1493" s="295"/>
      <c r="K1493" s="300">
        <f t="shared" si="173"/>
        <v>1.1000000000000001</v>
      </c>
      <c r="L1493" s="300">
        <f t="shared" si="174"/>
        <v>0</v>
      </c>
      <c r="M1493" s="285">
        <f t="shared" si="175"/>
        <v>0</v>
      </c>
      <c r="N1493" s="1076">
        <f t="shared" si="176"/>
        <v>0</v>
      </c>
      <c r="O1493" s="294"/>
      <c r="P1493" s="404"/>
      <c r="Q1493" s="404"/>
      <c r="R1493" s="301"/>
      <c r="S1493" s="301"/>
      <c r="T1493" s="301"/>
      <c r="U1493" s="301"/>
      <c r="V1493" s="301"/>
    </row>
    <row r="1494" spans="1:22" ht="14.4" thickTop="1" thickBot="1" x14ac:dyDescent="0.3">
      <c r="A1494" s="292"/>
      <c r="B1494" s="293"/>
      <c r="C1494" s="294"/>
      <c r="D1494" s="294"/>
      <c r="E1494" s="294"/>
      <c r="F1494" s="310"/>
      <c r="G1494" s="310"/>
      <c r="H1494" s="310"/>
      <c r="I1494" s="295"/>
      <c r="J1494" s="295"/>
      <c r="K1494" s="300">
        <f t="shared" si="173"/>
        <v>1.1000000000000001</v>
      </c>
      <c r="L1494" s="300">
        <f t="shared" si="174"/>
        <v>0</v>
      </c>
      <c r="M1494" s="285">
        <f t="shared" si="175"/>
        <v>0</v>
      </c>
      <c r="N1494" s="1076">
        <f t="shared" si="176"/>
        <v>0</v>
      </c>
      <c r="O1494" s="294"/>
      <c r="P1494" s="404"/>
      <c r="Q1494" s="404"/>
      <c r="R1494" s="301"/>
      <c r="S1494" s="301"/>
      <c r="T1494" s="301"/>
      <c r="U1494" s="301"/>
      <c r="V1494" s="301"/>
    </row>
    <row r="1495" spans="1:22" ht="14.4" thickTop="1" thickBot="1" x14ac:dyDescent="0.3">
      <c r="A1495" s="292"/>
      <c r="B1495" s="293"/>
      <c r="C1495" s="294"/>
      <c r="D1495" s="294"/>
      <c r="E1495" s="294"/>
      <c r="F1495" s="310"/>
      <c r="G1495" s="310"/>
      <c r="H1495" s="310"/>
      <c r="I1495" s="295"/>
      <c r="J1495" s="295"/>
      <c r="K1495" s="300">
        <f t="shared" si="173"/>
        <v>1.1000000000000001</v>
      </c>
      <c r="L1495" s="300">
        <f t="shared" si="174"/>
        <v>0</v>
      </c>
      <c r="M1495" s="285">
        <f t="shared" si="175"/>
        <v>0</v>
      </c>
      <c r="N1495" s="1076">
        <f t="shared" si="176"/>
        <v>0</v>
      </c>
      <c r="O1495" s="294"/>
      <c r="P1495" s="404"/>
      <c r="Q1495" s="404"/>
      <c r="R1495" s="301"/>
      <c r="S1495" s="301"/>
      <c r="T1495" s="301"/>
      <c r="U1495" s="301"/>
      <c r="V1495" s="301"/>
    </row>
    <row r="1496" spans="1:22" ht="14.4" thickTop="1" thickBot="1" x14ac:dyDescent="0.3">
      <c r="A1496" s="292"/>
      <c r="B1496" s="293"/>
      <c r="C1496" s="294"/>
      <c r="D1496" s="294"/>
      <c r="E1496" s="294"/>
      <c r="F1496" s="310"/>
      <c r="G1496" s="310"/>
      <c r="H1496" s="310"/>
      <c r="I1496" s="295"/>
      <c r="J1496" s="295"/>
      <c r="K1496" s="300">
        <f t="shared" si="173"/>
        <v>1.1000000000000001</v>
      </c>
      <c r="L1496" s="300">
        <f t="shared" si="174"/>
        <v>0</v>
      </c>
      <c r="M1496" s="285">
        <f t="shared" si="175"/>
        <v>0</v>
      </c>
      <c r="N1496" s="1076">
        <f t="shared" si="176"/>
        <v>0</v>
      </c>
      <c r="O1496" s="294"/>
      <c r="P1496" s="404"/>
      <c r="Q1496" s="404"/>
      <c r="R1496" s="301"/>
      <c r="S1496" s="301"/>
      <c r="T1496" s="301"/>
      <c r="U1496" s="301"/>
      <c r="V1496" s="301"/>
    </row>
    <row r="1497" spans="1:22" ht="14.4" thickTop="1" thickBot="1" x14ac:dyDescent="0.3">
      <c r="A1497" s="292"/>
      <c r="B1497" s="293"/>
      <c r="C1497" s="294"/>
      <c r="D1497" s="294"/>
      <c r="E1497" s="294"/>
      <c r="F1497" s="310"/>
      <c r="G1497" s="310"/>
      <c r="H1497" s="310"/>
      <c r="I1497" s="295"/>
      <c r="J1497" s="295"/>
      <c r="K1497" s="300">
        <f t="shared" si="173"/>
        <v>1.1000000000000001</v>
      </c>
      <c r="L1497" s="300">
        <f t="shared" si="174"/>
        <v>0</v>
      </c>
      <c r="M1497" s="285">
        <f t="shared" si="175"/>
        <v>0</v>
      </c>
      <c r="N1497" s="1076">
        <f t="shared" si="176"/>
        <v>0</v>
      </c>
      <c r="O1497" s="294"/>
      <c r="P1497" s="404"/>
      <c r="Q1497" s="404"/>
      <c r="R1497" s="301"/>
      <c r="S1497" s="301"/>
      <c r="T1497" s="301"/>
      <c r="U1497" s="301"/>
      <c r="V1497" s="301"/>
    </row>
    <row r="1498" spans="1:22" ht="14.4" thickTop="1" thickBot="1" x14ac:dyDescent="0.3">
      <c r="A1498" s="292"/>
      <c r="B1498" s="293"/>
      <c r="C1498" s="294"/>
      <c r="D1498" s="294"/>
      <c r="E1498" s="294"/>
      <c r="F1498" s="310"/>
      <c r="G1498" s="310"/>
      <c r="H1498" s="310"/>
      <c r="I1498" s="295"/>
      <c r="J1498" s="295"/>
      <c r="K1498" s="300">
        <f t="shared" si="173"/>
        <v>1.1000000000000001</v>
      </c>
      <c r="L1498" s="300">
        <f t="shared" si="174"/>
        <v>0</v>
      </c>
      <c r="M1498" s="285">
        <f t="shared" si="175"/>
        <v>0</v>
      </c>
      <c r="N1498" s="1076">
        <f t="shared" si="176"/>
        <v>0</v>
      </c>
      <c r="O1498" s="294"/>
      <c r="P1498" s="404"/>
      <c r="Q1498" s="404"/>
      <c r="R1498" s="301"/>
      <c r="S1498" s="301"/>
      <c r="T1498" s="301"/>
      <c r="U1498" s="301"/>
      <c r="V1498" s="301"/>
    </row>
    <row r="1499" spans="1:22" ht="14.4" thickTop="1" thickBot="1" x14ac:dyDescent="0.3">
      <c r="A1499" s="292"/>
      <c r="B1499" s="293"/>
      <c r="C1499" s="294"/>
      <c r="D1499" s="294"/>
      <c r="E1499" s="294"/>
      <c r="F1499" s="310"/>
      <c r="G1499" s="310"/>
      <c r="H1499" s="310"/>
      <c r="I1499" s="295"/>
      <c r="J1499" s="295"/>
      <c r="K1499" s="300">
        <f t="shared" si="173"/>
        <v>1.1000000000000001</v>
      </c>
      <c r="L1499" s="300">
        <f t="shared" si="174"/>
        <v>0</v>
      </c>
      <c r="M1499" s="285">
        <f t="shared" si="175"/>
        <v>0</v>
      </c>
      <c r="N1499" s="1076">
        <f t="shared" si="176"/>
        <v>0</v>
      </c>
      <c r="O1499" s="294"/>
      <c r="P1499" s="404"/>
      <c r="Q1499" s="404"/>
      <c r="R1499" s="301"/>
      <c r="S1499" s="301"/>
      <c r="T1499" s="301"/>
      <c r="U1499" s="301"/>
      <c r="V1499" s="301"/>
    </row>
    <row r="1500" spans="1:22" ht="14.4" thickTop="1" thickBot="1" x14ac:dyDescent="0.3">
      <c r="A1500" s="292"/>
      <c r="B1500" s="293"/>
      <c r="C1500" s="294"/>
      <c r="D1500" s="294"/>
      <c r="E1500" s="294"/>
      <c r="F1500" s="310"/>
      <c r="G1500" s="310"/>
      <c r="H1500" s="310"/>
      <c r="I1500" s="295"/>
      <c r="J1500" s="295"/>
      <c r="K1500" s="300">
        <f t="shared" si="173"/>
        <v>1.1000000000000001</v>
      </c>
      <c r="L1500" s="300">
        <f t="shared" si="174"/>
        <v>0</v>
      </c>
      <c r="M1500" s="285">
        <f t="shared" si="175"/>
        <v>0</v>
      </c>
      <c r="N1500" s="1076">
        <f t="shared" si="176"/>
        <v>0</v>
      </c>
      <c r="O1500" s="294"/>
      <c r="P1500" s="404"/>
      <c r="Q1500" s="404"/>
      <c r="R1500" s="301"/>
      <c r="S1500" s="301"/>
      <c r="T1500" s="301"/>
      <c r="U1500" s="301"/>
      <c r="V1500" s="301"/>
    </row>
    <row r="1501" spans="1:22" ht="14.4" thickTop="1" thickBot="1" x14ac:dyDescent="0.3">
      <c r="A1501" s="292"/>
      <c r="B1501" s="293"/>
      <c r="C1501" s="294"/>
      <c r="D1501" s="294"/>
      <c r="E1501" s="294"/>
      <c r="F1501" s="310"/>
      <c r="G1501" s="310"/>
      <c r="H1501" s="310"/>
      <c r="I1501" s="295"/>
      <c r="J1501" s="295"/>
      <c r="K1501" s="300">
        <f t="shared" si="173"/>
        <v>1.1000000000000001</v>
      </c>
      <c r="L1501" s="300">
        <f t="shared" si="174"/>
        <v>0</v>
      </c>
      <c r="M1501" s="285">
        <f t="shared" si="175"/>
        <v>0</v>
      </c>
      <c r="N1501" s="1076">
        <f t="shared" si="176"/>
        <v>0</v>
      </c>
      <c r="O1501" s="294"/>
      <c r="P1501" s="404"/>
      <c r="Q1501" s="404"/>
      <c r="R1501" s="301"/>
      <c r="S1501" s="301"/>
      <c r="T1501" s="301"/>
      <c r="U1501" s="301"/>
      <c r="V1501" s="301"/>
    </row>
    <row r="1502" spans="1:22" ht="14.4" thickTop="1" thickBot="1" x14ac:dyDescent="0.3">
      <c r="A1502" s="292"/>
      <c r="B1502" s="293"/>
      <c r="C1502" s="294"/>
      <c r="D1502" s="294"/>
      <c r="E1502" s="294"/>
      <c r="F1502" s="310"/>
      <c r="G1502" s="310"/>
      <c r="H1502" s="310"/>
      <c r="I1502" s="295"/>
      <c r="J1502" s="295"/>
      <c r="K1502" s="300">
        <f t="shared" si="173"/>
        <v>1.1000000000000001</v>
      </c>
      <c r="L1502" s="300">
        <f t="shared" si="174"/>
        <v>0</v>
      </c>
      <c r="M1502" s="285">
        <f t="shared" si="175"/>
        <v>0</v>
      </c>
      <c r="N1502" s="1076">
        <f t="shared" si="176"/>
        <v>0</v>
      </c>
      <c r="O1502" s="294"/>
      <c r="P1502" s="404"/>
      <c r="Q1502" s="404"/>
      <c r="R1502" s="301"/>
      <c r="S1502" s="301"/>
      <c r="T1502" s="301"/>
      <c r="U1502" s="301"/>
      <c r="V1502" s="301"/>
    </row>
    <row r="1503" spans="1:22" ht="14.4" thickTop="1" thickBot="1" x14ac:dyDescent="0.3">
      <c r="A1503" s="292"/>
      <c r="B1503" s="293"/>
      <c r="C1503" s="294"/>
      <c r="D1503" s="294"/>
      <c r="E1503" s="294"/>
      <c r="F1503" s="310"/>
      <c r="G1503" s="310"/>
      <c r="H1503" s="310"/>
      <c r="I1503" s="295"/>
      <c r="J1503" s="295"/>
      <c r="K1503" s="300">
        <f t="shared" si="173"/>
        <v>1.1000000000000001</v>
      </c>
      <c r="L1503" s="300">
        <f t="shared" si="174"/>
        <v>0</v>
      </c>
      <c r="M1503" s="285">
        <f t="shared" si="175"/>
        <v>0</v>
      </c>
      <c r="N1503" s="1076">
        <f t="shared" si="176"/>
        <v>0</v>
      </c>
      <c r="O1503" s="294"/>
      <c r="P1503" s="404"/>
      <c r="Q1503" s="404"/>
      <c r="R1503" s="301"/>
      <c r="S1503" s="301"/>
      <c r="T1503" s="301"/>
      <c r="U1503" s="301"/>
      <c r="V1503" s="301"/>
    </row>
    <row r="1504" spans="1:22" ht="14.4" thickTop="1" thickBot="1" x14ac:dyDescent="0.3">
      <c r="A1504" s="292"/>
      <c r="B1504" s="293"/>
      <c r="C1504" s="294"/>
      <c r="D1504" s="294"/>
      <c r="E1504" s="294"/>
      <c r="F1504" s="310"/>
      <c r="G1504" s="310"/>
      <c r="H1504" s="310"/>
      <c r="I1504" s="295"/>
      <c r="J1504" s="295"/>
      <c r="K1504" s="300">
        <f t="shared" si="173"/>
        <v>1.1000000000000001</v>
      </c>
      <c r="L1504" s="300">
        <f t="shared" si="174"/>
        <v>0</v>
      </c>
      <c r="M1504" s="285">
        <f t="shared" si="175"/>
        <v>0</v>
      </c>
      <c r="N1504" s="1076">
        <f t="shared" si="176"/>
        <v>0</v>
      </c>
      <c r="O1504" s="294"/>
      <c r="P1504" s="404"/>
      <c r="Q1504" s="404"/>
      <c r="R1504" s="301"/>
      <c r="S1504" s="301"/>
      <c r="T1504" s="301"/>
      <c r="U1504" s="301"/>
      <c r="V1504" s="301"/>
    </row>
    <row r="1505" spans="1:22" ht="14.4" thickTop="1" thickBot="1" x14ac:dyDescent="0.3">
      <c r="A1505" s="292"/>
      <c r="B1505" s="293"/>
      <c r="C1505" s="294"/>
      <c r="D1505" s="294"/>
      <c r="E1505" s="294"/>
      <c r="F1505" s="310"/>
      <c r="G1505" s="310"/>
      <c r="H1505" s="310"/>
      <c r="I1505" s="295"/>
      <c r="J1505" s="295"/>
      <c r="K1505" s="300">
        <f t="shared" si="173"/>
        <v>1.1000000000000001</v>
      </c>
      <c r="L1505" s="300">
        <f t="shared" si="174"/>
        <v>0</v>
      </c>
      <c r="M1505" s="285">
        <f t="shared" si="175"/>
        <v>0</v>
      </c>
      <c r="N1505" s="1076">
        <f t="shared" si="176"/>
        <v>0</v>
      </c>
      <c r="O1505" s="294"/>
      <c r="P1505" s="404"/>
      <c r="Q1505" s="404"/>
      <c r="R1505" s="301"/>
      <c r="S1505" s="301"/>
      <c r="T1505" s="301"/>
      <c r="U1505" s="301"/>
      <c r="V1505" s="301"/>
    </row>
    <row r="1506" spans="1:22" ht="14.4" thickTop="1" thickBot="1" x14ac:dyDescent="0.3">
      <c r="A1506" s="292"/>
      <c r="B1506" s="293"/>
      <c r="C1506" s="294"/>
      <c r="D1506" s="294"/>
      <c r="E1506" s="294"/>
      <c r="F1506" s="310"/>
      <c r="G1506" s="310"/>
      <c r="H1506" s="310"/>
      <c r="I1506" s="295"/>
      <c r="J1506" s="295"/>
      <c r="K1506" s="300">
        <f t="shared" si="173"/>
        <v>1.1000000000000001</v>
      </c>
      <c r="L1506" s="300">
        <f t="shared" si="174"/>
        <v>0</v>
      </c>
      <c r="M1506" s="285">
        <f t="shared" si="175"/>
        <v>0</v>
      </c>
      <c r="N1506" s="1076">
        <f t="shared" si="176"/>
        <v>0</v>
      </c>
      <c r="O1506" s="294"/>
      <c r="P1506" s="404"/>
      <c r="Q1506" s="404"/>
      <c r="R1506" s="301"/>
      <c r="S1506" s="301"/>
      <c r="T1506" s="301"/>
      <c r="U1506" s="301"/>
      <c r="V1506" s="301"/>
    </row>
    <row r="1507" spans="1:22" ht="14.4" thickTop="1" thickBot="1" x14ac:dyDescent="0.3">
      <c r="A1507" s="292"/>
      <c r="B1507" s="293"/>
      <c r="C1507" s="294"/>
      <c r="D1507" s="294"/>
      <c r="E1507" s="294"/>
      <c r="F1507" s="310"/>
      <c r="G1507" s="310"/>
      <c r="H1507" s="310"/>
      <c r="I1507" s="295"/>
      <c r="J1507" s="295"/>
      <c r="K1507" s="300">
        <f t="shared" si="173"/>
        <v>1.1000000000000001</v>
      </c>
      <c r="L1507" s="300">
        <f t="shared" si="174"/>
        <v>0</v>
      </c>
      <c r="M1507" s="285">
        <f t="shared" si="175"/>
        <v>0</v>
      </c>
      <c r="N1507" s="1076">
        <f t="shared" si="176"/>
        <v>0</v>
      </c>
      <c r="O1507" s="294"/>
      <c r="P1507" s="404"/>
      <c r="Q1507" s="404"/>
      <c r="R1507" s="301"/>
      <c r="S1507" s="301"/>
      <c r="T1507" s="301"/>
      <c r="U1507" s="301"/>
      <c r="V1507" s="301"/>
    </row>
    <row r="1508" spans="1:22" ht="14.4" thickTop="1" thickBot="1" x14ac:dyDescent="0.3">
      <c r="A1508" s="292"/>
      <c r="B1508" s="293"/>
      <c r="C1508" s="294"/>
      <c r="D1508" s="294"/>
      <c r="E1508" s="294"/>
      <c r="F1508" s="310"/>
      <c r="G1508" s="310"/>
      <c r="H1508" s="310"/>
      <c r="I1508" s="295"/>
      <c r="J1508" s="295"/>
      <c r="K1508" s="300">
        <f t="shared" si="173"/>
        <v>1.1000000000000001</v>
      </c>
      <c r="L1508" s="300">
        <f t="shared" si="174"/>
        <v>0</v>
      </c>
      <c r="M1508" s="285">
        <f t="shared" si="175"/>
        <v>0</v>
      </c>
      <c r="N1508" s="1076">
        <f t="shared" si="176"/>
        <v>0</v>
      </c>
      <c r="O1508" s="294"/>
      <c r="P1508" s="404"/>
      <c r="Q1508" s="404"/>
      <c r="R1508" s="301"/>
      <c r="S1508" s="301"/>
      <c r="T1508" s="301"/>
      <c r="U1508" s="301"/>
      <c r="V1508" s="301"/>
    </row>
    <row r="1509" spans="1:22" ht="14.4" thickTop="1" thickBot="1" x14ac:dyDescent="0.3">
      <c r="A1509" s="292"/>
      <c r="B1509" s="293"/>
      <c r="C1509" s="294"/>
      <c r="D1509" s="294"/>
      <c r="E1509" s="294"/>
      <c r="F1509" s="310"/>
      <c r="G1509" s="310"/>
      <c r="H1509" s="310"/>
      <c r="I1509" s="295"/>
      <c r="J1509" s="295"/>
      <c r="K1509" s="300">
        <f t="shared" si="173"/>
        <v>1.1000000000000001</v>
      </c>
      <c r="L1509" s="300">
        <f t="shared" si="174"/>
        <v>0</v>
      </c>
      <c r="M1509" s="285">
        <f t="shared" si="175"/>
        <v>0</v>
      </c>
      <c r="N1509" s="1076">
        <f t="shared" si="176"/>
        <v>0</v>
      </c>
      <c r="O1509" s="294"/>
      <c r="P1509" s="404"/>
      <c r="Q1509" s="404"/>
      <c r="R1509" s="301"/>
      <c r="S1509" s="301"/>
      <c r="T1509" s="301"/>
      <c r="U1509" s="301"/>
      <c r="V1509" s="301"/>
    </row>
    <row r="1510" spans="1:22" ht="14.4" thickTop="1" thickBot="1" x14ac:dyDescent="0.3">
      <c r="A1510" s="292"/>
      <c r="B1510" s="293"/>
      <c r="C1510" s="294"/>
      <c r="D1510" s="294"/>
      <c r="E1510" s="294"/>
      <c r="F1510" s="310"/>
      <c r="G1510" s="310"/>
      <c r="H1510" s="310"/>
      <c r="I1510" s="295"/>
      <c r="J1510" s="295"/>
      <c r="K1510" s="300">
        <f t="shared" si="173"/>
        <v>1.1000000000000001</v>
      </c>
      <c r="L1510" s="300">
        <f t="shared" si="174"/>
        <v>0</v>
      </c>
      <c r="M1510" s="285">
        <f t="shared" si="175"/>
        <v>0</v>
      </c>
      <c r="N1510" s="1076">
        <f t="shared" si="176"/>
        <v>0</v>
      </c>
      <c r="O1510" s="294"/>
      <c r="P1510" s="404"/>
      <c r="Q1510" s="404"/>
      <c r="R1510" s="301"/>
      <c r="S1510" s="301"/>
      <c r="T1510" s="301"/>
      <c r="U1510" s="301"/>
      <c r="V1510" s="301"/>
    </row>
    <row r="1511" spans="1:22" ht="14.4" thickTop="1" thickBot="1" x14ac:dyDescent="0.3">
      <c r="A1511" s="292"/>
      <c r="B1511" s="293"/>
      <c r="C1511" s="294"/>
      <c r="D1511" s="294"/>
      <c r="E1511" s="294"/>
      <c r="F1511" s="310"/>
      <c r="G1511" s="310"/>
      <c r="H1511" s="310"/>
      <c r="I1511" s="295"/>
      <c r="J1511" s="295"/>
      <c r="K1511" s="300">
        <f t="shared" si="173"/>
        <v>1.1000000000000001</v>
      </c>
      <c r="L1511" s="300">
        <f t="shared" si="174"/>
        <v>0</v>
      </c>
      <c r="M1511" s="285">
        <f t="shared" si="175"/>
        <v>0</v>
      </c>
      <c r="N1511" s="1076">
        <f t="shared" si="176"/>
        <v>0</v>
      </c>
      <c r="O1511" s="294"/>
      <c r="P1511" s="404"/>
      <c r="Q1511" s="404"/>
      <c r="R1511" s="301"/>
      <c r="S1511" s="301"/>
      <c r="T1511" s="301"/>
      <c r="U1511" s="301"/>
      <c r="V1511" s="301"/>
    </row>
    <row r="1512" spans="1:22" ht="14.4" thickTop="1" thickBot="1" x14ac:dyDescent="0.3">
      <c r="A1512" s="292"/>
      <c r="B1512" s="293"/>
      <c r="C1512" s="294"/>
      <c r="D1512" s="294"/>
      <c r="E1512" s="294"/>
      <c r="F1512" s="310"/>
      <c r="G1512" s="310"/>
      <c r="H1512" s="310"/>
      <c r="I1512" s="295"/>
      <c r="J1512" s="295"/>
      <c r="K1512" s="300">
        <f t="shared" si="173"/>
        <v>1.1000000000000001</v>
      </c>
      <c r="L1512" s="300">
        <f t="shared" si="174"/>
        <v>0</v>
      </c>
      <c r="M1512" s="285">
        <f t="shared" si="175"/>
        <v>0</v>
      </c>
      <c r="N1512" s="1076">
        <f t="shared" si="176"/>
        <v>0</v>
      </c>
      <c r="O1512" s="294"/>
      <c r="P1512" s="404"/>
      <c r="Q1512" s="404"/>
      <c r="R1512" s="301"/>
      <c r="S1512" s="301"/>
      <c r="T1512" s="301"/>
      <c r="U1512" s="301"/>
      <c r="V1512" s="301"/>
    </row>
    <row r="1513" spans="1:22" ht="14.4" thickTop="1" thickBot="1" x14ac:dyDescent="0.3">
      <c r="A1513" s="292"/>
      <c r="B1513" s="293"/>
      <c r="C1513" s="294"/>
      <c r="D1513" s="294"/>
      <c r="E1513" s="294"/>
      <c r="F1513" s="310"/>
      <c r="G1513" s="310"/>
      <c r="H1513" s="310"/>
      <c r="I1513" s="295"/>
      <c r="J1513" s="295"/>
      <c r="K1513" s="300">
        <f t="shared" si="173"/>
        <v>1.1000000000000001</v>
      </c>
      <c r="L1513" s="300">
        <f t="shared" si="174"/>
        <v>0</v>
      </c>
      <c r="M1513" s="285">
        <f t="shared" si="175"/>
        <v>0</v>
      </c>
      <c r="N1513" s="1076">
        <f t="shared" si="176"/>
        <v>0</v>
      </c>
      <c r="O1513" s="294"/>
      <c r="P1513" s="404"/>
      <c r="Q1513" s="404"/>
      <c r="R1513" s="301"/>
      <c r="S1513" s="301"/>
      <c r="T1513" s="301"/>
      <c r="U1513" s="301"/>
      <c r="V1513" s="301"/>
    </row>
    <row r="1514" spans="1:22" ht="14.4" thickTop="1" thickBot="1" x14ac:dyDescent="0.3">
      <c r="A1514" s="292"/>
      <c r="B1514" s="293"/>
      <c r="C1514" s="294"/>
      <c r="D1514" s="294"/>
      <c r="E1514" s="294"/>
      <c r="F1514" s="310"/>
      <c r="G1514" s="310"/>
      <c r="H1514" s="310"/>
      <c r="I1514" s="295"/>
      <c r="J1514" s="295"/>
      <c r="K1514" s="300">
        <f t="shared" si="173"/>
        <v>1.1000000000000001</v>
      </c>
      <c r="L1514" s="300">
        <f t="shared" si="174"/>
        <v>0</v>
      </c>
      <c r="M1514" s="285">
        <f t="shared" si="175"/>
        <v>0</v>
      </c>
      <c r="N1514" s="1076">
        <f t="shared" si="176"/>
        <v>0</v>
      </c>
      <c r="O1514" s="294"/>
      <c r="P1514" s="404"/>
      <c r="Q1514" s="404"/>
      <c r="R1514" s="301"/>
      <c r="S1514" s="301"/>
      <c r="T1514" s="301"/>
      <c r="U1514" s="301"/>
      <c r="V1514" s="301"/>
    </row>
    <row r="1515" spans="1:22" ht="14.4" thickTop="1" thickBot="1" x14ac:dyDescent="0.3">
      <c r="A1515" s="292"/>
      <c r="B1515" s="293"/>
      <c r="C1515" s="294"/>
      <c r="D1515" s="294"/>
      <c r="E1515" s="294"/>
      <c r="F1515" s="310"/>
      <c r="G1515" s="310"/>
      <c r="H1515" s="310"/>
      <c r="I1515" s="295"/>
      <c r="J1515" s="295"/>
      <c r="K1515" s="300">
        <f t="shared" si="173"/>
        <v>1.1000000000000001</v>
      </c>
      <c r="L1515" s="300">
        <f t="shared" si="174"/>
        <v>0</v>
      </c>
      <c r="M1515" s="285">
        <f t="shared" si="175"/>
        <v>0</v>
      </c>
      <c r="N1515" s="1076">
        <f t="shared" si="176"/>
        <v>0</v>
      </c>
      <c r="O1515" s="294"/>
      <c r="P1515" s="404"/>
      <c r="Q1515" s="404"/>
      <c r="R1515" s="301"/>
      <c r="S1515" s="301"/>
      <c r="T1515" s="301"/>
      <c r="U1515" s="301"/>
      <c r="V1515" s="301"/>
    </row>
    <row r="1516" spans="1:22" ht="14.4" thickTop="1" thickBot="1" x14ac:dyDescent="0.3">
      <c r="A1516" s="292"/>
      <c r="B1516" s="293"/>
      <c r="C1516" s="294"/>
      <c r="D1516" s="294"/>
      <c r="E1516" s="294"/>
      <c r="F1516" s="310"/>
      <c r="G1516" s="310"/>
      <c r="H1516" s="310"/>
      <c r="I1516" s="295"/>
      <c r="J1516" s="295"/>
      <c r="K1516" s="300">
        <f t="shared" si="173"/>
        <v>1.1000000000000001</v>
      </c>
      <c r="L1516" s="300">
        <f t="shared" si="174"/>
        <v>0</v>
      </c>
      <c r="M1516" s="285">
        <f t="shared" si="175"/>
        <v>0</v>
      </c>
      <c r="N1516" s="1076">
        <f t="shared" si="176"/>
        <v>0</v>
      </c>
      <c r="O1516" s="294"/>
      <c r="P1516" s="404"/>
      <c r="Q1516" s="404"/>
      <c r="R1516" s="301"/>
      <c r="S1516" s="301"/>
      <c r="T1516" s="301"/>
      <c r="U1516" s="301"/>
      <c r="V1516" s="301"/>
    </row>
    <row r="1517" spans="1:22" ht="14.4" thickTop="1" thickBot="1" x14ac:dyDescent="0.3">
      <c r="A1517" s="292"/>
      <c r="B1517" s="293"/>
      <c r="C1517" s="294"/>
      <c r="D1517" s="294"/>
      <c r="E1517" s="294"/>
      <c r="F1517" s="310"/>
      <c r="G1517" s="310"/>
      <c r="H1517" s="310"/>
      <c r="I1517" s="295"/>
      <c r="J1517" s="295"/>
      <c r="K1517" s="300">
        <f t="shared" si="173"/>
        <v>1.1000000000000001</v>
      </c>
      <c r="L1517" s="300">
        <f t="shared" si="174"/>
        <v>0</v>
      </c>
      <c r="M1517" s="285">
        <f t="shared" si="175"/>
        <v>0</v>
      </c>
      <c r="N1517" s="1076">
        <f t="shared" si="176"/>
        <v>0</v>
      </c>
      <c r="O1517" s="294"/>
      <c r="P1517" s="404"/>
      <c r="Q1517" s="404"/>
      <c r="R1517" s="301"/>
      <c r="S1517" s="301"/>
      <c r="T1517" s="301"/>
      <c r="U1517" s="301"/>
      <c r="V1517" s="301"/>
    </row>
    <row r="1518" spans="1:22" ht="14.4" thickTop="1" thickBot="1" x14ac:dyDescent="0.3">
      <c r="A1518" s="292"/>
      <c r="B1518" s="293"/>
      <c r="C1518" s="294"/>
      <c r="D1518" s="294"/>
      <c r="E1518" s="294"/>
      <c r="F1518" s="310"/>
      <c r="G1518" s="310"/>
      <c r="H1518" s="310"/>
      <c r="I1518" s="295"/>
      <c r="J1518" s="295"/>
      <c r="K1518" s="300">
        <f t="shared" si="173"/>
        <v>1.1000000000000001</v>
      </c>
      <c r="L1518" s="300">
        <f t="shared" si="174"/>
        <v>0</v>
      </c>
      <c r="M1518" s="285">
        <f t="shared" si="175"/>
        <v>0</v>
      </c>
      <c r="N1518" s="1076">
        <f t="shared" si="176"/>
        <v>0</v>
      </c>
      <c r="O1518" s="294"/>
      <c r="P1518" s="404"/>
      <c r="Q1518" s="404"/>
      <c r="R1518" s="301"/>
      <c r="S1518" s="301"/>
      <c r="T1518" s="301"/>
      <c r="U1518" s="301"/>
      <c r="V1518" s="301"/>
    </row>
    <row r="1519" spans="1:22" ht="14.4" thickTop="1" thickBot="1" x14ac:dyDescent="0.3">
      <c r="A1519" s="292"/>
      <c r="B1519" s="293"/>
      <c r="C1519" s="294"/>
      <c r="D1519" s="294"/>
      <c r="E1519" s="294"/>
      <c r="F1519" s="310"/>
      <c r="G1519" s="310"/>
      <c r="H1519" s="310"/>
      <c r="I1519" s="295"/>
      <c r="J1519" s="295"/>
      <c r="K1519" s="300">
        <f t="shared" si="173"/>
        <v>1.1000000000000001</v>
      </c>
      <c r="L1519" s="300">
        <f t="shared" si="174"/>
        <v>0</v>
      </c>
      <c r="M1519" s="285">
        <f t="shared" si="175"/>
        <v>0</v>
      </c>
      <c r="N1519" s="1076">
        <f t="shared" si="176"/>
        <v>0</v>
      </c>
      <c r="O1519" s="294"/>
      <c r="P1519" s="404"/>
      <c r="Q1519" s="404"/>
      <c r="R1519" s="301"/>
      <c r="S1519" s="301"/>
      <c r="T1519" s="301"/>
      <c r="U1519" s="301"/>
      <c r="V1519" s="301"/>
    </row>
    <row r="1520" spans="1:22" ht="14.4" thickTop="1" thickBot="1" x14ac:dyDescent="0.3">
      <c r="A1520" s="292"/>
      <c r="B1520" s="293"/>
      <c r="C1520" s="294"/>
      <c r="D1520" s="294"/>
      <c r="E1520" s="294"/>
      <c r="F1520" s="310"/>
      <c r="G1520" s="310"/>
      <c r="H1520" s="310"/>
      <c r="I1520" s="295"/>
      <c r="J1520" s="295"/>
      <c r="K1520" s="300">
        <f t="shared" si="173"/>
        <v>1.1000000000000001</v>
      </c>
      <c r="L1520" s="300">
        <f t="shared" si="174"/>
        <v>0</v>
      </c>
      <c r="M1520" s="285">
        <f t="shared" si="175"/>
        <v>0</v>
      </c>
      <c r="N1520" s="1076">
        <f t="shared" si="176"/>
        <v>0</v>
      </c>
      <c r="O1520" s="294"/>
      <c r="P1520" s="404"/>
      <c r="Q1520" s="404"/>
      <c r="R1520" s="301"/>
      <c r="S1520" s="301"/>
      <c r="T1520" s="301"/>
      <c r="U1520" s="301"/>
      <c r="V1520" s="301"/>
    </row>
    <row r="1521" spans="1:22" ht="14.4" thickTop="1" thickBot="1" x14ac:dyDescent="0.3">
      <c r="A1521" s="292"/>
      <c r="B1521" s="293"/>
      <c r="C1521" s="294"/>
      <c r="D1521" s="294"/>
      <c r="E1521" s="294"/>
      <c r="F1521" s="310"/>
      <c r="G1521" s="310"/>
      <c r="H1521" s="310"/>
      <c r="I1521" s="295"/>
      <c r="J1521" s="295"/>
      <c r="K1521" s="300">
        <f t="shared" si="173"/>
        <v>1.1000000000000001</v>
      </c>
      <c r="L1521" s="300">
        <f t="shared" si="174"/>
        <v>0</v>
      </c>
      <c r="M1521" s="285">
        <f t="shared" si="175"/>
        <v>0</v>
      </c>
      <c r="N1521" s="1076">
        <f t="shared" si="176"/>
        <v>0</v>
      </c>
      <c r="O1521" s="294"/>
      <c r="P1521" s="404"/>
      <c r="Q1521" s="404"/>
      <c r="R1521" s="301"/>
      <c r="S1521" s="301"/>
      <c r="T1521" s="301"/>
      <c r="U1521" s="301"/>
      <c r="V1521" s="301"/>
    </row>
    <row r="1522" spans="1:22" ht="14.4" thickTop="1" thickBot="1" x14ac:dyDescent="0.3">
      <c r="A1522" s="292"/>
      <c r="B1522" s="293"/>
      <c r="C1522" s="294"/>
      <c r="D1522" s="294"/>
      <c r="E1522" s="294"/>
      <c r="F1522" s="310"/>
      <c r="G1522" s="310"/>
      <c r="H1522" s="310"/>
      <c r="I1522" s="295"/>
      <c r="J1522" s="295"/>
      <c r="K1522" s="300">
        <f t="shared" si="173"/>
        <v>1.1000000000000001</v>
      </c>
      <c r="L1522" s="300">
        <f t="shared" si="174"/>
        <v>0</v>
      </c>
      <c r="M1522" s="285">
        <f t="shared" si="175"/>
        <v>0</v>
      </c>
      <c r="N1522" s="1076">
        <f t="shared" si="176"/>
        <v>0</v>
      </c>
      <c r="O1522" s="294"/>
      <c r="P1522" s="404"/>
      <c r="Q1522" s="404"/>
      <c r="R1522" s="301"/>
      <c r="S1522" s="301"/>
      <c r="T1522" s="301"/>
      <c r="U1522" s="301"/>
      <c r="V1522" s="301"/>
    </row>
    <row r="1523" spans="1:22" ht="14.4" thickTop="1" thickBot="1" x14ac:dyDescent="0.3">
      <c r="A1523" s="292"/>
      <c r="B1523" s="293"/>
      <c r="C1523" s="294"/>
      <c r="D1523" s="294"/>
      <c r="E1523" s="294"/>
      <c r="F1523" s="310"/>
      <c r="G1523" s="310"/>
      <c r="H1523" s="310"/>
      <c r="I1523" s="295"/>
      <c r="J1523" s="295"/>
      <c r="K1523" s="300">
        <f t="shared" si="173"/>
        <v>1.1000000000000001</v>
      </c>
      <c r="L1523" s="300">
        <f t="shared" si="174"/>
        <v>0</v>
      </c>
      <c r="M1523" s="285">
        <f t="shared" si="175"/>
        <v>0</v>
      </c>
      <c r="N1523" s="1076">
        <f t="shared" si="176"/>
        <v>0</v>
      </c>
      <c r="O1523" s="294"/>
      <c r="P1523" s="404"/>
      <c r="Q1523" s="404"/>
      <c r="R1523" s="301"/>
      <c r="S1523" s="301"/>
      <c r="T1523" s="301"/>
      <c r="U1523" s="301"/>
      <c r="V1523" s="301"/>
    </row>
    <row r="1524" spans="1:22" ht="14.4" thickTop="1" thickBot="1" x14ac:dyDescent="0.3">
      <c r="A1524" s="292"/>
      <c r="B1524" s="293"/>
      <c r="C1524" s="294"/>
      <c r="D1524" s="294"/>
      <c r="E1524" s="294"/>
      <c r="F1524" s="310"/>
      <c r="G1524" s="310"/>
      <c r="H1524" s="310"/>
      <c r="I1524" s="295"/>
      <c r="J1524" s="295"/>
      <c r="K1524" s="300">
        <f t="shared" si="173"/>
        <v>1.1000000000000001</v>
      </c>
      <c r="L1524" s="300">
        <f t="shared" si="174"/>
        <v>0</v>
      </c>
      <c r="M1524" s="285">
        <f t="shared" si="175"/>
        <v>0</v>
      </c>
      <c r="N1524" s="1076">
        <f t="shared" si="176"/>
        <v>0</v>
      </c>
      <c r="O1524" s="294"/>
      <c r="P1524" s="404"/>
      <c r="Q1524" s="404"/>
      <c r="R1524" s="301"/>
      <c r="S1524" s="301"/>
      <c r="T1524" s="301"/>
      <c r="U1524" s="301"/>
      <c r="V1524" s="301"/>
    </row>
    <row r="1525" spans="1:22" ht="14.4" thickTop="1" thickBot="1" x14ac:dyDescent="0.3">
      <c r="A1525" s="292"/>
      <c r="B1525" s="293"/>
      <c r="C1525" s="294"/>
      <c r="D1525" s="294"/>
      <c r="E1525" s="294"/>
      <c r="F1525" s="310"/>
      <c r="G1525" s="310"/>
      <c r="H1525" s="310"/>
      <c r="I1525" s="295"/>
      <c r="J1525" s="295"/>
      <c r="K1525" s="300">
        <f t="shared" si="173"/>
        <v>1.1000000000000001</v>
      </c>
      <c r="L1525" s="300">
        <f t="shared" si="174"/>
        <v>0</v>
      </c>
      <c r="M1525" s="285">
        <f t="shared" si="175"/>
        <v>0</v>
      </c>
      <c r="N1525" s="1076">
        <f t="shared" si="176"/>
        <v>0</v>
      </c>
      <c r="O1525" s="294"/>
      <c r="P1525" s="404"/>
      <c r="Q1525" s="404"/>
      <c r="R1525" s="301"/>
      <c r="S1525" s="301"/>
      <c r="T1525" s="301"/>
      <c r="U1525" s="301"/>
      <c r="V1525" s="301"/>
    </row>
    <row r="1526" spans="1:22" ht="14.4" thickTop="1" thickBot="1" x14ac:dyDescent="0.3">
      <c r="A1526" s="292"/>
      <c r="B1526" s="293"/>
      <c r="C1526" s="294"/>
      <c r="D1526" s="294"/>
      <c r="E1526" s="294"/>
      <c r="F1526" s="310"/>
      <c r="G1526" s="310"/>
      <c r="H1526" s="310"/>
      <c r="I1526" s="295"/>
      <c r="J1526" s="295"/>
      <c r="K1526" s="300">
        <f t="shared" si="173"/>
        <v>1.1000000000000001</v>
      </c>
      <c r="L1526" s="300">
        <f t="shared" si="174"/>
        <v>0</v>
      </c>
      <c r="M1526" s="285">
        <f t="shared" si="175"/>
        <v>0</v>
      </c>
      <c r="N1526" s="1076">
        <f t="shared" si="176"/>
        <v>0</v>
      </c>
      <c r="O1526" s="294"/>
      <c r="P1526" s="404"/>
      <c r="Q1526" s="404"/>
      <c r="R1526" s="301"/>
      <c r="S1526" s="301"/>
      <c r="T1526" s="301"/>
      <c r="U1526" s="301"/>
      <c r="V1526" s="301"/>
    </row>
    <row r="1527" spans="1:22" ht="14.4" thickTop="1" thickBot="1" x14ac:dyDescent="0.3">
      <c r="A1527" s="292"/>
      <c r="B1527" s="293"/>
      <c r="C1527" s="294"/>
      <c r="D1527" s="294"/>
      <c r="E1527" s="294"/>
      <c r="F1527" s="310"/>
      <c r="G1527" s="310"/>
      <c r="H1527" s="310"/>
      <c r="I1527" s="295"/>
      <c r="J1527" s="295"/>
      <c r="K1527" s="300">
        <f t="shared" si="173"/>
        <v>1.1000000000000001</v>
      </c>
      <c r="L1527" s="300">
        <f t="shared" si="174"/>
        <v>0</v>
      </c>
      <c r="M1527" s="285">
        <f t="shared" si="175"/>
        <v>0</v>
      </c>
      <c r="N1527" s="1076">
        <f t="shared" si="176"/>
        <v>0</v>
      </c>
      <c r="O1527" s="294"/>
      <c r="P1527" s="404"/>
      <c r="Q1527" s="404"/>
      <c r="R1527" s="301"/>
      <c r="S1527" s="301"/>
      <c r="T1527" s="301"/>
      <c r="U1527" s="301"/>
      <c r="V1527" s="301"/>
    </row>
    <row r="1528" spans="1:22" ht="14.4" thickTop="1" thickBot="1" x14ac:dyDescent="0.3">
      <c r="A1528" s="292"/>
      <c r="B1528" s="293"/>
      <c r="C1528" s="294"/>
      <c r="D1528" s="294"/>
      <c r="E1528" s="294"/>
      <c r="F1528" s="310"/>
      <c r="G1528" s="310"/>
      <c r="H1528" s="310"/>
      <c r="I1528" s="295"/>
      <c r="J1528" s="295"/>
      <c r="K1528" s="300">
        <f t="shared" si="173"/>
        <v>1.1000000000000001</v>
      </c>
      <c r="L1528" s="300">
        <f t="shared" si="174"/>
        <v>0</v>
      </c>
      <c r="M1528" s="285">
        <f t="shared" si="175"/>
        <v>0</v>
      </c>
      <c r="N1528" s="1076">
        <f t="shared" si="176"/>
        <v>0</v>
      </c>
      <c r="O1528" s="294"/>
      <c r="P1528" s="404"/>
      <c r="Q1528" s="404"/>
      <c r="R1528" s="301"/>
      <c r="S1528" s="301"/>
      <c r="T1528" s="301"/>
      <c r="U1528" s="301"/>
      <c r="V1528" s="301"/>
    </row>
    <row r="1529" spans="1:22" ht="14.4" thickTop="1" thickBot="1" x14ac:dyDescent="0.3">
      <c r="A1529" s="292"/>
      <c r="B1529" s="293"/>
      <c r="C1529" s="294"/>
      <c r="D1529" s="294"/>
      <c r="E1529" s="294"/>
      <c r="F1529" s="310"/>
      <c r="G1529" s="310"/>
      <c r="H1529" s="310"/>
      <c r="I1529" s="295"/>
      <c r="J1529" s="295"/>
      <c r="K1529" s="300">
        <f t="shared" si="173"/>
        <v>1.1000000000000001</v>
      </c>
      <c r="L1529" s="300">
        <f t="shared" si="174"/>
        <v>0</v>
      </c>
      <c r="M1529" s="285">
        <f t="shared" si="175"/>
        <v>0</v>
      </c>
      <c r="N1529" s="1076">
        <f t="shared" si="176"/>
        <v>0</v>
      </c>
      <c r="O1529" s="294"/>
      <c r="P1529" s="404"/>
      <c r="Q1529" s="404"/>
      <c r="R1529" s="301"/>
      <c r="S1529" s="301"/>
      <c r="T1529" s="301"/>
      <c r="U1529" s="301"/>
      <c r="V1529" s="301"/>
    </row>
    <row r="1530" spans="1:22" ht="14.4" thickTop="1" thickBot="1" x14ac:dyDescent="0.3">
      <c r="A1530" s="292"/>
      <c r="B1530" s="293"/>
      <c r="C1530" s="294"/>
      <c r="D1530" s="294"/>
      <c r="E1530" s="294"/>
      <c r="F1530" s="310"/>
      <c r="G1530" s="310"/>
      <c r="H1530" s="310"/>
      <c r="I1530" s="295"/>
      <c r="J1530" s="295"/>
      <c r="K1530" s="300">
        <f t="shared" si="173"/>
        <v>1.1000000000000001</v>
      </c>
      <c r="L1530" s="300">
        <f t="shared" si="174"/>
        <v>0</v>
      </c>
      <c r="M1530" s="285">
        <f t="shared" si="175"/>
        <v>0</v>
      </c>
      <c r="N1530" s="1076">
        <f t="shared" si="176"/>
        <v>0</v>
      </c>
      <c r="O1530" s="294"/>
      <c r="P1530" s="404"/>
      <c r="Q1530" s="404"/>
      <c r="R1530" s="301"/>
      <c r="S1530" s="301"/>
      <c r="T1530" s="301"/>
      <c r="U1530" s="301"/>
      <c r="V1530" s="301"/>
    </row>
    <row r="1531" spans="1:22" ht="14.4" thickTop="1" thickBot="1" x14ac:dyDescent="0.3">
      <c r="A1531" s="292"/>
      <c r="B1531" s="293"/>
      <c r="C1531" s="294"/>
      <c r="D1531" s="294"/>
      <c r="E1531" s="294"/>
      <c r="F1531" s="310"/>
      <c r="G1531" s="310"/>
      <c r="H1531" s="310"/>
      <c r="I1531" s="295"/>
      <c r="J1531" s="295"/>
      <c r="K1531" s="300">
        <f t="shared" si="173"/>
        <v>1.1000000000000001</v>
      </c>
      <c r="L1531" s="300">
        <f t="shared" si="174"/>
        <v>0</v>
      </c>
      <c r="M1531" s="285">
        <f t="shared" si="175"/>
        <v>0</v>
      </c>
      <c r="N1531" s="1076">
        <f t="shared" si="176"/>
        <v>0</v>
      </c>
      <c r="O1531" s="294"/>
      <c r="P1531" s="404"/>
      <c r="Q1531" s="404"/>
      <c r="R1531" s="301"/>
      <c r="S1531" s="301"/>
      <c r="T1531" s="301"/>
      <c r="U1531" s="301"/>
      <c r="V1531" s="301"/>
    </row>
    <row r="1532" spans="1:22" ht="14.4" thickTop="1" thickBot="1" x14ac:dyDescent="0.3">
      <c r="A1532" s="292"/>
      <c r="B1532" s="293"/>
      <c r="C1532" s="294"/>
      <c r="D1532" s="294"/>
      <c r="E1532" s="294"/>
      <c r="F1532" s="310"/>
      <c r="G1532" s="310"/>
      <c r="H1532" s="310"/>
      <c r="I1532" s="295"/>
      <c r="J1532" s="295"/>
      <c r="K1532" s="300">
        <f t="shared" si="173"/>
        <v>1.1000000000000001</v>
      </c>
      <c r="L1532" s="300">
        <f t="shared" si="174"/>
        <v>0</v>
      </c>
      <c r="M1532" s="285">
        <f t="shared" si="175"/>
        <v>0</v>
      </c>
      <c r="N1532" s="1076">
        <f t="shared" si="176"/>
        <v>0</v>
      </c>
      <c r="O1532" s="294"/>
      <c r="P1532" s="404"/>
      <c r="Q1532" s="404"/>
      <c r="R1532" s="301"/>
      <c r="S1532" s="301"/>
      <c r="T1532" s="301"/>
      <c r="U1532" s="301"/>
      <c r="V1532" s="301"/>
    </row>
    <row r="1533" spans="1:22" ht="14.4" thickTop="1" thickBot="1" x14ac:dyDescent="0.3">
      <c r="A1533" s="292"/>
      <c r="B1533" s="293"/>
      <c r="C1533" s="294"/>
      <c r="D1533" s="294"/>
      <c r="E1533" s="294"/>
      <c r="F1533" s="310"/>
      <c r="G1533" s="310"/>
      <c r="H1533" s="310"/>
      <c r="I1533" s="295"/>
      <c r="J1533" s="295"/>
      <c r="K1533" s="300">
        <f t="shared" si="173"/>
        <v>1.1000000000000001</v>
      </c>
      <c r="L1533" s="300">
        <f t="shared" si="174"/>
        <v>0</v>
      </c>
      <c r="M1533" s="285">
        <f t="shared" si="175"/>
        <v>0</v>
      </c>
      <c r="N1533" s="1076">
        <f t="shared" si="176"/>
        <v>0</v>
      </c>
      <c r="O1533" s="294"/>
      <c r="P1533" s="404"/>
      <c r="Q1533" s="404"/>
      <c r="R1533" s="301"/>
      <c r="S1533" s="301"/>
      <c r="T1533" s="301"/>
      <c r="U1533" s="301"/>
      <c r="V1533" s="301"/>
    </row>
    <row r="1534" spans="1:22" ht="14.4" thickTop="1" thickBot="1" x14ac:dyDescent="0.3">
      <c r="A1534" s="292"/>
      <c r="B1534" s="293"/>
      <c r="C1534" s="294"/>
      <c r="D1534" s="294"/>
      <c r="E1534" s="294"/>
      <c r="F1534" s="310"/>
      <c r="G1534" s="310"/>
      <c r="H1534" s="310"/>
      <c r="I1534" s="295"/>
      <c r="J1534" s="295"/>
      <c r="K1534" s="300">
        <f t="shared" si="173"/>
        <v>1.1000000000000001</v>
      </c>
      <c r="L1534" s="300">
        <f t="shared" si="174"/>
        <v>0</v>
      </c>
      <c r="M1534" s="285">
        <f t="shared" si="175"/>
        <v>0</v>
      </c>
      <c r="N1534" s="1076">
        <f t="shared" si="176"/>
        <v>0</v>
      </c>
      <c r="O1534" s="294"/>
      <c r="P1534" s="404"/>
      <c r="Q1534" s="404"/>
      <c r="R1534" s="301"/>
      <c r="S1534" s="301"/>
      <c r="T1534" s="301"/>
      <c r="U1534" s="301"/>
      <c r="V1534" s="301"/>
    </row>
    <row r="1535" spans="1:22" ht="14.4" thickTop="1" thickBot="1" x14ac:dyDescent="0.3">
      <c r="A1535" s="292"/>
      <c r="B1535" s="293"/>
      <c r="C1535" s="294"/>
      <c r="D1535" s="294"/>
      <c r="E1535" s="294"/>
      <c r="F1535" s="310"/>
      <c r="G1535" s="310"/>
      <c r="H1535" s="310"/>
      <c r="I1535" s="295"/>
      <c r="J1535" s="295"/>
      <c r="K1535" s="300">
        <f t="shared" si="173"/>
        <v>1.1000000000000001</v>
      </c>
      <c r="L1535" s="300">
        <f t="shared" si="174"/>
        <v>0</v>
      </c>
      <c r="M1535" s="285">
        <f t="shared" si="175"/>
        <v>0</v>
      </c>
      <c r="N1535" s="1076">
        <f t="shared" si="176"/>
        <v>0</v>
      </c>
      <c r="O1535" s="294"/>
      <c r="P1535" s="404"/>
      <c r="Q1535" s="404"/>
      <c r="R1535" s="301"/>
      <c r="S1535" s="301"/>
      <c r="T1535" s="301"/>
      <c r="U1535" s="301"/>
      <c r="V1535" s="301"/>
    </row>
    <row r="1536" spans="1:22" ht="14.4" thickTop="1" thickBot="1" x14ac:dyDescent="0.3">
      <c r="A1536" s="292"/>
      <c r="B1536" s="293"/>
      <c r="C1536" s="294"/>
      <c r="D1536" s="294"/>
      <c r="E1536" s="294"/>
      <c r="F1536" s="310"/>
      <c r="G1536" s="310"/>
      <c r="H1536" s="310"/>
      <c r="I1536" s="295"/>
      <c r="J1536" s="295"/>
      <c r="K1536" s="300">
        <f t="shared" si="173"/>
        <v>1.1000000000000001</v>
      </c>
      <c r="L1536" s="300">
        <f t="shared" si="174"/>
        <v>0</v>
      </c>
      <c r="M1536" s="285">
        <f t="shared" si="175"/>
        <v>0</v>
      </c>
      <c r="N1536" s="1076">
        <f t="shared" si="176"/>
        <v>0</v>
      </c>
      <c r="O1536" s="294"/>
      <c r="P1536" s="404"/>
      <c r="Q1536" s="404"/>
      <c r="R1536" s="301"/>
      <c r="S1536" s="301"/>
      <c r="T1536" s="301"/>
      <c r="U1536" s="301"/>
      <c r="V1536" s="301"/>
    </row>
    <row r="1537" spans="1:22" ht="14.4" thickTop="1" thickBot="1" x14ac:dyDescent="0.3">
      <c r="A1537" s="292"/>
      <c r="B1537" s="293"/>
      <c r="C1537" s="294"/>
      <c r="D1537" s="294"/>
      <c r="E1537" s="294"/>
      <c r="F1537" s="310"/>
      <c r="G1537" s="310"/>
      <c r="H1537" s="310"/>
      <c r="I1537" s="295"/>
      <c r="J1537" s="295"/>
      <c r="K1537" s="300">
        <f t="shared" si="173"/>
        <v>1.1000000000000001</v>
      </c>
      <c r="L1537" s="300">
        <f t="shared" si="174"/>
        <v>0</v>
      </c>
      <c r="M1537" s="285">
        <f t="shared" si="175"/>
        <v>0</v>
      </c>
      <c r="N1537" s="1076">
        <f t="shared" si="176"/>
        <v>0</v>
      </c>
      <c r="O1537" s="294"/>
      <c r="P1537" s="404"/>
      <c r="Q1537" s="404"/>
      <c r="R1537" s="301"/>
      <c r="S1537" s="301"/>
      <c r="T1537" s="301"/>
      <c r="U1537" s="301"/>
      <c r="V1537" s="301"/>
    </row>
    <row r="1538" spans="1:22" ht="14.4" thickTop="1" thickBot="1" x14ac:dyDescent="0.3">
      <c r="A1538" s="292"/>
      <c r="B1538" s="293"/>
      <c r="C1538" s="294"/>
      <c r="D1538" s="294"/>
      <c r="E1538" s="294"/>
      <c r="F1538" s="310"/>
      <c r="G1538" s="310"/>
      <c r="H1538" s="310"/>
      <c r="I1538" s="295"/>
      <c r="J1538" s="295"/>
      <c r="K1538" s="300">
        <f t="shared" si="173"/>
        <v>1.1000000000000001</v>
      </c>
      <c r="L1538" s="300">
        <f t="shared" si="174"/>
        <v>0</v>
      </c>
      <c r="M1538" s="285">
        <f t="shared" si="175"/>
        <v>0</v>
      </c>
      <c r="N1538" s="1076">
        <f t="shared" si="176"/>
        <v>0</v>
      </c>
      <c r="O1538" s="294"/>
      <c r="P1538" s="404"/>
      <c r="Q1538" s="404"/>
      <c r="R1538" s="301"/>
      <c r="S1538" s="301"/>
      <c r="T1538" s="301"/>
      <c r="U1538" s="301"/>
      <c r="V1538" s="301"/>
    </row>
    <row r="1539" spans="1:22" ht="14.4" thickTop="1" thickBot="1" x14ac:dyDescent="0.3">
      <c r="A1539" s="292"/>
      <c r="B1539" s="293"/>
      <c r="C1539" s="294"/>
      <c r="D1539" s="294"/>
      <c r="E1539" s="294"/>
      <c r="F1539" s="310"/>
      <c r="G1539" s="310"/>
      <c r="H1539" s="310"/>
      <c r="I1539" s="295"/>
      <c r="J1539" s="295"/>
      <c r="K1539" s="300">
        <f t="shared" si="173"/>
        <v>1.1000000000000001</v>
      </c>
      <c r="L1539" s="300">
        <f t="shared" si="174"/>
        <v>0</v>
      </c>
      <c r="M1539" s="285">
        <f t="shared" si="175"/>
        <v>0</v>
      </c>
      <c r="N1539" s="1076">
        <f t="shared" si="176"/>
        <v>0</v>
      </c>
      <c r="O1539" s="294"/>
      <c r="P1539" s="404"/>
      <c r="Q1539" s="404"/>
      <c r="R1539" s="301"/>
      <c r="S1539" s="301"/>
      <c r="T1539" s="301"/>
      <c r="U1539" s="301"/>
      <c r="V1539" s="301"/>
    </row>
    <row r="1540" spans="1:22" ht="14.4" thickTop="1" thickBot="1" x14ac:dyDescent="0.3">
      <c r="A1540" s="292"/>
      <c r="B1540" s="293"/>
      <c r="C1540" s="294"/>
      <c r="D1540" s="294"/>
      <c r="E1540" s="294"/>
      <c r="F1540" s="310"/>
      <c r="G1540" s="310"/>
      <c r="H1540" s="310"/>
      <c r="I1540" s="295"/>
      <c r="J1540" s="295"/>
      <c r="K1540" s="300">
        <f t="shared" si="173"/>
        <v>1.1000000000000001</v>
      </c>
      <c r="L1540" s="300">
        <f t="shared" si="174"/>
        <v>0</v>
      </c>
      <c r="M1540" s="285">
        <f t="shared" si="175"/>
        <v>0</v>
      </c>
      <c r="N1540" s="1076">
        <f t="shared" si="176"/>
        <v>0</v>
      </c>
      <c r="O1540" s="294"/>
      <c r="P1540" s="404"/>
      <c r="Q1540" s="404"/>
      <c r="R1540" s="301"/>
      <c r="S1540" s="301"/>
      <c r="T1540" s="301"/>
      <c r="U1540" s="301"/>
      <c r="V1540" s="301"/>
    </row>
    <row r="1541" spans="1:22" ht="14.4" thickTop="1" thickBot="1" x14ac:dyDescent="0.3">
      <c r="A1541" s="292"/>
      <c r="B1541" s="293"/>
      <c r="C1541" s="294"/>
      <c r="D1541" s="294"/>
      <c r="E1541" s="294"/>
      <c r="F1541" s="310"/>
      <c r="G1541" s="310"/>
      <c r="H1541" s="310"/>
      <c r="I1541" s="295"/>
      <c r="J1541" s="295"/>
      <c r="K1541" s="300">
        <f t="shared" si="173"/>
        <v>1.1000000000000001</v>
      </c>
      <c r="L1541" s="300">
        <f t="shared" si="174"/>
        <v>0</v>
      </c>
      <c r="M1541" s="285">
        <f t="shared" si="175"/>
        <v>0</v>
      </c>
      <c r="N1541" s="1076">
        <f t="shared" si="176"/>
        <v>0</v>
      </c>
      <c r="O1541" s="294"/>
      <c r="P1541" s="404"/>
      <c r="Q1541" s="404"/>
      <c r="R1541" s="301"/>
      <c r="S1541" s="301"/>
      <c r="T1541" s="301"/>
      <c r="U1541" s="301"/>
      <c r="V1541" s="301"/>
    </row>
    <row r="1542" spans="1:22" ht="14.4" thickTop="1" thickBot="1" x14ac:dyDescent="0.3">
      <c r="A1542" s="292"/>
      <c r="B1542" s="293"/>
      <c r="C1542" s="294"/>
      <c r="D1542" s="294"/>
      <c r="E1542" s="294"/>
      <c r="F1542" s="310"/>
      <c r="G1542" s="310"/>
      <c r="H1542" s="310"/>
      <c r="I1542" s="295"/>
      <c r="J1542" s="295"/>
      <c r="K1542" s="300">
        <f t="shared" ref="K1542:K1605" si="177">$K$2</f>
        <v>1.1000000000000001</v>
      </c>
      <c r="L1542" s="300">
        <f t="shared" ref="L1542:L1605" si="178">K1542*J1542</f>
        <v>0</v>
      </c>
      <c r="M1542" s="285">
        <f t="shared" ref="M1542:M1605" si="179">ROUND(L1542,1)</f>
        <v>0</v>
      </c>
      <c r="N1542" s="1076">
        <f t="shared" ref="N1542:N1605" si="180">ROUNDUP(M1542,0)</f>
        <v>0</v>
      </c>
      <c r="O1542" s="294"/>
      <c r="P1542" s="404"/>
      <c r="Q1542" s="404"/>
      <c r="R1542" s="301"/>
      <c r="S1542" s="301"/>
      <c r="T1542" s="301"/>
      <c r="U1542" s="301"/>
      <c r="V1542" s="301"/>
    </row>
    <row r="1543" spans="1:22" ht="14.4" thickTop="1" thickBot="1" x14ac:dyDescent="0.3">
      <c r="A1543" s="292"/>
      <c r="B1543" s="293"/>
      <c r="C1543" s="294"/>
      <c r="D1543" s="294"/>
      <c r="E1543" s="294"/>
      <c r="F1543" s="310"/>
      <c r="G1543" s="310"/>
      <c r="H1543" s="310"/>
      <c r="I1543" s="295"/>
      <c r="J1543" s="295"/>
      <c r="K1543" s="300">
        <f t="shared" si="177"/>
        <v>1.1000000000000001</v>
      </c>
      <c r="L1543" s="300">
        <f t="shared" si="178"/>
        <v>0</v>
      </c>
      <c r="M1543" s="285">
        <f t="shared" si="179"/>
        <v>0</v>
      </c>
      <c r="N1543" s="1076">
        <f t="shared" si="180"/>
        <v>0</v>
      </c>
      <c r="O1543" s="294"/>
      <c r="P1543" s="404"/>
      <c r="Q1543" s="404"/>
      <c r="R1543" s="301"/>
      <c r="S1543" s="301"/>
      <c r="T1543" s="301"/>
      <c r="U1543" s="301"/>
      <c r="V1543" s="301"/>
    </row>
    <row r="1544" spans="1:22" ht="14.4" thickTop="1" thickBot="1" x14ac:dyDescent="0.3">
      <c r="A1544" s="292"/>
      <c r="B1544" s="293"/>
      <c r="C1544" s="294"/>
      <c r="D1544" s="294"/>
      <c r="E1544" s="294"/>
      <c r="F1544" s="310"/>
      <c r="G1544" s="310"/>
      <c r="H1544" s="310"/>
      <c r="I1544" s="295"/>
      <c r="J1544" s="295"/>
      <c r="K1544" s="300">
        <f t="shared" si="177"/>
        <v>1.1000000000000001</v>
      </c>
      <c r="L1544" s="300">
        <f t="shared" si="178"/>
        <v>0</v>
      </c>
      <c r="M1544" s="285">
        <f t="shared" si="179"/>
        <v>0</v>
      </c>
      <c r="N1544" s="1076">
        <f t="shared" si="180"/>
        <v>0</v>
      </c>
      <c r="O1544" s="294"/>
      <c r="P1544" s="404"/>
      <c r="Q1544" s="404"/>
      <c r="R1544" s="301"/>
      <c r="S1544" s="301"/>
      <c r="T1544" s="301"/>
      <c r="U1544" s="301"/>
      <c r="V1544" s="301"/>
    </row>
    <row r="1545" spans="1:22" ht="14.4" thickTop="1" thickBot="1" x14ac:dyDescent="0.3">
      <c r="A1545" s="292"/>
      <c r="B1545" s="293"/>
      <c r="C1545" s="294"/>
      <c r="D1545" s="294"/>
      <c r="E1545" s="294"/>
      <c r="F1545" s="310"/>
      <c r="G1545" s="310"/>
      <c r="H1545" s="310"/>
      <c r="I1545" s="295"/>
      <c r="J1545" s="295"/>
      <c r="K1545" s="300">
        <f t="shared" si="177"/>
        <v>1.1000000000000001</v>
      </c>
      <c r="L1545" s="300">
        <f t="shared" si="178"/>
        <v>0</v>
      </c>
      <c r="M1545" s="285">
        <f t="shared" si="179"/>
        <v>0</v>
      </c>
      <c r="N1545" s="1076">
        <f t="shared" si="180"/>
        <v>0</v>
      </c>
      <c r="O1545" s="294"/>
      <c r="P1545" s="404"/>
      <c r="Q1545" s="404"/>
      <c r="R1545" s="301"/>
      <c r="S1545" s="301"/>
      <c r="T1545" s="301"/>
      <c r="U1545" s="301"/>
      <c r="V1545" s="301"/>
    </row>
    <row r="1546" spans="1:22" ht="14.4" thickTop="1" thickBot="1" x14ac:dyDescent="0.3">
      <c r="A1546" s="292"/>
      <c r="B1546" s="293"/>
      <c r="C1546" s="294"/>
      <c r="D1546" s="294"/>
      <c r="E1546" s="294"/>
      <c r="F1546" s="310"/>
      <c r="G1546" s="310"/>
      <c r="H1546" s="310"/>
      <c r="I1546" s="295"/>
      <c r="J1546" s="295"/>
      <c r="K1546" s="300">
        <f t="shared" si="177"/>
        <v>1.1000000000000001</v>
      </c>
      <c r="L1546" s="300">
        <f t="shared" si="178"/>
        <v>0</v>
      </c>
      <c r="M1546" s="285">
        <f t="shared" si="179"/>
        <v>0</v>
      </c>
      <c r="N1546" s="1076">
        <f t="shared" si="180"/>
        <v>0</v>
      </c>
      <c r="O1546" s="294"/>
      <c r="P1546" s="404"/>
      <c r="Q1546" s="404"/>
      <c r="R1546" s="301"/>
      <c r="S1546" s="301"/>
      <c r="T1546" s="301"/>
      <c r="U1546" s="301"/>
      <c r="V1546" s="301"/>
    </row>
    <row r="1547" spans="1:22" ht="14.4" thickTop="1" thickBot="1" x14ac:dyDescent="0.3">
      <c r="A1547" s="292"/>
      <c r="B1547" s="293"/>
      <c r="C1547" s="294"/>
      <c r="D1547" s="294"/>
      <c r="E1547" s="294"/>
      <c r="F1547" s="310"/>
      <c r="G1547" s="310"/>
      <c r="H1547" s="310"/>
      <c r="I1547" s="295"/>
      <c r="J1547" s="295"/>
      <c r="K1547" s="300">
        <f t="shared" si="177"/>
        <v>1.1000000000000001</v>
      </c>
      <c r="L1547" s="300">
        <f t="shared" si="178"/>
        <v>0</v>
      </c>
      <c r="M1547" s="285">
        <f t="shared" si="179"/>
        <v>0</v>
      </c>
      <c r="N1547" s="1076">
        <f t="shared" si="180"/>
        <v>0</v>
      </c>
      <c r="O1547" s="294"/>
      <c r="P1547" s="404"/>
      <c r="Q1547" s="404"/>
      <c r="R1547" s="301"/>
      <c r="S1547" s="301"/>
      <c r="T1547" s="301"/>
      <c r="U1547" s="301"/>
      <c r="V1547" s="301"/>
    </row>
    <row r="1548" spans="1:22" ht="14.4" thickTop="1" thickBot="1" x14ac:dyDescent="0.3">
      <c r="A1548" s="292"/>
      <c r="B1548" s="293"/>
      <c r="C1548" s="294"/>
      <c r="D1548" s="294"/>
      <c r="E1548" s="294"/>
      <c r="F1548" s="310"/>
      <c r="G1548" s="310"/>
      <c r="H1548" s="310"/>
      <c r="I1548" s="295"/>
      <c r="J1548" s="295"/>
      <c r="K1548" s="300">
        <f t="shared" si="177"/>
        <v>1.1000000000000001</v>
      </c>
      <c r="L1548" s="300">
        <f t="shared" si="178"/>
        <v>0</v>
      </c>
      <c r="M1548" s="285">
        <f t="shared" si="179"/>
        <v>0</v>
      </c>
      <c r="N1548" s="1076">
        <f t="shared" si="180"/>
        <v>0</v>
      </c>
      <c r="O1548" s="294"/>
      <c r="P1548" s="404"/>
      <c r="Q1548" s="404"/>
      <c r="R1548" s="301"/>
      <c r="S1548" s="301"/>
      <c r="T1548" s="301"/>
      <c r="U1548" s="301"/>
      <c r="V1548" s="301"/>
    </row>
    <row r="1549" spans="1:22" ht="14.4" thickTop="1" thickBot="1" x14ac:dyDescent="0.3">
      <c r="A1549" s="292"/>
      <c r="B1549" s="293"/>
      <c r="C1549" s="294"/>
      <c r="D1549" s="294"/>
      <c r="E1549" s="294"/>
      <c r="F1549" s="310"/>
      <c r="G1549" s="310"/>
      <c r="H1549" s="310"/>
      <c r="I1549" s="295"/>
      <c r="J1549" s="295"/>
      <c r="K1549" s="300">
        <f t="shared" si="177"/>
        <v>1.1000000000000001</v>
      </c>
      <c r="L1549" s="300">
        <f t="shared" si="178"/>
        <v>0</v>
      </c>
      <c r="M1549" s="285">
        <f t="shared" si="179"/>
        <v>0</v>
      </c>
      <c r="N1549" s="1076">
        <f t="shared" si="180"/>
        <v>0</v>
      </c>
      <c r="O1549" s="294"/>
      <c r="P1549" s="404"/>
      <c r="Q1549" s="404"/>
      <c r="R1549" s="301"/>
      <c r="S1549" s="301"/>
      <c r="T1549" s="301"/>
      <c r="U1549" s="301"/>
      <c r="V1549" s="301"/>
    </row>
    <row r="1550" spans="1:22" ht="14.4" thickTop="1" thickBot="1" x14ac:dyDescent="0.3">
      <c r="A1550" s="292"/>
      <c r="B1550" s="293"/>
      <c r="C1550" s="294"/>
      <c r="D1550" s="294"/>
      <c r="E1550" s="294"/>
      <c r="F1550" s="310"/>
      <c r="G1550" s="310"/>
      <c r="H1550" s="310"/>
      <c r="I1550" s="295"/>
      <c r="J1550" s="295"/>
      <c r="K1550" s="300">
        <f t="shared" si="177"/>
        <v>1.1000000000000001</v>
      </c>
      <c r="L1550" s="300">
        <f t="shared" si="178"/>
        <v>0</v>
      </c>
      <c r="M1550" s="285">
        <f t="shared" si="179"/>
        <v>0</v>
      </c>
      <c r="N1550" s="1076">
        <f t="shared" si="180"/>
        <v>0</v>
      </c>
      <c r="O1550" s="294"/>
      <c r="P1550" s="404"/>
      <c r="Q1550" s="404"/>
      <c r="R1550" s="301"/>
      <c r="S1550" s="301"/>
      <c r="T1550" s="301"/>
      <c r="U1550" s="301"/>
      <c r="V1550" s="301"/>
    </row>
    <row r="1551" spans="1:22" ht="14.4" thickTop="1" thickBot="1" x14ac:dyDescent="0.3">
      <c r="A1551" s="292"/>
      <c r="B1551" s="293"/>
      <c r="C1551" s="294"/>
      <c r="D1551" s="294"/>
      <c r="E1551" s="294"/>
      <c r="F1551" s="310"/>
      <c r="G1551" s="310"/>
      <c r="H1551" s="310"/>
      <c r="I1551" s="295"/>
      <c r="J1551" s="295"/>
      <c r="K1551" s="300">
        <f t="shared" si="177"/>
        <v>1.1000000000000001</v>
      </c>
      <c r="L1551" s="300">
        <f t="shared" si="178"/>
        <v>0</v>
      </c>
      <c r="M1551" s="285">
        <f t="shared" si="179"/>
        <v>0</v>
      </c>
      <c r="N1551" s="1076">
        <f t="shared" si="180"/>
        <v>0</v>
      </c>
      <c r="O1551" s="294"/>
      <c r="P1551" s="404"/>
      <c r="Q1551" s="404"/>
      <c r="R1551" s="301"/>
      <c r="S1551" s="301"/>
      <c r="T1551" s="301"/>
      <c r="U1551" s="301"/>
      <c r="V1551" s="301"/>
    </row>
    <row r="1552" spans="1:22" ht="14.4" thickTop="1" thickBot="1" x14ac:dyDescent="0.3">
      <c r="A1552" s="292"/>
      <c r="B1552" s="293"/>
      <c r="C1552" s="294"/>
      <c r="D1552" s="294"/>
      <c r="E1552" s="294"/>
      <c r="F1552" s="310"/>
      <c r="G1552" s="310"/>
      <c r="H1552" s="310"/>
      <c r="I1552" s="295"/>
      <c r="J1552" s="295"/>
      <c r="K1552" s="300">
        <f t="shared" si="177"/>
        <v>1.1000000000000001</v>
      </c>
      <c r="L1552" s="300">
        <f t="shared" si="178"/>
        <v>0</v>
      </c>
      <c r="M1552" s="285">
        <f t="shared" si="179"/>
        <v>0</v>
      </c>
      <c r="N1552" s="1076">
        <f t="shared" si="180"/>
        <v>0</v>
      </c>
      <c r="O1552" s="294"/>
      <c r="P1552" s="404"/>
      <c r="Q1552" s="404"/>
      <c r="R1552" s="301"/>
      <c r="S1552" s="301"/>
      <c r="T1552" s="301"/>
      <c r="U1552" s="301"/>
      <c r="V1552" s="301"/>
    </row>
    <row r="1553" spans="1:22" ht="14.4" thickTop="1" thickBot="1" x14ac:dyDescent="0.3">
      <c r="A1553" s="292"/>
      <c r="B1553" s="293"/>
      <c r="C1553" s="294"/>
      <c r="D1553" s="294"/>
      <c r="E1553" s="294"/>
      <c r="F1553" s="310"/>
      <c r="G1553" s="310"/>
      <c r="H1553" s="310"/>
      <c r="I1553" s="295"/>
      <c r="J1553" s="295"/>
      <c r="K1553" s="300">
        <f t="shared" si="177"/>
        <v>1.1000000000000001</v>
      </c>
      <c r="L1553" s="300">
        <f t="shared" si="178"/>
        <v>0</v>
      </c>
      <c r="M1553" s="285">
        <f t="shared" si="179"/>
        <v>0</v>
      </c>
      <c r="N1553" s="1076">
        <f t="shared" si="180"/>
        <v>0</v>
      </c>
      <c r="O1553" s="294"/>
      <c r="P1553" s="404"/>
      <c r="Q1553" s="404"/>
      <c r="R1553" s="301"/>
      <c r="S1553" s="301"/>
      <c r="T1553" s="301"/>
      <c r="U1553" s="301"/>
      <c r="V1553" s="301"/>
    </row>
    <row r="1554" spans="1:22" ht="14.4" thickTop="1" thickBot="1" x14ac:dyDescent="0.3">
      <c r="A1554" s="292"/>
      <c r="B1554" s="293"/>
      <c r="C1554" s="294"/>
      <c r="D1554" s="294"/>
      <c r="E1554" s="294"/>
      <c r="F1554" s="310"/>
      <c r="G1554" s="310"/>
      <c r="H1554" s="310"/>
      <c r="I1554" s="295"/>
      <c r="J1554" s="295"/>
      <c r="K1554" s="300">
        <f t="shared" si="177"/>
        <v>1.1000000000000001</v>
      </c>
      <c r="L1554" s="300">
        <f t="shared" si="178"/>
        <v>0</v>
      </c>
      <c r="M1554" s="285">
        <f t="shared" si="179"/>
        <v>0</v>
      </c>
      <c r="N1554" s="1076">
        <f t="shared" si="180"/>
        <v>0</v>
      </c>
      <c r="O1554" s="294"/>
      <c r="P1554" s="404"/>
      <c r="Q1554" s="404"/>
      <c r="R1554" s="301"/>
      <c r="S1554" s="301"/>
      <c r="T1554" s="301"/>
      <c r="U1554" s="301"/>
      <c r="V1554" s="301"/>
    </row>
    <row r="1555" spans="1:22" ht="14.4" thickTop="1" thickBot="1" x14ac:dyDescent="0.3">
      <c r="A1555" s="292"/>
      <c r="B1555" s="293"/>
      <c r="C1555" s="294"/>
      <c r="D1555" s="294"/>
      <c r="E1555" s="294"/>
      <c r="F1555" s="310"/>
      <c r="G1555" s="310"/>
      <c r="H1555" s="310"/>
      <c r="I1555" s="295"/>
      <c r="J1555" s="295"/>
      <c r="K1555" s="300">
        <f t="shared" si="177"/>
        <v>1.1000000000000001</v>
      </c>
      <c r="L1555" s="300">
        <f t="shared" si="178"/>
        <v>0</v>
      </c>
      <c r="M1555" s="285">
        <f t="shared" si="179"/>
        <v>0</v>
      </c>
      <c r="N1555" s="1076">
        <f t="shared" si="180"/>
        <v>0</v>
      </c>
      <c r="O1555" s="294"/>
      <c r="P1555" s="404"/>
      <c r="Q1555" s="404"/>
      <c r="R1555" s="301"/>
      <c r="S1555" s="301"/>
      <c r="T1555" s="301"/>
      <c r="U1555" s="301"/>
      <c r="V1555" s="301"/>
    </row>
    <row r="1556" spans="1:22" ht="14.4" thickTop="1" thickBot="1" x14ac:dyDescent="0.3">
      <c r="A1556" s="292"/>
      <c r="B1556" s="293"/>
      <c r="C1556" s="294"/>
      <c r="D1556" s="294"/>
      <c r="E1556" s="294"/>
      <c r="F1556" s="310"/>
      <c r="G1556" s="310"/>
      <c r="H1556" s="310"/>
      <c r="I1556" s="295"/>
      <c r="J1556" s="295"/>
      <c r="K1556" s="300">
        <f t="shared" si="177"/>
        <v>1.1000000000000001</v>
      </c>
      <c r="L1556" s="300">
        <f t="shared" si="178"/>
        <v>0</v>
      </c>
      <c r="M1556" s="285">
        <f t="shared" si="179"/>
        <v>0</v>
      </c>
      <c r="N1556" s="1076">
        <f t="shared" si="180"/>
        <v>0</v>
      </c>
      <c r="O1556" s="294"/>
      <c r="P1556" s="404"/>
      <c r="Q1556" s="404"/>
      <c r="R1556" s="301"/>
      <c r="S1556" s="301"/>
      <c r="T1556" s="301"/>
      <c r="U1556" s="301"/>
      <c r="V1556" s="301"/>
    </row>
    <row r="1557" spans="1:22" ht="14.4" thickTop="1" thickBot="1" x14ac:dyDescent="0.3">
      <c r="A1557" s="292"/>
      <c r="B1557" s="293"/>
      <c r="C1557" s="294"/>
      <c r="D1557" s="294"/>
      <c r="E1557" s="294"/>
      <c r="F1557" s="310"/>
      <c r="G1557" s="310"/>
      <c r="H1557" s="310"/>
      <c r="I1557" s="295"/>
      <c r="J1557" s="295"/>
      <c r="K1557" s="300">
        <f t="shared" si="177"/>
        <v>1.1000000000000001</v>
      </c>
      <c r="L1557" s="300">
        <f t="shared" si="178"/>
        <v>0</v>
      </c>
      <c r="M1557" s="285">
        <f t="shared" si="179"/>
        <v>0</v>
      </c>
      <c r="N1557" s="1076">
        <f t="shared" si="180"/>
        <v>0</v>
      </c>
      <c r="O1557" s="294"/>
      <c r="P1557" s="404"/>
      <c r="Q1557" s="404"/>
      <c r="R1557" s="301"/>
      <c r="S1557" s="301"/>
      <c r="T1557" s="301"/>
      <c r="U1557" s="301"/>
      <c r="V1557" s="301"/>
    </row>
    <row r="1558" spans="1:22" ht="14.4" thickTop="1" thickBot="1" x14ac:dyDescent="0.3">
      <c r="A1558" s="292"/>
      <c r="B1558" s="293"/>
      <c r="C1558" s="294"/>
      <c r="D1558" s="294"/>
      <c r="E1558" s="294"/>
      <c r="F1558" s="310"/>
      <c r="G1558" s="310"/>
      <c r="H1558" s="310"/>
      <c r="I1558" s="295"/>
      <c r="J1558" s="295"/>
      <c r="K1558" s="300">
        <f t="shared" si="177"/>
        <v>1.1000000000000001</v>
      </c>
      <c r="L1558" s="300">
        <f t="shared" si="178"/>
        <v>0</v>
      </c>
      <c r="M1558" s="285">
        <f t="shared" si="179"/>
        <v>0</v>
      </c>
      <c r="N1558" s="1076">
        <f t="shared" si="180"/>
        <v>0</v>
      </c>
      <c r="O1558" s="294"/>
      <c r="P1558" s="404"/>
      <c r="Q1558" s="404"/>
      <c r="R1558" s="301"/>
      <c r="S1558" s="301"/>
      <c r="T1558" s="301"/>
      <c r="U1558" s="301"/>
      <c r="V1558" s="301"/>
    </row>
    <row r="1559" spans="1:22" ht="14.4" thickTop="1" thickBot="1" x14ac:dyDescent="0.3">
      <c r="A1559" s="292"/>
      <c r="B1559" s="293"/>
      <c r="C1559" s="294"/>
      <c r="D1559" s="294"/>
      <c r="E1559" s="294"/>
      <c r="F1559" s="310"/>
      <c r="G1559" s="310"/>
      <c r="H1559" s="310"/>
      <c r="I1559" s="295"/>
      <c r="J1559" s="295"/>
      <c r="K1559" s="300">
        <f t="shared" si="177"/>
        <v>1.1000000000000001</v>
      </c>
      <c r="L1559" s="300">
        <f t="shared" si="178"/>
        <v>0</v>
      </c>
      <c r="M1559" s="285">
        <f t="shared" si="179"/>
        <v>0</v>
      </c>
      <c r="N1559" s="1076">
        <f t="shared" si="180"/>
        <v>0</v>
      </c>
      <c r="O1559" s="294"/>
      <c r="P1559" s="404"/>
      <c r="Q1559" s="404"/>
      <c r="R1559" s="301"/>
      <c r="S1559" s="301"/>
      <c r="T1559" s="301"/>
      <c r="U1559" s="301"/>
      <c r="V1559" s="301"/>
    </row>
    <row r="1560" spans="1:22" ht="14.4" thickTop="1" thickBot="1" x14ac:dyDescent="0.3">
      <c r="A1560" s="292"/>
      <c r="B1560" s="293"/>
      <c r="C1560" s="294"/>
      <c r="D1560" s="294"/>
      <c r="E1560" s="294"/>
      <c r="F1560" s="310"/>
      <c r="G1560" s="310"/>
      <c r="H1560" s="310"/>
      <c r="I1560" s="295"/>
      <c r="J1560" s="295"/>
      <c r="K1560" s="300">
        <f t="shared" si="177"/>
        <v>1.1000000000000001</v>
      </c>
      <c r="L1560" s="300">
        <f t="shared" si="178"/>
        <v>0</v>
      </c>
      <c r="M1560" s="285">
        <f t="shared" si="179"/>
        <v>0</v>
      </c>
      <c r="N1560" s="1076">
        <f t="shared" si="180"/>
        <v>0</v>
      </c>
      <c r="O1560" s="294"/>
      <c r="P1560" s="404"/>
      <c r="Q1560" s="404"/>
      <c r="R1560" s="301"/>
      <c r="S1560" s="301"/>
      <c r="T1560" s="301"/>
      <c r="U1560" s="301"/>
      <c r="V1560" s="301"/>
    </row>
    <row r="1561" spans="1:22" ht="14.4" thickTop="1" thickBot="1" x14ac:dyDescent="0.3">
      <c r="A1561" s="292"/>
      <c r="B1561" s="293"/>
      <c r="C1561" s="294"/>
      <c r="D1561" s="294"/>
      <c r="E1561" s="294"/>
      <c r="F1561" s="310"/>
      <c r="G1561" s="310"/>
      <c r="H1561" s="310"/>
      <c r="I1561" s="295"/>
      <c r="J1561" s="295"/>
      <c r="K1561" s="300">
        <f t="shared" si="177"/>
        <v>1.1000000000000001</v>
      </c>
      <c r="L1561" s="300">
        <f t="shared" si="178"/>
        <v>0</v>
      </c>
      <c r="M1561" s="285">
        <f t="shared" si="179"/>
        <v>0</v>
      </c>
      <c r="N1561" s="1076">
        <f t="shared" si="180"/>
        <v>0</v>
      </c>
      <c r="O1561" s="294"/>
      <c r="P1561" s="404"/>
      <c r="Q1561" s="404"/>
      <c r="R1561" s="301"/>
      <c r="S1561" s="301"/>
      <c r="T1561" s="301"/>
      <c r="U1561" s="301"/>
      <c r="V1561" s="301"/>
    </row>
    <row r="1562" spans="1:22" ht="14.4" thickTop="1" thickBot="1" x14ac:dyDescent="0.3">
      <c r="A1562" s="292"/>
      <c r="B1562" s="293"/>
      <c r="C1562" s="294"/>
      <c r="D1562" s="294"/>
      <c r="E1562" s="294"/>
      <c r="F1562" s="310"/>
      <c r="G1562" s="310"/>
      <c r="H1562" s="310"/>
      <c r="I1562" s="295"/>
      <c r="J1562" s="295"/>
      <c r="K1562" s="300">
        <f t="shared" si="177"/>
        <v>1.1000000000000001</v>
      </c>
      <c r="L1562" s="300">
        <f t="shared" si="178"/>
        <v>0</v>
      </c>
      <c r="M1562" s="285">
        <f t="shared" si="179"/>
        <v>0</v>
      </c>
      <c r="N1562" s="1076">
        <f t="shared" si="180"/>
        <v>0</v>
      </c>
      <c r="O1562" s="294"/>
      <c r="P1562" s="404"/>
      <c r="Q1562" s="404"/>
      <c r="R1562" s="301"/>
      <c r="S1562" s="301"/>
      <c r="T1562" s="301"/>
      <c r="U1562" s="301"/>
      <c r="V1562" s="301"/>
    </row>
    <row r="1563" spans="1:22" ht="14.4" thickTop="1" thickBot="1" x14ac:dyDescent="0.3">
      <c r="A1563" s="292"/>
      <c r="B1563" s="293"/>
      <c r="C1563" s="294"/>
      <c r="D1563" s="294"/>
      <c r="E1563" s="294"/>
      <c r="F1563" s="310"/>
      <c r="G1563" s="310"/>
      <c r="H1563" s="310"/>
      <c r="I1563" s="295"/>
      <c r="J1563" s="295"/>
      <c r="K1563" s="300">
        <f t="shared" si="177"/>
        <v>1.1000000000000001</v>
      </c>
      <c r="L1563" s="300">
        <f t="shared" si="178"/>
        <v>0</v>
      </c>
      <c r="M1563" s="285">
        <f t="shared" si="179"/>
        <v>0</v>
      </c>
      <c r="N1563" s="1076">
        <f t="shared" si="180"/>
        <v>0</v>
      </c>
      <c r="O1563" s="294"/>
      <c r="P1563" s="404"/>
      <c r="Q1563" s="404"/>
      <c r="R1563" s="301"/>
      <c r="S1563" s="301"/>
      <c r="T1563" s="301"/>
      <c r="U1563" s="301"/>
      <c r="V1563" s="301"/>
    </row>
    <row r="1564" spans="1:22" ht="14.4" thickTop="1" thickBot="1" x14ac:dyDescent="0.3">
      <c r="A1564" s="292"/>
      <c r="B1564" s="293"/>
      <c r="C1564" s="294"/>
      <c r="D1564" s="294"/>
      <c r="E1564" s="294"/>
      <c r="F1564" s="310"/>
      <c r="G1564" s="310"/>
      <c r="H1564" s="310"/>
      <c r="I1564" s="295"/>
      <c r="J1564" s="295"/>
      <c r="K1564" s="300">
        <f t="shared" si="177"/>
        <v>1.1000000000000001</v>
      </c>
      <c r="L1564" s="300">
        <f t="shared" si="178"/>
        <v>0</v>
      </c>
      <c r="M1564" s="285">
        <f t="shared" si="179"/>
        <v>0</v>
      </c>
      <c r="N1564" s="1076">
        <f t="shared" si="180"/>
        <v>0</v>
      </c>
      <c r="O1564" s="294"/>
      <c r="P1564" s="404"/>
      <c r="Q1564" s="404"/>
      <c r="R1564" s="301"/>
      <c r="S1564" s="301"/>
      <c r="T1564" s="301"/>
      <c r="U1564" s="301"/>
      <c r="V1564" s="301"/>
    </row>
    <row r="1565" spans="1:22" ht="14.4" thickTop="1" thickBot="1" x14ac:dyDescent="0.3">
      <c r="A1565" s="292"/>
      <c r="B1565" s="293"/>
      <c r="C1565" s="294"/>
      <c r="D1565" s="294"/>
      <c r="E1565" s="294"/>
      <c r="F1565" s="310"/>
      <c r="G1565" s="310"/>
      <c r="H1565" s="310"/>
      <c r="I1565" s="295"/>
      <c r="J1565" s="295"/>
      <c r="K1565" s="300">
        <f t="shared" si="177"/>
        <v>1.1000000000000001</v>
      </c>
      <c r="L1565" s="300">
        <f t="shared" si="178"/>
        <v>0</v>
      </c>
      <c r="M1565" s="285">
        <f t="shared" si="179"/>
        <v>0</v>
      </c>
      <c r="N1565" s="1076">
        <f t="shared" si="180"/>
        <v>0</v>
      </c>
      <c r="O1565" s="294"/>
      <c r="P1565" s="404"/>
      <c r="Q1565" s="404"/>
      <c r="R1565" s="301"/>
      <c r="S1565" s="301"/>
      <c r="T1565" s="301"/>
      <c r="U1565" s="301"/>
      <c r="V1565" s="301"/>
    </row>
    <row r="1566" spans="1:22" ht="14.4" thickTop="1" thickBot="1" x14ac:dyDescent="0.3">
      <c r="A1566" s="292"/>
      <c r="B1566" s="293"/>
      <c r="C1566" s="294"/>
      <c r="D1566" s="294"/>
      <c r="E1566" s="294"/>
      <c r="F1566" s="310"/>
      <c r="G1566" s="310"/>
      <c r="H1566" s="310"/>
      <c r="I1566" s="295"/>
      <c r="J1566" s="295"/>
      <c r="K1566" s="300">
        <f t="shared" si="177"/>
        <v>1.1000000000000001</v>
      </c>
      <c r="L1566" s="300">
        <f t="shared" si="178"/>
        <v>0</v>
      </c>
      <c r="M1566" s="285">
        <f t="shared" si="179"/>
        <v>0</v>
      </c>
      <c r="N1566" s="1076">
        <f t="shared" si="180"/>
        <v>0</v>
      </c>
      <c r="O1566" s="294"/>
      <c r="P1566" s="404"/>
      <c r="Q1566" s="404"/>
      <c r="R1566" s="301"/>
      <c r="S1566" s="301"/>
      <c r="T1566" s="301"/>
      <c r="U1566" s="301"/>
      <c r="V1566" s="301"/>
    </row>
    <row r="1567" spans="1:22" ht="14.4" thickTop="1" thickBot="1" x14ac:dyDescent="0.3">
      <c r="A1567" s="292"/>
      <c r="B1567" s="293"/>
      <c r="C1567" s="294"/>
      <c r="D1567" s="294"/>
      <c r="E1567" s="294"/>
      <c r="F1567" s="310"/>
      <c r="G1567" s="310"/>
      <c r="H1567" s="310"/>
      <c r="I1567" s="295"/>
      <c r="J1567" s="295"/>
      <c r="K1567" s="300">
        <f t="shared" si="177"/>
        <v>1.1000000000000001</v>
      </c>
      <c r="L1567" s="300">
        <f t="shared" si="178"/>
        <v>0</v>
      </c>
      <c r="M1567" s="285">
        <f t="shared" si="179"/>
        <v>0</v>
      </c>
      <c r="N1567" s="1076">
        <f t="shared" si="180"/>
        <v>0</v>
      </c>
      <c r="O1567" s="294"/>
      <c r="P1567" s="404"/>
      <c r="Q1567" s="404"/>
      <c r="R1567" s="301"/>
      <c r="S1567" s="301"/>
      <c r="T1567" s="301"/>
      <c r="U1567" s="301"/>
      <c r="V1567" s="301"/>
    </row>
    <row r="1568" spans="1:22" ht="14.4" thickTop="1" thickBot="1" x14ac:dyDescent="0.3">
      <c r="A1568" s="292"/>
      <c r="B1568" s="293"/>
      <c r="C1568" s="294"/>
      <c r="D1568" s="294"/>
      <c r="E1568" s="294"/>
      <c r="F1568" s="310"/>
      <c r="G1568" s="310"/>
      <c r="H1568" s="310"/>
      <c r="I1568" s="295"/>
      <c r="J1568" s="295"/>
      <c r="K1568" s="300">
        <f t="shared" si="177"/>
        <v>1.1000000000000001</v>
      </c>
      <c r="L1568" s="300">
        <f t="shared" si="178"/>
        <v>0</v>
      </c>
      <c r="M1568" s="285">
        <f t="shared" si="179"/>
        <v>0</v>
      </c>
      <c r="N1568" s="1076">
        <f t="shared" si="180"/>
        <v>0</v>
      </c>
      <c r="O1568" s="294"/>
      <c r="P1568" s="404"/>
      <c r="Q1568" s="404"/>
      <c r="R1568" s="301"/>
      <c r="S1568" s="301"/>
      <c r="T1568" s="301"/>
      <c r="U1568" s="301"/>
      <c r="V1568" s="301"/>
    </row>
    <row r="1569" spans="1:22" ht="14.4" thickTop="1" thickBot="1" x14ac:dyDescent="0.3">
      <c r="A1569" s="292"/>
      <c r="B1569" s="293"/>
      <c r="C1569" s="294"/>
      <c r="D1569" s="294"/>
      <c r="E1569" s="294"/>
      <c r="F1569" s="310"/>
      <c r="G1569" s="310"/>
      <c r="H1569" s="310"/>
      <c r="I1569" s="295"/>
      <c r="J1569" s="295"/>
      <c r="K1569" s="300">
        <f t="shared" si="177"/>
        <v>1.1000000000000001</v>
      </c>
      <c r="L1569" s="300">
        <f t="shared" si="178"/>
        <v>0</v>
      </c>
      <c r="M1569" s="285">
        <f t="shared" si="179"/>
        <v>0</v>
      </c>
      <c r="N1569" s="1076">
        <f t="shared" si="180"/>
        <v>0</v>
      </c>
      <c r="O1569" s="294"/>
      <c r="P1569" s="404"/>
      <c r="Q1569" s="404"/>
      <c r="R1569" s="301"/>
      <c r="S1569" s="301"/>
      <c r="T1569" s="301"/>
      <c r="U1569" s="301"/>
      <c r="V1569" s="301"/>
    </row>
    <row r="1570" spans="1:22" ht="14.4" thickTop="1" thickBot="1" x14ac:dyDescent="0.3">
      <c r="A1570" s="292"/>
      <c r="B1570" s="293"/>
      <c r="C1570" s="294"/>
      <c r="D1570" s="294"/>
      <c r="E1570" s="294"/>
      <c r="F1570" s="310"/>
      <c r="G1570" s="310"/>
      <c r="H1570" s="310"/>
      <c r="I1570" s="295"/>
      <c r="J1570" s="295"/>
      <c r="K1570" s="300">
        <f t="shared" si="177"/>
        <v>1.1000000000000001</v>
      </c>
      <c r="L1570" s="300">
        <f t="shared" si="178"/>
        <v>0</v>
      </c>
      <c r="M1570" s="285">
        <f t="shared" si="179"/>
        <v>0</v>
      </c>
      <c r="N1570" s="1076">
        <f t="shared" si="180"/>
        <v>0</v>
      </c>
      <c r="O1570" s="294"/>
      <c r="P1570" s="404"/>
      <c r="Q1570" s="404"/>
      <c r="R1570" s="301"/>
      <c r="S1570" s="301"/>
      <c r="T1570" s="301"/>
      <c r="U1570" s="301"/>
      <c r="V1570" s="301"/>
    </row>
    <row r="1571" spans="1:22" ht="14.4" thickTop="1" thickBot="1" x14ac:dyDescent="0.3">
      <c r="A1571" s="292"/>
      <c r="B1571" s="293"/>
      <c r="C1571" s="294"/>
      <c r="D1571" s="294"/>
      <c r="E1571" s="294"/>
      <c r="F1571" s="310"/>
      <c r="G1571" s="310"/>
      <c r="H1571" s="310"/>
      <c r="I1571" s="295"/>
      <c r="J1571" s="295"/>
      <c r="K1571" s="300">
        <f t="shared" si="177"/>
        <v>1.1000000000000001</v>
      </c>
      <c r="L1571" s="300">
        <f t="shared" si="178"/>
        <v>0</v>
      </c>
      <c r="M1571" s="285">
        <f t="shared" si="179"/>
        <v>0</v>
      </c>
      <c r="N1571" s="1076">
        <f t="shared" si="180"/>
        <v>0</v>
      </c>
      <c r="O1571" s="294"/>
      <c r="P1571" s="404"/>
      <c r="Q1571" s="404"/>
      <c r="R1571" s="301"/>
      <c r="S1571" s="301"/>
      <c r="T1571" s="301"/>
      <c r="U1571" s="301"/>
      <c r="V1571" s="301"/>
    </row>
    <row r="1572" spans="1:22" ht="14.4" thickTop="1" thickBot="1" x14ac:dyDescent="0.3">
      <c r="A1572" s="292"/>
      <c r="B1572" s="293"/>
      <c r="C1572" s="294"/>
      <c r="D1572" s="294"/>
      <c r="E1572" s="294"/>
      <c r="F1572" s="310"/>
      <c r="G1572" s="310"/>
      <c r="H1572" s="310"/>
      <c r="I1572" s="295"/>
      <c r="J1572" s="295"/>
      <c r="K1572" s="300">
        <f t="shared" si="177"/>
        <v>1.1000000000000001</v>
      </c>
      <c r="L1572" s="300">
        <f t="shared" si="178"/>
        <v>0</v>
      </c>
      <c r="M1572" s="285">
        <f t="shared" si="179"/>
        <v>0</v>
      </c>
      <c r="N1572" s="1076">
        <f t="shared" si="180"/>
        <v>0</v>
      </c>
      <c r="O1572" s="294"/>
      <c r="P1572" s="404"/>
      <c r="Q1572" s="404"/>
      <c r="R1572" s="301"/>
      <c r="S1572" s="301"/>
      <c r="T1572" s="301"/>
      <c r="U1572" s="301"/>
      <c r="V1572" s="301"/>
    </row>
    <row r="1573" spans="1:22" ht="14.4" thickTop="1" thickBot="1" x14ac:dyDescent="0.3">
      <c r="A1573" s="292"/>
      <c r="B1573" s="293"/>
      <c r="C1573" s="294"/>
      <c r="D1573" s="294"/>
      <c r="E1573" s="294"/>
      <c r="F1573" s="310"/>
      <c r="G1573" s="310"/>
      <c r="H1573" s="310"/>
      <c r="I1573" s="295"/>
      <c r="J1573" s="295"/>
      <c r="K1573" s="300">
        <f t="shared" si="177"/>
        <v>1.1000000000000001</v>
      </c>
      <c r="L1573" s="300">
        <f t="shared" si="178"/>
        <v>0</v>
      </c>
      <c r="M1573" s="285">
        <f t="shared" si="179"/>
        <v>0</v>
      </c>
      <c r="N1573" s="1076">
        <f t="shared" si="180"/>
        <v>0</v>
      </c>
      <c r="O1573" s="294"/>
      <c r="P1573" s="404"/>
      <c r="Q1573" s="404"/>
      <c r="R1573" s="301"/>
      <c r="S1573" s="301"/>
      <c r="T1573" s="301"/>
      <c r="U1573" s="301"/>
      <c r="V1573" s="301"/>
    </row>
    <row r="1574" spans="1:22" ht="14.4" thickTop="1" thickBot="1" x14ac:dyDescent="0.3">
      <c r="A1574" s="292"/>
      <c r="B1574" s="293"/>
      <c r="C1574" s="294"/>
      <c r="D1574" s="294"/>
      <c r="E1574" s="294"/>
      <c r="F1574" s="310"/>
      <c r="G1574" s="310"/>
      <c r="H1574" s="310"/>
      <c r="I1574" s="295"/>
      <c r="J1574" s="295"/>
      <c r="K1574" s="300">
        <f t="shared" si="177"/>
        <v>1.1000000000000001</v>
      </c>
      <c r="L1574" s="300">
        <f t="shared" si="178"/>
        <v>0</v>
      </c>
      <c r="M1574" s="285">
        <f t="shared" si="179"/>
        <v>0</v>
      </c>
      <c r="N1574" s="1076">
        <f t="shared" si="180"/>
        <v>0</v>
      </c>
      <c r="O1574" s="294"/>
      <c r="P1574" s="404"/>
      <c r="Q1574" s="404"/>
      <c r="R1574" s="301"/>
      <c r="S1574" s="301"/>
      <c r="T1574" s="301"/>
      <c r="U1574" s="301"/>
      <c r="V1574" s="301"/>
    </row>
    <row r="1575" spans="1:22" ht="14.4" thickTop="1" thickBot="1" x14ac:dyDescent="0.3">
      <c r="A1575" s="292"/>
      <c r="B1575" s="293"/>
      <c r="C1575" s="294"/>
      <c r="D1575" s="294"/>
      <c r="E1575" s="294"/>
      <c r="F1575" s="310"/>
      <c r="G1575" s="310"/>
      <c r="H1575" s="310"/>
      <c r="I1575" s="295"/>
      <c r="J1575" s="295"/>
      <c r="K1575" s="300">
        <f t="shared" si="177"/>
        <v>1.1000000000000001</v>
      </c>
      <c r="L1575" s="300">
        <f t="shared" si="178"/>
        <v>0</v>
      </c>
      <c r="M1575" s="285">
        <f t="shared" si="179"/>
        <v>0</v>
      </c>
      <c r="N1575" s="1076">
        <f t="shared" si="180"/>
        <v>0</v>
      </c>
      <c r="O1575" s="294"/>
      <c r="P1575" s="404"/>
      <c r="Q1575" s="404"/>
      <c r="R1575" s="301"/>
      <c r="S1575" s="301"/>
      <c r="T1575" s="301"/>
      <c r="U1575" s="301"/>
      <c r="V1575" s="301"/>
    </row>
    <row r="1576" spans="1:22" ht="14.4" thickTop="1" thickBot="1" x14ac:dyDescent="0.3">
      <c r="A1576" s="292"/>
      <c r="B1576" s="293"/>
      <c r="C1576" s="294"/>
      <c r="D1576" s="294"/>
      <c r="E1576" s="294"/>
      <c r="F1576" s="310"/>
      <c r="G1576" s="310"/>
      <c r="H1576" s="310"/>
      <c r="I1576" s="295"/>
      <c r="J1576" s="295"/>
      <c r="K1576" s="300">
        <f t="shared" si="177"/>
        <v>1.1000000000000001</v>
      </c>
      <c r="L1576" s="300">
        <f t="shared" si="178"/>
        <v>0</v>
      </c>
      <c r="M1576" s="285">
        <f t="shared" si="179"/>
        <v>0</v>
      </c>
      <c r="N1576" s="1076">
        <f t="shared" si="180"/>
        <v>0</v>
      </c>
      <c r="O1576" s="294"/>
      <c r="P1576" s="404"/>
      <c r="Q1576" s="404"/>
      <c r="R1576" s="301"/>
      <c r="S1576" s="301"/>
      <c r="T1576" s="301"/>
      <c r="U1576" s="301"/>
      <c r="V1576" s="301"/>
    </row>
    <row r="1577" spans="1:22" ht="14.4" thickTop="1" thickBot="1" x14ac:dyDescent="0.3">
      <c r="A1577" s="292"/>
      <c r="B1577" s="293"/>
      <c r="C1577" s="294"/>
      <c r="D1577" s="294"/>
      <c r="E1577" s="294"/>
      <c r="F1577" s="310"/>
      <c r="G1577" s="310"/>
      <c r="H1577" s="310"/>
      <c r="I1577" s="295"/>
      <c r="J1577" s="295"/>
      <c r="K1577" s="300">
        <f t="shared" si="177"/>
        <v>1.1000000000000001</v>
      </c>
      <c r="L1577" s="300">
        <f t="shared" si="178"/>
        <v>0</v>
      </c>
      <c r="M1577" s="285">
        <f t="shared" si="179"/>
        <v>0</v>
      </c>
      <c r="N1577" s="1076">
        <f t="shared" si="180"/>
        <v>0</v>
      </c>
      <c r="O1577" s="294"/>
      <c r="P1577" s="404"/>
      <c r="Q1577" s="404"/>
      <c r="R1577" s="301"/>
      <c r="S1577" s="301"/>
      <c r="T1577" s="301"/>
      <c r="U1577" s="301"/>
      <c r="V1577" s="301"/>
    </row>
    <row r="1578" spans="1:22" ht="14.4" thickTop="1" thickBot="1" x14ac:dyDescent="0.3">
      <c r="A1578" s="292"/>
      <c r="B1578" s="293"/>
      <c r="C1578" s="294"/>
      <c r="D1578" s="294"/>
      <c r="E1578" s="294"/>
      <c r="F1578" s="310"/>
      <c r="G1578" s="310"/>
      <c r="H1578" s="310"/>
      <c r="I1578" s="295"/>
      <c r="J1578" s="295"/>
      <c r="K1578" s="300">
        <f t="shared" si="177"/>
        <v>1.1000000000000001</v>
      </c>
      <c r="L1578" s="300">
        <f t="shared" si="178"/>
        <v>0</v>
      </c>
      <c r="M1578" s="285">
        <f t="shared" si="179"/>
        <v>0</v>
      </c>
      <c r="N1578" s="1076">
        <f t="shared" si="180"/>
        <v>0</v>
      </c>
      <c r="O1578" s="294"/>
      <c r="P1578" s="404"/>
      <c r="Q1578" s="404"/>
      <c r="R1578" s="301"/>
      <c r="S1578" s="301"/>
      <c r="T1578" s="301"/>
      <c r="U1578" s="301"/>
      <c r="V1578" s="301"/>
    </row>
    <row r="1579" spans="1:22" ht="14.4" thickTop="1" thickBot="1" x14ac:dyDescent="0.3">
      <c r="A1579" s="292"/>
      <c r="B1579" s="293"/>
      <c r="C1579" s="294"/>
      <c r="D1579" s="294"/>
      <c r="E1579" s="294"/>
      <c r="F1579" s="310"/>
      <c r="G1579" s="310"/>
      <c r="H1579" s="310"/>
      <c r="I1579" s="295"/>
      <c r="J1579" s="295"/>
      <c r="K1579" s="300">
        <f t="shared" si="177"/>
        <v>1.1000000000000001</v>
      </c>
      <c r="L1579" s="300">
        <f t="shared" si="178"/>
        <v>0</v>
      </c>
      <c r="M1579" s="285">
        <f t="shared" si="179"/>
        <v>0</v>
      </c>
      <c r="N1579" s="1076">
        <f t="shared" si="180"/>
        <v>0</v>
      </c>
      <c r="O1579" s="294"/>
      <c r="P1579" s="404"/>
      <c r="Q1579" s="404"/>
      <c r="R1579" s="301"/>
      <c r="S1579" s="301"/>
      <c r="T1579" s="301"/>
      <c r="U1579" s="301"/>
      <c r="V1579" s="301"/>
    </row>
    <row r="1580" spans="1:22" ht="14.4" thickTop="1" thickBot="1" x14ac:dyDescent="0.3">
      <c r="A1580" s="292"/>
      <c r="B1580" s="293"/>
      <c r="C1580" s="294"/>
      <c r="D1580" s="294"/>
      <c r="E1580" s="294"/>
      <c r="F1580" s="310"/>
      <c r="G1580" s="310"/>
      <c r="H1580" s="310"/>
      <c r="I1580" s="295"/>
      <c r="J1580" s="295"/>
      <c r="K1580" s="300">
        <f t="shared" si="177"/>
        <v>1.1000000000000001</v>
      </c>
      <c r="L1580" s="300">
        <f t="shared" si="178"/>
        <v>0</v>
      </c>
      <c r="M1580" s="285">
        <f t="shared" si="179"/>
        <v>0</v>
      </c>
      <c r="N1580" s="1076">
        <f t="shared" si="180"/>
        <v>0</v>
      </c>
      <c r="O1580" s="294"/>
      <c r="P1580" s="404"/>
      <c r="Q1580" s="404"/>
      <c r="R1580" s="301"/>
      <c r="S1580" s="301"/>
      <c r="T1580" s="301"/>
      <c r="U1580" s="301"/>
      <c r="V1580" s="301"/>
    </row>
    <row r="1581" spans="1:22" ht="14.4" thickTop="1" thickBot="1" x14ac:dyDescent="0.3">
      <c r="A1581" s="292"/>
      <c r="B1581" s="293"/>
      <c r="C1581" s="294"/>
      <c r="D1581" s="294"/>
      <c r="E1581" s="294"/>
      <c r="F1581" s="310"/>
      <c r="G1581" s="310"/>
      <c r="H1581" s="310"/>
      <c r="I1581" s="295"/>
      <c r="J1581" s="295"/>
      <c r="K1581" s="300">
        <f t="shared" si="177"/>
        <v>1.1000000000000001</v>
      </c>
      <c r="L1581" s="300">
        <f t="shared" si="178"/>
        <v>0</v>
      </c>
      <c r="M1581" s="285">
        <f t="shared" si="179"/>
        <v>0</v>
      </c>
      <c r="N1581" s="1076">
        <f t="shared" si="180"/>
        <v>0</v>
      </c>
      <c r="O1581" s="294"/>
      <c r="P1581" s="404"/>
      <c r="Q1581" s="404"/>
      <c r="R1581" s="301"/>
      <c r="S1581" s="301"/>
      <c r="T1581" s="301"/>
      <c r="U1581" s="301"/>
      <c r="V1581" s="301"/>
    </row>
    <row r="1582" spans="1:22" ht="14.4" thickTop="1" thickBot="1" x14ac:dyDescent="0.3">
      <c r="A1582" s="292"/>
      <c r="B1582" s="293"/>
      <c r="C1582" s="294"/>
      <c r="D1582" s="294"/>
      <c r="E1582" s="294"/>
      <c r="F1582" s="310"/>
      <c r="G1582" s="310"/>
      <c r="H1582" s="310"/>
      <c r="I1582" s="295"/>
      <c r="J1582" s="295"/>
      <c r="K1582" s="300">
        <f t="shared" si="177"/>
        <v>1.1000000000000001</v>
      </c>
      <c r="L1582" s="300">
        <f t="shared" si="178"/>
        <v>0</v>
      </c>
      <c r="M1582" s="285">
        <f t="shared" si="179"/>
        <v>0</v>
      </c>
      <c r="N1582" s="1076">
        <f t="shared" si="180"/>
        <v>0</v>
      </c>
      <c r="O1582" s="294"/>
      <c r="P1582" s="404"/>
      <c r="Q1582" s="404"/>
      <c r="R1582" s="301"/>
      <c r="S1582" s="301"/>
      <c r="T1582" s="301"/>
      <c r="U1582" s="301"/>
      <c r="V1582" s="301"/>
    </row>
    <row r="1583" spans="1:22" ht="14.4" thickTop="1" thickBot="1" x14ac:dyDescent="0.3">
      <c r="A1583" s="292"/>
      <c r="B1583" s="293"/>
      <c r="C1583" s="294"/>
      <c r="D1583" s="294"/>
      <c r="E1583" s="294"/>
      <c r="F1583" s="310"/>
      <c r="G1583" s="310"/>
      <c r="H1583" s="310"/>
      <c r="I1583" s="295"/>
      <c r="J1583" s="295"/>
      <c r="K1583" s="300">
        <f t="shared" si="177"/>
        <v>1.1000000000000001</v>
      </c>
      <c r="L1583" s="300">
        <f t="shared" si="178"/>
        <v>0</v>
      </c>
      <c r="M1583" s="285">
        <f t="shared" si="179"/>
        <v>0</v>
      </c>
      <c r="N1583" s="1076">
        <f t="shared" si="180"/>
        <v>0</v>
      </c>
      <c r="O1583" s="294"/>
      <c r="P1583" s="404"/>
      <c r="Q1583" s="404"/>
      <c r="R1583" s="301"/>
      <c r="S1583" s="301"/>
      <c r="T1583" s="301"/>
      <c r="U1583" s="301"/>
      <c r="V1583" s="301"/>
    </row>
    <row r="1584" spans="1:22" ht="14.4" thickTop="1" thickBot="1" x14ac:dyDescent="0.3">
      <c r="A1584" s="292"/>
      <c r="B1584" s="293"/>
      <c r="C1584" s="294"/>
      <c r="D1584" s="294"/>
      <c r="E1584" s="294"/>
      <c r="F1584" s="310"/>
      <c r="G1584" s="310"/>
      <c r="H1584" s="310"/>
      <c r="I1584" s="295"/>
      <c r="J1584" s="295"/>
      <c r="K1584" s="300">
        <f t="shared" si="177"/>
        <v>1.1000000000000001</v>
      </c>
      <c r="L1584" s="300">
        <f t="shared" si="178"/>
        <v>0</v>
      </c>
      <c r="M1584" s="285">
        <f t="shared" si="179"/>
        <v>0</v>
      </c>
      <c r="N1584" s="1076">
        <f t="shared" si="180"/>
        <v>0</v>
      </c>
      <c r="O1584" s="294"/>
      <c r="P1584" s="404"/>
      <c r="Q1584" s="404"/>
      <c r="R1584" s="301"/>
      <c r="S1584" s="301"/>
      <c r="T1584" s="301"/>
      <c r="U1584" s="301"/>
      <c r="V1584" s="301"/>
    </row>
    <row r="1585" spans="1:22" ht="14.4" thickTop="1" thickBot="1" x14ac:dyDescent="0.3">
      <c r="A1585" s="292"/>
      <c r="B1585" s="293"/>
      <c r="C1585" s="294"/>
      <c r="D1585" s="294"/>
      <c r="E1585" s="294"/>
      <c r="F1585" s="310"/>
      <c r="G1585" s="310"/>
      <c r="H1585" s="310"/>
      <c r="I1585" s="295"/>
      <c r="J1585" s="295"/>
      <c r="K1585" s="300">
        <f t="shared" si="177"/>
        <v>1.1000000000000001</v>
      </c>
      <c r="L1585" s="300">
        <f t="shared" si="178"/>
        <v>0</v>
      </c>
      <c r="M1585" s="285">
        <f t="shared" si="179"/>
        <v>0</v>
      </c>
      <c r="N1585" s="1076">
        <f t="shared" si="180"/>
        <v>0</v>
      </c>
      <c r="O1585" s="294"/>
      <c r="P1585" s="404"/>
      <c r="Q1585" s="404"/>
      <c r="R1585" s="301"/>
      <c r="S1585" s="301"/>
      <c r="T1585" s="301"/>
      <c r="U1585" s="301"/>
      <c r="V1585" s="301"/>
    </row>
    <row r="1586" spans="1:22" ht="14.4" thickTop="1" thickBot="1" x14ac:dyDescent="0.3">
      <c r="A1586" s="292"/>
      <c r="B1586" s="293"/>
      <c r="C1586" s="294"/>
      <c r="D1586" s="294"/>
      <c r="E1586" s="294"/>
      <c r="F1586" s="310"/>
      <c r="G1586" s="310"/>
      <c r="H1586" s="310"/>
      <c r="I1586" s="295"/>
      <c r="J1586" s="295"/>
      <c r="K1586" s="300">
        <f t="shared" si="177"/>
        <v>1.1000000000000001</v>
      </c>
      <c r="L1586" s="300">
        <f t="shared" si="178"/>
        <v>0</v>
      </c>
      <c r="M1586" s="285">
        <f t="shared" si="179"/>
        <v>0</v>
      </c>
      <c r="N1586" s="1076">
        <f t="shared" si="180"/>
        <v>0</v>
      </c>
      <c r="O1586" s="294"/>
      <c r="P1586" s="404"/>
      <c r="Q1586" s="404"/>
      <c r="R1586" s="301"/>
      <c r="S1586" s="301"/>
      <c r="T1586" s="301"/>
      <c r="U1586" s="301"/>
      <c r="V1586" s="301"/>
    </row>
    <row r="1587" spans="1:22" ht="14.4" thickTop="1" thickBot="1" x14ac:dyDescent="0.3">
      <c r="A1587" s="292"/>
      <c r="B1587" s="293"/>
      <c r="C1587" s="294"/>
      <c r="D1587" s="294"/>
      <c r="E1587" s="294"/>
      <c r="F1587" s="310"/>
      <c r="G1587" s="310"/>
      <c r="H1587" s="310"/>
      <c r="I1587" s="295"/>
      <c r="J1587" s="295"/>
      <c r="K1587" s="300">
        <f t="shared" si="177"/>
        <v>1.1000000000000001</v>
      </c>
      <c r="L1587" s="300">
        <f t="shared" si="178"/>
        <v>0</v>
      </c>
      <c r="M1587" s="285">
        <f t="shared" si="179"/>
        <v>0</v>
      </c>
      <c r="N1587" s="1076">
        <f t="shared" si="180"/>
        <v>0</v>
      </c>
      <c r="O1587" s="294"/>
      <c r="P1587" s="404"/>
      <c r="Q1587" s="404"/>
      <c r="R1587" s="301"/>
      <c r="S1587" s="301"/>
      <c r="T1587" s="301"/>
      <c r="U1587" s="301"/>
      <c r="V1587" s="301"/>
    </row>
    <row r="1588" spans="1:22" ht="14.4" thickTop="1" thickBot="1" x14ac:dyDescent="0.3">
      <c r="A1588" s="292"/>
      <c r="B1588" s="293"/>
      <c r="C1588" s="294"/>
      <c r="D1588" s="294"/>
      <c r="E1588" s="294"/>
      <c r="F1588" s="310"/>
      <c r="G1588" s="310"/>
      <c r="H1588" s="310"/>
      <c r="I1588" s="295"/>
      <c r="J1588" s="295"/>
      <c r="K1588" s="300">
        <f t="shared" si="177"/>
        <v>1.1000000000000001</v>
      </c>
      <c r="L1588" s="300">
        <f t="shared" si="178"/>
        <v>0</v>
      </c>
      <c r="M1588" s="285">
        <f t="shared" si="179"/>
        <v>0</v>
      </c>
      <c r="N1588" s="1076">
        <f t="shared" si="180"/>
        <v>0</v>
      </c>
      <c r="O1588" s="294"/>
      <c r="P1588" s="404"/>
      <c r="Q1588" s="404"/>
      <c r="R1588" s="301"/>
      <c r="S1588" s="301"/>
      <c r="T1588" s="301"/>
      <c r="U1588" s="301"/>
      <c r="V1588" s="301"/>
    </row>
    <row r="1589" spans="1:22" ht="14.4" thickTop="1" thickBot="1" x14ac:dyDescent="0.3">
      <c r="A1589" s="292"/>
      <c r="B1589" s="293"/>
      <c r="C1589" s="294"/>
      <c r="D1589" s="294"/>
      <c r="E1589" s="294"/>
      <c r="F1589" s="310"/>
      <c r="G1589" s="310"/>
      <c r="H1589" s="310"/>
      <c r="I1589" s="295"/>
      <c r="J1589" s="295"/>
      <c r="K1589" s="300">
        <f t="shared" si="177"/>
        <v>1.1000000000000001</v>
      </c>
      <c r="L1589" s="300">
        <f t="shared" si="178"/>
        <v>0</v>
      </c>
      <c r="M1589" s="285">
        <f t="shared" si="179"/>
        <v>0</v>
      </c>
      <c r="N1589" s="1076">
        <f t="shared" si="180"/>
        <v>0</v>
      </c>
      <c r="O1589" s="294"/>
      <c r="P1589" s="404"/>
      <c r="Q1589" s="404"/>
      <c r="R1589" s="301"/>
      <c r="S1589" s="301"/>
      <c r="T1589" s="301"/>
      <c r="U1589" s="301"/>
      <c r="V1589" s="301"/>
    </row>
    <row r="1590" spans="1:22" ht="14.4" thickTop="1" thickBot="1" x14ac:dyDescent="0.3">
      <c r="A1590" s="292"/>
      <c r="B1590" s="293"/>
      <c r="C1590" s="294"/>
      <c r="D1590" s="294"/>
      <c r="E1590" s="294"/>
      <c r="F1590" s="310"/>
      <c r="G1590" s="310"/>
      <c r="H1590" s="310"/>
      <c r="I1590" s="295"/>
      <c r="J1590" s="295"/>
      <c r="K1590" s="300">
        <f t="shared" si="177"/>
        <v>1.1000000000000001</v>
      </c>
      <c r="L1590" s="300">
        <f t="shared" si="178"/>
        <v>0</v>
      </c>
      <c r="M1590" s="285">
        <f t="shared" si="179"/>
        <v>0</v>
      </c>
      <c r="N1590" s="1076">
        <f t="shared" si="180"/>
        <v>0</v>
      </c>
      <c r="O1590" s="294"/>
      <c r="P1590" s="404"/>
      <c r="Q1590" s="404"/>
      <c r="R1590" s="301"/>
      <c r="S1590" s="301"/>
      <c r="T1590" s="301"/>
      <c r="U1590" s="301"/>
      <c r="V1590" s="301"/>
    </row>
    <row r="1591" spans="1:22" ht="14.4" thickTop="1" thickBot="1" x14ac:dyDescent="0.3">
      <c r="A1591" s="292"/>
      <c r="B1591" s="293"/>
      <c r="C1591" s="294"/>
      <c r="D1591" s="294"/>
      <c r="E1591" s="294"/>
      <c r="F1591" s="310"/>
      <c r="G1591" s="310"/>
      <c r="H1591" s="310"/>
      <c r="I1591" s="295"/>
      <c r="J1591" s="295"/>
      <c r="K1591" s="300">
        <f t="shared" si="177"/>
        <v>1.1000000000000001</v>
      </c>
      <c r="L1591" s="300">
        <f t="shared" si="178"/>
        <v>0</v>
      </c>
      <c r="M1591" s="285">
        <f t="shared" si="179"/>
        <v>0</v>
      </c>
      <c r="N1591" s="1076">
        <f t="shared" si="180"/>
        <v>0</v>
      </c>
      <c r="O1591" s="294"/>
      <c r="P1591" s="404"/>
      <c r="Q1591" s="404"/>
      <c r="R1591" s="301"/>
      <c r="S1591" s="301"/>
      <c r="T1591" s="301"/>
      <c r="U1591" s="301"/>
      <c r="V1591" s="301"/>
    </row>
    <row r="1592" spans="1:22" ht="14.4" thickTop="1" thickBot="1" x14ac:dyDescent="0.3">
      <c r="A1592" s="292"/>
      <c r="B1592" s="293"/>
      <c r="C1592" s="294"/>
      <c r="D1592" s="294"/>
      <c r="E1592" s="294"/>
      <c r="F1592" s="310"/>
      <c r="G1592" s="310"/>
      <c r="H1592" s="310"/>
      <c r="I1592" s="295"/>
      <c r="J1592" s="295"/>
      <c r="K1592" s="300">
        <f t="shared" si="177"/>
        <v>1.1000000000000001</v>
      </c>
      <c r="L1592" s="300">
        <f t="shared" si="178"/>
        <v>0</v>
      </c>
      <c r="M1592" s="285">
        <f t="shared" si="179"/>
        <v>0</v>
      </c>
      <c r="N1592" s="1076">
        <f t="shared" si="180"/>
        <v>0</v>
      </c>
      <c r="O1592" s="294"/>
      <c r="P1592" s="404"/>
      <c r="Q1592" s="404"/>
      <c r="R1592" s="301"/>
      <c r="S1592" s="301"/>
      <c r="T1592" s="301"/>
      <c r="U1592" s="301"/>
      <c r="V1592" s="301"/>
    </row>
    <row r="1593" spans="1:22" ht="14.4" thickTop="1" thickBot="1" x14ac:dyDescent="0.3">
      <c r="A1593" s="292"/>
      <c r="B1593" s="293"/>
      <c r="C1593" s="294"/>
      <c r="D1593" s="294"/>
      <c r="E1593" s="294"/>
      <c r="F1593" s="310"/>
      <c r="G1593" s="310"/>
      <c r="H1593" s="310"/>
      <c r="I1593" s="295"/>
      <c r="J1593" s="295"/>
      <c r="K1593" s="300">
        <f t="shared" si="177"/>
        <v>1.1000000000000001</v>
      </c>
      <c r="L1593" s="300">
        <f t="shared" si="178"/>
        <v>0</v>
      </c>
      <c r="M1593" s="285">
        <f t="shared" si="179"/>
        <v>0</v>
      </c>
      <c r="N1593" s="1076">
        <f t="shared" si="180"/>
        <v>0</v>
      </c>
      <c r="O1593" s="294"/>
      <c r="P1593" s="404"/>
      <c r="Q1593" s="404"/>
      <c r="R1593" s="301"/>
      <c r="S1593" s="301"/>
      <c r="T1593" s="301"/>
      <c r="U1593" s="301"/>
      <c r="V1593" s="301"/>
    </row>
    <row r="1594" spans="1:22" ht="14.4" thickTop="1" thickBot="1" x14ac:dyDescent="0.3">
      <c r="A1594" s="292"/>
      <c r="B1594" s="293"/>
      <c r="C1594" s="294"/>
      <c r="D1594" s="294"/>
      <c r="E1594" s="294"/>
      <c r="F1594" s="310"/>
      <c r="G1594" s="310"/>
      <c r="H1594" s="310"/>
      <c r="I1594" s="295"/>
      <c r="J1594" s="295"/>
      <c r="K1594" s="300">
        <f t="shared" si="177"/>
        <v>1.1000000000000001</v>
      </c>
      <c r="L1594" s="300">
        <f t="shared" si="178"/>
        <v>0</v>
      </c>
      <c r="M1594" s="285">
        <f t="shared" si="179"/>
        <v>0</v>
      </c>
      <c r="N1594" s="1076">
        <f t="shared" si="180"/>
        <v>0</v>
      </c>
      <c r="O1594" s="294"/>
      <c r="P1594" s="404"/>
      <c r="Q1594" s="404"/>
      <c r="R1594" s="301"/>
      <c r="S1594" s="301"/>
      <c r="T1594" s="301"/>
      <c r="U1594" s="301"/>
      <c r="V1594" s="301"/>
    </row>
    <row r="1595" spans="1:22" ht="14.4" thickTop="1" thickBot="1" x14ac:dyDescent="0.3">
      <c r="A1595" s="292"/>
      <c r="B1595" s="293"/>
      <c r="C1595" s="294"/>
      <c r="D1595" s="294"/>
      <c r="E1595" s="294"/>
      <c r="F1595" s="310"/>
      <c r="G1595" s="310"/>
      <c r="H1595" s="310"/>
      <c r="I1595" s="295"/>
      <c r="J1595" s="295"/>
      <c r="K1595" s="300">
        <f t="shared" si="177"/>
        <v>1.1000000000000001</v>
      </c>
      <c r="L1595" s="300">
        <f t="shared" si="178"/>
        <v>0</v>
      </c>
      <c r="M1595" s="285">
        <f t="shared" si="179"/>
        <v>0</v>
      </c>
      <c r="N1595" s="1076">
        <f t="shared" si="180"/>
        <v>0</v>
      </c>
      <c r="O1595" s="294"/>
      <c r="P1595" s="404"/>
      <c r="Q1595" s="404"/>
      <c r="R1595" s="301"/>
      <c r="S1595" s="301"/>
      <c r="T1595" s="301"/>
      <c r="U1595" s="301"/>
      <c r="V1595" s="301"/>
    </row>
    <row r="1596" spans="1:22" ht="14.4" thickTop="1" thickBot="1" x14ac:dyDescent="0.3">
      <c r="A1596" s="292"/>
      <c r="B1596" s="293"/>
      <c r="C1596" s="294"/>
      <c r="D1596" s="294"/>
      <c r="E1596" s="294"/>
      <c r="F1596" s="310"/>
      <c r="G1596" s="310"/>
      <c r="H1596" s="310"/>
      <c r="I1596" s="295"/>
      <c r="J1596" s="295"/>
      <c r="K1596" s="300">
        <f t="shared" si="177"/>
        <v>1.1000000000000001</v>
      </c>
      <c r="L1596" s="300">
        <f t="shared" si="178"/>
        <v>0</v>
      </c>
      <c r="M1596" s="285">
        <f t="shared" si="179"/>
        <v>0</v>
      </c>
      <c r="N1596" s="1076">
        <f t="shared" si="180"/>
        <v>0</v>
      </c>
      <c r="O1596" s="294"/>
      <c r="P1596" s="404"/>
      <c r="Q1596" s="404"/>
      <c r="R1596" s="301"/>
      <c r="S1596" s="301"/>
      <c r="T1596" s="301"/>
      <c r="U1596" s="301"/>
      <c r="V1596" s="301"/>
    </row>
    <row r="1597" spans="1:22" ht="14.4" thickTop="1" thickBot="1" x14ac:dyDescent="0.3">
      <c r="A1597" s="292"/>
      <c r="B1597" s="293"/>
      <c r="C1597" s="294"/>
      <c r="D1597" s="294"/>
      <c r="E1597" s="294"/>
      <c r="F1597" s="310"/>
      <c r="G1597" s="310"/>
      <c r="H1597" s="310"/>
      <c r="I1597" s="295"/>
      <c r="J1597" s="295"/>
      <c r="K1597" s="300">
        <f t="shared" si="177"/>
        <v>1.1000000000000001</v>
      </c>
      <c r="L1597" s="300">
        <f t="shared" si="178"/>
        <v>0</v>
      </c>
      <c r="M1597" s="285">
        <f t="shared" si="179"/>
        <v>0</v>
      </c>
      <c r="N1597" s="1076">
        <f t="shared" si="180"/>
        <v>0</v>
      </c>
      <c r="O1597" s="294"/>
      <c r="P1597" s="404"/>
      <c r="Q1597" s="404"/>
      <c r="R1597" s="301"/>
      <c r="S1597" s="301"/>
      <c r="T1597" s="301"/>
      <c r="U1597" s="301"/>
      <c r="V1597" s="301"/>
    </row>
    <row r="1598" spans="1:22" ht="14.4" thickTop="1" thickBot="1" x14ac:dyDescent="0.3">
      <c r="A1598" s="292"/>
      <c r="B1598" s="293"/>
      <c r="C1598" s="294"/>
      <c r="D1598" s="294"/>
      <c r="E1598" s="294"/>
      <c r="F1598" s="310"/>
      <c r="G1598" s="310"/>
      <c r="H1598" s="310"/>
      <c r="I1598" s="295"/>
      <c r="J1598" s="295"/>
      <c r="K1598" s="300">
        <f t="shared" si="177"/>
        <v>1.1000000000000001</v>
      </c>
      <c r="L1598" s="300">
        <f t="shared" si="178"/>
        <v>0</v>
      </c>
      <c r="M1598" s="285">
        <f t="shared" si="179"/>
        <v>0</v>
      </c>
      <c r="N1598" s="1076">
        <f t="shared" si="180"/>
        <v>0</v>
      </c>
      <c r="O1598" s="294"/>
      <c r="P1598" s="404"/>
      <c r="Q1598" s="404"/>
      <c r="R1598" s="301"/>
      <c r="S1598" s="301"/>
      <c r="T1598" s="301"/>
      <c r="U1598" s="301"/>
      <c r="V1598" s="301"/>
    </row>
    <row r="1599" spans="1:22" ht="14.4" thickTop="1" thickBot="1" x14ac:dyDescent="0.3">
      <c r="A1599" s="292"/>
      <c r="B1599" s="293"/>
      <c r="C1599" s="294"/>
      <c r="D1599" s="294"/>
      <c r="E1599" s="294"/>
      <c r="F1599" s="310"/>
      <c r="G1599" s="310"/>
      <c r="H1599" s="310"/>
      <c r="I1599" s="295"/>
      <c r="J1599" s="295"/>
      <c r="K1599" s="300">
        <f t="shared" si="177"/>
        <v>1.1000000000000001</v>
      </c>
      <c r="L1599" s="300">
        <f t="shared" si="178"/>
        <v>0</v>
      </c>
      <c r="M1599" s="285">
        <f t="shared" si="179"/>
        <v>0</v>
      </c>
      <c r="N1599" s="1076">
        <f t="shared" si="180"/>
        <v>0</v>
      </c>
      <c r="O1599" s="294"/>
      <c r="P1599" s="404"/>
      <c r="Q1599" s="404"/>
      <c r="R1599" s="301"/>
      <c r="S1599" s="301"/>
      <c r="T1599" s="301"/>
      <c r="U1599" s="301"/>
      <c r="V1599" s="301"/>
    </row>
    <row r="1600" spans="1:22" ht="14.4" thickTop="1" thickBot="1" x14ac:dyDescent="0.3">
      <c r="A1600" s="292"/>
      <c r="B1600" s="293"/>
      <c r="C1600" s="294"/>
      <c r="D1600" s="294"/>
      <c r="E1600" s="294"/>
      <c r="F1600" s="310"/>
      <c r="G1600" s="310"/>
      <c r="H1600" s="310"/>
      <c r="I1600" s="295"/>
      <c r="J1600" s="295"/>
      <c r="K1600" s="300">
        <f t="shared" si="177"/>
        <v>1.1000000000000001</v>
      </c>
      <c r="L1600" s="300">
        <f t="shared" si="178"/>
        <v>0</v>
      </c>
      <c r="M1600" s="285">
        <f t="shared" si="179"/>
        <v>0</v>
      </c>
      <c r="N1600" s="1076">
        <f t="shared" si="180"/>
        <v>0</v>
      </c>
      <c r="O1600" s="294"/>
      <c r="P1600" s="404"/>
      <c r="Q1600" s="404"/>
      <c r="R1600" s="301"/>
      <c r="S1600" s="301"/>
      <c r="T1600" s="301"/>
      <c r="U1600" s="301"/>
      <c r="V1600" s="301"/>
    </row>
    <row r="1601" spans="1:22" ht="14.4" thickTop="1" thickBot="1" x14ac:dyDescent="0.3">
      <c r="A1601" s="292"/>
      <c r="B1601" s="293"/>
      <c r="C1601" s="294"/>
      <c r="D1601" s="294"/>
      <c r="E1601" s="294"/>
      <c r="F1601" s="310"/>
      <c r="G1601" s="310"/>
      <c r="H1601" s="310"/>
      <c r="I1601" s="295"/>
      <c r="J1601" s="295"/>
      <c r="K1601" s="300">
        <f t="shared" si="177"/>
        <v>1.1000000000000001</v>
      </c>
      <c r="L1601" s="300">
        <f t="shared" si="178"/>
        <v>0</v>
      </c>
      <c r="M1601" s="285">
        <f t="shared" si="179"/>
        <v>0</v>
      </c>
      <c r="N1601" s="1076">
        <f t="shared" si="180"/>
        <v>0</v>
      </c>
      <c r="O1601" s="294"/>
      <c r="P1601" s="404"/>
      <c r="Q1601" s="404"/>
      <c r="R1601" s="301"/>
      <c r="S1601" s="301"/>
      <c r="T1601" s="301"/>
      <c r="U1601" s="301"/>
      <c r="V1601" s="301"/>
    </row>
    <row r="1602" spans="1:22" ht="14.4" thickTop="1" thickBot="1" x14ac:dyDescent="0.3">
      <c r="A1602" s="292"/>
      <c r="B1602" s="293"/>
      <c r="C1602" s="294"/>
      <c r="D1602" s="294"/>
      <c r="E1602" s="294"/>
      <c r="F1602" s="310"/>
      <c r="G1602" s="310"/>
      <c r="H1602" s="310"/>
      <c r="I1602" s="295"/>
      <c r="J1602" s="295"/>
      <c r="K1602" s="300">
        <f t="shared" si="177"/>
        <v>1.1000000000000001</v>
      </c>
      <c r="L1602" s="300">
        <f t="shared" si="178"/>
        <v>0</v>
      </c>
      <c r="M1602" s="285">
        <f t="shared" si="179"/>
        <v>0</v>
      </c>
      <c r="N1602" s="1076">
        <f t="shared" si="180"/>
        <v>0</v>
      </c>
      <c r="O1602" s="294"/>
      <c r="P1602" s="404"/>
      <c r="Q1602" s="404"/>
      <c r="R1602" s="301"/>
      <c r="S1602" s="301"/>
      <c r="T1602" s="301"/>
      <c r="U1602" s="301"/>
      <c r="V1602" s="301"/>
    </row>
    <row r="1603" spans="1:22" ht="14.4" thickTop="1" thickBot="1" x14ac:dyDescent="0.3">
      <c r="A1603" s="292"/>
      <c r="B1603" s="293"/>
      <c r="C1603" s="294"/>
      <c r="D1603" s="294"/>
      <c r="E1603" s="294"/>
      <c r="F1603" s="310"/>
      <c r="G1603" s="310"/>
      <c r="H1603" s="310"/>
      <c r="I1603" s="295"/>
      <c r="J1603" s="295"/>
      <c r="K1603" s="300">
        <f t="shared" si="177"/>
        <v>1.1000000000000001</v>
      </c>
      <c r="L1603" s="300">
        <f t="shared" si="178"/>
        <v>0</v>
      </c>
      <c r="M1603" s="285">
        <f t="shared" si="179"/>
        <v>0</v>
      </c>
      <c r="N1603" s="1076">
        <f t="shared" si="180"/>
        <v>0</v>
      </c>
      <c r="O1603" s="294"/>
      <c r="P1603" s="404"/>
      <c r="Q1603" s="404"/>
      <c r="R1603" s="301"/>
      <c r="S1603" s="301"/>
      <c r="T1603" s="301"/>
      <c r="U1603" s="301"/>
      <c r="V1603" s="301"/>
    </row>
    <row r="1604" spans="1:22" ht="14.4" thickTop="1" thickBot="1" x14ac:dyDescent="0.3">
      <c r="A1604" s="292"/>
      <c r="B1604" s="293"/>
      <c r="C1604" s="294"/>
      <c r="D1604" s="294"/>
      <c r="E1604" s="294"/>
      <c r="F1604" s="310"/>
      <c r="G1604" s="310"/>
      <c r="H1604" s="310"/>
      <c r="I1604" s="295"/>
      <c r="J1604" s="295"/>
      <c r="K1604" s="300">
        <f t="shared" si="177"/>
        <v>1.1000000000000001</v>
      </c>
      <c r="L1604" s="300">
        <f t="shared" si="178"/>
        <v>0</v>
      </c>
      <c r="M1604" s="285">
        <f t="shared" si="179"/>
        <v>0</v>
      </c>
      <c r="N1604" s="1076">
        <f t="shared" si="180"/>
        <v>0</v>
      </c>
      <c r="O1604" s="294"/>
      <c r="P1604" s="404"/>
      <c r="Q1604" s="404"/>
      <c r="R1604" s="301"/>
      <c r="S1604" s="301"/>
      <c r="T1604" s="301"/>
      <c r="U1604" s="301"/>
      <c r="V1604" s="301"/>
    </row>
    <row r="1605" spans="1:22" ht="14.4" thickTop="1" thickBot="1" x14ac:dyDescent="0.3">
      <c r="A1605" s="292"/>
      <c r="B1605" s="293"/>
      <c r="C1605" s="294"/>
      <c r="D1605" s="294"/>
      <c r="E1605" s="294"/>
      <c r="F1605" s="310"/>
      <c r="G1605" s="310"/>
      <c r="H1605" s="310"/>
      <c r="I1605" s="295"/>
      <c r="J1605" s="295"/>
      <c r="K1605" s="300">
        <f t="shared" si="177"/>
        <v>1.1000000000000001</v>
      </c>
      <c r="L1605" s="300">
        <f t="shared" si="178"/>
        <v>0</v>
      </c>
      <c r="M1605" s="285">
        <f t="shared" si="179"/>
        <v>0</v>
      </c>
      <c r="N1605" s="1076">
        <f t="shared" si="180"/>
        <v>0</v>
      </c>
      <c r="O1605" s="294"/>
      <c r="P1605" s="404"/>
      <c r="Q1605" s="404"/>
      <c r="R1605" s="301"/>
      <c r="S1605" s="301"/>
      <c r="T1605" s="301"/>
      <c r="U1605" s="301"/>
      <c r="V1605" s="301"/>
    </row>
    <row r="1606" spans="1:22" ht="14.4" thickTop="1" thickBot="1" x14ac:dyDescent="0.3">
      <c r="A1606" s="292"/>
      <c r="B1606" s="293"/>
      <c r="C1606" s="294"/>
      <c r="D1606" s="294"/>
      <c r="E1606" s="294"/>
      <c r="F1606" s="310"/>
      <c r="G1606" s="310"/>
      <c r="H1606" s="310"/>
      <c r="I1606" s="295"/>
      <c r="J1606" s="295"/>
      <c r="K1606" s="300">
        <f t="shared" ref="K1606:K1659" si="181">$K$2</f>
        <v>1.1000000000000001</v>
      </c>
      <c r="L1606" s="300">
        <f t="shared" ref="L1606" si="182">K1606*J1606</f>
        <v>0</v>
      </c>
      <c r="M1606" s="285">
        <f t="shared" ref="M1606" si="183">ROUND(L1606,1)</f>
        <v>0</v>
      </c>
      <c r="N1606" s="1076">
        <f t="shared" ref="N1606" si="184">ROUNDUP(M1606,0)</f>
        <v>0</v>
      </c>
      <c r="O1606" s="294"/>
      <c r="P1606" s="404"/>
      <c r="Q1606" s="404"/>
      <c r="R1606" s="301"/>
      <c r="S1606" s="301"/>
      <c r="T1606" s="301"/>
      <c r="U1606" s="301"/>
      <c r="V1606" s="301"/>
    </row>
    <row r="1607" spans="1:22" ht="14.4" thickTop="1" thickBot="1" x14ac:dyDescent="0.3">
      <c r="A1607" s="292"/>
      <c r="B1607" s="302" t="s">
        <v>574</v>
      </c>
      <c r="C1607" s="294"/>
      <c r="D1607" s="294"/>
      <c r="E1607" s="294"/>
      <c r="F1607" s="310"/>
      <c r="G1607" s="310"/>
      <c r="H1607" s="310"/>
      <c r="I1607" s="295"/>
      <c r="J1607" s="295"/>
      <c r="K1607" s="300">
        <f t="shared" si="181"/>
        <v>1.1000000000000001</v>
      </c>
      <c r="L1607" s="300">
        <f t="shared" si="40"/>
        <v>0</v>
      </c>
      <c r="M1607" s="285">
        <f t="shared" si="41"/>
        <v>0</v>
      </c>
      <c r="N1607" s="1076">
        <f t="shared" si="42"/>
        <v>0</v>
      </c>
      <c r="O1607" s="294"/>
      <c r="P1607" s="404"/>
      <c r="Q1607" s="404"/>
      <c r="R1607" s="301"/>
      <c r="S1607" s="301"/>
      <c r="T1607" s="301"/>
      <c r="U1607" s="301"/>
      <c r="V1607" s="301"/>
    </row>
    <row r="1608" spans="1:22" ht="14.4" thickTop="1" thickBot="1" x14ac:dyDescent="0.3">
      <c r="A1608" s="292"/>
      <c r="B1608" s="293"/>
      <c r="C1608" s="294"/>
      <c r="D1608" s="294"/>
      <c r="E1608" s="294"/>
      <c r="F1608" s="310"/>
      <c r="G1608" s="310"/>
      <c r="H1608" s="310"/>
      <c r="I1608" s="295"/>
      <c r="J1608" s="295"/>
      <c r="K1608" s="300">
        <f t="shared" si="181"/>
        <v>1.1000000000000001</v>
      </c>
      <c r="L1608" s="300">
        <f t="shared" si="40"/>
        <v>0</v>
      </c>
      <c r="M1608" s="285">
        <f t="shared" si="41"/>
        <v>0</v>
      </c>
      <c r="N1608" s="1076">
        <f t="shared" si="42"/>
        <v>0</v>
      </c>
      <c r="O1608" s="294"/>
      <c r="P1608" s="404"/>
      <c r="Q1608" s="404"/>
      <c r="R1608" s="301"/>
      <c r="S1608" s="301"/>
      <c r="T1608" s="301"/>
      <c r="U1608" s="301"/>
      <c r="V1608" s="301"/>
    </row>
    <row r="1609" spans="1:22" ht="14.4" thickTop="1" thickBot="1" x14ac:dyDescent="0.3">
      <c r="A1609" s="292"/>
      <c r="B1609" s="296" t="s">
        <v>1850</v>
      </c>
      <c r="C1609" s="294"/>
      <c r="D1609" s="294"/>
      <c r="E1609" s="294"/>
      <c r="F1609" s="310">
        <v>19.28</v>
      </c>
      <c r="G1609" s="310"/>
      <c r="H1609" s="310">
        <v>4.2</v>
      </c>
      <c r="I1609" s="295">
        <f>H1609*F1609</f>
        <v>80.976000000000013</v>
      </c>
      <c r="J1609" s="295"/>
      <c r="K1609" s="300">
        <f t="shared" si="181"/>
        <v>1.1000000000000001</v>
      </c>
      <c r="L1609" s="300">
        <f t="shared" si="40"/>
        <v>0</v>
      </c>
      <c r="M1609" s="285">
        <f t="shared" si="41"/>
        <v>0</v>
      </c>
      <c r="N1609" s="1076">
        <f t="shared" si="42"/>
        <v>0</v>
      </c>
      <c r="O1609" s="294"/>
      <c r="P1609" s="404"/>
      <c r="Q1609" s="404"/>
      <c r="R1609" s="301"/>
      <c r="S1609" s="301"/>
      <c r="T1609" s="301"/>
      <c r="U1609" s="301"/>
      <c r="V1609" s="301"/>
    </row>
    <row r="1610" spans="1:22" ht="14.4" thickTop="1" thickBot="1" x14ac:dyDescent="0.3">
      <c r="A1610" s="292"/>
      <c r="B1610" s="293"/>
      <c r="C1610" s="294"/>
      <c r="D1610" s="294"/>
      <c r="E1610" s="294"/>
      <c r="F1610" s="310">
        <v>2.0550000000000002</v>
      </c>
      <c r="G1610" s="310"/>
      <c r="H1610" s="310">
        <v>4.2</v>
      </c>
      <c r="I1610" s="295">
        <f t="shared" ref="I1610:I1629" si="185">H1610*F1610</f>
        <v>8.6310000000000002</v>
      </c>
      <c r="J1610" s="295"/>
      <c r="K1610" s="300">
        <f t="shared" si="181"/>
        <v>1.1000000000000001</v>
      </c>
      <c r="L1610" s="300">
        <f t="shared" si="40"/>
        <v>0</v>
      </c>
      <c r="M1610" s="285">
        <f t="shared" si="41"/>
        <v>0</v>
      </c>
      <c r="N1610" s="1076">
        <f t="shared" si="42"/>
        <v>0</v>
      </c>
      <c r="O1610" s="294"/>
      <c r="P1610" s="404"/>
      <c r="Q1610" s="404"/>
      <c r="R1610" s="301"/>
      <c r="S1610" s="301"/>
      <c r="T1610" s="301"/>
      <c r="U1610" s="301"/>
      <c r="V1610" s="301"/>
    </row>
    <row r="1611" spans="1:22" ht="14.4" thickTop="1" thickBot="1" x14ac:dyDescent="0.3">
      <c r="A1611" s="292"/>
      <c r="B1611" s="293"/>
      <c r="C1611" s="294"/>
      <c r="D1611" s="294"/>
      <c r="E1611" s="294"/>
      <c r="F1611" s="310">
        <v>12.72</v>
      </c>
      <c r="G1611" s="310"/>
      <c r="H1611" s="310">
        <v>4.2</v>
      </c>
      <c r="I1611" s="295">
        <f t="shared" si="185"/>
        <v>53.424000000000007</v>
      </c>
      <c r="J1611" s="295"/>
      <c r="K1611" s="300">
        <f t="shared" si="181"/>
        <v>1.1000000000000001</v>
      </c>
      <c r="L1611" s="300">
        <f t="shared" si="40"/>
        <v>0</v>
      </c>
      <c r="M1611" s="285">
        <f t="shared" si="41"/>
        <v>0</v>
      </c>
      <c r="N1611" s="1076">
        <f t="shared" si="42"/>
        <v>0</v>
      </c>
      <c r="O1611" s="294"/>
      <c r="P1611" s="404"/>
      <c r="Q1611" s="404"/>
      <c r="R1611" s="301"/>
      <c r="S1611" s="301"/>
      <c r="T1611" s="301"/>
      <c r="U1611" s="301"/>
      <c r="V1611" s="301"/>
    </row>
    <row r="1612" spans="1:22" ht="14.4" thickTop="1" thickBot="1" x14ac:dyDescent="0.3">
      <c r="A1612" s="292"/>
      <c r="B1612" s="293"/>
      <c r="C1612" s="294"/>
      <c r="D1612" s="294"/>
      <c r="E1612" s="294"/>
      <c r="F1612" s="310">
        <v>5.18</v>
      </c>
      <c r="G1612" s="310"/>
      <c r="H1612" s="310">
        <v>4.2</v>
      </c>
      <c r="I1612" s="295">
        <f t="shared" si="185"/>
        <v>21.756</v>
      </c>
      <c r="J1612" s="295"/>
      <c r="K1612" s="300">
        <f t="shared" si="181"/>
        <v>1.1000000000000001</v>
      </c>
      <c r="L1612" s="300">
        <f t="shared" si="40"/>
        <v>0</v>
      </c>
      <c r="M1612" s="285">
        <f t="shared" si="41"/>
        <v>0</v>
      </c>
      <c r="N1612" s="1076">
        <f t="shared" si="42"/>
        <v>0</v>
      </c>
      <c r="O1612" s="294"/>
      <c r="P1612" s="404"/>
      <c r="Q1612" s="404"/>
      <c r="R1612" s="301"/>
      <c r="S1612" s="301"/>
      <c r="T1612" s="301"/>
      <c r="U1612" s="301"/>
      <c r="V1612" s="301"/>
    </row>
    <row r="1613" spans="1:22" ht="14.4" thickTop="1" thickBot="1" x14ac:dyDescent="0.3">
      <c r="A1613" s="292"/>
      <c r="B1613" s="293"/>
      <c r="C1613" s="294"/>
      <c r="D1613" s="294"/>
      <c r="E1613" s="294">
        <v>2</v>
      </c>
      <c r="F1613" s="310">
        <v>5.6449999999999996</v>
      </c>
      <c r="G1613" s="310"/>
      <c r="H1613" s="310">
        <v>4.2</v>
      </c>
      <c r="I1613" s="295">
        <f>H1613*F1613*E1613</f>
        <v>47.417999999999999</v>
      </c>
      <c r="J1613" s="295"/>
      <c r="K1613" s="300">
        <f t="shared" si="181"/>
        <v>1.1000000000000001</v>
      </c>
      <c r="L1613" s="300">
        <f t="shared" si="40"/>
        <v>0</v>
      </c>
      <c r="M1613" s="285">
        <f t="shared" si="41"/>
        <v>0</v>
      </c>
      <c r="N1613" s="1076">
        <f t="shared" si="42"/>
        <v>0</v>
      </c>
      <c r="O1613" s="294"/>
      <c r="P1613" s="404"/>
      <c r="Q1613" s="404"/>
      <c r="R1613" s="301"/>
      <c r="S1613" s="301"/>
      <c r="T1613" s="301"/>
      <c r="U1613" s="301"/>
      <c r="V1613" s="301"/>
    </row>
    <row r="1614" spans="1:22" ht="14.4" thickTop="1" thickBot="1" x14ac:dyDescent="0.3">
      <c r="A1614" s="292"/>
      <c r="B1614" s="293"/>
      <c r="C1614" s="294"/>
      <c r="D1614" s="294"/>
      <c r="E1614" s="294"/>
      <c r="F1614" s="310">
        <v>3.05</v>
      </c>
      <c r="G1614" s="310"/>
      <c r="H1614" s="310">
        <v>4.2</v>
      </c>
      <c r="I1614" s="295">
        <f t="shared" si="185"/>
        <v>12.81</v>
      </c>
      <c r="J1614" s="295"/>
      <c r="K1614" s="300">
        <f t="shared" si="181"/>
        <v>1.1000000000000001</v>
      </c>
      <c r="L1614" s="300">
        <f t="shared" si="40"/>
        <v>0</v>
      </c>
      <c r="M1614" s="285">
        <f t="shared" si="41"/>
        <v>0</v>
      </c>
      <c r="N1614" s="1076">
        <f t="shared" si="42"/>
        <v>0</v>
      </c>
      <c r="O1614" s="294"/>
      <c r="P1614" s="404"/>
      <c r="Q1614" s="404"/>
      <c r="R1614" s="301"/>
      <c r="S1614" s="301"/>
      <c r="T1614" s="301"/>
      <c r="U1614" s="301"/>
      <c r="V1614" s="301"/>
    </row>
    <row r="1615" spans="1:22" ht="14.4" thickTop="1" thickBot="1" x14ac:dyDescent="0.3">
      <c r="A1615" s="292"/>
      <c r="B1615" s="293"/>
      <c r="C1615" s="294"/>
      <c r="D1615" s="294"/>
      <c r="E1615" s="294"/>
      <c r="F1615" s="310">
        <v>2.2250000000000001</v>
      </c>
      <c r="G1615" s="310"/>
      <c r="H1615" s="310">
        <v>4.2</v>
      </c>
      <c r="I1615" s="295">
        <f t="shared" si="185"/>
        <v>9.3450000000000006</v>
      </c>
      <c r="J1615" s="295"/>
      <c r="K1615" s="300">
        <f t="shared" si="181"/>
        <v>1.1000000000000001</v>
      </c>
      <c r="L1615" s="300">
        <f t="shared" si="40"/>
        <v>0</v>
      </c>
      <c r="M1615" s="285">
        <f t="shared" si="41"/>
        <v>0</v>
      </c>
      <c r="N1615" s="1076">
        <f t="shared" si="42"/>
        <v>0</v>
      </c>
      <c r="O1615" s="294"/>
      <c r="P1615" s="404"/>
      <c r="Q1615" s="404"/>
      <c r="R1615" s="301"/>
      <c r="S1615" s="301"/>
      <c r="T1615" s="301"/>
      <c r="U1615" s="301"/>
      <c r="V1615" s="301"/>
    </row>
    <row r="1616" spans="1:22" ht="14.4" thickTop="1" thickBot="1" x14ac:dyDescent="0.3">
      <c r="A1616" s="292"/>
      <c r="B1616" s="293"/>
      <c r="C1616" s="294"/>
      <c r="D1616" s="294"/>
      <c r="E1616" s="294"/>
      <c r="F1616" s="310">
        <v>3.0750000000000002</v>
      </c>
      <c r="G1616" s="310"/>
      <c r="H1616" s="310">
        <v>4.2</v>
      </c>
      <c r="I1616" s="295">
        <f t="shared" si="185"/>
        <v>12.915000000000001</v>
      </c>
      <c r="J1616" s="295"/>
      <c r="K1616" s="300">
        <f t="shared" si="181"/>
        <v>1.1000000000000001</v>
      </c>
      <c r="L1616" s="300">
        <f t="shared" si="40"/>
        <v>0</v>
      </c>
      <c r="M1616" s="285">
        <f t="shared" si="41"/>
        <v>0</v>
      </c>
      <c r="N1616" s="1076">
        <f t="shared" si="42"/>
        <v>0</v>
      </c>
      <c r="O1616" s="294"/>
      <c r="P1616" s="404"/>
      <c r="Q1616" s="404"/>
      <c r="R1616" s="301"/>
      <c r="S1616" s="301"/>
      <c r="T1616" s="301"/>
      <c r="U1616" s="301"/>
      <c r="V1616" s="301"/>
    </row>
    <row r="1617" spans="1:22" ht="14.4" thickTop="1" thickBot="1" x14ac:dyDescent="0.3">
      <c r="A1617" s="292"/>
      <c r="B1617" s="293"/>
      <c r="C1617" s="294"/>
      <c r="D1617" s="294"/>
      <c r="E1617" s="294"/>
      <c r="F1617" s="310">
        <v>8.0250000000000004</v>
      </c>
      <c r="G1617" s="310"/>
      <c r="H1617" s="310">
        <v>4.2</v>
      </c>
      <c r="I1617" s="295">
        <f t="shared" si="185"/>
        <v>33.705000000000005</v>
      </c>
      <c r="J1617" s="295"/>
      <c r="K1617" s="300">
        <f t="shared" si="181"/>
        <v>1.1000000000000001</v>
      </c>
      <c r="L1617" s="300">
        <f t="shared" si="40"/>
        <v>0</v>
      </c>
      <c r="M1617" s="285">
        <f t="shared" si="41"/>
        <v>0</v>
      </c>
      <c r="N1617" s="1076">
        <f t="shared" si="42"/>
        <v>0</v>
      </c>
      <c r="O1617" s="294"/>
      <c r="P1617" s="404"/>
      <c r="Q1617" s="404"/>
      <c r="R1617" s="301"/>
      <c r="S1617" s="301"/>
      <c r="T1617" s="301"/>
      <c r="U1617" s="301"/>
      <c r="V1617" s="301"/>
    </row>
    <row r="1618" spans="1:22" ht="14.4" thickTop="1" thickBot="1" x14ac:dyDescent="0.3">
      <c r="A1618" s="292"/>
      <c r="B1618" s="293"/>
      <c r="C1618" s="294"/>
      <c r="D1618" s="294"/>
      <c r="E1618" s="294"/>
      <c r="F1618" s="310">
        <v>8</v>
      </c>
      <c r="G1618" s="310"/>
      <c r="H1618" s="310">
        <v>4.2</v>
      </c>
      <c r="I1618" s="295">
        <f t="shared" si="185"/>
        <v>33.6</v>
      </c>
      <c r="J1618" s="295"/>
      <c r="K1618" s="300">
        <f t="shared" si="181"/>
        <v>1.1000000000000001</v>
      </c>
      <c r="L1618" s="300">
        <f t="shared" si="40"/>
        <v>0</v>
      </c>
      <c r="M1618" s="285">
        <f t="shared" si="41"/>
        <v>0</v>
      </c>
      <c r="N1618" s="1076">
        <f t="shared" si="42"/>
        <v>0</v>
      </c>
      <c r="O1618" s="294"/>
      <c r="P1618" s="404"/>
      <c r="Q1618" s="404"/>
      <c r="R1618" s="301"/>
      <c r="S1618" s="301"/>
      <c r="T1618" s="301"/>
      <c r="U1618" s="301"/>
      <c r="V1618" s="301"/>
    </row>
    <row r="1619" spans="1:22" ht="14.4" thickTop="1" thickBot="1" x14ac:dyDescent="0.3">
      <c r="A1619" s="292"/>
      <c r="B1619" s="293"/>
      <c r="C1619" s="294"/>
      <c r="D1619" s="294"/>
      <c r="E1619" s="294"/>
      <c r="F1619" s="310">
        <v>18.774999999999999</v>
      </c>
      <c r="G1619" s="310"/>
      <c r="H1619" s="310">
        <v>4.2</v>
      </c>
      <c r="I1619" s="295">
        <f t="shared" si="185"/>
        <v>78.855000000000004</v>
      </c>
      <c r="J1619" s="295"/>
      <c r="K1619" s="300">
        <f t="shared" si="181"/>
        <v>1.1000000000000001</v>
      </c>
      <c r="L1619" s="300">
        <f t="shared" si="40"/>
        <v>0</v>
      </c>
      <c r="M1619" s="285">
        <f t="shared" si="41"/>
        <v>0</v>
      </c>
      <c r="N1619" s="1076">
        <f t="shared" si="42"/>
        <v>0</v>
      </c>
      <c r="O1619" s="294"/>
      <c r="P1619" s="404"/>
      <c r="Q1619" s="404"/>
      <c r="R1619" s="301"/>
      <c r="S1619" s="301"/>
      <c r="T1619" s="301"/>
      <c r="U1619" s="301"/>
      <c r="V1619" s="301"/>
    </row>
    <row r="1620" spans="1:22" ht="14.4" thickTop="1" thickBot="1" x14ac:dyDescent="0.3">
      <c r="A1620" s="292"/>
      <c r="B1620" s="293"/>
      <c r="C1620" s="294"/>
      <c r="D1620" s="294"/>
      <c r="E1620" s="294"/>
      <c r="F1620" s="310">
        <v>2.2250000000000001</v>
      </c>
      <c r="G1620" s="310"/>
      <c r="H1620" s="310">
        <v>4.2</v>
      </c>
      <c r="I1620" s="295">
        <f t="shared" si="185"/>
        <v>9.3450000000000006</v>
      </c>
      <c r="J1620" s="295"/>
      <c r="K1620" s="300">
        <f t="shared" si="181"/>
        <v>1.1000000000000001</v>
      </c>
      <c r="L1620" s="300">
        <f t="shared" si="40"/>
        <v>0</v>
      </c>
      <c r="M1620" s="285">
        <f t="shared" si="41"/>
        <v>0</v>
      </c>
      <c r="N1620" s="1076">
        <f t="shared" si="42"/>
        <v>0</v>
      </c>
      <c r="O1620" s="294"/>
      <c r="P1620" s="404"/>
      <c r="Q1620" s="404"/>
      <c r="R1620" s="301"/>
      <c r="S1620" s="301"/>
      <c r="T1620" s="301"/>
      <c r="U1620" s="301"/>
      <c r="V1620" s="301"/>
    </row>
    <row r="1621" spans="1:22" ht="14.4" thickTop="1" thickBot="1" x14ac:dyDescent="0.3">
      <c r="A1621" s="292"/>
      <c r="B1621" s="293"/>
      <c r="C1621" s="294"/>
      <c r="D1621" s="294"/>
      <c r="E1621" s="294"/>
      <c r="F1621" s="310">
        <v>19</v>
      </c>
      <c r="G1621" s="310"/>
      <c r="H1621" s="310">
        <v>4.2</v>
      </c>
      <c r="I1621" s="295">
        <f t="shared" si="185"/>
        <v>79.8</v>
      </c>
      <c r="J1621" s="295"/>
      <c r="K1621" s="300">
        <f t="shared" si="181"/>
        <v>1.1000000000000001</v>
      </c>
      <c r="L1621" s="300">
        <f t="shared" si="40"/>
        <v>0</v>
      </c>
      <c r="M1621" s="285">
        <f t="shared" si="41"/>
        <v>0</v>
      </c>
      <c r="N1621" s="1076">
        <f t="shared" si="42"/>
        <v>0</v>
      </c>
      <c r="O1621" s="294"/>
      <c r="P1621" s="404"/>
      <c r="Q1621" s="404"/>
      <c r="R1621" s="301"/>
      <c r="S1621" s="301"/>
      <c r="T1621" s="301"/>
      <c r="U1621" s="301"/>
      <c r="V1621" s="301"/>
    </row>
    <row r="1622" spans="1:22" ht="14.4" thickTop="1" thickBot="1" x14ac:dyDescent="0.3">
      <c r="A1622" s="292"/>
      <c r="B1622" s="293"/>
      <c r="C1622" s="294"/>
      <c r="D1622" s="294"/>
      <c r="E1622" s="294"/>
      <c r="F1622" s="310">
        <v>20.9</v>
      </c>
      <c r="G1622" s="310"/>
      <c r="H1622" s="310">
        <v>4.2</v>
      </c>
      <c r="I1622" s="295">
        <f t="shared" si="185"/>
        <v>87.78</v>
      </c>
      <c r="J1622" s="295"/>
      <c r="K1622" s="300">
        <f t="shared" si="181"/>
        <v>1.1000000000000001</v>
      </c>
      <c r="L1622" s="300">
        <f t="shared" si="40"/>
        <v>0</v>
      </c>
      <c r="M1622" s="285">
        <f t="shared" si="41"/>
        <v>0</v>
      </c>
      <c r="N1622" s="1076">
        <f t="shared" si="42"/>
        <v>0</v>
      </c>
      <c r="O1622" s="294"/>
      <c r="P1622" s="404"/>
      <c r="Q1622" s="404"/>
      <c r="R1622" s="301"/>
      <c r="S1622" s="301"/>
      <c r="T1622" s="301"/>
      <c r="U1622" s="301"/>
      <c r="V1622" s="301"/>
    </row>
    <row r="1623" spans="1:22" ht="14.4" thickTop="1" thickBot="1" x14ac:dyDescent="0.3">
      <c r="A1623" s="292"/>
      <c r="B1623" s="293"/>
      <c r="C1623" s="294"/>
      <c r="D1623" s="294"/>
      <c r="E1623" s="294"/>
      <c r="F1623" s="310">
        <v>24</v>
      </c>
      <c r="G1623" s="310"/>
      <c r="H1623" s="310">
        <v>4.2</v>
      </c>
      <c r="I1623" s="295">
        <f t="shared" si="185"/>
        <v>100.80000000000001</v>
      </c>
      <c r="J1623" s="295"/>
      <c r="K1623" s="300">
        <f t="shared" si="181"/>
        <v>1.1000000000000001</v>
      </c>
      <c r="L1623" s="300">
        <f t="shared" si="40"/>
        <v>0</v>
      </c>
      <c r="M1623" s="285">
        <f t="shared" si="41"/>
        <v>0</v>
      </c>
      <c r="N1623" s="1076">
        <f t="shared" si="42"/>
        <v>0</v>
      </c>
      <c r="O1623" s="294"/>
      <c r="P1623" s="404"/>
      <c r="Q1623" s="404"/>
      <c r="R1623" s="301"/>
      <c r="S1623" s="301"/>
      <c r="T1623" s="301"/>
      <c r="U1623" s="301"/>
      <c r="V1623" s="301"/>
    </row>
    <row r="1624" spans="1:22" ht="14.4" thickTop="1" thickBot="1" x14ac:dyDescent="0.3">
      <c r="A1624" s="292"/>
      <c r="B1624" s="293"/>
      <c r="C1624" s="294"/>
      <c r="D1624" s="294"/>
      <c r="E1624" s="294"/>
      <c r="F1624" s="310">
        <v>7.4749999999999996</v>
      </c>
      <c r="G1624" s="310"/>
      <c r="H1624" s="310">
        <v>4.2</v>
      </c>
      <c r="I1624" s="295">
        <f t="shared" si="185"/>
        <v>31.395</v>
      </c>
      <c r="J1624" s="295"/>
      <c r="K1624" s="300">
        <f t="shared" si="181"/>
        <v>1.1000000000000001</v>
      </c>
      <c r="L1624" s="300">
        <f t="shared" si="40"/>
        <v>0</v>
      </c>
      <c r="M1624" s="285">
        <f t="shared" si="41"/>
        <v>0</v>
      </c>
      <c r="N1624" s="1076">
        <f t="shared" si="42"/>
        <v>0</v>
      </c>
      <c r="O1624" s="294"/>
      <c r="P1624" s="404"/>
      <c r="Q1624" s="404"/>
      <c r="R1624" s="301"/>
      <c r="S1624" s="301"/>
      <c r="T1624" s="301"/>
      <c r="U1624" s="301"/>
      <c r="V1624" s="301"/>
    </row>
    <row r="1625" spans="1:22" ht="14.4" thickTop="1" thickBot="1" x14ac:dyDescent="0.3">
      <c r="A1625" s="292"/>
      <c r="B1625" s="293"/>
      <c r="C1625" s="294"/>
      <c r="D1625" s="294"/>
      <c r="E1625" s="294"/>
      <c r="F1625" s="310">
        <v>1.85</v>
      </c>
      <c r="G1625" s="310"/>
      <c r="H1625" s="310">
        <v>4.2</v>
      </c>
      <c r="I1625" s="295">
        <f t="shared" si="185"/>
        <v>7.7700000000000005</v>
      </c>
      <c r="J1625" s="295"/>
      <c r="K1625" s="300">
        <f t="shared" si="181"/>
        <v>1.1000000000000001</v>
      </c>
      <c r="L1625" s="300">
        <f t="shared" si="40"/>
        <v>0</v>
      </c>
      <c r="M1625" s="285">
        <f t="shared" si="41"/>
        <v>0</v>
      </c>
      <c r="N1625" s="1076">
        <f t="shared" si="42"/>
        <v>0</v>
      </c>
      <c r="O1625" s="294"/>
      <c r="P1625" s="404"/>
      <c r="Q1625" s="404"/>
      <c r="R1625" s="301"/>
      <c r="S1625" s="301"/>
      <c r="T1625" s="301"/>
      <c r="U1625" s="301"/>
      <c r="V1625" s="301"/>
    </row>
    <row r="1626" spans="1:22" ht="14.4" thickTop="1" thickBot="1" x14ac:dyDescent="0.3">
      <c r="A1626" s="292"/>
      <c r="B1626" s="293"/>
      <c r="C1626" s="294"/>
      <c r="D1626" s="294"/>
      <c r="E1626" s="294"/>
      <c r="F1626" s="310">
        <v>0.89900000000000002</v>
      </c>
      <c r="G1626" s="310"/>
      <c r="H1626" s="310">
        <v>4.2</v>
      </c>
      <c r="I1626" s="295">
        <f t="shared" si="185"/>
        <v>3.7758000000000003</v>
      </c>
      <c r="J1626" s="295"/>
      <c r="K1626" s="300">
        <f t="shared" si="181"/>
        <v>1.1000000000000001</v>
      </c>
      <c r="L1626" s="300">
        <f t="shared" si="40"/>
        <v>0</v>
      </c>
      <c r="M1626" s="285">
        <f t="shared" si="41"/>
        <v>0</v>
      </c>
      <c r="N1626" s="1076">
        <f t="shared" si="42"/>
        <v>0</v>
      </c>
      <c r="O1626" s="294"/>
      <c r="P1626" s="404"/>
      <c r="Q1626" s="404"/>
      <c r="R1626" s="301"/>
      <c r="S1626" s="301"/>
      <c r="T1626" s="301"/>
      <c r="U1626" s="301"/>
      <c r="V1626" s="301"/>
    </row>
    <row r="1627" spans="1:22" ht="14.4" thickTop="1" thickBot="1" x14ac:dyDescent="0.3">
      <c r="A1627" s="292"/>
      <c r="B1627" s="293"/>
      <c r="C1627" s="294"/>
      <c r="D1627" s="294"/>
      <c r="E1627" s="294"/>
      <c r="F1627" s="310">
        <v>10.175000000000001</v>
      </c>
      <c r="G1627" s="310"/>
      <c r="H1627" s="310">
        <v>4.2</v>
      </c>
      <c r="I1627" s="295">
        <f t="shared" si="185"/>
        <v>42.735000000000007</v>
      </c>
      <c r="J1627" s="295"/>
      <c r="K1627" s="300">
        <f t="shared" si="181"/>
        <v>1.1000000000000001</v>
      </c>
      <c r="L1627" s="300">
        <f t="shared" si="40"/>
        <v>0</v>
      </c>
      <c r="M1627" s="285">
        <f t="shared" si="41"/>
        <v>0</v>
      </c>
      <c r="N1627" s="1076">
        <f t="shared" si="42"/>
        <v>0</v>
      </c>
      <c r="O1627" s="294"/>
      <c r="P1627" s="404"/>
      <c r="Q1627" s="404"/>
      <c r="R1627" s="301"/>
      <c r="S1627" s="301"/>
      <c r="T1627" s="301"/>
      <c r="U1627" s="301"/>
      <c r="V1627" s="301"/>
    </row>
    <row r="1628" spans="1:22" ht="14.4" thickTop="1" thickBot="1" x14ac:dyDescent="0.3">
      <c r="A1628" s="292"/>
      <c r="B1628" s="293"/>
      <c r="C1628" s="294"/>
      <c r="D1628" s="294"/>
      <c r="E1628" s="294"/>
      <c r="F1628" s="310">
        <v>3.9</v>
      </c>
      <c r="G1628" s="310"/>
      <c r="H1628" s="310">
        <v>4.2</v>
      </c>
      <c r="I1628" s="295">
        <f t="shared" si="185"/>
        <v>16.38</v>
      </c>
      <c r="J1628" s="295"/>
      <c r="K1628" s="300">
        <f t="shared" si="181"/>
        <v>1.1000000000000001</v>
      </c>
      <c r="L1628" s="300">
        <f t="shared" si="40"/>
        <v>0</v>
      </c>
      <c r="M1628" s="285">
        <f t="shared" si="41"/>
        <v>0</v>
      </c>
      <c r="N1628" s="1076">
        <f t="shared" si="42"/>
        <v>0</v>
      </c>
      <c r="O1628" s="294"/>
      <c r="P1628" s="404"/>
      <c r="Q1628" s="404"/>
      <c r="R1628" s="301"/>
      <c r="S1628" s="301"/>
      <c r="T1628" s="301"/>
      <c r="U1628" s="301"/>
      <c r="V1628" s="301"/>
    </row>
    <row r="1629" spans="1:22" ht="14.4" thickTop="1" thickBot="1" x14ac:dyDescent="0.3">
      <c r="A1629" s="292"/>
      <c r="B1629" s="293"/>
      <c r="C1629" s="294"/>
      <c r="D1629" s="294"/>
      <c r="E1629" s="294"/>
      <c r="F1629" s="310">
        <v>4.125</v>
      </c>
      <c r="G1629" s="310"/>
      <c r="H1629" s="310">
        <v>4.2</v>
      </c>
      <c r="I1629" s="295">
        <f t="shared" si="185"/>
        <v>17.324999999999999</v>
      </c>
      <c r="J1629" s="295"/>
      <c r="K1629" s="300">
        <f t="shared" si="181"/>
        <v>1.1000000000000001</v>
      </c>
      <c r="L1629" s="300">
        <f t="shared" si="40"/>
        <v>0</v>
      </c>
      <c r="M1629" s="285">
        <f t="shared" si="41"/>
        <v>0</v>
      </c>
      <c r="N1629" s="1076">
        <f t="shared" si="42"/>
        <v>0</v>
      </c>
      <c r="O1629" s="294"/>
      <c r="P1629" s="404"/>
      <c r="Q1629" s="404"/>
      <c r="R1629" s="301"/>
      <c r="S1629" s="301"/>
      <c r="T1629" s="301"/>
      <c r="U1629" s="301"/>
      <c r="V1629" s="301"/>
    </row>
    <row r="1630" spans="1:22" ht="14.4" thickTop="1" thickBot="1" x14ac:dyDescent="0.3">
      <c r="A1630" s="292"/>
      <c r="B1630" s="293"/>
      <c r="C1630" s="294"/>
      <c r="D1630" s="294"/>
      <c r="E1630" s="294">
        <v>2</v>
      </c>
      <c r="F1630" s="310">
        <v>2.4500000000000002</v>
      </c>
      <c r="G1630" s="310"/>
      <c r="H1630" s="310">
        <v>4.2</v>
      </c>
      <c r="I1630" s="295">
        <f>H1630*F1630*E1630</f>
        <v>20.580000000000002</v>
      </c>
      <c r="J1630" s="295"/>
      <c r="K1630" s="300">
        <f t="shared" si="181"/>
        <v>1.1000000000000001</v>
      </c>
      <c r="L1630" s="300">
        <f t="shared" si="40"/>
        <v>0</v>
      </c>
      <c r="M1630" s="285">
        <f t="shared" si="41"/>
        <v>0</v>
      </c>
      <c r="N1630" s="1076">
        <f t="shared" si="42"/>
        <v>0</v>
      </c>
      <c r="O1630" s="294"/>
      <c r="P1630" s="404"/>
      <c r="Q1630" s="404"/>
      <c r="R1630" s="301"/>
      <c r="S1630" s="301"/>
      <c r="T1630" s="301"/>
      <c r="U1630" s="301"/>
      <c r="V1630" s="301"/>
    </row>
    <row r="1631" spans="1:22" ht="14.4" thickTop="1" thickBot="1" x14ac:dyDescent="0.3">
      <c r="A1631" s="292"/>
      <c r="B1631" s="293"/>
      <c r="C1631" s="294"/>
      <c r="D1631" s="294"/>
      <c r="E1631" s="294"/>
      <c r="F1631" s="310">
        <v>8</v>
      </c>
      <c r="G1631" s="310"/>
      <c r="H1631" s="310">
        <v>4.2</v>
      </c>
      <c r="I1631" s="295">
        <f>H1631*F1631</f>
        <v>33.6</v>
      </c>
      <c r="J1631" s="295"/>
      <c r="K1631" s="300">
        <f t="shared" si="181"/>
        <v>1.1000000000000001</v>
      </c>
      <c r="L1631" s="300">
        <f t="shared" si="40"/>
        <v>0</v>
      </c>
      <c r="M1631" s="285">
        <f t="shared" si="41"/>
        <v>0</v>
      </c>
      <c r="N1631" s="1076">
        <f t="shared" si="42"/>
        <v>0</v>
      </c>
      <c r="O1631" s="294"/>
      <c r="P1631" s="404"/>
      <c r="Q1631" s="404"/>
      <c r="R1631" s="301"/>
      <c r="S1631" s="301"/>
      <c r="T1631" s="301"/>
      <c r="U1631" s="301"/>
      <c r="V1631" s="301"/>
    </row>
    <row r="1632" spans="1:22" ht="14.4" thickTop="1" thickBot="1" x14ac:dyDescent="0.3">
      <c r="A1632" s="292"/>
      <c r="B1632" s="293"/>
      <c r="C1632" s="294"/>
      <c r="D1632" s="294"/>
      <c r="E1632" s="294">
        <v>3</v>
      </c>
      <c r="F1632" s="310">
        <v>1.851</v>
      </c>
      <c r="G1632" s="310"/>
      <c r="H1632" s="310">
        <v>4.2</v>
      </c>
      <c r="I1632" s="295">
        <f>H1632*F1632*E1632</f>
        <v>23.322600000000001</v>
      </c>
      <c r="J1632" s="295"/>
      <c r="K1632" s="300">
        <f t="shared" si="181"/>
        <v>1.1000000000000001</v>
      </c>
      <c r="L1632" s="300">
        <f t="shared" si="40"/>
        <v>0</v>
      </c>
      <c r="M1632" s="285">
        <f t="shared" si="41"/>
        <v>0</v>
      </c>
      <c r="N1632" s="1076">
        <f t="shared" si="42"/>
        <v>0</v>
      </c>
      <c r="O1632" s="294"/>
      <c r="P1632" s="404"/>
      <c r="Q1632" s="404"/>
      <c r="R1632" s="301"/>
      <c r="S1632" s="301"/>
      <c r="T1632" s="301"/>
      <c r="U1632" s="301"/>
      <c r="V1632" s="301"/>
    </row>
    <row r="1633" spans="1:22" ht="14.4" thickTop="1" thickBot="1" x14ac:dyDescent="0.3">
      <c r="A1633" s="292"/>
      <c r="B1633" s="293"/>
      <c r="C1633" s="294"/>
      <c r="D1633" s="294"/>
      <c r="E1633" s="294">
        <v>2</v>
      </c>
      <c r="F1633" s="310">
        <v>2.3380000000000001</v>
      </c>
      <c r="G1633" s="310"/>
      <c r="H1633" s="310">
        <v>4.2</v>
      </c>
      <c r="I1633" s="295">
        <f>H1633*F1633*E1633</f>
        <v>19.639200000000002</v>
      </c>
      <c r="J1633" s="295"/>
      <c r="K1633" s="300">
        <f t="shared" si="181"/>
        <v>1.1000000000000001</v>
      </c>
      <c r="L1633" s="300">
        <f t="shared" si="40"/>
        <v>0</v>
      </c>
      <c r="M1633" s="285">
        <f t="shared" si="41"/>
        <v>0</v>
      </c>
      <c r="N1633" s="1076">
        <f t="shared" si="42"/>
        <v>0</v>
      </c>
      <c r="O1633" s="294"/>
      <c r="P1633" s="404"/>
      <c r="Q1633" s="404"/>
      <c r="R1633" s="301"/>
      <c r="S1633" s="301"/>
      <c r="T1633" s="301"/>
      <c r="U1633" s="301"/>
      <c r="V1633" s="301"/>
    </row>
    <row r="1634" spans="1:22" ht="14.4" thickTop="1" thickBot="1" x14ac:dyDescent="0.3">
      <c r="A1634" s="292"/>
      <c r="B1634" s="296" t="s">
        <v>1851</v>
      </c>
      <c r="C1634" s="294"/>
      <c r="D1634" s="294"/>
      <c r="E1634" s="294"/>
      <c r="F1634" s="310"/>
      <c r="G1634" s="310"/>
      <c r="H1634" s="310"/>
      <c r="I1634" s="295"/>
      <c r="J1634" s="295"/>
      <c r="K1634" s="300">
        <f t="shared" si="181"/>
        <v>1.1000000000000001</v>
      </c>
      <c r="L1634" s="300">
        <f t="shared" si="40"/>
        <v>0</v>
      </c>
      <c r="M1634" s="285">
        <f t="shared" si="41"/>
        <v>0</v>
      </c>
      <c r="N1634" s="1076">
        <f t="shared" si="42"/>
        <v>0</v>
      </c>
      <c r="O1634" s="294"/>
      <c r="P1634" s="404"/>
      <c r="Q1634" s="404"/>
      <c r="R1634" s="301"/>
      <c r="S1634" s="301"/>
      <c r="T1634" s="301"/>
      <c r="U1634" s="301"/>
      <c r="V1634" s="301"/>
    </row>
    <row r="1635" spans="1:22" ht="14.4" thickTop="1" thickBot="1" x14ac:dyDescent="0.3">
      <c r="A1635" s="292"/>
      <c r="B1635" s="296" t="s">
        <v>769</v>
      </c>
      <c r="C1635" s="294"/>
      <c r="D1635" s="294"/>
      <c r="E1635" s="294">
        <v>10</v>
      </c>
      <c r="F1635" s="310">
        <v>0.9</v>
      </c>
      <c r="G1635" s="310"/>
      <c r="H1635" s="310">
        <v>0.9</v>
      </c>
      <c r="I1635" s="295">
        <f>-H1635*F1635*E1635</f>
        <v>-8.1000000000000014</v>
      </c>
      <c r="J1635" s="295"/>
      <c r="K1635" s="300">
        <f t="shared" si="181"/>
        <v>1.1000000000000001</v>
      </c>
      <c r="L1635" s="300">
        <f t="shared" si="40"/>
        <v>0</v>
      </c>
      <c r="M1635" s="285">
        <f t="shared" si="41"/>
        <v>0</v>
      </c>
      <c r="N1635" s="1076">
        <f t="shared" si="42"/>
        <v>0</v>
      </c>
      <c r="O1635" s="294"/>
      <c r="P1635" s="404"/>
      <c r="Q1635" s="404"/>
      <c r="R1635" s="301"/>
      <c r="S1635" s="301"/>
      <c r="T1635" s="301"/>
      <c r="U1635" s="301"/>
      <c r="V1635" s="301"/>
    </row>
    <row r="1636" spans="1:22" ht="14.4" thickTop="1" thickBot="1" x14ac:dyDescent="0.3">
      <c r="A1636" s="292"/>
      <c r="B1636" s="296" t="s">
        <v>770</v>
      </c>
      <c r="C1636" s="294"/>
      <c r="D1636" s="294"/>
      <c r="E1636" s="294">
        <v>3</v>
      </c>
      <c r="F1636" s="310">
        <v>0.9</v>
      </c>
      <c r="G1636" s="310"/>
      <c r="H1636" s="310">
        <v>2.7</v>
      </c>
      <c r="I1636" s="295">
        <f t="shared" ref="I1636:I1639" si="186">-H1636*F1636*E1636</f>
        <v>-7.2900000000000009</v>
      </c>
      <c r="J1636" s="295"/>
      <c r="K1636" s="300">
        <f t="shared" si="181"/>
        <v>1.1000000000000001</v>
      </c>
      <c r="L1636" s="300">
        <f t="shared" si="40"/>
        <v>0</v>
      </c>
      <c r="M1636" s="285">
        <f t="shared" si="41"/>
        <v>0</v>
      </c>
      <c r="N1636" s="1076">
        <f t="shared" si="42"/>
        <v>0</v>
      </c>
      <c r="O1636" s="294"/>
      <c r="P1636" s="404"/>
      <c r="Q1636" s="404"/>
      <c r="R1636" s="301"/>
      <c r="S1636" s="301"/>
      <c r="T1636" s="301"/>
      <c r="U1636" s="301"/>
      <c r="V1636" s="301"/>
    </row>
    <row r="1637" spans="1:22" ht="14.4" thickTop="1" thickBot="1" x14ac:dyDescent="0.3">
      <c r="A1637" s="292"/>
      <c r="B1637" s="296" t="s">
        <v>766</v>
      </c>
      <c r="C1637" s="294"/>
      <c r="D1637" s="294"/>
      <c r="E1637" s="294">
        <v>9</v>
      </c>
      <c r="F1637" s="310">
        <v>0.55000000000000004</v>
      </c>
      <c r="G1637" s="310"/>
      <c r="H1637" s="310">
        <v>1.2</v>
      </c>
      <c r="I1637" s="295">
        <f t="shared" si="186"/>
        <v>-5.94</v>
      </c>
      <c r="J1637" s="295"/>
      <c r="K1637" s="300">
        <f t="shared" si="181"/>
        <v>1.1000000000000001</v>
      </c>
      <c r="L1637" s="300">
        <f t="shared" si="40"/>
        <v>0</v>
      </c>
      <c r="M1637" s="285">
        <f t="shared" si="41"/>
        <v>0</v>
      </c>
      <c r="N1637" s="1076">
        <f t="shared" si="42"/>
        <v>0</v>
      </c>
      <c r="O1637" s="294"/>
      <c r="P1637" s="404"/>
      <c r="Q1637" s="404"/>
      <c r="R1637" s="301"/>
      <c r="S1637" s="301"/>
      <c r="T1637" s="301"/>
      <c r="U1637" s="301"/>
      <c r="V1637" s="301"/>
    </row>
    <row r="1638" spans="1:22" ht="14.4" thickTop="1" thickBot="1" x14ac:dyDescent="0.3">
      <c r="A1638" s="292"/>
      <c r="B1638" s="296" t="s">
        <v>1852</v>
      </c>
      <c r="C1638" s="294"/>
      <c r="D1638" s="294"/>
      <c r="E1638" s="294">
        <v>1</v>
      </c>
      <c r="F1638" s="310">
        <v>0.89600000000000002</v>
      </c>
      <c r="G1638" s="310"/>
      <c r="H1638" s="310">
        <v>2.1</v>
      </c>
      <c r="I1638" s="295">
        <f t="shared" si="186"/>
        <v>-1.8816000000000002</v>
      </c>
      <c r="J1638" s="295"/>
      <c r="K1638" s="300">
        <f t="shared" si="181"/>
        <v>1.1000000000000001</v>
      </c>
      <c r="L1638" s="300">
        <f t="shared" si="40"/>
        <v>0</v>
      </c>
      <c r="M1638" s="285">
        <f t="shared" si="41"/>
        <v>0</v>
      </c>
      <c r="N1638" s="1076">
        <f t="shared" si="42"/>
        <v>0</v>
      </c>
      <c r="O1638" s="294"/>
      <c r="P1638" s="404"/>
      <c r="Q1638" s="404"/>
      <c r="R1638" s="301"/>
      <c r="S1638" s="301"/>
      <c r="T1638" s="301"/>
      <c r="U1638" s="301"/>
      <c r="V1638" s="301"/>
    </row>
    <row r="1639" spans="1:22" ht="14.4" thickTop="1" thickBot="1" x14ac:dyDescent="0.3">
      <c r="A1639" s="292"/>
      <c r="B1639" s="296" t="s">
        <v>1853</v>
      </c>
      <c r="C1639" s="294"/>
      <c r="D1639" s="294"/>
      <c r="E1639" s="294">
        <v>2</v>
      </c>
      <c r="F1639" s="310">
        <v>4.82</v>
      </c>
      <c r="G1639" s="310"/>
      <c r="H1639" s="310">
        <v>3.9</v>
      </c>
      <c r="I1639" s="295">
        <f t="shared" si="186"/>
        <v>-37.596000000000004</v>
      </c>
      <c r="J1639" s="295"/>
      <c r="K1639" s="300">
        <f t="shared" si="181"/>
        <v>1.1000000000000001</v>
      </c>
      <c r="L1639" s="300">
        <f t="shared" si="40"/>
        <v>0</v>
      </c>
      <c r="M1639" s="285">
        <f t="shared" si="41"/>
        <v>0</v>
      </c>
      <c r="N1639" s="1076">
        <f t="shared" si="42"/>
        <v>0</v>
      </c>
      <c r="O1639" s="294"/>
      <c r="P1639" s="404"/>
      <c r="Q1639" s="404"/>
      <c r="R1639" s="301"/>
      <c r="S1639" s="301"/>
      <c r="T1639" s="301"/>
      <c r="U1639" s="301"/>
      <c r="V1639" s="301"/>
    </row>
    <row r="1640" spans="1:22" ht="14.4" thickTop="1" thickBot="1" x14ac:dyDescent="0.3">
      <c r="A1640" s="292"/>
      <c r="B1640" s="293"/>
      <c r="C1640" s="294"/>
      <c r="D1640" s="294"/>
      <c r="E1640" s="294"/>
      <c r="F1640" s="310"/>
      <c r="G1640" s="310"/>
      <c r="H1640" s="310"/>
      <c r="I1640" s="295"/>
      <c r="J1640" s="295">
        <f>SUM(I1609:I1639)</f>
        <v>826.875</v>
      </c>
      <c r="K1640" s="300">
        <f t="shared" si="181"/>
        <v>1.1000000000000001</v>
      </c>
      <c r="L1640" s="300">
        <f t="shared" si="40"/>
        <v>909.56250000000011</v>
      </c>
      <c r="M1640" s="285">
        <f t="shared" si="41"/>
        <v>909.6</v>
      </c>
      <c r="N1640" s="1076">
        <f t="shared" si="42"/>
        <v>910</v>
      </c>
      <c r="O1640" s="294" t="s">
        <v>695</v>
      </c>
      <c r="P1640" s="404"/>
      <c r="Q1640" s="404"/>
      <c r="R1640" s="301"/>
      <c r="S1640" s="301"/>
      <c r="T1640" s="301"/>
      <c r="U1640" s="301"/>
      <c r="V1640" s="301"/>
    </row>
    <row r="1641" spans="1:22" ht="14.4" thickTop="1" thickBot="1" x14ac:dyDescent="0.3">
      <c r="A1641" s="292"/>
      <c r="B1641" s="293"/>
      <c r="C1641" s="294"/>
      <c r="D1641" s="294"/>
      <c r="E1641" s="294"/>
      <c r="F1641" s="310"/>
      <c r="G1641" s="310"/>
      <c r="H1641" s="310"/>
      <c r="I1641" s="295"/>
      <c r="J1641" s="295">
        <f>J1640*10.76</f>
        <v>8897.1749999999993</v>
      </c>
      <c r="K1641" s="300">
        <f t="shared" si="181"/>
        <v>1.1000000000000001</v>
      </c>
      <c r="L1641" s="300">
        <f t="shared" si="40"/>
        <v>9786.8924999999999</v>
      </c>
      <c r="M1641" s="285">
        <f t="shared" si="41"/>
        <v>9786.9</v>
      </c>
      <c r="N1641" s="1076">
        <f t="shared" si="42"/>
        <v>9787</v>
      </c>
      <c r="O1641" s="294" t="s">
        <v>1846</v>
      </c>
      <c r="P1641" s="404"/>
      <c r="Q1641" s="404"/>
      <c r="R1641" s="301"/>
      <c r="S1641" s="301"/>
      <c r="T1641" s="301"/>
      <c r="U1641" s="301"/>
      <c r="V1641" s="301"/>
    </row>
    <row r="1642" spans="1:22" ht="14.4" thickTop="1" thickBot="1" x14ac:dyDescent="0.3">
      <c r="A1642" s="292"/>
      <c r="B1642" s="293"/>
      <c r="C1642" s="294"/>
      <c r="D1642" s="294"/>
      <c r="E1642" s="294"/>
      <c r="F1642" s="310"/>
      <c r="G1642" s="310"/>
      <c r="H1642" s="310"/>
      <c r="I1642" s="295"/>
      <c r="J1642" s="295">
        <f>J1641/100</f>
        <v>88.971749999999986</v>
      </c>
      <c r="K1642" s="300">
        <v>1.02</v>
      </c>
      <c r="L1642" s="300">
        <f t="shared" si="40"/>
        <v>90.751184999999992</v>
      </c>
      <c r="M1642" s="285">
        <f t="shared" si="41"/>
        <v>90.8</v>
      </c>
      <c r="N1642" s="1076">
        <f t="shared" si="42"/>
        <v>91</v>
      </c>
      <c r="O1642" s="294" t="s">
        <v>879</v>
      </c>
      <c r="P1642" s="413">
        <f>N1642-J1642</f>
        <v>2.0282500000000141</v>
      </c>
      <c r="Q1642" s="413">
        <f>P1642*100</f>
        <v>202.82500000000141</v>
      </c>
      <c r="R1642" s="301"/>
      <c r="S1642" s="301"/>
      <c r="T1642" s="301"/>
      <c r="U1642" s="301"/>
      <c r="V1642" s="301"/>
    </row>
    <row r="1643" spans="1:22" ht="14.4" thickTop="1" thickBot="1" x14ac:dyDescent="0.3">
      <c r="A1643" s="292"/>
      <c r="B1643" s="293"/>
      <c r="C1643" s="294"/>
      <c r="D1643" s="294"/>
      <c r="E1643" s="294"/>
      <c r="F1643" s="310"/>
      <c r="G1643" s="310"/>
      <c r="H1643" s="310"/>
      <c r="I1643" s="295"/>
      <c r="J1643" s="295"/>
      <c r="K1643" s="300">
        <f t="shared" si="181"/>
        <v>1.1000000000000001</v>
      </c>
      <c r="L1643" s="300">
        <f t="shared" si="40"/>
        <v>0</v>
      </c>
      <c r="M1643" s="285">
        <f t="shared" si="41"/>
        <v>0</v>
      </c>
      <c r="N1643" s="1076">
        <f t="shared" si="42"/>
        <v>0</v>
      </c>
      <c r="O1643" s="294"/>
      <c r="P1643" s="404"/>
      <c r="Q1643" s="413"/>
      <c r="R1643" s="301"/>
      <c r="S1643" s="301"/>
      <c r="T1643" s="301"/>
      <c r="U1643" s="301"/>
      <c r="V1643" s="301"/>
    </row>
    <row r="1644" spans="1:22" ht="14.4" thickTop="1" thickBot="1" x14ac:dyDescent="0.3">
      <c r="A1644" s="292"/>
      <c r="B1644" s="296" t="s">
        <v>1854</v>
      </c>
      <c r="C1644" s="294"/>
      <c r="D1644" s="294"/>
      <c r="E1644" s="294"/>
      <c r="F1644" s="1129">
        <v>6.375</v>
      </c>
      <c r="G1644" s="310"/>
      <c r="H1644" s="310">
        <v>3.9</v>
      </c>
      <c r="I1644" s="295">
        <f>H1644*F1644</f>
        <v>24.862500000000001</v>
      </c>
      <c r="J1644" s="295"/>
      <c r="K1644" s="300">
        <f t="shared" si="181"/>
        <v>1.1000000000000001</v>
      </c>
      <c r="L1644" s="300">
        <f t="shared" si="40"/>
        <v>0</v>
      </c>
      <c r="M1644" s="285">
        <f t="shared" si="41"/>
        <v>0</v>
      </c>
      <c r="N1644" s="1076">
        <f t="shared" si="42"/>
        <v>0</v>
      </c>
      <c r="O1644" s="294"/>
      <c r="P1644" s="404"/>
      <c r="Q1644" s="404"/>
      <c r="R1644" s="301"/>
      <c r="S1644" s="301"/>
      <c r="T1644" s="301"/>
      <c r="U1644" s="301"/>
      <c r="V1644" s="301"/>
    </row>
    <row r="1645" spans="1:22" ht="14.4" thickTop="1" thickBot="1" x14ac:dyDescent="0.3">
      <c r="A1645" s="292"/>
      <c r="B1645" s="293"/>
      <c r="C1645" s="294"/>
      <c r="D1645" s="294"/>
      <c r="E1645" s="294"/>
      <c r="F1645" s="1129">
        <v>4.6079999999999997</v>
      </c>
      <c r="G1645" s="310"/>
      <c r="H1645" s="310">
        <v>3.9</v>
      </c>
      <c r="I1645" s="295">
        <f t="shared" ref="I1645:I1655" si="187">H1645*F1645</f>
        <v>17.9712</v>
      </c>
      <c r="J1645" s="295"/>
      <c r="K1645" s="300">
        <f t="shared" si="181"/>
        <v>1.1000000000000001</v>
      </c>
      <c r="L1645" s="300">
        <f t="shared" si="40"/>
        <v>0</v>
      </c>
      <c r="M1645" s="285">
        <f t="shared" si="41"/>
        <v>0</v>
      </c>
      <c r="N1645" s="1076">
        <f t="shared" si="42"/>
        <v>0</v>
      </c>
      <c r="O1645" s="294"/>
      <c r="P1645" s="404"/>
      <c r="Q1645" s="404"/>
      <c r="R1645" s="301"/>
      <c r="S1645" s="301"/>
      <c r="T1645" s="301"/>
      <c r="U1645" s="301"/>
      <c r="V1645" s="301"/>
    </row>
    <row r="1646" spans="1:22" ht="14.4" thickTop="1" thickBot="1" x14ac:dyDescent="0.3">
      <c r="A1646" s="292"/>
      <c r="B1646" s="293"/>
      <c r="C1646" s="294"/>
      <c r="D1646" s="294"/>
      <c r="E1646" s="294"/>
      <c r="F1646" s="1129">
        <v>7.4749999999999996</v>
      </c>
      <c r="G1646" s="310"/>
      <c r="H1646" s="310">
        <v>3.9</v>
      </c>
      <c r="I1646" s="295">
        <f t="shared" si="187"/>
        <v>29.152499999999996</v>
      </c>
      <c r="J1646" s="295"/>
      <c r="K1646" s="300"/>
      <c r="L1646" s="300"/>
      <c r="M1646" s="285"/>
      <c r="N1646" s="1076"/>
      <c r="O1646" s="294"/>
      <c r="P1646" s="404"/>
      <c r="Q1646" s="404"/>
      <c r="R1646" s="301"/>
      <c r="S1646" s="301"/>
      <c r="T1646" s="301"/>
      <c r="U1646" s="301"/>
      <c r="V1646" s="301"/>
    </row>
    <row r="1647" spans="1:22" ht="14.4" thickTop="1" thickBot="1" x14ac:dyDescent="0.3">
      <c r="A1647" s="292"/>
      <c r="B1647" s="293"/>
      <c r="C1647" s="294"/>
      <c r="D1647" s="294"/>
      <c r="E1647" s="294"/>
      <c r="F1647" s="1129">
        <v>1.345</v>
      </c>
      <c r="G1647" s="310"/>
      <c r="H1647" s="310">
        <v>3.9</v>
      </c>
      <c r="I1647" s="295">
        <f t="shared" si="187"/>
        <v>5.2454999999999998</v>
      </c>
      <c r="J1647" s="295"/>
      <c r="K1647" s="300"/>
      <c r="L1647" s="300"/>
      <c r="M1647" s="285"/>
      <c r="N1647" s="1076"/>
      <c r="O1647" s="294"/>
      <c r="P1647" s="404"/>
      <c r="Q1647" s="404"/>
      <c r="R1647" s="301"/>
      <c r="S1647" s="301"/>
      <c r="T1647" s="301"/>
      <c r="U1647" s="301"/>
      <c r="V1647" s="301"/>
    </row>
    <row r="1648" spans="1:22" ht="14.4" thickTop="1" thickBot="1" x14ac:dyDescent="0.3">
      <c r="A1648" s="292"/>
      <c r="B1648" s="293"/>
      <c r="C1648" s="294"/>
      <c r="D1648" s="294"/>
      <c r="E1648" s="294"/>
      <c r="F1648" s="1129">
        <v>9.3000000000000007</v>
      </c>
      <c r="G1648" s="310"/>
      <c r="H1648" s="310">
        <v>3.9</v>
      </c>
      <c r="I1648" s="295">
        <f t="shared" si="187"/>
        <v>36.270000000000003</v>
      </c>
      <c r="J1648" s="295"/>
      <c r="K1648" s="300">
        <f t="shared" si="181"/>
        <v>1.1000000000000001</v>
      </c>
      <c r="L1648" s="300">
        <f t="shared" si="40"/>
        <v>0</v>
      </c>
      <c r="M1648" s="285">
        <f t="shared" si="41"/>
        <v>0</v>
      </c>
      <c r="N1648" s="1076">
        <f t="shared" si="42"/>
        <v>0</v>
      </c>
      <c r="O1648" s="294"/>
      <c r="P1648" s="404"/>
      <c r="Q1648" s="404"/>
      <c r="R1648" s="301"/>
      <c r="S1648" s="301"/>
      <c r="T1648" s="301"/>
      <c r="U1648" s="301"/>
      <c r="V1648" s="301"/>
    </row>
    <row r="1649" spans="1:22" ht="14.4" thickTop="1" thickBot="1" x14ac:dyDescent="0.3">
      <c r="A1649" s="292"/>
      <c r="B1649" s="293"/>
      <c r="C1649" s="294"/>
      <c r="D1649" s="294"/>
      <c r="E1649" s="294"/>
      <c r="F1649" s="1129">
        <v>3.5249999999999999</v>
      </c>
      <c r="G1649" s="310"/>
      <c r="H1649" s="310">
        <v>3.9</v>
      </c>
      <c r="I1649" s="295">
        <f t="shared" si="187"/>
        <v>13.747499999999999</v>
      </c>
      <c r="J1649" s="295"/>
      <c r="K1649" s="300">
        <f t="shared" si="181"/>
        <v>1.1000000000000001</v>
      </c>
      <c r="L1649" s="300">
        <f t="shared" si="40"/>
        <v>0</v>
      </c>
      <c r="M1649" s="285">
        <f t="shared" si="41"/>
        <v>0</v>
      </c>
      <c r="N1649" s="1076">
        <f t="shared" si="42"/>
        <v>0</v>
      </c>
      <c r="O1649" s="294"/>
      <c r="P1649" s="404"/>
      <c r="Q1649" s="404"/>
      <c r="R1649" s="301"/>
      <c r="S1649" s="301"/>
      <c r="T1649" s="301"/>
      <c r="U1649" s="301"/>
      <c r="V1649" s="301"/>
    </row>
    <row r="1650" spans="1:22" ht="14.4" thickTop="1" thickBot="1" x14ac:dyDescent="0.3">
      <c r="A1650" s="292"/>
      <c r="B1650" s="293"/>
      <c r="C1650" s="294"/>
      <c r="D1650" s="294"/>
      <c r="E1650" s="294"/>
      <c r="F1650" s="1129">
        <v>2.2250000000000001</v>
      </c>
      <c r="G1650" s="310"/>
      <c r="H1650" s="310">
        <v>3.9</v>
      </c>
      <c r="I1650" s="295">
        <f t="shared" si="187"/>
        <v>8.6775000000000002</v>
      </c>
      <c r="J1650" s="295"/>
      <c r="K1650" s="300"/>
      <c r="L1650" s="300"/>
      <c r="M1650" s="285"/>
      <c r="N1650" s="1076"/>
      <c r="O1650" s="294"/>
      <c r="P1650" s="404"/>
      <c r="Q1650" s="404"/>
      <c r="R1650" s="301"/>
      <c r="S1650" s="301"/>
      <c r="T1650" s="301"/>
      <c r="U1650" s="301"/>
      <c r="V1650" s="301"/>
    </row>
    <row r="1651" spans="1:22" ht="14.4" thickTop="1" thickBot="1" x14ac:dyDescent="0.3">
      <c r="A1651" s="292"/>
      <c r="B1651" s="293"/>
      <c r="C1651" s="294"/>
      <c r="D1651" s="294"/>
      <c r="E1651" s="294"/>
      <c r="F1651" s="1129">
        <v>6</v>
      </c>
      <c r="G1651" s="310"/>
      <c r="H1651" s="310">
        <v>3.9</v>
      </c>
      <c r="I1651" s="295">
        <f t="shared" si="187"/>
        <v>23.4</v>
      </c>
      <c r="J1651" s="295"/>
      <c r="K1651" s="300">
        <f t="shared" si="181"/>
        <v>1.1000000000000001</v>
      </c>
      <c r="L1651" s="300">
        <f t="shared" si="40"/>
        <v>0</v>
      </c>
      <c r="M1651" s="285">
        <f t="shared" si="41"/>
        <v>0</v>
      </c>
      <c r="N1651" s="1076">
        <f t="shared" si="42"/>
        <v>0</v>
      </c>
      <c r="O1651" s="294"/>
      <c r="P1651" s="404"/>
      <c r="Q1651" s="404"/>
      <c r="R1651" s="301"/>
      <c r="S1651" s="301"/>
      <c r="T1651" s="301"/>
      <c r="U1651" s="301"/>
      <c r="V1651" s="301"/>
    </row>
    <row r="1652" spans="1:22" ht="14.4" thickTop="1" thickBot="1" x14ac:dyDescent="0.3">
      <c r="A1652" s="292"/>
      <c r="B1652" s="293"/>
      <c r="C1652" s="294"/>
      <c r="D1652" s="294"/>
      <c r="E1652" s="294"/>
      <c r="F1652" s="1129">
        <v>3.2250000000000001</v>
      </c>
      <c r="G1652" s="310"/>
      <c r="H1652" s="310">
        <v>3.9</v>
      </c>
      <c r="I1652" s="295">
        <f t="shared" si="187"/>
        <v>12.577500000000001</v>
      </c>
      <c r="J1652" s="295"/>
      <c r="K1652" s="300">
        <f t="shared" si="181"/>
        <v>1.1000000000000001</v>
      </c>
      <c r="L1652" s="300">
        <f t="shared" si="40"/>
        <v>0</v>
      </c>
      <c r="M1652" s="285">
        <f t="shared" si="41"/>
        <v>0</v>
      </c>
      <c r="N1652" s="1076">
        <f t="shared" si="42"/>
        <v>0</v>
      </c>
      <c r="O1652" s="294"/>
      <c r="P1652" s="404"/>
      <c r="Q1652" s="404"/>
      <c r="R1652" s="301"/>
      <c r="S1652" s="301"/>
      <c r="T1652" s="301"/>
      <c r="U1652" s="301"/>
      <c r="V1652" s="301"/>
    </row>
    <row r="1653" spans="1:22" ht="14.4" thickTop="1" thickBot="1" x14ac:dyDescent="0.3">
      <c r="A1653" s="292"/>
      <c r="B1653" s="293"/>
      <c r="C1653" s="294"/>
      <c r="D1653" s="294"/>
      <c r="E1653" s="294">
        <v>2</v>
      </c>
      <c r="F1653" s="1129">
        <v>14</v>
      </c>
      <c r="G1653" s="310"/>
      <c r="H1653" s="310">
        <v>3.9</v>
      </c>
      <c r="I1653" s="295">
        <f>H1653*F1653*E1653</f>
        <v>109.2</v>
      </c>
      <c r="J1653" s="295"/>
      <c r="K1653" s="300"/>
      <c r="L1653" s="300"/>
      <c r="M1653" s="285"/>
      <c r="N1653" s="1076"/>
      <c r="O1653" s="294"/>
      <c r="P1653" s="404"/>
      <c r="Q1653" s="404"/>
      <c r="R1653" s="301"/>
      <c r="S1653" s="301"/>
      <c r="T1653" s="301"/>
      <c r="U1653" s="301"/>
      <c r="V1653" s="301"/>
    </row>
    <row r="1654" spans="1:22" ht="14.4" thickTop="1" thickBot="1" x14ac:dyDescent="0.3">
      <c r="A1654" s="292"/>
      <c r="B1654" s="293"/>
      <c r="C1654" s="294"/>
      <c r="D1654" s="294"/>
      <c r="E1654" s="294"/>
      <c r="F1654" s="1129">
        <v>4.2069999999999999</v>
      </c>
      <c r="G1654" s="310"/>
      <c r="H1654" s="310">
        <v>3.9</v>
      </c>
      <c r="I1654" s="295">
        <f t="shared" si="187"/>
        <v>16.407299999999999</v>
      </c>
      <c r="J1654" s="295"/>
      <c r="K1654" s="300"/>
      <c r="L1654" s="300"/>
      <c r="M1654" s="285"/>
      <c r="N1654" s="1076"/>
      <c r="O1654" s="294"/>
      <c r="P1654" s="404"/>
      <c r="Q1654" s="404"/>
      <c r="R1654" s="301"/>
      <c r="S1654" s="301"/>
      <c r="T1654" s="301"/>
      <c r="U1654" s="301"/>
      <c r="V1654" s="301"/>
    </row>
    <row r="1655" spans="1:22" ht="14.4" thickTop="1" thickBot="1" x14ac:dyDescent="0.3">
      <c r="A1655" s="292"/>
      <c r="B1655" s="293"/>
      <c r="C1655" s="294"/>
      <c r="D1655" s="294"/>
      <c r="E1655" s="294"/>
      <c r="F1655" s="1129">
        <v>3.9</v>
      </c>
      <c r="G1655" s="310"/>
      <c r="H1655" s="310">
        <v>3.9</v>
      </c>
      <c r="I1655" s="295">
        <f t="shared" si="187"/>
        <v>15.209999999999999</v>
      </c>
      <c r="J1655" s="295"/>
      <c r="K1655" s="300"/>
      <c r="L1655" s="300"/>
      <c r="M1655" s="285"/>
      <c r="N1655" s="1076"/>
      <c r="O1655" s="294"/>
      <c r="P1655" s="404"/>
      <c r="Q1655" s="404"/>
      <c r="R1655" s="301"/>
      <c r="S1655" s="301"/>
      <c r="T1655" s="301"/>
      <c r="U1655" s="301"/>
      <c r="V1655" s="301"/>
    </row>
    <row r="1656" spans="1:22" ht="14.4" thickTop="1" thickBot="1" x14ac:dyDescent="0.3">
      <c r="A1656" s="292"/>
      <c r="B1656" s="293" t="s">
        <v>771</v>
      </c>
      <c r="C1656" s="294"/>
      <c r="D1656" s="294"/>
      <c r="E1656" s="294"/>
      <c r="F1656" s="310"/>
      <c r="G1656" s="310"/>
      <c r="H1656" s="310"/>
      <c r="I1656" s="295"/>
      <c r="J1656" s="295"/>
      <c r="K1656" s="300">
        <f t="shared" si="181"/>
        <v>1.1000000000000001</v>
      </c>
      <c r="L1656" s="300">
        <f t="shared" si="40"/>
        <v>0</v>
      </c>
      <c r="M1656" s="285">
        <f t="shared" si="41"/>
        <v>0</v>
      </c>
      <c r="N1656" s="1076">
        <f t="shared" si="42"/>
        <v>0</v>
      </c>
      <c r="O1656" s="294"/>
      <c r="P1656" s="404"/>
      <c r="Q1656" s="404"/>
      <c r="R1656" s="301"/>
      <c r="S1656" s="301"/>
      <c r="T1656" s="301"/>
      <c r="U1656" s="301"/>
      <c r="V1656" s="301"/>
    </row>
    <row r="1657" spans="1:22" ht="14.4" thickTop="1" thickBot="1" x14ac:dyDescent="0.3">
      <c r="A1657" s="292"/>
      <c r="B1657" s="293" t="s">
        <v>766</v>
      </c>
      <c r="C1657" s="294"/>
      <c r="D1657" s="294"/>
      <c r="E1657" s="294">
        <v>6</v>
      </c>
      <c r="F1657" s="310">
        <v>0.55000000000000004</v>
      </c>
      <c r="G1657" s="310"/>
      <c r="H1657" s="310">
        <v>1.2</v>
      </c>
      <c r="I1657" s="295">
        <f t="shared" ref="I1657" si="188">-H1657*F1657*E1657</f>
        <v>-3.96</v>
      </c>
      <c r="J1657" s="295"/>
      <c r="K1657" s="300">
        <f t="shared" si="181"/>
        <v>1.1000000000000001</v>
      </c>
      <c r="L1657" s="300">
        <f t="shared" si="40"/>
        <v>0</v>
      </c>
      <c r="M1657" s="285">
        <f t="shared" si="41"/>
        <v>0</v>
      </c>
      <c r="N1657" s="1076">
        <f t="shared" si="42"/>
        <v>0</v>
      </c>
      <c r="O1657" s="294"/>
      <c r="P1657" s="404"/>
      <c r="Q1657" s="404"/>
      <c r="R1657" s="301"/>
      <c r="S1657" s="301"/>
      <c r="T1657" s="301"/>
      <c r="U1657" s="301"/>
      <c r="V1657" s="301"/>
    </row>
    <row r="1658" spans="1:22" ht="14.4" thickTop="1" thickBot="1" x14ac:dyDescent="0.3">
      <c r="A1658" s="292"/>
      <c r="B1658" s="293"/>
      <c r="C1658" s="294"/>
      <c r="D1658" s="294"/>
      <c r="E1658" s="294"/>
      <c r="F1658" s="310"/>
      <c r="G1658" s="310"/>
      <c r="H1658" s="310"/>
      <c r="I1658" s="295"/>
      <c r="J1658" s="295">
        <f>SUM(I1644:I1657)</f>
        <v>308.76150000000001</v>
      </c>
      <c r="K1658" s="300">
        <f t="shared" si="181"/>
        <v>1.1000000000000001</v>
      </c>
      <c r="L1658" s="300">
        <f>K1658*J1658</f>
        <v>339.63765000000006</v>
      </c>
      <c r="M1658" s="285">
        <f t="shared" si="41"/>
        <v>339.6</v>
      </c>
      <c r="N1658" s="1076">
        <f t="shared" si="42"/>
        <v>340</v>
      </c>
      <c r="O1658" s="294" t="s">
        <v>695</v>
      </c>
      <c r="P1658" s="404"/>
      <c r="Q1658" s="404"/>
      <c r="R1658" s="301"/>
      <c r="S1658" s="301"/>
      <c r="T1658" s="301"/>
      <c r="U1658" s="301"/>
      <c r="V1658" s="301"/>
    </row>
    <row r="1659" spans="1:22" ht="14.4" thickTop="1" thickBot="1" x14ac:dyDescent="0.3">
      <c r="A1659" s="292"/>
      <c r="B1659" s="293"/>
      <c r="C1659" s="294"/>
      <c r="D1659" s="294"/>
      <c r="E1659" s="294"/>
      <c r="F1659" s="310"/>
      <c r="G1659" s="310"/>
      <c r="H1659" s="310"/>
      <c r="I1659" s="295"/>
      <c r="J1659" s="295">
        <f>J1658*10.76</f>
        <v>3322.2737400000001</v>
      </c>
      <c r="K1659" s="300">
        <f t="shared" si="181"/>
        <v>1.1000000000000001</v>
      </c>
      <c r="L1659" s="300">
        <f t="shared" ref="L1659:L1722" si="189">K1659*J1659</f>
        <v>3654.5011140000006</v>
      </c>
      <c r="M1659" s="285">
        <f t="shared" ref="M1659:M1722" si="190">ROUND(L1659,1)</f>
        <v>3654.5</v>
      </c>
      <c r="N1659" s="1076">
        <f t="shared" ref="N1659:N1722" si="191">ROUNDUP(M1659,0)</f>
        <v>3655</v>
      </c>
      <c r="O1659" s="294" t="s">
        <v>1846</v>
      </c>
      <c r="P1659" s="413">
        <f>N1659-J1659</f>
        <v>332.72625999999991</v>
      </c>
      <c r="Q1659" s="404"/>
      <c r="R1659" s="301"/>
      <c r="S1659" s="301"/>
      <c r="T1659" s="301"/>
      <c r="U1659" s="301"/>
      <c r="V1659" s="301"/>
    </row>
    <row r="1660" spans="1:22" ht="14.4" thickTop="1" thickBot="1" x14ac:dyDescent="0.3">
      <c r="A1660" s="292"/>
      <c r="B1660" s="293"/>
      <c r="C1660" s="294"/>
      <c r="D1660" s="294"/>
      <c r="E1660" s="294"/>
      <c r="F1660" s="310"/>
      <c r="G1660" s="310"/>
      <c r="H1660" s="310"/>
      <c r="I1660" s="295"/>
      <c r="J1660" s="295">
        <f>J1659/100</f>
        <v>33.2227374</v>
      </c>
      <c r="K1660" s="300">
        <v>1.02</v>
      </c>
      <c r="L1660" s="300">
        <f t="shared" si="189"/>
        <v>33.887192147999997</v>
      </c>
      <c r="M1660" s="285">
        <f t="shared" si="190"/>
        <v>33.9</v>
      </c>
      <c r="N1660" s="1076">
        <f t="shared" si="191"/>
        <v>34</v>
      </c>
      <c r="O1660" s="294" t="s">
        <v>879</v>
      </c>
      <c r="P1660" s="413">
        <f>N1660-J1660</f>
        <v>0.77726260000000025</v>
      </c>
      <c r="Q1660" s="404"/>
      <c r="R1660" s="301"/>
      <c r="S1660" s="301"/>
      <c r="T1660" s="301"/>
      <c r="U1660" s="301"/>
      <c r="V1660" s="301"/>
    </row>
    <row r="1661" spans="1:22" ht="14.4" thickTop="1" thickBot="1" x14ac:dyDescent="0.3">
      <c r="A1661" s="292"/>
      <c r="B1661" s="293"/>
      <c r="C1661" s="294"/>
      <c r="D1661" s="294"/>
      <c r="E1661" s="294"/>
      <c r="F1661" s="310"/>
      <c r="G1661" s="310"/>
      <c r="H1661" s="310"/>
      <c r="I1661" s="295"/>
      <c r="J1661" s="295"/>
      <c r="K1661" s="300">
        <f t="shared" ref="K1661:K1724" si="192">$K$2</f>
        <v>1.1000000000000001</v>
      </c>
      <c r="L1661" s="300">
        <f t="shared" si="189"/>
        <v>0</v>
      </c>
      <c r="M1661" s="285">
        <f t="shared" si="190"/>
        <v>0</v>
      </c>
      <c r="N1661" s="1076">
        <f t="shared" si="191"/>
        <v>0</v>
      </c>
      <c r="O1661" s="294"/>
      <c r="P1661" s="404"/>
      <c r="Q1661" s="404"/>
      <c r="R1661" s="301"/>
      <c r="S1661" s="301"/>
      <c r="T1661" s="301"/>
      <c r="U1661" s="301"/>
      <c r="V1661" s="301"/>
    </row>
    <row r="1662" spans="1:22" ht="14.4" thickTop="1" thickBot="1" x14ac:dyDescent="0.3">
      <c r="A1662" s="292"/>
      <c r="B1662" s="296" t="s">
        <v>1855</v>
      </c>
      <c r="C1662" s="294"/>
      <c r="D1662" s="294"/>
      <c r="E1662" s="294"/>
      <c r="F1662" s="310"/>
      <c r="G1662" s="310"/>
      <c r="H1662" s="310"/>
      <c r="I1662" s="295"/>
      <c r="J1662" s="295"/>
      <c r="K1662" s="300">
        <f t="shared" si="192"/>
        <v>1.1000000000000001</v>
      </c>
      <c r="L1662" s="300">
        <f t="shared" si="189"/>
        <v>0</v>
      </c>
      <c r="M1662" s="285">
        <f t="shared" si="190"/>
        <v>0</v>
      </c>
      <c r="N1662" s="1076">
        <f t="shared" si="191"/>
        <v>0</v>
      </c>
      <c r="O1662" s="294"/>
      <c r="P1662" s="404"/>
      <c r="Q1662" s="404"/>
      <c r="R1662" s="301"/>
      <c r="S1662" s="301"/>
      <c r="T1662" s="301"/>
      <c r="U1662" s="301"/>
      <c r="V1662" s="301"/>
    </row>
    <row r="1663" spans="1:22" ht="14.4" thickTop="1" thickBot="1" x14ac:dyDescent="0.3">
      <c r="A1663" s="292"/>
      <c r="B1663" s="293"/>
      <c r="C1663" s="294"/>
      <c r="D1663" s="294"/>
      <c r="E1663" s="294"/>
      <c r="F1663" s="310"/>
      <c r="G1663" s="310"/>
      <c r="H1663" s="310"/>
      <c r="I1663" s="295"/>
      <c r="J1663" s="295"/>
      <c r="K1663" s="300"/>
      <c r="L1663" s="300"/>
      <c r="M1663" s="285"/>
      <c r="N1663" s="1076"/>
      <c r="O1663" s="294"/>
      <c r="P1663" s="404"/>
      <c r="Q1663" s="404"/>
      <c r="R1663" s="301"/>
      <c r="S1663" s="301"/>
      <c r="T1663" s="301"/>
      <c r="U1663" s="301"/>
      <c r="V1663" s="301"/>
    </row>
    <row r="1664" spans="1:22" ht="14.4" thickTop="1" thickBot="1" x14ac:dyDescent="0.3">
      <c r="A1664" s="292"/>
      <c r="B1664" s="293"/>
      <c r="C1664" s="294"/>
      <c r="D1664" s="294"/>
      <c r="E1664" s="294"/>
      <c r="F1664" s="310">
        <v>17.463000000000001</v>
      </c>
      <c r="G1664" s="310"/>
      <c r="H1664" s="310">
        <v>5.6</v>
      </c>
      <c r="I1664" s="295">
        <f t="shared" ref="I1664:I1674" si="193">H1664*F1664</f>
        <v>97.7928</v>
      </c>
      <c r="J1664" s="295"/>
      <c r="K1664" s="300"/>
      <c r="L1664" s="300"/>
      <c r="M1664" s="285"/>
      <c r="N1664" s="1076"/>
      <c r="O1664" s="294"/>
      <c r="P1664" s="404"/>
      <c r="Q1664" s="404"/>
      <c r="R1664" s="301"/>
      <c r="S1664" s="301"/>
      <c r="T1664" s="301"/>
      <c r="U1664" s="301"/>
      <c r="V1664" s="301"/>
    </row>
    <row r="1665" spans="1:22" ht="14.4" thickTop="1" thickBot="1" x14ac:dyDescent="0.3">
      <c r="A1665" s="292"/>
      <c r="B1665" s="293"/>
      <c r="C1665" s="294"/>
      <c r="D1665" s="294"/>
      <c r="E1665" s="294">
        <v>2</v>
      </c>
      <c r="F1665" s="310">
        <v>3.9</v>
      </c>
      <c r="G1665" s="310"/>
      <c r="H1665" s="310">
        <v>5.6</v>
      </c>
      <c r="I1665" s="295">
        <f>H1665*F1665*E1665</f>
        <v>43.68</v>
      </c>
      <c r="J1665" s="295"/>
      <c r="K1665" s="300"/>
      <c r="L1665" s="300"/>
      <c r="M1665" s="285"/>
      <c r="N1665" s="1076"/>
      <c r="O1665" s="294"/>
      <c r="P1665" s="404"/>
      <c r="Q1665" s="404"/>
      <c r="R1665" s="301"/>
      <c r="S1665" s="301"/>
      <c r="T1665" s="301"/>
      <c r="U1665" s="301"/>
      <c r="V1665" s="301"/>
    </row>
    <row r="1666" spans="1:22" ht="14.4" thickTop="1" thickBot="1" x14ac:dyDescent="0.3">
      <c r="A1666" s="292"/>
      <c r="B1666" s="293"/>
      <c r="C1666" s="294"/>
      <c r="D1666" s="294"/>
      <c r="E1666" s="294"/>
      <c r="F1666" s="310">
        <v>5</v>
      </c>
      <c r="G1666" s="310"/>
      <c r="H1666" s="310">
        <v>5.6</v>
      </c>
      <c r="I1666" s="295">
        <f t="shared" si="193"/>
        <v>28</v>
      </c>
      <c r="J1666" s="295"/>
      <c r="K1666" s="300"/>
      <c r="L1666" s="300"/>
      <c r="M1666" s="285"/>
      <c r="N1666" s="1076"/>
      <c r="O1666" s="294"/>
      <c r="P1666" s="404"/>
      <c r="Q1666" s="404"/>
      <c r="R1666" s="301"/>
      <c r="S1666" s="301"/>
      <c r="T1666" s="301"/>
      <c r="U1666" s="301"/>
      <c r="V1666" s="301"/>
    </row>
    <row r="1667" spans="1:22" ht="14.4" thickTop="1" thickBot="1" x14ac:dyDescent="0.3">
      <c r="A1667" s="292"/>
      <c r="B1667" s="293"/>
      <c r="C1667" s="294"/>
      <c r="D1667" s="294"/>
      <c r="E1667" s="294"/>
      <c r="F1667" s="310">
        <v>22.245999999999999</v>
      </c>
      <c r="G1667" s="310"/>
      <c r="H1667" s="310">
        <v>5.6</v>
      </c>
      <c r="I1667" s="295">
        <f t="shared" si="193"/>
        <v>124.57759999999999</v>
      </c>
      <c r="J1667" s="295"/>
      <c r="K1667" s="300"/>
      <c r="L1667" s="300"/>
      <c r="M1667" s="285"/>
      <c r="N1667" s="1076"/>
      <c r="O1667" s="294"/>
      <c r="P1667" s="404"/>
      <c r="Q1667" s="404"/>
      <c r="R1667" s="301"/>
      <c r="S1667" s="301"/>
      <c r="T1667" s="301"/>
      <c r="U1667" s="301"/>
      <c r="V1667" s="301"/>
    </row>
    <row r="1668" spans="1:22" ht="14.4" thickTop="1" thickBot="1" x14ac:dyDescent="0.3">
      <c r="A1668" s="292"/>
      <c r="B1668" s="293"/>
      <c r="C1668" s="294"/>
      <c r="D1668" s="294"/>
      <c r="E1668" s="294"/>
      <c r="F1668" s="310">
        <v>20.687999999999999</v>
      </c>
      <c r="G1668" s="310"/>
      <c r="H1668" s="310">
        <v>5.6</v>
      </c>
      <c r="I1668" s="295">
        <f t="shared" si="193"/>
        <v>115.85279999999999</v>
      </c>
      <c r="J1668" s="295"/>
      <c r="K1668" s="300"/>
      <c r="L1668" s="300"/>
      <c r="M1668" s="285"/>
      <c r="N1668" s="1076"/>
      <c r="O1668" s="294"/>
      <c r="P1668" s="404"/>
      <c r="Q1668" s="404"/>
      <c r="R1668" s="301"/>
      <c r="S1668" s="301"/>
      <c r="T1668" s="301"/>
      <c r="U1668" s="301"/>
      <c r="V1668" s="301"/>
    </row>
    <row r="1669" spans="1:22" ht="14.4" thickTop="1" thickBot="1" x14ac:dyDescent="0.3">
      <c r="A1669" s="292"/>
      <c r="B1669" s="293"/>
      <c r="C1669" s="294"/>
      <c r="D1669" s="294"/>
      <c r="E1669" s="294"/>
      <c r="F1669" s="310">
        <v>9.56</v>
      </c>
      <c r="G1669" s="310"/>
      <c r="H1669" s="310">
        <v>5.6</v>
      </c>
      <c r="I1669" s="295">
        <f t="shared" si="193"/>
        <v>53.536000000000001</v>
      </c>
      <c r="J1669" s="295"/>
      <c r="K1669" s="300"/>
      <c r="L1669" s="300"/>
      <c r="M1669" s="285"/>
      <c r="N1669" s="1076"/>
      <c r="O1669" s="294"/>
      <c r="P1669" s="404"/>
      <c r="Q1669" s="404"/>
      <c r="R1669" s="301"/>
      <c r="S1669" s="301"/>
      <c r="T1669" s="301"/>
      <c r="U1669" s="301"/>
      <c r="V1669" s="301"/>
    </row>
    <row r="1670" spans="1:22" ht="14.4" thickTop="1" thickBot="1" x14ac:dyDescent="0.3">
      <c r="A1670" s="292"/>
      <c r="B1670" s="293"/>
      <c r="C1670" s="294"/>
      <c r="D1670" s="294"/>
      <c r="E1670" s="294"/>
      <c r="F1670" s="310">
        <v>14</v>
      </c>
      <c r="G1670" s="310"/>
      <c r="H1670" s="310">
        <v>5.6</v>
      </c>
      <c r="I1670" s="295">
        <f t="shared" si="193"/>
        <v>78.399999999999991</v>
      </c>
      <c r="J1670" s="295"/>
      <c r="K1670" s="300"/>
      <c r="L1670" s="300"/>
      <c r="M1670" s="285"/>
      <c r="N1670" s="1076"/>
      <c r="O1670" s="294"/>
      <c r="P1670" s="404"/>
      <c r="Q1670" s="404"/>
      <c r="R1670" s="301"/>
      <c r="S1670" s="301"/>
      <c r="T1670" s="301"/>
      <c r="U1670" s="301"/>
      <c r="V1670" s="301"/>
    </row>
    <row r="1671" spans="1:22" ht="14.4" thickTop="1" thickBot="1" x14ac:dyDescent="0.3">
      <c r="A1671" s="292"/>
      <c r="B1671" s="293"/>
      <c r="C1671" s="294"/>
      <c r="D1671" s="294"/>
      <c r="E1671" s="294"/>
      <c r="F1671" s="310">
        <v>8.08</v>
      </c>
      <c r="G1671" s="310"/>
      <c r="H1671" s="310">
        <v>5.6</v>
      </c>
      <c r="I1671" s="295">
        <f t="shared" si="193"/>
        <v>45.247999999999998</v>
      </c>
      <c r="J1671" s="295"/>
      <c r="K1671" s="300"/>
      <c r="L1671" s="300"/>
      <c r="M1671" s="285"/>
      <c r="N1671" s="1076"/>
      <c r="O1671" s="294"/>
      <c r="P1671" s="404"/>
      <c r="Q1671" s="404"/>
      <c r="R1671" s="301"/>
      <c r="S1671" s="301"/>
      <c r="T1671" s="301"/>
      <c r="U1671" s="301"/>
      <c r="V1671" s="301"/>
    </row>
    <row r="1672" spans="1:22" ht="14.4" thickTop="1" thickBot="1" x14ac:dyDescent="0.3">
      <c r="A1672" s="292"/>
      <c r="B1672" s="293"/>
      <c r="C1672" s="294"/>
      <c r="D1672" s="294"/>
      <c r="E1672" s="294"/>
      <c r="F1672" s="310">
        <v>7.3</v>
      </c>
      <c r="G1672" s="310"/>
      <c r="H1672" s="310">
        <v>1.5</v>
      </c>
      <c r="I1672" s="295">
        <f t="shared" si="193"/>
        <v>10.95</v>
      </c>
      <c r="J1672" s="295"/>
      <c r="K1672" s="300"/>
      <c r="L1672" s="300"/>
      <c r="M1672" s="285"/>
      <c r="N1672" s="1076"/>
      <c r="O1672" s="294"/>
      <c r="P1672" s="404"/>
      <c r="Q1672" s="404"/>
      <c r="R1672" s="301"/>
      <c r="S1672" s="301"/>
      <c r="T1672" s="301"/>
      <c r="U1672" s="301"/>
      <c r="V1672" s="301"/>
    </row>
    <row r="1673" spans="1:22" ht="14.4" thickTop="1" thickBot="1" x14ac:dyDescent="0.3">
      <c r="A1673" s="292"/>
      <c r="B1673" s="293"/>
      <c r="C1673" s="294"/>
      <c r="D1673" s="294"/>
      <c r="E1673" s="294"/>
      <c r="F1673" s="310">
        <v>15</v>
      </c>
      <c r="G1673" s="310"/>
      <c r="H1673" s="310">
        <v>1.5</v>
      </c>
      <c r="I1673" s="295">
        <f t="shared" si="193"/>
        <v>22.5</v>
      </c>
      <c r="J1673" s="295"/>
      <c r="K1673" s="300"/>
      <c r="L1673" s="300"/>
      <c r="M1673" s="285"/>
      <c r="N1673" s="1076"/>
      <c r="O1673" s="294"/>
      <c r="P1673" s="404"/>
      <c r="Q1673" s="404"/>
      <c r="R1673" s="301"/>
      <c r="S1673" s="301"/>
      <c r="T1673" s="301"/>
      <c r="U1673" s="301"/>
      <c r="V1673" s="301"/>
    </row>
    <row r="1674" spans="1:22" ht="14.4" thickTop="1" thickBot="1" x14ac:dyDescent="0.3">
      <c r="A1674" s="292"/>
      <c r="B1674" s="293"/>
      <c r="C1674" s="294"/>
      <c r="D1674" s="294"/>
      <c r="E1674" s="294"/>
      <c r="F1674" s="310">
        <v>7.35</v>
      </c>
      <c r="G1674" s="310"/>
      <c r="H1674" s="310">
        <v>1.5</v>
      </c>
      <c r="I1674" s="295">
        <f t="shared" si="193"/>
        <v>11.024999999999999</v>
      </c>
      <c r="J1674" s="295"/>
      <c r="K1674" s="300"/>
      <c r="L1674" s="300"/>
      <c r="M1674" s="285"/>
      <c r="N1674" s="1076"/>
      <c r="O1674" s="294"/>
      <c r="P1674" s="404"/>
      <c r="Q1674" s="404"/>
      <c r="R1674" s="301"/>
      <c r="S1674" s="301"/>
      <c r="T1674" s="301"/>
      <c r="U1674" s="301"/>
      <c r="V1674" s="301"/>
    </row>
    <row r="1675" spans="1:22" ht="14.4" thickTop="1" thickBot="1" x14ac:dyDescent="0.3">
      <c r="A1675" s="292"/>
      <c r="B1675" s="293" t="s">
        <v>846</v>
      </c>
      <c r="C1675" s="294"/>
      <c r="D1675" s="294"/>
      <c r="E1675" s="294"/>
      <c r="F1675" s="310"/>
      <c r="G1675" s="310"/>
      <c r="H1675" s="310"/>
      <c r="I1675" s="295"/>
      <c r="J1675" s="295"/>
      <c r="K1675" s="300">
        <f t="shared" si="192"/>
        <v>1.1000000000000001</v>
      </c>
      <c r="L1675" s="300">
        <f t="shared" si="189"/>
        <v>0</v>
      </c>
      <c r="M1675" s="285">
        <f t="shared" si="190"/>
        <v>0</v>
      </c>
      <c r="N1675" s="1076">
        <f t="shared" si="191"/>
        <v>0</v>
      </c>
      <c r="O1675" s="294"/>
      <c r="P1675" s="404"/>
      <c r="Q1675" s="404"/>
      <c r="R1675" s="301"/>
      <c r="S1675" s="301"/>
      <c r="T1675" s="301"/>
      <c r="U1675" s="301"/>
      <c r="V1675" s="301"/>
    </row>
    <row r="1676" spans="1:22" ht="14.4" thickTop="1" thickBot="1" x14ac:dyDescent="0.3">
      <c r="A1676" s="292"/>
      <c r="B1676" s="293" t="s">
        <v>837</v>
      </c>
      <c r="C1676" s="294"/>
      <c r="D1676" s="294"/>
      <c r="E1676" s="294">
        <v>4</v>
      </c>
      <c r="F1676" s="310">
        <v>1.4</v>
      </c>
      <c r="G1676" s="310"/>
      <c r="H1676" s="310">
        <v>2.7</v>
      </c>
      <c r="I1676" s="295">
        <f>-H1676*F1676*E1676</f>
        <v>-15.12</v>
      </c>
      <c r="J1676" s="295"/>
      <c r="K1676" s="300">
        <f t="shared" si="192"/>
        <v>1.1000000000000001</v>
      </c>
      <c r="L1676" s="300">
        <f t="shared" si="189"/>
        <v>0</v>
      </c>
      <c r="M1676" s="285">
        <f t="shared" si="190"/>
        <v>0</v>
      </c>
      <c r="N1676" s="1076">
        <f t="shared" si="191"/>
        <v>0</v>
      </c>
      <c r="O1676" s="294"/>
      <c r="P1676" s="404"/>
      <c r="Q1676" s="404"/>
      <c r="R1676" s="301"/>
      <c r="S1676" s="301"/>
      <c r="T1676" s="301"/>
      <c r="U1676" s="301"/>
      <c r="V1676" s="301"/>
    </row>
    <row r="1677" spans="1:22" ht="14.4" thickTop="1" thickBot="1" x14ac:dyDescent="0.3">
      <c r="A1677" s="292"/>
      <c r="B1677" s="293"/>
      <c r="C1677" s="294"/>
      <c r="D1677" s="294"/>
      <c r="E1677" s="294"/>
      <c r="F1677" s="310"/>
      <c r="G1677" s="310"/>
      <c r="H1677" s="310"/>
      <c r="I1677" s="295"/>
      <c r="J1677" s="295">
        <f>SUM(I1663:I1676)</f>
        <v>616.44220000000007</v>
      </c>
      <c r="K1677" s="300">
        <f t="shared" si="192"/>
        <v>1.1000000000000001</v>
      </c>
      <c r="L1677" s="300">
        <f t="shared" si="189"/>
        <v>678.08642000000009</v>
      </c>
      <c r="M1677" s="285">
        <f t="shared" si="190"/>
        <v>678.1</v>
      </c>
      <c r="N1677" s="1076">
        <f t="shared" si="191"/>
        <v>679</v>
      </c>
      <c r="O1677" s="294" t="s">
        <v>695</v>
      </c>
      <c r="P1677" s="404"/>
      <c r="Q1677" s="404"/>
      <c r="R1677" s="301"/>
      <c r="S1677" s="301"/>
      <c r="T1677" s="301"/>
      <c r="U1677" s="301"/>
      <c r="V1677" s="301"/>
    </row>
    <row r="1678" spans="1:22" ht="14.4" thickTop="1" thickBot="1" x14ac:dyDescent="0.3">
      <c r="A1678" s="292"/>
      <c r="B1678" s="293"/>
      <c r="C1678" s="294"/>
      <c r="D1678" s="294"/>
      <c r="E1678" s="294"/>
      <c r="F1678" s="310"/>
      <c r="G1678" s="310"/>
      <c r="H1678" s="310"/>
      <c r="I1678" s="295"/>
      <c r="J1678" s="295">
        <f>J1677*10.76</f>
        <v>6632.9180720000004</v>
      </c>
      <c r="K1678" s="300">
        <f t="shared" si="192"/>
        <v>1.1000000000000001</v>
      </c>
      <c r="L1678" s="300">
        <f t="shared" si="189"/>
        <v>7296.2098792000006</v>
      </c>
      <c r="M1678" s="285">
        <f t="shared" si="190"/>
        <v>7296.2</v>
      </c>
      <c r="N1678" s="1076">
        <f t="shared" si="191"/>
        <v>7297</v>
      </c>
      <c r="O1678" s="294" t="s">
        <v>1846</v>
      </c>
      <c r="P1678" s="413"/>
      <c r="Q1678" s="404"/>
      <c r="R1678" s="301"/>
      <c r="S1678" s="301"/>
      <c r="T1678" s="301"/>
      <c r="U1678" s="301"/>
      <c r="V1678" s="301"/>
    </row>
    <row r="1679" spans="1:22" ht="14.4" thickTop="1" thickBot="1" x14ac:dyDescent="0.3">
      <c r="A1679" s="292"/>
      <c r="B1679" s="293"/>
      <c r="C1679" s="294"/>
      <c r="D1679" s="294"/>
      <c r="E1679" s="294"/>
      <c r="F1679" s="310"/>
      <c r="G1679" s="310"/>
      <c r="H1679" s="310"/>
      <c r="I1679" s="295"/>
      <c r="J1679" s="295">
        <f>J1678/100</f>
        <v>66.329180720000011</v>
      </c>
      <c r="K1679" s="300">
        <v>1.02</v>
      </c>
      <c r="L1679" s="300">
        <f t="shared" si="189"/>
        <v>67.655764334400018</v>
      </c>
      <c r="M1679" s="285">
        <f t="shared" si="190"/>
        <v>67.7</v>
      </c>
      <c r="N1679" s="1076">
        <f t="shared" si="191"/>
        <v>68</v>
      </c>
      <c r="O1679" s="294" t="s">
        <v>879</v>
      </c>
      <c r="P1679" s="413"/>
      <c r="Q1679" s="413"/>
      <c r="R1679" s="301"/>
      <c r="S1679" s="301"/>
      <c r="T1679" s="301"/>
      <c r="U1679" s="301"/>
      <c r="V1679" s="301"/>
    </row>
    <row r="1680" spans="1:22" ht="14.4" thickTop="1" thickBot="1" x14ac:dyDescent="0.3">
      <c r="A1680" s="292"/>
      <c r="B1680" s="293"/>
      <c r="C1680" s="294"/>
      <c r="D1680" s="294"/>
      <c r="E1680" s="294"/>
      <c r="F1680" s="310"/>
      <c r="G1680" s="310"/>
      <c r="H1680" s="310"/>
      <c r="I1680" s="295"/>
      <c r="J1680" s="295"/>
      <c r="K1680" s="300">
        <f t="shared" si="192"/>
        <v>1.1000000000000001</v>
      </c>
      <c r="L1680" s="300">
        <f t="shared" si="189"/>
        <v>0</v>
      </c>
      <c r="M1680" s="285">
        <f t="shared" si="190"/>
        <v>0</v>
      </c>
      <c r="N1680" s="1076">
        <f t="shared" si="191"/>
        <v>0</v>
      </c>
      <c r="O1680" s="294"/>
      <c r="P1680" s="404"/>
      <c r="Q1680" s="404"/>
      <c r="R1680" s="301"/>
      <c r="S1680" s="301"/>
      <c r="T1680" s="301"/>
      <c r="U1680" s="301"/>
      <c r="V1680" s="301"/>
    </row>
    <row r="1681" spans="1:22" ht="14.4" thickTop="1" thickBot="1" x14ac:dyDescent="0.3">
      <c r="A1681" s="292"/>
      <c r="B1681" s="293" t="s">
        <v>1857</v>
      </c>
      <c r="C1681" s="294"/>
      <c r="D1681" s="294"/>
      <c r="E1681" s="294"/>
      <c r="F1681" s="310">
        <v>5.1550000000000002</v>
      </c>
      <c r="G1681" s="310"/>
      <c r="H1681" s="310">
        <f t="shared" ref="H1681:H1692" si="194">H1609</f>
        <v>4.2</v>
      </c>
      <c r="I1681" s="295">
        <f>H1681*F1681</f>
        <v>21.651000000000003</v>
      </c>
      <c r="J1681" s="295"/>
      <c r="K1681" s="300">
        <f t="shared" si="192"/>
        <v>1.1000000000000001</v>
      </c>
      <c r="L1681" s="300">
        <f t="shared" si="189"/>
        <v>0</v>
      </c>
      <c r="M1681" s="285">
        <f t="shared" si="190"/>
        <v>0</v>
      </c>
      <c r="N1681" s="1076">
        <f t="shared" si="191"/>
        <v>0</v>
      </c>
      <c r="O1681" s="294"/>
      <c r="P1681" s="404"/>
      <c r="Q1681" s="404"/>
      <c r="R1681" s="301"/>
      <c r="S1681" s="301"/>
      <c r="T1681" s="301"/>
      <c r="U1681" s="301"/>
      <c r="V1681" s="301"/>
    </row>
    <row r="1682" spans="1:22" ht="14.4" thickTop="1" thickBot="1" x14ac:dyDescent="0.3">
      <c r="A1682" s="292"/>
      <c r="B1682" s="293"/>
      <c r="C1682" s="294"/>
      <c r="D1682" s="294"/>
      <c r="E1682" s="294"/>
      <c r="F1682" s="310">
        <v>4.0289999999999999</v>
      </c>
      <c r="G1682" s="310"/>
      <c r="H1682" s="310">
        <f t="shared" si="194"/>
        <v>4.2</v>
      </c>
      <c r="I1682" s="295">
        <f t="shared" ref="I1682:I1693" si="195">H1682*F1682</f>
        <v>16.921800000000001</v>
      </c>
      <c r="J1682" s="295"/>
      <c r="K1682" s="300">
        <f t="shared" si="192"/>
        <v>1.1000000000000001</v>
      </c>
      <c r="L1682" s="300">
        <f t="shared" si="189"/>
        <v>0</v>
      </c>
      <c r="M1682" s="285">
        <f t="shared" si="190"/>
        <v>0</v>
      </c>
      <c r="N1682" s="1076">
        <f t="shared" si="191"/>
        <v>0</v>
      </c>
      <c r="O1682" s="294"/>
      <c r="P1682" s="404"/>
      <c r="Q1682" s="404"/>
      <c r="R1682" s="301"/>
      <c r="S1682" s="301"/>
      <c r="T1682" s="301"/>
      <c r="U1682" s="301"/>
      <c r="V1682" s="301"/>
    </row>
    <row r="1683" spans="1:22" ht="14.4" thickTop="1" thickBot="1" x14ac:dyDescent="0.3">
      <c r="A1683" s="292"/>
      <c r="B1683" s="293"/>
      <c r="C1683" s="294"/>
      <c r="D1683" s="294"/>
      <c r="E1683" s="294"/>
      <c r="F1683" s="310">
        <v>3.1</v>
      </c>
      <c r="G1683" s="310"/>
      <c r="H1683" s="310">
        <f t="shared" si="194"/>
        <v>4.2</v>
      </c>
      <c r="I1683" s="295">
        <f t="shared" si="195"/>
        <v>13.020000000000001</v>
      </c>
      <c r="J1683" s="295"/>
      <c r="K1683" s="300">
        <f t="shared" si="192"/>
        <v>1.1000000000000001</v>
      </c>
      <c r="L1683" s="300">
        <f t="shared" si="189"/>
        <v>0</v>
      </c>
      <c r="M1683" s="285">
        <f t="shared" si="190"/>
        <v>0</v>
      </c>
      <c r="N1683" s="1076">
        <f t="shared" si="191"/>
        <v>0</v>
      </c>
      <c r="O1683" s="294"/>
      <c r="P1683" s="404"/>
      <c r="Q1683" s="404"/>
      <c r="R1683" s="301"/>
      <c r="S1683" s="301"/>
      <c r="T1683" s="301"/>
      <c r="U1683" s="301"/>
      <c r="V1683" s="301"/>
    </row>
    <row r="1684" spans="1:22" ht="14.4" thickTop="1" thickBot="1" x14ac:dyDescent="0.3">
      <c r="A1684" s="292"/>
      <c r="B1684" s="293"/>
      <c r="C1684" s="294"/>
      <c r="D1684" s="294"/>
      <c r="E1684" s="294"/>
      <c r="F1684" s="310">
        <v>5.0549999999999997</v>
      </c>
      <c r="G1684" s="310"/>
      <c r="H1684" s="310">
        <f t="shared" si="194"/>
        <v>4.2</v>
      </c>
      <c r="I1684" s="295">
        <f t="shared" si="195"/>
        <v>21.230999999999998</v>
      </c>
      <c r="J1684" s="295"/>
      <c r="K1684" s="300">
        <f t="shared" si="192"/>
        <v>1.1000000000000001</v>
      </c>
      <c r="L1684" s="300">
        <f t="shared" si="189"/>
        <v>0</v>
      </c>
      <c r="M1684" s="285">
        <f t="shared" si="190"/>
        <v>0</v>
      </c>
      <c r="N1684" s="1076">
        <f t="shared" si="191"/>
        <v>0</v>
      </c>
      <c r="O1684" s="294"/>
      <c r="P1684" s="404"/>
      <c r="Q1684" s="404"/>
      <c r="R1684" s="301"/>
      <c r="S1684" s="301"/>
      <c r="T1684" s="301"/>
      <c r="U1684" s="301"/>
      <c r="V1684" s="301"/>
    </row>
    <row r="1685" spans="1:22" ht="14.4" thickTop="1" thickBot="1" x14ac:dyDescent="0.3">
      <c r="A1685" s="292"/>
      <c r="B1685" s="293" t="s">
        <v>1858</v>
      </c>
      <c r="C1685" s="294"/>
      <c r="D1685" s="294"/>
      <c r="E1685" s="294"/>
      <c r="F1685" s="310">
        <v>3.1</v>
      </c>
      <c r="G1685" s="310"/>
      <c r="H1685" s="310">
        <f t="shared" si="194"/>
        <v>4.2</v>
      </c>
      <c r="I1685" s="295">
        <f t="shared" si="195"/>
        <v>13.020000000000001</v>
      </c>
      <c r="J1685" s="295"/>
      <c r="K1685" s="300">
        <f t="shared" si="192"/>
        <v>1.1000000000000001</v>
      </c>
      <c r="L1685" s="300">
        <f t="shared" si="189"/>
        <v>0</v>
      </c>
      <c r="M1685" s="285">
        <f t="shared" si="190"/>
        <v>0</v>
      </c>
      <c r="N1685" s="1076">
        <f t="shared" si="191"/>
        <v>0</v>
      </c>
      <c r="O1685" s="294"/>
      <c r="P1685" s="404"/>
      <c r="Q1685" s="404"/>
      <c r="R1685" s="301"/>
      <c r="S1685" s="301"/>
      <c r="T1685" s="301"/>
      <c r="U1685" s="301"/>
      <c r="V1685" s="301"/>
    </row>
    <row r="1686" spans="1:22" ht="14.4" thickTop="1" thickBot="1" x14ac:dyDescent="0.3">
      <c r="A1686" s="292"/>
      <c r="B1686" s="293" t="s">
        <v>1859</v>
      </c>
      <c r="C1686" s="294"/>
      <c r="D1686" s="294"/>
      <c r="E1686" s="294"/>
      <c r="F1686" s="310">
        <v>1.7749999999999999</v>
      </c>
      <c r="G1686" s="310"/>
      <c r="H1686" s="310">
        <f t="shared" si="194"/>
        <v>4.2</v>
      </c>
      <c r="I1686" s="295">
        <f t="shared" si="195"/>
        <v>7.4550000000000001</v>
      </c>
      <c r="J1686" s="295"/>
      <c r="K1686" s="300">
        <f t="shared" si="192"/>
        <v>1.1000000000000001</v>
      </c>
      <c r="L1686" s="300">
        <f t="shared" si="189"/>
        <v>0</v>
      </c>
      <c r="M1686" s="285">
        <f t="shared" si="190"/>
        <v>0</v>
      </c>
      <c r="N1686" s="1076">
        <f t="shared" si="191"/>
        <v>0</v>
      </c>
      <c r="O1686" s="294"/>
      <c r="P1686" s="404"/>
      <c r="Q1686" s="404"/>
      <c r="R1686" s="301"/>
      <c r="S1686" s="301"/>
      <c r="T1686" s="301"/>
      <c r="U1686" s="301"/>
      <c r="V1686" s="301"/>
    </row>
    <row r="1687" spans="1:22" ht="14.4" thickTop="1" thickBot="1" x14ac:dyDescent="0.3">
      <c r="A1687" s="292"/>
      <c r="B1687" s="293" t="s">
        <v>1858</v>
      </c>
      <c r="C1687" s="294"/>
      <c r="D1687" s="294"/>
      <c r="E1687" s="294"/>
      <c r="F1687" s="310">
        <v>6.0880000000000001</v>
      </c>
      <c r="G1687" s="310"/>
      <c r="H1687" s="310">
        <f t="shared" si="194"/>
        <v>4.2</v>
      </c>
      <c r="I1687" s="295">
        <f t="shared" si="195"/>
        <v>25.569600000000001</v>
      </c>
      <c r="J1687" s="295"/>
      <c r="K1687" s="300">
        <f t="shared" si="192"/>
        <v>1.1000000000000001</v>
      </c>
      <c r="L1687" s="300">
        <f t="shared" si="189"/>
        <v>0</v>
      </c>
      <c r="M1687" s="285">
        <f t="shared" si="190"/>
        <v>0</v>
      </c>
      <c r="N1687" s="1076">
        <f t="shared" si="191"/>
        <v>0</v>
      </c>
      <c r="O1687" s="294"/>
      <c r="P1687" s="404"/>
      <c r="Q1687" s="404"/>
      <c r="R1687" s="301"/>
      <c r="S1687" s="301"/>
      <c r="T1687" s="301"/>
      <c r="U1687" s="301"/>
      <c r="V1687" s="301"/>
    </row>
    <row r="1688" spans="1:22" ht="14.4" thickTop="1" thickBot="1" x14ac:dyDescent="0.3">
      <c r="A1688" s="292"/>
      <c r="B1688" s="293"/>
      <c r="C1688" s="294"/>
      <c r="D1688" s="294"/>
      <c r="E1688" s="294"/>
      <c r="F1688" s="310">
        <v>0.55000000000000004</v>
      </c>
      <c r="G1688" s="310"/>
      <c r="H1688" s="310">
        <f t="shared" si="194"/>
        <v>4.2</v>
      </c>
      <c r="I1688" s="295">
        <f t="shared" si="195"/>
        <v>2.3100000000000005</v>
      </c>
      <c r="J1688" s="295"/>
      <c r="K1688" s="300">
        <f t="shared" si="192"/>
        <v>1.1000000000000001</v>
      </c>
      <c r="L1688" s="300">
        <f t="shared" si="189"/>
        <v>0</v>
      </c>
      <c r="M1688" s="285">
        <f t="shared" si="190"/>
        <v>0</v>
      </c>
      <c r="N1688" s="1076">
        <f t="shared" si="191"/>
        <v>0</v>
      </c>
      <c r="O1688" s="294"/>
      <c r="P1688" s="404"/>
      <c r="Q1688" s="404"/>
      <c r="R1688" s="301"/>
      <c r="S1688" s="301"/>
      <c r="T1688" s="301"/>
      <c r="U1688" s="301"/>
      <c r="V1688" s="301"/>
    </row>
    <row r="1689" spans="1:22" ht="14.4" thickTop="1" thickBot="1" x14ac:dyDescent="0.3">
      <c r="A1689" s="292"/>
      <c r="B1689" s="293"/>
      <c r="C1689" s="294"/>
      <c r="D1689" s="294"/>
      <c r="E1689" s="294"/>
      <c r="F1689" s="310">
        <v>3.1</v>
      </c>
      <c r="G1689" s="310"/>
      <c r="H1689" s="310">
        <f t="shared" si="194"/>
        <v>4.2</v>
      </c>
      <c r="I1689" s="295">
        <f t="shared" si="195"/>
        <v>13.020000000000001</v>
      </c>
      <c r="J1689" s="295"/>
      <c r="K1689" s="300">
        <f t="shared" si="192"/>
        <v>1.1000000000000001</v>
      </c>
      <c r="L1689" s="300">
        <f t="shared" si="189"/>
        <v>0</v>
      </c>
      <c r="M1689" s="285">
        <f t="shared" si="190"/>
        <v>0</v>
      </c>
      <c r="N1689" s="1076">
        <f t="shared" si="191"/>
        <v>0</v>
      </c>
      <c r="O1689" s="294"/>
      <c r="P1689" s="404"/>
      <c r="Q1689" s="404"/>
      <c r="R1689" s="301"/>
      <c r="S1689" s="301"/>
      <c r="T1689" s="301"/>
      <c r="U1689" s="301"/>
      <c r="V1689" s="301"/>
    </row>
    <row r="1690" spans="1:22" ht="14.4" thickTop="1" thickBot="1" x14ac:dyDescent="0.3">
      <c r="A1690" s="292"/>
      <c r="B1690" s="293"/>
      <c r="C1690" s="294"/>
      <c r="D1690" s="294"/>
      <c r="E1690" s="294"/>
      <c r="F1690" s="310">
        <v>5.0549999999999997</v>
      </c>
      <c r="G1690" s="310"/>
      <c r="H1690" s="310">
        <f t="shared" si="194"/>
        <v>4.2</v>
      </c>
      <c r="I1690" s="295">
        <f t="shared" si="195"/>
        <v>21.230999999999998</v>
      </c>
      <c r="J1690" s="295"/>
      <c r="K1690" s="300">
        <f t="shared" si="192"/>
        <v>1.1000000000000001</v>
      </c>
      <c r="L1690" s="300">
        <f t="shared" si="189"/>
        <v>0</v>
      </c>
      <c r="M1690" s="285">
        <f t="shared" si="190"/>
        <v>0</v>
      </c>
      <c r="N1690" s="1076">
        <f t="shared" si="191"/>
        <v>0</v>
      </c>
      <c r="O1690" s="294"/>
      <c r="P1690" s="404"/>
      <c r="Q1690" s="404"/>
      <c r="R1690" s="301"/>
      <c r="S1690" s="301"/>
      <c r="T1690" s="301"/>
      <c r="U1690" s="301"/>
      <c r="V1690" s="301"/>
    </row>
    <row r="1691" spans="1:22" ht="14.4" thickTop="1" thickBot="1" x14ac:dyDescent="0.3">
      <c r="A1691" s="292"/>
      <c r="B1691" s="293"/>
      <c r="C1691" s="294"/>
      <c r="D1691" s="294"/>
      <c r="E1691" s="294"/>
      <c r="F1691" s="310">
        <v>5.0549999999999997</v>
      </c>
      <c r="G1691" s="310"/>
      <c r="H1691" s="310">
        <f t="shared" si="194"/>
        <v>4.2</v>
      </c>
      <c r="I1691" s="295">
        <f t="shared" si="195"/>
        <v>21.230999999999998</v>
      </c>
      <c r="J1691" s="295"/>
      <c r="K1691" s="300">
        <f t="shared" si="192"/>
        <v>1.1000000000000001</v>
      </c>
      <c r="L1691" s="300">
        <f t="shared" si="189"/>
        <v>0</v>
      </c>
      <c r="M1691" s="285">
        <f t="shared" si="190"/>
        <v>0</v>
      </c>
      <c r="N1691" s="1076">
        <f t="shared" si="191"/>
        <v>0</v>
      </c>
      <c r="O1691" s="294"/>
      <c r="P1691" s="404"/>
      <c r="Q1691" s="404"/>
      <c r="R1691" s="301"/>
      <c r="S1691" s="301"/>
      <c r="T1691" s="301"/>
      <c r="U1691" s="301"/>
      <c r="V1691" s="301"/>
    </row>
    <row r="1692" spans="1:22" ht="14.4" thickTop="1" thickBot="1" x14ac:dyDescent="0.3">
      <c r="A1692" s="292"/>
      <c r="B1692" s="293"/>
      <c r="C1692" s="294"/>
      <c r="D1692" s="294"/>
      <c r="E1692" s="294"/>
      <c r="F1692" s="310">
        <v>3.65</v>
      </c>
      <c r="G1692" s="310"/>
      <c r="H1692" s="310">
        <f t="shared" si="194"/>
        <v>4.2</v>
      </c>
      <c r="I1692" s="295">
        <f t="shared" si="195"/>
        <v>15.33</v>
      </c>
      <c r="J1692" s="295"/>
      <c r="K1692" s="300">
        <f t="shared" si="192"/>
        <v>1.1000000000000001</v>
      </c>
      <c r="L1692" s="300">
        <f t="shared" si="189"/>
        <v>0</v>
      </c>
      <c r="M1692" s="285">
        <f t="shared" si="190"/>
        <v>0</v>
      </c>
      <c r="N1692" s="1076">
        <f t="shared" si="191"/>
        <v>0</v>
      </c>
      <c r="O1692" s="294"/>
      <c r="P1692" s="404"/>
      <c r="Q1692" s="404"/>
      <c r="R1692" s="301"/>
      <c r="S1692" s="301"/>
      <c r="T1692" s="301"/>
      <c r="U1692" s="301"/>
      <c r="V1692" s="301"/>
    </row>
    <row r="1693" spans="1:22" ht="14.4" thickTop="1" thickBot="1" x14ac:dyDescent="0.3">
      <c r="A1693" s="292"/>
      <c r="B1693" s="293" t="s">
        <v>846</v>
      </c>
      <c r="C1693" s="294"/>
      <c r="D1693" s="294"/>
      <c r="E1693" s="294"/>
      <c r="F1693" s="310"/>
      <c r="G1693" s="310"/>
      <c r="H1693" s="310"/>
      <c r="I1693" s="295">
        <f t="shared" si="195"/>
        <v>0</v>
      </c>
      <c r="J1693" s="295"/>
      <c r="K1693" s="300">
        <f t="shared" si="192"/>
        <v>1.1000000000000001</v>
      </c>
      <c r="L1693" s="300">
        <f t="shared" si="189"/>
        <v>0</v>
      </c>
      <c r="M1693" s="285">
        <f t="shared" si="190"/>
        <v>0</v>
      </c>
      <c r="N1693" s="1076">
        <f t="shared" si="191"/>
        <v>0</v>
      </c>
      <c r="O1693" s="294"/>
      <c r="P1693" s="404"/>
      <c r="Q1693" s="404"/>
      <c r="R1693" s="301"/>
      <c r="S1693" s="301"/>
      <c r="T1693" s="301"/>
      <c r="U1693" s="301"/>
      <c r="V1693" s="301"/>
    </row>
    <row r="1694" spans="1:22" ht="14.4" thickTop="1" thickBot="1" x14ac:dyDescent="0.3">
      <c r="A1694" s="292"/>
      <c r="B1694" s="293" t="s">
        <v>770</v>
      </c>
      <c r="C1694" s="294"/>
      <c r="D1694" s="294"/>
      <c r="E1694" s="294">
        <v>1</v>
      </c>
      <c r="F1694" s="310">
        <v>0.9</v>
      </c>
      <c r="G1694" s="310"/>
      <c r="H1694" s="310">
        <v>2.7</v>
      </c>
      <c r="I1694" s="295">
        <f>-H1694*F1694*E1694</f>
        <v>-2.4300000000000002</v>
      </c>
      <c r="J1694" s="295"/>
      <c r="K1694" s="300">
        <f t="shared" si="192"/>
        <v>1.1000000000000001</v>
      </c>
      <c r="L1694" s="300">
        <f t="shared" si="189"/>
        <v>0</v>
      </c>
      <c r="M1694" s="285">
        <f t="shared" si="190"/>
        <v>0</v>
      </c>
      <c r="N1694" s="1076">
        <f t="shared" si="191"/>
        <v>0</v>
      </c>
      <c r="O1694" s="294"/>
      <c r="P1694" s="404"/>
      <c r="Q1694" s="404"/>
      <c r="R1694" s="301"/>
      <c r="S1694" s="301"/>
      <c r="T1694" s="301"/>
      <c r="U1694" s="301"/>
      <c r="V1694" s="301"/>
    </row>
    <row r="1695" spans="1:22" ht="14.4" thickTop="1" thickBot="1" x14ac:dyDescent="0.3">
      <c r="A1695" s="292"/>
      <c r="B1695" s="293" t="s">
        <v>1860</v>
      </c>
      <c r="C1695" s="294"/>
      <c r="D1695" s="294"/>
      <c r="E1695" s="294">
        <v>3</v>
      </c>
      <c r="F1695" s="310">
        <v>0.9</v>
      </c>
      <c r="G1695" s="310"/>
      <c r="H1695" s="310">
        <v>2.7</v>
      </c>
      <c r="I1695" s="295">
        <f t="shared" ref="I1695:I1696" si="196">-H1695*F1695*E1695</f>
        <v>-7.2900000000000009</v>
      </c>
      <c r="J1695" s="295"/>
      <c r="K1695" s="300">
        <f t="shared" si="192"/>
        <v>1.1000000000000001</v>
      </c>
      <c r="L1695" s="300">
        <f t="shared" si="189"/>
        <v>0</v>
      </c>
      <c r="M1695" s="285">
        <f t="shared" si="190"/>
        <v>0</v>
      </c>
      <c r="N1695" s="1076">
        <f t="shared" si="191"/>
        <v>0</v>
      </c>
      <c r="O1695" s="294"/>
      <c r="P1695" s="404"/>
      <c r="Q1695" s="404"/>
      <c r="R1695" s="301"/>
      <c r="S1695" s="301"/>
      <c r="T1695" s="301"/>
      <c r="U1695" s="301"/>
      <c r="V1695" s="301"/>
    </row>
    <row r="1696" spans="1:22" ht="14.4" thickTop="1" thickBot="1" x14ac:dyDescent="0.3">
      <c r="A1696" s="292"/>
      <c r="B1696" s="293" t="s">
        <v>1861</v>
      </c>
      <c r="C1696" s="294"/>
      <c r="D1696" s="294"/>
      <c r="E1696" s="294">
        <v>4</v>
      </c>
      <c r="F1696" s="310">
        <v>0.9</v>
      </c>
      <c r="G1696" s="310"/>
      <c r="H1696" s="310">
        <v>2.4</v>
      </c>
      <c r="I1696" s="295">
        <f t="shared" si="196"/>
        <v>-8.64</v>
      </c>
      <c r="J1696" s="295"/>
      <c r="K1696" s="300">
        <f t="shared" si="192"/>
        <v>1.1000000000000001</v>
      </c>
      <c r="L1696" s="300">
        <f t="shared" si="189"/>
        <v>0</v>
      </c>
      <c r="M1696" s="285">
        <f t="shared" si="190"/>
        <v>0</v>
      </c>
      <c r="N1696" s="1076">
        <f t="shared" si="191"/>
        <v>0</v>
      </c>
      <c r="O1696" s="294"/>
      <c r="P1696" s="404"/>
      <c r="Q1696" s="404"/>
      <c r="R1696" s="301"/>
      <c r="S1696" s="301"/>
      <c r="T1696" s="301"/>
      <c r="U1696" s="301"/>
      <c r="V1696" s="301"/>
    </row>
    <row r="1697" spans="1:22" ht="14.4" thickTop="1" thickBot="1" x14ac:dyDescent="0.3">
      <c r="A1697" s="292"/>
      <c r="B1697" s="293"/>
      <c r="C1697" s="294"/>
      <c r="D1697" s="294"/>
      <c r="E1697" s="294"/>
      <c r="F1697" s="310"/>
      <c r="G1697" s="310"/>
      <c r="H1697" s="310"/>
      <c r="I1697" s="295"/>
      <c r="J1697" s="295">
        <f>SUM(I1681:I1696)</f>
        <v>173.63040000000001</v>
      </c>
      <c r="K1697" s="300">
        <f t="shared" si="192"/>
        <v>1.1000000000000001</v>
      </c>
      <c r="L1697" s="300">
        <f t="shared" si="189"/>
        <v>190.99344000000002</v>
      </c>
      <c r="M1697" s="285">
        <f t="shared" si="190"/>
        <v>191</v>
      </c>
      <c r="N1697" s="1076">
        <f t="shared" si="191"/>
        <v>191</v>
      </c>
      <c r="O1697" s="294" t="s">
        <v>695</v>
      </c>
      <c r="P1697" s="404"/>
      <c r="Q1697" s="404"/>
      <c r="R1697" s="301"/>
      <c r="S1697" s="301"/>
      <c r="T1697" s="301"/>
      <c r="U1697" s="301"/>
      <c r="V1697" s="301"/>
    </row>
    <row r="1698" spans="1:22" ht="14.4" thickTop="1" thickBot="1" x14ac:dyDescent="0.3">
      <c r="A1698" s="292"/>
      <c r="B1698" s="293"/>
      <c r="C1698" s="294"/>
      <c r="D1698" s="294"/>
      <c r="E1698" s="294"/>
      <c r="F1698" s="310"/>
      <c r="G1698" s="310"/>
      <c r="H1698" s="310"/>
      <c r="I1698" s="295"/>
      <c r="J1698" s="295">
        <f>J1697*10.76</f>
        <v>1868.2631040000001</v>
      </c>
      <c r="K1698" s="300">
        <f t="shared" si="192"/>
        <v>1.1000000000000001</v>
      </c>
      <c r="L1698" s="300">
        <f t="shared" si="189"/>
        <v>2055.0894144000004</v>
      </c>
      <c r="M1698" s="285">
        <f t="shared" si="190"/>
        <v>2055.1</v>
      </c>
      <c r="N1698" s="1076">
        <f t="shared" si="191"/>
        <v>2056</v>
      </c>
      <c r="O1698" s="294" t="s">
        <v>1846</v>
      </c>
      <c r="P1698" s="404"/>
      <c r="Q1698" s="404"/>
      <c r="R1698" s="301"/>
      <c r="S1698" s="301"/>
      <c r="T1698" s="301"/>
      <c r="U1698" s="301"/>
      <c r="V1698" s="301"/>
    </row>
    <row r="1699" spans="1:22" ht="14.4" thickTop="1" thickBot="1" x14ac:dyDescent="0.3">
      <c r="A1699" s="292"/>
      <c r="B1699" s="293"/>
      <c r="C1699" s="294"/>
      <c r="D1699" s="294"/>
      <c r="E1699" s="294"/>
      <c r="F1699" s="310"/>
      <c r="G1699" s="310"/>
      <c r="H1699" s="310"/>
      <c r="I1699" s="295"/>
      <c r="J1699" s="295">
        <f>J1698/100</f>
        <v>18.68263104</v>
      </c>
      <c r="K1699" s="300">
        <v>1.02</v>
      </c>
      <c r="L1699" s="300">
        <f t="shared" si="189"/>
        <v>19.056283660800002</v>
      </c>
      <c r="M1699" s="285">
        <f t="shared" si="190"/>
        <v>19.100000000000001</v>
      </c>
      <c r="N1699" s="1076">
        <f t="shared" si="191"/>
        <v>20</v>
      </c>
      <c r="O1699" s="294" t="s">
        <v>879</v>
      </c>
      <c r="P1699" s="404"/>
      <c r="Q1699" s="404"/>
      <c r="R1699" s="301"/>
      <c r="S1699" s="301"/>
      <c r="T1699" s="301"/>
      <c r="U1699" s="301"/>
      <c r="V1699" s="301"/>
    </row>
    <row r="1700" spans="1:22" ht="14.4" thickTop="1" thickBot="1" x14ac:dyDescent="0.3">
      <c r="A1700" s="292"/>
      <c r="B1700" s="293"/>
      <c r="C1700" s="294"/>
      <c r="D1700" s="294"/>
      <c r="E1700" s="294"/>
      <c r="F1700" s="310"/>
      <c r="G1700" s="310"/>
      <c r="H1700" s="310"/>
      <c r="I1700" s="295"/>
      <c r="J1700" s="295"/>
      <c r="K1700" s="300">
        <f t="shared" si="192"/>
        <v>1.1000000000000001</v>
      </c>
      <c r="L1700" s="300">
        <f t="shared" si="189"/>
        <v>0</v>
      </c>
      <c r="M1700" s="285">
        <f t="shared" si="190"/>
        <v>0</v>
      </c>
      <c r="N1700" s="1076">
        <f t="shared" si="191"/>
        <v>0</v>
      </c>
      <c r="O1700" s="294"/>
      <c r="P1700" s="404"/>
      <c r="Q1700" s="404"/>
      <c r="R1700" s="301"/>
      <c r="S1700" s="301"/>
      <c r="T1700" s="301"/>
      <c r="U1700" s="301"/>
      <c r="V1700" s="301"/>
    </row>
    <row r="1701" spans="1:22" ht="14.4" thickTop="1" thickBot="1" x14ac:dyDescent="0.3">
      <c r="A1701" s="292"/>
      <c r="B1701" s="293" t="s">
        <v>1862</v>
      </c>
      <c r="C1701" s="294"/>
      <c r="D1701" s="294"/>
      <c r="E1701" s="294">
        <v>2</v>
      </c>
      <c r="F1701" s="310">
        <v>15.5</v>
      </c>
      <c r="G1701" s="310"/>
      <c r="H1701" s="310">
        <f>H1644</f>
        <v>3.9</v>
      </c>
      <c r="I1701" s="295">
        <f>H1701*F1701*E1701</f>
        <v>120.89999999999999</v>
      </c>
      <c r="J1701" s="295"/>
      <c r="K1701" s="300">
        <f t="shared" si="192"/>
        <v>1.1000000000000001</v>
      </c>
      <c r="L1701" s="300">
        <f t="shared" si="189"/>
        <v>0</v>
      </c>
      <c r="M1701" s="285">
        <f t="shared" si="190"/>
        <v>0</v>
      </c>
      <c r="N1701" s="1076">
        <f t="shared" si="191"/>
        <v>0</v>
      </c>
      <c r="O1701" s="294"/>
      <c r="P1701" s="404"/>
      <c r="Q1701" s="404"/>
      <c r="R1701" s="301"/>
      <c r="S1701" s="301"/>
      <c r="T1701" s="301"/>
      <c r="U1701" s="301"/>
      <c r="V1701" s="301"/>
    </row>
    <row r="1702" spans="1:22" ht="14.4" thickTop="1" thickBot="1" x14ac:dyDescent="0.3">
      <c r="A1702" s="292"/>
      <c r="B1702" s="293"/>
      <c r="C1702" s="294"/>
      <c r="D1702" s="294"/>
      <c r="E1702" s="294">
        <v>6</v>
      </c>
      <c r="F1702" s="310">
        <v>4.2</v>
      </c>
      <c r="G1702" s="310"/>
      <c r="H1702" s="310">
        <f>H1645</f>
        <v>3.9</v>
      </c>
      <c r="I1702" s="295">
        <f t="shared" ref="I1702:I1712" si="197">H1702*F1702*E1702</f>
        <v>98.28</v>
      </c>
      <c r="J1702" s="295"/>
      <c r="K1702" s="300">
        <f t="shared" si="192"/>
        <v>1.1000000000000001</v>
      </c>
      <c r="L1702" s="300">
        <f t="shared" si="189"/>
        <v>0</v>
      </c>
      <c r="M1702" s="285">
        <f t="shared" si="190"/>
        <v>0</v>
      </c>
      <c r="N1702" s="1076">
        <f t="shared" si="191"/>
        <v>0</v>
      </c>
      <c r="O1702" s="294"/>
      <c r="P1702" s="404"/>
      <c r="Q1702" s="404"/>
      <c r="R1702" s="301"/>
      <c r="S1702" s="301"/>
      <c r="T1702" s="301"/>
      <c r="U1702" s="301"/>
      <c r="V1702" s="301"/>
    </row>
    <row r="1703" spans="1:22" ht="14.4" thickTop="1" thickBot="1" x14ac:dyDescent="0.3">
      <c r="A1703" s="292"/>
      <c r="B1703" s="293"/>
      <c r="C1703" s="294"/>
      <c r="D1703" s="294"/>
      <c r="E1703" s="294">
        <v>3</v>
      </c>
      <c r="F1703" s="310">
        <v>12.4</v>
      </c>
      <c r="G1703" s="310"/>
      <c r="H1703" s="310">
        <f>H1648</f>
        <v>3.9</v>
      </c>
      <c r="I1703" s="295">
        <f t="shared" si="197"/>
        <v>145.07999999999998</v>
      </c>
      <c r="J1703" s="295"/>
      <c r="K1703" s="300">
        <f t="shared" si="192"/>
        <v>1.1000000000000001</v>
      </c>
      <c r="L1703" s="300">
        <f t="shared" si="189"/>
        <v>0</v>
      </c>
      <c r="M1703" s="285">
        <f t="shared" si="190"/>
        <v>0</v>
      </c>
      <c r="N1703" s="1076">
        <f t="shared" si="191"/>
        <v>0</v>
      </c>
      <c r="O1703" s="294"/>
      <c r="P1703" s="404"/>
      <c r="Q1703" s="404"/>
      <c r="R1703" s="301"/>
      <c r="S1703" s="301"/>
      <c r="T1703" s="301"/>
      <c r="U1703" s="301"/>
      <c r="V1703" s="301"/>
    </row>
    <row r="1704" spans="1:22" ht="14.4" thickTop="1" thickBot="1" x14ac:dyDescent="0.3">
      <c r="A1704" s="292"/>
      <c r="B1704" s="293"/>
      <c r="C1704" s="294"/>
      <c r="D1704" s="294"/>
      <c r="E1704" s="294">
        <v>4</v>
      </c>
      <c r="F1704" s="310">
        <v>6.3</v>
      </c>
      <c r="G1704" s="310"/>
      <c r="H1704" s="310">
        <f>H1649</f>
        <v>3.9</v>
      </c>
      <c r="I1704" s="295">
        <f t="shared" si="197"/>
        <v>98.28</v>
      </c>
      <c r="J1704" s="295"/>
      <c r="K1704" s="300">
        <f t="shared" si="192"/>
        <v>1.1000000000000001</v>
      </c>
      <c r="L1704" s="300">
        <f t="shared" si="189"/>
        <v>0</v>
      </c>
      <c r="M1704" s="285">
        <f t="shared" si="190"/>
        <v>0</v>
      </c>
      <c r="N1704" s="1076">
        <f t="shared" si="191"/>
        <v>0</v>
      </c>
      <c r="O1704" s="294"/>
      <c r="P1704" s="404"/>
      <c r="Q1704" s="404"/>
      <c r="R1704" s="301"/>
      <c r="S1704" s="301"/>
      <c r="T1704" s="301"/>
      <c r="U1704" s="301"/>
      <c r="V1704" s="301"/>
    </row>
    <row r="1705" spans="1:22" ht="14.4" thickTop="1" thickBot="1" x14ac:dyDescent="0.3">
      <c r="A1705" s="292"/>
      <c r="B1705" s="293"/>
      <c r="C1705" s="294"/>
      <c r="D1705" s="294"/>
      <c r="E1705" s="294">
        <v>3</v>
      </c>
      <c r="F1705" s="310">
        <v>11.324999999999999</v>
      </c>
      <c r="G1705" s="310"/>
      <c r="H1705" s="310">
        <f>H1651</f>
        <v>3.9</v>
      </c>
      <c r="I1705" s="295">
        <f t="shared" si="197"/>
        <v>132.5025</v>
      </c>
      <c r="J1705" s="295"/>
      <c r="K1705" s="300">
        <f t="shared" si="192"/>
        <v>1.1000000000000001</v>
      </c>
      <c r="L1705" s="300">
        <f t="shared" si="189"/>
        <v>0</v>
      </c>
      <c r="M1705" s="285">
        <f t="shared" si="190"/>
        <v>0</v>
      </c>
      <c r="N1705" s="1076">
        <f t="shared" si="191"/>
        <v>0</v>
      </c>
      <c r="O1705" s="294"/>
      <c r="P1705" s="404"/>
      <c r="Q1705" s="404"/>
      <c r="R1705" s="301"/>
      <c r="S1705" s="301"/>
      <c r="T1705" s="301"/>
      <c r="U1705" s="301"/>
      <c r="V1705" s="301"/>
    </row>
    <row r="1706" spans="1:22" ht="14.4" thickTop="1" thickBot="1" x14ac:dyDescent="0.3">
      <c r="A1706" s="292"/>
      <c r="B1706" s="293"/>
      <c r="C1706" s="294"/>
      <c r="D1706" s="294"/>
      <c r="E1706" s="294">
        <v>3</v>
      </c>
      <c r="F1706" s="310">
        <v>6.3</v>
      </c>
      <c r="G1706" s="310"/>
      <c r="H1706" s="310">
        <f>H1652</f>
        <v>3.9</v>
      </c>
      <c r="I1706" s="295">
        <f t="shared" si="197"/>
        <v>73.710000000000008</v>
      </c>
      <c r="J1706" s="295"/>
      <c r="K1706" s="300">
        <f t="shared" si="192"/>
        <v>1.1000000000000001</v>
      </c>
      <c r="L1706" s="300">
        <f t="shared" si="189"/>
        <v>0</v>
      </c>
      <c r="M1706" s="285">
        <f t="shared" si="190"/>
        <v>0</v>
      </c>
      <c r="N1706" s="1076">
        <f t="shared" si="191"/>
        <v>0</v>
      </c>
      <c r="O1706" s="294"/>
      <c r="P1706" s="404"/>
      <c r="Q1706" s="404"/>
      <c r="R1706" s="301"/>
      <c r="S1706" s="301"/>
      <c r="T1706" s="301"/>
      <c r="U1706" s="301"/>
      <c r="V1706" s="301"/>
    </row>
    <row r="1707" spans="1:22" ht="14.4" thickTop="1" thickBot="1" x14ac:dyDescent="0.3">
      <c r="A1707" s="292"/>
      <c r="B1707" s="293" t="s">
        <v>1858</v>
      </c>
      <c r="C1707" s="294"/>
      <c r="D1707" s="294"/>
      <c r="E1707" s="294">
        <v>1</v>
      </c>
      <c r="F1707" s="310">
        <v>3.18</v>
      </c>
      <c r="G1707" s="310"/>
      <c r="H1707" s="310">
        <f>H1706</f>
        <v>3.9</v>
      </c>
      <c r="I1707" s="295">
        <f t="shared" si="197"/>
        <v>12.402000000000001</v>
      </c>
      <c r="J1707" s="295"/>
      <c r="K1707" s="300">
        <f t="shared" si="192"/>
        <v>1.1000000000000001</v>
      </c>
      <c r="L1707" s="300">
        <f t="shared" si="189"/>
        <v>0</v>
      </c>
      <c r="M1707" s="285">
        <f t="shared" si="190"/>
        <v>0</v>
      </c>
      <c r="N1707" s="1076">
        <f t="shared" si="191"/>
        <v>0</v>
      </c>
      <c r="O1707" s="294"/>
      <c r="P1707" s="404"/>
      <c r="Q1707" s="404"/>
      <c r="R1707" s="301"/>
      <c r="S1707" s="301"/>
      <c r="T1707" s="301"/>
      <c r="U1707" s="301"/>
      <c r="V1707" s="301"/>
    </row>
    <row r="1708" spans="1:22" ht="14.4" thickTop="1" thickBot="1" x14ac:dyDescent="0.3">
      <c r="A1708" s="292"/>
      <c r="B1708" s="293"/>
      <c r="C1708" s="294"/>
      <c r="D1708" s="294"/>
      <c r="E1708" s="294">
        <v>5</v>
      </c>
      <c r="F1708" s="310">
        <v>6.1</v>
      </c>
      <c r="G1708" s="310"/>
      <c r="H1708" s="310">
        <f>H1653</f>
        <v>3.9</v>
      </c>
      <c r="I1708" s="295">
        <f t="shared" si="197"/>
        <v>118.94999999999999</v>
      </c>
      <c r="J1708" s="295"/>
      <c r="K1708" s="300">
        <f t="shared" si="192"/>
        <v>1.1000000000000001</v>
      </c>
      <c r="L1708" s="300">
        <f t="shared" si="189"/>
        <v>0</v>
      </c>
      <c r="M1708" s="285">
        <f t="shared" si="190"/>
        <v>0</v>
      </c>
      <c r="N1708" s="1076">
        <f t="shared" si="191"/>
        <v>0</v>
      </c>
      <c r="O1708" s="294"/>
      <c r="P1708" s="404"/>
      <c r="Q1708" s="404"/>
      <c r="R1708" s="301"/>
      <c r="S1708" s="301"/>
      <c r="T1708" s="301"/>
      <c r="U1708" s="301"/>
      <c r="V1708" s="301"/>
    </row>
    <row r="1709" spans="1:22" ht="14.4" thickTop="1" thickBot="1" x14ac:dyDescent="0.3">
      <c r="A1709" s="292"/>
      <c r="B1709" s="293"/>
      <c r="C1709" s="294"/>
      <c r="D1709" s="294"/>
      <c r="E1709" s="294">
        <v>3</v>
      </c>
      <c r="F1709" s="310">
        <v>17.375</v>
      </c>
      <c r="G1709" s="310"/>
      <c r="H1709" s="310">
        <f>H1654</f>
        <v>3.9</v>
      </c>
      <c r="I1709" s="295">
        <f t="shared" si="197"/>
        <v>203.28750000000002</v>
      </c>
      <c r="J1709" s="295"/>
      <c r="K1709" s="300">
        <f t="shared" si="192"/>
        <v>1.1000000000000001</v>
      </c>
      <c r="L1709" s="300">
        <f t="shared" si="189"/>
        <v>0</v>
      </c>
      <c r="M1709" s="285">
        <f t="shared" si="190"/>
        <v>0</v>
      </c>
      <c r="N1709" s="1076">
        <f t="shared" si="191"/>
        <v>0</v>
      </c>
      <c r="O1709" s="294"/>
      <c r="P1709" s="404"/>
      <c r="Q1709" s="404"/>
      <c r="R1709" s="301"/>
      <c r="S1709" s="301"/>
      <c r="T1709" s="301"/>
      <c r="U1709" s="301"/>
      <c r="V1709" s="301"/>
    </row>
    <row r="1710" spans="1:22" ht="14.4" thickTop="1" thickBot="1" x14ac:dyDescent="0.3">
      <c r="A1710" s="292"/>
      <c r="B1710" s="293"/>
      <c r="C1710" s="294"/>
      <c r="D1710" s="294"/>
      <c r="E1710" s="294">
        <v>3</v>
      </c>
      <c r="F1710" s="310">
        <v>19.524999999999999</v>
      </c>
      <c r="G1710" s="310"/>
      <c r="H1710" s="310">
        <f>H1655</f>
        <v>3.9</v>
      </c>
      <c r="I1710" s="295">
        <f t="shared" si="197"/>
        <v>228.4425</v>
      </c>
      <c r="J1710" s="295"/>
      <c r="K1710" s="300">
        <f t="shared" si="192"/>
        <v>1.1000000000000001</v>
      </c>
      <c r="L1710" s="300">
        <f t="shared" si="189"/>
        <v>0</v>
      </c>
      <c r="M1710" s="285">
        <f t="shared" si="190"/>
        <v>0</v>
      </c>
      <c r="N1710" s="1076">
        <f t="shared" si="191"/>
        <v>0</v>
      </c>
      <c r="O1710" s="294"/>
      <c r="P1710" s="423"/>
      <c r="Q1710" s="404"/>
      <c r="R1710" s="301"/>
      <c r="S1710" s="301"/>
      <c r="T1710" s="301"/>
      <c r="U1710" s="301"/>
      <c r="V1710" s="301"/>
    </row>
    <row r="1711" spans="1:22" ht="14.4" thickTop="1" thickBot="1" x14ac:dyDescent="0.3">
      <c r="A1711" s="292"/>
      <c r="B1711" s="293"/>
      <c r="C1711" s="294"/>
      <c r="D1711" s="294"/>
      <c r="E1711" s="294">
        <v>6</v>
      </c>
      <c r="F1711" s="310">
        <v>6.3</v>
      </c>
      <c r="G1711" s="310"/>
      <c r="H1711" s="310">
        <v>3.9</v>
      </c>
      <c r="I1711" s="295">
        <f t="shared" si="197"/>
        <v>147.42000000000002</v>
      </c>
      <c r="J1711" s="295"/>
      <c r="K1711" s="300">
        <f t="shared" si="192"/>
        <v>1.1000000000000001</v>
      </c>
      <c r="L1711" s="300">
        <f t="shared" si="189"/>
        <v>0</v>
      </c>
      <c r="M1711" s="285">
        <f t="shared" si="190"/>
        <v>0</v>
      </c>
      <c r="N1711" s="1076">
        <f t="shared" si="191"/>
        <v>0</v>
      </c>
      <c r="O1711" s="294"/>
      <c r="P1711" s="404"/>
      <c r="Q1711" s="404"/>
      <c r="R1711" s="301"/>
      <c r="S1711" s="301"/>
      <c r="T1711" s="301"/>
      <c r="U1711" s="301"/>
      <c r="V1711" s="301"/>
    </row>
    <row r="1712" spans="1:22" ht="14.4" thickTop="1" thickBot="1" x14ac:dyDescent="0.3">
      <c r="A1712" s="292"/>
      <c r="B1712" s="293" t="s">
        <v>846</v>
      </c>
      <c r="C1712" s="294"/>
      <c r="D1712" s="294"/>
      <c r="E1712" s="294"/>
      <c r="F1712" s="310"/>
      <c r="G1712" s="310"/>
      <c r="H1712" s="310"/>
      <c r="I1712" s="295">
        <f t="shared" si="197"/>
        <v>0</v>
      </c>
      <c r="J1712" s="295"/>
      <c r="K1712" s="300">
        <f t="shared" si="192"/>
        <v>1.1000000000000001</v>
      </c>
      <c r="L1712" s="300">
        <f t="shared" si="189"/>
        <v>0</v>
      </c>
      <c r="M1712" s="285">
        <f t="shared" si="190"/>
        <v>0</v>
      </c>
      <c r="N1712" s="1076">
        <f t="shared" si="191"/>
        <v>0</v>
      </c>
      <c r="O1712" s="294"/>
      <c r="P1712" s="404"/>
      <c r="Q1712" s="404"/>
      <c r="R1712" s="301"/>
      <c r="S1712" s="301"/>
      <c r="T1712" s="301"/>
      <c r="U1712" s="301"/>
      <c r="V1712" s="301"/>
    </row>
    <row r="1713" spans="1:22" ht="14.4" thickTop="1" thickBot="1" x14ac:dyDescent="0.3">
      <c r="A1713" s="292"/>
      <c r="B1713" s="293" t="s">
        <v>811</v>
      </c>
      <c r="C1713" s="294"/>
      <c r="D1713" s="294"/>
      <c r="E1713" s="294">
        <v>32</v>
      </c>
      <c r="F1713" s="310">
        <v>3</v>
      </c>
      <c r="G1713" s="310"/>
      <c r="H1713" s="310">
        <v>2.7</v>
      </c>
      <c r="I1713" s="295">
        <f>-H1713*F1713*E1713</f>
        <v>-259.20000000000005</v>
      </c>
      <c r="J1713" s="295"/>
      <c r="K1713" s="300">
        <f t="shared" si="192"/>
        <v>1.1000000000000001</v>
      </c>
      <c r="L1713" s="300">
        <f t="shared" si="189"/>
        <v>0</v>
      </c>
      <c r="M1713" s="285">
        <f t="shared" si="190"/>
        <v>0</v>
      </c>
      <c r="N1713" s="1076">
        <f t="shared" si="191"/>
        <v>0</v>
      </c>
      <c r="O1713" s="294"/>
      <c r="P1713" s="404"/>
      <c r="Q1713" s="404"/>
      <c r="R1713" s="301"/>
      <c r="S1713" s="301"/>
      <c r="T1713" s="301"/>
      <c r="U1713" s="301"/>
      <c r="V1713" s="301"/>
    </row>
    <row r="1714" spans="1:22" ht="14.4" thickTop="1" thickBot="1" x14ac:dyDescent="0.3">
      <c r="A1714" s="292"/>
      <c r="B1714" s="293" t="s">
        <v>1863</v>
      </c>
      <c r="C1714" s="294"/>
      <c r="D1714" s="294"/>
      <c r="E1714" s="294">
        <v>4</v>
      </c>
      <c r="F1714" s="310">
        <v>1.65</v>
      </c>
      <c r="G1714" s="310"/>
      <c r="H1714" s="310">
        <v>2.7</v>
      </c>
      <c r="I1714" s="295">
        <f t="shared" ref="I1714:I1715" si="198">-H1714*F1714*E1714</f>
        <v>-17.82</v>
      </c>
      <c r="J1714" s="295"/>
      <c r="K1714" s="300">
        <f t="shared" si="192"/>
        <v>1.1000000000000001</v>
      </c>
      <c r="L1714" s="300">
        <f t="shared" si="189"/>
        <v>0</v>
      </c>
      <c r="M1714" s="285">
        <f t="shared" si="190"/>
        <v>0</v>
      </c>
      <c r="N1714" s="1076">
        <f t="shared" si="191"/>
        <v>0</v>
      </c>
      <c r="O1714" s="294"/>
      <c r="P1714" s="404"/>
      <c r="Q1714" s="404"/>
      <c r="R1714" s="301"/>
      <c r="S1714" s="301"/>
      <c r="T1714" s="301"/>
      <c r="U1714" s="301"/>
      <c r="V1714" s="301"/>
    </row>
    <row r="1715" spans="1:22" ht="14.4" thickTop="1" thickBot="1" x14ac:dyDescent="0.3">
      <c r="A1715" s="292"/>
      <c r="B1715" s="293" t="s">
        <v>1861</v>
      </c>
      <c r="C1715" s="294"/>
      <c r="D1715" s="294"/>
      <c r="E1715" s="294">
        <v>4</v>
      </c>
      <c r="F1715" s="310">
        <v>0.9</v>
      </c>
      <c r="G1715" s="310"/>
      <c r="H1715" s="310">
        <v>2.1</v>
      </c>
      <c r="I1715" s="295">
        <f t="shared" si="198"/>
        <v>-7.5600000000000005</v>
      </c>
      <c r="J1715" s="295"/>
      <c r="K1715" s="300">
        <f t="shared" si="192"/>
        <v>1.1000000000000001</v>
      </c>
      <c r="L1715" s="300">
        <f t="shared" si="189"/>
        <v>0</v>
      </c>
      <c r="M1715" s="285">
        <f t="shared" si="190"/>
        <v>0</v>
      </c>
      <c r="N1715" s="1076">
        <f t="shared" si="191"/>
        <v>0</v>
      </c>
      <c r="O1715" s="294"/>
      <c r="P1715" s="404"/>
      <c r="Q1715" s="404"/>
      <c r="R1715" s="301"/>
      <c r="S1715" s="301"/>
      <c r="T1715" s="301"/>
      <c r="U1715" s="301"/>
      <c r="V1715" s="301"/>
    </row>
    <row r="1716" spans="1:22" ht="14.4" thickTop="1" thickBot="1" x14ac:dyDescent="0.3">
      <c r="A1716" s="292"/>
      <c r="B1716" s="293"/>
      <c r="C1716" s="294"/>
      <c r="D1716" s="294"/>
      <c r="E1716" s="294"/>
      <c r="F1716" s="310"/>
      <c r="G1716" s="310"/>
      <c r="H1716" s="310"/>
      <c r="I1716" s="295"/>
      <c r="J1716" s="295">
        <f>SUM(I1701:I1715)</f>
        <v>1094.6745000000003</v>
      </c>
      <c r="K1716" s="300">
        <f t="shared" si="192"/>
        <v>1.1000000000000001</v>
      </c>
      <c r="L1716" s="300">
        <f t="shared" si="189"/>
        <v>1204.1419500000004</v>
      </c>
      <c r="M1716" s="285">
        <f t="shared" si="190"/>
        <v>1204.0999999999999</v>
      </c>
      <c r="N1716" s="1076">
        <f t="shared" si="191"/>
        <v>1205</v>
      </c>
      <c r="O1716" s="294" t="s">
        <v>695</v>
      </c>
      <c r="P1716" s="404"/>
      <c r="Q1716" s="404"/>
      <c r="R1716" s="301"/>
      <c r="S1716" s="301"/>
      <c r="T1716" s="301"/>
      <c r="U1716" s="301"/>
      <c r="V1716" s="301"/>
    </row>
    <row r="1717" spans="1:22" ht="14.4" thickTop="1" thickBot="1" x14ac:dyDescent="0.3">
      <c r="A1717" s="292"/>
      <c r="B1717" s="293"/>
      <c r="C1717" s="294"/>
      <c r="D1717" s="294"/>
      <c r="E1717" s="294"/>
      <c r="F1717" s="310"/>
      <c r="G1717" s="310"/>
      <c r="H1717" s="310"/>
      <c r="I1717" s="295"/>
      <c r="J1717" s="295">
        <f>J1716*10.76</f>
        <v>11778.697620000003</v>
      </c>
      <c r="K1717" s="300">
        <f t="shared" si="192"/>
        <v>1.1000000000000001</v>
      </c>
      <c r="L1717" s="300">
        <f t="shared" si="189"/>
        <v>12956.567382000005</v>
      </c>
      <c r="M1717" s="285">
        <f t="shared" si="190"/>
        <v>12956.6</v>
      </c>
      <c r="N1717" s="1076">
        <f t="shared" si="191"/>
        <v>12957</v>
      </c>
      <c r="O1717" s="294" t="s">
        <v>1846</v>
      </c>
      <c r="P1717" s="404"/>
      <c r="Q1717" s="404"/>
      <c r="R1717" s="301"/>
      <c r="S1717" s="301"/>
      <c r="T1717" s="301"/>
      <c r="U1717" s="301"/>
      <c r="V1717" s="301"/>
    </row>
    <row r="1718" spans="1:22" ht="14.4" thickTop="1" thickBot="1" x14ac:dyDescent="0.3">
      <c r="A1718" s="292"/>
      <c r="B1718" s="293"/>
      <c r="C1718" s="294"/>
      <c r="D1718" s="294"/>
      <c r="E1718" s="294"/>
      <c r="F1718" s="310"/>
      <c r="G1718" s="310"/>
      <c r="H1718" s="310"/>
      <c r="I1718" s="295"/>
      <c r="J1718" s="295">
        <f>J1717/100</f>
        <v>117.78697620000003</v>
      </c>
      <c r="K1718" s="300">
        <v>1.02</v>
      </c>
      <c r="L1718" s="300">
        <f t="shared" si="189"/>
        <v>120.14271572400003</v>
      </c>
      <c r="M1718" s="285">
        <f t="shared" si="190"/>
        <v>120.1</v>
      </c>
      <c r="N1718" s="1076">
        <f t="shared" si="191"/>
        <v>121</v>
      </c>
      <c r="O1718" s="294" t="s">
        <v>879</v>
      </c>
      <c r="P1718" s="404"/>
      <c r="Q1718" s="404"/>
      <c r="R1718" s="301"/>
      <c r="S1718" s="301"/>
      <c r="T1718" s="301"/>
      <c r="U1718" s="301"/>
      <c r="V1718" s="301"/>
    </row>
    <row r="1719" spans="1:22" ht="14.4" thickTop="1" thickBot="1" x14ac:dyDescent="0.3">
      <c r="A1719" s="292"/>
      <c r="B1719" s="293"/>
      <c r="C1719" s="294"/>
      <c r="D1719" s="294"/>
      <c r="E1719" s="294"/>
      <c r="F1719" s="310"/>
      <c r="G1719" s="310"/>
      <c r="H1719" s="310"/>
      <c r="I1719" s="295"/>
      <c r="J1719" s="295"/>
      <c r="K1719" s="300">
        <f t="shared" si="192"/>
        <v>1.1000000000000001</v>
      </c>
      <c r="L1719" s="300">
        <f t="shared" si="189"/>
        <v>0</v>
      </c>
      <c r="M1719" s="285">
        <f t="shared" si="190"/>
        <v>0</v>
      </c>
      <c r="N1719" s="1076">
        <f t="shared" si="191"/>
        <v>0</v>
      </c>
      <c r="O1719" s="294"/>
      <c r="P1719" s="404"/>
      <c r="Q1719" s="404"/>
      <c r="R1719" s="301"/>
      <c r="S1719" s="301"/>
      <c r="T1719" s="301"/>
      <c r="U1719" s="301"/>
      <c r="V1719" s="301"/>
    </row>
    <row r="1720" spans="1:22" ht="14.4" thickTop="1" thickBot="1" x14ac:dyDescent="0.3">
      <c r="A1720" s="292"/>
      <c r="B1720" s="293" t="s">
        <v>1864</v>
      </c>
      <c r="C1720" s="294"/>
      <c r="D1720" s="294"/>
      <c r="E1720" s="294">
        <v>1</v>
      </c>
      <c r="F1720" s="310">
        <v>1.2</v>
      </c>
      <c r="G1720" s="310"/>
      <c r="H1720" s="310">
        <v>6</v>
      </c>
      <c r="I1720" s="295">
        <f>H1720*F1720*E1720</f>
        <v>7.1999999999999993</v>
      </c>
      <c r="J1720" s="295"/>
      <c r="K1720" s="300">
        <f t="shared" si="192"/>
        <v>1.1000000000000001</v>
      </c>
      <c r="L1720" s="300">
        <f t="shared" si="189"/>
        <v>0</v>
      </c>
      <c r="M1720" s="285">
        <f t="shared" si="190"/>
        <v>0</v>
      </c>
      <c r="N1720" s="1076">
        <f t="shared" si="191"/>
        <v>0</v>
      </c>
      <c r="O1720" s="294"/>
      <c r="P1720" s="404"/>
      <c r="Q1720" s="404"/>
      <c r="R1720" s="301"/>
      <c r="S1720" s="301"/>
      <c r="T1720" s="301"/>
      <c r="U1720" s="301"/>
      <c r="V1720" s="301"/>
    </row>
    <row r="1721" spans="1:22" ht="14.4" thickTop="1" thickBot="1" x14ac:dyDescent="0.3">
      <c r="A1721" s="292"/>
      <c r="B1721" s="293"/>
      <c r="C1721" s="294"/>
      <c r="D1721" s="294"/>
      <c r="E1721" s="294">
        <v>3</v>
      </c>
      <c r="F1721" s="310">
        <v>6.8</v>
      </c>
      <c r="G1721" s="310"/>
      <c r="H1721" s="310">
        <v>5</v>
      </c>
      <c r="I1721" s="295">
        <f t="shared" ref="I1721:I1724" si="199">H1721*F1721*E1721</f>
        <v>102</v>
      </c>
      <c r="J1721" s="295"/>
      <c r="K1721" s="300">
        <f t="shared" si="192"/>
        <v>1.1000000000000001</v>
      </c>
      <c r="L1721" s="300">
        <f t="shared" si="189"/>
        <v>0</v>
      </c>
      <c r="M1721" s="285">
        <f t="shared" si="190"/>
        <v>0</v>
      </c>
      <c r="N1721" s="1076">
        <f t="shared" si="191"/>
        <v>0</v>
      </c>
      <c r="O1721" s="294"/>
      <c r="P1721" s="404"/>
      <c r="Q1721" s="404"/>
      <c r="R1721" s="301"/>
      <c r="S1721" s="301"/>
      <c r="T1721" s="301"/>
      <c r="U1721" s="301"/>
      <c r="V1721" s="301"/>
    </row>
    <row r="1722" spans="1:22" ht="14.4" thickTop="1" thickBot="1" x14ac:dyDescent="0.3">
      <c r="A1722" s="292"/>
      <c r="B1722" s="293"/>
      <c r="C1722" s="294"/>
      <c r="D1722" s="294"/>
      <c r="E1722" s="294">
        <v>2</v>
      </c>
      <c r="F1722" s="310">
        <v>5.1749999999999998</v>
      </c>
      <c r="G1722" s="310"/>
      <c r="H1722" s="310">
        <v>5</v>
      </c>
      <c r="I1722" s="295">
        <f t="shared" si="199"/>
        <v>51.75</v>
      </c>
      <c r="J1722" s="295"/>
      <c r="K1722" s="300">
        <f t="shared" si="192"/>
        <v>1.1000000000000001</v>
      </c>
      <c r="L1722" s="300">
        <f t="shared" si="189"/>
        <v>0</v>
      </c>
      <c r="M1722" s="285">
        <f t="shared" si="190"/>
        <v>0</v>
      </c>
      <c r="N1722" s="1076">
        <f t="shared" si="191"/>
        <v>0</v>
      </c>
      <c r="O1722" s="294"/>
      <c r="P1722" s="404"/>
      <c r="Q1722" s="404"/>
      <c r="R1722" s="301"/>
      <c r="S1722" s="301"/>
      <c r="T1722" s="301"/>
      <c r="U1722" s="301"/>
      <c r="V1722" s="301"/>
    </row>
    <row r="1723" spans="1:22" ht="14.4" thickTop="1" thickBot="1" x14ac:dyDescent="0.3">
      <c r="A1723" s="292"/>
      <c r="B1723" s="293"/>
      <c r="C1723" s="294"/>
      <c r="D1723" s="294"/>
      <c r="E1723" s="294">
        <v>1</v>
      </c>
      <c r="F1723" s="310">
        <v>8.2880000000000003</v>
      </c>
      <c r="G1723" s="310"/>
      <c r="H1723" s="310">
        <v>5</v>
      </c>
      <c r="I1723" s="295">
        <f t="shared" si="199"/>
        <v>41.44</v>
      </c>
      <c r="J1723" s="295"/>
      <c r="K1723" s="300">
        <f t="shared" si="192"/>
        <v>1.1000000000000001</v>
      </c>
      <c r="L1723" s="300">
        <f t="shared" ref="L1723:L1825" si="200">K1723*J1723</f>
        <v>0</v>
      </c>
      <c r="M1723" s="285">
        <f t="shared" ref="M1723:M1825" si="201">ROUND(L1723,1)</f>
        <v>0</v>
      </c>
      <c r="N1723" s="1076">
        <f t="shared" ref="N1723:N1825" si="202">ROUNDUP(M1723,0)</f>
        <v>0</v>
      </c>
      <c r="O1723" s="294"/>
      <c r="P1723" s="404"/>
      <c r="Q1723" s="404"/>
      <c r="R1723" s="301"/>
      <c r="S1723" s="301"/>
      <c r="T1723" s="301"/>
      <c r="U1723" s="301"/>
      <c r="V1723" s="301"/>
    </row>
    <row r="1724" spans="1:22" ht="14.4" thickTop="1" thickBot="1" x14ac:dyDescent="0.3">
      <c r="A1724" s="292"/>
      <c r="B1724" s="293" t="s">
        <v>846</v>
      </c>
      <c r="C1724" s="294"/>
      <c r="D1724" s="294"/>
      <c r="E1724" s="294"/>
      <c r="F1724" s="310"/>
      <c r="G1724" s="310"/>
      <c r="H1724" s="310"/>
      <c r="I1724" s="295">
        <f t="shared" si="199"/>
        <v>0</v>
      </c>
      <c r="J1724" s="295"/>
      <c r="K1724" s="300">
        <f t="shared" si="192"/>
        <v>1.1000000000000001</v>
      </c>
      <c r="L1724" s="300">
        <f t="shared" si="200"/>
        <v>0</v>
      </c>
      <c r="M1724" s="285">
        <f t="shared" si="201"/>
        <v>0</v>
      </c>
      <c r="N1724" s="1076">
        <f t="shared" si="202"/>
        <v>0</v>
      </c>
      <c r="O1724" s="294"/>
      <c r="P1724" s="404"/>
      <c r="Q1724" s="404"/>
      <c r="R1724" s="301"/>
      <c r="S1724" s="301"/>
      <c r="T1724" s="301"/>
      <c r="U1724" s="301"/>
      <c r="V1724" s="301"/>
    </row>
    <row r="1725" spans="1:22" ht="14.4" thickTop="1" thickBot="1" x14ac:dyDescent="0.3">
      <c r="A1725" s="292"/>
      <c r="B1725" s="293" t="s">
        <v>769</v>
      </c>
      <c r="C1725" s="294"/>
      <c r="D1725" s="294"/>
      <c r="E1725" s="294">
        <v>2</v>
      </c>
      <c r="F1725" s="310">
        <v>0.9</v>
      </c>
      <c r="G1725" s="310"/>
      <c r="H1725" s="310">
        <v>0.9</v>
      </c>
      <c r="I1725" s="295">
        <f>-H1725*F1725*E1725</f>
        <v>-1.62</v>
      </c>
      <c r="J1725" s="295"/>
      <c r="K1725" s="300">
        <f t="shared" ref="K1725:K1830" si="203">$K$2</f>
        <v>1.1000000000000001</v>
      </c>
      <c r="L1725" s="300">
        <f t="shared" si="200"/>
        <v>0</v>
      </c>
      <c r="M1725" s="285">
        <f t="shared" si="201"/>
        <v>0</v>
      </c>
      <c r="N1725" s="1076">
        <f t="shared" si="202"/>
        <v>0</v>
      </c>
      <c r="O1725" s="294"/>
      <c r="P1725" s="404"/>
      <c r="Q1725" s="404"/>
      <c r="R1725" s="301"/>
      <c r="S1725" s="301"/>
      <c r="T1725" s="301"/>
      <c r="U1725" s="301"/>
      <c r="V1725" s="301"/>
    </row>
    <row r="1726" spans="1:22" ht="14.4" thickTop="1" thickBot="1" x14ac:dyDescent="0.3">
      <c r="A1726" s="292"/>
      <c r="B1726" s="293"/>
      <c r="C1726" s="294"/>
      <c r="D1726" s="294"/>
      <c r="E1726" s="294"/>
      <c r="F1726" s="310"/>
      <c r="G1726" s="310"/>
      <c r="H1726" s="310"/>
      <c r="I1726" s="295"/>
      <c r="J1726" s="295">
        <f>SUM(I1720:I1725)</f>
        <v>200.76999999999998</v>
      </c>
      <c r="K1726" s="300">
        <f t="shared" si="203"/>
        <v>1.1000000000000001</v>
      </c>
      <c r="L1726" s="300">
        <f t="shared" si="200"/>
        <v>220.84700000000001</v>
      </c>
      <c r="M1726" s="285">
        <f t="shared" si="201"/>
        <v>220.8</v>
      </c>
      <c r="N1726" s="1076">
        <f t="shared" si="202"/>
        <v>221</v>
      </c>
      <c r="O1726" s="294" t="s">
        <v>695</v>
      </c>
      <c r="P1726" s="404"/>
      <c r="Q1726" s="404"/>
      <c r="R1726" s="301"/>
      <c r="S1726" s="301"/>
      <c r="T1726" s="301"/>
      <c r="U1726" s="301"/>
      <c r="V1726" s="301"/>
    </row>
    <row r="1727" spans="1:22" ht="14.4" thickTop="1" thickBot="1" x14ac:dyDescent="0.3">
      <c r="A1727" s="292"/>
      <c r="B1727" s="293"/>
      <c r="C1727" s="294"/>
      <c r="D1727" s="294"/>
      <c r="E1727" s="294"/>
      <c r="F1727" s="310"/>
      <c r="G1727" s="310"/>
      <c r="H1727" s="310"/>
      <c r="I1727" s="295"/>
      <c r="J1727" s="295">
        <f>J1726*10.76</f>
        <v>2160.2851999999998</v>
      </c>
      <c r="K1727" s="300">
        <f t="shared" si="203"/>
        <v>1.1000000000000001</v>
      </c>
      <c r="L1727" s="300">
        <f t="shared" si="200"/>
        <v>2376.3137200000001</v>
      </c>
      <c r="M1727" s="285">
        <f t="shared" si="201"/>
        <v>2376.3000000000002</v>
      </c>
      <c r="N1727" s="1076">
        <f t="shared" si="202"/>
        <v>2377</v>
      </c>
      <c r="O1727" s="294" t="s">
        <v>1846</v>
      </c>
      <c r="P1727" s="404"/>
      <c r="Q1727" s="404"/>
      <c r="R1727" s="301"/>
      <c r="S1727" s="301"/>
      <c r="T1727" s="301"/>
      <c r="U1727" s="301"/>
      <c r="V1727" s="301"/>
    </row>
    <row r="1728" spans="1:22" ht="14.4" thickTop="1" thickBot="1" x14ac:dyDescent="0.3">
      <c r="A1728" s="292"/>
      <c r="B1728" s="293"/>
      <c r="C1728" s="294"/>
      <c r="D1728" s="294"/>
      <c r="E1728" s="294"/>
      <c r="F1728" s="310"/>
      <c r="G1728" s="310"/>
      <c r="H1728" s="310"/>
      <c r="I1728" s="295"/>
      <c r="J1728" s="295">
        <f>J1727/100</f>
        <v>21.602851999999999</v>
      </c>
      <c r="K1728" s="300">
        <v>1.03</v>
      </c>
      <c r="L1728" s="300">
        <f t="shared" si="200"/>
        <v>22.250937560000001</v>
      </c>
      <c r="M1728" s="285">
        <f t="shared" si="201"/>
        <v>22.3</v>
      </c>
      <c r="N1728" s="1076">
        <f t="shared" si="202"/>
        <v>23</v>
      </c>
      <c r="O1728" s="294" t="s">
        <v>879</v>
      </c>
      <c r="P1728" s="404"/>
      <c r="Q1728" s="404"/>
      <c r="R1728" s="301"/>
      <c r="S1728" s="301"/>
      <c r="T1728" s="301"/>
      <c r="U1728" s="301"/>
      <c r="V1728" s="301"/>
    </row>
    <row r="1729" spans="1:22" ht="14.4" thickTop="1" thickBot="1" x14ac:dyDescent="0.3">
      <c r="A1729" s="292"/>
      <c r="B1729" s="293"/>
      <c r="C1729" s="294"/>
      <c r="D1729" s="294"/>
      <c r="E1729" s="294"/>
      <c r="F1729" s="310"/>
      <c r="G1729" s="310"/>
      <c r="H1729" s="310"/>
      <c r="I1729" s="295"/>
      <c r="J1729" s="295"/>
      <c r="K1729" s="300">
        <f t="shared" si="203"/>
        <v>1.1000000000000001</v>
      </c>
      <c r="L1729" s="300">
        <f t="shared" si="200"/>
        <v>0</v>
      </c>
      <c r="M1729" s="285">
        <f t="shared" si="201"/>
        <v>0</v>
      </c>
      <c r="N1729" s="1076">
        <f t="shared" si="202"/>
        <v>0</v>
      </c>
      <c r="O1729" s="294"/>
      <c r="P1729" s="404"/>
      <c r="Q1729" s="404"/>
      <c r="R1729" s="301"/>
      <c r="S1729" s="301"/>
      <c r="T1729" s="301"/>
      <c r="U1729" s="301"/>
      <c r="V1729" s="301"/>
    </row>
    <row r="1730" spans="1:22" ht="14.4" thickTop="1" thickBot="1" x14ac:dyDescent="0.3">
      <c r="A1730" s="292"/>
      <c r="B1730" s="293" t="s">
        <v>1866</v>
      </c>
      <c r="C1730" s="294"/>
      <c r="D1730" s="294"/>
      <c r="E1730" s="294"/>
      <c r="F1730" s="310">
        <v>2.15</v>
      </c>
      <c r="G1730" s="310"/>
      <c r="H1730" s="310">
        <v>4.2</v>
      </c>
      <c r="I1730" s="295">
        <f>H1730*F1730</f>
        <v>9.0299999999999994</v>
      </c>
      <c r="J1730" s="295"/>
      <c r="K1730" s="300">
        <f t="shared" si="203"/>
        <v>1.1000000000000001</v>
      </c>
      <c r="L1730" s="300">
        <f t="shared" si="200"/>
        <v>0</v>
      </c>
      <c r="M1730" s="285">
        <f t="shared" si="201"/>
        <v>0</v>
      </c>
      <c r="N1730" s="1076">
        <f t="shared" si="202"/>
        <v>0</v>
      </c>
      <c r="O1730" s="294"/>
      <c r="P1730" s="404"/>
      <c r="Q1730" s="404"/>
      <c r="R1730" s="301"/>
      <c r="S1730" s="301"/>
      <c r="T1730" s="301"/>
      <c r="U1730" s="301"/>
      <c r="V1730" s="301"/>
    </row>
    <row r="1731" spans="1:22" ht="14.4" thickTop="1" thickBot="1" x14ac:dyDescent="0.3">
      <c r="A1731" s="292"/>
      <c r="B1731" s="293"/>
      <c r="C1731" s="294"/>
      <c r="D1731" s="294"/>
      <c r="E1731" s="294"/>
      <c r="F1731" s="310">
        <v>9.3379999999999992</v>
      </c>
      <c r="G1731" s="310"/>
      <c r="H1731" s="310">
        <f t="shared" ref="H1731:H1732" si="204">H1682</f>
        <v>4.2</v>
      </c>
      <c r="I1731" s="295">
        <f>H1731*F1731</f>
        <v>39.2196</v>
      </c>
      <c r="J1731" s="295"/>
      <c r="K1731" s="300">
        <f t="shared" si="203"/>
        <v>1.1000000000000001</v>
      </c>
      <c r="L1731" s="300">
        <f t="shared" si="200"/>
        <v>0</v>
      </c>
      <c r="M1731" s="285">
        <f t="shared" si="201"/>
        <v>0</v>
      </c>
      <c r="N1731" s="1076">
        <f t="shared" si="202"/>
        <v>0</v>
      </c>
      <c r="O1731" s="294"/>
      <c r="P1731" s="404"/>
      <c r="Q1731" s="404"/>
      <c r="R1731" s="301"/>
      <c r="S1731" s="301"/>
      <c r="T1731" s="301"/>
      <c r="U1731" s="301"/>
      <c r="V1731" s="301"/>
    </row>
    <row r="1732" spans="1:22" ht="14.4" thickTop="1" thickBot="1" x14ac:dyDescent="0.3">
      <c r="A1732" s="292"/>
      <c r="B1732" s="293"/>
      <c r="C1732" s="294"/>
      <c r="D1732" s="294"/>
      <c r="E1732" s="294">
        <v>2</v>
      </c>
      <c r="F1732" s="310">
        <v>3.3</v>
      </c>
      <c r="G1732" s="310"/>
      <c r="H1732" s="310">
        <f t="shared" si="204"/>
        <v>4.2</v>
      </c>
      <c r="I1732" s="295">
        <f>H1732*F1732*E1732</f>
        <v>27.72</v>
      </c>
      <c r="J1732" s="295"/>
      <c r="K1732" s="300">
        <f t="shared" si="203"/>
        <v>1.1000000000000001</v>
      </c>
      <c r="L1732" s="300">
        <f t="shared" si="200"/>
        <v>0</v>
      </c>
      <c r="M1732" s="285">
        <f t="shared" si="201"/>
        <v>0</v>
      </c>
      <c r="N1732" s="1076">
        <f t="shared" si="202"/>
        <v>0</v>
      </c>
      <c r="O1732" s="294"/>
      <c r="P1732" s="404"/>
      <c r="Q1732" s="404"/>
      <c r="R1732" s="301"/>
      <c r="S1732" s="301"/>
      <c r="T1732" s="301"/>
      <c r="U1732" s="301"/>
      <c r="V1732" s="301"/>
    </row>
    <row r="1733" spans="1:22" ht="14.4" thickTop="1" thickBot="1" x14ac:dyDescent="0.3">
      <c r="A1733" s="292"/>
      <c r="B1733" s="293" t="s">
        <v>846</v>
      </c>
      <c r="C1733" s="294"/>
      <c r="D1733" s="294"/>
      <c r="E1733" s="294"/>
      <c r="F1733" s="310"/>
      <c r="G1733" s="310"/>
      <c r="H1733" s="310"/>
      <c r="I1733" s="295">
        <f t="shared" ref="I1733" si="205">H1733*F1733</f>
        <v>0</v>
      </c>
      <c r="J1733" s="295"/>
      <c r="K1733" s="300">
        <f t="shared" si="203"/>
        <v>1.1000000000000001</v>
      </c>
      <c r="L1733" s="300">
        <f t="shared" si="200"/>
        <v>0</v>
      </c>
      <c r="M1733" s="285">
        <f t="shared" si="201"/>
        <v>0</v>
      </c>
      <c r="N1733" s="1076">
        <f t="shared" si="202"/>
        <v>0</v>
      </c>
      <c r="O1733" s="294"/>
      <c r="P1733" s="404"/>
      <c r="Q1733" s="404"/>
      <c r="R1733" s="301"/>
      <c r="S1733" s="301"/>
      <c r="T1733" s="301"/>
      <c r="U1733" s="301"/>
      <c r="V1733" s="301"/>
    </row>
    <row r="1734" spans="1:22" ht="14.4" thickTop="1" thickBot="1" x14ac:dyDescent="0.3">
      <c r="A1734" s="292"/>
      <c r="B1734" s="293" t="s">
        <v>769</v>
      </c>
      <c r="C1734" s="294"/>
      <c r="D1734" s="294"/>
      <c r="E1734" s="294">
        <v>2</v>
      </c>
      <c r="F1734" s="310">
        <v>0.9</v>
      </c>
      <c r="G1734" s="310"/>
      <c r="H1734" s="310">
        <v>0.9</v>
      </c>
      <c r="I1734" s="295">
        <f>-H1734*F1734*E1734</f>
        <v>-1.62</v>
      </c>
      <c r="J1734" s="295"/>
      <c r="K1734" s="300">
        <f t="shared" si="203"/>
        <v>1.1000000000000001</v>
      </c>
      <c r="L1734" s="300">
        <f t="shared" si="200"/>
        <v>0</v>
      </c>
      <c r="M1734" s="285">
        <f t="shared" si="201"/>
        <v>0</v>
      </c>
      <c r="N1734" s="1076">
        <f t="shared" si="202"/>
        <v>0</v>
      </c>
      <c r="O1734" s="294"/>
      <c r="P1734" s="404"/>
      <c r="Q1734" s="404"/>
      <c r="R1734" s="301"/>
      <c r="S1734" s="301"/>
      <c r="T1734" s="301"/>
      <c r="U1734" s="301"/>
      <c r="V1734" s="301"/>
    </row>
    <row r="1735" spans="1:22" ht="14.4" thickTop="1" thickBot="1" x14ac:dyDescent="0.3">
      <c r="A1735" s="292"/>
      <c r="B1735" s="293"/>
      <c r="C1735" s="294"/>
      <c r="D1735" s="294"/>
      <c r="E1735" s="294"/>
      <c r="F1735" s="310"/>
      <c r="G1735" s="310"/>
      <c r="H1735" s="310"/>
      <c r="I1735" s="295"/>
      <c r="J1735" s="295">
        <f>SUM(I1730:I1734)</f>
        <v>74.349599999999995</v>
      </c>
      <c r="K1735" s="300">
        <f t="shared" si="203"/>
        <v>1.1000000000000001</v>
      </c>
      <c r="L1735" s="300">
        <f t="shared" si="200"/>
        <v>81.784559999999999</v>
      </c>
      <c r="M1735" s="285">
        <f t="shared" si="201"/>
        <v>81.8</v>
      </c>
      <c r="N1735" s="1076">
        <f t="shared" si="202"/>
        <v>82</v>
      </c>
      <c r="O1735" s="294" t="s">
        <v>695</v>
      </c>
      <c r="P1735" s="404"/>
      <c r="Q1735" s="404"/>
      <c r="R1735" s="301"/>
      <c r="S1735" s="301"/>
      <c r="T1735" s="301"/>
      <c r="U1735" s="301"/>
      <c r="V1735" s="301"/>
    </row>
    <row r="1736" spans="1:22" ht="14.4" thickTop="1" thickBot="1" x14ac:dyDescent="0.3">
      <c r="A1736" s="292"/>
      <c r="B1736" s="293"/>
      <c r="C1736" s="294"/>
      <c r="D1736" s="294"/>
      <c r="E1736" s="294"/>
      <c r="F1736" s="310"/>
      <c r="G1736" s="310"/>
      <c r="H1736" s="310"/>
      <c r="I1736" s="295"/>
      <c r="J1736" s="295">
        <f>J1735*10.76</f>
        <v>800.00169599999992</v>
      </c>
      <c r="K1736" s="300">
        <f t="shared" si="203"/>
        <v>1.1000000000000001</v>
      </c>
      <c r="L1736" s="300">
        <f t="shared" si="200"/>
        <v>880.00186559999997</v>
      </c>
      <c r="M1736" s="285">
        <f t="shared" si="201"/>
        <v>880</v>
      </c>
      <c r="N1736" s="1076">
        <f t="shared" si="202"/>
        <v>880</v>
      </c>
      <c r="O1736" s="294" t="s">
        <v>1846</v>
      </c>
      <c r="P1736" s="404"/>
      <c r="Q1736" s="404"/>
      <c r="R1736" s="301"/>
      <c r="S1736" s="301"/>
      <c r="T1736" s="301"/>
      <c r="U1736" s="301"/>
      <c r="V1736" s="301"/>
    </row>
    <row r="1737" spans="1:22" ht="14.4" thickTop="1" thickBot="1" x14ac:dyDescent="0.3">
      <c r="A1737" s="292"/>
      <c r="B1737" s="293"/>
      <c r="C1737" s="294"/>
      <c r="D1737" s="294"/>
      <c r="E1737" s="294"/>
      <c r="F1737" s="310"/>
      <c r="G1737" s="310"/>
      <c r="H1737" s="310"/>
      <c r="I1737" s="295"/>
      <c r="J1737" s="295">
        <f>J1736/100</f>
        <v>8.00001696</v>
      </c>
      <c r="K1737" s="300">
        <v>1.03</v>
      </c>
      <c r="L1737" s="300">
        <f t="shared" si="200"/>
        <v>8.2400174687999996</v>
      </c>
      <c r="M1737" s="285">
        <f t="shared" si="201"/>
        <v>8.1999999999999993</v>
      </c>
      <c r="N1737" s="1076">
        <f t="shared" si="202"/>
        <v>9</v>
      </c>
      <c r="O1737" s="294" t="s">
        <v>879</v>
      </c>
      <c r="P1737" s="404"/>
      <c r="Q1737" s="404"/>
      <c r="R1737" s="301"/>
      <c r="S1737" s="301"/>
      <c r="T1737" s="301"/>
      <c r="U1737" s="301"/>
      <c r="V1737" s="301"/>
    </row>
    <row r="1738" spans="1:22" ht="14.4" thickTop="1" thickBot="1" x14ac:dyDescent="0.3">
      <c r="A1738" s="292"/>
      <c r="B1738" s="293"/>
      <c r="C1738" s="294"/>
      <c r="D1738" s="294"/>
      <c r="E1738" s="294"/>
      <c r="F1738" s="310"/>
      <c r="G1738" s="310"/>
      <c r="H1738" s="310"/>
      <c r="I1738" s="295"/>
      <c r="J1738" s="295"/>
      <c r="K1738" s="300">
        <f t="shared" si="203"/>
        <v>1.1000000000000001</v>
      </c>
      <c r="L1738" s="300">
        <f t="shared" si="200"/>
        <v>0</v>
      </c>
      <c r="M1738" s="285">
        <f t="shared" si="201"/>
        <v>0</v>
      </c>
      <c r="N1738" s="1076">
        <f t="shared" si="202"/>
        <v>0</v>
      </c>
      <c r="O1738" s="294"/>
      <c r="P1738" s="404"/>
      <c r="Q1738" s="404"/>
      <c r="R1738" s="301"/>
      <c r="S1738" s="301"/>
      <c r="T1738" s="301"/>
      <c r="U1738" s="301"/>
      <c r="V1738" s="301"/>
    </row>
    <row r="1739" spans="1:22" ht="14.4" thickTop="1" thickBot="1" x14ac:dyDescent="0.3">
      <c r="A1739" s="292"/>
      <c r="B1739" s="293" t="s">
        <v>1868</v>
      </c>
      <c r="C1739" s="294"/>
      <c r="D1739" s="294"/>
      <c r="E1739" s="294">
        <v>3</v>
      </c>
      <c r="F1739" s="310">
        <v>3.03</v>
      </c>
      <c r="G1739" s="310"/>
      <c r="H1739" s="310">
        <f>H1701</f>
        <v>3.9</v>
      </c>
      <c r="I1739" s="295">
        <f>H1739*F1739*E1739</f>
        <v>35.450999999999993</v>
      </c>
      <c r="J1739" s="295"/>
      <c r="K1739" s="300">
        <f t="shared" si="203"/>
        <v>1.1000000000000001</v>
      </c>
      <c r="L1739" s="300">
        <f t="shared" si="200"/>
        <v>0</v>
      </c>
      <c r="M1739" s="285">
        <f t="shared" si="201"/>
        <v>0</v>
      </c>
      <c r="N1739" s="1076">
        <f t="shared" si="202"/>
        <v>0</v>
      </c>
      <c r="O1739" s="294"/>
      <c r="P1739" s="404"/>
      <c r="Q1739" s="404"/>
      <c r="R1739" s="301"/>
      <c r="S1739" s="301"/>
      <c r="T1739" s="301"/>
      <c r="U1739" s="301"/>
      <c r="V1739" s="301"/>
    </row>
    <row r="1740" spans="1:22" ht="14.4" thickTop="1" thickBot="1" x14ac:dyDescent="0.3">
      <c r="A1740" s="292"/>
      <c r="B1740" s="293"/>
      <c r="C1740" s="294"/>
      <c r="D1740" s="294"/>
      <c r="E1740" s="294">
        <v>1</v>
      </c>
      <c r="F1740" s="310">
        <v>9.3680000000000003</v>
      </c>
      <c r="G1740" s="310"/>
      <c r="H1740" s="310">
        <f>H1702</f>
        <v>3.9</v>
      </c>
      <c r="I1740" s="295">
        <f>H1740*F1740*E1740</f>
        <v>36.535200000000003</v>
      </c>
      <c r="J1740" s="295"/>
      <c r="K1740" s="300">
        <f t="shared" si="203"/>
        <v>1.1000000000000001</v>
      </c>
      <c r="L1740" s="300">
        <f t="shared" si="200"/>
        <v>0</v>
      </c>
      <c r="M1740" s="285">
        <f t="shared" si="201"/>
        <v>0</v>
      </c>
      <c r="N1740" s="1076">
        <f t="shared" si="202"/>
        <v>0</v>
      </c>
      <c r="O1740" s="294"/>
      <c r="P1740" s="404"/>
      <c r="Q1740" s="404"/>
      <c r="R1740" s="301"/>
      <c r="S1740" s="301"/>
      <c r="T1740" s="301"/>
      <c r="U1740" s="301"/>
      <c r="V1740" s="301"/>
    </row>
    <row r="1741" spans="1:22" ht="14.4" thickTop="1" thickBot="1" x14ac:dyDescent="0.3">
      <c r="A1741" s="292"/>
      <c r="B1741" s="293" t="s">
        <v>846</v>
      </c>
      <c r="C1741" s="294"/>
      <c r="D1741" s="294"/>
      <c r="E1741" s="294"/>
      <c r="F1741" s="310"/>
      <c r="G1741" s="310"/>
      <c r="H1741" s="310"/>
      <c r="I1741" s="295"/>
      <c r="J1741" s="295"/>
      <c r="K1741" s="300">
        <f t="shared" si="203"/>
        <v>1.1000000000000001</v>
      </c>
      <c r="L1741" s="300">
        <f t="shared" si="200"/>
        <v>0</v>
      </c>
      <c r="M1741" s="285">
        <f t="shared" si="201"/>
        <v>0</v>
      </c>
      <c r="N1741" s="1076">
        <f t="shared" si="202"/>
        <v>0</v>
      </c>
      <c r="O1741" s="294"/>
      <c r="P1741" s="404"/>
      <c r="Q1741" s="404"/>
      <c r="R1741" s="301"/>
      <c r="S1741" s="301"/>
      <c r="T1741" s="301"/>
      <c r="U1741" s="301"/>
      <c r="V1741" s="301"/>
    </row>
    <row r="1742" spans="1:22" ht="14.4" thickTop="1" thickBot="1" x14ac:dyDescent="0.3">
      <c r="A1742" s="292"/>
      <c r="B1742" s="293" t="s">
        <v>769</v>
      </c>
      <c r="C1742" s="294"/>
      <c r="D1742" s="294"/>
      <c r="E1742" s="294">
        <v>3</v>
      </c>
      <c r="F1742" s="310">
        <v>0.9</v>
      </c>
      <c r="G1742" s="310"/>
      <c r="H1742" s="310">
        <v>0.9</v>
      </c>
      <c r="I1742" s="295">
        <f>-H1742*F1742*E1742</f>
        <v>-2.4300000000000002</v>
      </c>
      <c r="J1742" s="295"/>
      <c r="K1742" s="300">
        <f t="shared" si="203"/>
        <v>1.1000000000000001</v>
      </c>
      <c r="L1742" s="300">
        <f t="shared" si="200"/>
        <v>0</v>
      </c>
      <c r="M1742" s="285">
        <f t="shared" si="201"/>
        <v>0</v>
      </c>
      <c r="N1742" s="1076">
        <f t="shared" si="202"/>
        <v>0</v>
      </c>
      <c r="O1742" s="294"/>
      <c r="P1742" s="404"/>
      <c r="Q1742" s="404"/>
      <c r="R1742" s="301"/>
      <c r="S1742" s="301"/>
      <c r="T1742" s="301"/>
      <c r="U1742" s="301"/>
      <c r="V1742" s="301"/>
    </row>
    <row r="1743" spans="1:22" ht="14.4" thickTop="1" thickBot="1" x14ac:dyDescent="0.3">
      <c r="A1743" s="292"/>
      <c r="B1743" s="293" t="s">
        <v>770</v>
      </c>
      <c r="C1743" s="294"/>
      <c r="D1743" s="294"/>
      <c r="E1743" s="294">
        <v>2</v>
      </c>
      <c r="F1743" s="310">
        <v>0.9</v>
      </c>
      <c r="G1743" s="310"/>
      <c r="H1743" s="310">
        <v>2.7</v>
      </c>
      <c r="I1743" s="295">
        <f>-H1743*F1743*E1743</f>
        <v>-4.8600000000000003</v>
      </c>
      <c r="J1743" s="295"/>
      <c r="K1743" s="300">
        <f t="shared" si="203"/>
        <v>1.1000000000000001</v>
      </c>
      <c r="L1743" s="300">
        <f t="shared" si="200"/>
        <v>0</v>
      </c>
      <c r="M1743" s="285">
        <f t="shared" si="201"/>
        <v>0</v>
      </c>
      <c r="N1743" s="1076">
        <f t="shared" si="202"/>
        <v>0</v>
      </c>
      <c r="O1743" s="294"/>
      <c r="P1743" s="404"/>
      <c r="Q1743" s="404"/>
      <c r="R1743" s="301"/>
      <c r="S1743" s="301"/>
      <c r="T1743" s="301"/>
      <c r="U1743" s="301"/>
      <c r="V1743" s="301"/>
    </row>
    <row r="1744" spans="1:22" ht="14.4" thickTop="1" thickBot="1" x14ac:dyDescent="0.3">
      <c r="A1744" s="292"/>
      <c r="B1744" s="293"/>
      <c r="C1744" s="294"/>
      <c r="D1744" s="294"/>
      <c r="E1744" s="294"/>
      <c r="F1744" s="310"/>
      <c r="G1744" s="310"/>
      <c r="H1744" s="310"/>
      <c r="I1744" s="295"/>
      <c r="J1744" s="295">
        <f>SUM(I1739:I1743)</f>
        <v>64.69619999999999</v>
      </c>
      <c r="K1744" s="300">
        <f t="shared" si="203"/>
        <v>1.1000000000000001</v>
      </c>
      <c r="L1744" s="300">
        <f t="shared" si="200"/>
        <v>71.165819999999997</v>
      </c>
      <c r="M1744" s="285">
        <f t="shared" si="201"/>
        <v>71.2</v>
      </c>
      <c r="N1744" s="1076">
        <f t="shared" si="202"/>
        <v>72</v>
      </c>
      <c r="O1744" s="294" t="s">
        <v>695</v>
      </c>
      <c r="P1744" s="413">
        <f>J1744/9.29</f>
        <v>6.964068891280947</v>
      </c>
      <c r="Q1744" s="404"/>
      <c r="R1744" s="301"/>
      <c r="S1744" s="301"/>
      <c r="T1744" s="301"/>
      <c r="U1744" s="301"/>
      <c r="V1744" s="301"/>
    </row>
    <row r="1745" spans="1:22" ht="14.4" thickTop="1" thickBot="1" x14ac:dyDescent="0.3">
      <c r="A1745" s="292"/>
      <c r="B1745" s="293"/>
      <c r="C1745" s="294"/>
      <c r="D1745" s="294"/>
      <c r="E1745" s="294"/>
      <c r="F1745" s="310"/>
      <c r="G1745" s="310"/>
      <c r="H1745" s="310"/>
      <c r="I1745" s="295"/>
      <c r="J1745" s="295">
        <f>J1744*10.76</f>
        <v>696.13111199999992</v>
      </c>
      <c r="K1745" s="300">
        <f t="shared" si="203"/>
        <v>1.1000000000000001</v>
      </c>
      <c r="L1745" s="300">
        <f t="shared" si="200"/>
        <v>765.74422319999996</v>
      </c>
      <c r="M1745" s="285">
        <f t="shared" si="201"/>
        <v>765.7</v>
      </c>
      <c r="N1745" s="1076">
        <f t="shared" si="202"/>
        <v>766</v>
      </c>
      <c r="O1745" s="294" t="s">
        <v>1846</v>
      </c>
      <c r="P1745" s="404"/>
      <c r="Q1745" s="404"/>
      <c r="R1745" s="301"/>
      <c r="S1745" s="301"/>
      <c r="T1745" s="301"/>
      <c r="U1745" s="301"/>
      <c r="V1745" s="301"/>
    </row>
    <row r="1746" spans="1:22" ht="14.4" thickTop="1" thickBot="1" x14ac:dyDescent="0.3">
      <c r="A1746" s="292"/>
      <c r="B1746" s="293"/>
      <c r="C1746" s="294"/>
      <c r="D1746" s="294"/>
      <c r="E1746" s="294"/>
      <c r="F1746" s="310"/>
      <c r="G1746" s="310"/>
      <c r="H1746" s="310"/>
      <c r="I1746" s="295"/>
      <c r="J1746" s="295">
        <f>J1745/100</f>
        <v>6.9613111199999995</v>
      </c>
      <c r="K1746" s="300">
        <v>1.02</v>
      </c>
      <c r="L1746" s="300">
        <f t="shared" si="200"/>
        <v>7.1005373424</v>
      </c>
      <c r="M1746" s="285">
        <f t="shared" si="201"/>
        <v>7.1</v>
      </c>
      <c r="N1746" s="1076">
        <f t="shared" si="202"/>
        <v>8</v>
      </c>
      <c r="O1746" s="294" t="s">
        <v>879</v>
      </c>
      <c r="P1746" s="404"/>
      <c r="Q1746" s="404"/>
      <c r="R1746" s="301"/>
      <c r="S1746" s="301"/>
      <c r="T1746" s="301"/>
      <c r="U1746" s="301"/>
      <c r="V1746" s="301"/>
    </row>
    <row r="1747" spans="1:22" ht="14.4" thickTop="1" thickBot="1" x14ac:dyDescent="0.3">
      <c r="A1747" s="292"/>
      <c r="B1747" s="293"/>
      <c r="C1747" s="294"/>
      <c r="D1747" s="294"/>
      <c r="E1747" s="294"/>
      <c r="F1747" s="310"/>
      <c r="G1747" s="310"/>
      <c r="H1747" s="310"/>
      <c r="I1747" s="295"/>
      <c r="J1747" s="295"/>
      <c r="K1747" s="300">
        <f t="shared" si="203"/>
        <v>1.1000000000000001</v>
      </c>
      <c r="L1747" s="300">
        <f t="shared" si="200"/>
        <v>0</v>
      </c>
      <c r="M1747" s="285">
        <f t="shared" si="201"/>
        <v>0</v>
      </c>
      <c r="N1747" s="1076">
        <f t="shared" si="202"/>
        <v>0</v>
      </c>
      <c r="O1747" s="294"/>
      <c r="P1747" s="404"/>
      <c r="Q1747" s="404"/>
      <c r="R1747" s="301"/>
      <c r="S1747" s="301"/>
      <c r="T1747" s="301"/>
      <c r="U1747" s="301"/>
      <c r="V1747" s="301"/>
    </row>
    <row r="1748" spans="1:22" ht="14.4" thickTop="1" thickBot="1" x14ac:dyDescent="0.3">
      <c r="A1748" s="292"/>
      <c r="B1748" s="293" t="s">
        <v>1869</v>
      </c>
      <c r="C1748" s="294"/>
      <c r="D1748" s="294"/>
      <c r="E1748" s="294">
        <v>2</v>
      </c>
      <c r="F1748" s="310">
        <v>3.6749999999999998</v>
      </c>
      <c r="G1748" s="310"/>
      <c r="H1748" s="310">
        <v>5</v>
      </c>
      <c r="I1748" s="295">
        <f>H1748*F1748*E1748</f>
        <v>36.75</v>
      </c>
      <c r="J1748" s="295"/>
      <c r="K1748" s="300">
        <f t="shared" si="203"/>
        <v>1.1000000000000001</v>
      </c>
      <c r="L1748" s="300">
        <f t="shared" si="200"/>
        <v>0</v>
      </c>
      <c r="M1748" s="285">
        <f t="shared" si="201"/>
        <v>0</v>
      </c>
      <c r="N1748" s="1076">
        <f t="shared" si="202"/>
        <v>0</v>
      </c>
      <c r="O1748" s="294"/>
      <c r="P1748" s="404"/>
      <c r="Q1748" s="404"/>
      <c r="R1748" s="301"/>
      <c r="S1748" s="301"/>
      <c r="T1748" s="301"/>
      <c r="U1748" s="301"/>
      <c r="V1748" s="301"/>
    </row>
    <row r="1749" spans="1:22" ht="14.4" thickTop="1" thickBot="1" x14ac:dyDescent="0.3">
      <c r="A1749" s="292"/>
      <c r="B1749" s="293"/>
      <c r="C1749" s="294"/>
      <c r="D1749" s="294"/>
      <c r="E1749" s="294">
        <v>2</v>
      </c>
      <c r="F1749" s="310">
        <v>1.718</v>
      </c>
      <c r="G1749" s="310"/>
      <c r="H1749" s="310">
        <v>5</v>
      </c>
      <c r="I1749" s="295">
        <f t="shared" ref="I1749:I1753" si="206">H1749*F1749*E1749</f>
        <v>17.18</v>
      </c>
      <c r="J1749" s="295"/>
      <c r="K1749" s="300">
        <f t="shared" si="203"/>
        <v>1.1000000000000001</v>
      </c>
      <c r="L1749" s="300">
        <f t="shared" si="200"/>
        <v>0</v>
      </c>
      <c r="M1749" s="285">
        <f t="shared" si="201"/>
        <v>0</v>
      </c>
      <c r="N1749" s="1076">
        <f t="shared" si="202"/>
        <v>0</v>
      </c>
      <c r="O1749" s="294"/>
      <c r="P1749" s="404"/>
      <c r="Q1749" s="404"/>
      <c r="R1749" s="301"/>
      <c r="S1749" s="301"/>
      <c r="T1749" s="301"/>
      <c r="U1749" s="301"/>
      <c r="V1749" s="301"/>
    </row>
    <row r="1750" spans="1:22" ht="14.4" thickTop="1" thickBot="1" x14ac:dyDescent="0.3">
      <c r="A1750" s="292"/>
      <c r="B1750" s="293"/>
      <c r="C1750" s="294"/>
      <c r="D1750" s="294"/>
      <c r="E1750" s="294">
        <v>1</v>
      </c>
      <c r="F1750" s="310">
        <v>3</v>
      </c>
      <c r="G1750" s="310"/>
      <c r="H1750" s="310">
        <v>5</v>
      </c>
      <c r="I1750" s="295">
        <f t="shared" si="206"/>
        <v>15</v>
      </c>
      <c r="J1750" s="295"/>
      <c r="K1750" s="300">
        <f t="shared" si="203"/>
        <v>1.1000000000000001</v>
      </c>
      <c r="L1750" s="300">
        <f t="shared" si="200"/>
        <v>0</v>
      </c>
      <c r="M1750" s="285">
        <f t="shared" si="201"/>
        <v>0</v>
      </c>
      <c r="N1750" s="1076">
        <f t="shared" si="202"/>
        <v>0</v>
      </c>
      <c r="O1750" s="294"/>
      <c r="P1750" s="404"/>
      <c r="Q1750" s="404"/>
      <c r="R1750" s="301"/>
      <c r="S1750" s="301"/>
      <c r="T1750" s="301"/>
      <c r="U1750" s="301"/>
      <c r="V1750" s="301"/>
    </row>
    <row r="1751" spans="1:22" ht="14.4" thickTop="1" thickBot="1" x14ac:dyDescent="0.3">
      <c r="A1751" s="292"/>
      <c r="B1751" s="293" t="s">
        <v>1856</v>
      </c>
      <c r="C1751" s="294"/>
      <c r="D1751" s="294"/>
      <c r="E1751" s="294">
        <v>1</v>
      </c>
      <c r="F1751" s="310">
        <v>63.856999999999999</v>
      </c>
      <c r="G1751" s="310"/>
      <c r="H1751" s="310">
        <v>1.2</v>
      </c>
      <c r="I1751" s="295">
        <f t="shared" si="206"/>
        <v>76.628399999999999</v>
      </c>
      <c r="J1751" s="295"/>
      <c r="K1751" s="300"/>
      <c r="L1751" s="300"/>
      <c r="M1751" s="285"/>
      <c r="N1751" s="1076"/>
      <c r="O1751" s="294"/>
      <c r="P1751" s="404"/>
      <c r="Q1751" s="404"/>
      <c r="R1751" s="301"/>
      <c r="S1751" s="301"/>
      <c r="T1751" s="301"/>
      <c r="U1751" s="301"/>
      <c r="V1751" s="301"/>
    </row>
    <row r="1752" spans="1:22" ht="14.4" thickTop="1" thickBot="1" x14ac:dyDescent="0.3">
      <c r="A1752" s="292"/>
      <c r="B1752" s="293"/>
      <c r="C1752" s="294"/>
      <c r="D1752" s="294"/>
      <c r="E1752" s="294">
        <v>1</v>
      </c>
      <c r="F1752" s="310">
        <v>8.3960000000000008</v>
      </c>
      <c r="G1752" s="310"/>
      <c r="H1752" s="310">
        <v>1.2</v>
      </c>
      <c r="I1752" s="295">
        <f t="shared" si="206"/>
        <v>10.075200000000001</v>
      </c>
      <c r="J1752" s="295"/>
      <c r="K1752" s="300"/>
      <c r="L1752" s="300"/>
      <c r="M1752" s="285"/>
      <c r="N1752" s="1076"/>
      <c r="O1752" s="294"/>
      <c r="P1752" s="404"/>
      <c r="Q1752" s="404"/>
      <c r="R1752" s="301"/>
      <c r="S1752" s="301"/>
      <c r="T1752" s="301"/>
      <c r="U1752" s="301"/>
      <c r="V1752" s="301"/>
    </row>
    <row r="1753" spans="1:22" ht="14.4" thickTop="1" thickBot="1" x14ac:dyDescent="0.3">
      <c r="A1753" s="292"/>
      <c r="B1753" s="293"/>
      <c r="C1753" s="294"/>
      <c r="D1753" s="294"/>
      <c r="E1753" s="294">
        <v>1</v>
      </c>
      <c r="F1753" s="310">
        <v>4.3579999999999997</v>
      </c>
      <c r="G1753" s="310"/>
      <c r="H1753" s="310">
        <v>3</v>
      </c>
      <c r="I1753" s="295">
        <f t="shared" si="206"/>
        <v>13.073999999999998</v>
      </c>
      <c r="J1753" s="295"/>
      <c r="K1753" s="300"/>
      <c r="L1753" s="300"/>
      <c r="M1753" s="285"/>
      <c r="N1753" s="1076"/>
      <c r="O1753" s="294"/>
      <c r="P1753" s="404"/>
      <c r="Q1753" s="404"/>
      <c r="R1753" s="301"/>
      <c r="S1753" s="301"/>
      <c r="T1753" s="301"/>
      <c r="U1753" s="301"/>
      <c r="V1753" s="301"/>
    </row>
    <row r="1754" spans="1:22" ht="14.4" thickTop="1" thickBot="1" x14ac:dyDescent="0.3">
      <c r="A1754" s="292"/>
      <c r="B1754" s="293"/>
      <c r="C1754" s="294"/>
      <c r="D1754" s="294"/>
      <c r="E1754" s="294"/>
      <c r="F1754" s="310"/>
      <c r="G1754" s="310"/>
      <c r="H1754" s="310"/>
      <c r="I1754" s="295"/>
      <c r="J1754" s="295"/>
      <c r="K1754" s="300"/>
      <c r="L1754" s="300"/>
      <c r="M1754" s="285"/>
      <c r="N1754" s="1076"/>
      <c r="O1754" s="294"/>
      <c r="P1754" s="404"/>
      <c r="Q1754" s="404"/>
      <c r="R1754" s="301"/>
      <c r="S1754" s="301"/>
      <c r="T1754" s="301"/>
      <c r="U1754" s="301"/>
      <c r="V1754" s="301"/>
    </row>
    <row r="1755" spans="1:22" ht="14.4" thickTop="1" thickBot="1" x14ac:dyDescent="0.3">
      <c r="A1755" s="292"/>
      <c r="B1755" s="293"/>
      <c r="C1755" s="294"/>
      <c r="D1755" s="294"/>
      <c r="E1755" s="294"/>
      <c r="F1755" s="310"/>
      <c r="G1755" s="310"/>
      <c r="H1755" s="310"/>
      <c r="I1755" s="295"/>
      <c r="J1755" s="295"/>
      <c r="K1755" s="300"/>
      <c r="L1755" s="300"/>
      <c r="M1755" s="285"/>
      <c r="N1755" s="1076"/>
      <c r="O1755" s="294"/>
      <c r="P1755" s="404"/>
      <c r="Q1755" s="404"/>
      <c r="R1755" s="301"/>
      <c r="S1755" s="301"/>
      <c r="T1755" s="301"/>
      <c r="U1755" s="301"/>
      <c r="V1755" s="301"/>
    </row>
    <row r="1756" spans="1:22" ht="14.4" thickTop="1" thickBot="1" x14ac:dyDescent="0.3">
      <c r="A1756" s="292"/>
      <c r="B1756" s="293"/>
      <c r="C1756" s="294"/>
      <c r="D1756" s="294"/>
      <c r="E1756" s="294"/>
      <c r="F1756" s="310"/>
      <c r="G1756" s="310"/>
      <c r="H1756" s="310"/>
      <c r="I1756" s="295"/>
      <c r="J1756" s="295"/>
      <c r="K1756" s="300"/>
      <c r="L1756" s="300"/>
      <c r="M1756" s="285"/>
      <c r="N1756" s="1076"/>
      <c r="O1756" s="294"/>
      <c r="P1756" s="404"/>
      <c r="Q1756" s="404"/>
      <c r="R1756" s="301"/>
      <c r="S1756" s="301"/>
      <c r="T1756" s="301"/>
      <c r="U1756" s="301"/>
      <c r="V1756" s="301"/>
    </row>
    <row r="1757" spans="1:22" ht="14.4" thickTop="1" thickBot="1" x14ac:dyDescent="0.3">
      <c r="A1757" s="292"/>
      <c r="B1757" s="293"/>
      <c r="C1757" s="294"/>
      <c r="D1757" s="294"/>
      <c r="E1757" s="294"/>
      <c r="F1757" s="310"/>
      <c r="G1757" s="310"/>
      <c r="H1757" s="310"/>
      <c r="I1757" s="295"/>
      <c r="J1757" s="295">
        <f>SUM(I1748:I1756)</f>
        <v>168.70760000000001</v>
      </c>
      <c r="K1757" s="300">
        <f t="shared" si="203"/>
        <v>1.1000000000000001</v>
      </c>
      <c r="L1757" s="300">
        <f t="shared" ref="L1757:L1759" si="207">K1757*J1757</f>
        <v>185.57836000000003</v>
      </c>
      <c r="M1757" s="285">
        <f t="shared" si="201"/>
        <v>185.6</v>
      </c>
      <c r="N1757" s="1076">
        <f t="shared" si="202"/>
        <v>186</v>
      </c>
      <c r="O1757" s="294" t="s">
        <v>695</v>
      </c>
      <c r="P1757" s="404"/>
      <c r="Q1757" s="404"/>
      <c r="R1757" s="301"/>
      <c r="S1757" s="301"/>
      <c r="T1757" s="301"/>
      <c r="U1757" s="301"/>
      <c r="V1757" s="301"/>
    </row>
    <row r="1758" spans="1:22" ht="14.4" thickTop="1" thickBot="1" x14ac:dyDescent="0.3">
      <c r="A1758" s="292"/>
      <c r="B1758" s="293"/>
      <c r="C1758" s="294"/>
      <c r="D1758" s="294"/>
      <c r="E1758" s="294"/>
      <c r="F1758" s="310"/>
      <c r="G1758" s="310"/>
      <c r="H1758" s="310"/>
      <c r="I1758" s="295"/>
      <c r="J1758" s="295">
        <f>J1757*10.76</f>
        <v>1815.2937760000002</v>
      </c>
      <c r="K1758" s="300">
        <f t="shared" si="203"/>
        <v>1.1000000000000001</v>
      </c>
      <c r="L1758" s="300">
        <f t="shared" si="207"/>
        <v>1996.8231536000003</v>
      </c>
      <c r="M1758" s="285">
        <f t="shared" si="201"/>
        <v>1996.8</v>
      </c>
      <c r="N1758" s="1076">
        <f t="shared" si="202"/>
        <v>1997</v>
      </c>
      <c r="O1758" s="294" t="s">
        <v>1846</v>
      </c>
      <c r="P1758" s="404"/>
      <c r="Q1758" s="404"/>
      <c r="R1758" s="301"/>
      <c r="S1758" s="301"/>
      <c r="T1758" s="301"/>
      <c r="U1758" s="301"/>
      <c r="V1758" s="301"/>
    </row>
    <row r="1759" spans="1:22" ht="14.4" thickTop="1" thickBot="1" x14ac:dyDescent="0.3">
      <c r="A1759" s="292"/>
      <c r="B1759" s="293"/>
      <c r="C1759" s="294"/>
      <c r="D1759" s="294"/>
      <c r="E1759" s="294"/>
      <c r="F1759" s="310"/>
      <c r="G1759" s="310"/>
      <c r="H1759" s="310"/>
      <c r="I1759" s="295"/>
      <c r="J1759" s="295">
        <f>J1758/100</f>
        <v>18.15293776</v>
      </c>
      <c r="K1759" s="300">
        <v>1.02</v>
      </c>
      <c r="L1759" s="300">
        <f t="shared" si="207"/>
        <v>18.515996515200001</v>
      </c>
      <c r="M1759" s="285">
        <f t="shared" si="201"/>
        <v>18.5</v>
      </c>
      <c r="N1759" s="1076">
        <f t="shared" si="202"/>
        <v>19</v>
      </c>
      <c r="O1759" s="294" t="s">
        <v>879</v>
      </c>
      <c r="P1759" s="404"/>
      <c r="Q1759" s="404"/>
      <c r="R1759" s="301"/>
      <c r="S1759" s="301"/>
      <c r="T1759" s="301"/>
      <c r="U1759" s="301"/>
      <c r="V1759" s="301"/>
    </row>
    <row r="1760" spans="1:22" ht="14.4" thickTop="1" thickBot="1" x14ac:dyDescent="0.3">
      <c r="A1760" s="292"/>
      <c r="B1760" s="293"/>
      <c r="C1760" s="294"/>
      <c r="D1760" s="294"/>
      <c r="E1760" s="294"/>
      <c r="F1760" s="310"/>
      <c r="G1760" s="310"/>
      <c r="H1760" s="310"/>
      <c r="I1760" s="295"/>
      <c r="J1760" s="295"/>
      <c r="K1760" s="300">
        <f t="shared" si="203"/>
        <v>1.1000000000000001</v>
      </c>
      <c r="L1760" s="300">
        <f t="shared" si="200"/>
        <v>0</v>
      </c>
      <c r="M1760" s="285">
        <f t="shared" si="201"/>
        <v>0</v>
      </c>
      <c r="N1760" s="1076">
        <f t="shared" si="202"/>
        <v>0</v>
      </c>
      <c r="O1760" s="294"/>
      <c r="P1760" s="404"/>
      <c r="Q1760" s="404"/>
      <c r="R1760" s="301"/>
      <c r="S1760" s="301"/>
      <c r="T1760" s="301"/>
      <c r="U1760" s="301"/>
      <c r="V1760" s="301"/>
    </row>
    <row r="1761" spans="1:22" ht="14.4" thickTop="1" thickBot="1" x14ac:dyDescent="0.3">
      <c r="A1761" s="292"/>
      <c r="B1761" s="293"/>
      <c r="C1761" s="294"/>
      <c r="D1761" s="294"/>
      <c r="E1761" s="294"/>
      <c r="F1761" s="310"/>
      <c r="G1761" s="310"/>
      <c r="H1761" s="310"/>
      <c r="I1761" s="295"/>
      <c r="J1761" s="295"/>
      <c r="K1761" s="300">
        <f t="shared" si="203"/>
        <v>1.1000000000000001</v>
      </c>
      <c r="L1761" s="300">
        <f t="shared" si="200"/>
        <v>0</v>
      </c>
      <c r="M1761" s="285">
        <f t="shared" si="201"/>
        <v>0</v>
      </c>
      <c r="N1761" s="1076">
        <f t="shared" si="202"/>
        <v>0</v>
      </c>
      <c r="O1761" s="294"/>
      <c r="P1761" s="404"/>
      <c r="Q1761" s="404"/>
      <c r="R1761" s="301"/>
      <c r="S1761" s="301"/>
      <c r="T1761" s="301"/>
      <c r="U1761" s="301"/>
      <c r="V1761" s="301"/>
    </row>
    <row r="1762" spans="1:22" ht="14.4" thickTop="1" thickBot="1" x14ac:dyDescent="0.3">
      <c r="A1762" s="292"/>
      <c r="B1762" s="293"/>
      <c r="C1762" s="294"/>
      <c r="D1762" s="294"/>
      <c r="E1762" s="294"/>
      <c r="F1762" s="310"/>
      <c r="G1762" s="310"/>
      <c r="H1762" s="310"/>
      <c r="I1762" s="295"/>
      <c r="J1762" s="295"/>
      <c r="K1762" s="300">
        <f t="shared" si="203"/>
        <v>1.1000000000000001</v>
      </c>
      <c r="L1762" s="300">
        <f t="shared" si="200"/>
        <v>0</v>
      </c>
      <c r="M1762" s="285">
        <f t="shared" si="201"/>
        <v>0</v>
      </c>
      <c r="N1762" s="1076">
        <f t="shared" si="202"/>
        <v>0</v>
      </c>
      <c r="O1762" s="294"/>
      <c r="P1762" s="404"/>
      <c r="Q1762" s="404"/>
      <c r="R1762" s="301"/>
      <c r="S1762" s="301"/>
      <c r="T1762" s="301"/>
      <c r="U1762" s="301"/>
      <c r="V1762" s="301"/>
    </row>
    <row r="1763" spans="1:22" ht="14.4" thickTop="1" thickBot="1" x14ac:dyDescent="0.3">
      <c r="A1763" s="292"/>
      <c r="B1763" s="302" t="s">
        <v>908</v>
      </c>
      <c r="C1763" s="294"/>
      <c r="D1763" s="294"/>
      <c r="E1763" s="294"/>
      <c r="F1763" s="310"/>
      <c r="G1763" s="310"/>
      <c r="H1763" s="310"/>
      <c r="I1763" s="295"/>
      <c r="J1763" s="295"/>
      <c r="K1763" s="300">
        <f t="shared" si="203"/>
        <v>1.1000000000000001</v>
      </c>
      <c r="L1763" s="300">
        <f t="shared" si="200"/>
        <v>0</v>
      </c>
      <c r="M1763" s="285">
        <f t="shared" si="201"/>
        <v>0</v>
      </c>
      <c r="N1763" s="1076">
        <f t="shared" si="202"/>
        <v>0</v>
      </c>
      <c r="O1763" s="294"/>
      <c r="P1763" s="404"/>
      <c r="Q1763" s="404"/>
      <c r="R1763" s="301"/>
      <c r="S1763" s="301"/>
      <c r="T1763" s="301"/>
      <c r="U1763" s="301"/>
      <c r="V1763" s="301"/>
    </row>
    <row r="1764" spans="1:22" ht="14.4" thickTop="1" thickBot="1" x14ac:dyDescent="0.3">
      <c r="A1764" s="292"/>
      <c r="B1764" s="296" t="s">
        <v>1870</v>
      </c>
      <c r="C1764" s="294"/>
      <c r="D1764" s="294"/>
      <c r="E1764" s="294"/>
      <c r="F1764" s="310"/>
      <c r="G1764" s="310"/>
      <c r="H1764" s="310"/>
      <c r="I1764" s="295"/>
      <c r="J1764" s="295">
        <v>1051.54</v>
      </c>
      <c r="K1764" s="300">
        <f t="shared" si="203"/>
        <v>1.1000000000000001</v>
      </c>
      <c r="L1764" s="300">
        <f t="shared" si="200"/>
        <v>1156.694</v>
      </c>
      <c r="M1764" s="285">
        <f t="shared" si="201"/>
        <v>1156.7</v>
      </c>
      <c r="N1764" s="1076">
        <f t="shared" si="202"/>
        <v>1157</v>
      </c>
      <c r="O1764" s="294"/>
      <c r="P1764" s="404"/>
      <c r="Q1764" s="404"/>
      <c r="R1764" s="301"/>
      <c r="S1764" s="301"/>
      <c r="T1764" s="301"/>
      <c r="U1764" s="301"/>
      <c r="V1764" s="301"/>
    </row>
    <row r="1765" spans="1:22" ht="14.4" thickTop="1" thickBot="1" x14ac:dyDescent="0.3">
      <c r="A1765" s="292"/>
      <c r="B1765" s="293"/>
      <c r="C1765" s="294"/>
      <c r="D1765" s="294"/>
      <c r="E1765" s="294"/>
      <c r="F1765" s="310"/>
      <c r="G1765" s="310"/>
      <c r="H1765" s="310"/>
      <c r="I1765" s="295"/>
      <c r="J1765" s="295">
        <f>J1764*10.76</f>
        <v>11314.570399999999</v>
      </c>
      <c r="K1765" s="300">
        <f t="shared" si="203"/>
        <v>1.1000000000000001</v>
      </c>
      <c r="L1765" s="300">
        <f t="shared" si="200"/>
        <v>12446.02744</v>
      </c>
      <c r="M1765" s="285">
        <f t="shared" si="201"/>
        <v>12446</v>
      </c>
      <c r="N1765" s="1076">
        <f t="shared" si="202"/>
        <v>12446</v>
      </c>
      <c r="O1765" s="294" t="s">
        <v>1846</v>
      </c>
      <c r="P1765" s="404"/>
      <c r="Q1765" s="404"/>
      <c r="R1765" s="301"/>
      <c r="S1765" s="301"/>
      <c r="T1765" s="301"/>
      <c r="U1765" s="301"/>
      <c r="V1765" s="301"/>
    </row>
    <row r="1766" spans="1:22" ht="14.4" thickTop="1" thickBot="1" x14ac:dyDescent="0.3">
      <c r="A1766" s="292"/>
      <c r="B1766" s="293"/>
      <c r="C1766" s="294"/>
      <c r="D1766" s="294"/>
      <c r="E1766" s="294"/>
      <c r="F1766" s="310"/>
      <c r="G1766" s="310"/>
      <c r="H1766" s="310"/>
      <c r="I1766" s="295"/>
      <c r="J1766" s="295">
        <f>J1765/100</f>
        <v>113.14570399999998</v>
      </c>
      <c r="K1766" s="300">
        <v>1.02</v>
      </c>
      <c r="L1766" s="300">
        <f t="shared" si="200"/>
        <v>115.40861807999998</v>
      </c>
      <c r="M1766" s="285">
        <f t="shared" si="201"/>
        <v>115.4</v>
      </c>
      <c r="N1766" s="1076">
        <f t="shared" si="202"/>
        <v>116</v>
      </c>
      <c r="O1766" s="294" t="s">
        <v>879</v>
      </c>
      <c r="P1766" s="404"/>
      <c r="Q1766" s="404"/>
      <c r="R1766" s="301"/>
      <c r="S1766" s="301"/>
      <c r="T1766" s="301"/>
      <c r="U1766" s="301"/>
      <c r="V1766" s="301"/>
    </row>
    <row r="1767" spans="1:22" ht="14.4" thickTop="1" thickBot="1" x14ac:dyDescent="0.3">
      <c r="A1767" s="292"/>
      <c r="B1767" s="293"/>
      <c r="C1767" s="294"/>
      <c r="D1767" s="294"/>
      <c r="E1767" s="294"/>
      <c r="F1767" s="310"/>
      <c r="G1767" s="310"/>
      <c r="H1767" s="310"/>
      <c r="I1767" s="295"/>
      <c r="J1767" s="295"/>
      <c r="K1767" s="300">
        <f t="shared" si="203"/>
        <v>1.1000000000000001</v>
      </c>
      <c r="L1767" s="300">
        <f t="shared" si="200"/>
        <v>0</v>
      </c>
      <c r="M1767" s="285">
        <f t="shared" si="201"/>
        <v>0</v>
      </c>
      <c r="N1767" s="1076">
        <f t="shared" si="202"/>
        <v>0</v>
      </c>
      <c r="O1767" s="294"/>
      <c r="P1767" s="404"/>
      <c r="Q1767" s="404"/>
      <c r="R1767" s="301"/>
      <c r="S1767" s="301"/>
      <c r="T1767" s="301"/>
      <c r="U1767" s="301"/>
      <c r="V1767" s="301"/>
    </row>
    <row r="1768" spans="1:22" ht="14.4" thickTop="1" thickBot="1" x14ac:dyDescent="0.3">
      <c r="A1768" s="292"/>
      <c r="B1768" s="293"/>
      <c r="C1768" s="294"/>
      <c r="D1768" s="294"/>
      <c r="E1768" s="294"/>
      <c r="F1768" s="310"/>
      <c r="G1768" s="310"/>
      <c r="H1768" s="310"/>
      <c r="I1768" s="295"/>
      <c r="J1768" s="295"/>
      <c r="K1768" s="300"/>
      <c r="L1768" s="300"/>
      <c r="M1768" s="285"/>
      <c r="N1768" s="1076"/>
      <c r="O1768" s="294"/>
      <c r="P1768" s="404"/>
      <c r="Q1768" s="404"/>
      <c r="R1768" s="301"/>
      <c r="S1768" s="301"/>
      <c r="T1768" s="301"/>
      <c r="U1768" s="301"/>
      <c r="V1768" s="301"/>
    </row>
    <row r="1769" spans="1:22" ht="14.4" thickTop="1" thickBot="1" x14ac:dyDescent="0.3">
      <c r="A1769" s="292"/>
      <c r="B1769" s="293"/>
      <c r="C1769" s="294"/>
      <c r="D1769" s="294"/>
      <c r="E1769" s="294"/>
      <c r="F1769" s="310"/>
      <c r="G1769" s="310"/>
      <c r="H1769" s="310"/>
      <c r="I1769" s="295"/>
      <c r="J1769" s="295"/>
      <c r="K1769" s="300"/>
      <c r="L1769" s="300"/>
      <c r="M1769" s="285"/>
      <c r="N1769" s="1076"/>
      <c r="O1769" s="294"/>
      <c r="P1769" s="404"/>
      <c r="Q1769" s="404"/>
      <c r="R1769" s="301"/>
      <c r="S1769" s="301"/>
      <c r="T1769" s="301"/>
      <c r="U1769" s="301"/>
      <c r="V1769" s="301"/>
    </row>
    <row r="1770" spans="1:22" ht="14.4" thickTop="1" thickBot="1" x14ac:dyDescent="0.3">
      <c r="A1770" s="292"/>
      <c r="B1770" s="293"/>
      <c r="C1770" s="294"/>
      <c r="D1770" s="294"/>
      <c r="E1770" s="294"/>
      <c r="F1770" s="310"/>
      <c r="G1770" s="310"/>
      <c r="H1770" s="310"/>
      <c r="I1770" s="295"/>
      <c r="J1770" s="295"/>
      <c r="K1770" s="300"/>
      <c r="L1770" s="300"/>
      <c r="M1770" s="285"/>
      <c r="N1770" s="1076"/>
      <c r="O1770" s="294"/>
      <c r="P1770" s="404"/>
      <c r="Q1770" s="404"/>
      <c r="R1770" s="301"/>
      <c r="S1770" s="301"/>
      <c r="T1770" s="301"/>
      <c r="U1770" s="301"/>
      <c r="V1770" s="301"/>
    </row>
    <row r="1771" spans="1:22" ht="14.4" thickTop="1" thickBot="1" x14ac:dyDescent="0.3">
      <c r="A1771" s="292"/>
      <c r="B1771" s="293"/>
      <c r="C1771" s="294"/>
      <c r="D1771" s="294"/>
      <c r="E1771" s="294"/>
      <c r="F1771" s="310"/>
      <c r="G1771" s="310"/>
      <c r="H1771" s="310"/>
      <c r="I1771" s="295"/>
      <c r="J1771" s="295"/>
      <c r="K1771" s="300"/>
      <c r="L1771" s="300"/>
      <c r="M1771" s="285"/>
      <c r="N1771" s="1076"/>
      <c r="O1771" s="294"/>
      <c r="P1771" s="404"/>
      <c r="Q1771" s="404"/>
      <c r="R1771" s="301"/>
      <c r="S1771" s="301"/>
      <c r="T1771" s="301"/>
      <c r="U1771" s="301"/>
      <c r="V1771" s="301"/>
    </row>
    <row r="1772" spans="1:22" ht="14.4" thickTop="1" thickBot="1" x14ac:dyDescent="0.3">
      <c r="A1772" s="292"/>
      <c r="B1772" s="293"/>
      <c r="C1772" s="294"/>
      <c r="D1772" s="294"/>
      <c r="E1772" s="294"/>
      <c r="F1772" s="310"/>
      <c r="G1772" s="310"/>
      <c r="H1772" s="310"/>
      <c r="I1772" s="295"/>
      <c r="J1772" s="295"/>
      <c r="K1772" s="300"/>
      <c r="L1772" s="300"/>
      <c r="M1772" s="285"/>
      <c r="N1772" s="1076"/>
      <c r="O1772" s="294"/>
      <c r="P1772" s="404"/>
      <c r="Q1772" s="404"/>
      <c r="R1772" s="301"/>
      <c r="S1772" s="301"/>
      <c r="T1772" s="301"/>
      <c r="U1772" s="301"/>
      <c r="V1772" s="301"/>
    </row>
    <row r="1773" spans="1:22" ht="14.4" thickTop="1" thickBot="1" x14ac:dyDescent="0.3">
      <c r="A1773" s="292"/>
      <c r="B1773" s="293"/>
      <c r="C1773" s="294"/>
      <c r="D1773" s="294"/>
      <c r="E1773" s="294"/>
      <c r="F1773" s="310"/>
      <c r="G1773" s="310"/>
      <c r="H1773" s="310"/>
      <c r="I1773" s="295"/>
      <c r="J1773" s="295"/>
      <c r="K1773" s="300"/>
      <c r="L1773" s="300"/>
      <c r="M1773" s="285"/>
      <c r="N1773" s="1076"/>
      <c r="O1773" s="294"/>
      <c r="P1773" s="404"/>
      <c r="Q1773" s="404"/>
      <c r="R1773" s="301"/>
      <c r="S1773" s="301"/>
      <c r="T1773" s="301"/>
      <c r="U1773" s="301"/>
      <c r="V1773" s="301"/>
    </row>
    <row r="1774" spans="1:22" ht="14.4" thickTop="1" thickBot="1" x14ac:dyDescent="0.3">
      <c r="A1774" s="292"/>
      <c r="B1774" s="293"/>
      <c r="C1774" s="294"/>
      <c r="D1774" s="294"/>
      <c r="E1774" s="294"/>
      <c r="F1774" s="310"/>
      <c r="G1774" s="310"/>
      <c r="H1774" s="310"/>
      <c r="I1774" s="295"/>
      <c r="J1774" s="295"/>
      <c r="K1774" s="300"/>
      <c r="L1774" s="300"/>
      <c r="M1774" s="285"/>
      <c r="N1774" s="1076"/>
      <c r="O1774" s="294"/>
      <c r="P1774" s="404"/>
      <c r="Q1774" s="404"/>
      <c r="R1774" s="301"/>
      <c r="S1774" s="301"/>
      <c r="T1774" s="301"/>
      <c r="U1774" s="301"/>
      <c r="V1774" s="301"/>
    </row>
    <row r="1775" spans="1:22" ht="14.4" thickTop="1" thickBot="1" x14ac:dyDescent="0.3">
      <c r="A1775" s="292"/>
      <c r="B1775" s="293"/>
      <c r="C1775" s="294"/>
      <c r="D1775" s="294"/>
      <c r="E1775" s="294"/>
      <c r="F1775" s="310"/>
      <c r="G1775" s="310"/>
      <c r="H1775" s="310"/>
      <c r="I1775" s="295"/>
      <c r="J1775" s="295"/>
      <c r="K1775" s="300"/>
      <c r="L1775" s="300"/>
      <c r="M1775" s="285"/>
      <c r="N1775" s="1076"/>
      <c r="O1775" s="294"/>
      <c r="P1775" s="404"/>
      <c r="Q1775" s="404"/>
      <c r="R1775" s="301"/>
      <c r="S1775" s="301"/>
      <c r="T1775" s="301"/>
      <c r="U1775" s="301"/>
      <c r="V1775" s="301"/>
    </row>
    <row r="1776" spans="1:22" ht="14.4" thickTop="1" thickBot="1" x14ac:dyDescent="0.3">
      <c r="A1776" s="292"/>
      <c r="B1776" s="293"/>
      <c r="C1776" s="294"/>
      <c r="D1776" s="294"/>
      <c r="E1776" s="294"/>
      <c r="F1776" s="310"/>
      <c r="G1776" s="310"/>
      <c r="H1776" s="310"/>
      <c r="I1776" s="295"/>
      <c r="J1776" s="295"/>
      <c r="K1776" s="300"/>
      <c r="L1776" s="300"/>
      <c r="M1776" s="285"/>
      <c r="N1776" s="1076"/>
      <c r="O1776" s="294"/>
      <c r="P1776" s="404"/>
      <c r="Q1776" s="404"/>
      <c r="R1776" s="301"/>
      <c r="S1776" s="301"/>
      <c r="T1776" s="301"/>
      <c r="U1776" s="301"/>
      <c r="V1776" s="301"/>
    </row>
    <row r="1777" spans="1:22" ht="14.4" thickTop="1" thickBot="1" x14ac:dyDescent="0.3">
      <c r="A1777" s="292"/>
      <c r="B1777" s="293"/>
      <c r="C1777" s="294"/>
      <c r="D1777" s="294"/>
      <c r="E1777" s="294"/>
      <c r="F1777" s="310"/>
      <c r="G1777" s="310"/>
      <c r="H1777" s="310"/>
      <c r="I1777" s="295"/>
      <c r="J1777" s="295"/>
      <c r="K1777" s="300"/>
      <c r="L1777" s="300"/>
      <c r="M1777" s="285"/>
      <c r="N1777" s="1076"/>
      <c r="O1777" s="294"/>
      <c r="P1777" s="404"/>
      <c r="Q1777" s="404"/>
      <c r="R1777" s="301"/>
      <c r="S1777" s="301"/>
      <c r="T1777" s="301"/>
      <c r="U1777" s="301"/>
      <c r="V1777" s="301"/>
    </row>
    <row r="1778" spans="1:22" ht="14.4" thickTop="1" thickBot="1" x14ac:dyDescent="0.3">
      <c r="A1778" s="292"/>
      <c r="B1778" s="293"/>
      <c r="C1778" s="294"/>
      <c r="D1778" s="294"/>
      <c r="E1778" s="294"/>
      <c r="F1778" s="310"/>
      <c r="G1778" s="310"/>
      <c r="H1778" s="310"/>
      <c r="I1778" s="295"/>
      <c r="J1778" s="295"/>
      <c r="K1778" s="300"/>
      <c r="L1778" s="300"/>
      <c r="M1778" s="285"/>
      <c r="N1778" s="1076"/>
      <c r="O1778" s="294"/>
      <c r="P1778" s="404"/>
      <c r="Q1778" s="404"/>
      <c r="R1778" s="301"/>
      <c r="S1778" s="301"/>
      <c r="T1778" s="301"/>
      <c r="U1778" s="301"/>
      <c r="V1778" s="301"/>
    </row>
    <row r="1779" spans="1:22" ht="14.4" thickTop="1" thickBot="1" x14ac:dyDescent="0.3">
      <c r="A1779" s="292"/>
      <c r="B1779" s="293"/>
      <c r="C1779" s="294"/>
      <c r="D1779" s="294"/>
      <c r="E1779" s="294"/>
      <c r="F1779" s="310"/>
      <c r="G1779" s="310"/>
      <c r="H1779" s="310"/>
      <c r="I1779" s="295"/>
      <c r="J1779" s="295"/>
      <c r="K1779" s="300"/>
      <c r="L1779" s="300"/>
      <c r="M1779" s="285"/>
      <c r="N1779" s="1076"/>
      <c r="O1779" s="294"/>
      <c r="P1779" s="404"/>
      <c r="Q1779" s="404"/>
      <c r="R1779" s="301"/>
      <c r="S1779" s="301"/>
      <c r="T1779" s="301"/>
      <c r="U1779" s="301"/>
      <c r="V1779" s="301"/>
    </row>
    <row r="1780" spans="1:22" ht="14.4" thickTop="1" thickBot="1" x14ac:dyDescent="0.3">
      <c r="A1780" s="292"/>
      <c r="B1780" s="293"/>
      <c r="C1780" s="294"/>
      <c r="D1780" s="294"/>
      <c r="E1780" s="294"/>
      <c r="F1780" s="310"/>
      <c r="G1780" s="310"/>
      <c r="H1780" s="310"/>
      <c r="I1780" s="295"/>
      <c r="J1780" s="295"/>
      <c r="K1780" s="300"/>
      <c r="L1780" s="300"/>
      <c r="M1780" s="285"/>
      <c r="N1780" s="1076"/>
      <c r="O1780" s="294"/>
      <c r="P1780" s="404"/>
      <c r="Q1780" s="404"/>
      <c r="R1780" s="301"/>
      <c r="S1780" s="301"/>
      <c r="T1780" s="301"/>
      <c r="U1780" s="301"/>
      <c r="V1780" s="301"/>
    </row>
    <row r="1781" spans="1:22" ht="14.4" thickTop="1" thickBot="1" x14ac:dyDescent="0.3">
      <c r="A1781" s="292"/>
      <c r="B1781" s="293"/>
      <c r="C1781" s="294"/>
      <c r="D1781" s="294"/>
      <c r="E1781" s="294"/>
      <c r="F1781" s="310"/>
      <c r="G1781" s="310"/>
      <c r="H1781" s="310"/>
      <c r="I1781" s="295"/>
      <c r="J1781" s="295"/>
      <c r="K1781" s="300"/>
      <c r="L1781" s="300"/>
      <c r="M1781" s="285"/>
      <c r="N1781" s="1076"/>
      <c r="O1781" s="294"/>
      <c r="P1781" s="404"/>
      <c r="Q1781" s="404"/>
      <c r="R1781" s="301"/>
      <c r="S1781" s="301"/>
      <c r="T1781" s="301"/>
      <c r="U1781" s="301"/>
      <c r="V1781" s="301"/>
    </row>
    <row r="1782" spans="1:22" ht="14.4" thickTop="1" thickBot="1" x14ac:dyDescent="0.3">
      <c r="A1782" s="292"/>
      <c r="B1782" s="293"/>
      <c r="C1782" s="294"/>
      <c r="D1782" s="294"/>
      <c r="E1782" s="294"/>
      <c r="F1782" s="310"/>
      <c r="G1782" s="310"/>
      <c r="H1782" s="310"/>
      <c r="I1782" s="295"/>
      <c r="J1782" s="295"/>
      <c r="K1782" s="300"/>
      <c r="L1782" s="300"/>
      <c r="M1782" s="285"/>
      <c r="N1782" s="1076"/>
      <c r="O1782" s="294"/>
      <c r="P1782" s="404"/>
      <c r="Q1782" s="404"/>
      <c r="R1782" s="301"/>
      <c r="S1782" s="301"/>
      <c r="T1782" s="301"/>
      <c r="U1782" s="301"/>
      <c r="V1782" s="301"/>
    </row>
    <row r="1783" spans="1:22" ht="14.4" thickTop="1" thickBot="1" x14ac:dyDescent="0.3">
      <c r="A1783" s="292"/>
      <c r="B1783" s="293"/>
      <c r="C1783" s="294"/>
      <c r="D1783" s="294"/>
      <c r="E1783" s="294"/>
      <c r="F1783" s="310"/>
      <c r="G1783" s="310"/>
      <c r="H1783" s="310"/>
      <c r="I1783" s="295"/>
      <c r="J1783" s="295"/>
      <c r="K1783" s="300"/>
      <c r="L1783" s="300"/>
      <c r="M1783" s="285"/>
      <c r="N1783" s="1076"/>
      <c r="O1783" s="294"/>
      <c r="P1783" s="404"/>
      <c r="Q1783" s="404"/>
      <c r="R1783" s="301"/>
      <c r="S1783" s="301"/>
      <c r="T1783" s="301"/>
      <c r="U1783" s="301"/>
      <c r="V1783" s="301"/>
    </row>
    <row r="1784" spans="1:22" ht="14.4" thickTop="1" thickBot="1" x14ac:dyDescent="0.3">
      <c r="A1784" s="292"/>
      <c r="B1784" s="293"/>
      <c r="C1784" s="294"/>
      <c r="D1784" s="294"/>
      <c r="E1784" s="294"/>
      <c r="F1784" s="310"/>
      <c r="G1784" s="310"/>
      <c r="H1784" s="310"/>
      <c r="I1784" s="295"/>
      <c r="J1784" s="295"/>
      <c r="K1784" s="300"/>
      <c r="L1784" s="300"/>
      <c r="M1784" s="285"/>
      <c r="N1784" s="1076"/>
      <c r="O1784" s="294"/>
      <c r="P1784" s="404"/>
      <c r="Q1784" s="404"/>
      <c r="R1784" s="301"/>
      <c r="S1784" s="301"/>
      <c r="T1784" s="301"/>
      <c r="U1784" s="301"/>
      <c r="V1784" s="301"/>
    </row>
    <row r="1785" spans="1:22" ht="14.4" thickTop="1" thickBot="1" x14ac:dyDescent="0.3">
      <c r="A1785" s="292"/>
      <c r="B1785" s="293"/>
      <c r="C1785" s="294"/>
      <c r="D1785" s="294"/>
      <c r="E1785" s="294"/>
      <c r="F1785" s="310"/>
      <c r="G1785" s="310"/>
      <c r="H1785" s="310"/>
      <c r="I1785" s="295"/>
      <c r="J1785" s="295"/>
      <c r="K1785" s="300"/>
      <c r="L1785" s="300"/>
      <c r="M1785" s="285"/>
      <c r="N1785" s="1076"/>
      <c r="O1785" s="294"/>
      <c r="P1785" s="404"/>
      <c r="Q1785" s="404"/>
      <c r="R1785" s="301"/>
      <c r="S1785" s="301"/>
      <c r="T1785" s="301"/>
      <c r="U1785" s="301"/>
      <c r="V1785" s="301"/>
    </row>
    <row r="1786" spans="1:22" ht="14.4" thickTop="1" thickBot="1" x14ac:dyDescent="0.3">
      <c r="A1786" s="292"/>
      <c r="B1786" s="293"/>
      <c r="C1786" s="294"/>
      <c r="D1786" s="294"/>
      <c r="E1786" s="294"/>
      <c r="F1786" s="310"/>
      <c r="G1786" s="310"/>
      <c r="H1786" s="310"/>
      <c r="I1786" s="295"/>
      <c r="J1786" s="295"/>
      <c r="K1786" s="300"/>
      <c r="L1786" s="300"/>
      <c r="M1786" s="285"/>
      <c r="N1786" s="1076"/>
      <c r="O1786" s="294"/>
      <c r="P1786" s="404"/>
      <c r="Q1786" s="404"/>
      <c r="R1786" s="301"/>
      <c r="S1786" s="301"/>
      <c r="T1786" s="301"/>
      <c r="U1786" s="301"/>
      <c r="V1786" s="301"/>
    </row>
    <row r="1787" spans="1:22" ht="14.4" thickTop="1" thickBot="1" x14ac:dyDescent="0.3">
      <c r="A1787" s="292"/>
      <c r="B1787" s="293"/>
      <c r="C1787" s="294"/>
      <c r="D1787" s="294"/>
      <c r="E1787" s="294"/>
      <c r="F1787" s="310"/>
      <c r="G1787" s="310"/>
      <c r="H1787" s="310"/>
      <c r="I1787" s="295"/>
      <c r="J1787" s="295"/>
      <c r="K1787" s="300"/>
      <c r="L1787" s="300"/>
      <c r="M1787" s="285"/>
      <c r="N1787" s="1076"/>
      <c r="O1787" s="294"/>
      <c r="P1787" s="404"/>
      <c r="Q1787" s="404"/>
      <c r="R1787" s="301"/>
      <c r="S1787" s="301"/>
      <c r="T1787" s="301"/>
      <c r="U1787" s="301"/>
      <c r="V1787" s="301"/>
    </row>
    <row r="1788" spans="1:22" ht="14.4" thickTop="1" thickBot="1" x14ac:dyDescent="0.3">
      <c r="A1788" s="292"/>
      <c r="B1788" s="293"/>
      <c r="C1788" s="294"/>
      <c r="D1788" s="294"/>
      <c r="E1788" s="294"/>
      <c r="F1788" s="310"/>
      <c r="G1788" s="310"/>
      <c r="H1788" s="310"/>
      <c r="I1788" s="295"/>
      <c r="J1788" s="295"/>
      <c r="K1788" s="300"/>
      <c r="L1788" s="300"/>
      <c r="M1788" s="285"/>
      <c r="N1788" s="1076"/>
      <c r="O1788" s="294"/>
      <c r="P1788" s="404"/>
      <c r="Q1788" s="404"/>
      <c r="R1788" s="301"/>
      <c r="S1788" s="301"/>
      <c r="T1788" s="301"/>
      <c r="U1788" s="301"/>
      <c r="V1788" s="301"/>
    </row>
    <row r="1789" spans="1:22" ht="14.4" thickTop="1" thickBot="1" x14ac:dyDescent="0.3">
      <c r="A1789" s="292"/>
      <c r="B1789" s="293"/>
      <c r="C1789" s="294"/>
      <c r="D1789" s="294"/>
      <c r="E1789" s="294"/>
      <c r="F1789" s="310"/>
      <c r="G1789" s="310"/>
      <c r="H1789" s="310"/>
      <c r="I1789" s="295"/>
      <c r="J1789" s="295"/>
      <c r="K1789" s="300"/>
      <c r="L1789" s="300"/>
      <c r="M1789" s="285"/>
      <c r="N1789" s="1076"/>
      <c r="O1789" s="294"/>
      <c r="P1789" s="404"/>
      <c r="Q1789" s="404"/>
      <c r="R1789" s="301"/>
      <c r="S1789" s="301"/>
      <c r="T1789" s="301"/>
      <c r="U1789" s="301"/>
      <c r="V1789" s="301"/>
    </row>
    <row r="1790" spans="1:22" ht="14.4" thickTop="1" thickBot="1" x14ac:dyDescent="0.3">
      <c r="A1790" s="292"/>
      <c r="B1790" s="293"/>
      <c r="C1790" s="294"/>
      <c r="D1790" s="294"/>
      <c r="E1790" s="294"/>
      <c r="F1790" s="310"/>
      <c r="G1790" s="310"/>
      <c r="H1790" s="310"/>
      <c r="I1790" s="295"/>
      <c r="J1790" s="295"/>
      <c r="K1790" s="300"/>
      <c r="L1790" s="300"/>
      <c r="M1790" s="285"/>
      <c r="N1790" s="1076"/>
      <c r="O1790" s="294"/>
      <c r="P1790" s="404"/>
      <c r="Q1790" s="404"/>
      <c r="R1790" s="301"/>
      <c r="S1790" s="301"/>
      <c r="T1790" s="301"/>
      <c r="U1790" s="301"/>
      <c r="V1790" s="301"/>
    </row>
    <row r="1791" spans="1:22" ht="14.4" thickTop="1" thickBot="1" x14ac:dyDescent="0.3">
      <c r="A1791" s="292"/>
      <c r="B1791" s="293"/>
      <c r="C1791" s="294"/>
      <c r="D1791" s="294"/>
      <c r="E1791" s="294"/>
      <c r="F1791" s="310"/>
      <c r="G1791" s="310"/>
      <c r="H1791" s="310"/>
      <c r="I1791" s="295"/>
      <c r="J1791" s="295"/>
      <c r="K1791" s="300"/>
      <c r="L1791" s="300"/>
      <c r="M1791" s="285"/>
      <c r="N1791" s="1076"/>
      <c r="O1791" s="294"/>
      <c r="P1791" s="404"/>
      <c r="Q1791" s="404"/>
      <c r="R1791" s="301"/>
      <c r="S1791" s="301"/>
      <c r="T1791" s="301"/>
      <c r="U1791" s="301"/>
      <c r="V1791" s="301"/>
    </row>
    <row r="1792" spans="1:22" ht="14.4" thickTop="1" thickBot="1" x14ac:dyDescent="0.3">
      <c r="A1792" s="292"/>
      <c r="B1792" s="293"/>
      <c r="C1792" s="294"/>
      <c r="D1792" s="294"/>
      <c r="E1792" s="294"/>
      <c r="F1792" s="310"/>
      <c r="G1792" s="310"/>
      <c r="H1792" s="310"/>
      <c r="I1792" s="295"/>
      <c r="J1792" s="295"/>
      <c r="K1792" s="300"/>
      <c r="L1792" s="300"/>
      <c r="M1792" s="285"/>
      <c r="N1792" s="1076"/>
      <c r="O1792" s="294"/>
      <c r="P1792" s="404"/>
      <c r="Q1792" s="404"/>
      <c r="R1792" s="301"/>
      <c r="S1792" s="301"/>
      <c r="T1792" s="301"/>
      <c r="U1792" s="301"/>
      <c r="V1792" s="301"/>
    </row>
    <row r="1793" spans="1:22" ht="14.4" thickTop="1" thickBot="1" x14ac:dyDescent="0.3">
      <c r="A1793" s="292"/>
      <c r="B1793" s="293"/>
      <c r="C1793" s="294"/>
      <c r="D1793" s="294"/>
      <c r="E1793" s="294"/>
      <c r="F1793" s="310"/>
      <c r="G1793" s="310"/>
      <c r="H1793" s="310"/>
      <c r="I1793" s="295"/>
      <c r="J1793" s="295"/>
      <c r="K1793" s="300"/>
      <c r="L1793" s="300"/>
      <c r="M1793" s="285"/>
      <c r="N1793" s="1076"/>
      <c r="O1793" s="294"/>
      <c r="P1793" s="404"/>
      <c r="Q1793" s="404"/>
      <c r="R1793" s="301"/>
      <c r="S1793" s="301"/>
      <c r="T1793" s="301"/>
      <c r="U1793" s="301"/>
      <c r="V1793" s="301"/>
    </row>
    <row r="1794" spans="1:22" ht="14.4" thickTop="1" thickBot="1" x14ac:dyDescent="0.3">
      <c r="A1794" s="292"/>
      <c r="B1794" s="293"/>
      <c r="C1794" s="294"/>
      <c r="D1794" s="294"/>
      <c r="E1794" s="294"/>
      <c r="F1794" s="310"/>
      <c r="G1794" s="310"/>
      <c r="H1794" s="310"/>
      <c r="I1794" s="295"/>
      <c r="J1794" s="295"/>
      <c r="K1794" s="300"/>
      <c r="L1794" s="300"/>
      <c r="M1794" s="285"/>
      <c r="N1794" s="1076"/>
      <c r="O1794" s="294"/>
      <c r="P1794" s="404"/>
      <c r="Q1794" s="404"/>
      <c r="R1794" s="301"/>
      <c r="S1794" s="301"/>
      <c r="T1794" s="301"/>
      <c r="U1794" s="301"/>
      <c r="V1794" s="301"/>
    </row>
    <row r="1795" spans="1:22" ht="14.4" thickTop="1" thickBot="1" x14ac:dyDescent="0.3">
      <c r="A1795" s="292"/>
      <c r="B1795" s="293"/>
      <c r="C1795" s="294"/>
      <c r="D1795" s="294"/>
      <c r="E1795" s="294"/>
      <c r="F1795" s="310"/>
      <c r="G1795" s="310"/>
      <c r="H1795" s="310"/>
      <c r="I1795" s="295"/>
      <c r="J1795" s="295"/>
      <c r="K1795" s="300"/>
      <c r="L1795" s="300"/>
      <c r="M1795" s="285"/>
      <c r="N1795" s="1076"/>
      <c r="O1795" s="294"/>
      <c r="P1795" s="404"/>
      <c r="Q1795" s="404"/>
      <c r="R1795" s="301"/>
      <c r="S1795" s="301"/>
      <c r="T1795" s="301"/>
      <c r="U1795" s="301"/>
      <c r="V1795" s="301"/>
    </row>
    <row r="1796" spans="1:22" ht="14.4" thickTop="1" thickBot="1" x14ac:dyDescent="0.3">
      <c r="A1796" s="292"/>
      <c r="B1796" s="293"/>
      <c r="C1796" s="294"/>
      <c r="D1796" s="294"/>
      <c r="E1796" s="294"/>
      <c r="F1796" s="310"/>
      <c r="G1796" s="310"/>
      <c r="H1796" s="310"/>
      <c r="I1796" s="295"/>
      <c r="J1796" s="295"/>
      <c r="K1796" s="300"/>
      <c r="L1796" s="300"/>
      <c r="M1796" s="285"/>
      <c r="N1796" s="1076"/>
      <c r="O1796" s="294"/>
      <c r="P1796" s="404"/>
      <c r="Q1796" s="404"/>
      <c r="R1796" s="301"/>
      <c r="S1796" s="301"/>
      <c r="T1796" s="301"/>
      <c r="U1796" s="301"/>
      <c r="V1796" s="301"/>
    </row>
    <row r="1797" spans="1:22" ht="14.4" thickTop="1" thickBot="1" x14ac:dyDescent="0.3">
      <c r="A1797" s="292"/>
      <c r="B1797" s="293"/>
      <c r="C1797" s="294"/>
      <c r="D1797" s="294"/>
      <c r="E1797" s="294"/>
      <c r="F1797" s="310"/>
      <c r="G1797" s="310"/>
      <c r="H1797" s="310"/>
      <c r="I1797" s="295"/>
      <c r="J1797" s="295"/>
      <c r="K1797" s="300"/>
      <c r="L1797" s="300"/>
      <c r="M1797" s="285"/>
      <c r="N1797" s="1076"/>
      <c r="O1797" s="294"/>
      <c r="P1797" s="404"/>
      <c r="Q1797" s="404"/>
      <c r="R1797" s="301"/>
      <c r="S1797" s="301"/>
      <c r="T1797" s="301"/>
      <c r="U1797" s="301"/>
      <c r="V1797" s="301"/>
    </row>
    <row r="1798" spans="1:22" ht="14.4" thickTop="1" thickBot="1" x14ac:dyDescent="0.3">
      <c r="A1798" s="292"/>
      <c r="B1798" s="293"/>
      <c r="C1798" s="294"/>
      <c r="D1798" s="294"/>
      <c r="E1798" s="294"/>
      <c r="F1798" s="310"/>
      <c r="G1798" s="310"/>
      <c r="H1798" s="310"/>
      <c r="I1798" s="295"/>
      <c r="J1798" s="295"/>
      <c r="K1798" s="300"/>
      <c r="L1798" s="300"/>
      <c r="M1798" s="285"/>
      <c r="N1798" s="1076"/>
      <c r="O1798" s="294"/>
      <c r="P1798" s="404"/>
      <c r="Q1798" s="404"/>
      <c r="R1798" s="301"/>
      <c r="S1798" s="301"/>
      <c r="T1798" s="301"/>
      <c r="U1798" s="301"/>
      <c r="V1798" s="301"/>
    </row>
    <row r="1799" spans="1:22" ht="14.4" thickTop="1" thickBot="1" x14ac:dyDescent="0.3">
      <c r="A1799" s="292"/>
      <c r="B1799" s="293"/>
      <c r="C1799" s="294"/>
      <c r="D1799" s="294"/>
      <c r="E1799" s="294"/>
      <c r="F1799" s="310"/>
      <c r="G1799" s="310"/>
      <c r="H1799" s="310"/>
      <c r="I1799" s="295"/>
      <c r="J1799" s="295"/>
      <c r="K1799" s="300"/>
      <c r="L1799" s="300"/>
      <c r="M1799" s="285"/>
      <c r="N1799" s="1076"/>
      <c r="O1799" s="294"/>
      <c r="P1799" s="404"/>
      <c r="Q1799" s="404"/>
      <c r="R1799" s="301"/>
      <c r="S1799" s="301"/>
      <c r="T1799" s="301"/>
      <c r="U1799" s="301"/>
      <c r="V1799" s="301"/>
    </row>
    <row r="1800" spans="1:22" ht="14.4" thickTop="1" thickBot="1" x14ac:dyDescent="0.3">
      <c r="A1800" s="292"/>
      <c r="B1800" s="293"/>
      <c r="C1800" s="294"/>
      <c r="D1800" s="294"/>
      <c r="E1800" s="294"/>
      <c r="F1800" s="310"/>
      <c r="G1800" s="310"/>
      <c r="H1800" s="310"/>
      <c r="I1800" s="295"/>
      <c r="J1800" s="295"/>
      <c r="K1800" s="300"/>
      <c r="L1800" s="300"/>
      <c r="M1800" s="285"/>
      <c r="N1800" s="1076"/>
      <c r="O1800" s="294"/>
      <c r="P1800" s="404"/>
      <c r="Q1800" s="404"/>
      <c r="R1800" s="301"/>
      <c r="S1800" s="301"/>
      <c r="T1800" s="301"/>
      <c r="U1800" s="301"/>
      <c r="V1800" s="301"/>
    </row>
    <row r="1801" spans="1:22" ht="14.4" thickTop="1" thickBot="1" x14ac:dyDescent="0.3">
      <c r="A1801" s="292"/>
      <c r="B1801" s="293"/>
      <c r="C1801" s="294"/>
      <c r="D1801" s="294"/>
      <c r="E1801" s="294"/>
      <c r="F1801" s="310"/>
      <c r="G1801" s="310"/>
      <c r="H1801" s="310"/>
      <c r="I1801" s="295"/>
      <c r="J1801" s="295"/>
      <c r="K1801" s="300"/>
      <c r="L1801" s="300"/>
      <c r="M1801" s="285"/>
      <c r="N1801" s="1076"/>
      <c r="O1801" s="294"/>
      <c r="P1801" s="404"/>
      <c r="Q1801" s="404"/>
      <c r="R1801" s="301"/>
      <c r="S1801" s="301"/>
      <c r="T1801" s="301"/>
      <c r="U1801" s="301"/>
      <c r="V1801" s="301"/>
    </row>
    <row r="1802" spans="1:22" ht="14.4" thickTop="1" thickBot="1" x14ac:dyDescent="0.3">
      <c r="A1802" s="292"/>
      <c r="B1802" s="293"/>
      <c r="C1802" s="294"/>
      <c r="D1802" s="294"/>
      <c r="E1802" s="294"/>
      <c r="F1802" s="310"/>
      <c r="G1802" s="310"/>
      <c r="H1802" s="310"/>
      <c r="I1802" s="295"/>
      <c r="J1802" s="295"/>
      <c r="K1802" s="300"/>
      <c r="L1802" s="300"/>
      <c r="M1802" s="285"/>
      <c r="N1802" s="1076"/>
      <c r="O1802" s="294"/>
      <c r="P1802" s="404"/>
      <c r="Q1802" s="404"/>
      <c r="R1802" s="301"/>
      <c r="S1802" s="301"/>
      <c r="T1802" s="301"/>
      <c r="U1802" s="301"/>
      <c r="V1802" s="301"/>
    </row>
    <row r="1803" spans="1:22" ht="14.4" thickTop="1" thickBot="1" x14ac:dyDescent="0.3">
      <c r="A1803" s="292"/>
      <c r="B1803" s="293"/>
      <c r="C1803" s="294"/>
      <c r="D1803" s="294"/>
      <c r="E1803" s="294"/>
      <c r="F1803" s="310"/>
      <c r="G1803" s="310"/>
      <c r="H1803" s="310"/>
      <c r="I1803" s="295"/>
      <c r="J1803" s="295"/>
      <c r="K1803" s="300"/>
      <c r="L1803" s="300"/>
      <c r="M1803" s="285"/>
      <c r="N1803" s="1076"/>
      <c r="O1803" s="294"/>
      <c r="P1803" s="404"/>
      <c r="Q1803" s="404"/>
      <c r="R1803" s="301"/>
      <c r="S1803" s="301"/>
      <c r="T1803" s="301"/>
      <c r="U1803" s="301"/>
      <c r="V1803" s="301"/>
    </row>
    <row r="1804" spans="1:22" ht="14.4" thickTop="1" thickBot="1" x14ac:dyDescent="0.3">
      <c r="A1804" s="292"/>
      <c r="B1804" s="293"/>
      <c r="C1804" s="294"/>
      <c r="D1804" s="294"/>
      <c r="E1804" s="294"/>
      <c r="F1804" s="310"/>
      <c r="G1804" s="310"/>
      <c r="H1804" s="310"/>
      <c r="I1804" s="295"/>
      <c r="J1804" s="295"/>
      <c r="K1804" s="300">
        <f t="shared" si="203"/>
        <v>1.1000000000000001</v>
      </c>
      <c r="L1804" s="300">
        <f t="shared" si="200"/>
        <v>0</v>
      </c>
      <c r="M1804" s="285">
        <f t="shared" si="201"/>
        <v>0</v>
      </c>
      <c r="N1804" s="1076">
        <f t="shared" si="202"/>
        <v>0</v>
      </c>
      <c r="O1804" s="294"/>
      <c r="P1804" s="404"/>
      <c r="Q1804" s="404"/>
      <c r="R1804" s="301"/>
      <c r="S1804" s="301"/>
      <c r="T1804" s="301"/>
      <c r="U1804" s="301"/>
      <c r="V1804" s="301"/>
    </row>
    <row r="1805" spans="1:22" ht="14.4" thickTop="1" thickBot="1" x14ac:dyDescent="0.3">
      <c r="A1805" s="292"/>
      <c r="B1805" s="293"/>
      <c r="C1805" s="294"/>
      <c r="D1805" s="294"/>
      <c r="E1805" s="294"/>
      <c r="F1805" s="310"/>
      <c r="G1805" s="310"/>
      <c r="H1805" s="310"/>
      <c r="I1805" s="295"/>
      <c r="J1805" s="295"/>
      <c r="K1805" s="300">
        <f t="shared" si="203"/>
        <v>1.1000000000000001</v>
      </c>
      <c r="L1805" s="300">
        <f t="shared" si="200"/>
        <v>0</v>
      </c>
      <c r="M1805" s="285">
        <f t="shared" si="201"/>
        <v>0</v>
      </c>
      <c r="N1805" s="1076">
        <f t="shared" si="202"/>
        <v>0</v>
      </c>
      <c r="O1805" s="294"/>
      <c r="P1805" s="404"/>
      <c r="Q1805" s="404"/>
      <c r="R1805" s="301"/>
      <c r="S1805" s="301"/>
      <c r="T1805" s="301"/>
      <c r="U1805" s="301"/>
      <c r="V1805" s="301"/>
    </row>
    <row r="1806" spans="1:22" ht="14.4" thickTop="1" thickBot="1" x14ac:dyDescent="0.3">
      <c r="A1806" s="292"/>
      <c r="B1806" s="302" t="s">
        <v>928</v>
      </c>
      <c r="C1806" s="294"/>
      <c r="D1806" s="294"/>
      <c r="E1806" s="294"/>
      <c r="F1806" s="310"/>
      <c r="G1806" s="310"/>
      <c r="H1806" s="310"/>
      <c r="I1806" s="295"/>
      <c r="J1806" s="295"/>
      <c r="K1806" s="300">
        <f t="shared" si="203"/>
        <v>1.1000000000000001</v>
      </c>
      <c r="L1806" s="300">
        <f t="shared" si="200"/>
        <v>0</v>
      </c>
      <c r="M1806" s="285">
        <f t="shared" si="201"/>
        <v>0</v>
      </c>
      <c r="N1806" s="1076">
        <f t="shared" si="202"/>
        <v>0</v>
      </c>
      <c r="O1806" s="294"/>
      <c r="P1806" s="404"/>
      <c r="Q1806" s="404"/>
      <c r="R1806" s="301"/>
      <c r="S1806" s="301"/>
      <c r="T1806" s="301"/>
      <c r="U1806" s="301"/>
      <c r="V1806" s="301"/>
    </row>
    <row r="1807" spans="1:22" ht="14.4" thickTop="1" thickBot="1" x14ac:dyDescent="0.3">
      <c r="A1807" s="292"/>
      <c r="B1807" s="293"/>
      <c r="C1807" s="294"/>
      <c r="D1807" s="294"/>
      <c r="E1807" s="294"/>
      <c r="F1807" s="310"/>
      <c r="G1807" s="310"/>
      <c r="H1807" s="310"/>
      <c r="I1807" s="295"/>
      <c r="J1807" s="295"/>
      <c r="K1807" s="300">
        <f t="shared" si="203"/>
        <v>1.1000000000000001</v>
      </c>
      <c r="L1807" s="300">
        <f t="shared" si="200"/>
        <v>0</v>
      </c>
      <c r="M1807" s="285">
        <f t="shared" si="201"/>
        <v>0</v>
      </c>
      <c r="N1807" s="1076">
        <f t="shared" si="202"/>
        <v>0</v>
      </c>
      <c r="O1807" s="294"/>
      <c r="P1807" s="404"/>
      <c r="Q1807" s="404"/>
      <c r="R1807" s="301"/>
      <c r="S1807" s="301"/>
      <c r="T1807" s="301"/>
      <c r="U1807" s="301"/>
      <c r="V1807" s="301"/>
    </row>
    <row r="1808" spans="1:22" ht="14.4" thickTop="1" thickBot="1" x14ac:dyDescent="0.3">
      <c r="A1808" s="292"/>
      <c r="B1808" s="296" t="s">
        <v>799</v>
      </c>
      <c r="C1808" s="294"/>
      <c r="D1808" s="294"/>
      <c r="E1808" s="294"/>
      <c r="F1808" s="310"/>
      <c r="G1808" s="310"/>
      <c r="H1808" s="310"/>
      <c r="I1808" s="295"/>
      <c r="J1808" s="295"/>
      <c r="K1808" s="300">
        <f t="shared" si="203"/>
        <v>1.1000000000000001</v>
      </c>
      <c r="L1808" s="300">
        <f t="shared" si="200"/>
        <v>0</v>
      </c>
      <c r="M1808" s="285">
        <f t="shared" si="201"/>
        <v>0</v>
      </c>
      <c r="N1808" s="1076">
        <f t="shared" si="202"/>
        <v>0</v>
      </c>
      <c r="O1808" s="294"/>
      <c r="P1808" s="404"/>
      <c r="Q1808" s="404"/>
      <c r="R1808" s="301"/>
      <c r="S1808" s="301"/>
      <c r="T1808" s="301"/>
      <c r="U1808" s="301"/>
      <c r="V1808" s="301"/>
    </row>
    <row r="1809" spans="1:22" ht="14.4" thickTop="1" thickBot="1" x14ac:dyDescent="0.3">
      <c r="A1809" s="292"/>
      <c r="B1809" s="296" t="s">
        <v>1871</v>
      </c>
      <c r="C1809" s="294"/>
      <c r="D1809" s="294"/>
      <c r="E1809" s="294">
        <v>2</v>
      </c>
      <c r="F1809" s="310">
        <v>2</v>
      </c>
      <c r="G1809" s="310">
        <v>2.0550000000000002</v>
      </c>
      <c r="H1809" s="310"/>
      <c r="I1809" s="295">
        <f>G1809*F1809*E1809</f>
        <v>8.2200000000000006</v>
      </c>
      <c r="J1809" s="295"/>
      <c r="K1809" s="300">
        <f t="shared" si="203"/>
        <v>1.1000000000000001</v>
      </c>
      <c r="L1809" s="300">
        <f t="shared" si="200"/>
        <v>0</v>
      </c>
      <c r="M1809" s="285">
        <f t="shared" si="201"/>
        <v>0</v>
      </c>
      <c r="N1809" s="1076">
        <f t="shared" si="202"/>
        <v>0</v>
      </c>
      <c r="O1809" s="294"/>
      <c r="P1809" s="404"/>
      <c r="Q1809" s="404"/>
      <c r="R1809" s="301"/>
      <c r="S1809" s="301"/>
      <c r="T1809" s="301"/>
      <c r="U1809" s="301"/>
      <c r="V1809" s="301"/>
    </row>
    <row r="1810" spans="1:22" ht="14.4" thickTop="1" thickBot="1" x14ac:dyDescent="0.3">
      <c r="A1810" s="292"/>
      <c r="B1810" s="296" t="s">
        <v>800</v>
      </c>
      <c r="C1810" s="294"/>
      <c r="D1810" s="294"/>
      <c r="E1810" s="294">
        <v>2</v>
      </c>
      <c r="F1810" s="310">
        <f>F1809</f>
        <v>2</v>
      </c>
      <c r="G1810" s="310"/>
      <c r="H1810" s="310">
        <v>2</v>
      </c>
      <c r="I1810" s="295">
        <f>H1810*F1810*E1810</f>
        <v>8</v>
      </c>
      <c r="J1810" s="295"/>
      <c r="K1810" s="300">
        <f t="shared" si="203"/>
        <v>1.1000000000000001</v>
      </c>
      <c r="L1810" s="300">
        <f t="shared" si="200"/>
        <v>0</v>
      </c>
      <c r="M1810" s="285">
        <f t="shared" si="201"/>
        <v>0</v>
      </c>
      <c r="N1810" s="1076">
        <f t="shared" si="202"/>
        <v>0</v>
      </c>
      <c r="O1810" s="294"/>
      <c r="P1810" s="404"/>
      <c r="Q1810" s="404"/>
      <c r="R1810" s="301"/>
      <c r="S1810" s="301"/>
      <c r="T1810" s="301"/>
      <c r="U1810" s="301"/>
      <c r="V1810" s="301"/>
    </row>
    <row r="1811" spans="1:22" ht="14.4" thickTop="1" thickBot="1" x14ac:dyDescent="0.3">
      <c r="A1811" s="292"/>
      <c r="B1811" s="293"/>
      <c r="C1811" s="294"/>
      <c r="D1811" s="294"/>
      <c r="E1811" s="294">
        <v>2</v>
      </c>
      <c r="F1811" s="310">
        <f>G1809</f>
        <v>2.0550000000000002</v>
      </c>
      <c r="G1811" s="310"/>
      <c r="H1811" s="310">
        <v>2</v>
      </c>
      <c r="I1811" s="295">
        <f>H1811*F1811*E1811</f>
        <v>8.2200000000000006</v>
      </c>
      <c r="J1811" s="295"/>
      <c r="K1811" s="300">
        <f t="shared" si="203"/>
        <v>1.1000000000000001</v>
      </c>
      <c r="L1811" s="300">
        <f t="shared" si="200"/>
        <v>0</v>
      </c>
      <c r="M1811" s="285">
        <f t="shared" si="201"/>
        <v>0</v>
      </c>
      <c r="N1811" s="1076">
        <f t="shared" si="202"/>
        <v>0</v>
      </c>
      <c r="O1811" s="294"/>
      <c r="P1811" s="404"/>
      <c r="Q1811" s="404"/>
      <c r="R1811" s="301"/>
      <c r="S1811" s="301"/>
      <c r="T1811" s="301"/>
      <c r="U1811" s="301"/>
      <c r="V1811" s="301"/>
    </row>
    <row r="1812" spans="1:22" ht="14.4" thickTop="1" thickBot="1" x14ac:dyDescent="0.3">
      <c r="A1812" s="292"/>
      <c r="B1812" s="296" t="s">
        <v>1872</v>
      </c>
      <c r="C1812" s="294"/>
      <c r="D1812" s="294"/>
      <c r="E1812" s="294">
        <v>1</v>
      </c>
      <c r="F1812" s="310">
        <v>2.7</v>
      </c>
      <c r="G1812" s="310">
        <v>1.7749999999999999</v>
      </c>
      <c r="H1812" s="310"/>
      <c r="I1812" s="295">
        <f>G1812*F1812*E1812</f>
        <v>4.7925000000000004</v>
      </c>
      <c r="J1812" s="295"/>
      <c r="K1812" s="300">
        <f t="shared" si="203"/>
        <v>1.1000000000000001</v>
      </c>
      <c r="L1812" s="300">
        <f t="shared" si="200"/>
        <v>0</v>
      </c>
      <c r="M1812" s="285">
        <f t="shared" si="201"/>
        <v>0</v>
      </c>
      <c r="N1812" s="1076">
        <f t="shared" si="202"/>
        <v>0</v>
      </c>
      <c r="O1812" s="294"/>
      <c r="P1812" s="404"/>
      <c r="Q1812" s="404"/>
      <c r="R1812" s="301"/>
      <c r="S1812" s="301"/>
      <c r="T1812" s="301"/>
      <c r="U1812" s="301"/>
      <c r="V1812" s="301"/>
    </row>
    <row r="1813" spans="1:22" ht="14.4" thickTop="1" thickBot="1" x14ac:dyDescent="0.3">
      <c r="A1813" s="292"/>
      <c r="B1813" s="296" t="s">
        <v>800</v>
      </c>
      <c r="C1813" s="294"/>
      <c r="D1813" s="294"/>
      <c r="E1813" s="294">
        <v>2</v>
      </c>
      <c r="F1813" s="310">
        <f>F1812</f>
        <v>2.7</v>
      </c>
      <c r="G1813" s="310"/>
      <c r="H1813" s="310">
        <v>1</v>
      </c>
      <c r="I1813" s="295">
        <f t="shared" ref="I1813:I1814" si="208">H1813*F1813*E1813</f>
        <v>5.4</v>
      </c>
      <c r="J1813" s="295"/>
      <c r="K1813" s="300">
        <f t="shared" si="203"/>
        <v>1.1000000000000001</v>
      </c>
      <c r="L1813" s="300">
        <f t="shared" si="200"/>
        <v>0</v>
      </c>
      <c r="M1813" s="285">
        <f t="shared" si="201"/>
        <v>0</v>
      </c>
      <c r="N1813" s="1076">
        <f t="shared" si="202"/>
        <v>0</v>
      </c>
      <c r="O1813" s="294"/>
      <c r="P1813" s="404"/>
      <c r="Q1813" s="404"/>
      <c r="R1813" s="301"/>
      <c r="S1813" s="301"/>
      <c r="T1813" s="301"/>
      <c r="U1813" s="301"/>
      <c r="V1813" s="301"/>
    </row>
    <row r="1814" spans="1:22" ht="14.4" thickTop="1" thickBot="1" x14ac:dyDescent="0.3">
      <c r="A1814" s="292"/>
      <c r="B1814" s="293"/>
      <c r="C1814" s="294"/>
      <c r="D1814" s="294"/>
      <c r="E1814" s="294">
        <v>2</v>
      </c>
      <c r="F1814" s="310">
        <f>G1812</f>
        <v>1.7749999999999999</v>
      </c>
      <c r="G1814" s="310"/>
      <c r="H1814" s="310">
        <v>1</v>
      </c>
      <c r="I1814" s="295">
        <f t="shared" si="208"/>
        <v>3.55</v>
      </c>
      <c r="J1814" s="295"/>
      <c r="K1814" s="300">
        <f t="shared" si="203"/>
        <v>1.1000000000000001</v>
      </c>
      <c r="L1814" s="300">
        <f t="shared" si="200"/>
        <v>0</v>
      </c>
      <c r="M1814" s="285">
        <f t="shared" si="201"/>
        <v>0</v>
      </c>
      <c r="N1814" s="1076">
        <f t="shared" si="202"/>
        <v>0</v>
      </c>
      <c r="O1814" s="294"/>
      <c r="P1814" s="404"/>
      <c r="Q1814" s="404"/>
      <c r="R1814" s="301"/>
      <c r="S1814" s="301"/>
      <c r="T1814" s="301"/>
      <c r="U1814" s="301"/>
      <c r="V1814" s="301"/>
    </row>
    <row r="1815" spans="1:22" ht="14.4" thickTop="1" thickBot="1" x14ac:dyDescent="0.3">
      <c r="A1815" s="292"/>
      <c r="B1815" s="296" t="s">
        <v>1873</v>
      </c>
      <c r="C1815" s="294"/>
      <c r="D1815" s="294"/>
      <c r="E1815" s="294">
        <v>1</v>
      </c>
      <c r="F1815" s="310">
        <v>4.8250000000000002</v>
      </c>
      <c r="G1815" s="310">
        <v>3.03</v>
      </c>
      <c r="H1815" s="310"/>
      <c r="I1815" s="295">
        <f>G1815*F1815*E1815</f>
        <v>14.61975</v>
      </c>
      <c r="J1815" s="295"/>
      <c r="K1815" s="300">
        <f t="shared" si="203"/>
        <v>1.1000000000000001</v>
      </c>
      <c r="L1815" s="300">
        <f t="shared" si="200"/>
        <v>0</v>
      </c>
      <c r="M1815" s="285">
        <f t="shared" si="201"/>
        <v>0</v>
      </c>
      <c r="N1815" s="1076">
        <f t="shared" si="202"/>
        <v>0</v>
      </c>
      <c r="O1815" s="294"/>
      <c r="P1815" s="404"/>
      <c r="Q1815" s="404"/>
      <c r="R1815" s="301"/>
      <c r="S1815" s="301"/>
      <c r="T1815" s="301"/>
      <c r="U1815" s="301"/>
      <c r="V1815" s="301"/>
    </row>
    <row r="1816" spans="1:22" ht="14.4" thickTop="1" thickBot="1" x14ac:dyDescent="0.3">
      <c r="A1816" s="292"/>
      <c r="B1816" s="296" t="s">
        <v>800</v>
      </c>
      <c r="C1816" s="294"/>
      <c r="D1816" s="294"/>
      <c r="E1816" s="294">
        <v>2</v>
      </c>
      <c r="F1816" s="310">
        <f>F1815</f>
        <v>4.8250000000000002</v>
      </c>
      <c r="G1816" s="310"/>
      <c r="H1816" s="310">
        <v>1.5</v>
      </c>
      <c r="I1816" s="295">
        <f t="shared" ref="I1816:I1817" si="209">H1816*F1816*E1816</f>
        <v>14.475000000000001</v>
      </c>
      <c r="J1816" s="295"/>
      <c r="K1816" s="300">
        <f t="shared" si="203"/>
        <v>1.1000000000000001</v>
      </c>
      <c r="L1816" s="300">
        <f t="shared" si="200"/>
        <v>0</v>
      </c>
      <c r="M1816" s="285">
        <f t="shared" si="201"/>
        <v>0</v>
      </c>
      <c r="N1816" s="1076">
        <f t="shared" si="202"/>
        <v>0</v>
      </c>
      <c r="O1816" s="294"/>
      <c r="P1816" s="404"/>
      <c r="Q1816" s="404"/>
      <c r="R1816" s="301"/>
      <c r="S1816" s="301"/>
      <c r="T1816" s="301"/>
      <c r="U1816" s="301"/>
      <c r="V1816" s="301"/>
    </row>
    <row r="1817" spans="1:22" ht="14.4" thickTop="1" thickBot="1" x14ac:dyDescent="0.3">
      <c r="A1817" s="292"/>
      <c r="B1817" s="293"/>
      <c r="C1817" s="294"/>
      <c r="D1817" s="294"/>
      <c r="E1817" s="294">
        <v>2</v>
      </c>
      <c r="F1817" s="310">
        <f>G1815</f>
        <v>3.03</v>
      </c>
      <c r="G1817" s="310"/>
      <c r="H1817" s="310">
        <v>1.5</v>
      </c>
      <c r="I1817" s="295">
        <f t="shared" si="209"/>
        <v>9.09</v>
      </c>
      <c r="J1817" s="295"/>
      <c r="K1817" s="300">
        <f t="shared" si="203"/>
        <v>1.1000000000000001</v>
      </c>
      <c r="L1817" s="300">
        <f t="shared" si="200"/>
        <v>0</v>
      </c>
      <c r="M1817" s="285">
        <f t="shared" si="201"/>
        <v>0</v>
      </c>
      <c r="N1817" s="1076">
        <f t="shared" si="202"/>
        <v>0</v>
      </c>
      <c r="O1817" s="294"/>
      <c r="P1817" s="404"/>
      <c r="Q1817" s="404"/>
      <c r="R1817" s="301"/>
      <c r="S1817" s="301"/>
      <c r="T1817" s="301"/>
      <c r="U1817" s="301"/>
      <c r="V1817" s="301"/>
    </row>
    <row r="1818" spans="1:22" ht="14.4" thickTop="1" thickBot="1" x14ac:dyDescent="0.3">
      <c r="A1818" s="292"/>
      <c r="B1818" s="296" t="s">
        <v>1874</v>
      </c>
      <c r="C1818" s="294"/>
      <c r="D1818" s="294"/>
      <c r="E1818" s="294">
        <v>1</v>
      </c>
      <c r="F1818" s="310">
        <v>4.3630000000000004</v>
      </c>
      <c r="G1818" s="310">
        <v>3.03</v>
      </c>
      <c r="H1818" s="310"/>
      <c r="I1818" s="295">
        <f>G1818*F1818*E1818</f>
        <v>13.219890000000001</v>
      </c>
      <c r="J1818" s="295"/>
      <c r="K1818" s="300">
        <f t="shared" si="203"/>
        <v>1.1000000000000001</v>
      </c>
      <c r="L1818" s="300">
        <f t="shared" si="200"/>
        <v>0</v>
      </c>
      <c r="M1818" s="285">
        <f t="shared" si="201"/>
        <v>0</v>
      </c>
      <c r="N1818" s="1076">
        <f t="shared" si="202"/>
        <v>0</v>
      </c>
      <c r="O1818" s="294"/>
      <c r="P1818" s="404"/>
      <c r="Q1818" s="404"/>
      <c r="R1818" s="301"/>
      <c r="S1818" s="301"/>
      <c r="T1818" s="301"/>
      <c r="U1818" s="301"/>
      <c r="V1818" s="301"/>
    </row>
    <row r="1819" spans="1:22" ht="14.4" thickTop="1" thickBot="1" x14ac:dyDescent="0.3">
      <c r="A1819" s="292"/>
      <c r="B1819" s="296" t="s">
        <v>800</v>
      </c>
      <c r="C1819" s="294"/>
      <c r="D1819" s="294"/>
      <c r="E1819" s="294">
        <v>2</v>
      </c>
      <c r="F1819" s="310">
        <f>F1818</f>
        <v>4.3630000000000004</v>
      </c>
      <c r="G1819" s="310"/>
      <c r="H1819" s="310">
        <v>1.5</v>
      </c>
      <c r="I1819" s="295">
        <f t="shared" ref="I1819:I1820" si="210">H1819*F1819*E1819</f>
        <v>13.089000000000002</v>
      </c>
      <c r="J1819" s="295"/>
      <c r="K1819" s="300">
        <f t="shared" si="203"/>
        <v>1.1000000000000001</v>
      </c>
      <c r="L1819" s="300">
        <f t="shared" si="200"/>
        <v>0</v>
      </c>
      <c r="M1819" s="285">
        <f t="shared" si="201"/>
        <v>0</v>
      </c>
      <c r="N1819" s="1076">
        <f t="shared" si="202"/>
        <v>0</v>
      </c>
      <c r="O1819" s="294"/>
      <c r="P1819" s="404"/>
      <c r="Q1819" s="404"/>
      <c r="R1819" s="301"/>
      <c r="S1819" s="301"/>
      <c r="T1819" s="301"/>
      <c r="U1819" s="301"/>
      <c r="V1819" s="301"/>
    </row>
    <row r="1820" spans="1:22" ht="14.4" thickTop="1" thickBot="1" x14ac:dyDescent="0.3">
      <c r="A1820" s="292"/>
      <c r="B1820" s="293"/>
      <c r="C1820" s="294"/>
      <c r="D1820" s="294"/>
      <c r="E1820" s="294">
        <v>2</v>
      </c>
      <c r="F1820" s="310">
        <f>G1818</f>
        <v>3.03</v>
      </c>
      <c r="G1820" s="310"/>
      <c r="H1820" s="310">
        <v>1.5</v>
      </c>
      <c r="I1820" s="295">
        <f t="shared" si="210"/>
        <v>9.09</v>
      </c>
      <c r="J1820" s="295"/>
      <c r="K1820" s="300">
        <f t="shared" si="203"/>
        <v>1.1000000000000001</v>
      </c>
      <c r="L1820" s="300">
        <f t="shared" si="200"/>
        <v>0</v>
      </c>
      <c r="M1820" s="285">
        <f t="shared" si="201"/>
        <v>0</v>
      </c>
      <c r="N1820" s="1076">
        <f t="shared" si="202"/>
        <v>0</v>
      </c>
      <c r="O1820" s="294"/>
      <c r="P1820" s="404"/>
      <c r="Q1820" s="404"/>
      <c r="R1820" s="301"/>
      <c r="S1820" s="301"/>
      <c r="T1820" s="301"/>
      <c r="U1820" s="301"/>
      <c r="V1820" s="301"/>
    </row>
    <row r="1821" spans="1:22" ht="14.4" thickTop="1" thickBot="1" x14ac:dyDescent="0.3">
      <c r="A1821" s="292"/>
      <c r="B1821" s="296" t="s">
        <v>1085</v>
      </c>
      <c r="C1821" s="294"/>
      <c r="D1821" s="294"/>
      <c r="E1821" s="294">
        <v>1</v>
      </c>
      <c r="F1821" s="310">
        <v>2.15</v>
      </c>
      <c r="G1821" s="310">
        <v>1.75</v>
      </c>
      <c r="H1821" s="310"/>
      <c r="I1821" s="295">
        <f>G1821*F1821*E1821</f>
        <v>3.7624999999999997</v>
      </c>
      <c r="J1821" s="295"/>
      <c r="K1821" s="300">
        <f t="shared" si="203"/>
        <v>1.1000000000000001</v>
      </c>
      <c r="L1821" s="300">
        <f t="shared" si="200"/>
        <v>0</v>
      </c>
      <c r="M1821" s="285">
        <f t="shared" si="201"/>
        <v>0</v>
      </c>
      <c r="N1821" s="1076">
        <f t="shared" si="202"/>
        <v>0</v>
      </c>
      <c r="O1821" s="294"/>
      <c r="P1821" s="404"/>
      <c r="Q1821" s="404"/>
      <c r="R1821" s="301"/>
      <c r="S1821" s="301"/>
      <c r="T1821" s="301"/>
      <c r="U1821" s="301"/>
      <c r="V1821" s="301"/>
    </row>
    <row r="1822" spans="1:22" ht="14.4" thickTop="1" thickBot="1" x14ac:dyDescent="0.3">
      <c r="A1822" s="292"/>
      <c r="B1822" s="296" t="s">
        <v>800</v>
      </c>
      <c r="C1822" s="294"/>
      <c r="D1822" s="294"/>
      <c r="E1822" s="294">
        <v>2</v>
      </c>
      <c r="F1822" s="310">
        <f>F1821</f>
        <v>2.15</v>
      </c>
      <c r="G1822" s="310"/>
      <c r="H1822" s="310">
        <v>2</v>
      </c>
      <c r="I1822" s="295">
        <f t="shared" ref="I1822:I1823" si="211">H1822*F1822*E1822</f>
        <v>8.6</v>
      </c>
      <c r="J1822" s="295"/>
      <c r="K1822" s="300">
        <f t="shared" si="203"/>
        <v>1.1000000000000001</v>
      </c>
      <c r="L1822" s="300">
        <f t="shared" si="200"/>
        <v>0</v>
      </c>
      <c r="M1822" s="285">
        <f t="shared" si="201"/>
        <v>0</v>
      </c>
      <c r="N1822" s="1076">
        <f t="shared" si="202"/>
        <v>0</v>
      </c>
      <c r="O1822" s="294"/>
      <c r="P1822" s="404"/>
      <c r="Q1822" s="404"/>
      <c r="R1822" s="301"/>
      <c r="S1822" s="301"/>
      <c r="T1822" s="301"/>
      <c r="U1822" s="301"/>
      <c r="V1822" s="301"/>
    </row>
    <row r="1823" spans="1:22" ht="14.4" thickTop="1" thickBot="1" x14ac:dyDescent="0.3">
      <c r="A1823" s="292"/>
      <c r="B1823" s="293"/>
      <c r="C1823" s="294"/>
      <c r="D1823" s="294"/>
      <c r="E1823" s="294">
        <v>2</v>
      </c>
      <c r="F1823" s="310">
        <f>G1821</f>
        <v>1.75</v>
      </c>
      <c r="G1823" s="310"/>
      <c r="H1823" s="310">
        <v>2</v>
      </c>
      <c r="I1823" s="295">
        <f t="shared" si="211"/>
        <v>7</v>
      </c>
      <c r="J1823" s="295"/>
      <c r="K1823" s="300">
        <f t="shared" si="203"/>
        <v>1.1000000000000001</v>
      </c>
      <c r="L1823" s="300">
        <f t="shared" si="200"/>
        <v>0</v>
      </c>
      <c r="M1823" s="285">
        <f t="shared" si="201"/>
        <v>0</v>
      </c>
      <c r="N1823" s="1076">
        <f t="shared" si="202"/>
        <v>0</v>
      </c>
      <c r="O1823" s="294"/>
      <c r="P1823" s="404"/>
      <c r="Q1823" s="404"/>
      <c r="R1823" s="301"/>
      <c r="S1823" s="301"/>
      <c r="T1823" s="301"/>
      <c r="U1823" s="301"/>
      <c r="V1823" s="301"/>
    </row>
    <row r="1824" spans="1:22" ht="14.4" thickTop="1" thickBot="1" x14ac:dyDescent="0.3">
      <c r="A1824" s="292"/>
      <c r="B1824" s="296" t="s">
        <v>1875</v>
      </c>
      <c r="C1824" s="294"/>
      <c r="D1824" s="294"/>
      <c r="E1824" s="294">
        <v>2</v>
      </c>
      <c r="F1824" s="310">
        <v>2</v>
      </c>
      <c r="G1824" s="310">
        <v>2.0550000000000002</v>
      </c>
      <c r="H1824" s="310"/>
      <c r="I1824" s="295">
        <f>G1824*F1824*E1824</f>
        <v>8.2200000000000006</v>
      </c>
      <c r="J1824" s="295"/>
      <c r="K1824" s="300">
        <f t="shared" si="203"/>
        <v>1.1000000000000001</v>
      </c>
      <c r="L1824" s="300">
        <f t="shared" si="200"/>
        <v>0</v>
      </c>
      <c r="M1824" s="285">
        <f t="shared" si="201"/>
        <v>0</v>
      </c>
      <c r="N1824" s="1076">
        <f t="shared" si="202"/>
        <v>0</v>
      </c>
      <c r="O1824" s="294"/>
      <c r="P1824" s="404"/>
      <c r="Q1824" s="404"/>
      <c r="R1824" s="301"/>
      <c r="S1824" s="301"/>
      <c r="T1824" s="301"/>
      <c r="U1824" s="301"/>
      <c r="V1824" s="301"/>
    </row>
    <row r="1825" spans="1:22" ht="14.4" thickTop="1" thickBot="1" x14ac:dyDescent="0.3">
      <c r="A1825" s="292"/>
      <c r="B1825" s="296" t="s">
        <v>800</v>
      </c>
      <c r="C1825" s="294"/>
      <c r="D1825" s="294"/>
      <c r="E1825" s="294">
        <v>2</v>
      </c>
      <c r="F1825" s="310">
        <f>F1824</f>
        <v>2</v>
      </c>
      <c r="G1825" s="310"/>
      <c r="H1825" s="310">
        <v>1.5</v>
      </c>
      <c r="I1825" s="295">
        <f t="shared" ref="I1825:I1826" si="212">H1825*F1825*E1825</f>
        <v>6</v>
      </c>
      <c r="J1825" s="295"/>
      <c r="K1825" s="300">
        <f t="shared" si="203"/>
        <v>1.1000000000000001</v>
      </c>
      <c r="L1825" s="300">
        <f t="shared" si="200"/>
        <v>0</v>
      </c>
      <c r="M1825" s="285">
        <f t="shared" si="201"/>
        <v>0</v>
      </c>
      <c r="N1825" s="1076">
        <f t="shared" si="202"/>
        <v>0</v>
      </c>
      <c r="O1825" s="294"/>
      <c r="P1825" s="404"/>
      <c r="Q1825" s="404"/>
      <c r="R1825" s="301"/>
      <c r="S1825" s="301"/>
      <c r="T1825" s="301"/>
      <c r="U1825" s="301"/>
      <c r="V1825" s="301"/>
    </row>
    <row r="1826" spans="1:22" ht="14.4" thickTop="1" thickBot="1" x14ac:dyDescent="0.3">
      <c r="A1826" s="292"/>
      <c r="B1826" s="293"/>
      <c r="C1826" s="294"/>
      <c r="D1826" s="294"/>
      <c r="E1826" s="294">
        <v>2</v>
      </c>
      <c r="F1826" s="310">
        <f>G1824</f>
        <v>2.0550000000000002</v>
      </c>
      <c r="G1826" s="310"/>
      <c r="H1826" s="310">
        <v>1.5</v>
      </c>
      <c r="I1826" s="295">
        <f t="shared" si="212"/>
        <v>6.1650000000000009</v>
      </c>
      <c r="J1826" s="295"/>
      <c r="K1826" s="300">
        <f t="shared" si="203"/>
        <v>1.1000000000000001</v>
      </c>
      <c r="L1826" s="300">
        <f t="shared" ref="L1826:L1902" si="213">K1826*J1826</f>
        <v>0</v>
      </c>
      <c r="M1826" s="285">
        <f t="shared" ref="M1826:M1903" si="214">ROUND(L1826,1)</f>
        <v>0</v>
      </c>
      <c r="N1826" s="1076">
        <f t="shared" ref="N1826:N1903" si="215">ROUNDUP(M1826,0)</f>
        <v>0</v>
      </c>
      <c r="O1826" s="294"/>
      <c r="P1826" s="404"/>
      <c r="Q1826" s="404"/>
      <c r="R1826" s="301"/>
      <c r="S1826" s="301"/>
      <c r="T1826" s="301"/>
      <c r="U1826" s="301"/>
      <c r="V1826" s="301"/>
    </row>
    <row r="1827" spans="1:22" ht="14.4" thickTop="1" thickBot="1" x14ac:dyDescent="0.3">
      <c r="A1827" s="292"/>
      <c r="B1827" s="293"/>
      <c r="C1827" s="294"/>
      <c r="D1827" s="294"/>
      <c r="E1827" s="294"/>
      <c r="F1827" s="310"/>
      <c r="G1827" s="310"/>
      <c r="H1827" s="310"/>
      <c r="I1827" s="295"/>
      <c r="J1827" s="295">
        <f>SUM(I1809:I1826)</f>
        <v>151.51364000000001</v>
      </c>
      <c r="K1827" s="300">
        <f t="shared" si="203"/>
        <v>1.1000000000000001</v>
      </c>
      <c r="L1827" s="300">
        <f t="shared" si="213"/>
        <v>166.66500400000001</v>
      </c>
      <c r="M1827" s="285">
        <f t="shared" si="214"/>
        <v>166.7</v>
      </c>
      <c r="N1827" s="1076">
        <f t="shared" si="215"/>
        <v>167</v>
      </c>
      <c r="O1827" s="294"/>
      <c r="P1827" s="404"/>
      <c r="Q1827" s="404"/>
      <c r="R1827" s="301"/>
      <c r="S1827" s="301"/>
      <c r="T1827" s="301"/>
      <c r="U1827" s="301"/>
      <c r="V1827" s="301"/>
    </row>
    <row r="1828" spans="1:22" ht="14.4" thickTop="1" thickBot="1" x14ac:dyDescent="0.3">
      <c r="A1828" s="292"/>
      <c r="B1828" s="293"/>
      <c r="C1828" s="294"/>
      <c r="D1828" s="294"/>
      <c r="E1828" s="294"/>
      <c r="F1828" s="310"/>
      <c r="G1828" s="310"/>
      <c r="H1828" s="310"/>
      <c r="I1828" s="295"/>
      <c r="J1828" s="295">
        <f>J1827*10.76</f>
        <v>1630.2867664</v>
      </c>
      <c r="K1828" s="300">
        <v>1.03</v>
      </c>
      <c r="L1828" s="300">
        <f t="shared" si="213"/>
        <v>1679.195369392</v>
      </c>
      <c r="M1828" s="285">
        <f t="shared" si="214"/>
        <v>1679.2</v>
      </c>
      <c r="N1828" s="1076">
        <f t="shared" si="215"/>
        <v>1680</v>
      </c>
      <c r="O1828" s="294"/>
      <c r="P1828" s="404"/>
      <c r="Q1828" s="404"/>
      <c r="R1828" s="301"/>
      <c r="S1828" s="301"/>
      <c r="T1828" s="301"/>
      <c r="U1828" s="301"/>
      <c r="V1828" s="301"/>
    </row>
    <row r="1829" spans="1:22" ht="14.4" thickTop="1" thickBot="1" x14ac:dyDescent="0.3">
      <c r="A1829" s="292"/>
      <c r="B1829" s="293"/>
      <c r="C1829" s="294"/>
      <c r="D1829" s="294"/>
      <c r="E1829" s="294"/>
      <c r="F1829" s="310"/>
      <c r="G1829" s="310"/>
      <c r="H1829" s="310"/>
      <c r="I1829" s="295"/>
      <c r="J1829" s="295"/>
      <c r="K1829" s="300">
        <f t="shared" si="203"/>
        <v>1.1000000000000001</v>
      </c>
      <c r="L1829" s="300">
        <f t="shared" si="213"/>
        <v>0</v>
      </c>
      <c r="M1829" s="285">
        <f t="shared" si="214"/>
        <v>0</v>
      </c>
      <c r="N1829" s="1076">
        <f t="shared" si="215"/>
        <v>0</v>
      </c>
      <c r="O1829" s="294"/>
      <c r="P1829" s="404"/>
      <c r="Q1829" s="404"/>
      <c r="R1829" s="301"/>
      <c r="S1829" s="301"/>
      <c r="T1829" s="301"/>
      <c r="U1829" s="301"/>
      <c r="V1829" s="301"/>
    </row>
    <row r="1830" spans="1:22" ht="14.4" thickTop="1" thickBot="1" x14ac:dyDescent="0.3">
      <c r="A1830" s="292"/>
      <c r="B1830" s="296" t="s">
        <v>802</v>
      </c>
      <c r="C1830" s="294"/>
      <c r="D1830" s="294"/>
      <c r="E1830" s="294"/>
      <c r="F1830" s="310"/>
      <c r="G1830" s="310"/>
      <c r="H1830" s="310"/>
      <c r="I1830" s="295"/>
      <c r="J1830" s="295"/>
      <c r="K1830" s="300">
        <f t="shared" si="203"/>
        <v>1.1000000000000001</v>
      </c>
      <c r="L1830" s="300">
        <f t="shared" si="213"/>
        <v>0</v>
      </c>
      <c r="M1830" s="285">
        <f t="shared" si="214"/>
        <v>0</v>
      </c>
      <c r="N1830" s="1076">
        <f t="shared" si="215"/>
        <v>0</v>
      </c>
      <c r="O1830" s="294"/>
      <c r="P1830" s="404"/>
      <c r="Q1830" s="404"/>
      <c r="R1830" s="301"/>
      <c r="S1830" s="301"/>
      <c r="T1830" s="301"/>
      <c r="U1830" s="301"/>
      <c r="V1830" s="301"/>
    </row>
    <row r="1831" spans="1:22" ht="14.4" thickTop="1" thickBot="1" x14ac:dyDescent="0.3">
      <c r="A1831" s="292"/>
      <c r="B1831" s="296" t="s">
        <v>1873</v>
      </c>
      <c r="C1831" s="294"/>
      <c r="D1831" s="294"/>
      <c r="E1831" s="294">
        <v>2</v>
      </c>
      <c r="F1831" s="310">
        <v>4.8250000000000002</v>
      </c>
      <c r="G1831" s="310">
        <v>3.03</v>
      </c>
      <c r="H1831" s="310"/>
      <c r="I1831" s="295">
        <f>G1831*F1831*E1831</f>
        <v>29.2395</v>
      </c>
      <c r="J1831" s="295"/>
      <c r="K1831" s="300">
        <f t="shared" ref="K1831:K1909" si="216">$K$2</f>
        <v>1.1000000000000001</v>
      </c>
      <c r="L1831" s="300">
        <f t="shared" si="213"/>
        <v>0</v>
      </c>
      <c r="M1831" s="285">
        <f t="shared" si="214"/>
        <v>0</v>
      </c>
      <c r="N1831" s="1076">
        <f t="shared" si="215"/>
        <v>0</v>
      </c>
      <c r="O1831" s="294"/>
      <c r="P1831" s="404"/>
      <c r="Q1831" s="404"/>
      <c r="R1831" s="301"/>
      <c r="S1831" s="301"/>
      <c r="T1831" s="301"/>
      <c r="U1831" s="301"/>
      <c r="V1831" s="301"/>
    </row>
    <row r="1832" spans="1:22" ht="14.4" thickTop="1" thickBot="1" x14ac:dyDescent="0.3">
      <c r="A1832" s="292"/>
      <c r="B1832" s="296" t="s">
        <v>800</v>
      </c>
      <c r="C1832" s="294"/>
      <c r="D1832" s="294"/>
      <c r="E1832" s="294">
        <v>4</v>
      </c>
      <c r="F1832" s="310">
        <f>F1831</f>
        <v>4.8250000000000002</v>
      </c>
      <c r="G1832" s="310"/>
      <c r="H1832" s="310">
        <v>1.5</v>
      </c>
      <c r="I1832" s="295">
        <f>H1832*F1832*E1832</f>
        <v>28.950000000000003</v>
      </c>
      <c r="J1832" s="295"/>
      <c r="K1832" s="300">
        <f t="shared" si="216"/>
        <v>1.1000000000000001</v>
      </c>
      <c r="L1832" s="300">
        <f t="shared" si="213"/>
        <v>0</v>
      </c>
      <c r="M1832" s="285">
        <f t="shared" si="214"/>
        <v>0</v>
      </c>
      <c r="N1832" s="1076">
        <f t="shared" si="215"/>
        <v>0</v>
      </c>
      <c r="O1832" s="294"/>
      <c r="P1832" s="404"/>
      <c r="Q1832" s="404"/>
      <c r="R1832" s="301"/>
      <c r="S1832" s="301"/>
      <c r="T1832" s="301"/>
      <c r="U1832" s="301"/>
      <c r="V1832" s="301"/>
    </row>
    <row r="1833" spans="1:22" ht="14.4" thickTop="1" thickBot="1" x14ac:dyDescent="0.3">
      <c r="A1833" s="292"/>
      <c r="B1833" s="293"/>
      <c r="C1833" s="294"/>
      <c r="D1833" s="294"/>
      <c r="E1833" s="294">
        <v>4</v>
      </c>
      <c r="F1833" s="310">
        <f>G1831</f>
        <v>3.03</v>
      </c>
      <c r="G1833" s="310"/>
      <c r="H1833" s="310">
        <v>1.5</v>
      </c>
      <c r="I1833" s="295">
        <f t="shared" ref="I1833" si="217">H1833*F1833*E1833</f>
        <v>18.18</v>
      </c>
      <c r="J1833" s="295"/>
      <c r="K1833" s="300">
        <f t="shared" si="216"/>
        <v>1.1000000000000001</v>
      </c>
      <c r="L1833" s="300">
        <f t="shared" si="213"/>
        <v>0</v>
      </c>
      <c r="M1833" s="285">
        <f t="shared" si="214"/>
        <v>0</v>
      </c>
      <c r="N1833" s="1076">
        <f t="shared" si="215"/>
        <v>0</v>
      </c>
      <c r="O1833" s="294"/>
      <c r="P1833" s="404"/>
      <c r="Q1833" s="404"/>
      <c r="R1833" s="301"/>
      <c r="S1833" s="301"/>
      <c r="T1833" s="301"/>
      <c r="U1833" s="301"/>
      <c r="V1833" s="301"/>
    </row>
    <row r="1834" spans="1:22" ht="14.4" thickTop="1" thickBot="1" x14ac:dyDescent="0.3">
      <c r="A1834" s="292"/>
      <c r="B1834" s="293"/>
      <c r="C1834" s="294"/>
      <c r="D1834" s="294"/>
      <c r="E1834" s="294"/>
      <c r="F1834" s="310"/>
      <c r="G1834" s="310"/>
      <c r="H1834" s="310"/>
      <c r="I1834" s="295"/>
      <c r="J1834" s="295">
        <f>SUM(I1831:I1833)</f>
        <v>76.369500000000002</v>
      </c>
      <c r="K1834" s="300">
        <f t="shared" si="216"/>
        <v>1.1000000000000001</v>
      </c>
      <c r="L1834" s="300">
        <f t="shared" si="213"/>
        <v>84.006450000000015</v>
      </c>
      <c r="M1834" s="285">
        <f t="shared" si="214"/>
        <v>84</v>
      </c>
      <c r="N1834" s="1076">
        <f t="shared" si="215"/>
        <v>84</v>
      </c>
      <c r="O1834" s="294"/>
      <c r="P1834" s="404"/>
      <c r="Q1834" s="404"/>
      <c r="R1834" s="301"/>
      <c r="S1834" s="301"/>
      <c r="T1834" s="301"/>
      <c r="U1834" s="301"/>
      <c r="V1834" s="301"/>
    </row>
    <row r="1835" spans="1:22" ht="14.4" thickTop="1" thickBot="1" x14ac:dyDescent="0.3">
      <c r="A1835" s="292"/>
      <c r="B1835" s="293"/>
      <c r="C1835" s="294"/>
      <c r="D1835" s="294"/>
      <c r="E1835" s="294"/>
      <c r="F1835" s="310"/>
      <c r="G1835" s="310"/>
      <c r="H1835" s="310"/>
      <c r="I1835" s="295"/>
      <c r="J1835" s="295">
        <f>J1834*10.76</f>
        <v>821.73581999999999</v>
      </c>
      <c r="K1835" s="300">
        <v>1.03</v>
      </c>
      <c r="L1835" s="300">
        <f t="shared" si="213"/>
        <v>846.38789459999998</v>
      </c>
      <c r="M1835" s="285">
        <f t="shared" si="214"/>
        <v>846.4</v>
      </c>
      <c r="N1835" s="1076">
        <f t="shared" si="215"/>
        <v>847</v>
      </c>
      <c r="O1835" s="294"/>
      <c r="P1835" s="404"/>
      <c r="Q1835" s="404"/>
      <c r="R1835" s="301"/>
      <c r="S1835" s="301"/>
      <c r="T1835" s="301"/>
      <c r="U1835" s="301"/>
      <c r="V1835" s="301"/>
    </row>
    <row r="1836" spans="1:22" ht="14.4" thickTop="1" thickBot="1" x14ac:dyDescent="0.3">
      <c r="A1836" s="292"/>
      <c r="B1836" s="296" t="s">
        <v>803</v>
      </c>
      <c r="C1836" s="294"/>
      <c r="D1836" s="294"/>
      <c r="E1836" s="294"/>
      <c r="F1836" s="310"/>
      <c r="G1836" s="310"/>
      <c r="H1836" s="310"/>
      <c r="I1836" s="295"/>
      <c r="J1836" s="295"/>
      <c r="K1836" s="300">
        <f t="shared" si="216"/>
        <v>1.1000000000000001</v>
      </c>
      <c r="L1836" s="300">
        <f t="shared" si="213"/>
        <v>0</v>
      </c>
      <c r="M1836" s="285">
        <f t="shared" si="214"/>
        <v>0</v>
      </c>
      <c r="N1836" s="1076">
        <f t="shared" si="215"/>
        <v>0</v>
      </c>
      <c r="O1836" s="294"/>
      <c r="P1836" s="404"/>
      <c r="Q1836" s="404"/>
      <c r="R1836" s="301"/>
      <c r="S1836" s="301"/>
      <c r="T1836" s="301"/>
      <c r="U1836" s="301"/>
      <c r="V1836" s="301"/>
    </row>
    <row r="1837" spans="1:22" ht="14.4" thickTop="1" thickBot="1" x14ac:dyDescent="0.3">
      <c r="A1837" s="292"/>
      <c r="B1837" s="296" t="s">
        <v>1876</v>
      </c>
      <c r="C1837" s="294"/>
      <c r="D1837" s="294"/>
      <c r="E1837" s="294">
        <v>2</v>
      </c>
      <c r="F1837" s="310">
        <v>2.2130000000000001</v>
      </c>
      <c r="G1837" s="310">
        <v>6.0880000000000001</v>
      </c>
      <c r="H1837" s="310"/>
      <c r="I1837" s="295">
        <f>G1837*F1837*E1837</f>
        <v>26.945488000000001</v>
      </c>
      <c r="J1837" s="295"/>
      <c r="K1837" s="300">
        <f t="shared" si="216"/>
        <v>1.1000000000000001</v>
      </c>
      <c r="L1837" s="300">
        <f t="shared" si="213"/>
        <v>0</v>
      </c>
      <c r="M1837" s="285">
        <f t="shared" si="214"/>
        <v>0</v>
      </c>
      <c r="N1837" s="1076">
        <f t="shared" si="215"/>
        <v>0</v>
      </c>
      <c r="O1837" s="294"/>
      <c r="P1837" s="404"/>
      <c r="Q1837" s="404"/>
      <c r="R1837" s="301"/>
      <c r="S1837" s="301"/>
      <c r="T1837" s="301"/>
      <c r="U1837" s="301"/>
      <c r="V1837" s="301"/>
    </row>
    <row r="1838" spans="1:22" ht="14.4" thickTop="1" thickBot="1" x14ac:dyDescent="0.3">
      <c r="A1838" s="292"/>
      <c r="B1838" s="296" t="s">
        <v>800</v>
      </c>
      <c r="C1838" s="294"/>
      <c r="D1838" s="294"/>
      <c r="E1838" s="294">
        <v>4</v>
      </c>
      <c r="F1838" s="310">
        <f>F1837</f>
        <v>2.2130000000000001</v>
      </c>
      <c r="G1838" s="310"/>
      <c r="H1838" s="310">
        <v>1.5</v>
      </c>
      <c r="I1838" s="295">
        <f>H1838*F1838*E1838</f>
        <v>13.278</v>
      </c>
      <c r="J1838" s="295"/>
      <c r="K1838" s="300">
        <f t="shared" si="216"/>
        <v>1.1000000000000001</v>
      </c>
      <c r="L1838" s="300">
        <f t="shared" si="213"/>
        <v>0</v>
      </c>
      <c r="M1838" s="285">
        <f t="shared" si="214"/>
        <v>0</v>
      </c>
      <c r="N1838" s="1076">
        <f t="shared" si="215"/>
        <v>0</v>
      </c>
      <c r="O1838" s="294"/>
      <c r="P1838" s="404"/>
      <c r="Q1838" s="404"/>
      <c r="R1838" s="301"/>
      <c r="S1838" s="301"/>
      <c r="T1838" s="301"/>
      <c r="U1838" s="301"/>
      <c r="V1838" s="301"/>
    </row>
    <row r="1839" spans="1:22" ht="14.4" thickTop="1" thickBot="1" x14ac:dyDescent="0.3">
      <c r="A1839" s="292"/>
      <c r="B1839" s="293"/>
      <c r="C1839" s="294"/>
      <c r="D1839" s="294"/>
      <c r="E1839" s="294">
        <v>4</v>
      </c>
      <c r="F1839" s="310">
        <f>G1837</f>
        <v>6.0880000000000001</v>
      </c>
      <c r="G1839" s="310"/>
      <c r="H1839" s="310">
        <v>1.5</v>
      </c>
      <c r="I1839" s="295">
        <f>H1839*F1839*E1839</f>
        <v>36.527999999999999</v>
      </c>
      <c r="J1839" s="295"/>
      <c r="K1839" s="300">
        <f t="shared" si="216"/>
        <v>1.1000000000000001</v>
      </c>
      <c r="L1839" s="300">
        <f t="shared" si="213"/>
        <v>0</v>
      </c>
      <c r="M1839" s="285">
        <f t="shared" si="214"/>
        <v>0</v>
      </c>
      <c r="N1839" s="1076">
        <f t="shared" si="215"/>
        <v>0</v>
      </c>
      <c r="O1839" s="294"/>
      <c r="P1839" s="404"/>
      <c r="Q1839" s="404"/>
      <c r="R1839" s="301"/>
      <c r="S1839" s="301"/>
      <c r="T1839" s="301"/>
      <c r="U1839" s="301"/>
      <c r="V1839" s="301"/>
    </row>
    <row r="1840" spans="1:22" ht="14.4" thickTop="1" thickBot="1" x14ac:dyDescent="0.3">
      <c r="A1840" s="292"/>
      <c r="B1840" s="293"/>
      <c r="C1840" s="294"/>
      <c r="D1840" s="294"/>
      <c r="E1840" s="294"/>
      <c r="F1840" s="310"/>
      <c r="G1840" s="310"/>
      <c r="H1840" s="310"/>
      <c r="I1840" s="295"/>
      <c r="J1840" s="295">
        <f>SUM(I1837:I1839)</f>
        <v>76.751487999999995</v>
      </c>
      <c r="K1840" s="300">
        <f t="shared" si="216"/>
        <v>1.1000000000000001</v>
      </c>
      <c r="L1840" s="300">
        <f t="shared" si="213"/>
        <v>84.426636799999997</v>
      </c>
      <c r="M1840" s="285">
        <f t="shared" si="214"/>
        <v>84.4</v>
      </c>
      <c r="N1840" s="1076">
        <f t="shared" si="215"/>
        <v>85</v>
      </c>
      <c r="O1840" s="294"/>
      <c r="P1840" s="404"/>
      <c r="Q1840" s="404"/>
      <c r="R1840" s="301"/>
      <c r="S1840" s="301"/>
      <c r="T1840" s="301"/>
      <c r="U1840" s="301"/>
      <c r="V1840" s="301"/>
    </row>
    <row r="1841" spans="1:22" ht="14.4" thickTop="1" thickBot="1" x14ac:dyDescent="0.3">
      <c r="A1841" s="292"/>
      <c r="B1841" s="293"/>
      <c r="C1841" s="294"/>
      <c r="D1841" s="294"/>
      <c r="E1841" s="294"/>
      <c r="F1841" s="310"/>
      <c r="G1841" s="310"/>
      <c r="H1841" s="310"/>
      <c r="I1841" s="295"/>
      <c r="J1841" s="295">
        <f>J1840*10.76</f>
        <v>825.84601087999988</v>
      </c>
      <c r="K1841" s="300">
        <v>1.03</v>
      </c>
      <c r="L1841" s="300">
        <f t="shared" si="213"/>
        <v>850.62139120639995</v>
      </c>
      <c r="M1841" s="285">
        <f t="shared" si="214"/>
        <v>850.6</v>
      </c>
      <c r="N1841" s="1076">
        <f t="shared" si="215"/>
        <v>851</v>
      </c>
      <c r="O1841" s="294"/>
      <c r="P1841" s="404"/>
      <c r="Q1841" s="404"/>
      <c r="R1841" s="301"/>
      <c r="S1841" s="301"/>
      <c r="T1841" s="301"/>
      <c r="U1841" s="301"/>
      <c r="V1841" s="301"/>
    </row>
    <row r="1842" spans="1:22" ht="14.4" thickTop="1" thickBot="1" x14ac:dyDescent="0.3">
      <c r="A1842" s="292"/>
      <c r="B1842" s="293"/>
      <c r="C1842" s="294"/>
      <c r="D1842" s="294"/>
      <c r="E1842" s="294"/>
      <c r="F1842" s="310"/>
      <c r="G1842" s="310"/>
      <c r="H1842" s="310"/>
      <c r="I1842" s="295"/>
      <c r="J1842" s="295"/>
      <c r="K1842" s="300">
        <f t="shared" si="216"/>
        <v>1.1000000000000001</v>
      </c>
      <c r="L1842" s="300">
        <f t="shared" si="213"/>
        <v>0</v>
      </c>
      <c r="M1842" s="285">
        <f t="shared" si="214"/>
        <v>0</v>
      </c>
      <c r="N1842" s="1076">
        <f t="shared" si="215"/>
        <v>0</v>
      </c>
      <c r="O1842" s="294"/>
      <c r="P1842" s="404"/>
      <c r="Q1842" s="404"/>
      <c r="R1842" s="301"/>
      <c r="S1842" s="301"/>
      <c r="T1842" s="301"/>
      <c r="U1842" s="301"/>
      <c r="V1842" s="301"/>
    </row>
    <row r="1843" spans="1:22" ht="14.4" thickTop="1" thickBot="1" x14ac:dyDescent="0.3">
      <c r="A1843" s="292"/>
      <c r="B1843" s="296" t="s">
        <v>1877</v>
      </c>
      <c r="C1843" s="294"/>
      <c r="D1843" s="294"/>
      <c r="E1843" s="294"/>
      <c r="F1843" s="310"/>
      <c r="G1843" s="310"/>
      <c r="H1843" s="310"/>
      <c r="I1843" s="295"/>
      <c r="J1843" s="295"/>
      <c r="K1843" s="300">
        <f t="shared" si="216"/>
        <v>1.1000000000000001</v>
      </c>
      <c r="L1843" s="300">
        <f t="shared" si="213"/>
        <v>0</v>
      </c>
      <c r="M1843" s="285">
        <f t="shared" si="214"/>
        <v>0</v>
      </c>
      <c r="N1843" s="1076">
        <f t="shared" si="215"/>
        <v>0</v>
      </c>
      <c r="O1843" s="294"/>
      <c r="P1843" s="404"/>
      <c r="Q1843" s="404"/>
      <c r="R1843" s="301"/>
      <c r="S1843" s="301"/>
      <c r="T1843" s="301"/>
      <c r="U1843" s="301"/>
      <c r="V1843" s="301"/>
    </row>
    <row r="1844" spans="1:22" ht="14.4" thickTop="1" thickBot="1" x14ac:dyDescent="0.3">
      <c r="A1844" s="292"/>
      <c r="B1844" s="296" t="s">
        <v>802</v>
      </c>
      <c r="C1844" s="294"/>
      <c r="D1844" s="294"/>
      <c r="E1844" s="294"/>
      <c r="F1844" s="310"/>
      <c r="G1844" s="310"/>
      <c r="H1844" s="310"/>
      <c r="I1844" s="295">
        <v>1093</v>
      </c>
      <c r="J1844" s="295"/>
      <c r="K1844" s="300">
        <f t="shared" si="216"/>
        <v>1.1000000000000001</v>
      </c>
      <c r="L1844" s="300">
        <f t="shared" si="213"/>
        <v>0</v>
      </c>
      <c r="M1844" s="285">
        <f t="shared" si="214"/>
        <v>0</v>
      </c>
      <c r="N1844" s="1076">
        <f t="shared" si="215"/>
        <v>0</v>
      </c>
      <c r="O1844" s="294"/>
      <c r="P1844" s="404"/>
      <c r="Q1844" s="404"/>
      <c r="R1844" s="301"/>
      <c r="S1844" s="301"/>
      <c r="T1844" s="301"/>
      <c r="U1844" s="301"/>
      <c r="V1844" s="301"/>
    </row>
    <row r="1845" spans="1:22" ht="14.4" thickTop="1" thickBot="1" x14ac:dyDescent="0.3">
      <c r="A1845" s="292"/>
      <c r="B1845" s="293"/>
      <c r="C1845" s="294"/>
      <c r="D1845" s="294"/>
      <c r="E1845" s="294"/>
      <c r="F1845" s="310"/>
      <c r="G1845" s="310"/>
      <c r="H1845" s="310"/>
      <c r="I1845" s="295">
        <v>-766</v>
      </c>
      <c r="J1845" s="295">
        <f>SUM(I1844:I1845)</f>
        <v>327</v>
      </c>
      <c r="K1845" s="300">
        <f t="shared" si="216"/>
        <v>1.1000000000000001</v>
      </c>
      <c r="L1845" s="300">
        <f t="shared" si="213"/>
        <v>359.70000000000005</v>
      </c>
      <c r="M1845" s="285">
        <f t="shared" si="214"/>
        <v>359.7</v>
      </c>
      <c r="N1845" s="1076">
        <f t="shared" si="215"/>
        <v>360</v>
      </c>
      <c r="O1845" s="294"/>
      <c r="P1845" s="404"/>
      <c r="Q1845" s="404"/>
      <c r="R1845" s="301"/>
      <c r="S1845" s="301"/>
      <c r="T1845" s="301"/>
      <c r="U1845" s="301"/>
      <c r="V1845" s="301"/>
    </row>
    <row r="1846" spans="1:22" ht="14.4" thickTop="1" thickBot="1" x14ac:dyDescent="0.3">
      <c r="A1846" s="292"/>
      <c r="B1846" s="293"/>
      <c r="C1846" s="294"/>
      <c r="D1846" s="294"/>
      <c r="E1846" s="294"/>
      <c r="F1846" s="310"/>
      <c r="G1846" s="310"/>
      <c r="H1846" s="310"/>
      <c r="I1846" s="295"/>
      <c r="J1846" s="295">
        <f>J1845*10.76</f>
        <v>3518.52</v>
      </c>
      <c r="K1846" s="1078">
        <v>1.02</v>
      </c>
      <c r="L1846" s="300">
        <f t="shared" si="213"/>
        <v>3588.8904000000002</v>
      </c>
      <c r="M1846" s="285">
        <f t="shared" si="214"/>
        <v>3588.9</v>
      </c>
      <c r="N1846" s="1076">
        <f t="shared" si="215"/>
        <v>3589</v>
      </c>
      <c r="O1846" s="294"/>
      <c r="P1846" s="404"/>
      <c r="Q1846" s="404"/>
      <c r="R1846" s="301"/>
      <c r="S1846" s="301"/>
      <c r="T1846" s="301"/>
      <c r="U1846" s="301"/>
      <c r="V1846" s="301"/>
    </row>
    <row r="1847" spans="1:22" ht="14.4" thickTop="1" thickBot="1" x14ac:dyDescent="0.3">
      <c r="A1847" s="292"/>
      <c r="B1847" s="293"/>
      <c r="C1847" s="294"/>
      <c r="D1847" s="294"/>
      <c r="E1847" s="294"/>
      <c r="F1847" s="310"/>
      <c r="G1847" s="310"/>
      <c r="H1847" s="310"/>
      <c r="I1847" s="295"/>
      <c r="J1847" s="295"/>
      <c r="K1847" s="300">
        <f t="shared" si="216"/>
        <v>1.1000000000000001</v>
      </c>
      <c r="L1847" s="300">
        <f t="shared" si="213"/>
        <v>0</v>
      </c>
      <c r="M1847" s="285">
        <f t="shared" si="214"/>
        <v>0</v>
      </c>
      <c r="N1847" s="1076">
        <f t="shared" si="215"/>
        <v>0</v>
      </c>
      <c r="O1847" s="294"/>
      <c r="P1847" s="404"/>
      <c r="Q1847" s="404"/>
      <c r="R1847" s="301"/>
      <c r="S1847" s="301"/>
      <c r="T1847" s="301"/>
      <c r="U1847" s="301"/>
      <c r="V1847" s="301"/>
    </row>
    <row r="1848" spans="1:22" ht="14.4" thickTop="1" thickBot="1" x14ac:dyDescent="0.3">
      <c r="A1848" s="292"/>
      <c r="B1848" s="296" t="s">
        <v>803</v>
      </c>
      <c r="C1848" s="294"/>
      <c r="D1848" s="294"/>
      <c r="E1848" s="294"/>
      <c r="F1848" s="310"/>
      <c r="G1848" s="310"/>
      <c r="H1848" s="310"/>
      <c r="I1848" s="295">
        <v>1064.5999999999999</v>
      </c>
      <c r="J1848" s="295"/>
      <c r="K1848" s="300">
        <f t="shared" si="216"/>
        <v>1.1000000000000001</v>
      </c>
      <c r="L1848" s="300">
        <f t="shared" si="213"/>
        <v>0</v>
      </c>
      <c r="M1848" s="285">
        <f t="shared" si="214"/>
        <v>0</v>
      </c>
      <c r="N1848" s="1076">
        <f t="shared" si="215"/>
        <v>0</v>
      </c>
      <c r="O1848" s="294"/>
      <c r="P1848" s="404"/>
      <c r="Q1848" s="404"/>
      <c r="R1848" s="301"/>
      <c r="S1848" s="301"/>
      <c r="T1848" s="301"/>
      <c r="U1848" s="301"/>
      <c r="V1848" s="301"/>
    </row>
    <row r="1849" spans="1:22" ht="14.4" thickTop="1" thickBot="1" x14ac:dyDescent="0.3">
      <c r="A1849" s="292"/>
      <c r="B1849" s="293"/>
      <c r="C1849" s="294"/>
      <c r="D1849" s="294"/>
      <c r="E1849" s="294"/>
      <c r="F1849" s="310"/>
      <c r="G1849" s="310"/>
      <c r="H1849" s="310"/>
      <c r="I1849" s="295">
        <v>-224</v>
      </c>
      <c r="J1849" s="295"/>
      <c r="K1849" s="300">
        <f t="shared" si="216"/>
        <v>1.1000000000000001</v>
      </c>
      <c r="L1849" s="300">
        <f t="shared" si="213"/>
        <v>0</v>
      </c>
      <c r="M1849" s="285">
        <f t="shared" si="214"/>
        <v>0</v>
      </c>
      <c r="N1849" s="1076">
        <f t="shared" si="215"/>
        <v>0</v>
      </c>
      <c r="O1849" s="294"/>
      <c r="P1849" s="404"/>
      <c r="Q1849" s="404"/>
      <c r="R1849" s="301"/>
      <c r="S1849" s="301"/>
      <c r="T1849" s="301"/>
      <c r="U1849" s="301"/>
      <c r="V1849" s="301"/>
    </row>
    <row r="1850" spans="1:22" ht="14.4" thickTop="1" thickBot="1" x14ac:dyDescent="0.3">
      <c r="A1850" s="292"/>
      <c r="B1850" s="293"/>
      <c r="C1850" s="294"/>
      <c r="D1850" s="294"/>
      <c r="E1850" s="294"/>
      <c r="F1850" s="310"/>
      <c r="G1850" s="310"/>
      <c r="H1850" s="310"/>
      <c r="I1850" s="295">
        <v>-197.6</v>
      </c>
      <c r="J1850" s="295">
        <f>SUM(I1848:I1850)</f>
        <v>642.99999999999989</v>
      </c>
      <c r="K1850" s="300">
        <f t="shared" si="216"/>
        <v>1.1000000000000001</v>
      </c>
      <c r="L1850" s="300">
        <f t="shared" si="213"/>
        <v>707.3</v>
      </c>
      <c r="M1850" s="285">
        <f t="shared" si="214"/>
        <v>707.3</v>
      </c>
      <c r="N1850" s="1076">
        <f t="shared" si="215"/>
        <v>708</v>
      </c>
      <c r="O1850" s="294"/>
      <c r="P1850" s="404"/>
      <c r="Q1850" s="404"/>
      <c r="R1850" s="301"/>
      <c r="S1850" s="301"/>
      <c r="T1850" s="301"/>
      <c r="U1850" s="301"/>
      <c r="V1850" s="301"/>
    </row>
    <row r="1851" spans="1:22" ht="14.4" thickTop="1" thickBot="1" x14ac:dyDescent="0.3">
      <c r="A1851" s="292"/>
      <c r="B1851" s="293"/>
      <c r="C1851" s="294"/>
      <c r="D1851" s="294"/>
      <c r="E1851" s="294"/>
      <c r="F1851" s="310"/>
      <c r="G1851" s="310"/>
      <c r="H1851" s="310"/>
      <c r="I1851" s="295"/>
      <c r="J1851" s="295">
        <f>J1850*10.76</f>
        <v>6918.6799999999985</v>
      </c>
      <c r="K1851" s="300">
        <v>1.05</v>
      </c>
      <c r="L1851" s="300">
        <f t="shared" si="213"/>
        <v>7264.6139999999987</v>
      </c>
      <c r="M1851" s="285">
        <f t="shared" si="214"/>
        <v>7264.6</v>
      </c>
      <c r="N1851" s="1076">
        <f t="shared" si="215"/>
        <v>7265</v>
      </c>
      <c r="O1851" s="294"/>
      <c r="P1851" s="404"/>
      <c r="Q1851" s="404"/>
      <c r="R1851" s="301"/>
      <c r="S1851" s="301"/>
      <c r="T1851" s="301"/>
      <c r="U1851" s="301"/>
      <c r="V1851" s="301"/>
    </row>
    <row r="1852" spans="1:22" ht="14.4" thickTop="1" thickBot="1" x14ac:dyDescent="0.3">
      <c r="A1852" s="292"/>
      <c r="B1852" s="293"/>
      <c r="C1852" s="294"/>
      <c r="D1852" s="294"/>
      <c r="E1852" s="294"/>
      <c r="F1852" s="310"/>
      <c r="G1852" s="310"/>
      <c r="H1852" s="310"/>
      <c r="I1852" s="295"/>
      <c r="J1852" s="295"/>
      <c r="K1852" s="300">
        <f t="shared" si="216"/>
        <v>1.1000000000000001</v>
      </c>
      <c r="L1852" s="300">
        <f t="shared" si="213"/>
        <v>0</v>
      </c>
      <c r="M1852" s="285">
        <f t="shared" si="214"/>
        <v>0</v>
      </c>
      <c r="N1852" s="1076">
        <f t="shared" si="215"/>
        <v>0</v>
      </c>
      <c r="O1852" s="294"/>
      <c r="P1852" s="404"/>
      <c r="Q1852" s="404"/>
      <c r="R1852" s="301"/>
      <c r="S1852" s="301"/>
      <c r="T1852" s="301"/>
      <c r="U1852" s="301"/>
      <c r="V1852" s="301"/>
    </row>
    <row r="1853" spans="1:22" ht="14.4" thickTop="1" thickBot="1" x14ac:dyDescent="0.3">
      <c r="A1853" s="292"/>
      <c r="B1853" s="293"/>
      <c r="C1853" s="294"/>
      <c r="D1853" s="294"/>
      <c r="E1853" s="294"/>
      <c r="F1853" s="310"/>
      <c r="G1853" s="310"/>
      <c r="H1853" s="310"/>
      <c r="I1853" s="295"/>
      <c r="J1853" s="295"/>
      <c r="K1853" s="300"/>
      <c r="L1853" s="300"/>
      <c r="M1853" s="285"/>
      <c r="N1853" s="1076"/>
      <c r="O1853" s="294"/>
      <c r="P1853" s="404"/>
      <c r="Q1853" s="404"/>
      <c r="R1853" s="301"/>
      <c r="S1853" s="301"/>
      <c r="T1853" s="301"/>
      <c r="U1853" s="301"/>
      <c r="V1853" s="301"/>
    </row>
    <row r="1854" spans="1:22" ht="14.4" thickTop="1" thickBot="1" x14ac:dyDescent="0.3">
      <c r="A1854" s="292"/>
      <c r="B1854" s="296" t="s">
        <v>2413</v>
      </c>
      <c r="C1854" s="294"/>
      <c r="D1854" s="294"/>
      <c r="E1854" s="294"/>
      <c r="F1854" s="310"/>
      <c r="G1854" s="310"/>
      <c r="H1854" s="310"/>
      <c r="I1854" s="295"/>
      <c r="J1854" s="295"/>
      <c r="K1854" s="300"/>
      <c r="L1854" s="300"/>
      <c r="M1854" s="285"/>
      <c r="N1854" s="1076"/>
      <c r="O1854" s="294"/>
      <c r="P1854" s="404"/>
      <c r="Q1854" s="404"/>
      <c r="R1854" s="301"/>
      <c r="S1854" s="301"/>
      <c r="T1854" s="301"/>
      <c r="U1854" s="301"/>
      <c r="V1854" s="301"/>
    </row>
    <row r="1855" spans="1:22" ht="14.4" thickTop="1" thickBot="1" x14ac:dyDescent="0.3">
      <c r="A1855" s="292"/>
      <c r="B1855" s="296" t="s">
        <v>1085</v>
      </c>
      <c r="C1855" s="294"/>
      <c r="D1855" s="294"/>
      <c r="E1855" s="294">
        <v>1</v>
      </c>
      <c r="F1855" s="310">
        <v>2.15</v>
      </c>
      <c r="G1855" s="310">
        <v>1.75</v>
      </c>
      <c r="H1855" s="310"/>
      <c r="I1855" s="295">
        <f>G1855*F1855*E1855</f>
        <v>3.7624999999999997</v>
      </c>
      <c r="J1855" s="295"/>
      <c r="K1855" s="300"/>
      <c r="L1855" s="300"/>
      <c r="M1855" s="285"/>
      <c r="N1855" s="1076"/>
      <c r="O1855" s="294"/>
      <c r="P1855" s="404"/>
      <c r="Q1855" s="404"/>
      <c r="R1855" s="301"/>
      <c r="S1855" s="301"/>
      <c r="T1855" s="301"/>
      <c r="U1855" s="301"/>
      <c r="V1855" s="301"/>
    </row>
    <row r="1856" spans="1:22" ht="14.4" thickTop="1" thickBot="1" x14ac:dyDescent="0.3">
      <c r="A1856" s="292"/>
      <c r="B1856" s="296" t="s">
        <v>800</v>
      </c>
      <c r="C1856" s="294"/>
      <c r="D1856" s="294"/>
      <c r="E1856" s="294">
        <v>2</v>
      </c>
      <c r="F1856" s="310">
        <f>F1855</f>
        <v>2.15</v>
      </c>
      <c r="G1856" s="310"/>
      <c r="H1856" s="310">
        <v>2</v>
      </c>
      <c r="I1856" s="295">
        <f t="shared" ref="I1856:I1857" si="218">H1856*F1856*E1856</f>
        <v>8.6</v>
      </c>
      <c r="J1856" s="295"/>
      <c r="K1856" s="300"/>
      <c r="L1856" s="300"/>
      <c r="M1856" s="285"/>
      <c r="N1856" s="1076"/>
      <c r="O1856" s="294"/>
      <c r="P1856" s="404"/>
      <c r="Q1856" s="404"/>
      <c r="R1856" s="301"/>
      <c r="S1856" s="301"/>
      <c r="T1856" s="301"/>
      <c r="U1856" s="301"/>
      <c r="V1856" s="301"/>
    </row>
    <row r="1857" spans="1:22" ht="14.4" thickTop="1" thickBot="1" x14ac:dyDescent="0.3">
      <c r="A1857" s="292"/>
      <c r="B1857" s="293"/>
      <c r="C1857" s="294"/>
      <c r="D1857" s="294"/>
      <c r="E1857" s="294">
        <v>2</v>
      </c>
      <c r="F1857" s="310">
        <f>G1855</f>
        <v>1.75</v>
      </c>
      <c r="G1857" s="310"/>
      <c r="H1857" s="310">
        <v>2</v>
      </c>
      <c r="I1857" s="295">
        <f t="shared" si="218"/>
        <v>7</v>
      </c>
      <c r="J1857" s="295">
        <f>SUM(I1855:I1857)</f>
        <v>19.362499999999997</v>
      </c>
      <c r="K1857" s="300">
        <f t="shared" si="216"/>
        <v>1.1000000000000001</v>
      </c>
      <c r="L1857" s="300">
        <f t="shared" ref="L1857:L1858" si="219">K1857*J1857</f>
        <v>21.298749999999998</v>
      </c>
      <c r="M1857" s="285">
        <f t="shared" ref="M1857:M1858" si="220">ROUND(L1857,1)</f>
        <v>21.3</v>
      </c>
      <c r="N1857" s="1076">
        <f t="shared" ref="N1857:N1858" si="221">ROUNDUP(M1857,0)</f>
        <v>22</v>
      </c>
      <c r="O1857" s="294"/>
      <c r="P1857" s="404"/>
      <c r="Q1857" s="404"/>
      <c r="R1857" s="301"/>
      <c r="S1857" s="301"/>
      <c r="T1857" s="301"/>
      <c r="U1857" s="301"/>
      <c r="V1857" s="301"/>
    </row>
    <row r="1858" spans="1:22" ht="14.4" thickTop="1" thickBot="1" x14ac:dyDescent="0.3">
      <c r="A1858" s="292"/>
      <c r="B1858" s="293"/>
      <c r="C1858" s="294"/>
      <c r="D1858" s="294"/>
      <c r="E1858" s="294"/>
      <c r="F1858" s="310"/>
      <c r="G1858" s="310"/>
      <c r="H1858" s="310"/>
      <c r="I1858" s="295"/>
      <c r="J1858" s="295">
        <f>J1857/9.29</f>
        <v>2.0842303552206674</v>
      </c>
      <c r="K1858" s="300">
        <v>1.05</v>
      </c>
      <c r="L1858" s="300">
        <f t="shared" si="219"/>
        <v>2.1884418729817008</v>
      </c>
      <c r="M1858" s="285">
        <f t="shared" si="220"/>
        <v>2.2000000000000002</v>
      </c>
      <c r="N1858" s="1076">
        <f t="shared" si="221"/>
        <v>3</v>
      </c>
      <c r="O1858" s="294"/>
      <c r="P1858" s="404"/>
      <c r="Q1858" s="404"/>
      <c r="R1858" s="301"/>
      <c r="S1858" s="301"/>
      <c r="T1858" s="301"/>
      <c r="U1858" s="301"/>
      <c r="V1858" s="301"/>
    </row>
    <row r="1859" spans="1:22" ht="14.4" thickTop="1" thickBot="1" x14ac:dyDescent="0.3">
      <c r="A1859" s="292"/>
      <c r="B1859" s="293"/>
      <c r="C1859" s="294"/>
      <c r="D1859" s="294"/>
      <c r="E1859" s="294"/>
      <c r="F1859" s="310"/>
      <c r="G1859" s="310"/>
      <c r="H1859" s="310"/>
      <c r="I1859" s="295"/>
      <c r="J1859" s="295"/>
      <c r="K1859" s="300"/>
      <c r="L1859" s="300"/>
      <c r="M1859" s="285"/>
      <c r="N1859" s="1076"/>
      <c r="O1859" s="294"/>
      <c r="P1859" s="404"/>
      <c r="Q1859" s="404"/>
      <c r="R1859" s="301"/>
      <c r="S1859" s="301"/>
      <c r="T1859" s="301"/>
      <c r="U1859" s="301"/>
      <c r="V1859" s="301"/>
    </row>
    <row r="1860" spans="1:22" ht="14.4" thickTop="1" thickBot="1" x14ac:dyDescent="0.3">
      <c r="A1860" s="292"/>
      <c r="B1860" s="293"/>
      <c r="C1860" s="294"/>
      <c r="D1860" s="294"/>
      <c r="E1860" s="294"/>
      <c r="F1860" s="310"/>
      <c r="G1860" s="310"/>
      <c r="H1860" s="310"/>
      <c r="I1860" s="295"/>
      <c r="J1860" s="295"/>
      <c r="K1860" s="300"/>
      <c r="L1860" s="300"/>
      <c r="M1860" s="285"/>
      <c r="N1860" s="1076"/>
      <c r="O1860" s="294"/>
      <c r="P1860" s="404"/>
      <c r="Q1860" s="404"/>
      <c r="R1860" s="301"/>
      <c r="S1860" s="301"/>
      <c r="T1860" s="301"/>
      <c r="U1860" s="301"/>
      <c r="V1860" s="301"/>
    </row>
    <row r="1861" spans="1:22" ht="14.4" thickTop="1" thickBot="1" x14ac:dyDescent="0.3">
      <c r="A1861" s="292"/>
      <c r="B1861" s="293"/>
      <c r="C1861" s="294"/>
      <c r="D1861" s="294"/>
      <c r="E1861" s="294"/>
      <c r="F1861" s="310"/>
      <c r="G1861" s="310"/>
      <c r="H1861" s="310"/>
      <c r="I1861" s="295"/>
      <c r="J1861" s="295"/>
      <c r="K1861" s="300"/>
      <c r="L1861" s="300"/>
      <c r="M1861" s="285"/>
      <c r="N1861" s="1076"/>
      <c r="O1861" s="294"/>
      <c r="P1861" s="404"/>
      <c r="Q1861" s="404"/>
      <c r="R1861" s="301"/>
      <c r="S1861" s="301"/>
      <c r="T1861" s="301"/>
      <c r="U1861" s="301"/>
      <c r="V1861" s="301"/>
    </row>
    <row r="1862" spans="1:22" ht="14.4" thickTop="1" thickBot="1" x14ac:dyDescent="0.3">
      <c r="A1862" s="292"/>
      <c r="B1862" s="293"/>
      <c r="C1862" s="294"/>
      <c r="D1862" s="294"/>
      <c r="E1862" s="294"/>
      <c r="F1862" s="310"/>
      <c r="G1862" s="310"/>
      <c r="H1862" s="310"/>
      <c r="I1862" s="295"/>
      <c r="J1862" s="295"/>
      <c r="K1862" s="300"/>
      <c r="L1862" s="300"/>
      <c r="M1862" s="285"/>
      <c r="N1862" s="1076"/>
      <c r="O1862" s="294"/>
      <c r="P1862" s="404"/>
      <c r="Q1862" s="404"/>
      <c r="R1862" s="301"/>
      <c r="S1862" s="301"/>
      <c r="T1862" s="301"/>
      <c r="U1862" s="301"/>
      <c r="V1862" s="301"/>
    </row>
    <row r="1863" spans="1:22" ht="14.4" thickTop="1" thickBot="1" x14ac:dyDescent="0.3">
      <c r="A1863" s="292"/>
      <c r="B1863" s="293"/>
      <c r="C1863" s="294"/>
      <c r="D1863" s="294"/>
      <c r="E1863" s="294"/>
      <c r="F1863" s="310"/>
      <c r="G1863" s="310"/>
      <c r="H1863" s="310"/>
      <c r="I1863" s="295"/>
      <c r="J1863" s="295"/>
      <c r="K1863" s="300"/>
      <c r="L1863" s="300"/>
      <c r="M1863" s="285"/>
      <c r="N1863" s="1076"/>
      <c r="O1863" s="294"/>
      <c r="P1863" s="404"/>
      <c r="Q1863" s="404"/>
      <c r="R1863" s="301"/>
      <c r="S1863" s="301"/>
      <c r="T1863" s="301"/>
      <c r="U1863" s="301"/>
      <c r="V1863" s="301"/>
    </row>
    <row r="1864" spans="1:22" ht="14.4" thickTop="1" thickBot="1" x14ac:dyDescent="0.3">
      <c r="A1864" s="292"/>
      <c r="B1864" s="302" t="s">
        <v>911</v>
      </c>
      <c r="C1864" s="294"/>
      <c r="D1864" s="294"/>
      <c r="E1864" s="294"/>
      <c r="F1864" s="310"/>
      <c r="G1864" s="310"/>
      <c r="H1864" s="310"/>
      <c r="I1864" s="295"/>
      <c r="J1864" s="295"/>
      <c r="K1864" s="300">
        <f t="shared" si="216"/>
        <v>1.1000000000000001</v>
      </c>
      <c r="L1864" s="300">
        <f t="shared" si="213"/>
        <v>0</v>
      </c>
      <c r="M1864" s="285">
        <f t="shared" si="214"/>
        <v>0</v>
      </c>
      <c r="N1864" s="1076">
        <f t="shared" si="215"/>
        <v>0</v>
      </c>
      <c r="O1864" s="294"/>
      <c r="P1864" s="404"/>
      <c r="Q1864" s="404"/>
      <c r="R1864" s="301"/>
      <c r="S1864" s="301"/>
      <c r="T1864" s="301"/>
      <c r="U1864" s="301"/>
      <c r="V1864" s="301"/>
    </row>
    <row r="1865" spans="1:22" ht="14.4" thickTop="1" thickBot="1" x14ac:dyDescent="0.3">
      <c r="A1865" s="292"/>
      <c r="B1865" s="293"/>
      <c r="C1865" s="294"/>
      <c r="D1865" s="294"/>
      <c r="E1865" s="294"/>
      <c r="F1865" s="310"/>
      <c r="G1865" s="310"/>
      <c r="H1865" s="310"/>
      <c r="I1865" s="295"/>
      <c r="J1865" s="295"/>
      <c r="K1865" s="300">
        <f t="shared" si="216"/>
        <v>1.1000000000000001</v>
      </c>
      <c r="L1865" s="300">
        <f t="shared" si="213"/>
        <v>0</v>
      </c>
      <c r="M1865" s="285">
        <f t="shared" si="214"/>
        <v>0</v>
      </c>
      <c r="N1865" s="1076">
        <f t="shared" si="215"/>
        <v>0</v>
      </c>
      <c r="O1865" s="294"/>
      <c r="P1865" s="404"/>
      <c r="Q1865" s="404"/>
      <c r="R1865" s="301"/>
      <c r="S1865" s="301"/>
      <c r="T1865" s="301"/>
      <c r="U1865" s="301"/>
      <c r="V1865" s="301"/>
    </row>
    <row r="1866" spans="1:22" ht="14.4" thickTop="1" thickBot="1" x14ac:dyDescent="0.3">
      <c r="A1866" s="292"/>
      <c r="B1866" s="296" t="s">
        <v>809</v>
      </c>
      <c r="C1866" s="294"/>
      <c r="D1866" s="294"/>
      <c r="E1866" s="294"/>
      <c r="F1866" s="310">
        <v>180</v>
      </c>
      <c r="G1866" s="310"/>
      <c r="H1866" s="310">
        <v>0.5</v>
      </c>
      <c r="I1866" s="295">
        <f>H1866*F1866</f>
        <v>90</v>
      </c>
      <c r="J1866" s="295"/>
      <c r="K1866" s="300">
        <f t="shared" si="216"/>
        <v>1.1000000000000001</v>
      </c>
      <c r="L1866" s="300">
        <f t="shared" si="213"/>
        <v>0</v>
      </c>
      <c r="M1866" s="285">
        <f t="shared" si="214"/>
        <v>0</v>
      </c>
      <c r="N1866" s="1076">
        <f t="shared" si="215"/>
        <v>0</v>
      </c>
      <c r="O1866" s="294"/>
      <c r="P1866" s="404"/>
      <c r="Q1866" s="404"/>
      <c r="R1866" s="301"/>
      <c r="S1866" s="301"/>
      <c r="T1866" s="301"/>
      <c r="U1866" s="301"/>
      <c r="V1866" s="301"/>
    </row>
    <row r="1867" spans="1:22" ht="14.4" thickTop="1" thickBot="1" x14ac:dyDescent="0.3">
      <c r="A1867" s="292"/>
      <c r="B1867" s="293"/>
      <c r="C1867" s="294"/>
      <c r="D1867" s="294"/>
      <c r="E1867" s="294"/>
      <c r="F1867" s="310"/>
      <c r="G1867" s="310"/>
      <c r="H1867" s="310"/>
      <c r="I1867" s="295"/>
      <c r="J1867" s="295">
        <f>SUM(I1864:I1866)</f>
        <v>90</v>
      </c>
      <c r="K1867" s="300">
        <f t="shared" si="216"/>
        <v>1.1000000000000001</v>
      </c>
      <c r="L1867" s="300">
        <f t="shared" si="213"/>
        <v>99.000000000000014</v>
      </c>
      <c r="M1867" s="285">
        <f t="shared" si="214"/>
        <v>99</v>
      </c>
      <c r="N1867" s="1076">
        <f t="shared" si="215"/>
        <v>99</v>
      </c>
      <c r="O1867" s="294" t="s">
        <v>695</v>
      </c>
      <c r="P1867" s="404"/>
      <c r="Q1867" s="404"/>
      <c r="R1867" s="301"/>
      <c r="S1867" s="301"/>
      <c r="T1867" s="301"/>
      <c r="U1867" s="301"/>
      <c r="V1867" s="301"/>
    </row>
    <row r="1868" spans="1:22" ht="14.4" thickTop="1" thickBot="1" x14ac:dyDescent="0.3">
      <c r="A1868" s="292"/>
      <c r="B1868" s="293"/>
      <c r="C1868" s="294"/>
      <c r="D1868" s="294"/>
      <c r="E1868" s="294"/>
      <c r="F1868" s="310"/>
      <c r="G1868" s="310"/>
      <c r="H1868" s="310"/>
      <c r="I1868" s="295"/>
      <c r="J1868" s="295">
        <f>J1867*10.76</f>
        <v>968.4</v>
      </c>
      <c r="K1868" s="300">
        <f t="shared" si="216"/>
        <v>1.1000000000000001</v>
      </c>
      <c r="L1868" s="300">
        <f t="shared" si="213"/>
        <v>1065.24</v>
      </c>
      <c r="M1868" s="285">
        <f t="shared" si="214"/>
        <v>1065.2</v>
      </c>
      <c r="N1868" s="1076">
        <f t="shared" si="215"/>
        <v>1066</v>
      </c>
      <c r="O1868" s="294" t="s">
        <v>1846</v>
      </c>
      <c r="P1868" s="404"/>
      <c r="Q1868" s="404"/>
      <c r="R1868" s="301"/>
      <c r="S1868" s="301"/>
      <c r="T1868" s="301"/>
      <c r="U1868" s="301"/>
      <c r="V1868" s="301"/>
    </row>
    <row r="1869" spans="1:22" ht="14.4" thickTop="1" thickBot="1" x14ac:dyDescent="0.3">
      <c r="A1869" s="292"/>
      <c r="B1869" s="293"/>
      <c r="C1869" s="294"/>
      <c r="D1869" s="294"/>
      <c r="E1869" s="294"/>
      <c r="F1869" s="310"/>
      <c r="G1869" s="310"/>
      <c r="H1869" s="310"/>
      <c r="I1869" s="295"/>
      <c r="J1869" s="295">
        <f>J1868/100</f>
        <v>9.6839999999999993</v>
      </c>
      <c r="K1869" s="300">
        <v>1.02</v>
      </c>
      <c r="L1869" s="300">
        <f t="shared" si="213"/>
        <v>9.8776799999999998</v>
      </c>
      <c r="M1869" s="285">
        <f t="shared" si="214"/>
        <v>9.9</v>
      </c>
      <c r="N1869" s="1076">
        <f t="shared" si="215"/>
        <v>10</v>
      </c>
      <c r="O1869" s="294" t="s">
        <v>879</v>
      </c>
      <c r="P1869" s="404"/>
      <c r="Q1869" s="404"/>
      <c r="R1869" s="301"/>
      <c r="S1869" s="301"/>
      <c r="T1869" s="301"/>
      <c r="U1869" s="301"/>
      <c r="V1869" s="301"/>
    </row>
    <row r="1870" spans="1:22" ht="14.4" thickTop="1" thickBot="1" x14ac:dyDescent="0.3">
      <c r="A1870" s="292"/>
      <c r="B1870" s="293"/>
      <c r="C1870" s="294"/>
      <c r="D1870" s="294"/>
      <c r="E1870" s="294"/>
      <c r="F1870" s="310"/>
      <c r="G1870" s="310"/>
      <c r="H1870" s="310"/>
      <c r="I1870" s="295"/>
      <c r="J1870" s="295"/>
      <c r="K1870" s="300">
        <f t="shared" si="216"/>
        <v>1.1000000000000001</v>
      </c>
      <c r="L1870" s="300">
        <f t="shared" si="213"/>
        <v>0</v>
      </c>
      <c r="M1870" s="285">
        <f t="shared" si="214"/>
        <v>0</v>
      </c>
      <c r="N1870" s="1076">
        <f t="shared" si="215"/>
        <v>0</v>
      </c>
      <c r="O1870" s="294"/>
      <c r="P1870" s="404"/>
      <c r="Q1870" s="404"/>
      <c r="R1870" s="301"/>
      <c r="S1870" s="301"/>
      <c r="T1870" s="301"/>
      <c r="U1870" s="301"/>
      <c r="V1870" s="301"/>
    </row>
    <row r="1871" spans="1:22" ht="14.4" thickTop="1" thickBot="1" x14ac:dyDescent="0.3">
      <c r="A1871" s="292"/>
      <c r="B1871" s="296" t="s">
        <v>1880</v>
      </c>
      <c r="C1871" s="294"/>
      <c r="D1871" s="294"/>
      <c r="E1871" s="294"/>
      <c r="F1871" s="310">
        <v>47.658000000000001</v>
      </c>
      <c r="G1871" s="310"/>
      <c r="H1871" s="310">
        <v>4.2</v>
      </c>
      <c r="I1871" s="295">
        <f t="shared" ref="I1871:I1876" si="222">H1871*F1871</f>
        <v>200.1636</v>
      </c>
      <c r="J1871" s="295"/>
      <c r="K1871" s="300">
        <f t="shared" si="216"/>
        <v>1.1000000000000001</v>
      </c>
      <c r="L1871" s="300">
        <f t="shared" si="213"/>
        <v>0</v>
      </c>
      <c r="M1871" s="285">
        <f t="shared" si="214"/>
        <v>0</v>
      </c>
      <c r="N1871" s="1076">
        <f t="shared" si="215"/>
        <v>0</v>
      </c>
      <c r="O1871" s="294"/>
      <c r="P1871" s="404"/>
      <c r="Q1871" s="404"/>
      <c r="R1871" s="301"/>
      <c r="S1871" s="301"/>
      <c r="T1871" s="301"/>
      <c r="U1871" s="301"/>
      <c r="V1871" s="301"/>
    </row>
    <row r="1872" spans="1:22" ht="14.4" thickTop="1" thickBot="1" x14ac:dyDescent="0.3">
      <c r="A1872" s="292"/>
      <c r="B1872" s="293"/>
      <c r="C1872" s="294"/>
      <c r="D1872" s="294"/>
      <c r="E1872" s="294"/>
      <c r="F1872" s="310">
        <v>6.08</v>
      </c>
      <c r="G1872" s="310"/>
      <c r="H1872" s="310">
        <v>4.2</v>
      </c>
      <c r="I1872" s="295">
        <f t="shared" si="222"/>
        <v>25.536000000000001</v>
      </c>
      <c r="J1872" s="295"/>
      <c r="K1872" s="300">
        <f t="shared" si="216"/>
        <v>1.1000000000000001</v>
      </c>
      <c r="L1872" s="300">
        <f t="shared" si="213"/>
        <v>0</v>
      </c>
      <c r="M1872" s="285">
        <f t="shared" si="214"/>
        <v>0</v>
      </c>
      <c r="N1872" s="1076">
        <f t="shared" si="215"/>
        <v>0</v>
      </c>
      <c r="O1872" s="294"/>
      <c r="P1872" s="404"/>
      <c r="Q1872" s="404"/>
      <c r="R1872" s="301"/>
      <c r="S1872" s="301"/>
      <c r="T1872" s="301"/>
      <c r="U1872" s="301"/>
      <c r="V1872" s="301"/>
    </row>
    <row r="1873" spans="1:22" ht="14.4" thickTop="1" thickBot="1" x14ac:dyDescent="0.3">
      <c r="A1873" s="292"/>
      <c r="B1873" s="293"/>
      <c r="C1873" s="294"/>
      <c r="D1873" s="294"/>
      <c r="E1873" s="294"/>
      <c r="F1873" s="310">
        <v>12.7</v>
      </c>
      <c r="G1873" s="310"/>
      <c r="H1873" s="310">
        <v>4.2</v>
      </c>
      <c r="I1873" s="295">
        <f t="shared" si="222"/>
        <v>53.339999999999996</v>
      </c>
      <c r="J1873" s="295"/>
      <c r="K1873" s="300">
        <f t="shared" si="216"/>
        <v>1.1000000000000001</v>
      </c>
      <c r="L1873" s="300">
        <f t="shared" si="213"/>
        <v>0</v>
      </c>
      <c r="M1873" s="285">
        <f t="shared" si="214"/>
        <v>0</v>
      </c>
      <c r="N1873" s="1076">
        <f t="shared" si="215"/>
        <v>0</v>
      </c>
      <c r="O1873" s="294"/>
      <c r="P1873" s="404"/>
      <c r="Q1873" s="404"/>
      <c r="R1873" s="301"/>
      <c r="S1873" s="301"/>
      <c r="T1873" s="301"/>
      <c r="U1873" s="301"/>
      <c r="V1873" s="301"/>
    </row>
    <row r="1874" spans="1:22" ht="14.4" thickTop="1" thickBot="1" x14ac:dyDescent="0.3">
      <c r="A1874" s="292"/>
      <c r="B1874" s="293"/>
      <c r="C1874" s="294"/>
      <c r="D1874" s="294"/>
      <c r="E1874" s="294"/>
      <c r="F1874" s="310">
        <v>45.563000000000002</v>
      </c>
      <c r="G1874" s="310"/>
      <c r="H1874" s="310">
        <v>4.2</v>
      </c>
      <c r="I1874" s="295">
        <f t="shared" si="222"/>
        <v>191.36460000000002</v>
      </c>
      <c r="J1874" s="295"/>
      <c r="K1874" s="300">
        <f t="shared" si="216"/>
        <v>1.1000000000000001</v>
      </c>
      <c r="L1874" s="300">
        <f t="shared" si="213"/>
        <v>0</v>
      </c>
      <c r="M1874" s="285">
        <f t="shared" si="214"/>
        <v>0</v>
      </c>
      <c r="N1874" s="1076">
        <f t="shared" si="215"/>
        <v>0</v>
      </c>
      <c r="O1874" s="294"/>
      <c r="P1874" s="404"/>
      <c r="Q1874" s="404"/>
      <c r="R1874" s="301"/>
      <c r="S1874" s="301"/>
      <c r="T1874" s="301"/>
      <c r="U1874" s="301"/>
      <c r="V1874" s="301"/>
    </row>
    <row r="1875" spans="1:22" ht="14.4" thickTop="1" thickBot="1" x14ac:dyDescent="0.3">
      <c r="A1875" s="292"/>
      <c r="B1875" s="296"/>
      <c r="C1875" s="294"/>
      <c r="D1875" s="294"/>
      <c r="E1875" s="294"/>
      <c r="F1875" s="310">
        <v>12.505000000000001</v>
      </c>
      <c r="G1875" s="310"/>
      <c r="H1875" s="310">
        <v>4.2</v>
      </c>
      <c r="I1875" s="295">
        <f t="shared" si="222"/>
        <v>52.521000000000008</v>
      </c>
      <c r="J1875" s="295"/>
      <c r="K1875" s="300">
        <f t="shared" si="216"/>
        <v>1.1000000000000001</v>
      </c>
      <c r="L1875" s="300">
        <f t="shared" si="213"/>
        <v>0</v>
      </c>
      <c r="M1875" s="285">
        <f t="shared" si="214"/>
        <v>0</v>
      </c>
      <c r="N1875" s="1076">
        <f t="shared" si="215"/>
        <v>0</v>
      </c>
      <c r="O1875" s="294"/>
      <c r="P1875" s="404"/>
      <c r="Q1875" s="404"/>
      <c r="R1875" s="301"/>
      <c r="S1875" s="301"/>
      <c r="T1875" s="301"/>
      <c r="U1875" s="301"/>
      <c r="V1875" s="301"/>
    </row>
    <row r="1876" spans="1:22" ht="14.4" thickTop="1" thickBot="1" x14ac:dyDescent="0.3">
      <c r="A1876" s="292"/>
      <c r="B1876" s="293"/>
      <c r="C1876" s="294"/>
      <c r="D1876" s="294"/>
      <c r="E1876" s="294"/>
      <c r="F1876" s="310">
        <v>2.2250000000000001</v>
      </c>
      <c r="G1876" s="310"/>
      <c r="H1876" s="310">
        <v>4.2</v>
      </c>
      <c r="I1876" s="295">
        <f t="shared" si="222"/>
        <v>9.3450000000000006</v>
      </c>
      <c r="J1876" s="295"/>
      <c r="K1876" s="300">
        <f t="shared" si="216"/>
        <v>1.1000000000000001</v>
      </c>
      <c r="L1876" s="300">
        <f t="shared" si="213"/>
        <v>0</v>
      </c>
      <c r="M1876" s="285">
        <f t="shared" si="214"/>
        <v>0</v>
      </c>
      <c r="N1876" s="1076">
        <f t="shared" si="215"/>
        <v>0</v>
      </c>
      <c r="O1876" s="294"/>
      <c r="P1876" s="404"/>
      <c r="Q1876" s="404"/>
      <c r="R1876" s="301"/>
      <c r="S1876" s="301"/>
      <c r="T1876" s="301"/>
      <c r="U1876" s="301"/>
      <c r="V1876" s="301"/>
    </row>
    <row r="1877" spans="1:22" ht="14.4" thickTop="1" thickBot="1" x14ac:dyDescent="0.3">
      <c r="A1877" s="292"/>
      <c r="B1877" s="296" t="s">
        <v>846</v>
      </c>
      <c r="C1877" s="294"/>
      <c r="D1877" s="294"/>
      <c r="E1877" s="294"/>
      <c r="F1877" s="310"/>
      <c r="G1877" s="310"/>
      <c r="H1877" s="310"/>
      <c r="I1877" s="295"/>
      <c r="J1877" s="295"/>
      <c r="K1877" s="300">
        <f t="shared" si="216"/>
        <v>1.1000000000000001</v>
      </c>
      <c r="L1877" s="300">
        <f t="shared" si="213"/>
        <v>0</v>
      </c>
      <c r="M1877" s="285">
        <f t="shared" si="214"/>
        <v>0</v>
      </c>
      <c r="N1877" s="1076">
        <f t="shared" si="215"/>
        <v>0</v>
      </c>
      <c r="O1877" s="294"/>
      <c r="P1877" s="404"/>
      <c r="Q1877" s="404"/>
      <c r="R1877" s="301"/>
      <c r="S1877" s="301"/>
      <c r="T1877" s="301"/>
      <c r="U1877" s="301"/>
      <c r="V1877" s="301"/>
    </row>
    <row r="1878" spans="1:22" ht="14.4" thickTop="1" thickBot="1" x14ac:dyDescent="0.3">
      <c r="A1878" s="292"/>
      <c r="B1878" s="296" t="s">
        <v>769</v>
      </c>
      <c r="C1878" s="294"/>
      <c r="D1878" s="294"/>
      <c r="E1878" s="294">
        <v>10</v>
      </c>
      <c r="F1878" s="310">
        <v>0.9</v>
      </c>
      <c r="G1878" s="310"/>
      <c r="H1878" s="310">
        <v>0.9</v>
      </c>
      <c r="I1878" s="295">
        <f>-H1878*F1878*E1878</f>
        <v>-8.1000000000000014</v>
      </c>
      <c r="J1878" s="295"/>
      <c r="K1878" s="300">
        <f t="shared" si="216"/>
        <v>1.1000000000000001</v>
      </c>
      <c r="L1878" s="300">
        <f t="shared" si="213"/>
        <v>0</v>
      </c>
      <c r="M1878" s="285">
        <f t="shared" si="214"/>
        <v>0</v>
      </c>
      <c r="N1878" s="1076">
        <f t="shared" si="215"/>
        <v>0</v>
      </c>
      <c r="O1878" s="294"/>
      <c r="P1878" s="404"/>
      <c r="Q1878" s="404"/>
      <c r="R1878" s="301"/>
      <c r="S1878" s="301"/>
      <c r="T1878" s="301"/>
      <c r="U1878" s="301"/>
      <c r="V1878" s="301"/>
    </row>
    <row r="1879" spans="1:22" ht="14.4" thickTop="1" thickBot="1" x14ac:dyDescent="0.3">
      <c r="A1879" s="292"/>
      <c r="B1879" s="296" t="s">
        <v>792</v>
      </c>
      <c r="C1879" s="294"/>
      <c r="D1879" s="294"/>
      <c r="E1879" s="294">
        <v>1</v>
      </c>
      <c r="F1879" s="310">
        <v>1.05</v>
      </c>
      <c r="G1879" s="310"/>
      <c r="H1879" s="310">
        <v>2.4</v>
      </c>
      <c r="I1879" s="295">
        <f t="shared" ref="I1879:I1881" si="223">-H1879*F1879*E1879</f>
        <v>-2.52</v>
      </c>
      <c r="J1879" s="295"/>
      <c r="K1879" s="300">
        <f t="shared" si="216"/>
        <v>1.1000000000000001</v>
      </c>
      <c r="L1879" s="300">
        <f t="shared" si="213"/>
        <v>0</v>
      </c>
      <c r="M1879" s="285">
        <f t="shared" si="214"/>
        <v>0</v>
      </c>
      <c r="N1879" s="1076">
        <f t="shared" si="215"/>
        <v>0</v>
      </c>
      <c r="O1879" s="294"/>
      <c r="P1879" s="404"/>
      <c r="Q1879" s="404"/>
      <c r="R1879" s="301"/>
      <c r="S1879" s="301"/>
      <c r="T1879" s="301"/>
      <c r="U1879" s="301"/>
      <c r="V1879" s="301"/>
    </row>
    <row r="1880" spans="1:22" ht="14.4" thickTop="1" thickBot="1" x14ac:dyDescent="0.3">
      <c r="A1880" s="292"/>
      <c r="B1880" s="296" t="s">
        <v>770</v>
      </c>
      <c r="C1880" s="294"/>
      <c r="D1880" s="294"/>
      <c r="E1880" s="294">
        <v>5</v>
      </c>
      <c r="F1880" s="310">
        <v>0.9</v>
      </c>
      <c r="G1880" s="310"/>
      <c r="H1880" s="310">
        <v>2.7</v>
      </c>
      <c r="I1880" s="295">
        <f t="shared" si="223"/>
        <v>-12.15</v>
      </c>
      <c r="J1880" s="295"/>
      <c r="K1880" s="300">
        <f t="shared" si="216"/>
        <v>1.1000000000000001</v>
      </c>
      <c r="L1880" s="300">
        <f t="shared" si="213"/>
        <v>0</v>
      </c>
      <c r="M1880" s="285">
        <f t="shared" si="214"/>
        <v>0</v>
      </c>
      <c r="N1880" s="1076">
        <f t="shared" si="215"/>
        <v>0</v>
      </c>
      <c r="O1880" s="294"/>
      <c r="P1880" s="404"/>
      <c r="Q1880" s="404"/>
      <c r="R1880" s="301"/>
      <c r="S1880" s="301"/>
      <c r="T1880" s="301"/>
      <c r="U1880" s="301"/>
      <c r="V1880" s="301"/>
    </row>
    <row r="1881" spans="1:22" ht="14.4" thickTop="1" thickBot="1" x14ac:dyDescent="0.3">
      <c r="A1881" s="292"/>
      <c r="B1881" s="296" t="s">
        <v>766</v>
      </c>
      <c r="C1881" s="294"/>
      <c r="D1881" s="294"/>
      <c r="E1881" s="294">
        <v>9</v>
      </c>
      <c r="F1881" s="310">
        <v>0.55000000000000004</v>
      </c>
      <c r="G1881" s="310"/>
      <c r="H1881" s="310">
        <v>1.2</v>
      </c>
      <c r="I1881" s="295">
        <f t="shared" si="223"/>
        <v>-5.94</v>
      </c>
      <c r="J1881" s="295"/>
      <c r="K1881" s="300">
        <f t="shared" si="216"/>
        <v>1.1000000000000001</v>
      </c>
      <c r="L1881" s="300">
        <f t="shared" si="213"/>
        <v>0</v>
      </c>
      <c r="M1881" s="285">
        <f t="shared" si="214"/>
        <v>0</v>
      </c>
      <c r="N1881" s="1076">
        <f t="shared" si="215"/>
        <v>0</v>
      </c>
      <c r="O1881" s="294"/>
      <c r="P1881" s="404"/>
      <c r="Q1881" s="404"/>
      <c r="R1881" s="301"/>
      <c r="S1881" s="301"/>
      <c r="T1881" s="301"/>
      <c r="U1881" s="301"/>
      <c r="V1881" s="301"/>
    </row>
    <row r="1882" spans="1:22" ht="14.4" thickTop="1" thickBot="1" x14ac:dyDescent="0.3">
      <c r="A1882" s="292"/>
      <c r="B1882" s="293"/>
      <c r="C1882" s="294"/>
      <c r="D1882" s="294"/>
      <c r="E1882" s="294"/>
      <c r="F1882" s="310"/>
      <c r="G1882" s="310"/>
      <c r="H1882" s="310"/>
      <c r="I1882" s="295"/>
      <c r="J1882" s="295">
        <f>SUM(I1871:I1881)</f>
        <v>503.56020000000007</v>
      </c>
      <c r="K1882" s="300">
        <f t="shared" si="216"/>
        <v>1.1000000000000001</v>
      </c>
      <c r="L1882" s="300">
        <f t="shared" si="213"/>
        <v>553.91622000000007</v>
      </c>
      <c r="M1882" s="285">
        <f t="shared" si="214"/>
        <v>553.9</v>
      </c>
      <c r="N1882" s="1076">
        <f t="shared" si="215"/>
        <v>554</v>
      </c>
      <c r="O1882" s="294" t="s">
        <v>695</v>
      </c>
      <c r="P1882" s="404"/>
      <c r="Q1882" s="404"/>
      <c r="R1882" s="301"/>
      <c r="S1882" s="301"/>
      <c r="T1882" s="301"/>
      <c r="U1882" s="301"/>
      <c r="V1882" s="301"/>
    </row>
    <row r="1883" spans="1:22" ht="14.4" thickTop="1" thickBot="1" x14ac:dyDescent="0.3">
      <c r="A1883" s="292"/>
      <c r="B1883" s="293"/>
      <c r="C1883" s="294"/>
      <c r="D1883" s="294"/>
      <c r="E1883" s="294"/>
      <c r="F1883" s="310"/>
      <c r="G1883" s="310"/>
      <c r="H1883" s="310"/>
      <c r="I1883" s="295"/>
      <c r="J1883" s="295">
        <f>J1882*10.76</f>
        <v>5418.3077520000006</v>
      </c>
      <c r="K1883" s="300">
        <f t="shared" si="216"/>
        <v>1.1000000000000001</v>
      </c>
      <c r="L1883" s="300">
        <f t="shared" si="213"/>
        <v>5960.1385272000016</v>
      </c>
      <c r="M1883" s="285">
        <f t="shared" si="214"/>
        <v>5960.1</v>
      </c>
      <c r="N1883" s="1076">
        <f t="shared" si="215"/>
        <v>5961</v>
      </c>
      <c r="O1883" s="294" t="s">
        <v>1846</v>
      </c>
      <c r="P1883" s="404"/>
      <c r="Q1883" s="404"/>
      <c r="R1883" s="301"/>
      <c r="S1883" s="301"/>
      <c r="T1883" s="301"/>
      <c r="U1883" s="301"/>
      <c r="V1883" s="301"/>
    </row>
    <row r="1884" spans="1:22" ht="14.4" thickTop="1" thickBot="1" x14ac:dyDescent="0.3">
      <c r="A1884" s="292"/>
      <c r="B1884" s="293"/>
      <c r="C1884" s="294"/>
      <c r="D1884" s="294"/>
      <c r="E1884" s="294"/>
      <c r="F1884" s="310"/>
      <c r="G1884" s="310"/>
      <c r="H1884" s="310"/>
      <c r="I1884" s="295"/>
      <c r="J1884" s="295">
        <f>J1883/100</f>
        <v>54.183077520000005</v>
      </c>
      <c r="K1884" s="300">
        <v>1.04</v>
      </c>
      <c r="L1884" s="300">
        <f t="shared" si="213"/>
        <v>56.350400620800009</v>
      </c>
      <c r="M1884" s="285">
        <f t="shared" si="214"/>
        <v>56.4</v>
      </c>
      <c r="N1884" s="1076">
        <f t="shared" si="215"/>
        <v>57</v>
      </c>
      <c r="O1884" s="294" t="s">
        <v>879</v>
      </c>
      <c r="P1884" s="404"/>
      <c r="Q1884" s="404"/>
      <c r="R1884" s="301"/>
      <c r="S1884" s="301"/>
      <c r="T1884" s="301"/>
      <c r="U1884" s="301"/>
      <c r="V1884" s="301"/>
    </row>
    <row r="1885" spans="1:22" ht="14.4" thickTop="1" thickBot="1" x14ac:dyDescent="0.3">
      <c r="A1885" s="292"/>
      <c r="B1885" s="293"/>
      <c r="C1885" s="294"/>
      <c r="D1885" s="294"/>
      <c r="E1885" s="294"/>
      <c r="F1885" s="310"/>
      <c r="G1885" s="310"/>
      <c r="H1885" s="310"/>
      <c r="I1885" s="295"/>
      <c r="J1885" s="295"/>
      <c r="K1885" s="300">
        <f t="shared" si="216"/>
        <v>1.1000000000000001</v>
      </c>
      <c r="L1885" s="300">
        <f t="shared" si="213"/>
        <v>0</v>
      </c>
      <c r="M1885" s="285">
        <f t="shared" si="214"/>
        <v>0</v>
      </c>
      <c r="N1885" s="1076">
        <f t="shared" si="215"/>
        <v>0</v>
      </c>
      <c r="O1885" s="294"/>
      <c r="P1885" s="404"/>
      <c r="Q1885" s="404"/>
      <c r="R1885" s="301"/>
      <c r="S1885" s="301"/>
      <c r="T1885" s="301"/>
      <c r="U1885" s="301"/>
      <c r="V1885" s="301"/>
    </row>
    <row r="1886" spans="1:22" ht="14.4" thickTop="1" thickBot="1" x14ac:dyDescent="0.3">
      <c r="A1886" s="292"/>
      <c r="B1886" s="296" t="s">
        <v>1881</v>
      </c>
      <c r="C1886" s="294"/>
      <c r="D1886" s="294"/>
      <c r="E1886" s="294"/>
      <c r="F1886" s="310">
        <v>9.0500000000000007</v>
      </c>
      <c r="G1886" s="310"/>
      <c r="H1886" s="310">
        <v>3.9</v>
      </c>
      <c r="I1886" s="295">
        <f>H1886*F1886</f>
        <v>35.295000000000002</v>
      </c>
      <c r="J1886" s="295"/>
      <c r="K1886" s="300">
        <f t="shared" si="216"/>
        <v>1.1000000000000001</v>
      </c>
      <c r="L1886" s="300">
        <f t="shared" si="213"/>
        <v>0</v>
      </c>
      <c r="M1886" s="285">
        <f t="shared" si="214"/>
        <v>0</v>
      </c>
      <c r="N1886" s="1076">
        <f t="shared" si="215"/>
        <v>0</v>
      </c>
      <c r="O1886" s="294"/>
      <c r="P1886" s="404"/>
      <c r="Q1886" s="404"/>
      <c r="R1886" s="301"/>
      <c r="S1886" s="301"/>
      <c r="T1886" s="301"/>
      <c r="U1886" s="301"/>
      <c r="V1886" s="301"/>
    </row>
    <row r="1887" spans="1:22" ht="14.4" thickTop="1" thickBot="1" x14ac:dyDescent="0.3">
      <c r="A1887" s="292"/>
      <c r="B1887" s="293"/>
      <c r="C1887" s="294"/>
      <c r="D1887" s="294"/>
      <c r="E1887" s="294"/>
      <c r="F1887" s="310">
        <v>13.365</v>
      </c>
      <c r="G1887" s="310"/>
      <c r="H1887" s="310">
        <v>3.9</v>
      </c>
      <c r="I1887" s="295">
        <f t="shared" ref="I1887:I1893" si="224">H1887*F1887</f>
        <v>52.1235</v>
      </c>
      <c r="J1887" s="295"/>
      <c r="K1887" s="300">
        <f t="shared" si="216"/>
        <v>1.1000000000000001</v>
      </c>
      <c r="L1887" s="300">
        <f t="shared" si="213"/>
        <v>0</v>
      </c>
      <c r="M1887" s="285">
        <f t="shared" si="214"/>
        <v>0</v>
      </c>
      <c r="N1887" s="1076">
        <f t="shared" si="215"/>
        <v>0</v>
      </c>
      <c r="O1887" s="294"/>
      <c r="P1887" s="404"/>
      <c r="Q1887" s="404"/>
      <c r="R1887" s="301"/>
      <c r="S1887" s="301"/>
      <c r="T1887" s="301"/>
      <c r="U1887" s="301"/>
      <c r="V1887" s="301"/>
    </row>
    <row r="1888" spans="1:22" ht="14.4" thickTop="1" thickBot="1" x14ac:dyDescent="0.3">
      <c r="A1888" s="292"/>
      <c r="B1888" s="293"/>
      <c r="C1888" s="294"/>
      <c r="D1888" s="294"/>
      <c r="E1888" s="294"/>
      <c r="F1888" s="310">
        <v>6.08</v>
      </c>
      <c r="G1888" s="310"/>
      <c r="H1888" s="310">
        <v>3.9</v>
      </c>
      <c r="I1888" s="295">
        <f t="shared" si="224"/>
        <v>23.712</v>
      </c>
      <c r="J1888" s="295"/>
      <c r="K1888" s="300">
        <f t="shared" si="216"/>
        <v>1.1000000000000001</v>
      </c>
      <c r="L1888" s="300">
        <f t="shared" si="213"/>
        <v>0</v>
      </c>
      <c r="M1888" s="285">
        <f t="shared" si="214"/>
        <v>0</v>
      </c>
      <c r="N1888" s="1076">
        <f t="shared" si="215"/>
        <v>0</v>
      </c>
      <c r="O1888" s="294"/>
      <c r="P1888" s="404"/>
      <c r="Q1888" s="404"/>
      <c r="R1888" s="301"/>
      <c r="S1888" s="301"/>
      <c r="T1888" s="301"/>
      <c r="U1888" s="301"/>
      <c r="V1888" s="301"/>
    </row>
    <row r="1889" spans="1:22" ht="14.4" thickTop="1" thickBot="1" x14ac:dyDescent="0.3">
      <c r="A1889" s="292"/>
      <c r="B1889" s="293"/>
      <c r="C1889" s="294"/>
      <c r="D1889" s="294"/>
      <c r="E1889" s="294"/>
      <c r="F1889" s="310">
        <v>8.9749999999999996</v>
      </c>
      <c r="G1889" s="310"/>
      <c r="H1889" s="310">
        <v>3.9</v>
      </c>
      <c r="I1889" s="295">
        <f t="shared" si="224"/>
        <v>35.002499999999998</v>
      </c>
      <c r="J1889" s="295"/>
      <c r="K1889" s="300">
        <f t="shared" si="216"/>
        <v>1.1000000000000001</v>
      </c>
      <c r="L1889" s="300">
        <f t="shared" si="213"/>
        <v>0</v>
      </c>
      <c r="M1889" s="285">
        <f t="shared" si="214"/>
        <v>0</v>
      </c>
      <c r="N1889" s="1076">
        <f t="shared" si="215"/>
        <v>0</v>
      </c>
      <c r="O1889" s="294"/>
      <c r="P1889" s="404"/>
      <c r="Q1889" s="404"/>
      <c r="R1889" s="301"/>
      <c r="S1889" s="301"/>
      <c r="T1889" s="301"/>
      <c r="U1889" s="301"/>
      <c r="V1889" s="301"/>
    </row>
    <row r="1890" spans="1:22" ht="14.4" thickTop="1" thickBot="1" x14ac:dyDescent="0.3">
      <c r="A1890" s="292"/>
      <c r="B1890" s="293"/>
      <c r="C1890" s="294"/>
      <c r="D1890" s="294"/>
      <c r="E1890" s="294"/>
      <c r="F1890" s="310">
        <v>53.08</v>
      </c>
      <c r="G1890" s="310"/>
      <c r="H1890" s="310">
        <v>3.9</v>
      </c>
      <c r="I1890" s="295">
        <f t="shared" si="224"/>
        <v>207.012</v>
      </c>
      <c r="J1890" s="295"/>
      <c r="K1890" s="300">
        <f t="shared" si="216"/>
        <v>1.1000000000000001</v>
      </c>
      <c r="L1890" s="300">
        <f t="shared" si="213"/>
        <v>0</v>
      </c>
      <c r="M1890" s="285">
        <f t="shared" si="214"/>
        <v>0</v>
      </c>
      <c r="N1890" s="1076">
        <f t="shared" si="215"/>
        <v>0</v>
      </c>
      <c r="O1890" s="294"/>
      <c r="P1890" s="404"/>
      <c r="Q1890" s="404"/>
      <c r="R1890" s="301"/>
      <c r="S1890" s="301"/>
      <c r="T1890" s="301"/>
      <c r="U1890" s="301"/>
      <c r="V1890" s="301"/>
    </row>
    <row r="1891" spans="1:22" ht="14.4" thickTop="1" thickBot="1" x14ac:dyDescent="0.3">
      <c r="A1891" s="292"/>
      <c r="B1891" s="293"/>
      <c r="C1891" s="294"/>
      <c r="D1891" s="294"/>
      <c r="E1891" s="294"/>
      <c r="F1891" s="310">
        <v>25.6</v>
      </c>
      <c r="G1891" s="310"/>
      <c r="H1891" s="310">
        <v>3.9</v>
      </c>
      <c r="I1891" s="295">
        <f t="shared" si="224"/>
        <v>99.84</v>
      </c>
      <c r="J1891" s="295"/>
      <c r="K1891" s="300">
        <f t="shared" si="216"/>
        <v>1.1000000000000001</v>
      </c>
      <c r="L1891" s="300">
        <f t="shared" si="213"/>
        <v>0</v>
      </c>
      <c r="M1891" s="285">
        <f t="shared" si="214"/>
        <v>0</v>
      </c>
      <c r="N1891" s="1076">
        <f t="shared" si="215"/>
        <v>0</v>
      </c>
      <c r="O1891" s="294"/>
      <c r="P1891" s="404"/>
      <c r="Q1891" s="404"/>
      <c r="R1891" s="301"/>
      <c r="S1891" s="301"/>
      <c r="T1891" s="301"/>
      <c r="U1891" s="301"/>
      <c r="V1891" s="301"/>
    </row>
    <row r="1892" spans="1:22" ht="14.4" thickTop="1" thickBot="1" x14ac:dyDescent="0.3">
      <c r="A1892" s="292"/>
      <c r="B1892" s="293"/>
      <c r="C1892" s="294"/>
      <c r="D1892" s="294"/>
      <c r="E1892" s="294"/>
      <c r="F1892" s="310">
        <v>12.4</v>
      </c>
      <c r="G1892" s="310"/>
      <c r="H1892" s="310">
        <v>3.9</v>
      </c>
      <c r="I1892" s="295">
        <f t="shared" si="224"/>
        <v>48.36</v>
      </c>
      <c r="J1892" s="295"/>
      <c r="K1892" s="300">
        <f t="shared" si="216"/>
        <v>1.1000000000000001</v>
      </c>
      <c r="L1892" s="300">
        <f t="shared" si="213"/>
        <v>0</v>
      </c>
      <c r="M1892" s="285">
        <f t="shared" si="214"/>
        <v>0</v>
      </c>
      <c r="N1892" s="1076">
        <f t="shared" si="215"/>
        <v>0</v>
      </c>
      <c r="O1892" s="294"/>
      <c r="P1892" s="404"/>
      <c r="Q1892" s="404"/>
      <c r="R1892" s="301"/>
      <c r="S1892" s="301"/>
      <c r="T1892" s="301"/>
      <c r="U1892" s="301"/>
      <c r="V1892" s="301"/>
    </row>
    <row r="1893" spans="1:22" ht="14.4" thickTop="1" thickBot="1" x14ac:dyDescent="0.3">
      <c r="A1893" s="292"/>
      <c r="B1893" s="293"/>
      <c r="C1893" s="294"/>
      <c r="D1893" s="294"/>
      <c r="E1893" s="294"/>
      <c r="F1893" s="310">
        <v>8.3119999999999994</v>
      </c>
      <c r="G1893" s="310"/>
      <c r="H1893" s="310">
        <v>3.9</v>
      </c>
      <c r="I1893" s="295">
        <f t="shared" si="224"/>
        <v>32.416799999999995</v>
      </c>
      <c r="J1893" s="295"/>
      <c r="K1893" s="300">
        <f t="shared" si="216"/>
        <v>1.1000000000000001</v>
      </c>
      <c r="L1893" s="300">
        <f t="shared" si="213"/>
        <v>0</v>
      </c>
      <c r="M1893" s="285">
        <f t="shared" si="214"/>
        <v>0</v>
      </c>
      <c r="N1893" s="1076">
        <f t="shared" si="215"/>
        <v>0</v>
      </c>
      <c r="O1893" s="294"/>
      <c r="P1893" s="404"/>
      <c r="Q1893" s="404"/>
      <c r="R1893" s="301"/>
      <c r="S1893" s="301"/>
      <c r="T1893" s="301"/>
      <c r="U1893" s="301"/>
      <c r="V1893" s="301"/>
    </row>
    <row r="1894" spans="1:22" ht="14.4" thickTop="1" thickBot="1" x14ac:dyDescent="0.3">
      <c r="A1894" s="292"/>
      <c r="B1894" s="293" t="s">
        <v>846</v>
      </c>
      <c r="C1894" s="294"/>
      <c r="D1894" s="294"/>
      <c r="E1894" s="294"/>
      <c r="F1894" s="310"/>
      <c r="G1894" s="310"/>
      <c r="H1894" s="310"/>
      <c r="I1894" s="295"/>
      <c r="J1894" s="295"/>
      <c r="K1894" s="300">
        <f t="shared" si="216"/>
        <v>1.1000000000000001</v>
      </c>
      <c r="L1894" s="300">
        <f t="shared" si="213"/>
        <v>0</v>
      </c>
      <c r="M1894" s="285">
        <f t="shared" si="214"/>
        <v>0</v>
      </c>
      <c r="N1894" s="1076">
        <f t="shared" si="215"/>
        <v>0</v>
      </c>
      <c r="O1894" s="294"/>
      <c r="P1894" s="404"/>
      <c r="Q1894" s="404"/>
      <c r="R1894" s="301"/>
      <c r="S1894" s="301"/>
      <c r="T1894" s="301"/>
      <c r="U1894" s="301"/>
      <c r="V1894" s="301"/>
    </row>
    <row r="1895" spans="1:22" ht="14.4" thickTop="1" thickBot="1" x14ac:dyDescent="0.3">
      <c r="A1895" s="292"/>
      <c r="B1895" s="293" t="s">
        <v>766</v>
      </c>
      <c r="C1895" s="294"/>
      <c r="D1895" s="294"/>
      <c r="E1895" s="294">
        <v>6</v>
      </c>
      <c r="F1895" s="310">
        <v>0.55000000000000004</v>
      </c>
      <c r="G1895" s="310"/>
      <c r="H1895" s="310">
        <v>1.2</v>
      </c>
      <c r="I1895" s="295">
        <f>-H1895*F1895*E1895</f>
        <v>-3.96</v>
      </c>
      <c r="J1895" s="295"/>
      <c r="K1895" s="300">
        <f t="shared" si="216"/>
        <v>1.1000000000000001</v>
      </c>
      <c r="L1895" s="300">
        <f t="shared" si="213"/>
        <v>0</v>
      </c>
      <c r="M1895" s="285">
        <f t="shared" si="214"/>
        <v>0</v>
      </c>
      <c r="N1895" s="1076">
        <f t="shared" si="215"/>
        <v>0</v>
      </c>
      <c r="O1895" s="294"/>
      <c r="P1895" s="404"/>
      <c r="Q1895" s="404"/>
      <c r="R1895" s="301"/>
      <c r="S1895" s="301"/>
      <c r="T1895" s="301"/>
      <c r="U1895" s="301"/>
      <c r="V1895" s="301"/>
    </row>
    <row r="1896" spans="1:22" ht="14.4" thickTop="1" thickBot="1" x14ac:dyDescent="0.3">
      <c r="A1896" s="292"/>
      <c r="B1896" s="293" t="s">
        <v>811</v>
      </c>
      <c r="C1896" s="294"/>
      <c r="D1896" s="294"/>
      <c r="E1896" s="294">
        <v>18</v>
      </c>
      <c r="F1896" s="310">
        <v>3</v>
      </c>
      <c r="G1896" s="310"/>
      <c r="H1896" s="310">
        <v>2.7</v>
      </c>
      <c r="I1896" s="295">
        <f t="shared" ref="I1896:I1898" si="225">-H1896*F1896*E1896</f>
        <v>-145.80000000000001</v>
      </c>
      <c r="J1896" s="295"/>
      <c r="K1896" s="300">
        <f t="shared" si="216"/>
        <v>1.1000000000000001</v>
      </c>
      <c r="L1896" s="300">
        <f t="shared" si="213"/>
        <v>0</v>
      </c>
      <c r="M1896" s="285">
        <f t="shared" si="214"/>
        <v>0</v>
      </c>
      <c r="N1896" s="1076">
        <f t="shared" si="215"/>
        <v>0</v>
      </c>
      <c r="O1896" s="294"/>
      <c r="P1896" s="404"/>
      <c r="Q1896" s="404"/>
      <c r="R1896" s="301"/>
      <c r="S1896" s="301"/>
      <c r="T1896" s="301"/>
      <c r="U1896" s="301"/>
      <c r="V1896" s="301"/>
    </row>
    <row r="1897" spans="1:22" ht="14.4" thickTop="1" thickBot="1" x14ac:dyDescent="0.3">
      <c r="A1897" s="292"/>
      <c r="B1897" s="293" t="s">
        <v>769</v>
      </c>
      <c r="C1897" s="294"/>
      <c r="D1897" s="294"/>
      <c r="E1897" s="294">
        <v>3</v>
      </c>
      <c r="F1897" s="310">
        <v>0.9</v>
      </c>
      <c r="G1897" s="310"/>
      <c r="H1897" s="310">
        <v>0.9</v>
      </c>
      <c r="I1897" s="295">
        <f t="shared" si="225"/>
        <v>-2.4300000000000002</v>
      </c>
      <c r="J1897" s="295"/>
      <c r="K1897" s="300">
        <f t="shared" si="216"/>
        <v>1.1000000000000001</v>
      </c>
      <c r="L1897" s="300">
        <f t="shared" si="213"/>
        <v>0</v>
      </c>
      <c r="M1897" s="285">
        <f t="shared" si="214"/>
        <v>0</v>
      </c>
      <c r="N1897" s="1076">
        <f t="shared" si="215"/>
        <v>0</v>
      </c>
      <c r="O1897" s="294"/>
      <c r="P1897" s="404"/>
      <c r="Q1897" s="404"/>
      <c r="R1897" s="301"/>
      <c r="S1897" s="301"/>
      <c r="T1897" s="301"/>
      <c r="U1897" s="301"/>
      <c r="V1897" s="301"/>
    </row>
    <row r="1898" spans="1:22" ht="14.4" thickTop="1" thickBot="1" x14ac:dyDescent="0.3">
      <c r="A1898" s="292"/>
      <c r="B1898" s="293" t="s">
        <v>770</v>
      </c>
      <c r="C1898" s="294"/>
      <c r="D1898" s="294"/>
      <c r="E1898" s="294">
        <v>2</v>
      </c>
      <c r="F1898" s="310">
        <v>0.9</v>
      </c>
      <c r="G1898" s="310"/>
      <c r="H1898" s="310">
        <v>2.7</v>
      </c>
      <c r="I1898" s="295">
        <f t="shared" si="225"/>
        <v>-4.8600000000000003</v>
      </c>
      <c r="J1898" s="295"/>
      <c r="K1898" s="300">
        <f t="shared" si="216"/>
        <v>1.1000000000000001</v>
      </c>
      <c r="L1898" s="300">
        <f t="shared" si="213"/>
        <v>0</v>
      </c>
      <c r="M1898" s="285">
        <f t="shared" si="214"/>
        <v>0</v>
      </c>
      <c r="N1898" s="1076">
        <f t="shared" si="215"/>
        <v>0</v>
      </c>
      <c r="O1898" s="294"/>
      <c r="P1898" s="404"/>
      <c r="Q1898" s="404"/>
      <c r="R1898" s="301"/>
      <c r="S1898" s="301"/>
      <c r="T1898" s="301"/>
      <c r="U1898" s="301"/>
      <c r="V1898" s="301"/>
    </row>
    <row r="1899" spans="1:22" ht="14.4" thickTop="1" thickBot="1" x14ac:dyDescent="0.3">
      <c r="A1899" s="292"/>
      <c r="B1899" s="293"/>
      <c r="C1899" s="294"/>
      <c r="D1899" s="294"/>
      <c r="E1899" s="294"/>
      <c r="F1899" s="310"/>
      <c r="G1899" s="310"/>
      <c r="H1899" s="310"/>
      <c r="I1899" s="295"/>
      <c r="J1899" s="295">
        <f>SUM(I1886:I1898)</f>
        <v>376.71179999999993</v>
      </c>
      <c r="K1899" s="300">
        <f t="shared" si="216"/>
        <v>1.1000000000000001</v>
      </c>
      <c r="L1899" s="300">
        <f t="shared" si="213"/>
        <v>414.38297999999998</v>
      </c>
      <c r="M1899" s="285">
        <f t="shared" si="214"/>
        <v>414.4</v>
      </c>
      <c r="N1899" s="1076">
        <f t="shared" si="215"/>
        <v>415</v>
      </c>
      <c r="O1899" s="294" t="s">
        <v>695</v>
      </c>
      <c r="P1899" s="404"/>
      <c r="Q1899" s="404"/>
      <c r="R1899" s="301"/>
      <c r="S1899" s="301"/>
      <c r="T1899" s="301"/>
      <c r="U1899" s="301"/>
      <c r="V1899" s="301"/>
    </row>
    <row r="1900" spans="1:22" ht="14.4" thickTop="1" thickBot="1" x14ac:dyDescent="0.3">
      <c r="A1900" s="292"/>
      <c r="B1900" s="293"/>
      <c r="C1900" s="294"/>
      <c r="D1900" s="294"/>
      <c r="E1900" s="294"/>
      <c r="F1900" s="310"/>
      <c r="G1900" s="310"/>
      <c r="H1900" s="310"/>
      <c r="I1900" s="295"/>
      <c r="J1900" s="295">
        <f>J1899*10.76</f>
        <v>4053.418967999999</v>
      </c>
      <c r="K1900" s="300">
        <f t="shared" si="216"/>
        <v>1.1000000000000001</v>
      </c>
      <c r="L1900" s="300">
        <f t="shared" si="213"/>
        <v>4458.7608647999996</v>
      </c>
      <c r="M1900" s="285">
        <f t="shared" si="214"/>
        <v>4458.8</v>
      </c>
      <c r="N1900" s="1076">
        <f t="shared" si="215"/>
        <v>4459</v>
      </c>
      <c r="O1900" s="294" t="s">
        <v>1846</v>
      </c>
      <c r="P1900" s="404"/>
      <c r="Q1900" s="404"/>
      <c r="R1900" s="301"/>
      <c r="S1900" s="301"/>
      <c r="T1900" s="301"/>
      <c r="U1900" s="301"/>
      <c r="V1900" s="301"/>
    </row>
    <row r="1901" spans="1:22" ht="14.4" thickTop="1" thickBot="1" x14ac:dyDescent="0.3">
      <c r="A1901" s="292"/>
      <c r="B1901" s="293"/>
      <c r="C1901" s="294"/>
      <c r="D1901" s="294"/>
      <c r="E1901" s="294"/>
      <c r="F1901" s="310"/>
      <c r="G1901" s="310"/>
      <c r="H1901" s="310"/>
      <c r="I1901" s="295"/>
      <c r="J1901" s="295">
        <f>J1900/100</f>
        <v>40.53418967999999</v>
      </c>
      <c r="K1901" s="300">
        <v>1.04</v>
      </c>
      <c r="L1901" s="300">
        <f t="shared" si="213"/>
        <v>42.155557267199988</v>
      </c>
      <c r="M1901" s="285">
        <f t="shared" si="214"/>
        <v>42.2</v>
      </c>
      <c r="N1901" s="1076">
        <f t="shared" si="215"/>
        <v>43</v>
      </c>
      <c r="O1901" s="294" t="s">
        <v>879</v>
      </c>
      <c r="P1901" s="404"/>
      <c r="Q1901" s="404"/>
      <c r="R1901" s="301"/>
      <c r="S1901" s="301"/>
      <c r="T1901" s="301"/>
      <c r="U1901" s="301"/>
      <c r="V1901" s="301"/>
    </row>
    <row r="1902" spans="1:22" ht="14.4" thickTop="1" thickBot="1" x14ac:dyDescent="0.3">
      <c r="A1902" s="292"/>
      <c r="B1902" s="293"/>
      <c r="C1902" s="294"/>
      <c r="D1902" s="294"/>
      <c r="E1902" s="294"/>
      <c r="F1902" s="310"/>
      <c r="G1902" s="310"/>
      <c r="H1902" s="310"/>
      <c r="I1902" s="295"/>
      <c r="J1902" s="295"/>
      <c r="K1902" s="300">
        <f t="shared" si="216"/>
        <v>1.1000000000000001</v>
      </c>
      <c r="L1902" s="300">
        <f t="shared" si="213"/>
        <v>0</v>
      </c>
      <c r="M1902" s="285">
        <f t="shared" si="214"/>
        <v>0</v>
      </c>
      <c r="N1902" s="1076">
        <f t="shared" si="215"/>
        <v>0</v>
      </c>
      <c r="O1902" s="294"/>
      <c r="P1902" s="404"/>
      <c r="Q1902" s="404"/>
      <c r="R1902" s="301"/>
      <c r="S1902" s="301"/>
      <c r="T1902" s="301"/>
      <c r="U1902" s="301"/>
      <c r="V1902" s="301"/>
    </row>
    <row r="1903" spans="1:22" ht="14.4" thickTop="1" thickBot="1" x14ac:dyDescent="0.3">
      <c r="A1903" s="292"/>
      <c r="B1903" s="296" t="s">
        <v>1882</v>
      </c>
      <c r="C1903" s="294"/>
      <c r="D1903" s="294"/>
      <c r="E1903" s="294">
        <v>2</v>
      </c>
      <c r="F1903" s="310">
        <v>10.875</v>
      </c>
      <c r="G1903" s="310"/>
      <c r="H1903" s="310">
        <v>1.05</v>
      </c>
      <c r="I1903" s="295">
        <f>H1903*F1903*E1903</f>
        <v>22.837500000000002</v>
      </c>
      <c r="J1903" s="295"/>
      <c r="K1903" s="300">
        <f t="shared" si="216"/>
        <v>1.1000000000000001</v>
      </c>
      <c r="L1903" s="300">
        <f t="shared" ref="L1903:L1969" si="226">K1903*J1903</f>
        <v>0</v>
      </c>
      <c r="M1903" s="285">
        <f t="shared" si="214"/>
        <v>0</v>
      </c>
      <c r="N1903" s="1076">
        <f t="shared" si="215"/>
        <v>0</v>
      </c>
      <c r="O1903" s="294"/>
      <c r="P1903" s="404"/>
      <c r="Q1903" s="404"/>
      <c r="R1903" s="301"/>
      <c r="S1903" s="301"/>
      <c r="T1903" s="301"/>
      <c r="U1903" s="301"/>
      <c r="V1903" s="301"/>
    </row>
    <row r="1904" spans="1:22" ht="14.4" thickTop="1" thickBot="1" x14ac:dyDescent="0.3">
      <c r="A1904" s="292"/>
      <c r="B1904" s="293"/>
      <c r="C1904" s="294"/>
      <c r="D1904" s="294"/>
      <c r="E1904" s="294">
        <v>2</v>
      </c>
      <c r="F1904" s="310">
        <v>6.2</v>
      </c>
      <c r="G1904" s="310"/>
      <c r="H1904" s="310">
        <v>1.05</v>
      </c>
      <c r="I1904" s="295">
        <f t="shared" ref="I1904:I1920" si="227">H1904*F1904*E1904</f>
        <v>13.020000000000001</v>
      </c>
      <c r="J1904" s="295"/>
      <c r="K1904" s="300">
        <f t="shared" si="216"/>
        <v>1.1000000000000001</v>
      </c>
      <c r="L1904" s="300">
        <f t="shared" si="226"/>
        <v>0</v>
      </c>
      <c r="M1904" s="285">
        <f t="shared" ref="M1904:M1969" si="228">ROUND(L1904,1)</f>
        <v>0</v>
      </c>
      <c r="N1904" s="1076">
        <f t="shared" ref="N1904:N1969" si="229">ROUNDUP(M1904,0)</f>
        <v>0</v>
      </c>
      <c r="O1904" s="294"/>
      <c r="P1904" s="404"/>
      <c r="Q1904" s="404"/>
      <c r="R1904" s="301"/>
      <c r="S1904" s="301"/>
      <c r="T1904" s="301"/>
      <c r="U1904" s="301"/>
      <c r="V1904" s="301"/>
    </row>
    <row r="1905" spans="1:22" ht="14.4" thickTop="1" thickBot="1" x14ac:dyDescent="0.3">
      <c r="A1905" s="292"/>
      <c r="B1905" s="293"/>
      <c r="C1905" s="294"/>
      <c r="D1905" s="294">
        <v>2</v>
      </c>
      <c r="E1905" s="294">
        <v>2</v>
      </c>
      <c r="F1905" s="310">
        <v>2.35</v>
      </c>
      <c r="G1905" s="310"/>
      <c r="H1905" s="310">
        <v>1.05</v>
      </c>
      <c r="I1905" s="295">
        <f>H1905*F1905*E1905*D1905</f>
        <v>9.870000000000001</v>
      </c>
      <c r="J1905" s="295"/>
      <c r="K1905" s="300">
        <f t="shared" si="216"/>
        <v>1.1000000000000001</v>
      </c>
      <c r="L1905" s="300">
        <f t="shared" si="226"/>
        <v>0</v>
      </c>
      <c r="M1905" s="285">
        <f t="shared" si="228"/>
        <v>0</v>
      </c>
      <c r="N1905" s="1076">
        <f t="shared" si="229"/>
        <v>0</v>
      </c>
      <c r="O1905" s="294"/>
      <c r="P1905" s="404"/>
      <c r="Q1905" s="404"/>
      <c r="R1905" s="301"/>
      <c r="S1905" s="301"/>
      <c r="T1905" s="301"/>
      <c r="U1905" s="301"/>
      <c r="V1905" s="301"/>
    </row>
    <row r="1906" spans="1:22" ht="14.4" thickTop="1" thickBot="1" x14ac:dyDescent="0.3">
      <c r="A1906" s="292"/>
      <c r="B1906" s="293"/>
      <c r="C1906" s="294"/>
      <c r="D1906" s="294"/>
      <c r="E1906" s="294">
        <v>2</v>
      </c>
      <c r="F1906" s="310">
        <v>8.5749999999999993</v>
      </c>
      <c r="G1906" s="310"/>
      <c r="H1906" s="310">
        <v>1.05</v>
      </c>
      <c r="I1906" s="295">
        <f t="shared" si="227"/>
        <v>18.0075</v>
      </c>
      <c r="J1906" s="295"/>
      <c r="K1906" s="300">
        <f t="shared" si="216"/>
        <v>1.1000000000000001</v>
      </c>
      <c r="L1906" s="300">
        <f t="shared" si="226"/>
        <v>0</v>
      </c>
      <c r="M1906" s="285">
        <f t="shared" si="228"/>
        <v>0</v>
      </c>
      <c r="N1906" s="1076">
        <f t="shared" si="229"/>
        <v>0</v>
      </c>
      <c r="O1906" s="294"/>
      <c r="P1906" s="404"/>
      <c r="Q1906" s="404"/>
      <c r="R1906" s="301"/>
      <c r="S1906" s="301"/>
      <c r="T1906" s="301"/>
      <c r="U1906" s="301"/>
      <c r="V1906" s="301"/>
    </row>
    <row r="1907" spans="1:22" ht="14.4" thickTop="1" thickBot="1" x14ac:dyDescent="0.3">
      <c r="A1907" s="292"/>
      <c r="B1907" s="293"/>
      <c r="C1907" s="294"/>
      <c r="D1907" s="294"/>
      <c r="E1907" s="294">
        <v>2</v>
      </c>
      <c r="F1907" s="310">
        <v>4.508</v>
      </c>
      <c r="G1907" s="310"/>
      <c r="H1907" s="310">
        <v>1.05</v>
      </c>
      <c r="I1907" s="295">
        <f t="shared" si="227"/>
        <v>9.466800000000001</v>
      </c>
      <c r="J1907" s="295"/>
      <c r="K1907" s="300">
        <f t="shared" si="216"/>
        <v>1.1000000000000001</v>
      </c>
      <c r="L1907" s="300">
        <f t="shared" si="226"/>
        <v>0</v>
      </c>
      <c r="M1907" s="285">
        <f t="shared" si="228"/>
        <v>0</v>
      </c>
      <c r="N1907" s="1076">
        <f t="shared" si="229"/>
        <v>0</v>
      </c>
      <c r="O1907" s="294"/>
      <c r="P1907" s="404"/>
      <c r="Q1907" s="404"/>
      <c r="R1907" s="301"/>
      <c r="S1907" s="301"/>
      <c r="T1907" s="301"/>
      <c r="U1907" s="301"/>
      <c r="V1907" s="301"/>
    </row>
    <row r="1908" spans="1:22" ht="14.4" thickTop="1" thickBot="1" x14ac:dyDescent="0.3">
      <c r="A1908" s="292"/>
      <c r="B1908" s="293"/>
      <c r="C1908" s="294"/>
      <c r="D1908" s="294"/>
      <c r="E1908" s="294">
        <v>2</v>
      </c>
      <c r="F1908" s="310">
        <v>7.4749999999999996</v>
      </c>
      <c r="G1908" s="310"/>
      <c r="H1908" s="310">
        <v>1.05</v>
      </c>
      <c r="I1908" s="295">
        <f t="shared" si="227"/>
        <v>15.6975</v>
      </c>
      <c r="J1908" s="295"/>
      <c r="K1908" s="300">
        <f t="shared" si="216"/>
        <v>1.1000000000000001</v>
      </c>
      <c r="L1908" s="300">
        <f t="shared" si="226"/>
        <v>0</v>
      </c>
      <c r="M1908" s="285">
        <f t="shared" si="228"/>
        <v>0</v>
      </c>
      <c r="N1908" s="1076">
        <f t="shared" si="229"/>
        <v>0</v>
      </c>
      <c r="O1908" s="294"/>
      <c r="P1908" s="404"/>
      <c r="Q1908" s="404"/>
      <c r="R1908" s="301"/>
      <c r="S1908" s="301"/>
      <c r="T1908" s="301"/>
      <c r="U1908" s="301"/>
      <c r="V1908" s="301"/>
    </row>
    <row r="1909" spans="1:22" ht="14.4" thickTop="1" thickBot="1" x14ac:dyDescent="0.3">
      <c r="A1909" s="292"/>
      <c r="B1909" s="293"/>
      <c r="C1909" s="294"/>
      <c r="D1909" s="294"/>
      <c r="E1909" s="294">
        <v>2</v>
      </c>
      <c r="F1909" s="310">
        <v>4.2830000000000004</v>
      </c>
      <c r="G1909" s="310"/>
      <c r="H1909" s="310">
        <v>1.05</v>
      </c>
      <c r="I1909" s="295">
        <f t="shared" si="227"/>
        <v>8.9943000000000008</v>
      </c>
      <c r="J1909" s="295"/>
      <c r="K1909" s="300">
        <f t="shared" si="216"/>
        <v>1.1000000000000001</v>
      </c>
      <c r="L1909" s="300">
        <f t="shared" si="226"/>
        <v>0</v>
      </c>
      <c r="M1909" s="285">
        <f t="shared" si="228"/>
        <v>0</v>
      </c>
      <c r="N1909" s="1076">
        <f t="shared" si="229"/>
        <v>0</v>
      </c>
      <c r="O1909" s="294"/>
      <c r="P1909" s="404"/>
      <c r="Q1909" s="404"/>
      <c r="R1909" s="301"/>
      <c r="S1909" s="301"/>
      <c r="T1909" s="301"/>
      <c r="U1909" s="301"/>
      <c r="V1909" s="301"/>
    </row>
    <row r="1910" spans="1:22" ht="14.4" thickTop="1" thickBot="1" x14ac:dyDescent="0.3">
      <c r="A1910" s="292"/>
      <c r="B1910" s="293"/>
      <c r="C1910" s="294"/>
      <c r="D1910" s="294"/>
      <c r="E1910" s="294">
        <v>2</v>
      </c>
      <c r="F1910" s="310">
        <v>3.45</v>
      </c>
      <c r="G1910" s="310"/>
      <c r="H1910" s="310">
        <v>1.05</v>
      </c>
      <c r="I1910" s="295">
        <f t="shared" si="227"/>
        <v>7.245000000000001</v>
      </c>
      <c r="J1910" s="295"/>
      <c r="K1910" s="300">
        <f t="shared" ref="K1910:K1980" si="230">$K$2</f>
        <v>1.1000000000000001</v>
      </c>
      <c r="L1910" s="300">
        <f t="shared" si="226"/>
        <v>0</v>
      </c>
      <c r="M1910" s="285">
        <f t="shared" si="228"/>
        <v>0</v>
      </c>
      <c r="N1910" s="1076">
        <f t="shared" si="229"/>
        <v>0</v>
      </c>
      <c r="O1910" s="294"/>
      <c r="P1910" s="404"/>
      <c r="Q1910" s="404"/>
      <c r="R1910" s="301"/>
      <c r="S1910" s="301"/>
      <c r="T1910" s="301"/>
      <c r="U1910" s="301"/>
      <c r="V1910" s="301"/>
    </row>
    <row r="1911" spans="1:22" ht="14.4" thickTop="1" thickBot="1" x14ac:dyDescent="0.3">
      <c r="A1911" s="292"/>
      <c r="B1911" s="293"/>
      <c r="C1911" s="294"/>
      <c r="D1911" s="294"/>
      <c r="E1911" s="294">
        <v>2</v>
      </c>
      <c r="F1911" s="310">
        <v>20.524999999999999</v>
      </c>
      <c r="G1911" s="310"/>
      <c r="H1911" s="310">
        <v>1.05</v>
      </c>
      <c r="I1911" s="295">
        <f t="shared" si="227"/>
        <v>43.102499999999999</v>
      </c>
      <c r="J1911" s="295"/>
      <c r="K1911" s="300">
        <f t="shared" si="230"/>
        <v>1.1000000000000001</v>
      </c>
      <c r="L1911" s="300">
        <f t="shared" si="226"/>
        <v>0</v>
      </c>
      <c r="M1911" s="285">
        <f t="shared" si="228"/>
        <v>0</v>
      </c>
      <c r="N1911" s="1076">
        <f t="shared" si="229"/>
        <v>0</v>
      </c>
      <c r="O1911" s="294"/>
      <c r="P1911" s="404"/>
      <c r="Q1911" s="404"/>
      <c r="R1911" s="301"/>
      <c r="S1911" s="301"/>
      <c r="T1911" s="301"/>
      <c r="U1911" s="301"/>
      <c r="V1911" s="301"/>
    </row>
    <row r="1912" spans="1:22" ht="14.4" thickTop="1" thickBot="1" x14ac:dyDescent="0.3">
      <c r="A1912" s="292"/>
      <c r="B1912" s="293"/>
      <c r="C1912" s="294"/>
      <c r="D1912" s="294"/>
      <c r="E1912" s="294">
        <v>2</v>
      </c>
      <c r="F1912" s="310">
        <v>2</v>
      </c>
      <c r="G1912" s="310"/>
      <c r="H1912" s="310">
        <v>1.05</v>
      </c>
      <c r="I1912" s="295">
        <f t="shared" si="227"/>
        <v>4.2</v>
      </c>
      <c r="J1912" s="295"/>
      <c r="K1912" s="300">
        <f t="shared" si="230"/>
        <v>1.1000000000000001</v>
      </c>
      <c r="L1912" s="300">
        <f t="shared" si="226"/>
        <v>0</v>
      </c>
      <c r="M1912" s="285">
        <f t="shared" si="228"/>
        <v>0</v>
      </c>
      <c r="N1912" s="1076">
        <f t="shared" si="229"/>
        <v>0</v>
      </c>
      <c r="O1912" s="294"/>
      <c r="P1912" s="404"/>
      <c r="Q1912" s="404"/>
      <c r="R1912" s="301"/>
      <c r="S1912" s="301"/>
      <c r="T1912" s="301"/>
      <c r="U1912" s="301"/>
      <c r="V1912" s="301"/>
    </row>
    <row r="1913" spans="1:22" ht="14.4" thickTop="1" thickBot="1" x14ac:dyDescent="0.3">
      <c r="A1913" s="292"/>
      <c r="B1913" s="293"/>
      <c r="C1913" s="294"/>
      <c r="D1913" s="294"/>
      <c r="E1913" s="294">
        <v>2</v>
      </c>
      <c r="F1913" s="310">
        <v>0.97</v>
      </c>
      <c r="G1913" s="310"/>
      <c r="H1913" s="310">
        <v>1.05</v>
      </c>
      <c r="I1913" s="295">
        <f t="shared" si="227"/>
        <v>2.0369999999999999</v>
      </c>
      <c r="J1913" s="295"/>
      <c r="K1913" s="300">
        <f t="shared" si="230"/>
        <v>1.1000000000000001</v>
      </c>
      <c r="L1913" s="300">
        <f t="shared" si="226"/>
        <v>0</v>
      </c>
      <c r="M1913" s="285">
        <f t="shared" si="228"/>
        <v>0</v>
      </c>
      <c r="N1913" s="1076">
        <f t="shared" si="229"/>
        <v>0</v>
      </c>
      <c r="O1913" s="294"/>
      <c r="P1913" s="404"/>
      <c r="Q1913" s="404"/>
      <c r="R1913" s="301"/>
      <c r="S1913" s="301"/>
      <c r="T1913" s="301"/>
      <c r="U1913" s="301"/>
      <c r="V1913" s="301"/>
    </row>
    <row r="1914" spans="1:22" ht="14.4" thickTop="1" thickBot="1" x14ac:dyDescent="0.3">
      <c r="A1914" s="292"/>
      <c r="B1914" s="293"/>
      <c r="C1914" s="294"/>
      <c r="D1914" s="294"/>
      <c r="E1914" s="294">
        <v>2</v>
      </c>
      <c r="F1914" s="310">
        <v>7.35</v>
      </c>
      <c r="G1914" s="310"/>
      <c r="H1914" s="310">
        <v>1.05</v>
      </c>
      <c r="I1914" s="295">
        <f t="shared" si="227"/>
        <v>15.435</v>
      </c>
      <c r="J1914" s="295"/>
      <c r="K1914" s="300">
        <f t="shared" si="230"/>
        <v>1.1000000000000001</v>
      </c>
      <c r="L1914" s="300">
        <f t="shared" si="226"/>
        <v>0</v>
      </c>
      <c r="M1914" s="285">
        <f t="shared" si="228"/>
        <v>0</v>
      </c>
      <c r="N1914" s="1076">
        <f t="shared" si="229"/>
        <v>0</v>
      </c>
      <c r="O1914" s="294"/>
      <c r="P1914" s="404"/>
      <c r="Q1914" s="404"/>
      <c r="R1914" s="301"/>
      <c r="S1914" s="301"/>
      <c r="T1914" s="301"/>
      <c r="U1914" s="301"/>
      <c r="V1914" s="301"/>
    </row>
    <row r="1915" spans="1:22" ht="14.4" thickTop="1" thickBot="1" x14ac:dyDescent="0.3">
      <c r="A1915" s="292"/>
      <c r="B1915" s="293"/>
      <c r="C1915" s="294"/>
      <c r="D1915" s="294"/>
      <c r="E1915" s="294">
        <v>2</v>
      </c>
      <c r="F1915" s="310">
        <v>15</v>
      </c>
      <c r="G1915" s="310"/>
      <c r="H1915" s="310">
        <v>1.05</v>
      </c>
      <c r="I1915" s="295">
        <f t="shared" si="227"/>
        <v>31.5</v>
      </c>
      <c r="J1915" s="295"/>
      <c r="K1915" s="300">
        <f t="shared" si="230"/>
        <v>1.1000000000000001</v>
      </c>
      <c r="L1915" s="300">
        <f t="shared" si="226"/>
        <v>0</v>
      </c>
      <c r="M1915" s="285">
        <f t="shared" si="228"/>
        <v>0</v>
      </c>
      <c r="N1915" s="1076">
        <f t="shared" si="229"/>
        <v>0</v>
      </c>
      <c r="O1915" s="294"/>
      <c r="P1915" s="404"/>
      <c r="Q1915" s="404"/>
      <c r="R1915" s="301"/>
      <c r="S1915" s="301"/>
      <c r="T1915" s="301"/>
      <c r="U1915" s="301"/>
      <c r="V1915" s="301"/>
    </row>
    <row r="1916" spans="1:22" ht="14.4" thickTop="1" thickBot="1" x14ac:dyDescent="0.3">
      <c r="A1916" s="292"/>
      <c r="B1916" s="293"/>
      <c r="C1916" s="294"/>
      <c r="D1916" s="294"/>
      <c r="E1916" s="294">
        <v>2</v>
      </c>
      <c r="F1916" s="310">
        <v>7.3</v>
      </c>
      <c r="G1916" s="310"/>
      <c r="H1916" s="310">
        <v>1.05</v>
      </c>
      <c r="I1916" s="295">
        <f t="shared" si="227"/>
        <v>15.33</v>
      </c>
      <c r="J1916" s="295"/>
      <c r="K1916" s="300">
        <f t="shared" si="230"/>
        <v>1.1000000000000001</v>
      </c>
      <c r="L1916" s="300">
        <f t="shared" si="226"/>
        <v>0</v>
      </c>
      <c r="M1916" s="285">
        <f t="shared" si="228"/>
        <v>0</v>
      </c>
      <c r="N1916" s="1076">
        <f t="shared" si="229"/>
        <v>0</v>
      </c>
      <c r="O1916" s="294"/>
      <c r="P1916" s="404"/>
      <c r="Q1916" s="404"/>
      <c r="R1916" s="301"/>
      <c r="S1916" s="301"/>
      <c r="T1916" s="301"/>
      <c r="U1916" s="301"/>
      <c r="V1916" s="301"/>
    </row>
    <row r="1917" spans="1:22" ht="14.4" thickTop="1" thickBot="1" x14ac:dyDescent="0.3">
      <c r="A1917" s="292"/>
      <c r="B1917" s="293"/>
      <c r="C1917" s="294"/>
      <c r="D1917" s="294"/>
      <c r="E1917" s="294"/>
      <c r="F1917" s="310"/>
      <c r="G1917" s="310"/>
      <c r="H1917" s="310"/>
      <c r="I1917" s="295">
        <f t="shared" si="227"/>
        <v>0</v>
      </c>
      <c r="J1917" s="295"/>
      <c r="K1917" s="300">
        <f t="shared" si="230"/>
        <v>1.1000000000000001</v>
      </c>
      <c r="L1917" s="300">
        <f t="shared" si="226"/>
        <v>0</v>
      </c>
      <c r="M1917" s="285">
        <f t="shared" si="228"/>
        <v>0</v>
      </c>
      <c r="N1917" s="1076">
        <f t="shared" si="229"/>
        <v>0</v>
      </c>
      <c r="O1917" s="294"/>
      <c r="P1917" s="404"/>
      <c r="Q1917" s="404"/>
      <c r="R1917" s="301"/>
      <c r="S1917" s="301"/>
      <c r="T1917" s="301"/>
      <c r="U1917" s="301"/>
      <c r="V1917" s="301"/>
    </row>
    <row r="1918" spans="1:22" ht="14.4" thickTop="1" thickBot="1" x14ac:dyDescent="0.3">
      <c r="A1918" s="292"/>
      <c r="B1918" s="293"/>
      <c r="C1918" s="294"/>
      <c r="D1918" s="294"/>
      <c r="E1918" s="294">
        <v>1</v>
      </c>
      <c r="F1918" s="310">
        <v>66.132000000000005</v>
      </c>
      <c r="G1918" s="310"/>
      <c r="H1918" s="310">
        <v>4.9000000000000004</v>
      </c>
      <c r="I1918" s="295">
        <f t="shared" si="227"/>
        <v>324.04680000000008</v>
      </c>
      <c r="J1918" s="295"/>
      <c r="K1918" s="300">
        <f t="shared" si="230"/>
        <v>1.1000000000000001</v>
      </c>
      <c r="L1918" s="300">
        <f t="shared" si="226"/>
        <v>0</v>
      </c>
      <c r="M1918" s="285">
        <f t="shared" si="228"/>
        <v>0</v>
      </c>
      <c r="N1918" s="1076">
        <f t="shared" si="229"/>
        <v>0</v>
      </c>
      <c r="O1918" s="294"/>
      <c r="P1918" s="404"/>
      <c r="Q1918" s="404"/>
      <c r="R1918" s="301"/>
      <c r="S1918" s="301"/>
      <c r="T1918" s="301"/>
      <c r="U1918" s="301"/>
      <c r="V1918" s="301"/>
    </row>
    <row r="1919" spans="1:22" ht="14.4" thickTop="1" thickBot="1" x14ac:dyDescent="0.3">
      <c r="A1919" s="292"/>
      <c r="B1919" s="293"/>
      <c r="C1919" s="294"/>
      <c r="D1919" s="294"/>
      <c r="E1919" s="294">
        <v>1</v>
      </c>
      <c r="F1919" s="310">
        <v>39.146000000000001</v>
      </c>
      <c r="G1919" s="310"/>
      <c r="H1919" s="310">
        <v>4.9000000000000004</v>
      </c>
      <c r="I1919" s="295">
        <f t="shared" si="227"/>
        <v>191.81540000000001</v>
      </c>
      <c r="J1919" s="295"/>
      <c r="K1919" s="300">
        <f t="shared" si="230"/>
        <v>1.1000000000000001</v>
      </c>
      <c r="L1919" s="300">
        <f t="shared" si="226"/>
        <v>0</v>
      </c>
      <c r="M1919" s="285">
        <f t="shared" si="228"/>
        <v>0</v>
      </c>
      <c r="N1919" s="1076">
        <f t="shared" si="229"/>
        <v>0</v>
      </c>
      <c r="O1919" s="294"/>
      <c r="P1919" s="404"/>
      <c r="Q1919" s="404"/>
      <c r="R1919" s="301"/>
      <c r="S1919" s="301"/>
      <c r="T1919" s="301"/>
      <c r="U1919" s="301"/>
      <c r="V1919" s="301"/>
    </row>
    <row r="1920" spans="1:22" ht="14.4" thickTop="1" thickBot="1" x14ac:dyDescent="0.3">
      <c r="A1920" s="292"/>
      <c r="B1920" s="293"/>
      <c r="C1920" s="294"/>
      <c r="D1920" s="294"/>
      <c r="E1920" s="294">
        <v>1</v>
      </c>
      <c r="F1920" s="310">
        <v>18.3</v>
      </c>
      <c r="G1920" s="310"/>
      <c r="H1920" s="310">
        <v>5.5</v>
      </c>
      <c r="I1920" s="295">
        <f t="shared" si="227"/>
        <v>100.65</v>
      </c>
      <c r="J1920" s="295"/>
      <c r="K1920" s="300">
        <f t="shared" si="230"/>
        <v>1.1000000000000001</v>
      </c>
      <c r="L1920" s="300">
        <f t="shared" si="226"/>
        <v>0</v>
      </c>
      <c r="M1920" s="285">
        <f t="shared" si="228"/>
        <v>0</v>
      </c>
      <c r="N1920" s="1076">
        <f t="shared" si="229"/>
        <v>0</v>
      </c>
      <c r="O1920" s="294"/>
      <c r="P1920" s="404"/>
      <c r="Q1920" s="404"/>
      <c r="R1920" s="301"/>
      <c r="S1920" s="301"/>
      <c r="T1920" s="301"/>
      <c r="U1920" s="301"/>
      <c r="V1920" s="301"/>
    </row>
    <row r="1921" spans="1:22" ht="14.4" thickTop="1" thickBot="1" x14ac:dyDescent="0.3">
      <c r="A1921" s="292"/>
      <c r="B1921" s="293"/>
      <c r="C1921" s="294"/>
      <c r="D1921" s="294"/>
      <c r="E1921" s="294"/>
      <c r="F1921" s="310"/>
      <c r="G1921" s="310"/>
      <c r="H1921" s="310"/>
      <c r="I1921" s="295"/>
      <c r="J1921" s="295">
        <f>SUM(I1903:I1920)</f>
        <v>833.25530000000015</v>
      </c>
      <c r="K1921" s="300">
        <f t="shared" si="230"/>
        <v>1.1000000000000001</v>
      </c>
      <c r="L1921" s="300">
        <f t="shared" si="226"/>
        <v>916.58083000000022</v>
      </c>
      <c r="M1921" s="285">
        <f t="shared" si="228"/>
        <v>916.6</v>
      </c>
      <c r="N1921" s="1076">
        <f t="shared" si="229"/>
        <v>917</v>
      </c>
      <c r="O1921" s="294" t="s">
        <v>695</v>
      </c>
      <c r="P1921" s="404"/>
      <c r="Q1921" s="404"/>
      <c r="R1921" s="301"/>
      <c r="S1921" s="301"/>
      <c r="T1921" s="301"/>
      <c r="U1921" s="301"/>
      <c r="V1921" s="301"/>
    </row>
    <row r="1922" spans="1:22" ht="14.4" thickTop="1" thickBot="1" x14ac:dyDescent="0.3">
      <c r="A1922" s="292"/>
      <c r="B1922" s="293"/>
      <c r="C1922" s="294"/>
      <c r="D1922" s="294"/>
      <c r="E1922" s="294"/>
      <c r="F1922" s="310"/>
      <c r="G1922" s="310"/>
      <c r="H1922" s="310"/>
      <c r="I1922" s="295"/>
      <c r="J1922" s="295">
        <f>J1921*10.76</f>
        <v>8965.8270280000015</v>
      </c>
      <c r="K1922" s="300">
        <f t="shared" si="230"/>
        <v>1.1000000000000001</v>
      </c>
      <c r="L1922" s="300">
        <f t="shared" si="226"/>
        <v>9862.4097308000019</v>
      </c>
      <c r="M1922" s="285">
        <f t="shared" si="228"/>
        <v>9862.4</v>
      </c>
      <c r="N1922" s="1076">
        <f t="shared" si="229"/>
        <v>9863</v>
      </c>
      <c r="O1922" s="294" t="s">
        <v>1846</v>
      </c>
      <c r="P1922" s="404"/>
      <c r="Q1922" s="404"/>
      <c r="R1922" s="301"/>
      <c r="S1922" s="301"/>
      <c r="T1922" s="301"/>
      <c r="U1922" s="301"/>
      <c r="V1922" s="301"/>
    </row>
    <row r="1923" spans="1:22" ht="14.4" thickTop="1" thickBot="1" x14ac:dyDescent="0.3">
      <c r="A1923" s="292"/>
      <c r="B1923" s="293"/>
      <c r="C1923" s="294"/>
      <c r="D1923" s="294"/>
      <c r="E1923" s="294"/>
      <c r="F1923" s="310"/>
      <c r="G1923" s="310"/>
      <c r="H1923" s="310"/>
      <c r="I1923" s="295"/>
      <c r="J1923" s="295">
        <f>J1922/100</f>
        <v>89.658270280000011</v>
      </c>
      <c r="K1923" s="300">
        <v>1.01</v>
      </c>
      <c r="L1923" s="300">
        <f t="shared" si="226"/>
        <v>90.554852982800014</v>
      </c>
      <c r="M1923" s="285">
        <f t="shared" si="228"/>
        <v>90.6</v>
      </c>
      <c r="N1923" s="1076">
        <f t="shared" si="229"/>
        <v>91</v>
      </c>
      <c r="O1923" s="294" t="s">
        <v>879</v>
      </c>
      <c r="P1923" s="404"/>
      <c r="Q1923" s="404"/>
      <c r="R1923" s="301"/>
      <c r="S1923" s="301"/>
      <c r="T1923" s="301"/>
      <c r="U1923" s="301"/>
      <c r="V1923" s="301"/>
    </row>
    <row r="1924" spans="1:22" ht="14.4" thickTop="1" thickBot="1" x14ac:dyDescent="0.3">
      <c r="A1924" s="292"/>
      <c r="B1924" s="293"/>
      <c r="C1924" s="294"/>
      <c r="D1924" s="294"/>
      <c r="E1924" s="294"/>
      <c r="F1924" s="310"/>
      <c r="G1924" s="310"/>
      <c r="H1924" s="310"/>
      <c r="I1924" s="295"/>
      <c r="J1924" s="295"/>
      <c r="K1924" s="300">
        <f t="shared" si="230"/>
        <v>1.1000000000000001</v>
      </c>
      <c r="L1924" s="300">
        <f t="shared" si="226"/>
        <v>0</v>
      </c>
      <c r="M1924" s="285">
        <f t="shared" si="228"/>
        <v>0</v>
      </c>
      <c r="N1924" s="1076">
        <f t="shared" si="229"/>
        <v>0</v>
      </c>
      <c r="O1924" s="294"/>
      <c r="P1924" s="404"/>
      <c r="Q1924" s="404"/>
      <c r="R1924" s="301"/>
      <c r="S1924" s="301"/>
      <c r="T1924" s="301"/>
      <c r="U1924" s="301"/>
      <c r="V1924" s="301"/>
    </row>
    <row r="1925" spans="1:22" ht="14.4" thickTop="1" thickBot="1" x14ac:dyDescent="0.3">
      <c r="A1925" s="292"/>
      <c r="B1925" s="293" t="s">
        <v>1885</v>
      </c>
      <c r="C1925" s="294"/>
      <c r="D1925" s="294"/>
      <c r="E1925" s="294"/>
      <c r="F1925" s="310"/>
      <c r="G1925" s="310"/>
      <c r="H1925" s="310"/>
      <c r="I1925" s="295"/>
      <c r="J1925" s="295"/>
      <c r="K1925" s="300">
        <f t="shared" si="230"/>
        <v>1.1000000000000001</v>
      </c>
      <c r="L1925" s="300">
        <f t="shared" si="226"/>
        <v>0</v>
      </c>
      <c r="M1925" s="285">
        <f t="shared" si="228"/>
        <v>0</v>
      </c>
      <c r="N1925" s="1076">
        <f t="shared" si="229"/>
        <v>0</v>
      </c>
      <c r="O1925" s="294"/>
      <c r="P1925" s="404"/>
      <c r="Q1925" s="404"/>
      <c r="R1925" s="301"/>
      <c r="S1925" s="301"/>
      <c r="T1925" s="301"/>
      <c r="U1925" s="301"/>
      <c r="V1925" s="301"/>
    </row>
    <row r="1926" spans="1:22" ht="14.4" thickTop="1" thickBot="1" x14ac:dyDescent="0.3">
      <c r="A1926" s="292"/>
      <c r="B1926" s="296" t="s">
        <v>769</v>
      </c>
      <c r="C1926" s="294"/>
      <c r="D1926" s="294"/>
      <c r="E1926" s="294">
        <v>10</v>
      </c>
      <c r="F1926" s="310">
        <f>(0.9+0.9+0.9+0.9)</f>
        <v>3.6</v>
      </c>
      <c r="G1926" s="310"/>
      <c r="H1926" s="310"/>
      <c r="I1926" s="295">
        <f>F1926*E1926</f>
        <v>36</v>
      </c>
      <c r="J1926" s="295"/>
      <c r="K1926" s="300">
        <f t="shared" si="230"/>
        <v>1.1000000000000001</v>
      </c>
      <c r="L1926" s="300">
        <f t="shared" si="226"/>
        <v>0</v>
      </c>
      <c r="M1926" s="285">
        <f t="shared" si="228"/>
        <v>0</v>
      </c>
      <c r="N1926" s="1076">
        <f t="shared" si="229"/>
        <v>0</v>
      </c>
      <c r="O1926" s="294"/>
      <c r="P1926" s="404"/>
      <c r="Q1926" s="404"/>
      <c r="R1926" s="301"/>
      <c r="S1926" s="301"/>
      <c r="T1926" s="301"/>
      <c r="U1926" s="301"/>
      <c r="V1926" s="301"/>
    </row>
    <row r="1927" spans="1:22" ht="14.4" thickTop="1" thickBot="1" x14ac:dyDescent="0.3">
      <c r="A1927" s="292"/>
      <c r="B1927" s="296" t="s">
        <v>792</v>
      </c>
      <c r="C1927" s="294"/>
      <c r="D1927" s="294"/>
      <c r="E1927" s="294">
        <v>1</v>
      </c>
      <c r="F1927" s="310">
        <f>(1.05+2.4+2.4)</f>
        <v>5.85</v>
      </c>
      <c r="G1927" s="310"/>
      <c r="H1927" s="310"/>
      <c r="I1927" s="295">
        <f t="shared" ref="I1927:I1929" si="231">F1927*E1927</f>
        <v>5.85</v>
      </c>
      <c r="J1927" s="295"/>
      <c r="K1927" s="300">
        <f t="shared" si="230"/>
        <v>1.1000000000000001</v>
      </c>
      <c r="L1927" s="300">
        <f t="shared" si="226"/>
        <v>0</v>
      </c>
      <c r="M1927" s="285">
        <f t="shared" si="228"/>
        <v>0</v>
      </c>
      <c r="N1927" s="1076">
        <f t="shared" si="229"/>
        <v>0</v>
      </c>
      <c r="O1927" s="294"/>
      <c r="P1927" s="404"/>
      <c r="Q1927" s="404"/>
      <c r="R1927" s="301"/>
      <c r="S1927" s="301"/>
      <c r="T1927" s="301"/>
      <c r="U1927" s="301"/>
      <c r="V1927" s="301"/>
    </row>
    <row r="1928" spans="1:22" ht="14.4" thickTop="1" thickBot="1" x14ac:dyDescent="0.3">
      <c r="A1928" s="292"/>
      <c r="B1928" s="296" t="s">
        <v>770</v>
      </c>
      <c r="C1928" s="294"/>
      <c r="D1928" s="294"/>
      <c r="E1928" s="294">
        <v>5</v>
      </c>
      <c r="F1928" s="310">
        <f>(0.9+2.7+2.7)</f>
        <v>6.3000000000000007</v>
      </c>
      <c r="G1928" s="310"/>
      <c r="H1928" s="310"/>
      <c r="I1928" s="295">
        <f t="shared" si="231"/>
        <v>31.500000000000004</v>
      </c>
      <c r="J1928" s="295"/>
      <c r="K1928" s="300">
        <f t="shared" si="230"/>
        <v>1.1000000000000001</v>
      </c>
      <c r="L1928" s="300">
        <f t="shared" si="226"/>
        <v>0</v>
      </c>
      <c r="M1928" s="285">
        <f t="shared" si="228"/>
        <v>0</v>
      </c>
      <c r="N1928" s="1076">
        <f t="shared" si="229"/>
        <v>0</v>
      </c>
      <c r="O1928" s="294"/>
      <c r="P1928" s="404"/>
      <c r="Q1928" s="404"/>
      <c r="R1928" s="301"/>
      <c r="S1928" s="301"/>
      <c r="T1928" s="301"/>
      <c r="U1928" s="301"/>
      <c r="V1928" s="301"/>
    </row>
    <row r="1929" spans="1:22" ht="14.4" thickTop="1" thickBot="1" x14ac:dyDescent="0.3">
      <c r="A1929" s="292"/>
      <c r="B1929" s="296" t="s">
        <v>766</v>
      </c>
      <c r="C1929" s="294"/>
      <c r="D1929" s="294"/>
      <c r="E1929" s="294">
        <v>9</v>
      </c>
      <c r="F1929" s="310">
        <f>(0.55+0.55+1.2+1.2)</f>
        <v>3.5</v>
      </c>
      <c r="G1929" s="310"/>
      <c r="H1929" s="310"/>
      <c r="I1929" s="295">
        <f t="shared" si="231"/>
        <v>31.5</v>
      </c>
      <c r="J1929" s="295">
        <f>SUM(I1926:I1929)</f>
        <v>104.85000000000001</v>
      </c>
      <c r="K1929" s="300">
        <f t="shared" si="230"/>
        <v>1.1000000000000001</v>
      </c>
      <c r="L1929" s="300">
        <f t="shared" si="226"/>
        <v>115.33500000000002</v>
      </c>
      <c r="M1929" s="285">
        <f t="shared" si="228"/>
        <v>115.3</v>
      </c>
      <c r="N1929" s="1076">
        <f t="shared" si="229"/>
        <v>116</v>
      </c>
      <c r="O1929" s="294"/>
      <c r="P1929" s="404"/>
      <c r="Q1929" s="404"/>
      <c r="R1929" s="301"/>
      <c r="S1929" s="301"/>
      <c r="T1929" s="301"/>
      <c r="U1929" s="301"/>
      <c r="V1929" s="301"/>
    </row>
    <row r="1930" spans="1:22" ht="14.4" thickTop="1" thickBot="1" x14ac:dyDescent="0.3">
      <c r="A1930" s="292"/>
      <c r="B1930" s="293"/>
      <c r="C1930" s="294"/>
      <c r="D1930" s="294"/>
      <c r="E1930" s="294"/>
      <c r="F1930" s="310"/>
      <c r="G1930" s="310"/>
      <c r="H1930" s="310"/>
      <c r="I1930" s="295"/>
      <c r="J1930" s="295">
        <f>J1929*3.28</f>
        <v>343.90800000000002</v>
      </c>
      <c r="K1930" s="300">
        <f t="shared" si="230"/>
        <v>1.1000000000000001</v>
      </c>
      <c r="L1930" s="300">
        <f t="shared" si="226"/>
        <v>378.29880000000003</v>
      </c>
      <c r="M1930" s="285">
        <f t="shared" si="228"/>
        <v>378.3</v>
      </c>
      <c r="N1930" s="1076">
        <f t="shared" si="229"/>
        <v>379</v>
      </c>
      <c r="O1930" s="294"/>
      <c r="P1930" s="404"/>
      <c r="Q1930" s="404"/>
      <c r="R1930" s="301"/>
      <c r="S1930" s="301"/>
      <c r="T1930" s="301"/>
      <c r="U1930" s="301"/>
      <c r="V1930" s="301"/>
    </row>
    <row r="1931" spans="1:22" ht="14.4" thickTop="1" thickBot="1" x14ac:dyDescent="0.3">
      <c r="A1931" s="292"/>
      <c r="B1931" s="293" t="s">
        <v>1886</v>
      </c>
      <c r="C1931" s="294"/>
      <c r="D1931" s="294"/>
      <c r="E1931" s="294"/>
      <c r="F1931" s="310"/>
      <c r="G1931" s="310"/>
      <c r="H1931" s="310"/>
      <c r="I1931" s="295"/>
      <c r="J1931" s="295"/>
      <c r="K1931" s="300">
        <f t="shared" si="230"/>
        <v>1.1000000000000001</v>
      </c>
      <c r="L1931" s="300">
        <f t="shared" si="226"/>
        <v>0</v>
      </c>
      <c r="M1931" s="285">
        <f t="shared" si="228"/>
        <v>0</v>
      </c>
      <c r="N1931" s="1076">
        <f t="shared" si="229"/>
        <v>0</v>
      </c>
      <c r="O1931" s="294"/>
      <c r="P1931" s="404"/>
      <c r="Q1931" s="404"/>
      <c r="R1931" s="301"/>
      <c r="S1931" s="301"/>
      <c r="T1931" s="301"/>
      <c r="U1931" s="301"/>
      <c r="V1931" s="301"/>
    </row>
    <row r="1932" spans="1:22" ht="14.4" thickTop="1" thickBot="1" x14ac:dyDescent="0.3">
      <c r="A1932" s="292"/>
      <c r="B1932" s="293" t="s">
        <v>766</v>
      </c>
      <c r="C1932" s="294"/>
      <c r="D1932" s="294"/>
      <c r="E1932" s="294">
        <v>6</v>
      </c>
      <c r="F1932" s="310">
        <f>F1929</f>
        <v>3.5</v>
      </c>
      <c r="G1932" s="310"/>
      <c r="H1932" s="310"/>
      <c r="I1932" s="295">
        <f>F1932*E1932</f>
        <v>21</v>
      </c>
      <c r="J1932" s="295"/>
      <c r="K1932" s="300">
        <f t="shared" si="230"/>
        <v>1.1000000000000001</v>
      </c>
      <c r="L1932" s="300">
        <f t="shared" si="226"/>
        <v>0</v>
      </c>
      <c r="M1932" s="285">
        <f t="shared" si="228"/>
        <v>0</v>
      </c>
      <c r="N1932" s="1076">
        <f t="shared" si="229"/>
        <v>0</v>
      </c>
      <c r="O1932" s="294"/>
      <c r="P1932" s="404"/>
      <c r="Q1932" s="404"/>
      <c r="R1932" s="301"/>
      <c r="S1932" s="301"/>
      <c r="T1932" s="301"/>
      <c r="U1932" s="301"/>
      <c r="V1932" s="301"/>
    </row>
    <row r="1933" spans="1:22" ht="14.4" thickTop="1" thickBot="1" x14ac:dyDescent="0.3">
      <c r="A1933" s="292"/>
      <c r="B1933" s="293" t="s">
        <v>811</v>
      </c>
      <c r="C1933" s="294"/>
      <c r="D1933" s="294"/>
      <c r="E1933" s="294">
        <v>18</v>
      </c>
      <c r="F1933" s="310">
        <f>(3+2.7+2.7)</f>
        <v>8.4</v>
      </c>
      <c r="G1933" s="310"/>
      <c r="H1933" s="310"/>
      <c r="I1933" s="295">
        <f t="shared" ref="I1933:I1935" si="232">F1933*E1933</f>
        <v>151.20000000000002</v>
      </c>
      <c r="J1933" s="295"/>
      <c r="K1933" s="300">
        <f t="shared" si="230"/>
        <v>1.1000000000000001</v>
      </c>
      <c r="L1933" s="300">
        <f t="shared" si="226"/>
        <v>0</v>
      </c>
      <c r="M1933" s="285">
        <f t="shared" si="228"/>
        <v>0</v>
      </c>
      <c r="N1933" s="1076">
        <f t="shared" si="229"/>
        <v>0</v>
      </c>
      <c r="O1933" s="294"/>
      <c r="P1933" s="404"/>
      <c r="Q1933" s="404"/>
      <c r="R1933" s="301"/>
      <c r="S1933" s="301"/>
      <c r="T1933" s="301"/>
      <c r="U1933" s="301"/>
      <c r="V1933" s="301"/>
    </row>
    <row r="1934" spans="1:22" ht="14.4" thickTop="1" thickBot="1" x14ac:dyDescent="0.3">
      <c r="A1934" s="292"/>
      <c r="B1934" s="293" t="s">
        <v>769</v>
      </c>
      <c r="C1934" s="294"/>
      <c r="D1934" s="294"/>
      <c r="E1934" s="294">
        <v>3</v>
      </c>
      <c r="F1934" s="310">
        <f>F1926</f>
        <v>3.6</v>
      </c>
      <c r="G1934" s="310"/>
      <c r="H1934" s="310"/>
      <c r="I1934" s="295">
        <f t="shared" si="232"/>
        <v>10.8</v>
      </c>
      <c r="J1934" s="295"/>
      <c r="K1934" s="300">
        <f t="shared" si="230"/>
        <v>1.1000000000000001</v>
      </c>
      <c r="L1934" s="300">
        <f t="shared" si="226"/>
        <v>0</v>
      </c>
      <c r="M1934" s="285">
        <f t="shared" si="228"/>
        <v>0</v>
      </c>
      <c r="N1934" s="1076">
        <f t="shared" si="229"/>
        <v>0</v>
      </c>
      <c r="O1934" s="294"/>
      <c r="P1934" s="404"/>
      <c r="Q1934" s="404"/>
      <c r="R1934" s="301"/>
      <c r="S1934" s="301"/>
      <c r="T1934" s="301"/>
      <c r="U1934" s="301"/>
      <c r="V1934" s="301"/>
    </row>
    <row r="1935" spans="1:22" ht="14.4" thickTop="1" thickBot="1" x14ac:dyDescent="0.3">
      <c r="A1935" s="292"/>
      <c r="B1935" s="293" t="s">
        <v>770</v>
      </c>
      <c r="C1935" s="294"/>
      <c r="D1935" s="294"/>
      <c r="E1935" s="294">
        <v>2</v>
      </c>
      <c r="F1935" s="310">
        <f>F1928</f>
        <v>6.3000000000000007</v>
      </c>
      <c r="G1935" s="310"/>
      <c r="H1935" s="310"/>
      <c r="I1935" s="295">
        <f t="shared" si="232"/>
        <v>12.600000000000001</v>
      </c>
      <c r="J1935" s="295">
        <f>SUM(I1932:I1935)</f>
        <v>195.60000000000002</v>
      </c>
      <c r="K1935" s="300">
        <f t="shared" si="230"/>
        <v>1.1000000000000001</v>
      </c>
      <c r="L1935" s="300">
        <f t="shared" si="226"/>
        <v>215.16000000000005</v>
      </c>
      <c r="M1935" s="285">
        <f t="shared" si="228"/>
        <v>215.2</v>
      </c>
      <c r="N1935" s="1076">
        <f t="shared" si="229"/>
        <v>216</v>
      </c>
      <c r="O1935" s="294"/>
      <c r="P1935" s="404"/>
      <c r="Q1935" s="404"/>
      <c r="R1935" s="301"/>
      <c r="S1935" s="301"/>
      <c r="T1935" s="301"/>
      <c r="U1935" s="301"/>
      <c r="V1935" s="301"/>
    </row>
    <row r="1936" spans="1:22" ht="14.4" thickTop="1" thickBot="1" x14ac:dyDescent="0.3">
      <c r="A1936" s="292"/>
      <c r="B1936" s="293"/>
      <c r="C1936" s="294"/>
      <c r="D1936" s="294"/>
      <c r="E1936" s="294"/>
      <c r="F1936" s="310"/>
      <c r="G1936" s="310"/>
      <c r="H1936" s="310"/>
      <c r="I1936" s="295"/>
      <c r="J1936" s="295">
        <f>J1935*3.28</f>
        <v>641.56799999999998</v>
      </c>
      <c r="K1936" s="300">
        <f t="shared" si="230"/>
        <v>1.1000000000000001</v>
      </c>
      <c r="L1936" s="300">
        <f t="shared" si="226"/>
        <v>705.72480000000007</v>
      </c>
      <c r="M1936" s="285">
        <f t="shared" si="228"/>
        <v>705.7</v>
      </c>
      <c r="N1936" s="1076">
        <f t="shared" si="229"/>
        <v>706</v>
      </c>
      <c r="O1936" s="294"/>
      <c r="P1936" s="404"/>
      <c r="Q1936" s="404"/>
      <c r="R1936" s="301"/>
      <c r="S1936" s="301"/>
      <c r="T1936" s="301"/>
      <c r="U1936" s="301"/>
      <c r="V1936" s="301"/>
    </row>
    <row r="1937" spans="1:22" ht="14.4" thickTop="1" thickBot="1" x14ac:dyDescent="0.3">
      <c r="A1937" s="292"/>
      <c r="B1937" s="293" t="s">
        <v>1887</v>
      </c>
      <c r="C1937" s="294"/>
      <c r="D1937" s="294"/>
      <c r="E1937" s="294"/>
      <c r="F1937" s="310"/>
      <c r="G1937" s="310"/>
      <c r="H1937" s="310"/>
      <c r="I1937" s="295"/>
      <c r="J1937" s="295"/>
      <c r="K1937" s="300">
        <f t="shared" si="230"/>
        <v>1.1000000000000001</v>
      </c>
      <c r="L1937" s="300">
        <f t="shared" si="226"/>
        <v>0</v>
      </c>
      <c r="M1937" s="285">
        <f t="shared" si="228"/>
        <v>0</v>
      </c>
      <c r="N1937" s="1076">
        <f t="shared" si="229"/>
        <v>0</v>
      </c>
      <c r="O1937" s="294"/>
      <c r="P1937" s="404"/>
      <c r="Q1937" s="404"/>
      <c r="R1937" s="301"/>
      <c r="S1937" s="301"/>
      <c r="T1937" s="301"/>
      <c r="U1937" s="301"/>
      <c r="V1937" s="301"/>
    </row>
    <row r="1938" spans="1:22" ht="14.4" thickTop="1" thickBot="1" x14ac:dyDescent="0.3">
      <c r="A1938" s="292"/>
      <c r="B1938" s="293" t="s">
        <v>837</v>
      </c>
      <c r="C1938" s="294"/>
      <c r="D1938" s="294"/>
      <c r="E1938" s="294">
        <v>4</v>
      </c>
      <c r="F1938" s="310">
        <f>1.4+2.7+2.7</f>
        <v>6.8</v>
      </c>
      <c r="G1938" s="310"/>
      <c r="H1938" s="310"/>
      <c r="I1938" s="295">
        <f t="shared" ref="I1938:I1940" si="233">F1938*E1938</f>
        <v>27.2</v>
      </c>
      <c r="J1938" s="295"/>
      <c r="K1938" s="300">
        <f t="shared" si="230"/>
        <v>1.1000000000000001</v>
      </c>
      <c r="L1938" s="300">
        <f t="shared" si="226"/>
        <v>0</v>
      </c>
      <c r="M1938" s="285">
        <f t="shared" si="228"/>
        <v>0</v>
      </c>
      <c r="N1938" s="1076">
        <f t="shared" si="229"/>
        <v>0</v>
      </c>
      <c r="O1938" s="294"/>
      <c r="P1938" s="404"/>
      <c r="Q1938" s="404"/>
      <c r="R1938" s="301"/>
      <c r="S1938" s="301"/>
      <c r="T1938" s="301"/>
      <c r="U1938" s="301"/>
      <c r="V1938" s="301"/>
    </row>
    <row r="1939" spans="1:22" ht="14.4" thickTop="1" thickBot="1" x14ac:dyDescent="0.3">
      <c r="A1939" s="292"/>
      <c r="B1939" s="293" t="s">
        <v>769</v>
      </c>
      <c r="C1939" s="294"/>
      <c r="D1939" s="294"/>
      <c r="E1939" s="294">
        <v>2</v>
      </c>
      <c r="F1939" s="310">
        <f>F1934</f>
        <v>3.6</v>
      </c>
      <c r="G1939" s="310"/>
      <c r="H1939" s="310"/>
      <c r="I1939" s="295">
        <f t="shared" si="233"/>
        <v>7.2</v>
      </c>
      <c r="J1939" s="295"/>
      <c r="K1939" s="300">
        <f t="shared" si="230"/>
        <v>1.1000000000000001</v>
      </c>
      <c r="L1939" s="300">
        <f t="shared" si="226"/>
        <v>0</v>
      </c>
      <c r="M1939" s="285">
        <f t="shared" si="228"/>
        <v>0</v>
      </c>
      <c r="N1939" s="1076">
        <f t="shared" si="229"/>
        <v>0</v>
      </c>
      <c r="O1939" s="294"/>
      <c r="P1939" s="404"/>
      <c r="Q1939" s="404"/>
      <c r="R1939" s="301"/>
      <c r="S1939" s="301"/>
      <c r="T1939" s="301"/>
      <c r="U1939" s="301"/>
      <c r="V1939" s="301"/>
    </row>
    <row r="1940" spans="1:22" ht="14.4" thickTop="1" thickBot="1" x14ac:dyDescent="0.3">
      <c r="A1940" s="292"/>
      <c r="B1940" s="293" t="s">
        <v>770</v>
      </c>
      <c r="C1940" s="294"/>
      <c r="D1940" s="294"/>
      <c r="E1940" s="294">
        <v>2</v>
      </c>
      <c r="F1940" s="310">
        <f>F1935</f>
        <v>6.3000000000000007</v>
      </c>
      <c r="G1940" s="310"/>
      <c r="H1940" s="310"/>
      <c r="I1940" s="295">
        <f t="shared" si="233"/>
        <v>12.600000000000001</v>
      </c>
      <c r="J1940" s="295">
        <f>SUM(I1938:I1940)</f>
        <v>47</v>
      </c>
      <c r="K1940" s="300">
        <f t="shared" si="230"/>
        <v>1.1000000000000001</v>
      </c>
      <c r="L1940" s="300">
        <f t="shared" si="226"/>
        <v>51.7</v>
      </c>
      <c r="M1940" s="285">
        <f t="shared" si="228"/>
        <v>51.7</v>
      </c>
      <c r="N1940" s="1076">
        <f t="shared" si="229"/>
        <v>52</v>
      </c>
      <c r="O1940" s="294"/>
      <c r="P1940" s="404"/>
      <c r="Q1940" s="404"/>
      <c r="R1940" s="301"/>
      <c r="S1940" s="301"/>
      <c r="T1940" s="301"/>
      <c r="U1940" s="301"/>
      <c r="V1940" s="301"/>
    </row>
    <row r="1941" spans="1:22" ht="14.4" thickTop="1" thickBot="1" x14ac:dyDescent="0.3">
      <c r="A1941" s="292"/>
      <c r="B1941" s="293"/>
      <c r="C1941" s="294"/>
      <c r="D1941" s="294"/>
      <c r="E1941" s="294"/>
      <c r="F1941" s="310"/>
      <c r="G1941" s="310"/>
      <c r="H1941" s="310"/>
      <c r="I1941" s="295"/>
      <c r="J1941" s="295">
        <f>J1940*3.28</f>
        <v>154.16</v>
      </c>
      <c r="K1941" s="300">
        <f t="shared" si="230"/>
        <v>1.1000000000000001</v>
      </c>
      <c r="L1941" s="300">
        <f t="shared" si="226"/>
        <v>169.57600000000002</v>
      </c>
      <c r="M1941" s="285">
        <f t="shared" si="228"/>
        <v>169.6</v>
      </c>
      <c r="N1941" s="1076">
        <f t="shared" si="229"/>
        <v>170</v>
      </c>
      <c r="O1941" s="294"/>
      <c r="P1941" s="404"/>
      <c r="Q1941" s="404"/>
      <c r="R1941" s="301"/>
      <c r="S1941" s="301"/>
      <c r="T1941" s="301"/>
      <c r="U1941" s="301"/>
      <c r="V1941" s="301"/>
    </row>
    <row r="1942" spans="1:22" ht="14.4" thickTop="1" thickBot="1" x14ac:dyDescent="0.3">
      <c r="A1942" s="292"/>
      <c r="B1942" s="293"/>
      <c r="C1942" s="294"/>
      <c r="D1942" s="294"/>
      <c r="E1942" s="294"/>
      <c r="F1942" s="310"/>
      <c r="G1942" s="310"/>
      <c r="H1942" s="310"/>
      <c r="I1942" s="295"/>
      <c r="J1942" s="295"/>
      <c r="K1942" s="300">
        <f t="shared" si="230"/>
        <v>1.1000000000000001</v>
      </c>
      <c r="L1942" s="300">
        <f t="shared" si="226"/>
        <v>0</v>
      </c>
      <c r="M1942" s="285">
        <f t="shared" si="228"/>
        <v>0</v>
      </c>
      <c r="N1942" s="1076">
        <f t="shared" si="229"/>
        <v>0</v>
      </c>
      <c r="O1942" s="294"/>
      <c r="P1942" s="404"/>
      <c r="Q1942" s="404"/>
      <c r="R1942" s="301"/>
      <c r="S1942" s="301"/>
      <c r="T1942" s="301"/>
      <c r="U1942" s="301"/>
      <c r="V1942" s="301"/>
    </row>
    <row r="1943" spans="1:22" ht="14.4" thickTop="1" thickBot="1" x14ac:dyDescent="0.3">
      <c r="A1943" s="292"/>
      <c r="B1943" s="302" t="s">
        <v>812</v>
      </c>
      <c r="C1943" s="294"/>
      <c r="D1943" s="294"/>
      <c r="E1943" s="294"/>
      <c r="F1943" s="310"/>
      <c r="G1943" s="310"/>
      <c r="H1943" s="310"/>
      <c r="I1943" s="295"/>
      <c r="J1943" s="295"/>
      <c r="K1943" s="300">
        <f t="shared" si="230"/>
        <v>1.1000000000000001</v>
      </c>
      <c r="L1943" s="300">
        <f t="shared" si="226"/>
        <v>0</v>
      </c>
      <c r="M1943" s="285">
        <f t="shared" si="228"/>
        <v>0</v>
      </c>
      <c r="N1943" s="1076">
        <f t="shared" si="229"/>
        <v>0</v>
      </c>
      <c r="O1943" s="294"/>
      <c r="P1943" s="404"/>
      <c r="Q1943" s="404"/>
      <c r="R1943" s="301"/>
      <c r="S1943" s="301"/>
      <c r="T1943" s="301"/>
      <c r="U1943" s="301"/>
      <c r="V1943" s="301"/>
    </row>
    <row r="1944" spans="1:22" ht="14.4" thickTop="1" thickBot="1" x14ac:dyDescent="0.3">
      <c r="A1944" s="292"/>
      <c r="B1944" s="302"/>
      <c r="C1944" s="294"/>
      <c r="D1944" s="294"/>
      <c r="E1944" s="294"/>
      <c r="F1944" s="310"/>
      <c r="G1944" s="310"/>
      <c r="H1944" s="310"/>
      <c r="I1944" s="295"/>
      <c r="J1944" s="295"/>
      <c r="K1944" s="300"/>
      <c r="L1944" s="300"/>
      <c r="M1944" s="285"/>
      <c r="N1944" s="1076"/>
      <c r="O1944" s="294"/>
      <c r="P1944" s="404"/>
      <c r="Q1944" s="404"/>
      <c r="R1944" s="301"/>
      <c r="S1944" s="301"/>
      <c r="T1944" s="301"/>
      <c r="U1944" s="301"/>
      <c r="V1944" s="301"/>
    </row>
    <row r="1945" spans="1:22" ht="14.4" thickTop="1" thickBot="1" x14ac:dyDescent="0.3">
      <c r="A1945" s="292"/>
      <c r="B1945" s="296" t="s">
        <v>1897</v>
      </c>
      <c r="C1945" s="294"/>
      <c r="D1945" s="294"/>
      <c r="E1945" s="294"/>
      <c r="F1945" s="310"/>
      <c r="G1945" s="310"/>
      <c r="H1945" s="310"/>
      <c r="I1945" s="295"/>
      <c r="J1945" s="295"/>
      <c r="K1945" s="300"/>
      <c r="L1945" s="300"/>
      <c r="M1945" s="285"/>
      <c r="N1945" s="1076"/>
      <c r="O1945" s="294"/>
      <c r="P1945" s="404"/>
      <c r="Q1945" s="404"/>
      <c r="R1945" s="301"/>
      <c r="S1945" s="301"/>
      <c r="T1945" s="301"/>
      <c r="U1945" s="301"/>
      <c r="V1945" s="301"/>
    </row>
    <row r="1946" spans="1:22" ht="14.4" thickTop="1" thickBot="1" x14ac:dyDescent="0.3">
      <c r="A1946" s="292"/>
      <c r="B1946" s="296" t="s">
        <v>1888</v>
      </c>
      <c r="C1946" s="294"/>
      <c r="D1946" s="294"/>
      <c r="E1946" s="294">
        <v>1</v>
      </c>
      <c r="F1946" s="1129">
        <v>10.313000000000001</v>
      </c>
      <c r="G1946" s="310"/>
      <c r="H1946" s="310">
        <v>4.2</v>
      </c>
      <c r="I1946" s="295">
        <f>H1946*F1946*E1946</f>
        <v>43.314600000000006</v>
      </c>
      <c r="J1946" s="295"/>
      <c r="K1946" s="300">
        <f t="shared" si="230"/>
        <v>1.1000000000000001</v>
      </c>
      <c r="L1946" s="300">
        <f t="shared" si="226"/>
        <v>0</v>
      </c>
      <c r="M1946" s="285">
        <f t="shared" si="228"/>
        <v>0</v>
      </c>
      <c r="N1946" s="1076">
        <f t="shared" si="229"/>
        <v>0</v>
      </c>
      <c r="O1946" s="294"/>
      <c r="P1946" s="404"/>
      <c r="Q1946" s="404"/>
      <c r="R1946" s="301"/>
      <c r="S1946" s="301"/>
      <c r="T1946" s="301"/>
      <c r="U1946" s="301"/>
      <c r="V1946" s="301"/>
    </row>
    <row r="1947" spans="1:22" ht="14.4" thickTop="1" thickBot="1" x14ac:dyDescent="0.3">
      <c r="A1947" s="292"/>
      <c r="B1947" s="293"/>
      <c r="C1947" s="294"/>
      <c r="D1947" s="294"/>
      <c r="E1947" s="294">
        <v>1</v>
      </c>
      <c r="F1947" s="1129">
        <v>18.832999999999998</v>
      </c>
      <c r="G1947" s="310"/>
      <c r="H1947" s="310">
        <v>4.2</v>
      </c>
      <c r="I1947" s="295">
        <f t="shared" ref="I1947:I2006" si="234">H1947*F1947*E1947</f>
        <v>79.09859999999999</v>
      </c>
      <c r="J1947" s="295"/>
      <c r="K1947" s="300">
        <f t="shared" si="230"/>
        <v>1.1000000000000001</v>
      </c>
      <c r="L1947" s="300">
        <f t="shared" si="226"/>
        <v>0</v>
      </c>
      <c r="M1947" s="285">
        <f t="shared" si="228"/>
        <v>0</v>
      </c>
      <c r="N1947" s="1076">
        <f t="shared" si="229"/>
        <v>0</v>
      </c>
      <c r="O1947" s="294"/>
      <c r="P1947" s="404"/>
      <c r="Q1947" s="404"/>
      <c r="R1947" s="301"/>
      <c r="S1947" s="301"/>
      <c r="T1947" s="301"/>
      <c r="U1947" s="301"/>
      <c r="V1947" s="301"/>
    </row>
    <row r="1948" spans="1:22" ht="14.4" thickTop="1" thickBot="1" x14ac:dyDescent="0.3">
      <c r="A1948" s="292"/>
      <c r="B1948" s="293"/>
      <c r="C1948" s="294"/>
      <c r="D1948" s="294"/>
      <c r="E1948" s="294">
        <v>2</v>
      </c>
      <c r="F1948" s="1129">
        <v>1.85</v>
      </c>
      <c r="G1948" s="310"/>
      <c r="H1948" s="310">
        <v>4.2</v>
      </c>
      <c r="I1948" s="295">
        <f t="shared" si="234"/>
        <v>15.540000000000001</v>
      </c>
      <c r="J1948" s="295"/>
      <c r="K1948" s="300">
        <f t="shared" si="230"/>
        <v>1.1000000000000001</v>
      </c>
      <c r="L1948" s="300">
        <f t="shared" si="226"/>
        <v>0</v>
      </c>
      <c r="M1948" s="285">
        <f t="shared" si="228"/>
        <v>0</v>
      </c>
      <c r="N1948" s="1076">
        <f t="shared" si="229"/>
        <v>0</v>
      </c>
      <c r="O1948" s="294"/>
      <c r="P1948" s="404"/>
      <c r="Q1948" s="404"/>
      <c r="R1948" s="301"/>
      <c r="S1948" s="301"/>
      <c r="T1948" s="301"/>
      <c r="U1948" s="301"/>
      <c r="V1948" s="301"/>
    </row>
    <row r="1949" spans="1:22" ht="14.4" thickTop="1" thickBot="1" x14ac:dyDescent="0.3">
      <c r="A1949" s="292"/>
      <c r="B1949" s="293"/>
      <c r="C1949" s="294"/>
      <c r="D1949" s="294"/>
      <c r="E1949" s="294">
        <v>1</v>
      </c>
      <c r="F1949" s="1129">
        <v>7.2</v>
      </c>
      <c r="G1949" s="310"/>
      <c r="H1949" s="310">
        <v>4.2</v>
      </c>
      <c r="I1949" s="295">
        <f t="shared" si="234"/>
        <v>30.240000000000002</v>
      </c>
      <c r="J1949" s="295"/>
      <c r="K1949" s="300">
        <f t="shared" si="230"/>
        <v>1.1000000000000001</v>
      </c>
      <c r="L1949" s="300">
        <f t="shared" si="226"/>
        <v>0</v>
      </c>
      <c r="M1949" s="285">
        <f t="shared" si="228"/>
        <v>0</v>
      </c>
      <c r="N1949" s="1076">
        <f t="shared" si="229"/>
        <v>0</v>
      </c>
      <c r="O1949" s="294"/>
      <c r="P1949" s="404"/>
      <c r="Q1949" s="404"/>
      <c r="R1949" s="301"/>
      <c r="S1949" s="301"/>
      <c r="T1949" s="301"/>
      <c r="U1949" s="301"/>
      <c r="V1949" s="301"/>
    </row>
    <row r="1950" spans="1:22" ht="14.4" thickTop="1" thickBot="1" x14ac:dyDescent="0.3">
      <c r="A1950" s="292"/>
      <c r="B1950" s="293"/>
      <c r="C1950" s="294"/>
      <c r="D1950" s="294"/>
      <c r="E1950" s="294">
        <v>1</v>
      </c>
      <c r="F1950" s="1129">
        <v>12.67</v>
      </c>
      <c r="G1950" s="310"/>
      <c r="H1950" s="310">
        <v>4.2</v>
      </c>
      <c r="I1950" s="295">
        <f t="shared" si="234"/>
        <v>53.213999999999999</v>
      </c>
      <c r="J1950" s="295"/>
      <c r="K1950" s="300">
        <f t="shared" si="230"/>
        <v>1.1000000000000001</v>
      </c>
      <c r="L1950" s="300">
        <f t="shared" si="226"/>
        <v>0</v>
      </c>
      <c r="M1950" s="285">
        <f t="shared" si="228"/>
        <v>0</v>
      </c>
      <c r="N1950" s="1076">
        <f t="shared" si="229"/>
        <v>0</v>
      </c>
      <c r="O1950" s="294"/>
      <c r="P1950" s="404"/>
      <c r="Q1950" s="404"/>
      <c r="R1950" s="301"/>
      <c r="S1950" s="301"/>
      <c r="T1950" s="301"/>
      <c r="U1950" s="301"/>
      <c r="V1950" s="301"/>
    </row>
    <row r="1951" spans="1:22" ht="14.4" thickTop="1" thickBot="1" x14ac:dyDescent="0.3">
      <c r="A1951" s="292"/>
      <c r="B1951" s="293"/>
      <c r="C1951" s="294"/>
      <c r="D1951" s="294"/>
      <c r="E1951" s="294">
        <v>1</v>
      </c>
      <c r="F1951" s="1129">
        <v>0.89900000000000002</v>
      </c>
      <c r="G1951" s="310"/>
      <c r="H1951" s="310">
        <v>4.2</v>
      </c>
      <c r="I1951" s="295">
        <f t="shared" si="234"/>
        <v>3.7758000000000003</v>
      </c>
      <c r="J1951" s="295"/>
      <c r="K1951" s="300">
        <f t="shared" si="230"/>
        <v>1.1000000000000001</v>
      </c>
      <c r="L1951" s="300">
        <f t="shared" si="226"/>
        <v>0</v>
      </c>
      <c r="M1951" s="285">
        <f t="shared" si="228"/>
        <v>0</v>
      </c>
      <c r="N1951" s="1076">
        <f t="shared" si="229"/>
        <v>0</v>
      </c>
      <c r="O1951" s="294"/>
      <c r="P1951" s="404"/>
      <c r="Q1951" s="404"/>
      <c r="R1951" s="301"/>
      <c r="S1951" s="301"/>
      <c r="T1951" s="301"/>
      <c r="U1951" s="301"/>
      <c r="V1951" s="301"/>
    </row>
    <row r="1952" spans="1:22" ht="14.4" thickTop="1" thickBot="1" x14ac:dyDescent="0.3">
      <c r="A1952" s="292"/>
      <c r="B1952" s="293"/>
      <c r="C1952" s="294"/>
      <c r="D1952" s="294"/>
      <c r="E1952" s="294">
        <v>1</v>
      </c>
      <c r="F1952" s="1129">
        <v>2.0550000000000002</v>
      </c>
      <c r="G1952" s="310"/>
      <c r="H1952" s="310">
        <v>4.2</v>
      </c>
      <c r="I1952" s="295">
        <f t="shared" si="234"/>
        <v>8.6310000000000002</v>
      </c>
      <c r="J1952" s="295"/>
      <c r="K1952" s="300">
        <f t="shared" si="230"/>
        <v>1.1000000000000001</v>
      </c>
      <c r="L1952" s="300">
        <f t="shared" si="226"/>
        <v>0</v>
      </c>
      <c r="M1952" s="285">
        <f t="shared" si="228"/>
        <v>0</v>
      </c>
      <c r="N1952" s="1076">
        <f t="shared" si="229"/>
        <v>0</v>
      </c>
      <c r="O1952" s="294"/>
      <c r="P1952" s="404"/>
      <c r="Q1952" s="404"/>
      <c r="R1952" s="301"/>
      <c r="S1952" s="301"/>
      <c r="T1952" s="301"/>
      <c r="U1952" s="301"/>
      <c r="V1952" s="301"/>
    </row>
    <row r="1953" spans="1:22" ht="14.4" thickTop="1" thickBot="1" x14ac:dyDescent="0.3">
      <c r="A1953" s="292"/>
      <c r="B1953" s="293"/>
      <c r="C1953" s="294"/>
      <c r="D1953" s="294"/>
      <c r="E1953" s="294">
        <v>2</v>
      </c>
      <c r="F1953" s="1129">
        <v>4.0289999999999999</v>
      </c>
      <c r="G1953" s="310"/>
      <c r="H1953" s="310">
        <v>4.2</v>
      </c>
      <c r="I1953" s="295">
        <f t="shared" si="234"/>
        <v>33.843600000000002</v>
      </c>
      <c r="J1953" s="295"/>
      <c r="K1953" s="300">
        <f t="shared" si="230"/>
        <v>1.1000000000000001</v>
      </c>
      <c r="L1953" s="300">
        <f t="shared" si="226"/>
        <v>0</v>
      </c>
      <c r="M1953" s="285">
        <f t="shared" si="228"/>
        <v>0</v>
      </c>
      <c r="N1953" s="1076">
        <f t="shared" si="229"/>
        <v>0</v>
      </c>
      <c r="O1953" s="294"/>
      <c r="P1953" s="404"/>
      <c r="Q1953" s="404"/>
      <c r="R1953" s="301"/>
      <c r="S1953" s="301"/>
      <c r="T1953" s="301"/>
      <c r="U1953" s="301"/>
      <c r="V1953" s="301"/>
    </row>
    <row r="1954" spans="1:22" ht="14.4" thickTop="1" thickBot="1" x14ac:dyDescent="0.3">
      <c r="A1954" s="292"/>
      <c r="B1954" s="293"/>
      <c r="C1954" s="294"/>
      <c r="D1954" s="294"/>
      <c r="E1954" s="294">
        <v>2</v>
      </c>
      <c r="F1954" s="1129">
        <v>5.1550000000000002</v>
      </c>
      <c r="G1954" s="310"/>
      <c r="H1954" s="310">
        <v>4.2</v>
      </c>
      <c r="I1954" s="295">
        <f t="shared" si="234"/>
        <v>43.302000000000007</v>
      </c>
      <c r="J1954" s="295"/>
      <c r="K1954" s="300">
        <f t="shared" si="230"/>
        <v>1.1000000000000001</v>
      </c>
      <c r="L1954" s="300">
        <f t="shared" si="226"/>
        <v>0</v>
      </c>
      <c r="M1954" s="285">
        <f t="shared" si="228"/>
        <v>0</v>
      </c>
      <c r="N1954" s="1076">
        <f t="shared" si="229"/>
        <v>0</v>
      </c>
      <c r="O1954" s="294"/>
      <c r="P1954" s="404"/>
      <c r="Q1954" s="404"/>
      <c r="R1954" s="301"/>
      <c r="S1954" s="301"/>
      <c r="T1954" s="301"/>
      <c r="U1954" s="301"/>
      <c r="V1954" s="301"/>
    </row>
    <row r="1955" spans="1:22" ht="14.4" thickTop="1" thickBot="1" x14ac:dyDescent="0.3">
      <c r="A1955" s="292"/>
      <c r="B1955" s="293"/>
      <c r="C1955" s="294"/>
      <c r="D1955" s="294"/>
      <c r="E1955" s="294">
        <v>2</v>
      </c>
      <c r="F1955" s="1129">
        <v>1.85</v>
      </c>
      <c r="G1955" s="310"/>
      <c r="H1955" s="310">
        <v>4.2</v>
      </c>
      <c r="I1955" s="295">
        <f t="shared" si="234"/>
        <v>15.540000000000001</v>
      </c>
      <c r="J1955" s="295"/>
      <c r="K1955" s="300"/>
      <c r="L1955" s="300"/>
      <c r="M1955" s="285"/>
      <c r="N1955" s="1076"/>
      <c r="O1955" s="294"/>
      <c r="P1955" s="404"/>
      <c r="Q1955" s="404"/>
      <c r="R1955" s="301"/>
      <c r="S1955" s="301"/>
      <c r="T1955" s="301"/>
      <c r="U1955" s="301"/>
      <c r="V1955" s="301"/>
    </row>
    <row r="1956" spans="1:22" ht="14.4" thickTop="1" thickBot="1" x14ac:dyDescent="0.3">
      <c r="A1956" s="292"/>
      <c r="B1956" s="293" t="s">
        <v>846</v>
      </c>
      <c r="C1956" s="294"/>
      <c r="D1956" s="294"/>
      <c r="E1956" s="294"/>
      <c r="F1956" s="310"/>
      <c r="G1956" s="310"/>
      <c r="H1956" s="310"/>
      <c r="I1956" s="295"/>
      <c r="J1956" s="295"/>
      <c r="K1956" s="300"/>
      <c r="L1956" s="300"/>
      <c r="M1956" s="285"/>
      <c r="N1956" s="1076"/>
      <c r="O1956" s="294"/>
      <c r="P1956" s="404"/>
      <c r="Q1956" s="404"/>
      <c r="R1956" s="301"/>
      <c r="S1956" s="301"/>
      <c r="T1956" s="301"/>
      <c r="U1956" s="301"/>
      <c r="V1956" s="301"/>
    </row>
    <row r="1957" spans="1:22" ht="14.4" thickTop="1" thickBot="1" x14ac:dyDescent="0.3">
      <c r="A1957" s="292"/>
      <c r="B1957" s="293" t="s">
        <v>769</v>
      </c>
      <c r="C1957" s="294"/>
      <c r="D1957" s="294"/>
      <c r="E1957" s="294">
        <v>1</v>
      </c>
      <c r="F1957" s="1129">
        <v>0.9</v>
      </c>
      <c r="G1957" s="310"/>
      <c r="H1957" s="310">
        <v>0.9</v>
      </c>
      <c r="I1957" s="295">
        <f>-H1957*F1957*E1957</f>
        <v>-0.81</v>
      </c>
      <c r="J1957" s="295"/>
      <c r="K1957" s="300"/>
      <c r="L1957" s="300"/>
      <c r="M1957" s="285"/>
      <c r="N1957" s="1076"/>
      <c r="O1957" s="294"/>
      <c r="P1957" s="404"/>
      <c r="Q1957" s="404"/>
      <c r="R1957" s="301"/>
      <c r="S1957" s="301"/>
      <c r="T1957" s="301"/>
      <c r="U1957" s="301"/>
      <c r="V1957" s="301"/>
    </row>
    <row r="1958" spans="1:22" ht="14.4" thickTop="1" thickBot="1" x14ac:dyDescent="0.3">
      <c r="A1958" s="292"/>
      <c r="B1958" s="293" t="s">
        <v>770</v>
      </c>
      <c r="C1958" s="294"/>
      <c r="D1958" s="294"/>
      <c r="E1958" s="294">
        <v>2</v>
      </c>
      <c r="F1958" s="1129">
        <v>0.9</v>
      </c>
      <c r="G1958" s="310"/>
      <c r="H1958" s="310">
        <v>2.7</v>
      </c>
      <c r="I1958" s="295">
        <f>-H1958*F1958*E1958</f>
        <v>-4.8600000000000003</v>
      </c>
      <c r="J1958" s="295"/>
      <c r="K1958" s="300"/>
      <c r="L1958" s="300"/>
      <c r="M1958" s="285"/>
      <c r="N1958" s="1076"/>
      <c r="O1958" s="294"/>
      <c r="P1958" s="404"/>
      <c r="Q1958" s="404"/>
      <c r="R1958" s="301"/>
      <c r="S1958" s="301"/>
      <c r="T1958" s="301"/>
      <c r="U1958" s="301"/>
      <c r="V1958" s="301"/>
    </row>
    <row r="1959" spans="1:22" ht="14.4" thickTop="1" thickBot="1" x14ac:dyDescent="0.3">
      <c r="A1959" s="292"/>
      <c r="B1959" s="293"/>
      <c r="C1959" s="294"/>
      <c r="D1959" s="294"/>
      <c r="E1959" s="294"/>
      <c r="F1959" s="1130"/>
      <c r="G1959" s="294"/>
      <c r="H1959" s="310"/>
      <c r="I1959" s="295"/>
      <c r="J1959" s="295"/>
      <c r="K1959" s="300"/>
      <c r="L1959" s="300"/>
      <c r="M1959" s="285"/>
      <c r="N1959" s="1076"/>
      <c r="O1959" s="294"/>
      <c r="P1959" s="404"/>
      <c r="Q1959" s="404"/>
      <c r="R1959" s="301"/>
      <c r="S1959" s="301"/>
      <c r="T1959" s="301"/>
      <c r="U1959" s="301"/>
      <c r="V1959" s="301"/>
    </row>
    <row r="1960" spans="1:22" ht="14.4" thickTop="1" thickBot="1" x14ac:dyDescent="0.3">
      <c r="A1960" s="292"/>
      <c r="B1960" s="296" t="s">
        <v>1889</v>
      </c>
      <c r="C1960" s="294"/>
      <c r="D1960" s="294"/>
      <c r="E1960" s="294">
        <v>1</v>
      </c>
      <c r="F1960" s="310">
        <v>1.83</v>
      </c>
      <c r="G1960" s="310"/>
      <c r="H1960" s="310">
        <v>4.2</v>
      </c>
      <c r="I1960" s="295">
        <f t="shared" si="234"/>
        <v>7.6860000000000008</v>
      </c>
      <c r="J1960" s="295"/>
      <c r="K1960" s="300">
        <f t="shared" si="230"/>
        <v>1.1000000000000001</v>
      </c>
      <c r="L1960" s="300">
        <f t="shared" si="226"/>
        <v>0</v>
      </c>
      <c r="M1960" s="285">
        <f t="shared" si="228"/>
        <v>0</v>
      </c>
      <c r="N1960" s="1076">
        <f t="shared" si="229"/>
        <v>0</v>
      </c>
      <c r="O1960" s="294"/>
      <c r="P1960" s="404"/>
      <c r="Q1960" s="404"/>
      <c r="R1960" s="301"/>
      <c r="S1960" s="301"/>
      <c r="T1960" s="301"/>
      <c r="U1960" s="301"/>
      <c r="V1960" s="301"/>
    </row>
    <row r="1961" spans="1:22" ht="14.4" thickTop="1" thickBot="1" x14ac:dyDescent="0.3">
      <c r="A1961" s="292"/>
      <c r="B1961" s="293"/>
      <c r="C1961" s="294"/>
      <c r="D1961" s="294"/>
      <c r="E1961" s="294">
        <v>1</v>
      </c>
      <c r="F1961" s="310">
        <v>0.89900000000000002</v>
      </c>
      <c r="G1961" s="310"/>
      <c r="H1961" s="310">
        <v>4.2</v>
      </c>
      <c r="I1961" s="295">
        <f t="shared" si="234"/>
        <v>3.7758000000000003</v>
      </c>
      <c r="J1961" s="295"/>
      <c r="K1961" s="300">
        <f t="shared" si="230"/>
        <v>1.1000000000000001</v>
      </c>
      <c r="L1961" s="300">
        <f t="shared" si="226"/>
        <v>0</v>
      </c>
      <c r="M1961" s="285">
        <f t="shared" si="228"/>
        <v>0</v>
      </c>
      <c r="N1961" s="1076">
        <f t="shared" si="229"/>
        <v>0</v>
      </c>
      <c r="O1961" s="294"/>
      <c r="P1961" s="404"/>
      <c r="Q1961" s="404"/>
      <c r="R1961" s="301"/>
      <c r="S1961" s="301"/>
      <c r="T1961" s="301"/>
      <c r="U1961" s="301"/>
      <c r="V1961" s="301"/>
    </row>
    <row r="1962" spans="1:22" ht="14.4" thickTop="1" thickBot="1" x14ac:dyDescent="0.3">
      <c r="A1962" s="292"/>
      <c r="B1962" s="293"/>
      <c r="C1962" s="294"/>
      <c r="D1962" s="294"/>
      <c r="E1962" s="294">
        <v>2</v>
      </c>
      <c r="F1962" s="310">
        <v>3.1</v>
      </c>
      <c r="G1962" s="310"/>
      <c r="H1962" s="310">
        <v>4.2</v>
      </c>
      <c r="I1962" s="295">
        <f t="shared" si="234"/>
        <v>26.040000000000003</v>
      </c>
      <c r="J1962" s="295"/>
      <c r="K1962" s="300">
        <f t="shared" si="230"/>
        <v>1.1000000000000001</v>
      </c>
      <c r="L1962" s="300">
        <f t="shared" si="226"/>
        <v>0</v>
      </c>
      <c r="M1962" s="285">
        <f t="shared" si="228"/>
        <v>0</v>
      </c>
      <c r="N1962" s="1076">
        <f t="shared" si="229"/>
        <v>0</v>
      </c>
      <c r="O1962" s="294"/>
      <c r="P1962" s="404"/>
      <c r="Q1962" s="404"/>
      <c r="R1962" s="301"/>
      <c r="S1962" s="301"/>
      <c r="T1962" s="301"/>
      <c r="U1962" s="301"/>
      <c r="V1962" s="301"/>
    </row>
    <row r="1963" spans="1:22" ht="14.4" thickTop="1" thickBot="1" x14ac:dyDescent="0.3">
      <c r="A1963" s="292"/>
      <c r="B1963" s="293"/>
      <c r="C1963" s="294"/>
      <c r="D1963" s="294"/>
      <c r="E1963" s="294">
        <v>2</v>
      </c>
      <c r="F1963" s="310">
        <v>5.1550000000000002</v>
      </c>
      <c r="G1963" s="310"/>
      <c r="H1963" s="310">
        <v>4.2</v>
      </c>
      <c r="I1963" s="295">
        <f t="shared" si="234"/>
        <v>43.302000000000007</v>
      </c>
      <c r="J1963" s="295"/>
      <c r="K1963" s="300">
        <f t="shared" si="230"/>
        <v>1.1000000000000001</v>
      </c>
      <c r="L1963" s="300">
        <f t="shared" si="226"/>
        <v>0</v>
      </c>
      <c r="M1963" s="285">
        <f t="shared" si="228"/>
        <v>0</v>
      </c>
      <c r="N1963" s="1076">
        <f t="shared" si="229"/>
        <v>0</v>
      </c>
      <c r="O1963" s="294"/>
      <c r="P1963" s="404"/>
      <c r="Q1963" s="404"/>
      <c r="R1963" s="301"/>
      <c r="S1963" s="301"/>
      <c r="T1963" s="301"/>
      <c r="U1963" s="301"/>
      <c r="V1963" s="301"/>
    </row>
    <row r="1964" spans="1:22" ht="14.4" thickTop="1" thickBot="1" x14ac:dyDescent="0.3">
      <c r="A1964" s="292"/>
      <c r="B1964" s="293"/>
      <c r="C1964" s="294"/>
      <c r="D1964" s="294"/>
      <c r="E1964" s="294">
        <v>1</v>
      </c>
      <c r="F1964" s="310">
        <v>7.0629999999999997</v>
      </c>
      <c r="G1964" s="310"/>
      <c r="H1964" s="310">
        <v>4.2</v>
      </c>
      <c r="I1964" s="295">
        <f t="shared" si="234"/>
        <v>29.6646</v>
      </c>
      <c r="J1964" s="295"/>
      <c r="K1964" s="300">
        <f t="shared" si="230"/>
        <v>1.1000000000000001</v>
      </c>
      <c r="L1964" s="300">
        <f t="shared" si="226"/>
        <v>0</v>
      </c>
      <c r="M1964" s="285">
        <f t="shared" si="228"/>
        <v>0</v>
      </c>
      <c r="N1964" s="1076">
        <f t="shared" si="229"/>
        <v>0</v>
      </c>
      <c r="O1964" s="294"/>
      <c r="P1964" s="404"/>
      <c r="Q1964" s="404"/>
      <c r="R1964" s="301"/>
      <c r="S1964" s="301"/>
      <c r="T1964" s="301"/>
      <c r="U1964" s="301"/>
      <c r="V1964" s="301"/>
    </row>
    <row r="1965" spans="1:22" ht="14.4" thickTop="1" thickBot="1" x14ac:dyDescent="0.3">
      <c r="A1965" s="292"/>
      <c r="B1965" s="293"/>
      <c r="C1965" s="294"/>
      <c r="D1965" s="294"/>
      <c r="E1965" s="294">
        <v>1</v>
      </c>
      <c r="F1965" s="310">
        <v>12.945</v>
      </c>
      <c r="G1965" s="310"/>
      <c r="H1965" s="310">
        <v>4.2</v>
      </c>
      <c r="I1965" s="295">
        <f t="shared" si="234"/>
        <v>54.369000000000007</v>
      </c>
      <c r="J1965" s="295"/>
      <c r="K1965" s="300">
        <f t="shared" si="230"/>
        <v>1.1000000000000001</v>
      </c>
      <c r="L1965" s="300">
        <f t="shared" si="226"/>
        <v>0</v>
      </c>
      <c r="M1965" s="285">
        <f t="shared" si="228"/>
        <v>0</v>
      </c>
      <c r="N1965" s="1076">
        <f t="shared" si="229"/>
        <v>0</v>
      </c>
      <c r="O1965" s="294"/>
      <c r="P1965" s="404"/>
      <c r="Q1965" s="404"/>
      <c r="R1965" s="301"/>
      <c r="S1965" s="301"/>
      <c r="T1965" s="301"/>
      <c r="U1965" s="301"/>
      <c r="V1965" s="301"/>
    </row>
    <row r="1966" spans="1:22" ht="14.4" thickTop="1" thickBot="1" x14ac:dyDescent="0.3">
      <c r="A1966" s="292"/>
      <c r="B1966" s="293"/>
      <c r="C1966" s="294"/>
      <c r="D1966" s="294"/>
      <c r="E1966" s="294">
        <v>3</v>
      </c>
      <c r="F1966" s="310">
        <v>0.85</v>
      </c>
      <c r="G1966" s="310"/>
      <c r="H1966" s="310">
        <v>4.2</v>
      </c>
      <c r="I1966" s="295">
        <f t="shared" si="234"/>
        <v>10.709999999999999</v>
      </c>
      <c r="J1966" s="295"/>
      <c r="K1966" s="300">
        <f t="shared" si="230"/>
        <v>1.1000000000000001</v>
      </c>
      <c r="L1966" s="300">
        <f t="shared" si="226"/>
        <v>0</v>
      </c>
      <c r="M1966" s="285">
        <f t="shared" si="228"/>
        <v>0</v>
      </c>
      <c r="N1966" s="1076">
        <f t="shared" si="229"/>
        <v>0</v>
      </c>
      <c r="O1966" s="294"/>
      <c r="P1966" s="404"/>
      <c r="Q1966" s="404"/>
      <c r="R1966" s="301"/>
      <c r="S1966" s="301"/>
      <c r="T1966" s="301"/>
      <c r="U1966" s="301"/>
      <c r="V1966" s="301"/>
    </row>
    <row r="1967" spans="1:22" ht="14.4" thickTop="1" thickBot="1" x14ac:dyDescent="0.3">
      <c r="A1967" s="292"/>
      <c r="B1967" s="293"/>
      <c r="C1967" s="294"/>
      <c r="D1967" s="294"/>
      <c r="E1967" s="294">
        <v>2</v>
      </c>
      <c r="F1967" s="310">
        <v>3.45</v>
      </c>
      <c r="G1967" s="310"/>
      <c r="H1967" s="310">
        <v>4.2</v>
      </c>
      <c r="I1967" s="295">
        <f t="shared" si="234"/>
        <v>28.980000000000004</v>
      </c>
      <c r="J1967" s="295"/>
      <c r="K1967" s="300">
        <f t="shared" si="230"/>
        <v>1.1000000000000001</v>
      </c>
      <c r="L1967" s="300">
        <f t="shared" si="226"/>
        <v>0</v>
      </c>
      <c r="M1967" s="285">
        <f t="shared" si="228"/>
        <v>0</v>
      </c>
      <c r="N1967" s="1076">
        <f t="shared" si="229"/>
        <v>0</v>
      </c>
      <c r="O1967" s="294"/>
      <c r="P1967" s="404"/>
      <c r="Q1967" s="404"/>
      <c r="R1967" s="301"/>
      <c r="S1967" s="301"/>
      <c r="T1967" s="301"/>
      <c r="U1967" s="301"/>
      <c r="V1967" s="301"/>
    </row>
    <row r="1968" spans="1:22" ht="14.4" thickTop="1" thickBot="1" x14ac:dyDescent="0.3">
      <c r="A1968" s="292"/>
      <c r="B1968" s="293"/>
      <c r="C1968" s="294"/>
      <c r="D1968" s="294"/>
      <c r="E1968" s="294">
        <v>1</v>
      </c>
      <c r="F1968" s="310">
        <v>10.175000000000001</v>
      </c>
      <c r="G1968" s="310"/>
      <c r="H1968" s="310">
        <v>4.2</v>
      </c>
      <c r="I1968" s="295">
        <f t="shared" si="234"/>
        <v>42.735000000000007</v>
      </c>
      <c r="J1968" s="295"/>
      <c r="K1968" s="300">
        <f t="shared" si="230"/>
        <v>1.1000000000000001</v>
      </c>
      <c r="L1968" s="300">
        <f t="shared" si="226"/>
        <v>0</v>
      </c>
      <c r="M1968" s="285">
        <f t="shared" si="228"/>
        <v>0</v>
      </c>
      <c r="N1968" s="1076">
        <f t="shared" si="229"/>
        <v>0</v>
      </c>
      <c r="O1968" s="294"/>
      <c r="P1968" s="404"/>
      <c r="Q1968" s="404"/>
      <c r="R1968" s="301"/>
      <c r="S1968" s="301"/>
      <c r="T1968" s="301"/>
      <c r="U1968" s="301"/>
      <c r="V1968" s="301"/>
    </row>
    <row r="1969" spans="1:22" ht="14.4" thickTop="1" thickBot="1" x14ac:dyDescent="0.3">
      <c r="A1969" s="292"/>
      <c r="B1969" s="293"/>
      <c r="C1969" s="294"/>
      <c r="D1969" s="294"/>
      <c r="E1969" s="294">
        <v>1</v>
      </c>
      <c r="F1969" s="310">
        <v>5.18</v>
      </c>
      <c r="G1969" s="310"/>
      <c r="H1969" s="310">
        <v>4.2</v>
      </c>
      <c r="I1969" s="295">
        <f t="shared" si="234"/>
        <v>21.756</v>
      </c>
      <c r="J1969" s="295"/>
      <c r="K1969" s="300">
        <f t="shared" si="230"/>
        <v>1.1000000000000001</v>
      </c>
      <c r="L1969" s="300">
        <f t="shared" si="226"/>
        <v>0</v>
      </c>
      <c r="M1969" s="285">
        <f t="shared" si="228"/>
        <v>0</v>
      </c>
      <c r="N1969" s="1076">
        <f t="shared" si="229"/>
        <v>0</v>
      </c>
      <c r="O1969" s="294"/>
      <c r="P1969" s="404"/>
      <c r="Q1969" s="404"/>
      <c r="R1969" s="301"/>
      <c r="S1969" s="301"/>
      <c r="T1969" s="301"/>
      <c r="U1969" s="301"/>
      <c r="V1969" s="301"/>
    </row>
    <row r="1970" spans="1:22" ht="14.4" thickTop="1" thickBot="1" x14ac:dyDescent="0.3">
      <c r="A1970" s="292"/>
      <c r="B1970" s="293" t="s">
        <v>846</v>
      </c>
      <c r="C1970" s="294"/>
      <c r="D1970" s="294"/>
      <c r="E1970" s="294"/>
      <c r="F1970" s="310"/>
      <c r="G1970" s="310"/>
      <c r="H1970" s="310"/>
      <c r="I1970" s="295"/>
      <c r="J1970" s="295"/>
      <c r="K1970" s="300"/>
      <c r="L1970" s="300"/>
      <c r="M1970" s="285"/>
      <c r="N1970" s="1076"/>
      <c r="O1970" s="294"/>
      <c r="P1970" s="404"/>
      <c r="Q1970" s="404"/>
      <c r="R1970" s="301"/>
      <c r="S1970" s="301"/>
      <c r="T1970" s="301"/>
      <c r="U1970" s="301"/>
      <c r="V1970" s="301"/>
    </row>
    <row r="1971" spans="1:22" ht="14.4" thickTop="1" thickBot="1" x14ac:dyDescent="0.3">
      <c r="A1971" s="292"/>
      <c r="B1971" s="293" t="s">
        <v>769</v>
      </c>
      <c r="C1971" s="294"/>
      <c r="D1971" s="294"/>
      <c r="E1971" s="294">
        <v>2</v>
      </c>
      <c r="F1971" s="310">
        <v>0.9</v>
      </c>
      <c r="G1971" s="310"/>
      <c r="H1971" s="310">
        <v>0.9</v>
      </c>
      <c r="I1971" s="295">
        <f>-H1971*F1971*E1971</f>
        <v>-1.62</v>
      </c>
      <c r="J1971" s="295"/>
      <c r="K1971" s="300"/>
      <c r="L1971" s="300"/>
      <c r="M1971" s="285"/>
      <c r="N1971" s="1076"/>
      <c r="O1971" s="294"/>
      <c r="P1971" s="404"/>
      <c r="Q1971" s="404"/>
      <c r="R1971" s="301"/>
      <c r="S1971" s="301"/>
      <c r="T1971" s="301"/>
      <c r="U1971" s="301"/>
      <c r="V1971" s="301"/>
    </row>
    <row r="1972" spans="1:22" ht="14.4" thickTop="1" thickBot="1" x14ac:dyDescent="0.3">
      <c r="A1972" s="292"/>
      <c r="B1972" s="293" t="s">
        <v>1860</v>
      </c>
      <c r="C1972" s="294"/>
      <c r="D1972" s="294"/>
      <c r="E1972" s="294">
        <v>1</v>
      </c>
      <c r="F1972" s="310">
        <v>0.9</v>
      </c>
      <c r="G1972" s="310"/>
      <c r="H1972" s="310">
        <v>2.7</v>
      </c>
      <c r="I1972" s="295">
        <f>-H1972*F1972*E1972</f>
        <v>-2.4300000000000002</v>
      </c>
      <c r="J1972" s="295"/>
      <c r="K1972" s="300"/>
      <c r="L1972" s="300"/>
      <c r="M1972" s="285"/>
      <c r="N1972" s="1076"/>
      <c r="O1972" s="294"/>
      <c r="P1972" s="404"/>
      <c r="Q1972" s="404"/>
      <c r="R1972" s="301"/>
      <c r="S1972" s="301"/>
      <c r="T1972" s="301"/>
      <c r="U1972" s="301"/>
      <c r="V1972" s="301"/>
    </row>
    <row r="1973" spans="1:22" ht="14.4" thickTop="1" thickBot="1" x14ac:dyDescent="0.3">
      <c r="A1973" s="292"/>
      <c r="B1973" s="296" t="s">
        <v>1890</v>
      </c>
      <c r="C1973" s="294"/>
      <c r="D1973" s="294"/>
      <c r="E1973" s="294">
        <v>2</v>
      </c>
      <c r="F1973" s="310">
        <v>2.85</v>
      </c>
      <c r="G1973" s="310"/>
      <c r="H1973" s="310">
        <v>4.2</v>
      </c>
      <c r="I1973" s="295">
        <f t="shared" si="234"/>
        <v>23.94</v>
      </c>
      <c r="J1973" s="295"/>
      <c r="K1973" s="300">
        <f t="shared" si="230"/>
        <v>1.1000000000000001</v>
      </c>
      <c r="L1973" s="300">
        <f t="shared" ref="L1973:L2036" si="235">K1973*J1973</f>
        <v>0</v>
      </c>
      <c r="M1973" s="285">
        <f t="shared" ref="M1973:M2064" si="236">ROUND(L1973,1)</f>
        <v>0</v>
      </c>
      <c r="N1973" s="1076">
        <f t="shared" ref="N1973:N2064" si="237">ROUNDUP(M1973,0)</f>
        <v>0</v>
      </c>
      <c r="O1973" s="294"/>
      <c r="P1973" s="404"/>
      <c r="Q1973" s="404"/>
      <c r="R1973" s="301"/>
      <c r="S1973" s="301"/>
      <c r="T1973" s="301"/>
      <c r="U1973" s="301"/>
      <c r="V1973" s="301"/>
    </row>
    <row r="1974" spans="1:22" ht="14.4" thickTop="1" thickBot="1" x14ac:dyDescent="0.3">
      <c r="A1974" s="292"/>
      <c r="B1974" s="293"/>
      <c r="C1974" s="294"/>
      <c r="D1974" s="294"/>
      <c r="E1974" s="294">
        <v>2</v>
      </c>
      <c r="F1974" s="310">
        <v>2</v>
      </c>
      <c r="G1974" s="310"/>
      <c r="H1974" s="310">
        <v>4.2</v>
      </c>
      <c r="I1974" s="295">
        <f t="shared" si="234"/>
        <v>16.8</v>
      </c>
      <c r="J1974" s="295"/>
      <c r="K1974" s="300">
        <f t="shared" si="230"/>
        <v>1.1000000000000001</v>
      </c>
      <c r="L1974" s="300">
        <f t="shared" si="235"/>
        <v>0</v>
      </c>
      <c r="M1974" s="285">
        <f t="shared" si="236"/>
        <v>0</v>
      </c>
      <c r="N1974" s="1076">
        <f t="shared" si="237"/>
        <v>0</v>
      </c>
      <c r="O1974" s="294"/>
      <c r="P1974" s="404"/>
      <c r="Q1974" s="404"/>
      <c r="R1974" s="301"/>
      <c r="S1974" s="301"/>
      <c r="T1974" s="301"/>
      <c r="U1974" s="301"/>
      <c r="V1974" s="301"/>
    </row>
    <row r="1975" spans="1:22" ht="14.4" thickTop="1" thickBot="1" x14ac:dyDescent="0.3">
      <c r="A1975" s="292"/>
      <c r="B1975" s="293" t="s">
        <v>846</v>
      </c>
      <c r="C1975" s="294"/>
      <c r="D1975" s="294"/>
      <c r="E1975" s="294"/>
      <c r="F1975" s="310"/>
      <c r="G1975" s="310"/>
      <c r="H1975" s="310"/>
      <c r="I1975" s="295"/>
      <c r="J1975" s="295"/>
      <c r="K1975" s="300"/>
      <c r="L1975" s="300"/>
      <c r="M1975" s="285"/>
      <c r="N1975" s="1076"/>
      <c r="O1975" s="294"/>
      <c r="P1975" s="404"/>
      <c r="Q1975" s="404"/>
      <c r="R1975" s="301"/>
      <c r="S1975" s="301"/>
      <c r="T1975" s="301"/>
      <c r="U1975" s="301"/>
      <c r="V1975" s="301"/>
    </row>
    <row r="1976" spans="1:22" ht="14.4" thickTop="1" thickBot="1" x14ac:dyDescent="0.3">
      <c r="A1976" s="292"/>
      <c r="B1976" s="293" t="s">
        <v>792</v>
      </c>
      <c r="C1976" s="294"/>
      <c r="D1976" s="294"/>
      <c r="E1976" s="294">
        <v>1</v>
      </c>
      <c r="F1976" s="310">
        <v>1.05</v>
      </c>
      <c r="G1976" s="310"/>
      <c r="H1976" s="310">
        <v>2.4</v>
      </c>
      <c r="I1976" s="295">
        <f>-H1976*F1976*E1976</f>
        <v>-2.52</v>
      </c>
      <c r="J1976" s="295"/>
      <c r="K1976" s="300"/>
      <c r="L1976" s="300"/>
      <c r="M1976" s="285"/>
      <c r="N1976" s="1076"/>
      <c r="O1976" s="294"/>
      <c r="P1976" s="404"/>
      <c r="Q1976" s="404"/>
      <c r="R1976" s="301"/>
      <c r="S1976" s="301"/>
      <c r="T1976" s="301"/>
      <c r="U1976" s="301"/>
      <c r="V1976" s="301"/>
    </row>
    <row r="1977" spans="1:22" ht="14.4" thickTop="1" thickBot="1" x14ac:dyDescent="0.3">
      <c r="A1977" s="292"/>
      <c r="B1977" s="293" t="s">
        <v>769</v>
      </c>
      <c r="C1977" s="294"/>
      <c r="D1977" s="294"/>
      <c r="E1977" s="294">
        <v>1</v>
      </c>
      <c r="F1977" s="310">
        <v>0.9</v>
      </c>
      <c r="G1977" s="310"/>
      <c r="H1977" s="310">
        <v>0.9</v>
      </c>
      <c r="I1977" s="295">
        <f>-H1977*F1977*E1977</f>
        <v>-0.81</v>
      </c>
      <c r="J1977" s="295"/>
      <c r="K1977" s="300"/>
      <c r="L1977" s="300"/>
      <c r="M1977" s="285"/>
      <c r="N1977" s="1076"/>
      <c r="O1977" s="294"/>
      <c r="P1977" s="404"/>
      <c r="Q1977" s="404"/>
      <c r="R1977" s="301"/>
      <c r="S1977" s="301"/>
      <c r="T1977" s="301"/>
      <c r="U1977" s="301"/>
      <c r="V1977" s="301"/>
    </row>
    <row r="1978" spans="1:22" ht="14.4" thickTop="1" thickBot="1" x14ac:dyDescent="0.3">
      <c r="A1978" s="292"/>
      <c r="B1978" s="293"/>
      <c r="C1978" s="294"/>
      <c r="D1978" s="294"/>
      <c r="E1978" s="294"/>
      <c r="F1978" s="310"/>
      <c r="G1978" s="310"/>
      <c r="H1978" s="310"/>
      <c r="I1978" s="295"/>
      <c r="J1978" s="295"/>
      <c r="K1978" s="300"/>
      <c r="L1978" s="300"/>
      <c r="M1978" s="285"/>
      <c r="N1978" s="1076"/>
      <c r="O1978" s="294"/>
      <c r="P1978" s="404"/>
      <c r="Q1978" s="404"/>
      <c r="R1978" s="301"/>
      <c r="S1978" s="301"/>
      <c r="T1978" s="301"/>
      <c r="U1978" s="301"/>
      <c r="V1978" s="301"/>
    </row>
    <row r="1979" spans="1:22" ht="14.4" thickTop="1" thickBot="1" x14ac:dyDescent="0.3">
      <c r="A1979" s="292"/>
      <c r="B1979" s="296" t="s">
        <v>1873</v>
      </c>
      <c r="C1979" s="294"/>
      <c r="D1979" s="294"/>
      <c r="E1979" s="294">
        <v>2</v>
      </c>
      <c r="F1979" s="310">
        <v>4.8250000000000002</v>
      </c>
      <c r="G1979" s="310"/>
      <c r="H1979" s="310">
        <v>4.2</v>
      </c>
      <c r="I1979" s="295">
        <f t="shared" si="234"/>
        <v>40.53</v>
      </c>
      <c r="J1979" s="295"/>
      <c r="K1979" s="300">
        <f t="shared" si="230"/>
        <v>1.1000000000000001</v>
      </c>
      <c r="L1979" s="300">
        <f t="shared" si="235"/>
        <v>0</v>
      </c>
      <c r="M1979" s="285">
        <f t="shared" si="236"/>
        <v>0</v>
      </c>
      <c r="N1979" s="1076">
        <f t="shared" si="237"/>
        <v>0</v>
      </c>
      <c r="O1979" s="294"/>
      <c r="P1979" s="404"/>
      <c r="Q1979" s="404"/>
      <c r="R1979" s="301"/>
      <c r="S1979" s="301"/>
      <c r="T1979" s="301"/>
      <c r="U1979" s="301"/>
      <c r="V1979" s="301"/>
    </row>
    <row r="1980" spans="1:22" ht="14.4" thickTop="1" thickBot="1" x14ac:dyDescent="0.3">
      <c r="A1980" s="292"/>
      <c r="B1980" s="293"/>
      <c r="C1980" s="294"/>
      <c r="D1980" s="294"/>
      <c r="E1980" s="294">
        <v>2</v>
      </c>
      <c r="F1980" s="310">
        <v>3.0329999999999999</v>
      </c>
      <c r="G1980" s="310"/>
      <c r="H1980" s="310">
        <v>4.2</v>
      </c>
      <c r="I1980" s="295">
        <f t="shared" si="234"/>
        <v>25.4772</v>
      </c>
      <c r="J1980" s="295"/>
      <c r="K1980" s="300">
        <f t="shared" si="230"/>
        <v>1.1000000000000001</v>
      </c>
      <c r="L1980" s="300">
        <f t="shared" si="235"/>
        <v>0</v>
      </c>
      <c r="M1980" s="285">
        <f t="shared" si="236"/>
        <v>0</v>
      </c>
      <c r="N1980" s="1076">
        <f t="shared" si="237"/>
        <v>0</v>
      </c>
      <c r="O1980" s="294"/>
      <c r="P1980" s="404"/>
      <c r="Q1980" s="404"/>
      <c r="R1980" s="301"/>
      <c r="S1980" s="301"/>
      <c r="T1980" s="301"/>
      <c r="U1980" s="301"/>
      <c r="V1980" s="301"/>
    </row>
    <row r="1981" spans="1:22" ht="14.4" thickTop="1" thickBot="1" x14ac:dyDescent="0.3">
      <c r="A1981" s="292"/>
      <c r="B1981" s="293" t="s">
        <v>846</v>
      </c>
      <c r="C1981" s="294"/>
      <c r="D1981" s="294"/>
      <c r="E1981" s="294"/>
      <c r="F1981" s="310"/>
      <c r="G1981" s="310"/>
      <c r="H1981" s="310"/>
      <c r="I1981" s="295"/>
      <c r="J1981" s="295"/>
      <c r="K1981" s="300"/>
      <c r="L1981" s="300"/>
      <c r="M1981" s="285"/>
      <c r="N1981" s="1076"/>
      <c r="O1981" s="294"/>
      <c r="P1981" s="404"/>
      <c r="Q1981" s="404"/>
      <c r="R1981" s="301"/>
      <c r="S1981" s="301"/>
      <c r="T1981" s="301"/>
      <c r="U1981" s="301"/>
      <c r="V1981" s="301"/>
    </row>
    <row r="1982" spans="1:22" ht="14.4" thickTop="1" thickBot="1" x14ac:dyDescent="0.3">
      <c r="A1982" s="292"/>
      <c r="B1982" s="293" t="s">
        <v>769</v>
      </c>
      <c r="C1982" s="294"/>
      <c r="D1982" s="294"/>
      <c r="E1982" s="294">
        <v>1</v>
      </c>
      <c r="F1982" s="310">
        <v>0.9</v>
      </c>
      <c r="G1982" s="310"/>
      <c r="H1982" s="310">
        <v>0.9</v>
      </c>
      <c r="I1982" s="295">
        <f>-H1982*F1982*E1982</f>
        <v>-0.81</v>
      </c>
      <c r="J1982" s="295"/>
      <c r="K1982" s="300"/>
      <c r="L1982" s="300"/>
      <c r="M1982" s="285"/>
      <c r="N1982" s="1076"/>
      <c r="O1982" s="294"/>
      <c r="P1982" s="404"/>
      <c r="Q1982" s="404"/>
      <c r="R1982" s="301"/>
      <c r="S1982" s="301"/>
      <c r="T1982" s="301"/>
      <c r="U1982" s="301"/>
      <c r="V1982" s="301"/>
    </row>
    <row r="1983" spans="1:22" ht="14.4" thickTop="1" thickBot="1" x14ac:dyDescent="0.3">
      <c r="A1983" s="292"/>
      <c r="B1983" s="293" t="s">
        <v>770</v>
      </c>
      <c r="C1983" s="294"/>
      <c r="D1983" s="294"/>
      <c r="E1983" s="294">
        <v>1</v>
      </c>
      <c r="F1983" s="310">
        <v>0.9</v>
      </c>
      <c r="G1983" s="310"/>
      <c r="H1983" s="310">
        <v>2.7</v>
      </c>
      <c r="I1983" s="295">
        <f>-H1983*F1983*E1983</f>
        <v>-2.4300000000000002</v>
      </c>
      <c r="J1983" s="295"/>
      <c r="K1983" s="300"/>
      <c r="L1983" s="300"/>
      <c r="M1983" s="285"/>
      <c r="N1983" s="1076"/>
      <c r="O1983" s="294"/>
      <c r="P1983" s="404"/>
      <c r="Q1983" s="404"/>
      <c r="R1983" s="301"/>
      <c r="S1983" s="301"/>
      <c r="T1983" s="301"/>
      <c r="U1983" s="301"/>
      <c r="V1983" s="301"/>
    </row>
    <row r="1984" spans="1:22" ht="14.4" thickTop="1" thickBot="1" x14ac:dyDescent="0.3">
      <c r="A1984" s="292"/>
      <c r="B1984" s="293"/>
      <c r="C1984" s="294"/>
      <c r="D1984" s="294"/>
      <c r="E1984" s="294"/>
      <c r="F1984" s="310"/>
      <c r="G1984" s="310"/>
      <c r="H1984" s="310"/>
      <c r="I1984" s="295"/>
      <c r="J1984" s="295"/>
      <c r="K1984" s="300"/>
      <c r="L1984" s="300"/>
      <c r="M1984" s="285"/>
      <c r="N1984" s="1076"/>
      <c r="O1984" s="294"/>
      <c r="P1984" s="404"/>
      <c r="Q1984" s="404"/>
      <c r="R1984" s="301"/>
      <c r="S1984" s="301"/>
      <c r="T1984" s="301"/>
      <c r="U1984" s="301"/>
      <c r="V1984" s="301"/>
    </row>
    <row r="1985" spans="1:22" ht="14.4" thickTop="1" thickBot="1" x14ac:dyDescent="0.3">
      <c r="A1985" s="292"/>
      <c r="B1985" s="296" t="s">
        <v>1891</v>
      </c>
      <c r="C1985" s="294"/>
      <c r="D1985" s="294"/>
      <c r="E1985" s="294">
        <v>2</v>
      </c>
      <c r="F1985" s="310">
        <v>4.6630000000000003</v>
      </c>
      <c r="G1985" s="310"/>
      <c r="H1985" s="310">
        <v>4.2</v>
      </c>
      <c r="I1985" s="295">
        <f t="shared" si="234"/>
        <v>39.169200000000004</v>
      </c>
      <c r="J1985" s="295"/>
      <c r="K1985" s="300">
        <f t="shared" ref="K1985:K2070" si="238">$K$2</f>
        <v>1.1000000000000001</v>
      </c>
      <c r="L1985" s="300">
        <f t="shared" si="235"/>
        <v>0</v>
      </c>
      <c r="M1985" s="285">
        <f t="shared" si="236"/>
        <v>0</v>
      </c>
      <c r="N1985" s="1076">
        <f t="shared" si="237"/>
        <v>0</v>
      </c>
      <c r="O1985" s="294"/>
      <c r="P1985" s="404"/>
      <c r="Q1985" s="404"/>
      <c r="R1985" s="301"/>
      <c r="S1985" s="301"/>
      <c r="T1985" s="301"/>
      <c r="U1985" s="301"/>
      <c r="V1985" s="301"/>
    </row>
    <row r="1986" spans="1:22" ht="14.4" thickTop="1" thickBot="1" x14ac:dyDescent="0.3">
      <c r="A1986" s="292"/>
      <c r="B1986" s="293"/>
      <c r="C1986" s="294"/>
      <c r="D1986" s="294"/>
      <c r="E1986" s="294">
        <v>2</v>
      </c>
      <c r="F1986" s="310">
        <v>3.03</v>
      </c>
      <c r="G1986" s="310"/>
      <c r="H1986" s="310">
        <v>4.2</v>
      </c>
      <c r="I1986" s="295">
        <f t="shared" si="234"/>
        <v>25.451999999999998</v>
      </c>
      <c r="J1986" s="295"/>
      <c r="K1986" s="300">
        <f t="shared" si="238"/>
        <v>1.1000000000000001</v>
      </c>
      <c r="L1986" s="300">
        <f t="shared" si="235"/>
        <v>0</v>
      </c>
      <c r="M1986" s="285">
        <f t="shared" si="236"/>
        <v>0</v>
      </c>
      <c r="N1986" s="1076">
        <f t="shared" si="237"/>
        <v>0</v>
      </c>
      <c r="O1986" s="294"/>
      <c r="P1986" s="404"/>
      <c r="Q1986" s="404"/>
      <c r="R1986" s="301"/>
      <c r="S1986" s="301"/>
      <c r="T1986" s="301"/>
      <c r="U1986" s="301"/>
      <c r="V1986" s="301"/>
    </row>
    <row r="1987" spans="1:22" ht="14.4" thickTop="1" thickBot="1" x14ac:dyDescent="0.3">
      <c r="A1987" s="292"/>
      <c r="B1987" s="293" t="s">
        <v>846</v>
      </c>
      <c r="C1987" s="294"/>
      <c r="D1987" s="294"/>
      <c r="E1987" s="294"/>
      <c r="F1987" s="310"/>
      <c r="G1987" s="310"/>
      <c r="H1987" s="310"/>
      <c r="I1987" s="295"/>
      <c r="J1987" s="295"/>
      <c r="K1987" s="300"/>
      <c r="L1987" s="300"/>
      <c r="M1987" s="285"/>
      <c r="N1987" s="1076"/>
      <c r="O1987" s="294"/>
      <c r="P1987" s="404"/>
      <c r="Q1987" s="404"/>
      <c r="R1987" s="301"/>
      <c r="S1987" s="301"/>
      <c r="T1987" s="301"/>
      <c r="U1987" s="301"/>
      <c r="V1987" s="301"/>
    </row>
    <row r="1988" spans="1:22" ht="14.4" thickTop="1" thickBot="1" x14ac:dyDescent="0.3">
      <c r="A1988" s="292"/>
      <c r="B1988" s="293" t="s">
        <v>769</v>
      </c>
      <c r="C1988" s="294"/>
      <c r="D1988" s="294"/>
      <c r="E1988" s="294">
        <v>1</v>
      </c>
      <c r="F1988" s="310">
        <v>0.9</v>
      </c>
      <c r="G1988" s="310"/>
      <c r="H1988" s="310">
        <v>0.9</v>
      </c>
      <c r="I1988" s="295">
        <f>-H1988*F1988*E1988</f>
        <v>-0.81</v>
      </c>
      <c r="J1988" s="295"/>
      <c r="K1988" s="300"/>
      <c r="L1988" s="300"/>
      <c r="M1988" s="285"/>
      <c r="N1988" s="1076"/>
      <c r="O1988" s="294"/>
      <c r="P1988" s="404"/>
      <c r="Q1988" s="404"/>
      <c r="R1988" s="301"/>
      <c r="S1988" s="301"/>
      <c r="T1988" s="301"/>
      <c r="U1988" s="301"/>
      <c r="V1988" s="301"/>
    </row>
    <row r="1989" spans="1:22" ht="14.4" thickTop="1" thickBot="1" x14ac:dyDescent="0.3">
      <c r="A1989" s="292"/>
      <c r="B1989" s="293" t="s">
        <v>770</v>
      </c>
      <c r="C1989" s="294"/>
      <c r="D1989" s="294"/>
      <c r="E1989" s="294">
        <v>1</v>
      </c>
      <c r="F1989" s="310">
        <v>0.9</v>
      </c>
      <c r="G1989" s="310"/>
      <c r="H1989" s="310">
        <v>2.7</v>
      </c>
      <c r="I1989" s="295">
        <f>-H1989*F1989*E1989</f>
        <v>-2.4300000000000002</v>
      </c>
      <c r="J1989" s="295"/>
      <c r="K1989" s="300"/>
      <c r="L1989" s="300"/>
      <c r="M1989" s="285"/>
      <c r="N1989" s="1076"/>
      <c r="O1989" s="294"/>
      <c r="P1989" s="404"/>
      <c r="Q1989" s="404"/>
      <c r="R1989" s="301"/>
      <c r="S1989" s="301"/>
      <c r="T1989" s="301"/>
      <c r="U1989" s="301"/>
      <c r="V1989" s="301"/>
    </row>
    <row r="1990" spans="1:22" ht="14.4" thickTop="1" thickBot="1" x14ac:dyDescent="0.3">
      <c r="A1990" s="292"/>
      <c r="B1990" s="293"/>
      <c r="C1990" s="294"/>
      <c r="D1990" s="294"/>
      <c r="E1990" s="294"/>
      <c r="F1990" s="310"/>
      <c r="G1990" s="310"/>
      <c r="H1990" s="310"/>
      <c r="I1990" s="295"/>
      <c r="J1990" s="295"/>
      <c r="K1990" s="300"/>
      <c r="L1990" s="300"/>
      <c r="M1990" s="285"/>
      <c r="N1990" s="1076"/>
      <c r="O1990" s="294"/>
      <c r="P1990" s="404"/>
      <c r="Q1990" s="404"/>
      <c r="R1990" s="301"/>
      <c r="S1990" s="301"/>
      <c r="T1990" s="301"/>
      <c r="U1990" s="301"/>
      <c r="V1990" s="301"/>
    </row>
    <row r="1991" spans="1:22" ht="14.4" thickTop="1" thickBot="1" x14ac:dyDescent="0.3">
      <c r="A1991" s="292"/>
      <c r="B1991" s="296" t="s">
        <v>1858</v>
      </c>
      <c r="C1991" s="294"/>
      <c r="D1991" s="294"/>
      <c r="E1991" s="294">
        <v>2</v>
      </c>
      <c r="F1991" s="310">
        <v>3.03</v>
      </c>
      <c r="G1991" s="310"/>
      <c r="H1991" s="310">
        <v>4.2</v>
      </c>
      <c r="I1991" s="295">
        <f t="shared" si="234"/>
        <v>25.451999999999998</v>
      </c>
      <c r="J1991" s="295"/>
      <c r="K1991" s="300">
        <f t="shared" si="238"/>
        <v>1.1000000000000001</v>
      </c>
      <c r="L1991" s="300">
        <f t="shared" si="235"/>
        <v>0</v>
      </c>
      <c r="M1991" s="285">
        <f t="shared" si="236"/>
        <v>0</v>
      </c>
      <c r="N1991" s="1076">
        <f t="shared" si="237"/>
        <v>0</v>
      </c>
      <c r="O1991" s="294"/>
      <c r="P1991" s="404"/>
      <c r="Q1991" s="404"/>
      <c r="R1991" s="301"/>
      <c r="S1991" s="301"/>
      <c r="T1991" s="301"/>
      <c r="U1991" s="301"/>
      <c r="V1991" s="301"/>
    </row>
    <row r="1992" spans="1:22" ht="14.4" thickTop="1" thickBot="1" x14ac:dyDescent="0.3">
      <c r="A1992" s="292"/>
      <c r="B1992" s="296" t="s">
        <v>817</v>
      </c>
      <c r="C1992" s="294"/>
      <c r="D1992" s="294"/>
      <c r="E1992" s="294">
        <v>1</v>
      </c>
      <c r="F1992" s="310">
        <v>0.85</v>
      </c>
      <c r="G1992" s="310"/>
      <c r="H1992" s="310">
        <v>4.2</v>
      </c>
      <c r="I1992" s="295">
        <f t="shared" si="234"/>
        <v>3.57</v>
      </c>
      <c r="J1992" s="295"/>
      <c r="K1992" s="300">
        <f t="shared" si="238"/>
        <v>1.1000000000000001</v>
      </c>
      <c r="L1992" s="300">
        <f t="shared" si="235"/>
        <v>0</v>
      </c>
      <c r="M1992" s="285">
        <f t="shared" si="236"/>
        <v>0</v>
      </c>
      <c r="N1992" s="1076">
        <f t="shared" si="237"/>
        <v>0</v>
      </c>
      <c r="O1992" s="294"/>
      <c r="P1992" s="404"/>
      <c r="Q1992" s="404"/>
      <c r="R1992" s="301"/>
      <c r="S1992" s="301"/>
      <c r="T1992" s="301"/>
      <c r="U1992" s="301"/>
      <c r="V1992" s="301"/>
    </row>
    <row r="1993" spans="1:22" ht="14.4" thickTop="1" thickBot="1" x14ac:dyDescent="0.3">
      <c r="A1993" s="292"/>
      <c r="B1993" s="293"/>
      <c r="C1993" s="294"/>
      <c r="D1993" s="294"/>
      <c r="E1993" s="294">
        <v>1</v>
      </c>
      <c r="F1993" s="310">
        <v>3.03</v>
      </c>
      <c r="G1993" s="310"/>
      <c r="H1993" s="310">
        <v>4.2</v>
      </c>
      <c r="I1993" s="295">
        <f t="shared" si="234"/>
        <v>12.725999999999999</v>
      </c>
      <c r="J1993" s="295"/>
      <c r="K1993" s="300">
        <f t="shared" si="238"/>
        <v>1.1000000000000001</v>
      </c>
      <c r="L1993" s="300">
        <f t="shared" si="235"/>
        <v>0</v>
      </c>
      <c r="M1993" s="285">
        <f t="shared" si="236"/>
        <v>0</v>
      </c>
      <c r="N1993" s="1076">
        <f t="shared" si="237"/>
        <v>0</v>
      </c>
      <c r="O1993" s="294"/>
      <c r="P1993" s="404"/>
      <c r="Q1993" s="404"/>
      <c r="R1993" s="301"/>
      <c r="S1993" s="301"/>
      <c r="T1993" s="301"/>
      <c r="U1993" s="301"/>
      <c r="V1993" s="301"/>
    </row>
    <row r="1994" spans="1:22" ht="14.4" thickTop="1" thickBot="1" x14ac:dyDescent="0.3">
      <c r="A1994" s="292"/>
      <c r="B1994" s="296" t="s">
        <v>844</v>
      </c>
      <c r="C1994" s="294"/>
      <c r="D1994" s="294"/>
      <c r="E1994" s="294">
        <v>2</v>
      </c>
      <c r="F1994" s="310">
        <v>3.9</v>
      </c>
      <c r="G1994" s="310"/>
      <c r="H1994" s="310">
        <v>4.2</v>
      </c>
      <c r="I1994" s="295">
        <f t="shared" si="234"/>
        <v>32.76</v>
      </c>
      <c r="J1994" s="295"/>
      <c r="K1994" s="300">
        <f t="shared" si="238"/>
        <v>1.1000000000000001</v>
      </c>
      <c r="L1994" s="300">
        <f t="shared" si="235"/>
        <v>0</v>
      </c>
      <c r="M1994" s="285">
        <f t="shared" si="236"/>
        <v>0</v>
      </c>
      <c r="N1994" s="1076">
        <f t="shared" si="237"/>
        <v>0</v>
      </c>
      <c r="O1994" s="294"/>
      <c r="P1994" s="404"/>
      <c r="Q1994" s="404"/>
      <c r="R1994" s="301"/>
      <c r="S1994" s="301"/>
      <c r="T1994" s="301"/>
      <c r="U1994" s="301"/>
      <c r="V1994" s="301"/>
    </row>
    <row r="1995" spans="1:22" ht="14.4" thickTop="1" thickBot="1" x14ac:dyDescent="0.3">
      <c r="A1995" s="292"/>
      <c r="B1995" s="293"/>
      <c r="C1995" s="294"/>
      <c r="D1995" s="294"/>
      <c r="E1995" s="294">
        <v>1</v>
      </c>
      <c r="F1995" s="310">
        <v>6</v>
      </c>
      <c r="G1995" s="310"/>
      <c r="H1995" s="310">
        <v>4.2</v>
      </c>
      <c r="I1995" s="295">
        <f t="shared" si="234"/>
        <v>25.200000000000003</v>
      </c>
      <c r="J1995" s="295"/>
      <c r="K1995" s="300">
        <f t="shared" si="238"/>
        <v>1.1000000000000001</v>
      </c>
      <c r="L1995" s="300">
        <f t="shared" si="235"/>
        <v>0</v>
      </c>
      <c r="M1995" s="285">
        <f t="shared" si="236"/>
        <v>0</v>
      </c>
      <c r="N1995" s="1076">
        <f t="shared" si="237"/>
        <v>0</v>
      </c>
      <c r="O1995" s="294"/>
      <c r="P1995" s="404"/>
      <c r="Q1995" s="404"/>
      <c r="R1995" s="301"/>
      <c r="S1995" s="301"/>
      <c r="T1995" s="301"/>
      <c r="U1995" s="301"/>
      <c r="V1995" s="301"/>
    </row>
    <row r="1996" spans="1:22" ht="14.4" thickTop="1" thickBot="1" x14ac:dyDescent="0.3">
      <c r="A1996" s="292"/>
      <c r="B1996" s="296" t="s">
        <v>756</v>
      </c>
      <c r="C1996" s="294"/>
      <c r="D1996" s="294"/>
      <c r="E1996" s="294">
        <v>4</v>
      </c>
      <c r="F1996" s="310">
        <v>2.6</v>
      </c>
      <c r="G1996" s="310"/>
      <c r="H1996" s="310">
        <v>4.2</v>
      </c>
      <c r="I1996" s="295">
        <f t="shared" si="234"/>
        <v>43.680000000000007</v>
      </c>
      <c r="J1996" s="295"/>
      <c r="K1996" s="300">
        <f t="shared" si="238"/>
        <v>1.1000000000000001</v>
      </c>
      <c r="L1996" s="300">
        <f t="shared" si="235"/>
        <v>0</v>
      </c>
      <c r="M1996" s="285">
        <f t="shared" si="236"/>
        <v>0</v>
      </c>
      <c r="N1996" s="1076">
        <f t="shared" si="237"/>
        <v>0</v>
      </c>
      <c r="O1996" s="294"/>
      <c r="P1996" s="404"/>
      <c r="Q1996" s="404"/>
      <c r="R1996" s="301"/>
      <c r="S1996" s="301"/>
      <c r="T1996" s="301"/>
      <c r="U1996" s="301"/>
      <c r="V1996" s="301"/>
    </row>
    <row r="1997" spans="1:22" ht="14.4" thickTop="1" thickBot="1" x14ac:dyDescent="0.3">
      <c r="A1997" s="292"/>
      <c r="B1997" s="293"/>
      <c r="C1997" s="294"/>
      <c r="D1997" s="294"/>
      <c r="E1997" s="294">
        <v>4</v>
      </c>
      <c r="F1997" s="310">
        <v>2</v>
      </c>
      <c r="G1997" s="310"/>
      <c r="H1997" s="310">
        <v>4.2</v>
      </c>
      <c r="I1997" s="295">
        <f t="shared" si="234"/>
        <v>33.6</v>
      </c>
      <c r="J1997" s="295"/>
      <c r="K1997" s="300">
        <f t="shared" si="238"/>
        <v>1.1000000000000001</v>
      </c>
      <c r="L1997" s="300">
        <f t="shared" si="235"/>
        <v>0</v>
      </c>
      <c r="M1997" s="285">
        <f t="shared" si="236"/>
        <v>0</v>
      </c>
      <c r="N1997" s="1076">
        <f t="shared" si="237"/>
        <v>0</v>
      </c>
      <c r="O1997" s="294"/>
      <c r="P1997" s="404"/>
      <c r="Q1997" s="404"/>
      <c r="R1997" s="301"/>
      <c r="S1997" s="301"/>
      <c r="T1997" s="301"/>
      <c r="U1997" s="301"/>
      <c r="V1997" s="301"/>
    </row>
    <row r="1998" spans="1:22" ht="14.4" thickTop="1" thickBot="1" x14ac:dyDescent="0.3">
      <c r="A1998" s="292"/>
      <c r="B1998" s="293" t="s">
        <v>846</v>
      </c>
      <c r="C1998" s="294"/>
      <c r="D1998" s="294"/>
      <c r="E1998" s="294"/>
      <c r="F1998" s="310"/>
      <c r="G1998" s="310"/>
      <c r="H1998" s="310"/>
      <c r="I1998" s="295"/>
      <c r="J1998" s="295"/>
      <c r="K1998" s="300"/>
      <c r="L1998" s="300"/>
      <c r="M1998" s="285"/>
      <c r="N1998" s="1076"/>
      <c r="O1998" s="294"/>
      <c r="P1998" s="404"/>
      <c r="Q1998" s="404"/>
      <c r="R1998" s="301"/>
      <c r="S1998" s="301"/>
      <c r="T1998" s="301"/>
      <c r="U1998" s="301"/>
      <c r="V1998" s="301"/>
    </row>
    <row r="1999" spans="1:22" ht="14.4" thickTop="1" thickBot="1" x14ac:dyDescent="0.3">
      <c r="A1999" s="292"/>
      <c r="B1999" s="293" t="s">
        <v>1474</v>
      </c>
      <c r="C1999" s="294"/>
      <c r="D1999" s="294"/>
      <c r="E1999" s="294">
        <v>1</v>
      </c>
      <c r="F1999" s="310">
        <v>1.1599999999999999</v>
      </c>
      <c r="G1999" s="310"/>
      <c r="H1999" s="310"/>
      <c r="I1999" s="295"/>
      <c r="J1999" s="295"/>
      <c r="K1999" s="300"/>
      <c r="L1999" s="300"/>
      <c r="M1999" s="285"/>
      <c r="N1999" s="1076"/>
      <c r="O1999" s="294"/>
      <c r="P1999" s="404"/>
      <c r="Q1999" s="404"/>
      <c r="R1999" s="301"/>
      <c r="S1999" s="301"/>
      <c r="T1999" s="301"/>
      <c r="U1999" s="301"/>
      <c r="V1999" s="301"/>
    </row>
    <row r="2000" spans="1:22" ht="14.4" thickTop="1" thickBot="1" x14ac:dyDescent="0.3">
      <c r="A2000" s="292"/>
      <c r="B2000" s="296" t="s">
        <v>1892</v>
      </c>
      <c r="C2000" s="294"/>
      <c r="D2000" s="294"/>
      <c r="E2000" s="294">
        <v>3</v>
      </c>
      <c r="F2000" s="310">
        <v>3.5249999999999999</v>
      </c>
      <c r="G2000" s="310"/>
      <c r="H2000" s="310">
        <v>4.2</v>
      </c>
      <c r="I2000" s="295">
        <f t="shared" si="234"/>
        <v>44.414999999999999</v>
      </c>
      <c r="J2000" s="295"/>
      <c r="K2000" s="300">
        <f t="shared" si="238"/>
        <v>1.1000000000000001</v>
      </c>
      <c r="L2000" s="300">
        <f t="shared" si="235"/>
        <v>0</v>
      </c>
      <c r="M2000" s="285">
        <f t="shared" si="236"/>
        <v>0</v>
      </c>
      <c r="N2000" s="1076">
        <f t="shared" si="237"/>
        <v>0</v>
      </c>
      <c r="O2000" s="294"/>
      <c r="P2000" s="404"/>
      <c r="Q2000" s="404"/>
      <c r="R2000" s="301"/>
      <c r="S2000" s="301"/>
      <c r="T2000" s="301"/>
      <c r="U2000" s="301"/>
      <c r="V2000" s="301"/>
    </row>
    <row r="2001" spans="1:22" ht="14.4" thickTop="1" thickBot="1" x14ac:dyDescent="0.3">
      <c r="A2001" s="292"/>
      <c r="B2001" s="293"/>
      <c r="C2001" s="294"/>
      <c r="D2001" s="294"/>
      <c r="E2001" s="294">
        <v>4</v>
      </c>
      <c r="F2001" s="310">
        <v>2.2250000000000001</v>
      </c>
      <c r="G2001" s="310"/>
      <c r="H2001" s="310">
        <v>4.2</v>
      </c>
      <c r="I2001" s="295">
        <f t="shared" si="234"/>
        <v>37.380000000000003</v>
      </c>
      <c r="J2001" s="295"/>
      <c r="K2001" s="300">
        <f t="shared" si="238"/>
        <v>1.1000000000000001</v>
      </c>
      <c r="L2001" s="300">
        <f t="shared" si="235"/>
        <v>0</v>
      </c>
      <c r="M2001" s="285">
        <f t="shared" si="236"/>
        <v>0</v>
      </c>
      <c r="N2001" s="1076">
        <f t="shared" si="237"/>
        <v>0</v>
      </c>
      <c r="O2001" s="294"/>
      <c r="P2001" s="404"/>
      <c r="Q2001" s="404"/>
      <c r="R2001" s="301"/>
      <c r="S2001" s="301"/>
      <c r="T2001" s="301"/>
      <c r="U2001" s="301"/>
      <c r="V2001" s="301"/>
    </row>
    <row r="2002" spans="1:22" ht="14.4" thickTop="1" thickBot="1" x14ac:dyDescent="0.3">
      <c r="A2002" s="292"/>
      <c r="B2002" s="293" t="s">
        <v>846</v>
      </c>
      <c r="C2002" s="294"/>
      <c r="D2002" s="294"/>
      <c r="E2002" s="294"/>
      <c r="F2002" s="310"/>
      <c r="G2002" s="310"/>
      <c r="H2002" s="310"/>
      <c r="I2002" s="295"/>
      <c r="J2002" s="295"/>
      <c r="K2002" s="300"/>
      <c r="L2002" s="300"/>
      <c r="M2002" s="285"/>
      <c r="N2002" s="1076"/>
      <c r="O2002" s="294"/>
      <c r="P2002" s="404"/>
      <c r="Q2002" s="404"/>
      <c r="R2002" s="301"/>
      <c r="S2002" s="301"/>
      <c r="T2002" s="301"/>
      <c r="U2002" s="301"/>
      <c r="V2002" s="301"/>
    </row>
    <row r="2003" spans="1:22" ht="14.4" thickTop="1" thickBot="1" x14ac:dyDescent="0.3">
      <c r="A2003" s="292"/>
      <c r="B2003" s="293" t="s">
        <v>770</v>
      </c>
      <c r="C2003" s="294"/>
      <c r="D2003" s="294"/>
      <c r="E2003" s="294">
        <v>1</v>
      </c>
      <c r="F2003" s="310">
        <v>0.9</v>
      </c>
      <c r="G2003" s="310"/>
      <c r="H2003" s="310">
        <v>2.7</v>
      </c>
      <c r="I2003" s="295">
        <f>-H2003*F2003*E2003</f>
        <v>-2.4300000000000002</v>
      </c>
      <c r="J2003" s="295"/>
      <c r="K2003" s="300"/>
      <c r="L2003" s="300"/>
      <c r="M2003" s="285"/>
      <c r="N2003" s="1076"/>
      <c r="O2003" s="294"/>
      <c r="P2003" s="404"/>
      <c r="Q2003" s="404"/>
      <c r="R2003" s="301"/>
      <c r="S2003" s="301"/>
      <c r="T2003" s="301"/>
      <c r="U2003" s="301"/>
      <c r="V2003" s="301"/>
    </row>
    <row r="2004" spans="1:22" ht="14.4" thickTop="1" thickBot="1" x14ac:dyDescent="0.3">
      <c r="A2004" s="292"/>
      <c r="B2004" s="293"/>
      <c r="C2004" s="294"/>
      <c r="D2004" s="294"/>
      <c r="E2004" s="294"/>
      <c r="F2004" s="310"/>
      <c r="G2004" s="310"/>
      <c r="H2004" s="310"/>
      <c r="I2004" s="295"/>
      <c r="J2004" s="295"/>
      <c r="K2004" s="300"/>
      <c r="L2004" s="300"/>
      <c r="M2004" s="285"/>
      <c r="N2004" s="1076"/>
      <c r="O2004" s="294"/>
      <c r="P2004" s="404"/>
      <c r="Q2004" s="404"/>
      <c r="R2004" s="301"/>
      <c r="S2004" s="301"/>
      <c r="T2004" s="301"/>
      <c r="U2004" s="301"/>
      <c r="V2004" s="301"/>
    </row>
    <row r="2005" spans="1:22" ht="14.4" thickTop="1" thickBot="1" x14ac:dyDescent="0.3">
      <c r="A2005" s="292"/>
      <c r="B2005" s="296" t="s">
        <v>1893</v>
      </c>
      <c r="C2005" s="294"/>
      <c r="D2005" s="294"/>
      <c r="E2005" s="294">
        <v>2</v>
      </c>
      <c r="F2005" s="310">
        <v>3.6749999999999998</v>
      </c>
      <c r="G2005" s="310"/>
      <c r="H2005" s="310">
        <v>4.2</v>
      </c>
      <c r="I2005" s="295">
        <f t="shared" si="234"/>
        <v>30.87</v>
      </c>
      <c r="J2005" s="295"/>
      <c r="K2005" s="300">
        <f t="shared" si="238"/>
        <v>1.1000000000000001</v>
      </c>
      <c r="L2005" s="300">
        <f t="shared" si="235"/>
        <v>0</v>
      </c>
      <c r="M2005" s="285">
        <f t="shared" si="236"/>
        <v>0</v>
      </c>
      <c r="N2005" s="1076">
        <f t="shared" si="237"/>
        <v>0</v>
      </c>
      <c r="O2005" s="294"/>
      <c r="P2005" s="404"/>
      <c r="Q2005" s="404"/>
      <c r="R2005" s="301"/>
      <c r="S2005" s="301"/>
      <c r="T2005" s="301"/>
      <c r="U2005" s="301"/>
      <c r="V2005" s="301"/>
    </row>
    <row r="2006" spans="1:22" ht="14.4" thickTop="1" thickBot="1" x14ac:dyDescent="0.3">
      <c r="A2006" s="292"/>
      <c r="B2006" s="293"/>
      <c r="C2006" s="294"/>
      <c r="D2006" s="294"/>
      <c r="E2006" s="294">
        <v>3</v>
      </c>
      <c r="F2006" s="310">
        <v>1.7749999999999999</v>
      </c>
      <c r="G2006" s="310"/>
      <c r="H2006" s="310">
        <v>4.2</v>
      </c>
      <c r="I2006" s="295">
        <f t="shared" si="234"/>
        <v>22.365000000000002</v>
      </c>
      <c r="J2006" s="295"/>
      <c r="K2006" s="300">
        <f t="shared" si="238"/>
        <v>1.1000000000000001</v>
      </c>
      <c r="L2006" s="300">
        <f t="shared" si="235"/>
        <v>0</v>
      </c>
      <c r="M2006" s="285">
        <f t="shared" si="236"/>
        <v>0</v>
      </c>
      <c r="N2006" s="1076">
        <f t="shared" si="237"/>
        <v>0</v>
      </c>
      <c r="O2006" s="294"/>
      <c r="P2006" s="404"/>
      <c r="Q2006" s="404"/>
      <c r="R2006" s="301"/>
      <c r="S2006" s="301"/>
      <c r="T2006" s="301"/>
      <c r="U2006" s="301"/>
      <c r="V2006" s="301"/>
    </row>
    <row r="2007" spans="1:22" ht="14.4" thickTop="1" thickBot="1" x14ac:dyDescent="0.3">
      <c r="A2007" s="292"/>
      <c r="B2007" s="293" t="s">
        <v>846</v>
      </c>
      <c r="C2007" s="294"/>
      <c r="D2007" s="294"/>
      <c r="E2007" s="294"/>
      <c r="F2007" s="310"/>
      <c r="G2007" s="310"/>
      <c r="H2007" s="310"/>
      <c r="I2007" s="295"/>
      <c r="J2007" s="295"/>
      <c r="K2007" s="300"/>
      <c r="L2007" s="300"/>
      <c r="M2007" s="285"/>
      <c r="N2007" s="1076"/>
      <c r="O2007" s="294"/>
      <c r="P2007" s="404"/>
      <c r="Q2007" s="404"/>
      <c r="R2007" s="301"/>
      <c r="S2007" s="301"/>
      <c r="T2007" s="301"/>
      <c r="U2007" s="301"/>
      <c r="V2007" s="301"/>
    </row>
    <row r="2008" spans="1:22" ht="14.4" thickTop="1" thickBot="1" x14ac:dyDescent="0.3">
      <c r="A2008" s="292"/>
      <c r="B2008" s="293" t="s">
        <v>770</v>
      </c>
      <c r="C2008" s="294"/>
      <c r="D2008" s="294"/>
      <c r="E2008" s="294">
        <v>2</v>
      </c>
      <c r="F2008" s="310">
        <v>0.9</v>
      </c>
      <c r="G2008" s="310"/>
      <c r="H2008" s="310">
        <v>2.7</v>
      </c>
      <c r="I2008" s="295">
        <f>-H2008*F2008*E2008</f>
        <v>-4.8600000000000003</v>
      </c>
      <c r="J2008" s="295"/>
      <c r="K2008" s="300"/>
      <c r="L2008" s="300"/>
      <c r="M2008" s="285"/>
      <c r="N2008" s="1076"/>
      <c r="O2008" s="294"/>
      <c r="P2008" s="404"/>
      <c r="Q2008" s="404"/>
      <c r="R2008" s="301"/>
      <c r="S2008" s="301"/>
      <c r="T2008" s="301"/>
      <c r="U2008" s="301"/>
      <c r="V2008" s="301"/>
    </row>
    <row r="2009" spans="1:22" ht="14.4" thickTop="1" thickBot="1" x14ac:dyDescent="0.3">
      <c r="A2009" s="292"/>
      <c r="B2009" s="293" t="s">
        <v>1858</v>
      </c>
      <c r="C2009" s="294"/>
      <c r="D2009" s="294"/>
      <c r="E2009" s="294">
        <v>2</v>
      </c>
      <c r="F2009" s="310">
        <v>6.3</v>
      </c>
      <c r="G2009" s="310"/>
      <c r="H2009" s="310">
        <v>4.2</v>
      </c>
      <c r="I2009" s="295">
        <f t="shared" ref="I2009:I2031" si="239">H2009*F2009*E2009</f>
        <v>52.92</v>
      </c>
      <c r="J2009" s="295"/>
      <c r="K2009" s="300"/>
      <c r="L2009" s="300"/>
      <c r="M2009" s="285"/>
      <c r="N2009" s="1076"/>
      <c r="O2009" s="294"/>
      <c r="P2009" s="404"/>
      <c r="Q2009" s="404"/>
      <c r="R2009" s="301"/>
      <c r="S2009" s="301"/>
      <c r="T2009" s="301"/>
      <c r="U2009" s="301"/>
      <c r="V2009" s="301"/>
    </row>
    <row r="2010" spans="1:22" ht="14.4" thickTop="1" thickBot="1" x14ac:dyDescent="0.3">
      <c r="A2010" s="292"/>
      <c r="B2010" s="296" t="s">
        <v>1894</v>
      </c>
      <c r="C2010" s="294"/>
      <c r="D2010" s="294"/>
      <c r="E2010" s="294">
        <v>1</v>
      </c>
      <c r="F2010" s="310">
        <v>9.1129999999999995</v>
      </c>
      <c r="G2010" s="310"/>
      <c r="H2010" s="310">
        <v>4.2</v>
      </c>
      <c r="I2010" s="295">
        <f t="shared" si="239"/>
        <v>38.2746</v>
      </c>
      <c r="J2010" s="295"/>
      <c r="K2010" s="300">
        <f t="shared" si="238"/>
        <v>1.1000000000000001</v>
      </c>
      <c r="L2010" s="300">
        <f t="shared" si="235"/>
        <v>0</v>
      </c>
      <c r="M2010" s="285">
        <f t="shared" si="236"/>
        <v>0</v>
      </c>
      <c r="N2010" s="1076">
        <f t="shared" si="237"/>
        <v>0</v>
      </c>
      <c r="O2010" s="294"/>
      <c r="P2010" s="404"/>
      <c r="Q2010" s="404"/>
      <c r="R2010" s="301"/>
      <c r="S2010" s="301"/>
      <c r="T2010" s="301"/>
      <c r="U2010" s="301"/>
      <c r="V2010" s="301"/>
    </row>
    <row r="2011" spans="1:22" ht="14.4" thickTop="1" thickBot="1" x14ac:dyDescent="0.3">
      <c r="A2011" s="292"/>
      <c r="B2011" s="293"/>
      <c r="C2011" s="294"/>
      <c r="D2011" s="294"/>
      <c r="E2011" s="294">
        <v>1</v>
      </c>
      <c r="F2011" s="310">
        <v>1.7749999999999999</v>
      </c>
      <c r="G2011" s="310"/>
      <c r="H2011" s="310">
        <v>4.2</v>
      </c>
      <c r="I2011" s="295">
        <f t="shared" si="239"/>
        <v>7.4550000000000001</v>
      </c>
      <c r="J2011" s="295"/>
      <c r="K2011" s="300">
        <f t="shared" si="238"/>
        <v>1.1000000000000001</v>
      </c>
      <c r="L2011" s="300">
        <f t="shared" si="235"/>
        <v>0</v>
      </c>
      <c r="M2011" s="285">
        <f t="shared" si="236"/>
        <v>0</v>
      </c>
      <c r="N2011" s="1076">
        <f t="shared" si="237"/>
        <v>0</v>
      </c>
      <c r="O2011" s="294"/>
      <c r="P2011" s="404"/>
      <c r="Q2011" s="404"/>
      <c r="R2011" s="301"/>
      <c r="S2011" s="301"/>
      <c r="T2011" s="301"/>
      <c r="U2011" s="301"/>
      <c r="V2011" s="301"/>
    </row>
    <row r="2012" spans="1:22" ht="14.4" thickTop="1" thickBot="1" x14ac:dyDescent="0.3">
      <c r="A2012" s="292"/>
      <c r="B2012" s="293"/>
      <c r="C2012" s="294"/>
      <c r="D2012" s="294"/>
      <c r="E2012" s="294">
        <v>1</v>
      </c>
      <c r="F2012" s="310">
        <v>0.55000000000000004</v>
      </c>
      <c r="G2012" s="310"/>
      <c r="H2012" s="310">
        <v>4.2</v>
      </c>
      <c r="I2012" s="295">
        <f t="shared" si="239"/>
        <v>2.3100000000000005</v>
      </c>
      <c r="J2012" s="295"/>
      <c r="K2012" s="300">
        <f t="shared" si="238"/>
        <v>1.1000000000000001</v>
      </c>
      <c r="L2012" s="300">
        <f t="shared" si="235"/>
        <v>0</v>
      </c>
      <c r="M2012" s="285">
        <f t="shared" si="236"/>
        <v>0</v>
      </c>
      <c r="N2012" s="1076">
        <f t="shared" si="237"/>
        <v>0</v>
      </c>
      <c r="O2012" s="294"/>
      <c r="P2012" s="404"/>
      <c r="Q2012" s="404"/>
      <c r="R2012" s="301"/>
      <c r="S2012" s="301"/>
      <c r="T2012" s="301"/>
      <c r="U2012" s="301"/>
      <c r="V2012" s="301"/>
    </row>
    <row r="2013" spans="1:22" ht="14.4" thickTop="1" thickBot="1" x14ac:dyDescent="0.3">
      <c r="A2013" s="292"/>
      <c r="B2013" s="293"/>
      <c r="C2013" s="294"/>
      <c r="D2013" s="294"/>
      <c r="E2013" s="294">
        <v>1</v>
      </c>
      <c r="F2013" s="310">
        <v>6.3</v>
      </c>
      <c r="G2013" s="310"/>
      <c r="H2013" s="310">
        <v>4.2</v>
      </c>
      <c r="I2013" s="295">
        <f t="shared" si="239"/>
        <v>26.46</v>
      </c>
      <c r="J2013" s="295"/>
      <c r="K2013" s="300">
        <f t="shared" si="238"/>
        <v>1.1000000000000001</v>
      </c>
      <c r="L2013" s="300">
        <f t="shared" si="235"/>
        <v>0</v>
      </c>
      <c r="M2013" s="285">
        <f t="shared" si="236"/>
        <v>0</v>
      </c>
      <c r="N2013" s="1076">
        <f t="shared" si="237"/>
        <v>0</v>
      </c>
      <c r="O2013" s="294"/>
      <c r="P2013" s="404"/>
      <c r="Q2013" s="404"/>
      <c r="R2013" s="301"/>
      <c r="S2013" s="301"/>
      <c r="T2013" s="301"/>
      <c r="U2013" s="301"/>
      <c r="V2013" s="301"/>
    </row>
    <row r="2014" spans="1:22" ht="14.4" thickTop="1" thickBot="1" x14ac:dyDescent="0.3">
      <c r="A2014" s="292"/>
      <c r="B2014" s="293"/>
      <c r="C2014" s="294"/>
      <c r="D2014" s="294"/>
      <c r="E2014" s="294">
        <v>2</v>
      </c>
      <c r="F2014" s="310">
        <v>3.1</v>
      </c>
      <c r="G2014" s="310"/>
      <c r="H2014" s="310">
        <v>4.2</v>
      </c>
      <c r="I2014" s="295">
        <f t="shared" si="239"/>
        <v>26.040000000000003</v>
      </c>
      <c r="J2014" s="295"/>
      <c r="K2014" s="300">
        <f t="shared" si="238"/>
        <v>1.1000000000000001</v>
      </c>
      <c r="L2014" s="300">
        <f t="shared" si="235"/>
        <v>0</v>
      </c>
      <c r="M2014" s="285">
        <f t="shared" si="236"/>
        <v>0</v>
      </c>
      <c r="N2014" s="1076">
        <f t="shared" si="237"/>
        <v>0</v>
      </c>
      <c r="O2014" s="294"/>
      <c r="P2014" s="404"/>
      <c r="Q2014" s="404"/>
      <c r="R2014" s="301"/>
      <c r="S2014" s="301"/>
      <c r="T2014" s="301"/>
      <c r="U2014" s="301"/>
      <c r="V2014" s="301"/>
    </row>
    <row r="2015" spans="1:22" ht="14.4" thickTop="1" thickBot="1" x14ac:dyDescent="0.3">
      <c r="A2015" s="292"/>
      <c r="B2015" s="293"/>
      <c r="C2015" s="294"/>
      <c r="D2015" s="294"/>
      <c r="E2015" s="294">
        <v>2</v>
      </c>
      <c r="F2015" s="310">
        <v>5.1550000000000002</v>
      </c>
      <c r="G2015" s="310"/>
      <c r="H2015" s="310">
        <v>4.2</v>
      </c>
      <c r="I2015" s="295">
        <f t="shared" si="239"/>
        <v>43.302000000000007</v>
      </c>
      <c r="J2015" s="295"/>
      <c r="K2015" s="300">
        <f t="shared" si="238"/>
        <v>1.1000000000000001</v>
      </c>
      <c r="L2015" s="300">
        <f t="shared" si="235"/>
        <v>0</v>
      </c>
      <c r="M2015" s="285">
        <f t="shared" si="236"/>
        <v>0</v>
      </c>
      <c r="N2015" s="1076">
        <f t="shared" si="237"/>
        <v>0</v>
      </c>
      <c r="O2015" s="294"/>
      <c r="P2015" s="404"/>
      <c r="Q2015" s="404"/>
      <c r="R2015" s="301"/>
      <c r="S2015" s="301"/>
      <c r="T2015" s="301"/>
      <c r="U2015" s="301"/>
      <c r="V2015" s="301"/>
    </row>
    <row r="2016" spans="1:22" ht="14.4" thickTop="1" thickBot="1" x14ac:dyDescent="0.3">
      <c r="A2016" s="292"/>
      <c r="B2016" s="293"/>
      <c r="C2016" s="294"/>
      <c r="D2016" s="294"/>
      <c r="E2016" s="294">
        <v>1</v>
      </c>
      <c r="F2016" s="310">
        <v>4.6749999999999998</v>
      </c>
      <c r="G2016" s="310"/>
      <c r="H2016" s="310">
        <v>4.2</v>
      </c>
      <c r="I2016" s="295">
        <f t="shared" si="239"/>
        <v>19.635000000000002</v>
      </c>
      <c r="J2016" s="295"/>
      <c r="K2016" s="300">
        <f t="shared" si="238"/>
        <v>1.1000000000000001</v>
      </c>
      <c r="L2016" s="300">
        <f t="shared" si="235"/>
        <v>0</v>
      </c>
      <c r="M2016" s="285">
        <f t="shared" si="236"/>
        <v>0</v>
      </c>
      <c r="N2016" s="1076">
        <f t="shared" si="237"/>
        <v>0</v>
      </c>
      <c r="O2016" s="294"/>
      <c r="P2016" s="404"/>
      <c r="Q2016" s="404"/>
      <c r="R2016" s="301"/>
      <c r="S2016" s="301"/>
      <c r="T2016" s="301"/>
      <c r="U2016" s="301"/>
      <c r="V2016" s="301"/>
    </row>
    <row r="2017" spans="1:22" ht="14.4" thickTop="1" thickBot="1" x14ac:dyDescent="0.3">
      <c r="A2017" s="292"/>
      <c r="B2017" s="293"/>
      <c r="C2017" s="294"/>
      <c r="D2017" s="294"/>
      <c r="E2017" s="294">
        <v>1</v>
      </c>
      <c r="F2017" s="310">
        <v>4.3</v>
      </c>
      <c r="G2017" s="310"/>
      <c r="H2017" s="310">
        <v>4.2</v>
      </c>
      <c r="I2017" s="295">
        <f t="shared" si="239"/>
        <v>18.059999999999999</v>
      </c>
      <c r="J2017" s="295"/>
      <c r="K2017" s="300">
        <f t="shared" si="238"/>
        <v>1.1000000000000001</v>
      </c>
      <c r="L2017" s="300">
        <f t="shared" si="235"/>
        <v>0</v>
      </c>
      <c r="M2017" s="285">
        <f t="shared" si="236"/>
        <v>0</v>
      </c>
      <c r="N2017" s="1076">
        <f t="shared" si="237"/>
        <v>0</v>
      </c>
      <c r="O2017" s="294"/>
      <c r="P2017" s="404"/>
      <c r="Q2017" s="404"/>
      <c r="R2017" s="301"/>
      <c r="S2017" s="301"/>
      <c r="T2017" s="301"/>
      <c r="U2017" s="301"/>
      <c r="V2017" s="301"/>
    </row>
    <row r="2018" spans="1:22" ht="14.4" thickTop="1" thickBot="1" x14ac:dyDescent="0.3">
      <c r="A2018" s="292"/>
      <c r="B2018" s="293"/>
      <c r="C2018" s="294"/>
      <c r="D2018" s="294"/>
      <c r="E2018" s="294">
        <v>1</v>
      </c>
      <c r="F2018" s="310">
        <v>8</v>
      </c>
      <c r="G2018" s="310"/>
      <c r="H2018" s="310">
        <v>4.2</v>
      </c>
      <c r="I2018" s="295">
        <f t="shared" si="239"/>
        <v>33.6</v>
      </c>
      <c r="J2018" s="295"/>
      <c r="K2018" s="300">
        <f t="shared" si="238"/>
        <v>1.1000000000000001</v>
      </c>
      <c r="L2018" s="300">
        <f t="shared" si="235"/>
        <v>0</v>
      </c>
      <c r="M2018" s="285">
        <f t="shared" si="236"/>
        <v>0</v>
      </c>
      <c r="N2018" s="1076">
        <f t="shared" si="237"/>
        <v>0</v>
      </c>
      <c r="O2018" s="294"/>
      <c r="P2018" s="404"/>
      <c r="Q2018" s="404"/>
      <c r="R2018" s="301"/>
      <c r="S2018" s="301"/>
      <c r="T2018" s="301"/>
      <c r="U2018" s="301"/>
      <c r="V2018" s="301"/>
    </row>
    <row r="2019" spans="1:22" ht="14.4" thickTop="1" thickBot="1" x14ac:dyDescent="0.3">
      <c r="A2019" s="292"/>
      <c r="B2019" s="293"/>
      <c r="C2019" s="294"/>
      <c r="D2019" s="294"/>
      <c r="E2019" s="294">
        <v>4</v>
      </c>
      <c r="F2019" s="310">
        <v>1.85</v>
      </c>
      <c r="G2019" s="310"/>
      <c r="H2019" s="310">
        <v>4.2</v>
      </c>
      <c r="I2019" s="295">
        <f t="shared" si="239"/>
        <v>31.080000000000002</v>
      </c>
      <c r="J2019" s="295"/>
      <c r="K2019" s="300">
        <f t="shared" si="238"/>
        <v>1.1000000000000001</v>
      </c>
      <c r="L2019" s="300">
        <f t="shared" si="235"/>
        <v>0</v>
      </c>
      <c r="M2019" s="285">
        <f t="shared" si="236"/>
        <v>0</v>
      </c>
      <c r="N2019" s="1076">
        <f t="shared" si="237"/>
        <v>0</v>
      </c>
      <c r="O2019" s="294"/>
      <c r="P2019" s="404"/>
      <c r="Q2019" s="404"/>
      <c r="R2019" s="301"/>
      <c r="S2019" s="301"/>
      <c r="T2019" s="301"/>
      <c r="U2019" s="301"/>
      <c r="V2019" s="301"/>
    </row>
    <row r="2020" spans="1:22" ht="14.4" thickTop="1" thickBot="1" x14ac:dyDescent="0.3">
      <c r="A2020" s="292"/>
      <c r="B2020" s="293"/>
      <c r="C2020" s="294"/>
      <c r="D2020" s="294"/>
      <c r="E2020" s="294">
        <v>1</v>
      </c>
      <c r="F2020" s="310">
        <v>18.774999999999999</v>
      </c>
      <c r="G2020" s="310"/>
      <c r="H2020" s="310">
        <v>4.2</v>
      </c>
      <c r="I2020" s="295">
        <f t="shared" si="239"/>
        <v>78.855000000000004</v>
      </c>
      <c r="J2020" s="295"/>
      <c r="K2020" s="300">
        <f t="shared" si="238"/>
        <v>1.1000000000000001</v>
      </c>
      <c r="L2020" s="300">
        <f t="shared" si="235"/>
        <v>0</v>
      </c>
      <c r="M2020" s="285">
        <f t="shared" si="236"/>
        <v>0</v>
      </c>
      <c r="N2020" s="1076">
        <f t="shared" si="237"/>
        <v>0</v>
      </c>
      <c r="O2020" s="294"/>
      <c r="P2020" s="404"/>
      <c r="Q2020" s="404"/>
      <c r="R2020" s="301"/>
      <c r="S2020" s="301"/>
      <c r="T2020" s="301"/>
      <c r="U2020" s="301"/>
      <c r="V2020" s="301"/>
    </row>
    <row r="2021" spans="1:22" ht="14.4" thickTop="1" thickBot="1" x14ac:dyDescent="0.3">
      <c r="A2021" s="292"/>
      <c r="B2021" s="293" t="s">
        <v>846</v>
      </c>
      <c r="C2021" s="294"/>
      <c r="D2021" s="294"/>
      <c r="E2021" s="294"/>
      <c r="F2021" s="310"/>
      <c r="G2021" s="310"/>
      <c r="H2021" s="310"/>
      <c r="I2021" s="295"/>
      <c r="J2021" s="295"/>
      <c r="K2021" s="300"/>
      <c r="L2021" s="300"/>
      <c r="M2021" s="285"/>
      <c r="N2021" s="1076"/>
      <c r="O2021" s="294"/>
      <c r="P2021" s="404"/>
      <c r="Q2021" s="404"/>
      <c r="R2021" s="301"/>
      <c r="S2021" s="301"/>
      <c r="T2021" s="301"/>
      <c r="U2021" s="301"/>
      <c r="V2021" s="301"/>
    </row>
    <row r="2022" spans="1:22" ht="14.4" thickTop="1" thickBot="1" x14ac:dyDescent="0.3">
      <c r="A2022" s="292"/>
      <c r="B2022" s="293" t="s">
        <v>769</v>
      </c>
      <c r="C2022" s="294"/>
      <c r="D2022" s="294"/>
      <c r="E2022" s="294">
        <v>2</v>
      </c>
      <c r="F2022" s="310">
        <v>0.9</v>
      </c>
      <c r="G2022" s="310"/>
      <c r="H2022" s="310">
        <v>0.9</v>
      </c>
      <c r="I2022" s="295">
        <f t="shared" ref="I2022:I2024" si="240">-H2022*F2022*E2022</f>
        <v>-1.62</v>
      </c>
      <c r="J2022" s="295"/>
      <c r="K2022" s="300"/>
      <c r="L2022" s="300"/>
      <c r="M2022" s="285"/>
      <c r="N2022" s="1076"/>
      <c r="O2022" s="294"/>
      <c r="P2022" s="404"/>
      <c r="Q2022" s="404"/>
      <c r="R2022" s="301"/>
      <c r="S2022" s="301"/>
      <c r="T2022" s="301"/>
      <c r="U2022" s="301"/>
      <c r="V2022" s="301"/>
    </row>
    <row r="2023" spans="1:22" ht="14.4" thickTop="1" thickBot="1" x14ac:dyDescent="0.3">
      <c r="A2023" s="292"/>
      <c r="B2023" s="293" t="s">
        <v>1860</v>
      </c>
      <c r="C2023" s="294"/>
      <c r="D2023" s="294"/>
      <c r="E2023" s="294">
        <v>1</v>
      </c>
      <c r="F2023" s="310">
        <v>0.9</v>
      </c>
      <c r="G2023" s="310"/>
      <c r="H2023" s="310">
        <v>2.7</v>
      </c>
      <c r="I2023" s="295">
        <f t="shared" si="240"/>
        <v>-2.4300000000000002</v>
      </c>
      <c r="J2023" s="295"/>
      <c r="K2023" s="300"/>
      <c r="L2023" s="300"/>
      <c r="M2023" s="285"/>
      <c r="N2023" s="1076"/>
      <c r="O2023" s="294"/>
      <c r="P2023" s="404"/>
      <c r="Q2023" s="404"/>
      <c r="R2023" s="301"/>
      <c r="S2023" s="301"/>
      <c r="T2023" s="301"/>
      <c r="U2023" s="301"/>
      <c r="V2023" s="301"/>
    </row>
    <row r="2024" spans="1:22" ht="14.4" thickTop="1" thickBot="1" x14ac:dyDescent="0.3">
      <c r="A2024" s="292"/>
      <c r="B2024" s="293" t="s">
        <v>1861</v>
      </c>
      <c r="C2024" s="294"/>
      <c r="D2024" s="294"/>
      <c r="E2024" s="294">
        <v>1</v>
      </c>
      <c r="F2024" s="310">
        <v>0.9</v>
      </c>
      <c r="G2024" s="310"/>
      <c r="H2024" s="310">
        <v>2.4</v>
      </c>
      <c r="I2024" s="295">
        <f t="shared" si="240"/>
        <v>-2.16</v>
      </c>
      <c r="J2024" s="295"/>
      <c r="K2024" s="300"/>
      <c r="L2024" s="300"/>
      <c r="M2024" s="285"/>
      <c r="N2024" s="1076"/>
      <c r="O2024" s="294"/>
      <c r="P2024" s="404"/>
      <c r="Q2024" s="404"/>
      <c r="R2024" s="301"/>
      <c r="S2024" s="301"/>
      <c r="T2024" s="301"/>
      <c r="U2024" s="301"/>
      <c r="V2024" s="301"/>
    </row>
    <row r="2025" spans="1:22" ht="14.4" thickTop="1" thickBot="1" x14ac:dyDescent="0.3">
      <c r="A2025" s="292"/>
      <c r="B2025" s="293" t="s">
        <v>1895</v>
      </c>
      <c r="C2025" s="294"/>
      <c r="D2025" s="294"/>
      <c r="E2025" s="294">
        <v>1</v>
      </c>
      <c r="F2025" s="310">
        <v>10.313000000000001</v>
      </c>
      <c r="G2025" s="310"/>
      <c r="H2025" s="310">
        <v>4.2</v>
      </c>
      <c r="I2025" s="295">
        <f t="shared" si="239"/>
        <v>43.314600000000006</v>
      </c>
      <c r="J2025" s="295"/>
      <c r="K2025" s="300">
        <f t="shared" si="238"/>
        <v>1.1000000000000001</v>
      </c>
      <c r="L2025" s="300">
        <f t="shared" si="235"/>
        <v>0</v>
      </c>
      <c r="M2025" s="285">
        <f t="shared" si="236"/>
        <v>0</v>
      </c>
      <c r="N2025" s="1076">
        <f t="shared" si="237"/>
        <v>0</v>
      </c>
      <c r="O2025" s="294"/>
      <c r="P2025" s="404"/>
      <c r="Q2025" s="404"/>
      <c r="R2025" s="301"/>
      <c r="S2025" s="301"/>
      <c r="T2025" s="301"/>
      <c r="U2025" s="301"/>
      <c r="V2025" s="301"/>
    </row>
    <row r="2026" spans="1:22" ht="14.4" thickTop="1" thickBot="1" x14ac:dyDescent="0.3">
      <c r="A2026" s="292"/>
      <c r="B2026" s="293"/>
      <c r="C2026" s="294"/>
      <c r="D2026" s="294"/>
      <c r="E2026" s="294">
        <v>2</v>
      </c>
      <c r="F2026" s="310">
        <v>5.1550000000000002</v>
      </c>
      <c r="G2026" s="310"/>
      <c r="H2026" s="310">
        <v>4.2</v>
      </c>
      <c r="I2026" s="295">
        <f t="shared" si="239"/>
        <v>43.302000000000007</v>
      </c>
      <c r="J2026" s="295"/>
      <c r="K2026" s="300">
        <f t="shared" si="238"/>
        <v>1.1000000000000001</v>
      </c>
      <c r="L2026" s="300">
        <f t="shared" si="235"/>
        <v>0</v>
      </c>
      <c r="M2026" s="285">
        <f t="shared" si="236"/>
        <v>0</v>
      </c>
      <c r="N2026" s="1076">
        <f t="shared" si="237"/>
        <v>0</v>
      </c>
      <c r="O2026" s="294"/>
      <c r="P2026" s="404"/>
      <c r="Q2026" s="404"/>
      <c r="R2026" s="301"/>
      <c r="S2026" s="301"/>
      <c r="T2026" s="301"/>
      <c r="U2026" s="301"/>
      <c r="V2026" s="301"/>
    </row>
    <row r="2027" spans="1:22" ht="14.4" thickTop="1" thickBot="1" x14ac:dyDescent="0.3">
      <c r="A2027" s="292"/>
      <c r="B2027" s="293"/>
      <c r="C2027" s="294"/>
      <c r="D2027" s="294"/>
      <c r="E2027" s="294">
        <v>2</v>
      </c>
      <c r="F2027" s="310">
        <v>3.65</v>
      </c>
      <c r="G2027" s="310"/>
      <c r="H2027" s="310">
        <v>4.2</v>
      </c>
      <c r="I2027" s="295">
        <f t="shared" si="239"/>
        <v>30.66</v>
      </c>
      <c r="J2027" s="295"/>
      <c r="K2027" s="300">
        <f t="shared" si="238"/>
        <v>1.1000000000000001</v>
      </c>
      <c r="L2027" s="300">
        <f t="shared" si="235"/>
        <v>0</v>
      </c>
      <c r="M2027" s="285">
        <f t="shared" si="236"/>
        <v>0</v>
      </c>
      <c r="N2027" s="1076">
        <f t="shared" si="237"/>
        <v>0</v>
      </c>
      <c r="O2027" s="294"/>
      <c r="P2027" s="404"/>
      <c r="Q2027" s="404"/>
      <c r="R2027" s="301"/>
      <c r="S2027" s="301"/>
      <c r="T2027" s="301"/>
      <c r="U2027" s="301"/>
      <c r="V2027" s="301"/>
    </row>
    <row r="2028" spans="1:22" ht="14.4" thickTop="1" thickBot="1" x14ac:dyDescent="0.3">
      <c r="A2028" s="292"/>
      <c r="B2028" s="293"/>
      <c r="C2028" s="294"/>
      <c r="D2028" s="294"/>
      <c r="E2028" s="294">
        <v>2</v>
      </c>
      <c r="F2028" s="310">
        <v>18.774999999999999</v>
      </c>
      <c r="G2028" s="310"/>
      <c r="H2028" s="310">
        <v>4.2</v>
      </c>
      <c r="I2028" s="295">
        <f t="shared" si="239"/>
        <v>157.71</v>
      </c>
      <c r="J2028" s="295"/>
      <c r="K2028" s="300">
        <f t="shared" si="238"/>
        <v>1.1000000000000001</v>
      </c>
      <c r="L2028" s="300">
        <f t="shared" si="235"/>
        <v>0</v>
      </c>
      <c r="M2028" s="285">
        <f t="shared" si="236"/>
        <v>0</v>
      </c>
      <c r="N2028" s="1076">
        <f t="shared" si="237"/>
        <v>0</v>
      </c>
      <c r="O2028" s="294"/>
      <c r="P2028" s="404"/>
      <c r="Q2028" s="404"/>
      <c r="R2028" s="301"/>
      <c r="S2028" s="301"/>
      <c r="T2028" s="301"/>
      <c r="U2028" s="301"/>
      <c r="V2028" s="301"/>
    </row>
    <row r="2029" spans="1:22" ht="14.4" thickTop="1" thickBot="1" x14ac:dyDescent="0.3">
      <c r="A2029" s="292"/>
      <c r="B2029" s="293"/>
      <c r="C2029" s="294"/>
      <c r="D2029" s="294"/>
      <c r="E2029" s="294">
        <v>4</v>
      </c>
      <c r="F2029" s="310">
        <v>1.85</v>
      </c>
      <c r="G2029" s="310"/>
      <c r="H2029" s="310">
        <v>4.2</v>
      </c>
      <c r="I2029" s="295">
        <f t="shared" si="239"/>
        <v>31.080000000000002</v>
      </c>
      <c r="J2029" s="295"/>
      <c r="K2029" s="300">
        <f t="shared" si="238"/>
        <v>1.1000000000000001</v>
      </c>
      <c r="L2029" s="300">
        <f t="shared" si="235"/>
        <v>0</v>
      </c>
      <c r="M2029" s="285">
        <f t="shared" si="236"/>
        <v>0</v>
      </c>
      <c r="N2029" s="1076">
        <f t="shared" si="237"/>
        <v>0</v>
      </c>
      <c r="O2029" s="294"/>
      <c r="P2029" s="404"/>
      <c r="Q2029" s="404"/>
      <c r="R2029" s="301"/>
      <c r="S2029" s="301"/>
      <c r="T2029" s="301"/>
      <c r="U2029" s="301"/>
      <c r="V2029" s="301"/>
    </row>
    <row r="2030" spans="1:22" ht="14.4" thickTop="1" thickBot="1" x14ac:dyDescent="0.3">
      <c r="A2030" s="292"/>
      <c r="B2030" s="293"/>
      <c r="C2030" s="294"/>
      <c r="D2030" s="294"/>
      <c r="E2030" s="294">
        <v>3</v>
      </c>
      <c r="F2030" s="310">
        <v>2.38</v>
      </c>
      <c r="G2030" s="310"/>
      <c r="H2030" s="310">
        <v>4.2</v>
      </c>
      <c r="I2030" s="295">
        <f t="shared" si="239"/>
        <v>29.988</v>
      </c>
      <c r="J2030" s="295"/>
      <c r="K2030" s="300">
        <f t="shared" si="238"/>
        <v>1.1000000000000001</v>
      </c>
      <c r="L2030" s="300">
        <f t="shared" si="235"/>
        <v>0</v>
      </c>
      <c r="M2030" s="285">
        <f t="shared" si="236"/>
        <v>0</v>
      </c>
      <c r="N2030" s="1076">
        <f t="shared" si="237"/>
        <v>0</v>
      </c>
      <c r="O2030" s="294"/>
      <c r="P2030" s="404"/>
      <c r="Q2030" s="404"/>
      <c r="R2030" s="301"/>
      <c r="S2030" s="301"/>
      <c r="T2030" s="301"/>
      <c r="U2030" s="301"/>
      <c r="V2030" s="301"/>
    </row>
    <row r="2031" spans="1:22" ht="14.4" thickTop="1" thickBot="1" x14ac:dyDescent="0.3">
      <c r="A2031" s="292"/>
      <c r="B2031" s="293"/>
      <c r="C2031" s="294"/>
      <c r="D2031" s="294"/>
      <c r="E2031" s="294">
        <v>2</v>
      </c>
      <c r="F2031" s="310">
        <v>2.226</v>
      </c>
      <c r="G2031" s="310"/>
      <c r="H2031" s="310">
        <v>4.2</v>
      </c>
      <c r="I2031" s="295">
        <f t="shared" si="239"/>
        <v>18.698399999999999</v>
      </c>
      <c r="J2031" s="295"/>
      <c r="K2031" s="300">
        <f t="shared" si="238"/>
        <v>1.1000000000000001</v>
      </c>
      <c r="L2031" s="300">
        <f t="shared" si="235"/>
        <v>0</v>
      </c>
      <c r="M2031" s="285">
        <f t="shared" si="236"/>
        <v>0</v>
      </c>
      <c r="N2031" s="1076">
        <f t="shared" si="237"/>
        <v>0</v>
      </c>
      <c r="O2031" s="294"/>
      <c r="P2031" s="404"/>
      <c r="Q2031" s="404"/>
      <c r="R2031" s="301"/>
      <c r="S2031" s="301"/>
      <c r="T2031" s="301"/>
      <c r="U2031" s="301"/>
      <c r="V2031" s="301"/>
    </row>
    <row r="2032" spans="1:22" ht="14.4" thickTop="1" thickBot="1" x14ac:dyDescent="0.3">
      <c r="A2032" s="292"/>
      <c r="B2032" s="293" t="s">
        <v>846</v>
      </c>
      <c r="C2032" s="294"/>
      <c r="D2032" s="294"/>
      <c r="E2032" s="294"/>
      <c r="F2032" s="310"/>
      <c r="G2032" s="310"/>
      <c r="H2032" s="310"/>
      <c r="I2032" s="295"/>
      <c r="J2032" s="295"/>
      <c r="K2032" s="300"/>
      <c r="L2032" s="300"/>
      <c r="M2032" s="285"/>
      <c r="N2032" s="1076"/>
      <c r="O2032" s="294"/>
      <c r="P2032" s="404"/>
      <c r="Q2032" s="404"/>
      <c r="R2032" s="301"/>
      <c r="S2032" s="301"/>
      <c r="T2032" s="301"/>
      <c r="U2032" s="301"/>
      <c r="V2032" s="301"/>
    </row>
    <row r="2033" spans="1:22" ht="14.4" thickTop="1" thickBot="1" x14ac:dyDescent="0.3">
      <c r="A2033" s="292"/>
      <c r="B2033" s="293" t="s">
        <v>769</v>
      </c>
      <c r="C2033" s="294"/>
      <c r="D2033" s="294"/>
      <c r="E2033" s="294">
        <v>2</v>
      </c>
      <c r="F2033" s="310">
        <v>0.9</v>
      </c>
      <c r="G2033" s="310"/>
      <c r="H2033" s="310">
        <v>0.9</v>
      </c>
      <c r="I2033" s="295">
        <f t="shared" ref="I2033:I2035" si="241">-H2033*F2033*E2033</f>
        <v>-1.62</v>
      </c>
      <c r="J2033" s="295"/>
      <c r="K2033" s="300"/>
      <c r="L2033" s="300"/>
      <c r="M2033" s="285"/>
      <c r="N2033" s="1076"/>
      <c r="O2033" s="294"/>
      <c r="P2033" s="404"/>
      <c r="Q2033" s="404"/>
      <c r="R2033" s="301"/>
      <c r="S2033" s="301"/>
      <c r="T2033" s="301"/>
      <c r="U2033" s="301"/>
      <c r="V2033" s="301"/>
    </row>
    <row r="2034" spans="1:22" ht="14.4" thickTop="1" thickBot="1" x14ac:dyDescent="0.3">
      <c r="A2034" s="292"/>
      <c r="B2034" s="293" t="s">
        <v>1860</v>
      </c>
      <c r="C2034" s="294"/>
      <c r="D2034" s="294"/>
      <c r="E2034" s="294">
        <v>1</v>
      </c>
      <c r="F2034" s="310">
        <v>0.9</v>
      </c>
      <c r="G2034" s="310"/>
      <c r="H2034" s="310">
        <v>2.7</v>
      </c>
      <c r="I2034" s="295">
        <f t="shared" si="241"/>
        <v>-2.4300000000000002</v>
      </c>
      <c r="J2034" s="295"/>
      <c r="K2034" s="300"/>
      <c r="L2034" s="300"/>
      <c r="M2034" s="285"/>
      <c r="N2034" s="1076"/>
      <c r="O2034" s="294"/>
      <c r="P2034" s="404"/>
      <c r="Q2034" s="404"/>
      <c r="R2034" s="301"/>
      <c r="S2034" s="301"/>
      <c r="T2034" s="301"/>
      <c r="U2034" s="301"/>
      <c r="V2034" s="301"/>
    </row>
    <row r="2035" spans="1:22" ht="14.4" thickTop="1" thickBot="1" x14ac:dyDescent="0.3">
      <c r="A2035" s="292"/>
      <c r="B2035" s="293"/>
      <c r="C2035" s="294"/>
      <c r="D2035" s="294"/>
      <c r="E2035" s="294">
        <v>1</v>
      </c>
      <c r="F2035" s="310">
        <v>0.9</v>
      </c>
      <c r="G2035" s="310"/>
      <c r="H2035" s="310">
        <v>2.1</v>
      </c>
      <c r="I2035" s="295">
        <f t="shared" si="241"/>
        <v>-1.8900000000000001</v>
      </c>
      <c r="J2035" s="295"/>
      <c r="K2035" s="300"/>
      <c r="L2035" s="300"/>
      <c r="M2035" s="285"/>
      <c r="N2035" s="1076"/>
      <c r="O2035" s="294"/>
      <c r="P2035" s="404"/>
      <c r="Q2035" s="404"/>
      <c r="R2035" s="301"/>
      <c r="S2035" s="301"/>
      <c r="T2035" s="301"/>
      <c r="U2035" s="301"/>
      <c r="V2035" s="301"/>
    </row>
    <row r="2036" spans="1:22" ht="14.4" thickTop="1" thickBot="1" x14ac:dyDescent="0.3">
      <c r="A2036" s="292"/>
      <c r="B2036" s="293" t="s">
        <v>1896</v>
      </c>
      <c r="C2036" s="294"/>
      <c r="D2036" s="294"/>
      <c r="E2036" s="294">
        <v>1</v>
      </c>
      <c r="F2036" s="310">
        <v>3.5</v>
      </c>
      <c r="G2036" s="310"/>
      <c r="H2036" s="310">
        <v>4.2</v>
      </c>
      <c r="I2036" s="295">
        <f t="shared" ref="I2036:I2037" si="242">H2036*F2036*E2036</f>
        <v>14.700000000000001</v>
      </c>
      <c r="J2036" s="295"/>
      <c r="K2036" s="300">
        <f t="shared" si="238"/>
        <v>1.1000000000000001</v>
      </c>
      <c r="L2036" s="300">
        <f t="shared" si="235"/>
        <v>0</v>
      </c>
      <c r="M2036" s="285">
        <f t="shared" si="236"/>
        <v>0</v>
      </c>
      <c r="N2036" s="1076">
        <f t="shared" si="237"/>
        <v>0</v>
      </c>
      <c r="O2036" s="294"/>
      <c r="P2036" s="404"/>
      <c r="Q2036" s="404"/>
      <c r="R2036" s="301"/>
      <c r="S2036" s="301"/>
      <c r="T2036" s="301"/>
      <c r="U2036" s="301"/>
      <c r="V2036" s="301"/>
    </row>
    <row r="2037" spans="1:22" ht="14.4" thickTop="1" thickBot="1" x14ac:dyDescent="0.3">
      <c r="A2037" s="292"/>
      <c r="B2037" s="293"/>
      <c r="C2037" s="294"/>
      <c r="D2037" s="294"/>
      <c r="E2037" s="294">
        <v>1</v>
      </c>
      <c r="F2037" s="310">
        <v>8</v>
      </c>
      <c r="G2037" s="310"/>
      <c r="H2037" s="310">
        <v>4.2</v>
      </c>
      <c r="I2037" s="295">
        <f t="shared" si="242"/>
        <v>33.6</v>
      </c>
      <c r="J2037" s="295"/>
      <c r="K2037" s="300">
        <f t="shared" si="238"/>
        <v>1.1000000000000001</v>
      </c>
      <c r="L2037" s="300">
        <f t="shared" ref="L2037:L2122" si="243">K2037*J2037</f>
        <v>0</v>
      </c>
      <c r="M2037" s="285">
        <f t="shared" si="236"/>
        <v>0</v>
      </c>
      <c r="N2037" s="1076">
        <f t="shared" si="237"/>
        <v>0</v>
      </c>
      <c r="O2037" s="294"/>
      <c r="P2037" s="404"/>
      <c r="Q2037" s="404"/>
      <c r="R2037" s="301"/>
      <c r="S2037" s="301"/>
      <c r="T2037" s="301"/>
      <c r="U2037" s="301"/>
      <c r="V2037" s="301"/>
    </row>
    <row r="2038" spans="1:22" ht="14.4" thickTop="1" thickBot="1" x14ac:dyDescent="0.3">
      <c r="A2038" s="292"/>
      <c r="B2038" s="293"/>
      <c r="C2038" s="294"/>
      <c r="D2038" s="294"/>
      <c r="E2038" s="294"/>
      <c r="F2038" s="310"/>
      <c r="G2038" s="310"/>
      <c r="H2038" s="310"/>
      <c r="I2038" s="295"/>
      <c r="J2038" s="295">
        <f>SUM(I1946:I2037)</f>
        <v>1820.979</v>
      </c>
      <c r="K2038" s="300">
        <f t="shared" si="238"/>
        <v>1.1000000000000001</v>
      </c>
      <c r="L2038" s="300">
        <f t="shared" si="243"/>
        <v>2003.0769000000003</v>
      </c>
      <c r="M2038" s="285">
        <f t="shared" si="236"/>
        <v>2003.1</v>
      </c>
      <c r="N2038" s="1076">
        <f t="shared" si="237"/>
        <v>2004</v>
      </c>
      <c r="O2038" s="294" t="s">
        <v>695</v>
      </c>
      <c r="P2038" s="404"/>
      <c r="Q2038" s="404"/>
      <c r="R2038" s="301"/>
      <c r="S2038" s="301"/>
      <c r="T2038" s="301"/>
      <c r="U2038" s="301"/>
      <c r="V2038" s="301"/>
    </row>
    <row r="2039" spans="1:22" ht="14.4" thickTop="1" thickBot="1" x14ac:dyDescent="0.3">
      <c r="A2039" s="292"/>
      <c r="B2039" s="293"/>
      <c r="C2039" s="294"/>
      <c r="D2039" s="294"/>
      <c r="E2039" s="294"/>
      <c r="F2039" s="310"/>
      <c r="G2039" s="310"/>
      <c r="H2039" s="310"/>
      <c r="I2039" s="295"/>
      <c r="J2039" s="295">
        <f>J2038*10.76</f>
        <v>19593.734039999999</v>
      </c>
      <c r="K2039" s="300">
        <f t="shared" si="238"/>
        <v>1.1000000000000001</v>
      </c>
      <c r="L2039" s="300">
        <f t="shared" si="243"/>
        <v>21553.107444000001</v>
      </c>
      <c r="M2039" s="285">
        <f t="shared" si="236"/>
        <v>21553.1</v>
      </c>
      <c r="N2039" s="1076">
        <f t="shared" si="237"/>
        <v>21554</v>
      </c>
      <c r="O2039" s="294" t="s">
        <v>1846</v>
      </c>
      <c r="P2039" s="404"/>
      <c r="Q2039" s="404"/>
      <c r="R2039" s="301"/>
      <c r="S2039" s="301"/>
      <c r="T2039" s="301"/>
      <c r="U2039" s="301"/>
      <c r="V2039" s="301"/>
    </row>
    <row r="2040" spans="1:22" ht="14.4" thickTop="1" thickBot="1" x14ac:dyDescent="0.3">
      <c r="A2040" s="292"/>
      <c r="B2040" s="293"/>
      <c r="C2040" s="294"/>
      <c r="D2040" s="294"/>
      <c r="E2040" s="294"/>
      <c r="F2040" s="310"/>
      <c r="G2040" s="310"/>
      <c r="H2040" s="310"/>
      <c r="I2040" s="295"/>
      <c r="J2040" s="295">
        <f>J2039/100</f>
        <v>195.93734039999998</v>
      </c>
      <c r="K2040" s="300">
        <v>1.0149999999999999</v>
      </c>
      <c r="L2040" s="300">
        <f t="shared" si="243"/>
        <v>198.87640050599995</v>
      </c>
      <c r="M2040" s="285">
        <f t="shared" si="236"/>
        <v>198.9</v>
      </c>
      <c r="N2040" s="1076">
        <f t="shared" si="237"/>
        <v>199</v>
      </c>
      <c r="O2040" s="294" t="s">
        <v>879</v>
      </c>
      <c r="P2040" s="413">
        <f>N2040-J2040</f>
        <v>3.0626596000000177</v>
      </c>
      <c r="Q2040" s="413"/>
      <c r="R2040" s="301"/>
      <c r="S2040" s="301"/>
      <c r="T2040" s="301"/>
      <c r="U2040" s="301"/>
      <c r="V2040" s="301"/>
    </row>
    <row r="2041" spans="1:22" ht="14.4" thickTop="1" thickBot="1" x14ac:dyDescent="0.3">
      <c r="A2041" s="292"/>
      <c r="B2041" s="293"/>
      <c r="C2041" s="294"/>
      <c r="D2041" s="294"/>
      <c r="E2041" s="294"/>
      <c r="F2041" s="310"/>
      <c r="G2041" s="310"/>
      <c r="H2041" s="310"/>
      <c r="I2041" s="295"/>
      <c r="J2041" s="295"/>
      <c r="K2041" s="300">
        <f t="shared" si="238"/>
        <v>1.1000000000000001</v>
      </c>
      <c r="L2041" s="300">
        <f t="shared" si="243"/>
        <v>0</v>
      </c>
      <c r="M2041" s="285">
        <f t="shared" si="236"/>
        <v>0</v>
      </c>
      <c r="N2041" s="1076">
        <f t="shared" si="237"/>
        <v>0</v>
      </c>
      <c r="O2041" s="294"/>
      <c r="P2041" s="404"/>
      <c r="Q2041" s="404"/>
      <c r="R2041" s="301"/>
      <c r="S2041" s="301"/>
      <c r="T2041" s="301"/>
      <c r="U2041" s="301"/>
      <c r="V2041" s="301"/>
    </row>
    <row r="2042" spans="1:22" ht="14.4" thickTop="1" thickBot="1" x14ac:dyDescent="0.3">
      <c r="A2042" s="292"/>
      <c r="B2042" s="296" t="s">
        <v>1898</v>
      </c>
      <c r="C2042" s="294"/>
      <c r="D2042" s="294"/>
      <c r="E2042" s="294">
        <v>1</v>
      </c>
      <c r="F2042" s="310">
        <v>2.4500000000000002</v>
      </c>
      <c r="G2042" s="310"/>
      <c r="H2042" s="310">
        <v>3.9</v>
      </c>
      <c r="I2042" s="295">
        <f>H2042*F2042*E2042</f>
        <v>9.5549999999999997</v>
      </c>
      <c r="J2042" s="295"/>
      <c r="K2042" s="300">
        <f t="shared" si="238"/>
        <v>1.1000000000000001</v>
      </c>
      <c r="L2042" s="300">
        <f t="shared" si="243"/>
        <v>0</v>
      </c>
      <c r="M2042" s="285">
        <f t="shared" si="236"/>
        <v>0</v>
      </c>
      <c r="N2042" s="1076">
        <f t="shared" si="237"/>
        <v>0</v>
      </c>
      <c r="O2042" s="294"/>
      <c r="P2042" s="404"/>
      <c r="Q2042" s="404"/>
      <c r="R2042" s="301"/>
      <c r="S2042" s="301"/>
      <c r="T2042" s="301"/>
      <c r="U2042" s="301"/>
      <c r="V2042" s="301"/>
    </row>
    <row r="2043" spans="1:22" ht="14.4" thickTop="1" thickBot="1" x14ac:dyDescent="0.3">
      <c r="A2043" s="292"/>
      <c r="B2043" s="293"/>
      <c r="C2043" s="294"/>
      <c r="D2043" s="294"/>
      <c r="E2043" s="294">
        <v>1</v>
      </c>
      <c r="F2043" s="310">
        <v>6.15</v>
      </c>
      <c r="G2043" s="310"/>
      <c r="H2043" s="310">
        <v>3.9</v>
      </c>
      <c r="I2043" s="295">
        <f t="shared" ref="I2043:I2067" si="244">H2043*F2043*E2043</f>
        <v>23.984999999999999</v>
      </c>
      <c r="J2043" s="295"/>
      <c r="K2043" s="300">
        <f t="shared" si="238"/>
        <v>1.1000000000000001</v>
      </c>
      <c r="L2043" s="300">
        <f t="shared" si="243"/>
        <v>0</v>
      </c>
      <c r="M2043" s="285">
        <f t="shared" si="236"/>
        <v>0</v>
      </c>
      <c r="N2043" s="1076">
        <f t="shared" si="237"/>
        <v>0</v>
      </c>
      <c r="O2043" s="294"/>
      <c r="P2043" s="404"/>
      <c r="Q2043" s="404"/>
      <c r="R2043" s="301"/>
      <c r="S2043" s="301"/>
      <c r="T2043" s="301"/>
      <c r="U2043" s="301"/>
      <c r="V2043" s="301"/>
    </row>
    <row r="2044" spans="1:22" ht="14.4" thickTop="1" thickBot="1" x14ac:dyDescent="0.3">
      <c r="A2044" s="292"/>
      <c r="B2044" s="293"/>
      <c r="C2044" s="294"/>
      <c r="D2044" s="294"/>
      <c r="E2044" s="294">
        <v>1</v>
      </c>
      <c r="F2044" s="310">
        <v>4.383</v>
      </c>
      <c r="G2044" s="310"/>
      <c r="H2044" s="310">
        <v>3.9</v>
      </c>
      <c r="I2044" s="295">
        <f t="shared" si="244"/>
        <v>17.093699999999998</v>
      </c>
      <c r="J2044" s="295"/>
      <c r="K2044" s="300">
        <f t="shared" si="238"/>
        <v>1.1000000000000001</v>
      </c>
      <c r="L2044" s="300">
        <f t="shared" si="243"/>
        <v>0</v>
      </c>
      <c r="M2044" s="285">
        <f t="shared" si="236"/>
        <v>0</v>
      </c>
      <c r="N2044" s="1076">
        <f t="shared" si="237"/>
        <v>0</v>
      </c>
      <c r="O2044" s="294"/>
      <c r="P2044" s="404"/>
      <c r="Q2044" s="404"/>
      <c r="R2044" s="301"/>
      <c r="S2044" s="301"/>
      <c r="T2044" s="301"/>
      <c r="U2044" s="301"/>
      <c r="V2044" s="301"/>
    </row>
    <row r="2045" spans="1:22" ht="14.4" thickTop="1" thickBot="1" x14ac:dyDescent="0.3">
      <c r="A2045" s="292"/>
      <c r="B2045" s="293"/>
      <c r="C2045" s="294"/>
      <c r="D2045" s="294"/>
      <c r="E2045" s="294">
        <v>1</v>
      </c>
      <c r="F2045" s="310">
        <v>7.0250000000000004</v>
      </c>
      <c r="G2045" s="310"/>
      <c r="H2045" s="310">
        <v>3.9</v>
      </c>
      <c r="I2045" s="295">
        <f t="shared" si="244"/>
        <v>27.397500000000001</v>
      </c>
      <c r="J2045" s="295"/>
      <c r="K2045" s="300">
        <f t="shared" si="238"/>
        <v>1.1000000000000001</v>
      </c>
      <c r="L2045" s="300">
        <f t="shared" si="243"/>
        <v>0</v>
      </c>
      <c r="M2045" s="285">
        <f t="shared" si="236"/>
        <v>0</v>
      </c>
      <c r="N2045" s="1076">
        <f t="shared" si="237"/>
        <v>0</v>
      </c>
      <c r="O2045" s="294"/>
      <c r="P2045" s="404"/>
      <c r="Q2045" s="404"/>
      <c r="R2045" s="301"/>
      <c r="S2045" s="301"/>
      <c r="T2045" s="301"/>
      <c r="U2045" s="301"/>
      <c r="V2045" s="301"/>
    </row>
    <row r="2046" spans="1:22" ht="14.4" thickTop="1" thickBot="1" x14ac:dyDescent="0.3">
      <c r="A2046" s="292"/>
      <c r="B2046" s="293"/>
      <c r="C2046" s="294"/>
      <c r="D2046" s="294"/>
      <c r="E2046" s="294">
        <v>1</v>
      </c>
      <c r="F2046" s="310">
        <v>1.1180000000000001</v>
      </c>
      <c r="G2046" s="310"/>
      <c r="H2046" s="310">
        <v>3.9</v>
      </c>
      <c r="I2046" s="295">
        <f t="shared" si="244"/>
        <v>4.3602000000000007</v>
      </c>
      <c r="J2046" s="295"/>
      <c r="K2046" s="300">
        <f t="shared" si="238"/>
        <v>1.1000000000000001</v>
      </c>
      <c r="L2046" s="300">
        <f t="shared" si="243"/>
        <v>0</v>
      </c>
      <c r="M2046" s="285">
        <f t="shared" si="236"/>
        <v>0</v>
      </c>
      <c r="N2046" s="1076">
        <f t="shared" si="237"/>
        <v>0</v>
      </c>
      <c r="O2046" s="294"/>
      <c r="P2046" s="404"/>
      <c r="Q2046" s="404"/>
      <c r="R2046" s="301"/>
      <c r="S2046" s="301"/>
      <c r="T2046" s="301"/>
      <c r="U2046" s="301"/>
      <c r="V2046" s="301"/>
    </row>
    <row r="2047" spans="1:22" ht="14.4" thickTop="1" thickBot="1" x14ac:dyDescent="0.3">
      <c r="A2047" s="292"/>
      <c r="B2047" s="293"/>
      <c r="C2047" s="294"/>
      <c r="D2047" s="294"/>
      <c r="E2047" s="294">
        <v>1</v>
      </c>
      <c r="F2047" s="310">
        <v>3</v>
      </c>
      <c r="G2047" s="310"/>
      <c r="H2047" s="310">
        <v>3.9</v>
      </c>
      <c r="I2047" s="295">
        <f t="shared" si="244"/>
        <v>11.7</v>
      </c>
      <c r="J2047" s="295"/>
      <c r="K2047" s="300">
        <f t="shared" si="238"/>
        <v>1.1000000000000001</v>
      </c>
      <c r="L2047" s="300">
        <f t="shared" si="243"/>
        <v>0</v>
      </c>
      <c r="M2047" s="285">
        <f t="shared" si="236"/>
        <v>0</v>
      </c>
      <c r="N2047" s="1076">
        <f t="shared" si="237"/>
        <v>0</v>
      </c>
      <c r="O2047" s="294"/>
      <c r="P2047" s="404"/>
      <c r="Q2047" s="404"/>
      <c r="R2047" s="301"/>
      <c r="S2047" s="301"/>
      <c r="T2047" s="301"/>
      <c r="U2047" s="301"/>
      <c r="V2047" s="301"/>
    </row>
    <row r="2048" spans="1:22" ht="14.4" thickTop="1" thickBot="1" x14ac:dyDescent="0.3">
      <c r="A2048" s="292"/>
      <c r="B2048" s="293"/>
      <c r="C2048" s="294"/>
      <c r="D2048" s="294"/>
      <c r="E2048" s="294">
        <v>1</v>
      </c>
      <c r="F2048" s="310">
        <v>3.3</v>
      </c>
      <c r="G2048" s="310"/>
      <c r="H2048" s="310">
        <v>3.9</v>
      </c>
      <c r="I2048" s="295">
        <f t="shared" si="244"/>
        <v>12.87</v>
      </c>
      <c r="J2048" s="295"/>
      <c r="K2048" s="300">
        <f t="shared" si="238"/>
        <v>1.1000000000000001</v>
      </c>
      <c r="L2048" s="300">
        <f t="shared" si="243"/>
        <v>0</v>
      </c>
      <c r="M2048" s="285">
        <f t="shared" si="236"/>
        <v>0</v>
      </c>
      <c r="N2048" s="1076">
        <f t="shared" si="237"/>
        <v>0</v>
      </c>
      <c r="O2048" s="294"/>
      <c r="P2048" s="404"/>
      <c r="Q2048" s="404"/>
      <c r="R2048" s="301"/>
      <c r="S2048" s="301"/>
      <c r="T2048" s="301"/>
      <c r="U2048" s="301"/>
      <c r="V2048" s="301"/>
    </row>
    <row r="2049" spans="1:22" ht="14.4" thickTop="1" thickBot="1" x14ac:dyDescent="0.3">
      <c r="A2049" s="292"/>
      <c r="B2049" s="293"/>
      <c r="C2049" s="294"/>
      <c r="D2049" s="294"/>
      <c r="E2049" s="294">
        <v>1</v>
      </c>
      <c r="F2049" s="310">
        <v>2.2250000000000001</v>
      </c>
      <c r="G2049" s="310"/>
      <c r="H2049" s="310">
        <v>3.9</v>
      </c>
      <c r="I2049" s="295">
        <f t="shared" si="244"/>
        <v>8.6775000000000002</v>
      </c>
      <c r="J2049" s="295"/>
      <c r="K2049" s="300">
        <f t="shared" si="238"/>
        <v>1.1000000000000001</v>
      </c>
      <c r="L2049" s="300">
        <f t="shared" si="243"/>
        <v>0</v>
      </c>
      <c r="M2049" s="285">
        <f t="shared" si="236"/>
        <v>0</v>
      </c>
      <c r="N2049" s="1076">
        <f t="shared" si="237"/>
        <v>0</v>
      </c>
      <c r="O2049" s="294"/>
      <c r="P2049" s="404"/>
      <c r="Q2049" s="404"/>
      <c r="R2049" s="301"/>
      <c r="S2049" s="301"/>
      <c r="T2049" s="301"/>
      <c r="U2049" s="301"/>
      <c r="V2049" s="301"/>
    </row>
    <row r="2050" spans="1:22" ht="14.4" thickTop="1" thickBot="1" x14ac:dyDescent="0.3">
      <c r="A2050" s="292"/>
      <c r="B2050" s="293"/>
      <c r="C2050" s="294"/>
      <c r="D2050" s="294"/>
      <c r="E2050" s="294">
        <v>1</v>
      </c>
      <c r="F2050" s="310">
        <v>3.2250000000000001</v>
      </c>
      <c r="G2050" s="310"/>
      <c r="H2050" s="310">
        <v>3.9</v>
      </c>
      <c r="I2050" s="295">
        <f t="shared" si="244"/>
        <v>12.577500000000001</v>
      </c>
      <c r="J2050" s="295"/>
      <c r="K2050" s="300">
        <f t="shared" si="238"/>
        <v>1.1000000000000001</v>
      </c>
      <c r="L2050" s="300">
        <f t="shared" si="243"/>
        <v>0</v>
      </c>
      <c r="M2050" s="285">
        <f t="shared" si="236"/>
        <v>0</v>
      </c>
      <c r="N2050" s="1076">
        <f t="shared" si="237"/>
        <v>0</v>
      </c>
      <c r="O2050" s="294"/>
      <c r="P2050" s="404"/>
      <c r="Q2050" s="404"/>
      <c r="R2050" s="301"/>
      <c r="S2050" s="301"/>
      <c r="T2050" s="301"/>
      <c r="U2050" s="301"/>
      <c r="V2050" s="301"/>
    </row>
    <row r="2051" spans="1:22" ht="14.4" thickTop="1" thickBot="1" x14ac:dyDescent="0.3">
      <c r="A2051" s="292"/>
      <c r="B2051" s="296" t="s">
        <v>1899</v>
      </c>
      <c r="C2051" s="294"/>
      <c r="D2051" s="294"/>
      <c r="E2051" s="294">
        <v>11</v>
      </c>
      <c r="F2051" s="310">
        <v>4.2</v>
      </c>
      <c r="G2051" s="310"/>
      <c r="H2051" s="310">
        <v>3.9</v>
      </c>
      <c r="I2051" s="295">
        <f t="shared" si="244"/>
        <v>180.17999999999998</v>
      </c>
      <c r="J2051" s="295"/>
      <c r="K2051" s="300">
        <f t="shared" si="238"/>
        <v>1.1000000000000001</v>
      </c>
      <c r="L2051" s="300">
        <f t="shared" si="243"/>
        <v>0</v>
      </c>
      <c r="M2051" s="285">
        <f t="shared" si="236"/>
        <v>0</v>
      </c>
      <c r="N2051" s="1076">
        <f t="shared" si="237"/>
        <v>0</v>
      </c>
      <c r="O2051" s="294"/>
      <c r="P2051" s="404"/>
      <c r="Q2051" s="404"/>
      <c r="R2051" s="301"/>
      <c r="S2051" s="301"/>
      <c r="T2051" s="301"/>
      <c r="U2051" s="301"/>
      <c r="V2051" s="301"/>
    </row>
    <row r="2052" spans="1:22" ht="14.4" thickTop="1" thickBot="1" x14ac:dyDescent="0.3">
      <c r="A2052" s="292"/>
      <c r="C2052" s="294"/>
      <c r="D2052" s="294"/>
      <c r="E2052" s="294">
        <v>4</v>
      </c>
      <c r="F2052" s="310">
        <v>15.6</v>
      </c>
      <c r="G2052" s="310"/>
      <c r="H2052" s="310">
        <v>3.9</v>
      </c>
      <c r="I2052" s="295">
        <f t="shared" si="244"/>
        <v>243.35999999999999</v>
      </c>
      <c r="J2052" s="295"/>
      <c r="K2052" s="300">
        <f t="shared" si="238"/>
        <v>1.1000000000000001</v>
      </c>
      <c r="L2052" s="300">
        <f t="shared" si="243"/>
        <v>0</v>
      </c>
      <c r="M2052" s="285">
        <f t="shared" si="236"/>
        <v>0</v>
      </c>
      <c r="N2052" s="1076">
        <f t="shared" si="237"/>
        <v>0</v>
      </c>
      <c r="O2052" s="294"/>
      <c r="P2052" s="404"/>
      <c r="Q2052" s="404"/>
      <c r="R2052" s="301"/>
      <c r="S2052" s="301"/>
      <c r="T2052" s="301"/>
      <c r="U2052" s="301"/>
      <c r="V2052" s="301"/>
    </row>
    <row r="2053" spans="1:22" ht="14.4" thickTop="1" thickBot="1" x14ac:dyDescent="0.3">
      <c r="A2053" s="292"/>
      <c r="B2053" s="293"/>
      <c r="C2053" s="294"/>
      <c r="D2053" s="294"/>
      <c r="E2053" s="294">
        <v>2</v>
      </c>
      <c r="F2053" s="310">
        <v>10</v>
      </c>
      <c r="G2053" s="310"/>
      <c r="H2053" s="310">
        <v>3.9</v>
      </c>
      <c r="I2053" s="295">
        <f t="shared" si="244"/>
        <v>78</v>
      </c>
      <c r="J2053" s="295"/>
      <c r="K2053" s="300">
        <f t="shared" si="238"/>
        <v>1.1000000000000001</v>
      </c>
      <c r="L2053" s="300">
        <f t="shared" si="243"/>
        <v>0</v>
      </c>
      <c r="M2053" s="285">
        <f t="shared" si="236"/>
        <v>0</v>
      </c>
      <c r="N2053" s="1076">
        <f t="shared" si="237"/>
        <v>0</v>
      </c>
      <c r="O2053" s="294"/>
      <c r="P2053" s="404"/>
      <c r="Q2053" s="404"/>
      <c r="R2053" s="301"/>
      <c r="S2053" s="301"/>
      <c r="T2053" s="301"/>
      <c r="U2053" s="301"/>
      <c r="V2053" s="301"/>
    </row>
    <row r="2054" spans="1:22" ht="14.4" thickTop="1" thickBot="1" x14ac:dyDescent="0.3">
      <c r="A2054" s="292"/>
      <c r="B2054" s="296" t="s">
        <v>1858</v>
      </c>
      <c r="C2054" s="294"/>
      <c r="D2054" s="294"/>
      <c r="E2054" s="294">
        <v>2</v>
      </c>
      <c r="F2054" s="310">
        <v>3.4049999999999998</v>
      </c>
      <c r="G2054" s="310"/>
      <c r="H2054" s="310">
        <v>3.9</v>
      </c>
      <c r="I2054" s="295">
        <f t="shared" si="244"/>
        <v>26.558999999999997</v>
      </c>
      <c r="J2054" s="295"/>
      <c r="K2054" s="300">
        <f t="shared" si="238"/>
        <v>1.1000000000000001</v>
      </c>
      <c r="L2054" s="300">
        <f t="shared" si="243"/>
        <v>0</v>
      </c>
      <c r="M2054" s="285">
        <f t="shared" si="236"/>
        <v>0</v>
      </c>
      <c r="N2054" s="1076">
        <f t="shared" si="237"/>
        <v>0</v>
      </c>
      <c r="O2054" s="294"/>
      <c r="P2054" s="404"/>
      <c r="Q2054" s="404"/>
      <c r="R2054" s="301"/>
      <c r="S2054" s="301"/>
      <c r="T2054" s="301"/>
      <c r="U2054" s="301"/>
      <c r="V2054" s="301"/>
    </row>
    <row r="2055" spans="1:22" ht="14.4" thickTop="1" thickBot="1" x14ac:dyDescent="0.3">
      <c r="A2055" s="292"/>
      <c r="B2055" s="296" t="s">
        <v>1900</v>
      </c>
      <c r="C2055" s="294"/>
      <c r="D2055" s="294"/>
      <c r="E2055" s="294">
        <v>8</v>
      </c>
      <c r="F2055" s="310">
        <v>6.3</v>
      </c>
      <c r="G2055" s="310"/>
      <c r="H2055" s="310">
        <v>3.9</v>
      </c>
      <c r="I2055" s="295">
        <f t="shared" si="244"/>
        <v>196.56</v>
      </c>
      <c r="J2055" s="295"/>
      <c r="K2055" s="300">
        <f t="shared" si="238"/>
        <v>1.1000000000000001</v>
      </c>
      <c r="L2055" s="300">
        <f t="shared" si="243"/>
        <v>0</v>
      </c>
      <c r="M2055" s="285">
        <f t="shared" si="236"/>
        <v>0</v>
      </c>
      <c r="N2055" s="1076">
        <f t="shared" si="237"/>
        <v>0</v>
      </c>
      <c r="O2055" s="294"/>
      <c r="P2055" s="404"/>
      <c r="Q2055" s="404"/>
      <c r="R2055" s="301"/>
      <c r="S2055" s="301"/>
      <c r="T2055" s="301"/>
      <c r="U2055" s="301"/>
      <c r="V2055" s="301"/>
    </row>
    <row r="2056" spans="1:22" ht="14.4" thickTop="1" thickBot="1" x14ac:dyDescent="0.3">
      <c r="A2056" s="292"/>
      <c r="B2056" s="293"/>
      <c r="C2056" s="294"/>
      <c r="D2056" s="294"/>
      <c r="E2056" s="294">
        <v>6</v>
      </c>
      <c r="F2056" s="310">
        <v>12.4</v>
      </c>
      <c r="G2056" s="310"/>
      <c r="H2056" s="310">
        <v>3.9</v>
      </c>
      <c r="I2056" s="295">
        <f t="shared" si="244"/>
        <v>290.15999999999997</v>
      </c>
      <c r="J2056" s="295"/>
      <c r="K2056" s="300">
        <f t="shared" si="238"/>
        <v>1.1000000000000001</v>
      </c>
      <c r="L2056" s="300">
        <f t="shared" si="243"/>
        <v>0</v>
      </c>
      <c r="M2056" s="285">
        <f t="shared" si="236"/>
        <v>0</v>
      </c>
      <c r="N2056" s="1076">
        <f t="shared" si="237"/>
        <v>0</v>
      </c>
      <c r="O2056" s="294"/>
      <c r="P2056" s="404"/>
      <c r="Q2056" s="404"/>
      <c r="R2056" s="301"/>
      <c r="S2056" s="301"/>
      <c r="T2056" s="301"/>
      <c r="U2056" s="301"/>
      <c r="V2056" s="301"/>
    </row>
    <row r="2057" spans="1:22" ht="14.4" thickTop="1" thickBot="1" x14ac:dyDescent="0.3">
      <c r="A2057" s="292"/>
      <c r="B2057" s="296" t="s">
        <v>1901</v>
      </c>
      <c r="C2057" s="294"/>
      <c r="D2057" s="294"/>
      <c r="E2057" s="294">
        <v>6</v>
      </c>
      <c r="F2057" s="310">
        <v>8.4250000000000007</v>
      </c>
      <c r="G2057" s="310"/>
      <c r="H2057" s="310">
        <v>3.9</v>
      </c>
      <c r="I2057" s="295">
        <f t="shared" si="244"/>
        <v>197.14500000000001</v>
      </c>
      <c r="J2057" s="295"/>
      <c r="K2057" s="300">
        <f t="shared" si="238"/>
        <v>1.1000000000000001</v>
      </c>
      <c r="L2057" s="300">
        <f t="shared" si="243"/>
        <v>0</v>
      </c>
      <c r="M2057" s="285">
        <f t="shared" si="236"/>
        <v>0</v>
      </c>
      <c r="N2057" s="1076">
        <f t="shared" si="237"/>
        <v>0</v>
      </c>
      <c r="O2057" s="294"/>
      <c r="P2057" s="404"/>
      <c r="Q2057" s="404"/>
      <c r="R2057" s="301"/>
      <c r="S2057" s="301"/>
      <c r="T2057" s="301"/>
      <c r="U2057" s="301"/>
      <c r="V2057" s="301"/>
    </row>
    <row r="2058" spans="1:22" ht="14.4" thickTop="1" thickBot="1" x14ac:dyDescent="0.3">
      <c r="A2058" s="292"/>
      <c r="B2058" s="293"/>
      <c r="C2058" s="294"/>
      <c r="D2058" s="294"/>
      <c r="E2058" s="294">
        <v>6</v>
      </c>
      <c r="F2058" s="310">
        <v>6</v>
      </c>
      <c r="G2058" s="310"/>
      <c r="H2058" s="310">
        <v>3.9</v>
      </c>
      <c r="I2058" s="295">
        <f t="shared" si="244"/>
        <v>140.39999999999998</v>
      </c>
      <c r="J2058" s="295"/>
      <c r="K2058" s="300">
        <f t="shared" si="238"/>
        <v>1.1000000000000001</v>
      </c>
      <c r="L2058" s="300">
        <f t="shared" si="243"/>
        <v>0</v>
      </c>
      <c r="M2058" s="285">
        <f t="shared" si="236"/>
        <v>0</v>
      </c>
      <c r="N2058" s="1076">
        <f t="shared" si="237"/>
        <v>0</v>
      </c>
      <c r="O2058" s="294"/>
      <c r="P2058" s="404"/>
      <c r="Q2058" s="404"/>
      <c r="R2058" s="301"/>
      <c r="S2058" s="301"/>
      <c r="T2058" s="301"/>
      <c r="U2058" s="301"/>
      <c r="V2058" s="301"/>
    </row>
    <row r="2059" spans="1:22" ht="14.4" thickTop="1" thickBot="1" x14ac:dyDescent="0.3">
      <c r="A2059" s="292"/>
      <c r="B2059" s="296" t="s">
        <v>844</v>
      </c>
      <c r="C2059" s="294"/>
      <c r="D2059" s="294"/>
      <c r="E2059" s="294">
        <v>2</v>
      </c>
      <c r="F2059" s="310">
        <v>4.125</v>
      </c>
      <c r="G2059" s="310"/>
      <c r="H2059" s="310">
        <v>3.9</v>
      </c>
      <c r="I2059" s="295">
        <f t="shared" si="244"/>
        <v>32.174999999999997</v>
      </c>
      <c r="J2059" s="295"/>
      <c r="K2059" s="300">
        <f t="shared" si="238"/>
        <v>1.1000000000000001</v>
      </c>
      <c r="L2059" s="300">
        <f t="shared" si="243"/>
        <v>0</v>
      </c>
      <c r="M2059" s="285">
        <f t="shared" si="236"/>
        <v>0</v>
      </c>
      <c r="N2059" s="1076">
        <f t="shared" si="237"/>
        <v>0</v>
      </c>
      <c r="O2059" s="294"/>
      <c r="P2059" s="404"/>
      <c r="Q2059" s="404"/>
      <c r="R2059" s="301"/>
      <c r="S2059" s="301"/>
      <c r="T2059" s="301"/>
      <c r="U2059" s="301"/>
      <c r="V2059" s="301"/>
    </row>
    <row r="2060" spans="1:22" ht="14.4" thickTop="1" thickBot="1" x14ac:dyDescent="0.3">
      <c r="A2060" s="292"/>
      <c r="B2060" s="293"/>
      <c r="C2060" s="294"/>
      <c r="D2060" s="294"/>
      <c r="E2060" s="294">
        <v>3</v>
      </c>
      <c r="F2060" s="310">
        <v>6.1</v>
      </c>
      <c r="G2060" s="310"/>
      <c r="H2060" s="310">
        <v>3.9</v>
      </c>
      <c r="I2060" s="295">
        <f t="shared" si="244"/>
        <v>71.37</v>
      </c>
      <c r="J2060" s="295"/>
      <c r="K2060" s="300">
        <f t="shared" si="238"/>
        <v>1.1000000000000001</v>
      </c>
      <c r="L2060" s="300">
        <f t="shared" si="243"/>
        <v>0</v>
      </c>
      <c r="M2060" s="285">
        <f t="shared" si="236"/>
        <v>0</v>
      </c>
      <c r="N2060" s="1076">
        <f t="shared" si="237"/>
        <v>0</v>
      </c>
      <c r="O2060" s="294"/>
      <c r="P2060" s="404"/>
      <c r="Q2060" s="404"/>
      <c r="R2060" s="301"/>
      <c r="S2060" s="301"/>
      <c r="T2060" s="301"/>
      <c r="U2060" s="301"/>
      <c r="V2060" s="301"/>
    </row>
    <row r="2061" spans="1:22" ht="14.4" thickTop="1" thickBot="1" x14ac:dyDescent="0.3">
      <c r="A2061" s="292"/>
      <c r="B2061" s="296" t="s">
        <v>1902</v>
      </c>
      <c r="C2061" s="294"/>
      <c r="D2061" s="294"/>
      <c r="E2061" s="294">
        <v>6</v>
      </c>
      <c r="F2061" s="310">
        <v>17.475000000000001</v>
      </c>
      <c r="G2061" s="310"/>
      <c r="H2061" s="310">
        <v>3.9</v>
      </c>
      <c r="I2061" s="295">
        <f t="shared" si="244"/>
        <v>408.91500000000002</v>
      </c>
      <c r="J2061" s="295"/>
      <c r="K2061" s="300">
        <f t="shared" si="238"/>
        <v>1.1000000000000001</v>
      </c>
      <c r="L2061" s="300">
        <f t="shared" si="243"/>
        <v>0</v>
      </c>
      <c r="M2061" s="285">
        <f t="shared" si="236"/>
        <v>0</v>
      </c>
      <c r="N2061" s="1076">
        <f t="shared" si="237"/>
        <v>0</v>
      </c>
      <c r="O2061" s="294"/>
      <c r="P2061" s="404"/>
      <c r="Q2061" s="404"/>
      <c r="R2061" s="301"/>
      <c r="S2061" s="301"/>
      <c r="T2061" s="301"/>
      <c r="U2061" s="301"/>
      <c r="V2061" s="301"/>
    </row>
    <row r="2062" spans="1:22" ht="14.4" thickTop="1" thickBot="1" x14ac:dyDescent="0.3">
      <c r="A2062" s="292"/>
      <c r="B2062" s="293"/>
      <c r="C2062" s="294"/>
      <c r="D2062" s="294"/>
      <c r="E2062" s="294">
        <v>9</v>
      </c>
      <c r="F2062" s="310">
        <v>6.3380000000000001</v>
      </c>
      <c r="G2062" s="310"/>
      <c r="H2062" s="310">
        <v>3.9</v>
      </c>
      <c r="I2062" s="295">
        <f t="shared" si="244"/>
        <v>222.46379999999999</v>
      </c>
      <c r="J2062" s="295"/>
      <c r="K2062" s="300">
        <f t="shared" si="238"/>
        <v>1.1000000000000001</v>
      </c>
      <c r="L2062" s="300">
        <f t="shared" si="243"/>
        <v>0</v>
      </c>
      <c r="M2062" s="285">
        <f t="shared" si="236"/>
        <v>0</v>
      </c>
      <c r="N2062" s="1076">
        <f t="shared" si="237"/>
        <v>0</v>
      </c>
      <c r="O2062" s="294"/>
      <c r="P2062" s="404"/>
      <c r="Q2062" s="404"/>
      <c r="R2062" s="301"/>
      <c r="S2062" s="301"/>
      <c r="T2062" s="301"/>
      <c r="U2062" s="301"/>
      <c r="V2062" s="301"/>
    </row>
    <row r="2063" spans="1:22" ht="14.4" thickTop="1" thickBot="1" x14ac:dyDescent="0.3">
      <c r="A2063" s="292"/>
      <c r="B2063" s="296" t="s">
        <v>1903</v>
      </c>
      <c r="C2063" s="294"/>
      <c r="D2063" s="294"/>
      <c r="E2063" s="294">
        <v>6</v>
      </c>
      <c r="F2063" s="310">
        <v>16.5</v>
      </c>
      <c r="G2063" s="310"/>
      <c r="H2063" s="310">
        <v>3.9</v>
      </c>
      <c r="I2063" s="295">
        <f t="shared" si="244"/>
        <v>386.09999999999997</v>
      </c>
      <c r="J2063" s="295"/>
      <c r="K2063" s="300">
        <f t="shared" si="238"/>
        <v>1.1000000000000001</v>
      </c>
      <c r="L2063" s="300">
        <f t="shared" si="243"/>
        <v>0</v>
      </c>
      <c r="M2063" s="285">
        <f t="shared" si="236"/>
        <v>0</v>
      </c>
      <c r="N2063" s="1076">
        <f t="shared" si="237"/>
        <v>0</v>
      </c>
      <c r="O2063" s="294"/>
      <c r="P2063" s="404"/>
      <c r="Q2063" s="404"/>
      <c r="R2063" s="301"/>
      <c r="S2063" s="301"/>
      <c r="T2063" s="301"/>
      <c r="U2063" s="301"/>
      <c r="V2063" s="301"/>
    </row>
    <row r="2064" spans="1:22" ht="14.4" thickTop="1" thickBot="1" x14ac:dyDescent="0.3">
      <c r="A2064" s="292"/>
      <c r="B2064" s="293"/>
      <c r="C2064" s="294"/>
      <c r="D2064" s="294"/>
      <c r="E2064" s="294">
        <v>10</v>
      </c>
      <c r="F2064" s="310">
        <v>6.3</v>
      </c>
      <c r="G2064" s="310"/>
      <c r="H2064" s="310">
        <v>3.9</v>
      </c>
      <c r="I2064" s="295">
        <f t="shared" si="244"/>
        <v>245.7</v>
      </c>
      <c r="J2064" s="295"/>
      <c r="K2064" s="300">
        <f t="shared" si="238"/>
        <v>1.1000000000000001</v>
      </c>
      <c r="L2064" s="300">
        <f t="shared" si="243"/>
        <v>0</v>
      </c>
      <c r="M2064" s="285">
        <f t="shared" si="236"/>
        <v>0</v>
      </c>
      <c r="N2064" s="1076">
        <f t="shared" si="237"/>
        <v>0</v>
      </c>
      <c r="O2064" s="294"/>
      <c r="P2064" s="404"/>
      <c r="Q2064" s="404"/>
      <c r="R2064" s="301"/>
      <c r="S2064" s="301"/>
      <c r="T2064" s="301"/>
      <c r="U2064" s="301"/>
      <c r="V2064" s="301"/>
    </row>
    <row r="2065" spans="1:22" ht="14.4" thickTop="1" thickBot="1" x14ac:dyDescent="0.3">
      <c r="A2065" s="292"/>
      <c r="B2065" s="296" t="s">
        <v>756</v>
      </c>
      <c r="C2065" s="294"/>
      <c r="D2065" s="294"/>
      <c r="E2065" s="294">
        <v>4</v>
      </c>
      <c r="F2065" s="310">
        <v>2.6</v>
      </c>
      <c r="G2065" s="310"/>
      <c r="H2065" s="310">
        <v>3.9</v>
      </c>
      <c r="I2065" s="295">
        <f t="shared" si="244"/>
        <v>40.56</v>
      </c>
      <c r="J2065" s="295"/>
      <c r="K2065" s="300"/>
      <c r="L2065" s="300"/>
      <c r="M2065" s="285"/>
      <c r="N2065" s="1076"/>
      <c r="O2065" s="294"/>
      <c r="P2065" s="404"/>
      <c r="Q2065" s="404"/>
      <c r="R2065" s="301"/>
      <c r="S2065" s="301"/>
      <c r="T2065" s="301"/>
      <c r="U2065" s="301"/>
      <c r="V2065" s="301"/>
    </row>
    <row r="2066" spans="1:22" ht="14.4" thickTop="1" thickBot="1" x14ac:dyDescent="0.3">
      <c r="A2066" s="292"/>
      <c r="B2066" s="293"/>
      <c r="C2066" s="294"/>
      <c r="D2066" s="294"/>
      <c r="E2066" s="294">
        <v>4</v>
      </c>
      <c r="F2066" s="310">
        <v>2</v>
      </c>
      <c r="G2066" s="310"/>
      <c r="H2066" s="310">
        <v>3.9</v>
      </c>
      <c r="I2066" s="295">
        <f t="shared" si="244"/>
        <v>31.2</v>
      </c>
      <c r="J2066" s="295"/>
      <c r="K2066" s="300"/>
      <c r="L2066" s="300"/>
      <c r="M2066" s="285"/>
      <c r="N2066" s="1076"/>
      <c r="O2066" s="294"/>
      <c r="P2066" s="404"/>
      <c r="Q2066" s="404"/>
      <c r="R2066" s="301"/>
      <c r="S2066" s="301"/>
      <c r="T2066" s="301"/>
      <c r="U2066" s="301"/>
      <c r="V2066" s="301"/>
    </row>
    <row r="2067" spans="1:22" ht="14.4" thickTop="1" thickBot="1" x14ac:dyDescent="0.3">
      <c r="A2067" s="292"/>
      <c r="B2067" s="296" t="s">
        <v>846</v>
      </c>
      <c r="C2067" s="294"/>
      <c r="D2067" s="294"/>
      <c r="E2067" s="294"/>
      <c r="F2067" s="310"/>
      <c r="G2067" s="310"/>
      <c r="H2067" s="310"/>
      <c r="I2067" s="295">
        <f t="shared" si="244"/>
        <v>0</v>
      </c>
      <c r="J2067" s="295"/>
      <c r="K2067" s="300">
        <f t="shared" si="238"/>
        <v>1.1000000000000001</v>
      </c>
      <c r="L2067" s="300">
        <f t="shared" si="243"/>
        <v>0</v>
      </c>
      <c r="M2067" s="285">
        <f t="shared" ref="M2067:M2130" si="245">ROUND(L2067,1)</f>
        <v>0</v>
      </c>
      <c r="N2067" s="1076">
        <f t="shared" ref="N2067:N2130" si="246">ROUNDUP(M2067,0)</f>
        <v>0</v>
      </c>
      <c r="O2067" s="294"/>
      <c r="P2067" s="404"/>
      <c r="Q2067" s="404"/>
      <c r="R2067" s="301"/>
      <c r="S2067" s="301"/>
      <c r="T2067" s="301"/>
      <c r="U2067" s="301"/>
      <c r="V2067" s="301"/>
    </row>
    <row r="2068" spans="1:22" ht="14.4" thickTop="1" thickBot="1" x14ac:dyDescent="0.3">
      <c r="A2068" s="292"/>
      <c r="B2068" s="296" t="s">
        <v>811</v>
      </c>
      <c r="C2068" s="294"/>
      <c r="D2068" s="294"/>
      <c r="E2068" s="294">
        <v>32</v>
      </c>
      <c r="F2068" s="310">
        <v>3</v>
      </c>
      <c r="G2068" s="310"/>
      <c r="H2068" s="310">
        <v>2.7</v>
      </c>
      <c r="I2068" s="295">
        <f>-H2068*F2068*E2068</f>
        <v>-259.20000000000005</v>
      </c>
      <c r="J2068" s="295"/>
      <c r="K2068" s="300">
        <f t="shared" si="238"/>
        <v>1.1000000000000001</v>
      </c>
      <c r="L2068" s="300">
        <f t="shared" si="243"/>
        <v>0</v>
      </c>
      <c r="M2068" s="285">
        <f t="shared" si="245"/>
        <v>0</v>
      </c>
      <c r="N2068" s="1076">
        <f t="shared" si="246"/>
        <v>0</v>
      </c>
      <c r="O2068" s="294"/>
      <c r="P2068" s="404"/>
      <c r="Q2068" s="404"/>
      <c r="R2068" s="301"/>
      <c r="S2068" s="301"/>
      <c r="T2068" s="301"/>
      <c r="U2068" s="301"/>
      <c r="V2068" s="301"/>
    </row>
    <row r="2069" spans="1:22" ht="14.4" thickTop="1" thickBot="1" x14ac:dyDescent="0.3">
      <c r="A2069" s="292"/>
      <c r="B2069" s="296" t="s">
        <v>1863</v>
      </c>
      <c r="C2069" s="294"/>
      <c r="D2069" s="294"/>
      <c r="E2069" s="294">
        <v>4</v>
      </c>
      <c r="F2069" s="310">
        <v>1.65</v>
      </c>
      <c r="G2069" s="310"/>
      <c r="H2069" s="310">
        <v>2.7</v>
      </c>
      <c r="I2069" s="295">
        <f t="shared" ref="I2069:I2072" si="247">-H2069*F2069*E2069</f>
        <v>-17.82</v>
      </c>
      <c r="J2069" s="295"/>
      <c r="K2069" s="300">
        <f t="shared" si="238"/>
        <v>1.1000000000000001</v>
      </c>
      <c r="L2069" s="300">
        <f t="shared" si="243"/>
        <v>0</v>
      </c>
      <c r="M2069" s="285">
        <f t="shared" si="245"/>
        <v>0</v>
      </c>
      <c r="N2069" s="1076">
        <f t="shared" si="246"/>
        <v>0</v>
      </c>
      <c r="O2069" s="294"/>
      <c r="P2069" s="404"/>
      <c r="Q2069" s="404"/>
      <c r="R2069" s="301"/>
      <c r="S2069" s="301"/>
      <c r="T2069" s="301"/>
      <c r="U2069" s="301"/>
      <c r="V2069" s="301"/>
    </row>
    <row r="2070" spans="1:22" ht="14.4" thickTop="1" thickBot="1" x14ac:dyDescent="0.3">
      <c r="A2070" s="292"/>
      <c r="B2070" s="296" t="s">
        <v>1474</v>
      </c>
      <c r="C2070" s="294"/>
      <c r="D2070" s="294"/>
      <c r="E2070" s="294">
        <v>1</v>
      </c>
      <c r="F2070" s="310">
        <v>1.1599999999999999</v>
      </c>
      <c r="G2070" s="310"/>
      <c r="H2070" s="310">
        <v>2.1</v>
      </c>
      <c r="I2070" s="295">
        <f t="shared" si="247"/>
        <v>-2.4359999999999999</v>
      </c>
      <c r="J2070" s="295"/>
      <c r="K2070" s="300">
        <f t="shared" si="238"/>
        <v>1.1000000000000001</v>
      </c>
      <c r="L2070" s="300">
        <f t="shared" si="243"/>
        <v>0</v>
      </c>
      <c r="M2070" s="285">
        <f t="shared" si="245"/>
        <v>0</v>
      </c>
      <c r="N2070" s="1076">
        <f t="shared" si="246"/>
        <v>0</v>
      </c>
      <c r="O2070" s="294"/>
      <c r="P2070" s="404"/>
      <c r="Q2070" s="404"/>
      <c r="R2070" s="301"/>
      <c r="S2070" s="301"/>
      <c r="T2070" s="301"/>
      <c r="U2070" s="301"/>
      <c r="V2070" s="301"/>
    </row>
    <row r="2071" spans="1:22" ht="14.4" thickTop="1" thickBot="1" x14ac:dyDescent="0.3">
      <c r="A2071" s="292"/>
      <c r="B2071" s="296" t="s">
        <v>769</v>
      </c>
      <c r="C2071" s="294"/>
      <c r="D2071" s="294"/>
      <c r="E2071" s="294">
        <v>3</v>
      </c>
      <c r="F2071" s="310">
        <v>0.9</v>
      </c>
      <c r="G2071" s="310"/>
      <c r="H2071" s="310">
        <v>0.9</v>
      </c>
      <c r="I2071" s="295">
        <f t="shared" si="247"/>
        <v>-2.4300000000000002</v>
      </c>
      <c r="J2071" s="295"/>
      <c r="K2071" s="300">
        <f t="shared" ref="K2071:K2134" si="248">$K$2</f>
        <v>1.1000000000000001</v>
      </c>
      <c r="L2071" s="300">
        <f t="shared" si="243"/>
        <v>0</v>
      </c>
      <c r="M2071" s="285">
        <f t="shared" si="245"/>
        <v>0</v>
      </c>
      <c r="N2071" s="1076">
        <f t="shared" si="246"/>
        <v>0</v>
      </c>
      <c r="O2071" s="294"/>
      <c r="P2071" s="404"/>
      <c r="Q2071" s="404"/>
      <c r="R2071" s="301"/>
      <c r="S2071" s="301"/>
      <c r="T2071" s="301"/>
      <c r="U2071" s="301"/>
      <c r="V2071" s="301"/>
    </row>
    <row r="2072" spans="1:22" ht="14.4" thickTop="1" thickBot="1" x14ac:dyDescent="0.3">
      <c r="A2072" s="292"/>
      <c r="B2072" s="296" t="s">
        <v>770</v>
      </c>
      <c r="C2072" s="294"/>
      <c r="D2072" s="294"/>
      <c r="E2072" s="294">
        <v>2</v>
      </c>
      <c r="F2072" s="310">
        <v>0.9</v>
      </c>
      <c r="G2072" s="310"/>
      <c r="H2072" s="310">
        <v>2.7</v>
      </c>
      <c r="I2072" s="295">
        <f t="shared" si="247"/>
        <v>-4.8600000000000003</v>
      </c>
      <c r="J2072" s="295"/>
      <c r="K2072" s="300">
        <f t="shared" si="248"/>
        <v>1.1000000000000001</v>
      </c>
      <c r="L2072" s="300">
        <f t="shared" si="243"/>
        <v>0</v>
      </c>
      <c r="M2072" s="285">
        <f t="shared" si="245"/>
        <v>0</v>
      </c>
      <c r="N2072" s="1076">
        <f t="shared" si="246"/>
        <v>0</v>
      </c>
      <c r="O2072" s="294"/>
      <c r="P2072" s="404"/>
      <c r="Q2072" s="404"/>
      <c r="R2072" s="301"/>
      <c r="S2072" s="301"/>
      <c r="T2072" s="301"/>
      <c r="U2072" s="301"/>
      <c r="V2072" s="301"/>
    </row>
    <row r="2073" spans="1:22" ht="14.4" thickTop="1" thickBot="1" x14ac:dyDescent="0.3">
      <c r="A2073" s="292"/>
      <c r="B2073" s="293"/>
      <c r="C2073" s="294"/>
      <c r="D2073" s="294"/>
      <c r="E2073" s="294"/>
      <c r="F2073" s="310"/>
      <c r="G2073" s="310"/>
      <c r="H2073" s="310"/>
      <c r="I2073" s="295"/>
      <c r="J2073" s="295">
        <f>SUM(I2042:I2072)</f>
        <v>2632.3181999999988</v>
      </c>
      <c r="K2073" s="300">
        <f t="shared" si="248"/>
        <v>1.1000000000000001</v>
      </c>
      <c r="L2073" s="300">
        <f t="shared" si="243"/>
        <v>2895.5500199999988</v>
      </c>
      <c r="M2073" s="285">
        <f t="shared" si="245"/>
        <v>2895.6</v>
      </c>
      <c r="N2073" s="1076">
        <f t="shared" si="246"/>
        <v>2896</v>
      </c>
      <c r="O2073" s="294" t="s">
        <v>695</v>
      </c>
      <c r="P2073" s="404"/>
      <c r="Q2073" s="404"/>
      <c r="R2073" s="301"/>
      <c r="S2073" s="301"/>
      <c r="T2073" s="301"/>
      <c r="U2073" s="301"/>
      <c r="V2073" s="301"/>
    </row>
    <row r="2074" spans="1:22" ht="14.4" thickTop="1" thickBot="1" x14ac:dyDescent="0.3">
      <c r="A2074" s="292"/>
      <c r="B2074" s="293"/>
      <c r="C2074" s="294"/>
      <c r="D2074" s="294"/>
      <c r="E2074" s="294"/>
      <c r="F2074" s="310"/>
      <c r="G2074" s="310"/>
      <c r="H2074" s="310"/>
      <c r="I2074" s="295"/>
      <c r="J2074" s="295">
        <f>J2073*10.76</f>
        <v>28323.743831999986</v>
      </c>
      <c r="K2074" s="300">
        <f t="shared" si="248"/>
        <v>1.1000000000000001</v>
      </c>
      <c r="L2074" s="300">
        <f t="shared" si="243"/>
        <v>31156.118215199986</v>
      </c>
      <c r="M2074" s="285">
        <f t="shared" si="245"/>
        <v>31156.1</v>
      </c>
      <c r="N2074" s="1076">
        <f t="shared" si="246"/>
        <v>31157</v>
      </c>
      <c r="O2074" s="294" t="s">
        <v>1846</v>
      </c>
      <c r="P2074" s="404"/>
      <c r="Q2074" s="404"/>
      <c r="R2074" s="301"/>
      <c r="S2074" s="301"/>
      <c r="T2074" s="301"/>
      <c r="U2074" s="301"/>
      <c r="V2074" s="301"/>
    </row>
    <row r="2075" spans="1:22" ht="14.4" thickTop="1" thickBot="1" x14ac:dyDescent="0.3">
      <c r="A2075" s="292"/>
      <c r="B2075" s="293"/>
      <c r="C2075" s="294"/>
      <c r="D2075" s="294"/>
      <c r="E2075" s="294"/>
      <c r="F2075" s="310"/>
      <c r="G2075" s="310"/>
      <c r="H2075" s="310"/>
      <c r="I2075" s="295"/>
      <c r="J2075" s="295">
        <f>J2074/100</f>
        <v>283.23743831999985</v>
      </c>
      <c r="K2075" s="300">
        <v>1.01</v>
      </c>
      <c r="L2075" s="300">
        <f t="shared" si="243"/>
        <v>286.06981270319983</v>
      </c>
      <c r="M2075" s="285">
        <f t="shared" si="245"/>
        <v>286.10000000000002</v>
      </c>
      <c r="N2075" s="1076">
        <f t="shared" si="246"/>
        <v>287</v>
      </c>
      <c r="O2075" s="294" t="s">
        <v>879</v>
      </c>
      <c r="P2075" s="413">
        <f>N2075-J2075</f>
        <v>3.7625616800001467</v>
      </c>
      <c r="Q2075" s="413">
        <f>P2075*11500</f>
        <v>43269.45932000169</v>
      </c>
      <c r="R2075" s="301"/>
      <c r="S2075" s="301"/>
      <c r="T2075" s="301"/>
      <c r="U2075" s="301"/>
      <c r="V2075" s="301"/>
    </row>
    <row r="2076" spans="1:22" ht="14.4" thickTop="1" thickBot="1" x14ac:dyDescent="0.3">
      <c r="A2076" s="292"/>
      <c r="B2076" s="293"/>
      <c r="C2076" s="294"/>
      <c r="D2076" s="294"/>
      <c r="E2076" s="294"/>
      <c r="F2076" s="310"/>
      <c r="G2076" s="310"/>
      <c r="H2076" s="310"/>
      <c r="I2076" s="295"/>
      <c r="J2076" s="295"/>
      <c r="K2076" s="300">
        <f t="shared" si="248"/>
        <v>1.1000000000000001</v>
      </c>
      <c r="L2076" s="300">
        <f t="shared" si="243"/>
        <v>0</v>
      </c>
      <c r="M2076" s="285">
        <f t="shared" si="245"/>
        <v>0</v>
      </c>
      <c r="N2076" s="1076">
        <f t="shared" si="246"/>
        <v>0</v>
      </c>
      <c r="O2076" s="294"/>
      <c r="P2076" s="404"/>
      <c r="Q2076" s="404"/>
      <c r="R2076" s="301"/>
      <c r="S2076" s="301"/>
      <c r="T2076" s="301"/>
      <c r="U2076" s="301"/>
      <c r="V2076" s="301"/>
    </row>
    <row r="2077" spans="1:22" ht="14.4" thickTop="1" thickBot="1" x14ac:dyDescent="0.3">
      <c r="A2077" s="292"/>
      <c r="B2077" s="296" t="s">
        <v>1904</v>
      </c>
      <c r="C2077" s="294"/>
      <c r="D2077" s="294"/>
      <c r="E2077" s="294"/>
      <c r="F2077" s="310"/>
      <c r="G2077" s="310"/>
      <c r="H2077" s="310"/>
      <c r="I2077" s="295"/>
      <c r="J2077" s="295"/>
      <c r="K2077" s="300">
        <f t="shared" si="248"/>
        <v>1.1000000000000001</v>
      </c>
      <c r="L2077" s="300">
        <f t="shared" si="243"/>
        <v>0</v>
      </c>
      <c r="M2077" s="285">
        <f t="shared" si="245"/>
        <v>0</v>
      </c>
      <c r="N2077" s="1076">
        <f t="shared" si="246"/>
        <v>0</v>
      </c>
      <c r="O2077" s="294"/>
      <c r="P2077" s="404"/>
      <c r="Q2077" s="404"/>
      <c r="R2077" s="301"/>
      <c r="S2077" s="301"/>
      <c r="T2077" s="301"/>
      <c r="U2077" s="301"/>
      <c r="V2077" s="301"/>
    </row>
    <row r="2078" spans="1:22" ht="14.4" thickTop="1" thickBot="1" x14ac:dyDescent="0.3">
      <c r="A2078" s="292"/>
      <c r="B2078" s="296" t="s">
        <v>1905</v>
      </c>
      <c r="C2078" s="294"/>
      <c r="D2078" s="294"/>
      <c r="E2078" s="294">
        <v>2</v>
      </c>
      <c r="F2078" s="310">
        <v>17.463000000000001</v>
      </c>
      <c r="G2078" s="310"/>
      <c r="H2078" s="310">
        <f>(4.771+6.404)/2</f>
        <v>5.5875000000000004</v>
      </c>
      <c r="I2078" s="295">
        <f t="shared" ref="I2078:I2089" si="249">H2078*F2078*E2078</f>
        <v>195.14902500000002</v>
      </c>
      <c r="J2078" s="295"/>
      <c r="K2078" s="300">
        <f t="shared" si="248"/>
        <v>1.1000000000000001</v>
      </c>
      <c r="L2078" s="300">
        <f t="shared" si="243"/>
        <v>0</v>
      </c>
      <c r="M2078" s="285">
        <f t="shared" si="245"/>
        <v>0</v>
      </c>
      <c r="N2078" s="1076">
        <f t="shared" si="246"/>
        <v>0</v>
      </c>
      <c r="O2078" s="294"/>
      <c r="P2078" s="404"/>
      <c r="Q2078" s="404"/>
      <c r="R2078" s="301"/>
      <c r="S2078" s="301"/>
      <c r="T2078" s="301"/>
      <c r="U2078" s="301"/>
      <c r="V2078" s="301"/>
    </row>
    <row r="2079" spans="1:22" ht="14.4" thickTop="1" thickBot="1" x14ac:dyDescent="0.3">
      <c r="A2079" s="292"/>
      <c r="B2079" s="293"/>
      <c r="C2079" s="294"/>
      <c r="D2079" s="294"/>
      <c r="E2079" s="294">
        <v>1</v>
      </c>
      <c r="F2079" s="310">
        <v>12.55</v>
      </c>
      <c r="G2079" s="310"/>
      <c r="H2079" s="310">
        <v>4.7709999999999999</v>
      </c>
      <c r="I2079" s="295">
        <f t="shared" si="249"/>
        <v>59.876049999999999</v>
      </c>
      <c r="J2079" s="295"/>
      <c r="K2079" s="300">
        <f t="shared" si="248"/>
        <v>1.1000000000000001</v>
      </c>
      <c r="L2079" s="300">
        <f t="shared" si="243"/>
        <v>0</v>
      </c>
      <c r="M2079" s="285">
        <f t="shared" si="245"/>
        <v>0</v>
      </c>
      <c r="N2079" s="1076">
        <f t="shared" si="246"/>
        <v>0</v>
      </c>
      <c r="O2079" s="294"/>
      <c r="P2079" s="404"/>
      <c r="Q2079" s="404"/>
      <c r="R2079" s="301"/>
      <c r="S2079" s="301"/>
      <c r="T2079" s="301"/>
      <c r="U2079" s="301"/>
      <c r="V2079" s="301"/>
    </row>
    <row r="2080" spans="1:22" ht="14.4" thickTop="1" thickBot="1" x14ac:dyDescent="0.3">
      <c r="A2080" s="292"/>
      <c r="B2080" s="293"/>
      <c r="C2080" s="294"/>
      <c r="D2080" s="294"/>
      <c r="E2080" s="294">
        <v>1</v>
      </c>
      <c r="F2080" s="310">
        <v>12.55</v>
      </c>
      <c r="G2080" s="310"/>
      <c r="H2080" s="310">
        <v>6.4039999999999999</v>
      </c>
      <c r="I2080" s="295">
        <f t="shared" si="249"/>
        <v>80.370199999999997</v>
      </c>
      <c r="J2080" s="295"/>
      <c r="K2080" s="300">
        <f t="shared" si="248"/>
        <v>1.1000000000000001</v>
      </c>
      <c r="L2080" s="300">
        <f t="shared" si="243"/>
        <v>0</v>
      </c>
      <c r="M2080" s="285">
        <f t="shared" si="245"/>
        <v>0</v>
      </c>
      <c r="N2080" s="1076">
        <f t="shared" si="246"/>
        <v>0</v>
      </c>
      <c r="O2080" s="294"/>
      <c r="P2080" s="404"/>
      <c r="Q2080" s="404"/>
      <c r="R2080" s="301"/>
      <c r="S2080" s="301"/>
      <c r="T2080" s="301"/>
      <c r="U2080" s="301"/>
      <c r="V2080" s="301"/>
    </row>
    <row r="2081" spans="1:22" ht="14.4" thickTop="1" thickBot="1" x14ac:dyDescent="0.3">
      <c r="A2081" s="292"/>
      <c r="B2081" s="296" t="s">
        <v>1906</v>
      </c>
      <c r="C2081" s="294"/>
      <c r="D2081" s="294"/>
      <c r="E2081" s="294">
        <v>4</v>
      </c>
      <c r="F2081" s="310">
        <v>1.8680000000000001</v>
      </c>
      <c r="G2081" s="310"/>
      <c r="H2081" s="310">
        <v>4.5</v>
      </c>
      <c r="I2081" s="295">
        <f t="shared" si="249"/>
        <v>33.624000000000002</v>
      </c>
      <c r="J2081" s="295"/>
      <c r="K2081" s="300">
        <f t="shared" si="248"/>
        <v>1.1000000000000001</v>
      </c>
      <c r="L2081" s="300">
        <f t="shared" si="243"/>
        <v>0</v>
      </c>
      <c r="M2081" s="285">
        <f t="shared" si="245"/>
        <v>0</v>
      </c>
      <c r="N2081" s="1076">
        <f t="shared" si="246"/>
        <v>0</v>
      </c>
      <c r="O2081" s="294"/>
      <c r="P2081" s="404"/>
      <c r="Q2081" s="404"/>
      <c r="R2081" s="301"/>
      <c r="S2081" s="301"/>
      <c r="T2081" s="301"/>
      <c r="U2081" s="301"/>
      <c r="V2081" s="301"/>
    </row>
    <row r="2082" spans="1:22" ht="14.4" thickTop="1" thickBot="1" x14ac:dyDescent="0.3">
      <c r="A2082" s="292"/>
      <c r="B2082" s="293"/>
      <c r="C2082" s="294"/>
      <c r="D2082" s="294"/>
      <c r="E2082" s="294">
        <v>2</v>
      </c>
      <c r="F2082" s="310">
        <v>3.3</v>
      </c>
      <c r="G2082" s="310"/>
      <c r="H2082" s="310">
        <v>4.5</v>
      </c>
      <c r="I2082" s="295">
        <f t="shared" si="249"/>
        <v>29.7</v>
      </c>
      <c r="J2082" s="295"/>
      <c r="K2082" s="300">
        <f t="shared" si="248"/>
        <v>1.1000000000000001</v>
      </c>
      <c r="L2082" s="300">
        <f t="shared" si="243"/>
        <v>0</v>
      </c>
      <c r="M2082" s="285">
        <f t="shared" si="245"/>
        <v>0</v>
      </c>
      <c r="N2082" s="1076">
        <f t="shared" si="246"/>
        <v>0</v>
      </c>
      <c r="O2082" s="294"/>
      <c r="P2082" s="404"/>
      <c r="Q2082" s="404"/>
      <c r="R2082" s="301"/>
      <c r="S2082" s="301"/>
      <c r="T2082" s="301"/>
      <c r="U2082" s="301"/>
      <c r="V2082" s="301"/>
    </row>
    <row r="2083" spans="1:22" ht="14.4" thickTop="1" thickBot="1" x14ac:dyDescent="0.3">
      <c r="A2083" s="292"/>
      <c r="B2083" s="296" t="s">
        <v>844</v>
      </c>
      <c r="C2083" s="294"/>
      <c r="D2083" s="294"/>
      <c r="E2083" s="294">
        <v>2</v>
      </c>
      <c r="F2083" s="310">
        <v>3.9</v>
      </c>
      <c r="G2083" s="310"/>
      <c r="H2083" s="310">
        <v>6.4</v>
      </c>
      <c r="I2083" s="295">
        <f t="shared" si="249"/>
        <v>49.92</v>
      </c>
      <c r="J2083" s="295"/>
      <c r="K2083" s="300">
        <f t="shared" si="248"/>
        <v>1.1000000000000001</v>
      </c>
      <c r="L2083" s="300">
        <f t="shared" si="243"/>
        <v>0</v>
      </c>
      <c r="M2083" s="285">
        <f t="shared" si="245"/>
        <v>0</v>
      </c>
      <c r="N2083" s="1076">
        <f t="shared" si="246"/>
        <v>0</v>
      </c>
      <c r="O2083" s="294"/>
      <c r="P2083" s="404"/>
      <c r="Q2083" s="404"/>
      <c r="R2083" s="301"/>
      <c r="S2083" s="301"/>
      <c r="T2083" s="301"/>
      <c r="U2083" s="301"/>
      <c r="V2083" s="301"/>
    </row>
    <row r="2084" spans="1:22" ht="14.4" thickTop="1" thickBot="1" x14ac:dyDescent="0.3">
      <c r="A2084" s="292"/>
      <c r="B2084" s="293"/>
      <c r="C2084" s="294"/>
      <c r="D2084" s="294"/>
      <c r="E2084" s="294">
        <v>4</v>
      </c>
      <c r="F2084" s="310">
        <v>6</v>
      </c>
      <c r="G2084" s="310"/>
      <c r="H2084" s="310">
        <v>6.4</v>
      </c>
      <c r="I2084" s="295">
        <f t="shared" si="249"/>
        <v>153.60000000000002</v>
      </c>
      <c r="J2084" s="295"/>
      <c r="K2084" s="300">
        <f t="shared" si="248"/>
        <v>1.1000000000000001</v>
      </c>
      <c r="L2084" s="300">
        <f t="shared" si="243"/>
        <v>0</v>
      </c>
      <c r="M2084" s="285">
        <f t="shared" si="245"/>
        <v>0</v>
      </c>
      <c r="N2084" s="1076">
        <f t="shared" si="246"/>
        <v>0</v>
      </c>
      <c r="O2084" s="294"/>
      <c r="P2084" s="404"/>
      <c r="Q2084" s="404"/>
      <c r="R2084" s="301"/>
      <c r="S2084" s="301"/>
      <c r="T2084" s="301"/>
      <c r="U2084" s="301"/>
      <c r="V2084" s="301"/>
    </row>
    <row r="2085" spans="1:22" ht="14.4" thickTop="1" thickBot="1" x14ac:dyDescent="0.3">
      <c r="A2085" s="292"/>
      <c r="B2085" s="296" t="s">
        <v>1907</v>
      </c>
      <c r="C2085" s="294"/>
      <c r="D2085" s="294"/>
      <c r="E2085" s="294">
        <v>1</v>
      </c>
      <c r="F2085" s="310">
        <v>3.9</v>
      </c>
      <c r="G2085" s="310"/>
      <c r="H2085" s="310">
        <v>6.4</v>
      </c>
      <c r="I2085" s="295">
        <f t="shared" si="249"/>
        <v>24.96</v>
      </c>
      <c r="J2085" s="295"/>
      <c r="K2085" s="300">
        <f t="shared" si="248"/>
        <v>1.1000000000000001</v>
      </c>
      <c r="L2085" s="300">
        <f t="shared" si="243"/>
        <v>0</v>
      </c>
      <c r="M2085" s="285">
        <f t="shared" si="245"/>
        <v>0</v>
      </c>
      <c r="N2085" s="1076">
        <f t="shared" si="246"/>
        <v>0</v>
      </c>
      <c r="O2085" s="294"/>
      <c r="P2085" s="404"/>
      <c r="Q2085" s="404"/>
      <c r="R2085" s="301"/>
      <c r="S2085" s="301"/>
      <c r="T2085" s="301"/>
      <c r="U2085" s="301"/>
      <c r="V2085" s="301"/>
    </row>
    <row r="2086" spans="1:22" ht="14.4" thickTop="1" thickBot="1" x14ac:dyDescent="0.3">
      <c r="A2086" s="292"/>
      <c r="B2086" s="293"/>
      <c r="C2086" s="294"/>
      <c r="D2086" s="294"/>
      <c r="E2086" s="294">
        <v>2</v>
      </c>
      <c r="F2086" s="310">
        <v>1.863</v>
      </c>
      <c r="G2086" s="310"/>
      <c r="H2086" s="310">
        <v>6.4</v>
      </c>
      <c r="I2086" s="295">
        <f t="shared" si="249"/>
        <v>23.846400000000003</v>
      </c>
      <c r="J2086" s="295"/>
      <c r="K2086" s="300">
        <f t="shared" si="248"/>
        <v>1.1000000000000001</v>
      </c>
      <c r="L2086" s="300">
        <f t="shared" si="243"/>
        <v>0</v>
      </c>
      <c r="M2086" s="285">
        <f t="shared" si="245"/>
        <v>0</v>
      </c>
      <c r="N2086" s="1076">
        <f t="shared" si="246"/>
        <v>0</v>
      </c>
      <c r="O2086" s="294"/>
      <c r="P2086" s="404"/>
      <c r="Q2086" s="404"/>
      <c r="R2086" s="301"/>
      <c r="S2086" s="301"/>
      <c r="T2086" s="301"/>
      <c r="U2086" s="301"/>
      <c r="V2086" s="301"/>
    </row>
    <row r="2087" spans="1:22" ht="14.4" thickTop="1" thickBot="1" x14ac:dyDescent="0.3">
      <c r="A2087" s="292"/>
      <c r="B2087" s="293"/>
      <c r="C2087" s="294"/>
      <c r="D2087" s="294"/>
      <c r="E2087" s="294">
        <v>1</v>
      </c>
      <c r="F2087" s="310">
        <v>5.17</v>
      </c>
      <c r="G2087" s="310"/>
      <c r="H2087" s="310">
        <v>6</v>
      </c>
      <c r="I2087" s="295">
        <f t="shared" si="249"/>
        <v>31.02</v>
      </c>
      <c r="J2087" s="295"/>
      <c r="K2087" s="300">
        <f t="shared" si="248"/>
        <v>1.1000000000000001</v>
      </c>
      <c r="L2087" s="300">
        <f t="shared" si="243"/>
        <v>0</v>
      </c>
      <c r="M2087" s="285">
        <f t="shared" si="245"/>
        <v>0</v>
      </c>
      <c r="N2087" s="1076">
        <f t="shared" si="246"/>
        <v>0</v>
      </c>
      <c r="O2087" s="294"/>
      <c r="P2087" s="404"/>
      <c r="Q2087" s="404"/>
      <c r="R2087" s="301"/>
      <c r="S2087" s="301"/>
      <c r="T2087" s="301"/>
      <c r="U2087" s="301"/>
      <c r="V2087" s="301"/>
    </row>
    <row r="2088" spans="1:22" ht="14.4" thickTop="1" thickBot="1" x14ac:dyDescent="0.3">
      <c r="A2088" s="292"/>
      <c r="B2088" s="293"/>
      <c r="C2088" s="294"/>
      <c r="D2088" s="294"/>
      <c r="E2088" s="294">
        <v>3</v>
      </c>
      <c r="F2088" s="310">
        <v>6.0629999999999997</v>
      </c>
      <c r="G2088" s="310"/>
      <c r="H2088" s="310">
        <v>6</v>
      </c>
      <c r="I2088" s="295">
        <f t="shared" si="249"/>
        <v>109.134</v>
      </c>
      <c r="J2088" s="295"/>
      <c r="K2088" s="300">
        <f t="shared" si="248"/>
        <v>1.1000000000000001</v>
      </c>
      <c r="L2088" s="300">
        <f t="shared" si="243"/>
        <v>0</v>
      </c>
      <c r="M2088" s="285">
        <f t="shared" si="245"/>
        <v>0</v>
      </c>
      <c r="N2088" s="1076">
        <f t="shared" si="246"/>
        <v>0</v>
      </c>
      <c r="O2088" s="294"/>
      <c r="P2088" s="404"/>
      <c r="Q2088" s="404"/>
      <c r="R2088" s="301"/>
      <c r="S2088" s="301"/>
      <c r="T2088" s="301"/>
      <c r="U2088" s="301"/>
      <c r="V2088" s="301"/>
    </row>
    <row r="2089" spans="1:22" ht="14.4" thickTop="1" thickBot="1" x14ac:dyDescent="0.3">
      <c r="A2089" s="292"/>
      <c r="B2089" s="293"/>
      <c r="C2089" s="294"/>
      <c r="D2089" s="294"/>
      <c r="E2089" s="294">
        <v>1</v>
      </c>
      <c r="F2089" s="310">
        <v>14.337999999999999</v>
      </c>
      <c r="G2089" s="310"/>
      <c r="H2089" s="310">
        <f>(4.771+6.404)/2</f>
        <v>5.5875000000000004</v>
      </c>
      <c r="I2089" s="295">
        <f t="shared" si="249"/>
        <v>80.113574999999997</v>
      </c>
      <c r="J2089" s="295"/>
      <c r="K2089" s="300">
        <f t="shared" si="248"/>
        <v>1.1000000000000001</v>
      </c>
      <c r="L2089" s="300">
        <f t="shared" si="243"/>
        <v>0</v>
      </c>
      <c r="M2089" s="285">
        <f t="shared" si="245"/>
        <v>0</v>
      </c>
      <c r="N2089" s="1076">
        <f t="shared" si="246"/>
        <v>0</v>
      </c>
      <c r="O2089" s="294"/>
      <c r="P2089" s="404"/>
      <c r="Q2089" s="404"/>
      <c r="R2089" s="301"/>
      <c r="S2089" s="301"/>
      <c r="T2089" s="301"/>
      <c r="U2089" s="301"/>
      <c r="V2089" s="301"/>
    </row>
    <row r="2090" spans="1:22" ht="14.4" thickTop="1" thickBot="1" x14ac:dyDescent="0.3">
      <c r="A2090" s="292"/>
      <c r="B2090" s="296" t="s">
        <v>756</v>
      </c>
      <c r="C2090" s="294"/>
      <c r="D2090" s="294"/>
      <c r="E2090" s="294">
        <v>4</v>
      </c>
      <c r="F2090" s="310">
        <v>2.6</v>
      </c>
      <c r="G2090" s="310"/>
      <c r="H2090" s="310">
        <v>6</v>
      </c>
      <c r="I2090" s="295">
        <f>H2090*F2090*E2090</f>
        <v>62.400000000000006</v>
      </c>
      <c r="J2090" s="295"/>
      <c r="K2090" s="300">
        <f t="shared" si="248"/>
        <v>1.1000000000000001</v>
      </c>
      <c r="L2090" s="300">
        <f t="shared" si="243"/>
        <v>0</v>
      </c>
      <c r="M2090" s="285">
        <f t="shared" si="245"/>
        <v>0</v>
      </c>
      <c r="N2090" s="1076">
        <f t="shared" si="246"/>
        <v>0</v>
      </c>
      <c r="O2090" s="294"/>
      <c r="P2090" s="404"/>
      <c r="Q2090" s="404"/>
      <c r="R2090" s="301"/>
      <c r="S2090" s="301"/>
      <c r="T2090" s="301"/>
      <c r="U2090" s="301"/>
      <c r="V2090" s="301"/>
    </row>
    <row r="2091" spans="1:22" ht="14.4" thickTop="1" thickBot="1" x14ac:dyDescent="0.3">
      <c r="A2091" s="292"/>
      <c r="B2091" s="293"/>
      <c r="C2091" s="294"/>
      <c r="D2091" s="294"/>
      <c r="E2091" s="294">
        <v>4</v>
      </c>
      <c r="F2091" s="310">
        <v>2</v>
      </c>
      <c r="G2091" s="310"/>
      <c r="H2091" s="310">
        <v>6</v>
      </c>
      <c r="I2091" s="295">
        <f t="shared" ref="I2091" si="250">H2091*F2091*E2091</f>
        <v>48</v>
      </c>
      <c r="J2091" s="295"/>
      <c r="K2091" s="300">
        <f t="shared" si="248"/>
        <v>1.1000000000000001</v>
      </c>
      <c r="L2091" s="300">
        <f t="shared" si="243"/>
        <v>0</v>
      </c>
      <c r="M2091" s="285">
        <f t="shared" si="245"/>
        <v>0</v>
      </c>
      <c r="N2091" s="1076">
        <f t="shared" si="246"/>
        <v>0</v>
      </c>
      <c r="O2091" s="294"/>
      <c r="P2091" s="404"/>
      <c r="Q2091" s="404"/>
      <c r="R2091" s="301"/>
      <c r="S2091" s="301"/>
      <c r="T2091" s="301"/>
      <c r="U2091" s="301"/>
      <c r="V2091" s="301"/>
    </row>
    <row r="2092" spans="1:22" ht="14.4" thickTop="1" thickBot="1" x14ac:dyDescent="0.3">
      <c r="A2092" s="292"/>
      <c r="B2092" s="296" t="s">
        <v>846</v>
      </c>
      <c r="C2092" s="294"/>
      <c r="D2092" s="294"/>
      <c r="E2092" s="294"/>
      <c r="F2092" s="310"/>
      <c r="G2092" s="310"/>
      <c r="H2092" s="310"/>
      <c r="I2092" s="295"/>
      <c r="J2092" s="295"/>
      <c r="K2092" s="300">
        <f t="shared" si="248"/>
        <v>1.1000000000000001</v>
      </c>
      <c r="L2092" s="300">
        <f t="shared" si="243"/>
        <v>0</v>
      </c>
      <c r="M2092" s="285">
        <f t="shared" si="245"/>
        <v>0</v>
      </c>
      <c r="N2092" s="1076">
        <f t="shared" si="246"/>
        <v>0</v>
      </c>
      <c r="O2092" s="294"/>
      <c r="P2092" s="404"/>
      <c r="Q2092" s="404"/>
      <c r="R2092" s="301"/>
      <c r="S2092" s="301"/>
      <c r="T2092" s="301"/>
      <c r="U2092" s="301"/>
      <c r="V2092" s="301"/>
    </row>
    <row r="2093" spans="1:22" ht="14.4" thickTop="1" thickBot="1" x14ac:dyDescent="0.3">
      <c r="A2093" s="292"/>
      <c r="B2093" s="296" t="s">
        <v>837</v>
      </c>
      <c r="C2093" s="294"/>
      <c r="D2093" s="294"/>
      <c r="E2093" s="294">
        <v>4</v>
      </c>
      <c r="F2093" s="310">
        <v>1.4</v>
      </c>
      <c r="G2093" s="310"/>
      <c r="H2093" s="310">
        <v>2.7</v>
      </c>
      <c r="I2093" s="295">
        <f t="shared" ref="I2093:I2095" si="251">-H2093*F2093*E2093</f>
        <v>-15.12</v>
      </c>
      <c r="J2093" s="295"/>
      <c r="K2093" s="300">
        <f t="shared" si="248"/>
        <v>1.1000000000000001</v>
      </c>
      <c r="L2093" s="300">
        <f t="shared" si="243"/>
        <v>0</v>
      </c>
      <c r="M2093" s="285">
        <f t="shared" si="245"/>
        <v>0</v>
      </c>
      <c r="N2093" s="1076">
        <f t="shared" si="246"/>
        <v>0</v>
      </c>
      <c r="O2093" s="294"/>
      <c r="P2093" s="404"/>
      <c r="Q2093" s="404"/>
      <c r="R2093" s="301"/>
      <c r="S2093" s="301"/>
      <c r="T2093" s="301"/>
      <c r="U2093" s="301"/>
      <c r="V2093" s="301"/>
    </row>
    <row r="2094" spans="1:22" ht="14.4" thickTop="1" thickBot="1" x14ac:dyDescent="0.3">
      <c r="A2094" s="292"/>
      <c r="B2094" s="296" t="s">
        <v>770</v>
      </c>
      <c r="C2094" s="294"/>
      <c r="D2094" s="294"/>
      <c r="E2094" s="294">
        <v>2</v>
      </c>
      <c r="F2094" s="310">
        <v>0.9</v>
      </c>
      <c r="G2094" s="310"/>
      <c r="H2094" s="310">
        <v>2.7</v>
      </c>
      <c r="I2094" s="295">
        <f>-H2094*F2094*E2094</f>
        <v>-4.8600000000000003</v>
      </c>
      <c r="J2094" s="295"/>
      <c r="K2094" s="300">
        <f t="shared" si="248"/>
        <v>1.1000000000000001</v>
      </c>
      <c r="L2094" s="300">
        <f t="shared" si="243"/>
        <v>0</v>
      </c>
      <c r="M2094" s="285">
        <f t="shared" si="245"/>
        <v>0</v>
      </c>
      <c r="N2094" s="1076">
        <f t="shared" si="246"/>
        <v>0</v>
      </c>
      <c r="O2094" s="294"/>
      <c r="P2094" s="404"/>
      <c r="Q2094" s="404"/>
      <c r="R2094" s="301"/>
      <c r="S2094" s="301"/>
      <c r="T2094" s="301"/>
      <c r="U2094" s="301"/>
      <c r="V2094" s="301"/>
    </row>
    <row r="2095" spans="1:22" ht="14.4" thickTop="1" thickBot="1" x14ac:dyDescent="0.3">
      <c r="A2095" s="292"/>
      <c r="B2095" s="296" t="s">
        <v>1474</v>
      </c>
      <c r="C2095" s="294"/>
      <c r="D2095" s="294"/>
      <c r="E2095" s="294">
        <v>1</v>
      </c>
      <c r="F2095" s="310">
        <v>1.1599999999999999</v>
      </c>
      <c r="G2095" s="310"/>
      <c r="H2095" s="310">
        <v>2.1</v>
      </c>
      <c r="I2095" s="295">
        <f t="shared" si="251"/>
        <v>-2.4359999999999999</v>
      </c>
      <c r="J2095" s="295"/>
      <c r="K2095" s="300">
        <f t="shared" si="248"/>
        <v>1.1000000000000001</v>
      </c>
      <c r="L2095" s="300">
        <f t="shared" si="243"/>
        <v>0</v>
      </c>
      <c r="M2095" s="285">
        <f t="shared" si="245"/>
        <v>0</v>
      </c>
      <c r="N2095" s="1076">
        <f t="shared" si="246"/>
        <v>0</v>
      </c>
      <c r="O2095" s="294"/>
      <c r="P2095" s="404"/>
      <c r="Q2095" s="404"/>
      <c r="R2095" s="301"/>
      <c r="S2095" s="301"/>
      <c r="T2095" s="301"/>
      <c r="U2095" s="301"/>
      <c r="V2095" s="301"/>
    </row>
    <row r="2096" spans="1:22" ht="14.4" thickTop="1" thickBot="1" x14ac:dyDescent="0.3">
      <c r="A2096" s="292"/>
      <c r="B2096" s="293"/>
      <c r="C2096" s="294"/>
      <c r="D2096" s="294"/>
      <c r="E2096" s="294"/>
      <c r="F2096" s="310"/>
      <c r="G2096" s="310"/>
      <c r="H2096" s="310"/>
      <c r="I2096" s="295"/>
      <c r="J2096" s="295">
        <f>SUM(I2078:I2095)</f>
        <v>959.29725000000008</v>
      </c>
      <c r="K2096" s="300">
        <f t="shared" si="248"/>
        <v>1.1000000000000001</v>
      </c>
      <c r="L2096" s="300">
        <f t="shared" si="243"/>
        <v>1055.2269750000003</v>
      </c>
      <c r="M2096" s="285">
        <f t="shared" si="245"/>
        <v>1055.2</v>
      </c>
      <c r="N2096" s="1076">
        <f t="shared" si="246"/>
        <v>1056</v>
      </c>
      <c r="O2096" s="294" t="s">
        <v>695</v>
      </c>
      <c r="P2096" s="404"/>
      <c r="Q2096" s="404"/>
      <c r="R2096" s="301"/>
      <c r="S2096" s="301"/>
      <c r="T2096" s="301"/>
      <c r="U2096" s="301"/>
      <c r="V2096" s="301"/>
    </row>
    <row r="2097" spans="1:22" ht="14.4" thickTop="1" thickBot="1" x14ac:dyDescent="0.3">
      <c r="A2097" s="292"/>
      <c r="B2097" s="293"/>
      <c r="C2097" s="294"/>
      <c r="D2097" s="294"/>
      <c r="E2097" s="294"/>
      <c r="F2097" s="310"/>
      <c r="G2097" s="310"/>
      <c r="H2097" s="310"/>
      <c r="I2097" s="295"/>
      <c r="J2097" s="295">
        <f>J2096*10.76</f>
        <v>10322.038410000001</v>
      </c>
      <c r="K2097" s="300">
        <f t="shared" si="248"/>
        <v>1.1000000000000001</v>
      </c>
      <c r="L2097" s="300">
        <f t="shared" si="243"/>
        <v>11354.242251000001</v>
      </c>
      <c r="M2097" s="285">
        <f t="shared" si="245"/>
        <v>11354.2</v>
      </c>
      <c r="N2097" s="1076">
        <f t="shared" si="246"/>
        <v>11355</v>
      </c>
      <c r="O2097" s="294" t="s">
        <v>1846</v>
      </c>
      <c r="P2097" s="404"/>
      <c r="Q2097" s="404"/>
      <c r="R2097" s="301"/>
      <c r="S2097" s="301"/>
      <c r="T2097" s="301"/>
      <c r="U2097" s="301"/>
      <c r="V2097" s="301"/>
    </row>
    <row r="2098" spans="1:22" ht="14.4" thickTop="1" thickBot="1" x14ac:dyDescent="0.3">
      <c r="A2098" s="292"/>
      <c r="B2098" s="293"/>
      <c r="C2098" s="294"/>
      <c r="D2098" s="294"/>
      <c r="E2098" s="294"/>
      <c r="F2098" s="310"/>
      <c r="G2098" s="310"/>
      <c r="H2098" s="310"/>
      <c r="I2098" s="295"/>
      <c r="J2098" s="295">
        <f>J2097/100</f>
        <v>103.2203841</v>
      </c>
      <c r="K2098" s="300">
        <v>1.01</v>
      </c>
      <c r="L2098" s="300">
        <f t="shared" si="243"/>
        <v>104.252587941</v>
      </c>
      <c r="M2098" s="285">
        <f t="shared" si="245"/>
        <v>104.3</v>
      </c>
      <c r="N2098" s="1076">
        <f t="shared" si="246"/>
        <v>105</v>
      </c>
      <c r="O2098" s="294" t="s">
        <v>879</v>
      </c>
      <c r="P2098" s="404"/>
      <c r="Q2098" s="404"/>
      <c r="R2098" s="301"/>
      <c r="S2098" s="301"/>
      <c r="T2098" s="301"/>
      <c r="U2098" s="301"/>
      <c r="V2098" s="301"/>
    </row>
    <row r="2099" spans="1:22" ht="14.4" thickTop="1" thickBot="1" x14ac:dyDescent="0.3">
      <c r="A2099" s="292"/>
      <c r="B2099" s="293"/>
      <c r="C2099" s="294"/>
      <c r="D2099" s="294"/>
      <c r="E2099" s="294"/>
      <c r="F2099" s="310"/>
      <c r="G2099" s="310"/>
      <c r="H2099" s="310"/>
      <c r="I2099" s="295"/>
      <c r="J2099" s="295"/>
      <c r="K2099" s="300">
        <f t="shared" si="248"/>
        <v>1.1000000000000001</v>
      </c>
      <c r="L2099" s="300">
        <f t="shared" si="243"/>
        <v>0</v>
      </c>
      <c r="M2099" s="285">
        <f t="shared" si="245"/>
        <v>0</v>
      </c>
      <c r="N2099" s="1076">
        <f t="shared" si="246"/>
        <v>0</v>
      </c>
      <c r="O2099" s="294"/>
      <c r="P2099" s="404"/>
      <c r="Q2099" s="404"/>
      <c r="R2099" s="301"/>
      <c r="S2099" s="301"/>
      <c r="T2099" s="301"/>
      <c r="U2099" s="301"/>
      <c r="V2099" s="301"/>
    </row>
    <row r="2100" spans="1:22" ht="14.4" thickTop="1" thickBot="1" x14ac:dyDescent="0.3">
      <c r="A2100" s="292"/>
      <c r="B2100" s="296" t="s">
        <v>1910</v>
      </c>
      <c r="C2100" s="294"/>
      <c r="D2100" s="294"/>
      <c r="E2100" s="294"/>
      <c r="F2100" s="310"/>
      <c r="G2100" s="310"/>
      <c r="H2100" s="310"/>
      <c r="I2100" s="295"/>
      <c r="J2100" s="295"/>
      <c r="K2100" s="300">
        <f t="shared" si="248"/>
        <v>1.1000000000000001</v>
      </c>
      <c r="L2100" s="300">
        <f t="shared" si="243"/>
        <v>0</v>
      </c>
      <c r="M2100" s="285">
        <f t="shared" si="245"/>
        <v>0</v>
      </c>
      <c r="N2100" s="1076">
        <f t="shared" si="246"/>
        <v>0</v>
      </c>
      <c r="O2100" s="294"/>
      <c r="P2100" s="404"/>
      <c r="Q2100" s="404"/>
      <c r="R2100" s="301"/>
      <c r="S2100" s="301"/>
      <c r="T2100" s="301"/>
      <c r="U2100" s="301"/>
      <c r="V2100" s="301"/>
    </row>
    <row r="2101" spans="1:22" ht="14.4" thickTop="1" thickBot="1" x14ac:dyDescent="0.3">
      <c r="A2101" s="292"/>
      <c r="B2101" s="296" t="s">
        <v>1888</v>
      </c>
      <c r="C2101" s="294"/>
      <c r="D2101" s="294"/>
      <c r="E2101" s="294"/>
      <c r="F2101" s="310"/>
      <c r="G2101" s="310"/>
      <c r="H2101" s="310"/>
      <c r="I2101" s="295"/>
      <c r="J2101" s="295"/>
      <c r="K2101" s="300">
        <f t="shared" si="248"/>
        <v>1.1000000000000001</v>
      </c>
      <c r="L2101" s="300">
        <f t="shared" si="243"/>
        <v>0</v>
      </c>
      <c r="M2101" s="285">
        <f t="shared" si="245"/>
        <v>0</v>
      </c>
      <c r="N2101" s="1076">
        <f t="shared" si="246"/>
        <v>0</v>
      </c>
      <c r="O2101" s="294"/>
      <c r="P2101" s="404"/>
      <c r="Q2101" s="404"/>
      <c r="R2101" s="301"/>
      <c r="S2101" s="301"/>
      <c r="T2101" s="301"/>
      <c r="U2101" s="301"/>
      <c r="V2101" s="301"/>
    </row>
    <row r="2102" spans="1:22" ht="14.4" thickTop="1" thickBot="1" x14ac:dyDescent="0.3">
      <c r="A2102" s="292"/>
      <c r="B2102" s="293" t="s">
        <v>769</v>
      </c>
      <c r="C2102" s="294"/>
      <c r="D2102" s="294"/>
      <c r="E2102" s="294">
        <v>1</v>
      </c>
      <c r="F2102" s="310">
        <f>(0.9*4)</f>
        <v>3.6</v>
      </c>
      <c r="G2102" s="310"/>
      <c r="H2102" s="310"/>
      <c r="I2102" s="295">
        <f>F2102*E2102</f>
        <v>3.6</v>
      </c>
      <c r="J2102" s="295"/>
      <c r="K2102" s="300">
        <f t="shared" si="248"/>
        <v>1.1000000000000001</v>
      </c>
      <c r="L2102" s="300">
        <f t="shared" si="243"/>
        <v>0</v>
      </c>
      <c r="M2102" s="285">
        <f t="shared" si="245"/>
        <v>0</v>
      </c>
      <c r="N2102" s="1076">
        <f t="shared" si="246"/>
        <v>0</v>
      </c>
      <c r="O2102" s="294"/>
      <c r="P2102" s="404"/>
      <c r="Q2102" s="404"/>
      <c r="R2102" s="301"/>
      <c r="S2102" s="301"/>
      <c r="T2102" s="301"/>
      <c r="U2102" s="301"/>
      <c r="V2102" s="301"/>
    </row>
    <row r="2103" spans="1:22" ht="14.4" thickTop="1" thickBot="1" x14ac:dyDescent="0.3">
      <c r="A2103" s="292"/>
      <c r="B2103" s="293" t="s">
        <v>770</v>
      </c>
      <c r="C2103" s="294"/>
      <c r="D2103" s="294"/>
      <c r="E2103" s="294">
        <v>2</v>
      </c>
      <c r="F2103" s="310">
        <f>(0.9+2.7+2.7)</f>
        <v>6.3000000000000007</v>
      </c>
      <c r="G2103" s="310"/>
      <c r="H2103" s="310"/>
      <c r="I2103" s="295">
        <f t="shared" ref="I2103:I2128" si="252">F2103*E2103</f>
        <v>12.600000000000001</v>
      </c>
      <c r="J2103" s="295"/>
      <c r="K2103" s="300">
        <f t="shared" si="248"/>
        <v>1.1000000000000001</v>
      </c>
      <c r="L2103" s="300">
        <f t="shared" si="243"/>
        <v>0</v>
      </c>
      <c r="M2103" s="285">
        <f t="shared" si="245"/>
        <v>0</v>
      </c>
      <c r="N2103" s="1076">
        <f t="shared" si="246"/>
        <v>0</v>
      </c>
      <c r="O2103" s="294"/>
      <c r="P2103" s="404"/>
      <c r="Q2103" s="404"/>
      <c r="R2103" s="301"/>
      <c r="S2103" s="301"/>
      <c r="T2103" s="301"/>
      <c r="U2103" s="301"/>
      <c r="V2103" s="301"/>
    </row>
    <row r="2104" spans="1:22" ht="14.4" thickTop="1" thickBot="1" x14ac:dyDescent="0.3">
      <c r="A2104" s="292"/>
      <c r="B2104" s="296" t="s">
        <v>1889</v>
      </c>
      <c r="C2104" s="294"/>
      <c r="D2104" s="294"/>
      <c r="E2104" s="294"/>
      <c r="F2104" s="310"/>
      <c r="G2104" s="310"/>
      <c r="H2104" s="310"/>
      <c r="I2104" s="295">
        <f t="shared" si="252"/>
        <v>0</v>
      </c>
      <c r="J2104" s="295"/>
      <c r="K2104" s="300">
        <f t="shared" si="248"/>
        <v>1.1000000000000001</v>
      </c>
      <c r="L2104" s="300">
        <f t="shared" si="243"/>
        <v>0</v>
      </c>
      <c r="M2104" s="285">
        <f t="shared" si="245"/>
        <v>0</v>
      </c>
      <c r="N2104" s="1076">
        <f t="shared" si="246"/>
        <v>0</v>
      </c>
      <c r="O2104" s="294"/>
      <c r="P2104" s="404"/>
      <c r="Q2104" s="404"/>
      <c r="R2104" s="301"/>
      <c r="S2104" s="301"/>
      <c r="T2104" s="301"/>
      <c r="U2104" s="301"/>
      <c r="V2104" s="301"/>
    </row>
    <row r="2105" spans="1:22" ht="14.4" thickTop="1" thickBot="1" x14ac:dyDescent="0.3">
      <c r="A2105" s="292"/>
      <c r="B2105" s="293" t="s">
        <v>769</v>
      </c>
      <c r="C2105" s="294"/>
      <c r="D2105" s="294"/>
      <c r="E2105" s="294">
        <v>2</v>
      </c>
      <c r="F2105" s="310">
        <f>(0.9*4)</f>
        <v>3.6</v>
      </c>
      <c r="G2105" s="310"/>
      <c r="H2105" s="310"/>
      <c r="I2105" s="295">
        <f t="shared" si="252"/>
        <v>7.2</v>
      </c>
      <c r="J2105" s="295"/>
      <c r="K2105" s="300">
        <f t="shared" si="248"/>
        <v>1.1000000000000001</v>
      </c>
      <c r="L2105" s="300">
        <f t="shared" si="243"/>
        <v>0</v>
      </c>
      <c r="M2105" s="285">
        <f t="shared" si="245"/>
        <v>0</v>
      </c>
      <c r="N2105" s="1076">
        <f t="shared" si="246"/>
        <v>0</v>
      </c>
      <c r="O2105" s="294"/>
      <c r="P2105" s="404"/>
      <c r="Q2105" s="404"/>
      <c r="R2105" s="301"/>
      <c r="S2105" s="301"/>
      <c r="T2105" s="301"/>
      <c r="U2105" s="301"/>
      <c r="V2105" s="301"/>
    </row>
    <row r="2106" spans="1:22" ht="14.4" thickTop="1" thickBot="1" x14ac:dyDescent="0.3">
      <c r="A2106" s="292"/>
      <c r="B2106" s="293" t="s">
        <v>1860</v>
      </c>
      <c r="C2106" s="294"/>
      <c r="D2106" s="294"/>
      <c r="E2106" s="294">
        <v>1</v>
      </c>
      <c r="F2106" s="310">
        <f>(0.9+2.7+2.7)</f>
        <v>6.3000000000000007</v>
      </c>
      <c r="G2106" s="310"/>
      <c r="H2106" s="310"/>
      <c r="I2106" s="295">
        <f t="shared" si="252"/>
        <v>6.3000000000000007</v>
      </c>
      <c r="J2106" s="295"/>
      <c r="K2106" s="300">
        <f t="shared" si="248"/>
        <v>1.1000000000000001</v>
      </c>
      <c r="L2106" s="300">
        <f t="shared" si="243"/>
        <v>0</v>
      </c>
      <c r="M2106" s="285">
        <f t="shared" si="245"/>
        <v>0</v>
      </c>
      <c r="N2106" s="1076">
        <f t="shared" si="246"/>
        <v>0</v>
      </c>
      <c r="O2106" s="294"/>
      <c r="P2106" s="404"/>
      <c r="Q2106" s="404"/>
      <c r="R2106" s="301"/>
      <c r="S2106" s="301"/>
      <c r="T2106" s="301"/>
      <c r="U2106" s="301"/>
      <c r="V2106" s="301"/>
    </row>
    <row r="2107" spans="1:22" ht="14.4" thickTop="1" thickBot="1" x14ac:dyDescent="0.3">
      <c r="A2107" s="292"/>
      <c r="B2107" s="296" t="s">
        <v>1890</v>
      </c>
      <c r="C2107" s="294"/>
      <c r="D2107" s="294"/>
      <c r="E2107" s="294"/>
      <c r="F2107" s="310"/>
      <c r="G2107" s="310"/>
      <c r="H2107" s="310"/>
      <c r="I2107" s="295">
        <f t="shared" si="252"/>
        <v>0</v>
      </c>
      <c r="J2107" s="295"/>
      <c r="K2107" s="300">
        <f t="shared" si="248"/>
        <v>1.1000000000000001</v>
      </c>
      <c r="L2107" s="300">
        <f t="shared" si="243"/>
        <v>0</v>
      </c>
      <c r="M2107" s="285">
        <f t="shared" si="245"/>
        <v>0</v>
      </c>
      <c r="N2107" s="1076">
        <f t="shared" si="246"/>
        <v>0</v>
      </c>
      <c r="O2107" s="294"/>
      <c r="P2107" s="404"/>
      <c r="Q2107" s="404"/>
      <c r="R2107" s="301"/>
      <c r="S2107" s="301"/>
      <c r="T2107" s="301"/>
      <c r="U2107" s="301"/>
      <c r="V2107" s="301"/>
    </row>
    <row r="2108" spans="1:22" ht="14.4" thickTop="1" thickBot="1" x14ac:dyDescent="0.3">
      <c r="A2108" s="292"/>
      <c r="B2108" s="293" t="s">
        <v>792</v>
      </c>
      <c r="C2108" s="294"/>
      <c r="D2108" s="294"/>
      <c r="E2108" s="294">
        <v>1</v>
      </c>
      <c r="F2108" s="310">
        <f>(1.05+2.4+2.4)</f>
        <v>5.85</v>
      </c>
      <c r="G2108" s="310"/>
      <c r="H2108" s="310"/>
      <c r="I2108" s="295">
        <f t="shared" si="252"/>
        <v>5.85</v>
      </c>
      <c r="J2108" s="295"/>
      <c r="K2108" s="300">
        <f t="shared" si="248"/>
        <v>1.1000000000000001</v>
      </c>
      <c r="L2108" s="300">
        <f t="shared" si="243"/>
        <v>0</v>
      </c>
      <c r="M2108" s="285">
        <f t="shared" si="245"/>
        <v>0</v>
      </c>
      <c r="N2108" s="1076">
        <f t="shared" si="246"/>
        <v>0</v>
      </c>
      <c r="O2108" s="294"/>
      <c r="P2108" s="404"/>
      <c r="Q2108" s="404"/>
      <c r="R2108" s="301"/>
      <c r="S2108" s="301"/>
      <c r="T2108" s="301"/>
      <c r="U2108" s="301"/>
      <c r="V2108" s="301"/>
    </row>
    <row r="2109" spans="1:22" ht="14.4" thickTop="1" thickBot="1" x14ac:dyDescent="0.3">
      <c r="A2109" s="292"/>
      <c r="B2109" s="293" t="s">
        <v>769</v>
      </c>
      <c r="C2109" s="294"/>
      <c r="D2109" s="294"/>
      <c r="E2109" s="294">
        <v>1</v>
      </c>
      <c r="F2109" s="310">
        <f>(0.9*4)</f>
        <v>3.6</v>
      </c>
      <c r="G2109" s="310"/>
      <c r="H2109" s="310"/>
      <c r="I2109" s="295">
        <f t="shared" si="252"/>
        <v>3.6</v>
      </c>
      <c r="J2109" s="295"/>
      <c r="K2109" s="300">
        <f t="shared" si="248"/>
        <v>1.1000000000000001</v>
      </c>
      <c r="L2109" s="300">
        <f t="shared" si="243"/>
        <v>0</v>
      </c>
      <c r="M2109" s="285">
        <f t="shared" si="245"/>
        <v>0</v>
      </c>
      <c r="N2109" s="1076">
        <f t="shared" si="246"/>
        <v>0</v>
      </c>
      <c r="O2109" s="294"/>
      <c r="P2109" s="404"/>
      <c r="Q2109" s="404"/>
      <c r="R2109" s="301"/>
      <c r="S2109" s="301"/>
      <c r="T2109" s="301"/>
      <c r="U2109" s="301"/>
      <c r="V2109" s="301"/>
    </row>
    <row r="2110" spans="1:22" ht="14.4" thickTop="1" thickBot="1" x14ac:dyDescent="0.3">
      <c r="A2110" s="292"/>
      <c r="B2110" s="296" t="s">
        <v>1873</v>
      </c>
      <c r="C2110" s="294"/>
      <c r="D2110" s="294"/>
      <c r="E2110" s="294"/>
      <c r="F2110" s="310"/>
      <c r="G2110" s="310"/>
      <c r="H2110" s="310"/>
      <c r="I2110" s="295">
        <f t="shared" si="252"/>
        <v>0</v>
      </c>
      <c r="J2110" s="295"/>
      <c r="K2110" s="300">
        <f t="shared" si="248"/>
        <v>1.1000000000000001</v>
      </c>
      <c r="L2110" s="300">
        <f t="shared" si="243"/>
        <v>0</v>
      </c>
      <c r="M2110" s="285">
        <f t="shared" si="245"/>
        <v>0</v>
      </c>
      <c r="N2110" s="1076">
        <f t="shared" si="246"/>
        <v>0</v>
      </c>
      <c r="O2110" s="294"/>
      <c r="P2110" s="404"/>
      <c r="Q2110" s="404"/>
      <c r="R2110" s="301"/>
      <c r="S2110" s="301"/>
      <c r="T2110" s="301"/>
      <c r="U2110" s="301"/>
      <c r="V2110" s="301"/>
    </row>
    <row r="2111" spans="1:22" ht="14.4" thickTop="1" thickBot="1" x14ac:dyDescent="0.3">
      <c r="A2111" s="292"/>
      <c r="B2111" s="293" t="s">
        <v>769</v>
      </c>
      <c r="C2111" s="294"/>
      <c r="D2111" s="294"/>
      <c r="E2111" s="294">
        <v>1</v>
      </c>
      <c r="F2111" s="310">
        <f>(0.9*4)</f>
        <v>3.6</v>
      </c>
      <c r="G2111" s="310"/>
      <c r="H2111" s="310"/>
      <c r="I2111" s="295">
        <f t="shared" si="252"/>
        <v>3.6</v>
      </c>
      <c r="J2111" s="295"/>
      <c r="K2111" s="300">
        <f t="shared" si="248"/>
        <v>1.1000000000000001</v>
      </c>
      <c r="L2111" s="300">
        <f t="shared" si="243"/>
        <v>0</v>
      </c>
      <c r="M2111" s="285">
        <f t="shared" si="245"/>
        <v>0</v>
      </c>
      <c r="N2111" s="1076">
        <f t="shared" si="246"/>
        <v>0</v>
      </c>
      <c r="O2111" s="294"/>
      <c r="P2111" s="404"/>
      <c r="Q2111" s="404"/>
      <c r="R2111" s="301"/>
      <c r="S2111" s="301"/>
      <c r="T2111" s="301"/>
      <c r="U2111" s="301"/>
      <c r="V2111" s="301"/>
    </row>
    <row r="2112" spans="1:22" ht="14.4" thickTop="1" thickBot="1" x14ac:dyDescent="0.3">
      <c r="A2112" s="292"/>
      <c r="B2112" s="293" t="s">
        <v>770</v>
      </c>
      <c r="C2112" s="294"/>
      <c r="D2112" s="294"/>
      <c r="E2112" s="294">
        <v>1</v>
      </c>
      <c r="F2112" s="310">
        <f>(0.9+2.7+2.7)</f>
        <v>6.3000000000000007</v>
      </c>
      <c r="G2112" s="310"/>
      <c r="H2112" s="310"/>
      <c r="I2112" s="295">
        <f t="shared" si="252"/>
        <v>6.3000000000000007</v>
      </c>
      <c r="J2112" s="295"/>
      <c r="K2112" s="300">
        <f t="shared" si="248"/>
        <v>1.1000000000000001</v>
      </c>
      <c r="L2112" s="300">
        <f t="shared" si="243"/>
        <v>0</v>
      </c>
      <c r="M2112" s="285">
        <f t="shared" si="245"/>
        <v>0</v>
      </c>
      <c r="N2112" s="1076">
        <f t="shared" si="246"/>
        <v>0</v>
      </c>
      <c r="O2112" s="294"/>
      <c r="P2112" s="404"/>
      <c r="Q2112" s="404"/>
      <c r="R2112" s="301"/>
      <c r="S2112" s="301"/>
      <c r="T2112" s="301"/>
      <c r="U2112" s="301"/>
      <c r="V2112" s="301"/>
    </row>
    <row r="2113" spans="1:22" ht="14.4" thickTop="1" thickBot="1" x14ac:dyDescent="0.3">
      <c r="A2113" s="292"/>
      <c r="B2113" s="296" t="s">
        <v>1891</v>
      </c>
      <c r="C2113" s="294"/>
      <c r="D2113" s="294"/>
      <c r="E2113" s="294"/>
      <c r="F2113" s="310"/>
      <c r="G2113" s="310"/>
      <c r="H2113" s="310"/>
      <c r="I2113" s="295">
        <f t="shared" si="252"/>
        <v>0</v>
      </c>
      <c r="J2113" s="295"/>
      <c r="K2113" s="300">
        <f t="shared" si="248"/>
        <v>1.1000000000000001</v>
      </c>
      <c r="L2113" s="300">
        <f t="shared" si="243"/>
        <v>0</v>
      </c>
      <c r="M2113" s="285">
        <f t="shared" si="245"/>
        <v>0</v>
      </c>
      <c r="N2113" s="1076">
        <f t="shared" si="246"/>
        <v>0</v>
      </c>
      <c r="O2113" s="294"/>
      <c r="P2113" s="404"/>
      <c r="Q2113" s="404"/>
      <c r="R2113" s="301"/>
      <c r="S2113" s="301"/>
      <c r="T2113" s="301"/>
      <c r="U2113" s="301"/>
      <c r="V2113" s="301"/>
    </row>
    <row r="2114" spans="1:22" ht="14.4" thickTop="1" thickBot="1" x14ac:dyDescent="0.3">
      <c r="A2114" s="292"/>
      <c r="B2114" s="293" t="s">
        <v>769</v>
      </c>
      <c r="C2114" s="294"/>
      <c r="D2114" s="294"/>
      <c r="E2114" s="294">
        <v>1</v>
      </c>
      <c r="F2114" s="310">
        <f>(0.9*4)</f>
        <v>3.6</v>
      </c>
      <c r="G2114" s="310"/>
      <c r="H2114" s="310"/>
      <c r="I2114" s="295">
        <f t="shared" si="252"/>
        <v>3.6</v>
      </c>
      <c r="J2114" s="295"/>
      <c r="K2114" s="300">
        <f t="shared" si="248"/>
        <v>1.1000000000000001</v>
      </c>
      <c r="L2114" s="300">
        <f t="shared" si="243"/>
        <v>0</v>
      </c>
      <c r="M2114" s="285">
        <f t="shared" si="245"/>
        <v>0</v>
      </c>
      <c r="N2114" s="1076">
        <f t="shared" si="246"/>
        <v>0</v>
      </c>
      <c r="O2114" s="294"/>
      <c r="P2114" s="404"/>
      <c r="Q2114" s="404"/>
      <c r="R2114" s="301"/>
      <c r="S2114" s="301"/>
      <c r="T2114" s="301"/>
      <c r="U2114" s="301"/>
      <c r="V2114" s="301"/>
    </row>
    <row r="2115" spans="1:22" ht="14.4" thickTop="1" thickBot="1" x14ac:dyDescent="0.3">
      <c r="A2115" s="292"/>
      <c r="B2115" s="293" t="s">
        <v>770</v>
      </c>
      <c r="C2115" s="294"/>
      <c r="D2115" s="294"/>
      <c r="E2115" s="294">
        <v>1</v>
      </c>
      <c r="F2115" s="310">
        <f>(0.9+2.7+2.7)</f>
        <v>6.3000000000000007</v>
      </c>
      <c r="G2115" s="310"/>
      <c r="H2115" s="310"/>
      <c r="I2115" s="295">
        <f t="shared" si="252"/>
        <v>6.3000000000000007</v>
      </c>
      <c r="J2115" s="295"/>
      <c r="K2115" s="300">
        <f t="shared" si="248"/>
        <v>1.1000000000000001</v>
      </c>
      <c r="L2115" s="300">
        <f t="shared" si="243"/>
        <v>0</v>
      </c>
      <c r="M2115" s="285">
        <f t="shared" si="245"/>
        <v>0</v>
      </c>
      <c r="N2115" s="1076">
        <f t="shared" si="246"/>
        <v>0</v>
      </c>
      <c r="O2115" s="294"/>
      <c r="P2115" s="404"/>
      <c r="Q2115" s="404"/>
      <c r="R2115" s="301"/>
      <c r="S2115" s="301"/>
      <c r="T2115" s="301"/>
      <c r="U2115" s="301"/>
      <c r="V2115" s="301"/>
    </row>
    <row r="2116" spans="1:22" ht="14.4" thickTop="1" thickBot="1" x14ac:dyDescent="0.3">
      <c r="A2116" s="292"/>
      <c r="B2116" s="296" t="s">
        <v>756</v>
      </c>
      <c r="C2116" s="294"/>
      <c r="D2116" s="294"/>
      <c r="E2116" s="294"/>
      <c r="F2116" s="310"/>
      <c r="G2116" s="310"/>
      <c r="H2116" s="310"/>
      <c r="I2116" s="295">
        <f t="shared" si="252"/>
        <v>0</v>
      </c>
      <c r="J2116" s="295"/>
      <c r="K2116" s="300">
        <f t="shared" si="248"/>
        <v>1.1000000000000001</v>
      </c>
      <c r="L2116" s="300">
        <f t="shared" si="243"/>
        <v>0</v>
      </c>
      <c r="M2116" s="285">
        <f t="shared" si="245"/>
        <v>0</v>
      </c>
      <c r="N2116" s="1076">
        <f t="shared" si="246"/>
        <v>0</v>
      </c>
      <c r="O2116" s="294"/>
      <c r="P2116" s="404"/>
      <c r="Q2116" s="404"/>
      <c r="R2116" s="301"/>
      <c r="S2116" s="301"/>
      <c r="T2116" s="301"/>
      <c r="U2116" s="301"/>
      <c r="V2116" s="301"/>
    </row>
    <row r="2117" spans="1:22" ht="14.4" thickTop="1" thickBot="1" x14ac:dyDescent="0.3">
      <c r="A2117" s="292"/>
      <c r="B2117" s="293" t="s">
        <v>1474</v>
      </c>
      <c r="C2117" s="294"/>
      <c r="D2117" s="294"/>
      <c r="E2117" s="294">
        <v>1</v>
      </c>
      <c r="F2117" s="310">
        <f>1.16+2.1+2.1</f>
        <v>5.3599999999999994</v>
      </c>
      <c r="G2117" s="310"/>
      <c r="H2117" s="310"/>
      <c r="I2117" s="295">
        <f t="shared" si="252"/>
        <v>5.3599999999999994</v>
      </c>
      <c r="J2117" s="295"/>
      <c r="K2117" s="300">
        <f t="shared" si="248"/>
        <v>1.1000000000000001</v>
      </c>
      <c r="L2117" s="300">
        <f t="shared" si="243"/>
        <v>0</v>
      </c>
      <c r="M2117" s="285">
        <f t="shared" si="245"/>
        <v>0</v>
      </c>
      <c r="N2117" s="1076">
        <f t="shared" si="246"/>
        <v>0</v>
      </c>
      <c r="O2117" s="294"/>
      <c r="P2117" s="404"/>
      <c r="Q2117" s="404"/>
      <c r="R2117" s="301"/>
      <c r="S2117" s="301"/>
      <c r="T2117" s="301"/>
      <c r="U2117" s="301"/>
      <c r="V2117" s="301"/>
    </row>
    <row r="2118" spans="1:22" ht="14.4" thickTop="1" thickBot="1" x14ac:dyDescent="0.3">
      <c r="A2118" s="292"/>
      <c r="B2118" s="296" t="s">
        <v>1892</v>
      </c>
      <c r="C2118" s="294"/>
      <c r="D2118" s="294"/>
      <c r="E2118" s="294"/>
      <c r="F2118" s="310"/>
      <c r="G2118" s="310"/>
      <c r="H2118" s="310"/>
      <c r="I2118" s="295">
        <f t="shared" si="252"/>
        <v>0</v>
      </c>
      <c r="J2118" s="295"/>
      <c r="K2118" s="300">
        <f t="shared" si="248"/>
        <v>1.1000000000000001</v>
      </c>
      <c r="L2118" s="300">
        <f t="shared" si="243"/>
        <v>0</v>
      </c>
      <c r="M2118" s="285">
        <f t="shared" si="245"/>
        <v>0</v>
      </c>
      <c r="N2118" s="1076">
        <f t="shared" si="246"/>
        <v>0</v>
      </c>
      <c r="O2118" s="294"/>
      <c r="P2118" s="404"/>
      <c r="Q2118" s="404"/>
      <c r="R2118" s="301"/>
      <c r="S2118" s="301"/>
      <c r="T2118" s="301"/>
      <c r="U2118" s="301"/>
      <c r="V2118" s="301"/>
    </row>
    <row r="2119" spans="1:22" ht="14.4" thickTop="1" thickBot="1" x14ac:dyDescent="0.3">
      <c r="A2119" s="292"/>
      <c r="B2119" s="293" t="s">
        <v>770</v>
      </c>
      <c r="C2119" s="294"/>
      <c r="D2119" s="294"/>
      <c r="E2119" s="294">
        <v>1</v>
      </c>
      <c r="F2119" s="310">
        <f>(0.9+2.7+2.7)</f>
        <v>6.3000000000000007</v>
      </c>
      <c r="G2119" s="310"/>
      <c r="H2119" s="310"/>
      <c r="I2119" s="295">
        <f t="shared" si="252"/>
        <v>6.3000000000000007</v>
      </c>
      <c r="J2119" s="295"/>
      <c r="K2119" s="300">
        <f t="shared" si="248"/>
        <v>1.1000000000000001</v>
      </c>
      <c r="L2119" s="300">
        <f t="shared" si="243"/>
        <v>0</v>
      </c>
      <c r="M2119" s="285">
        <f t="shared" si="245"/>
        <v>0</v>
      </c>
      <c r="N2119" s="1076">
        <f t="shared" si="246"/>
        <v>0</v>
      </c>
      <c r="O2119" s="294"/>
      <c r="P2119" s="404"/>
      <c r="Q2119" s="404"/>
      <c r="R2119" s="301"/>
      <c r="S2119" s="301"/>
      <c r="T2119" s="301"/>
      <c r="U2119" s="301"/>
      <c r="V2119" s="301"/>
    </row>
    <row r="2120" spans="1:22" ht="14.4" thickTop="1" thickBot="1" x14ac:dyDescent="0.3">
      <c r="A2120" s="292"/>
      <c r="B2120" s="296" t="s">
        <v>1893</v>
      </c>
      <c r="C2120" s="294"/>
      <c r="D2120" s="294"/>
      <c r="E2120" s="294"/>
      <c r="F2120" s="310"/>
      <c r="G2120" s="310"/>
      <c r="H2120" s="310"/>
      <c r="I2120" s="295">
        <f t="shared" si="252"/>
        <v>0</v>
      </c>
      <c r="J2120" s="295"/>
      <c r="K2120" s="300">
        <f t="shared" si="248"/>
        <v>1.1000000000000001</v>
      </c>
      <c r="L2120" s="300">
        <f t="shared" si="243"/>
        <v>0</v>
      </c>
      <c r="M2120" s="285">
        <f t="shared" si="245"/>
        <v>0</v>
      </c>
      <c r="N2120" s="1076">
        <f t="shared" si="246"/>
        <v>0</v>
      </c>
      <c r="O2120" s="294"/>
      <c r="P2120" s="404"/>
      <c r="Q2120" s="404"/>
      <c r="R2120" s="301"/>
      <c r="S2120" s="301"/>
      <c r="T2120" s="301"/>
      <c r="U2120" s="301"/>
      <c r="V2120" s="301"/>
    </row>
    <row r="2121" spans="1:22" ht="14.4" thickTop="1" thickBot="1" x14ac:dyDescent="0.3">
      <c r="A2121" s="292"/>
      <c r="B2121" s="293" t="s">
        <v>770</v>
      </c>
      <c r="C2121" s="294"/>
      <c r="D2121" s="294"/>
      <c r="E2121" s="294">
        <v>2</v>
      </c>
      <c r="F2121" s="310">
        <f>(0.9+2.7+2.7)</f>
        <v>6.3000000000000007</v>
      </c>
      <c r="G2121" s="310"/>
      <c r="H2121" s="310"/>
      <c r="I2121" s="295">
        <f t="shared" si="252"/>
        <v>12.600000000000001</v>
      </c>
      <c r="J2121" s="295"/>
      <c r="K2121" s="300">
        <f t="shared" si="248"/>
        <v>1.1000000000000001</v>
      </c>
      <c r="L2121" s="300">
        <f t="shared" si="243"/>
        <v>0</v>
      </c>
      <c r="M2121" s="285">
        <f t="shared" si="245"/>
        <v>0</v>
      </c>
      <c r="N2121" s="1076">
        <f t="shared" si="246"/>
        <v>0</v>
      </c>
      <c r="O2121" s="294"/>
      <c r="P2121" s="404"/>
      <c r="Q2121" s="404"/>
      <c r="R2121" s="301"/>
      <c r="S2121" s="301"/>
      <c r="T2121" s="301"/>
      <c r="U2121" s="301"/>
      <c r="V2121" s="301"/>
    </row>
    <row r="2122" spans="1:22" ht="14.4" thickTop="1" thickBot="1" x14ac:dyDescent="0.3">
      <c r="A2122" s="292"/>
      <c r="B2122" s="296" t="s">
        <v>1894</v>
      </c>
      <c r="C2122" s="294"/>
      <c r="D2122" s="294"/>
      <c r="E2122" s="294"/>
      <c r="F2122" s="310"/>
      <c r="G2122" s="310"/>
      <c r="H2122" s="310"/>
      <c r="I2122" s="295">
        <f t="shared" si="252"/>
        <v>0</v>
      </c>
      <c r="J2122" s="295"/>
      <c r="K2122" s="300">
        <f t="shared" si="248"/>
        <v>1.1000000000000001</v>
      </c>
      <c r="L2122" s="300">
        <f t="shared" si="243"/>
        <v>0</v>
      </c>
      <c r="M2122" s="285">
        <f t="shared" si="245"/>
        <v>0</v>
      </c>
      <c r="N2122" s="1076">
        <f t="shared" si="246"/>
        <v>0</v>
      </c>
      <c r="O2122" s="294"/>
      <c r="P2122" s="404"/>
      <c r="Q2122" s="404"/>
      <c r="R2122" s="301"/>
      <c r="S2122" s="301"/>
      <c r="T2122" s="301"/>
      <c r="U2122" s="301"/>
      <c r="V2122" s="301"/>
    </row>
    <row r="2123" spans="1:22" ht="14.4" thickTop="1" thickBot="1" x14ac:dyDescent="0.3">
      <c r="A2123" s="292"/>
      <c r="B2123" s="293" t="s">
        <v>769</v>
      </c>
      <c r="C2123" s="294"/>
      <c r="D2123" s="294"/>
      <c r="E2123" s="294">
        <v>2</v>
      </c>
      <c r="F2123" s="310">
        <f>(0.9*4)</f>
        <v>3.6</v>
      </c>
      <c r="G2123" s="310"/>
      <c r="H2123" s="310"/>
      <c r="I2123" s="295">
        <f t="shared" si="252"/>
        <v>7.2</v>
      </c>
      <c r="J2123" s="295"/>
      <c r="K2123" s="300">
        <f t="shared" si="248"/>
        <v>1.1000000000000001</v>
      </c>
      <c r="L2123" s="300">
        <f t="shared" ref="L2123:L2186" si="253">K2123*J2123</f>
        <v>0</v>
      </c>
      <c r="M2123" s="285">
        <f t="shared" si="245"/>
        <v>0</v>
      </c>
      <c r="N2123" s="1076">
        <f t="shared" si="246"/>
        <v>0</v>
      </c>
      <c r="O2123" s="294"/>
      <c r="P2123" s="404"/>
      <c r="Q2123" s="404"/>
      <c r="R2123" s="301"/>
      <c r="S2123" s="301"/>
      <c r="T2123" s="301"/>
      <c r="U2123" s="301"/>
      <c r="V2123" s="301"/>
    </row>
    <row r="2124" spans="1:22" ht="14.4" thickTop="1" thickBot="1" x14ac:dyDescent="0.3">
      <c r="A2124" s="292"/>
      <c r="B2124" s="293" t="s">
        <v>1860</v>
      </c>
      <c r="C2124" s="294"/>
      <c r="D2124" s="294"/>
      <c r="E2124" s="294">
        <v>1</v>
      </c>
      <c r="F2124" s="310">
        <f>(0.9+2.7+2.7)</f>
        <v>6.3000000000000007</v>
      </c>
      <c r="G2124" s="310"/>
      <c r="H2124" s="310"/>
      <c r="I2124" s="295">
        <f t="shared" si="252"/>
        <v>6.3000000000000007</v>
      </c>
      <c r="J2124" s="295"/>
      <c r="K2124" s="300">
        <f t="shared" si="248"/>
        <v>1.1000000000000001</v>
      </c>
      <c r="L2124" s="300">
        <f t="shared" si="253"/>
        <v>0</v>
      </c>
      <c r="M2124" s="285">
        <f t="shared" si="245"/>
        <v>0</v>
      </c>
      <c r="N2124" s="1076">
        <f t="shared" si="246"/>
        <v>0</v>
      </c>
      <c r="O2124" s="294"/>
      <c r="P2124" s="404"/>
      <c r="Q2124" s="404"/>
      <c r="R2124" s="301"/>
      <c r="S2124" s="301"/>
      <c r="T2124" s="301"/>
      <c r="U2124" s="301"/>
      <c r="V2124" s="301"/>
    </row>
    <row r="2125" spans="1:22" ht="14.4" thickTop="1" thickBot="1" x14ac:dyDescent="0.3">
      <c r="A2125" s="292"/>
      <c r="B2125" s="293" t="s">
        <v>1861</v>
      </c>
      <c r="C2125" s="294"/>
      <c r="D2125" s="294"/>
      <c r="E2125" s="294">
        <v>1</v>
      </c>
      <c r="F2125" s="310">
        <f>(0.9+2.7+2.7)</f>
        <v>6.3000000000000007</v>
      </c>
      <c r="G2125" s="310"/>
      <c r="H2125" s="310"/>
      <c r="I2125" s="295">
        <f t="shared" si="252"/>
        <v>6.3000000000000007</v>
      </c>
      <c r="J2125" s="295"/>
      <c r="K2125" s="300">
        <f t="shared" si="248"/>
        <v>1.1000000000000001</v>
      </c>
      <c r="L2125" s="300">
        <f t="shared" si="253"/>
        <v>0</v>
      </c>
      <c r="M2125" s="285">
        <f t="shared" si="245"/>
        <v>0</v>
      </c>
      <c r="N2125" s="1076">
        <f t="shared" si="246"/>
        <v>0</v>
      </c>
      <c r="O2125" s="294"/>
      <c r="P2125" s="404"/>
      <c r="Q2125" s="404"/>
      <c r="R2125" s="301"/>
      <c r="S2125" s="301"/>
      <c r="T2125" s="301"/>
      <c r="U2125" s="301"/>
      <c r="V2125" s="301"/>
    </row>
    <row r="2126" spans="1:22" ht="14.4" thickTop="1" thickBot="1" x14ac:dyDescent="0.3">
      <c r="A2126" s="292"/>
      <c r="B2126" s="293" t="s">
        <v>1895</v>
      </c>
      <c r="C2126" s="294"/>
      <c r="D2126" s="294"/>
      <c r="E2126" s="294"/>
      <c r="F2126" s="310"/>
      <c r="G2126" s="310"/>
      <c r="H2126" s="310"/>
      <c r="I2126" s="295">
        <f t="shared" si="252"/>
        <v>0</v>
      </c>
      <c r="J2126" s="295"/>
      <c r="K2126" s="300">
        <f t="shared" si="248"/>
        <v>1.1000000000000001</v>
      </c>
      <c r="L2126" s="300">
        <f t="shared" si="253"/>
        <v>0</v>
      </c>
      <c r="M2126" s="285">
        <f t="shared" si="245"/>
        <v>0</v>
      </c>
      <c r="N2126" s="1076">
        <f t="shared" si="246"/>
        <v>0</v>
      </c>
      <c r="O2126" s="294"/>
      <c r="P2126" s="404"/>
      <c r="Q2126" s="404"/>
      <c r="R2126" s="301"/>
      <c r="S2126" s="301"/>
      <c r="T2126" s="301"/>
      <c r="U2126" s="301"/>
      <c r="V2126" s="301"/>
    </row>
    <row r="2127" spans="1:22" ht="14.4" thickTop="1" thickBot="1" x14ac:dyDescent="0.3">
      <c r="A2127" s="292"/>
      <c r="B2127" s="293" t="s">
        <v>769</v>
      </c>
      <c r="C2127" s="294"/>
      <c r="D2127" s="294"/>
      <c r="E2127" s="294">
        <v>2</v>
      </c>
      <c r="F2127" s="310">
        <f>(0.9*4)</f>
        <v>3.6</v>
      </c>
      <c r="G2127" s="310"/>
      <c r="H2127" s="310"/>
      <c r="I2127" s="295">
        <f t="shared" si="252"/>
        <v>7.2</v>
      </c>
      <c r="J2127" s="295"/>
      <c r="K2127" s="300">
        <f t="shared" si="248"/>
        <v>1.1000000000000001</v>
      </c>
      <c r="L2127" s="300">
        <f t="shared" si="253"/>
        <v>0</v>
      </c>
      <c r="M2127" s="285">
        <f t="shared" si="245"/>
        <v>0</v>
      </c>
      <c r="N2127" s="1076">
        <f t="shared" si="246"/>
        <v>0</v>
      </c>
      <c r="O2127" s="294"/>
      <c r="P2127" s="404"/>
      <c r="Q2127" s="404"/>
      <c r="R2127" s="301"/>
      <c r="S2127" s="301"/>
      <c r="T2127" s="301"/>
      <c r="U2127" s="301"/>
      <c r="V2127" s="301"/>
    </row>
    <row r="2128" spans="1:22" ht="14.4" thickTop="1" thickBot="1" x14ac:dyDescent="0.3">
      <c r="A2128" s="292"/>
      <c r="B2128" s="293" t="s">
        <v>1860</v>
      </c>
      <c r="C2128" s="294"/>
      <c r="D2128" s="294"/>
      <c r="E2128" s="294">
        <v>1</v>
      </c>
      <c r="F2128" s="310">
        <f>(0.9+2.7+2.7)</f>
        <v>6.3000000000000007</v>
      </c>
      <c r="G2128" s="310"/>
      <c r="H2128" s="310"/>
      <c r="I2128" s="295">
        <f t="shared" si="252"/>
        <v>6.3000000000000007</v>
      </c>
      <c r="J2128" s="295"/>
      <c r="K2128" s="300">
        <f t="shared" si="248"/>
        <v>1.1000000000000001</v>
      </c>
      <c r="L2128" s="300">
        <f t="shared" si="253"/>
        <v>0</v>
      </c>
      <c r="M2128" s="285">
        <f t="shared" si="245"/>
        <v>0</v>
      </c>
      <c r="N2128" s="1076">
        <f t="shared" si="246"/>
        <v>0</v>
      </c>
      <c r="O2128" s="294"/>
      <c r="P2128" s="404"/>
      <c r="Q2128" s="404"/>
      <c r="R2128" s="301"/>
      <c r="S2128" s="301"/>
      <c r="T2128" s="301"/>
      <c r="U2128" s="301"/>
      <c r="V2128" s="301"/>
    </row>
    <row r="2129" spans="1:22" ht="14.4" thickTop="1" thickBot="1" x14ac:dyDescent="0.3">
      <c r="A2129" s="292"/>
      <c r="B2129" s="293"/>
      <c r="C2129" s="294"/>
      <c r="D2129" s="294"/>
      <c r="E2129" s="294"/>
      <c r="F2129" s="310"/>
      <c r="G2129" s="310"/>
      <c r="H2129" s="310"/>
      <c r="I2129" s="295"/>
      <c r="J2129" s="295">
        <f>SUM(I2102:I2128)</f>
        <v>116.51</v>
      </c>
      <c r="K2129" s="300">
        <f t="shared" si="248"/>
        <v>1.1000000000000001</v>
      </c>
      <c r="L2129" s="300">
        <f t="shared" si="253"/>
        <v>128.16100000000003</v>
      </c>
      <c r="M2129" s="285">
        <f t="shared" si="245"/>
        <v>128.19999999999999</v>
      </c>
      <c r="N2129" s="1076">
        <f t="shared" si="246"/>
        <v>129</v>
      </c>
      <c r="O2129" s="294" t="s">
        <v>1912</v>
      </c>
      <c r="P2129" s="404"/>
      <c r="Q2129" s="404"/>
      <c r="R2129" s="301"/>
      <c r="S2129" s="301"/>
      <c r="T2129" s="301"/>
      <c r="U2129" s="301"/>
      <c r="V2129" s="301"/>
    </row>
    <row r="2130" spans="1:22" ht="14.4" thickTop="1" thickBot="1" x14ac:dyDescent="0.3">
      <c r="A2130" s="292"/>
      <c r="B2130" s="293"/>
      <c r="C2130" s="294"/>
      <c r="D2130" s="294"/>
      <c r="E2130" s="294"/>
      <c r="F2130" s="310"/>
      <c r="G2130" s="310"/>
      <c r="H2130" s="310"/>
      <c r="I2130" s="295"/>
      <c r="J2130" s="295">
        <f>J2129*3.28</f>
        <v>382.15280000000001</v>
      </c>
      <c r="K2130" s="300">
        <f t="shared" si="248"/>
        <v>1.1000000000000001</v>
      </c>
      <c r="L2130" s="300">
        <f t="shared" si="253"/>
        <v>420.36808000000002</v>
      </c>
      <c r="M2130" s="285">
        <f t="shared" si="245"/>
        <v>420.4</v>
      </c>
      <c r="N2130" s="1076">
        <f t="shared" si="246"/>
        <v>421</v>
      </c>
      <c r="O2130" s="294" t="s">
        <v>1626</v>
      </c>
      <c r="P2130" s="404"/>
      <c r="Q2130" s="404"/>
      <c r="R2130" s="301"/>
      <c r="S2130" s="301"/>
      <c r="T2130" s="301"/>
      <c r="U2130" s="301"/>
      <c r="V2130" s="301"/>
    </row>
    <row r="2131" spans="1:22" ht="14.4" thickTop="1" thickBot="1" x14ac:dyDescent="0.3">
      <c r="A2131" s="292"/>
      <c r="B2131" s="293"/>
      <c r="C2131" s="294"/>
      <c r="D2131" s="294"/>
      <c r="E2131" s="294"/>
      <c r="F2131" s="310"/>
      <c r="G2131" s="310"/>
      <c r="H2131" s="310"/>
      <c r="I2131" s="295"/>
      <c r="J2131" s="295"/>
      <c r="K2131" s="300">
        <f t="shared" si="248"/>
        <v>1.1000000000000001</v>
      </c>
      <c r="L2131" s="300">
        <f t="shared" si="253"/>
        <v>0</v>
      </c>
      <c r="M2131" s="285">
        <f t="shared" ref="M2131:M2194" si="254">ROUND(L2131,1)</f>
        <v>0</v>
      </c>
      <c r="N2131" s="1076">
        <f t="shared" ref="N2131:N2194" si="255">ROUNDUP(M2131,0)</f>
        <v>0</v>
      </c>
      <c r="O2131" s="294"/>
      <c r="P2131" s="404"/>
      <c r="Q2131" s="404"/>
      <c r="R2131" s="301"/>
      <c r="S2131" s="301"/>
      <c r="T2131" s="301"/>
      <c r="U2131" s="301"/>
      <c r="V2131" s="301"/>
    </row>
    <row r="2132" spans="1:22" ht="14.4" thickTop="1" thickBot="1" x14ac:dyDescent="0.3">
      <c r="A2132" s="292"/>
      <c r="B2132" s="296" t="s">
        <v>1911</v>
      </c>
      <c r="C2132" s="294"/>
      <c r="D2132" s="294"/>
      <c r="E2132" s="294"/>
      <c r="F2132" s="310"/>
      <c r="G2132" s="310"/>
      <c r="H2132" s="310"/>
      <c r="I2132" s="295"/>
      <c r="J2132" s="295"/>
      <c r="K2132" s="300">
        <f t="shared" si="248"/>
        <v>1.1000000000000001</v>
      </c>
      <c r="L2132" s="300">
        <f t="shared" si="253"/>
        <v>0</v>
      </c>
      <c r="M2132" s="285">
        <f t="shared" si="254"/>
        <v>0</v>
      </c>
      <c r="N2132" s="1076">
        <f t="shared" si="255"/>
        <v>0</v>
      </c>
      <c r="O2132" s="294"/>
      <c r="P2132" s="404"/>
      <c r="Q2132" s="404"/>
      <c r="R2132" s="301"/>
      <c r="S2132" s="301"/>
      <c r="T2132" s="301"/>
      <c r="U2132" s="301"/>
      <c r="V2132" s="301"/>
    </row>
    <row r="2133" spans="1:22" ht="14.4" thickTop="1" thickBot="1" x14ac:dyDescent="0.3">
      <c r="A2133" s="292"/>
      <c r="B2133" s="296" t="s">
        <v>811</v>
      </c>
      <c r="C2133" s="294"/>
      <c r="D2133" s="294"/>
      <c r="E2133" s="294">
        <v>32</v>
      </c>
      <c r="F2133" s="310">
        <f>(3+2.7+2.7)</f>
        <v>8.4</v>
      </c>
      <c r="G2133" s="310"/>
      <c r="H2133" s="310"/>
      <c r="I2133" s="295">
        <f>F2133*E2133</f>
        <v>268.8</v>
      </c>
      <c r="J2133" s="295"/>
      <c r="K2133" s="300">
        <f t="shared" si="248"/>
        <v>1.1000000000000001</v>
      </c>
      <c r="L2133" s="300">
        <f t="shared" si="253"/>
        <v>0</v>
      </c>
      <c r="M2133" s="285">
        <f t="shared" si="254"/>
        <v>0</v>
      </c>
      <c r="N2133" s="1076">
        <f t="shared" si="255"/>
        <v>0</v>
      </c>
      <c r="O2133" s="294"/>
      <c r="P2133" s="404"/>
      <c r="Q2133" s="404"/>
      <c r="R2133" s="301"/>
      <c r="S2133" s="301"/>
      <c r="T2133" s="301"/>
      <c r="U2133" s="301"/>
      <c r="V2133" s="301"/>
    </row>
    <row r="2134" spans="1:22" ht="14.4" thickTop="1" thickBot="1" x14ac:dyDescent="0.3">
      <c r="A2134" s="292"/>
      <c r="B2134" s="296" t="s">
        <v>1863</v>
      </c>
      <c r="C2134" s="294"/>
      <c r="D2134" s="294"/>
      <c r="E2134" s="294">
        <v>4</v>
      </c>
      <c r="F2134" s="310">
        <f>(1.65+2.7+2.7)</f>
        <v>7.05</v>
      </c>
      <c r="G2134" s="310"/>
      <c r="H2134" s="310"/>
      <c r="I2134" s="295">
        <f t="shared" ref="I2134:I2137" si="256">F2134*E2134</f>
        <v>28.2</v>
      </c>
      <c r="J2134" s="295"/>
      <c r="K2134" s="300">
        <f t="shared" si="248"/>
        <v>1.1000000000000001</v>
      </c>
      <c r="L2134" s="300">
        <f t="shared" si="253"/>
        <v>0</v>
      </c>
      <c r="M2134" s="285">
        <f t="shared" si="254"/>
        <v>0</v>
      </c>
      <c r="N2134" s="1076">
        <f t="shared" si="255"/>
        <v>0</v>
      </c>
      <c r="O2134" s="294"/>
      <c r="P2134" s="404"/>
      <c r="Q2134" s="404"/>
      <c r="R2134" s="301"/>
      <c r="S2134" s="301"/>
      <c r="T2134" s="301"/>
      <c r="U2134" s="301"/>
      <c r="V2134" s="301"/>
    </row>
    <row r="2135" spans="1:22" ht="14.4" thickTop="1" thickBot="1" x14ac:dyDescent="0.3">
      <c r="A2135" s="292"/>
      <c r="B2135" s="296" t="s">
        <v>1474</v>
      </c>
      <c r="C2135" s="294"/>
      <c r="D2135" s="294"/>
      <c r="E2135" s="294">
        <v>1</v>
      </c>
      <c r="F2135" s="310">
        <f>(1.16+2.1+2.1)</f>
        <v>5.3599999999999994</v>
      </c>
      <c r="G2135" s="310"/>
      <c r="H2135" s="310"/>
      <c r="I2135" s="295">
        <f t="shared" si="256"/>
        <v>5.3599999999999994</v>
      </c>
      <c r="J2135" s="295"/>
      <c r="K2135" s="300">
        <f t="shared" ref="K2135:K2198" si="257">$K$2</f>
        <v>1.1000000000000001</v>
      </c>
      <c r="L2135" s="300">
        <f t="shared" si="253"/>
        <v>0</v>
      </c>
      <c r="M2135" s="285">
        <f t="shared" si="254"/>
        <v>0</v>
      </c>
      <c r="N2135" s="1076">
        <f t="shared" si="255"/>
        <v>0</v>
      </c>
      <c r="O2135" s="294"/>
      <c r="P2135" s="404"/>
      <c r="Q2135" s="404"/>
      <c r="R2135" s="301"/>
      <c r="S2135" s="301"/>
      <c r="T2135" s="301"/>
      <c r="U2135" s="301"/>
      <c r="V2135" s="301"/>
    </row>
    <row r="2136" spans="1:22" ht="14.4" thickTop="1" thickBot="1" x14ac:dyDescent="0.3">
      <c r="A2136" s="292"/>
      <c r="B2136" s="296" t="s">
        <v>769</v>
      </c>
      <c r="C2136" s="294"/>
      <c r="D2136" s="294"/>
      <c r="E2136" s="294">
        <v>3</v>
      </c>
      <c r="F2136" s="310">
        <f>(0.9*4)</f>
        <v>3.6</v>
      </c>
      <c r="G2136" s="310"/>
      <c r="H2136" s="310"/>
      <c r="I2136" s="295">
        <f t="shared" si="256"/>
        <v>10.8</v>
      </c>
      <c r="J2136" s="295"/>
      <c r="K2136" s="300">
        <f t="shared" si="257"/>
        <v>1.1000000000000001</v>
      </c>
      <c r="L2136" s="300">
        <f t="shared" si="253"/>
        <v>0</v>
      </c>
      <c r="M2136" s="285">
        <f t="shared" si="254"/>
        <v>0</v>
      </c>
      <c r="N2136" s="1076">
        <f t="shared" si="255"/>
        <v>0</v>
      </c>
      <c r="O2136" s="294"/>
      <c r="P2136" s="404"/>
      <c r="Q2136" s="404"/>
      <c r="R2136" s="301"/>
      <c r="S2136" s="301"/>
      <c r="T2136" s="301"/>
      <c r="U2136" s="301"/>
      <c r="V2136" s="301"/>
    </row>
    <row r="2137" spans="1:22" ht="14.4" thickTop="1" thickBot="1" x14ac:dyDescent="0.3">
      <c r="A2137" s="292"/>
      <c r="B2137" s="296" t="s">
        <v>770</v>
      </c>
      <c r="C2137" s="294"/>
      <c r="D2137" s="294"/>
      <c r="E2137" s="294">
        <v>2</v>
      </c>
      <c r="F2137" s="310">
        <f>(0.9+2.7+2.7)</f>
        <v>6.3000000000000007</v>
      </c>
      <c r="G2137" s="310"/>
      <c r="H2137" s="310"/>
      <c r="I2137" s="295">
        <f t="shared" si="256"/>
        <v>12.600000000000001</v>
      </c>
      <c r="J2137" s="295"/>
      <c r="K2137" s="300">
        <f t="shared" si="257"/>
        <v>1.1000000000000001</v>
      </c>
      <c r="L2137" s="300">
        <f t="shared" si="253"/>
        <v>0</v>
      </c>
      <c r="M2137" s="285">
        <f t="shared" si="254"/>
        <v>0</v>
      </c>
      <c r="N2137" s="1076">
        <f t="shared" si="255"/>
        <v>0</v>
      </c>
      <c r="O2137" s="294"/>
      <c r="P2137" s="404"/>
      <c r="Q2137" s="404"/>
      <c r="R2137" s="301"/>
      <c r="S2137" s="301"/>
      <c r="T2137" s="301"/>
      <c r="U2137" s="301"/>
      <c r="V2137" s="301"/>
    </row>
    <row r="2138" spans="1:22" ht="14.4" thickTop="1" thickBot="1" x14ac:dyDescent="0.3">
      <c r="A2138" s="292"/>
      <c r="B2138" s="293"/>
      <c r="C2138" s="294"/>
      <c r="D2138" s="294"/>
      <c r="E2138" s="294"/>
      <c r="F2138" s="310"/>
      <c r="G2138" s="310"/>
      <c r="H2138" s="310"/>
      <c r="I2138" s="295"/>
      <c r="J2138" s="295">
        <f>SUM(I2133:I2137)</f>
        <v>325.76000000000005</v>
      </c>
      <c r="K2138" s="300">
        <f t="shared" si="257"/>
        <v>1.1000000000000001</v>
      </c>
      <c r="L2138" s="300">
        <f t="shared" si="253"/>
        <v>358.33600000000007</v>
      </c>
      <c r="M2138" s="285">
        <f t="shared" si="254"/>
        <v>358.3</v>
      </c>
      <c r="N2138" s="1076">
        <f t="shared" si="255"/>
        <v>359</v>
      </c>
      <c r="O2138" s="294" t="s">
        <v>1912</v>
      </c>
      <c r="P2138" s="404"/>
      <c r="Q2138" s="404"/>
      <c r="R2138" s="301"/>
      <c r="S2138" s="301"/>
      <c r="T2138" s="301"/>
      <c r="U2138" s="301"/>
      <c r="V2138" s="301"/>
    </row>
    <row r="2139" spans="1:22" ht="14.4" thickTop="1" thickBot="1" x14ac:dyDescent="0.3">
      <c r="A2139" s="292"/>
      <c r="B2139" s="293"/>
      <c r="C2139" s="294"/>
      <c r="D2139" s="294"/>
      <c r="E2139" s="294"/>
      <c r="F2139" s="310"/>
      <c r="G2139" s="310"/>
      <c r="H2139" s="310"/>
      <c r="I2139" s="295"/>
      <c r="J2139" s="295">
        <f>J2138*3.28</f>
        <v>1068.4928</v>
      </c>
      <c r="K2139" s="300">
        <f t="shared" si="257"/>
        <v>1.1000000000000001</v>
      </c>
      <c r="L2139" s="300">
        <f t="shared" si="253"/>
        <v>1175.3420800000001</v>
      </c>
      <c r="M2139" s="285">
        <f t="shared" si="254"/>
        <v>1175.3</v>
      </c>
      <c r="N2139" s="1076">
        <f t="shared" si="255"/>
        <v>1176</v>
      </c>
      <c r="O2139" s="294" t="s">
        <v>1626</v>
      </c>
      <c r="P2139" s="404"/>
      <c r="Q2139" s="404"/>
      <c r="R2139" s="301"/>
      <c r="S2139" s="301"/>
      <c r="T2139" s="301"/>
      <c r="U2139" s="301"/>
      <c r="V2139" s="301"/>
    </row>
    <row r="2140" spans="1:22" ht="14.4" thickTop="1" thickBot="1" x14ac:dyDescent="0.3">
      <c r="A2140" s="292"/>
      <c r="B2140" s="293"/>
      <c r="C2140" s="294"/>
      <c r="D2140" s="294"/>
      <c r="E2140" s="294"/>
      <c r="F2140" s="310"/>
      <c r="G2140" s="310"/>
      <c r="H2140" s="310"/>
      <c r="I2140" s="295"/>
      <c r="J2140" s="295"/>
      <c r="K2140" s="300">
        <f t="shared" si="257"/>
        <v>1.1000000000000001</v>
      </c>
      <c r="L2140" s="300">
        <f t="shared" si="253"/>
        <v>0</v>
      </c>
      <c r="M2140" s="285">
        <f t="shared" si="254"/>
        <v>0</v>
      </c>
      <c r="N2140" s="1076">
        <f t="shared" si="255"/>
        <v>0</v>
      </c>
      <c r="O2140" s="294"/>
      <c r="P2140" s="404"/>
      <c r="Q2140" s="404"/>
      <c r="R2140" s="301"/>
      <c r="S2140" s="301"/>
      <c r="T2140" s="301"/>
      <c r="U2140" s="301"/>
      <c r="V2140" s="301"/>
    </row>
    <row r="2141" spans="1:22" ht="14.4" thickTop="1" thickBot="1" x14ac:dyDescent="0.3">
      <c r="A2141" s="292"/>
      <c r="B2141" s="296" t="s">
        <v>1913</v>
      </c>
      <c r="C2141" s="294"/>
      <c r="D2141" s="294"/>
      <c r="E2141" s="294"/>
      <c r="F2141" s="310"/>
      <c r="G2141" s="310"/>
      <c r="H2141" s="310"/>
      <c r="I2141" s="295"/>
      <c r="J2141" s="295"/>
      <c r="K2141" s="300">
        <f t="shared" si="257"/>
        <v>1.1000000000000001</v>
      </c>
      <c r="L2141" s="300">
        <f t="shared" si="253"/>
        <v>0</v>
      </c>
      <c r="M2141" s="285">
        <f t="shared" si="254"/>
        <v>0</v>
      </c>
      <c r="N2141" s="1076">
        <f t="shared" si="255"/>
        <v>0</v>
      </c>
      <c r="O2141" s="294"/>
      <c r="P2141" s="404"/>
      <c r="Q2141" s="404"/>
      <c r="R2141" s="301"/>
      <c r="S2141" s="301"/>
      <c r="T2141" s="301"/>
      <c r="U2141" s="301"/>
      <c r="V2141" s="301"/>
    </row>
    <row r="2142" spans="1:22" ht="14.4" thickTop="1" thickBot="1" x14ac:dyDescent="0.3">
      <c r="A2142" s="292"/>
      <c r="B2142" s="296" t="s">
        <v>837</v>
      </c>
      <c r="C2142" s="294"/>
      <c r="D2142" s="294"/>
      <c r="E2142" s="294">
        <v>4</v>
      </c>
      <c r="F2142" s="310">
        <f>(1.4+2.7+2.7)</f>
        <v>6.8</v>
      </c>
      <c r="G2142" s="310"/>
      <c r="H2142" s="310"/>
      <c r="I2142" s="295">
        <f>F2142*E2142</f>
        <v>27.2</v>
      </c>
      <c r="J2142" s="295"/>
      <c r="K2142" s="300">
        <f t="shared" si="257"/>
        <v>1.1000000000000001</v>
      </c>
      <c r="L2142" s="300">
        <f t="shared" si="253"/>
        <v>0</v>
      </c>
      <c r="M2142" s="285">
        <f t="shared" si="254"/>
        <v>0</v>
      </c>
      <c r="N2142" s="1076">
        <f t="shared" si="255"/>
        <v>0</v>
      </c>
      <c r="O2142" s="294"/>
      <c r="P2142" s="404"/>
      <c r="Q2142" s="404"/>
      <c r="R2142" s="301"/>
      <c r="S2142" s="301"/>
      <c r="T2142" s="301"/>
      <c r="U2142" s="301"/>
      <c r="V2142" s="301"/>
    </row>
    <row r="2143" spans="1:22" ht="14.4" thickTop="1" thickBot="1" x14ac:dyDescent="0.3">
      <c r="A2143" s="292"/>
      <c r="B2143" s="296" t="s">
        <v>770</v>
      </c>
      <c r="C2143" s="294"/>
      <c r="D2143" s="294"/>
      <c r="E2143" s="294">
        <v>2</v>
      </c>
      <c r="F2143" s="310">
        <f>(0.9+2.7+2.7)</f>
        <v>6.3000000000000007</v>
      </c>
      <c r="G2143" s="310"/>
      <c r="H2143" s="310"/>
      <c r="I2143" s="295">
        <f t="shared" ref="I2143:I2144" si="258">F2143*E2143</f>
        <v>12.600000000000001</v>
      </c>
      <c r="J2143" s="295"/>
      <c r="K2143" s="300">
        <f t="shared" si="257"/>
        <v>1.1000000000000001</v>
      </c>
      <c r="L2143" s="300">
        <f t="shared" si="253"/>
        <v>0</v>
      </c>
      <c r="M2143" s="285">
        <f t="shared" si="254"/>
        <v>0</v>
      </c>
      <c r="N2143" s="1076">
        <f t="shared" si="255"/>
        <v>0</v>
      </c>
      <c r="O2143" s="294"/>
      <c r="P2143" s="404"/>
      <c r="Q2143" s="404"/>
      <c r="R2143" s="301"/>
      <c r="S2143" s="301"/>
      <c r="T2143" s="301"/>
      <c r="U2143" s="301"/>
      <c r="V2143" s="301"/>
    </row>
    <row r="2144" spans="1:22" ht="14.4" thickTop="1" thickBot="1" x14ac:dyDescent="0.3">
      <c r="A2144" s="292"/>
      <c r="B2144" s="296" t="s">
        <v>1474</v>
      </c>
      <c r="C2144" s="294"/>
      <c r="D2144" s="294"/>
      <c r="E2144" s="294">
        <v>1</v>
      </c>
      <c r="F2144" s="310">
        <f>(1.16+2.1+2.1)</f>
        <v>5.3599999999999994</v>
      </c>
      <c r="G2144" s="310"/>
      <c r="H2144" s="310"/>
      <c r="I2144" s="295">
        <f t="shared" si="258"/>
        <v>5.3599999999999994</v>
      </c>
      <c r="J2144" s="295"/>
      <c r="K2144" s="300">
        <f t="shared" si="257"/>
        <v>1.1000000000000001</v>
      </c>
      <c r="L2144" s="300">
        <f t="shared" si="253"/>
        <v>0</v>
      </c>
      <c r="M2144" s="285">
        <f t="shared" si="254"/>
        <v>0</v>
      </c>
      <c r="N2144" s="1076">
        <f t="shared" si="255"/>
        <v>0</v>
      </c>
      <c r="O2144" s="294"/>
      <c r="P2144" s="404"/>
      <c r="Q2144" s="404"/>
      <c r="R2144" s="301"/>
      <c r="S2144" s="301"/>
      <c r="T2144" s="301"/>
      <c r="U2144" s="301"/>
      <c r="V2144" s="301"/>
    </row>
    <row r="2145" spans="1:22" ht="14.4" thickTop="1" thickBot="1" x14ac:dyDescent="0.3">
      <c r="A2145" s="292"/>
      <c r="B2145" s="293"/>
      <c r="C2145" s="294"/>
      <c r="D2145" s="294"/>
      <c r="E2145" s="294"/>
      <c r="F2145" s="310"/>
      <c r="G2145" s="310"/>
      <c r="H2145" s="310"/>
      <c r="I2145" s="295"/>
      <c r="J2145" s="295">
        <f>SUM(I2142:I2144)</f>
        <v>45.16</v>
      </c>
      <c r="K2145" s="300">
        <f t="shared" si="257"/>
        <v>1.1000000000000001</v>
      </c>
      <c r="L2145" s="300">
        <f t="shared" si="253"/>
        <v>49.676000000000002</v>
      </c>
      <c r="M2145" s="285">
        <f t="shared" si="254"/>
        <v>49.7</v>
      </c>
      <c r="N2145" s="1076">
        <f t="shared" si="255"/>
        <v>50</v>
      </c>
      <c r="O2145" s="294" t="s">
        <v>1912</v>
      </c>
      <c r="P2145" s="404"/>
      <c r="Q2145" s="404"/>
      <c r="R2145" s="301"/>
      <c r="S2145" s="301"/>
      <c r="T2145" s="301"/>
      <c r="U2145" s="301"/>
      <c r="V2145" s="301"/>
    </row>
    <row r="2146" spans="1:22" ht="14.4" thickTop="1" thickBot="1" x14ac:dyDescent="0.3">
      <c r="A2146" s="292"/>
      <c r="B2146" s="293"/>
      <c r="C2146" s="294"/>
      <c r="D2146" s="294"/>
      <c r="E2146" s="294"/>
      <c r="F2146" s="310"/>
      <c r="G2146" s="310"/>
      <c r="H2146" s="310"/>
      <c r="I2146" s="295"/>
      <c r="J2146" s="295">
        <f>J2145*3.28</f>
        <v>148.12479999999999</v>
      </c>
      <c r="K2146" s="300">
        <f t="shared" si="257"/>
        <v>1.1000000000000001</v>
      </c>
      <c r="L2146" s="300">
        <f t="shared" si="253"/>
        <v>162.93728000000002</v>
      </c>
      <c r="M2146" s="285">
        <f t="shared" si="254"/>
        <v>162.9</v>
      </c>
      <c r="N2146" s="1076">
        <f t="shared" si="255"/>
        <v>163</v>
      </c>
      <c r="O2146" s="294" t="s">
        <v>1626</v>
      </c>
      <c r="P2146" s="404"/>
      <c r="Q2146" s="404"/>
      <c r="R2146" s="301"/>
      <c r="S2146" s="301"/>
      <c r="T2146" s="301"/>
      <c r="U2146" s="301"/>
      <c r="V2146" s="301"/>
    </row>
    <row r="2147" spans="1:22" ht="14.4" thickTop="1" thickBot="1" x14ac:dyDescent="0.3">
      <c r="A2147" s="292"/>
      <c r="B2147" s="293"/>
      <c r="C2147" s="294"/>
      <c r="D2147" s="294"/>
      <c r="E2147" s="294"/>
      <c r="F2147" s="310"/>
      <c r="G2147" s="310"/>
      <c r="H2147" s="310"/>
      <c r="I2147" s="295"/>
      <c r="J2147" s="295"/>
      <c r="K2147" s="300">
        <f t="shared" si="257"/>
        <v>1.1000000000000001</v>
      </c>
      <c r="L2147" s="300">
        <f t="shared" si="253"/>
        <v>0</v>
      </c>
      <c r="M2147" s="285">
        <f t="shared" si="254"/>
        <v>0</v>
      </c>
      <c r="N2147" s="1076">
        <f t="shared" si="255"/>
        <v>0</v>
      </c>
      <c r="O2147" s="294"/>
      <c r="P2147" s="404"/>
      <c r="Q2147" s="404"/>
      <c r="R2147" s="301"/>
      <c r="S2147" s="301"/>
      <c r="T2147" s="301"/>
      <c r="U2147" s="301"/>
      <c r="V2147" s="301"/>
    </row>
    <row r="2148" spans="1:22" ht="14.4" thickTop="1" thickBot="1" x14ac:dyDescent="0.3">
      <c r="A2148" s="292"/>
      <c r="B2148" s="296" t="s">
        <v>1914</v>
      </c>
      <c r="C2148" s="294"/>
      <c r="D2148" s="294"/>
      <c r="E2148" s="294"/>
      <c r="F2148" s="310"/>
      <c r="G2148" s="310"/>
      <c r="H2148" s="310"/>
      <c r="I2148" s="295"/>
      <c r="J2148" s="295">
        <v>1094</v>
      </c>
      <c r="K2148" s="300">
        <f t="shared" si="257"/>
        <v>1.1000000000000001</v>
      </c>
      <c r="L2148" s="300">
        <f t="shared" si="253"/>
        <v>1203.4000000000001</v>
      </c>
      <c r="M2148" s="285">
        <f t="shared" si="254"/>
        <v>1203.4000000000001</v>
      </c>
      <c r="N2148" s="1076">
        <f t="shared" si="255"/>
        <v>1204</v>
      </c>
      <c r="O2148" s="294" t="s">
        <v>695</v>
      </c>
      <c r="P2148" s="404"/>
      <c r="Q2148" s="404"/>
      <c r="R2148" s="301"/>
      <c r="S2148" s="301"/>
      <c r="T2148" s="301"/>
      <c r="U2148" s="301"/>
      <c r="V2148" s="301"/>
    </row>
    <row r="2149" spans="1:22" ht="14.4" thickTop="1" thickBot="1" x14ac:dyDescent="0.3">
      <c r="A2149" s="292"/>
      <c r="B2149" s="293"/>
      <c r="C2149" s="294"/>
      <c r="D2149" s="294"/>
      <c r="E2149" s="294"/>
      <c r="F2149" s="310"/>
      <c r="G2149" s="310"/>
      <c r="H2149" s="310"/>
      <c r="I2149" s="295"/>
      <c r="J2149" s="295">
        <f>J2148*10.76</f>
        <v>11771.44</v>
      </c>
      <c r="K2149" s="300">
        <f t="shared" si="257"/>
        <v>1.1000000000000001</v>
      </c>
      <c r="L2149" s="300">
        <f t="shared" si="253"/>
        <v>12948.584000000001</v>
      </c>
      <c r="M2149" s="285">
        <f t="shared" si="254"/>
        <v>12948.6</v>
      </c>
      <c r="N2149" s="1076">
        <f t="shared" si="255"/>
        <v>12949</v>
      </c>
      <c r="O2149" s="294" t="s">
        <v>1846</v>
      </c>
      <c r="P2149" s="404"/>
      <c r="Q2149" s="404"/>
      <c r="R2149" s="301"/>
      <c r="S2149" s="301"/>
      <c r="T2149" s="301"/>
      <c r="U2149" s="301"/>
      <c r="V2149" s="301"/>
    </row>
    <row r="2150" spans="1:22" ht="14.4" thickTop="1" thickBot="1" x14ac:dyDescent="0.3">
      <c r="A2150" s="292"/>
      <c r="B2150" s="293"/>
      <c r="C2150" s="294"/>
      <c r="D2150" s="294"/>
      <c r="E2150" s="294"/>
      <c r="F2150" s="310"/>
      <c r="G2150" s="310"/>
      <c r="H2150" s="310"/>
      <c r="I2150" s="295"/>
      <c r="J2150" s="295">
        <f>J2149/100</f>
        <v>117.71440000000001</v>
      </c>
      <c r="K2150" s="300">
        <v>1.01</v>
      </c>
      <c r="L2150" s="300">
        <f t="shared" si="253"/>
        <v>118.89154400000001</v>
      </c>
      <c r="M2150" s="285">
        <f t="shared" si="254"/>
        <v>118.9</v>
      </c>
      <c r="N2150" s="1076">
        <f t="shared" si="255"/>
        <v>119</v>
      </c>
      <c r="O2150" s="294" t="s">
        <v>879</v>
      </c>
      <c r="P2150" s="404"/>
      <c r="Q2150" s="404"/>
      <c r="R2150" s="301"/>
      <c r="S2150" s="301"/>
      <c r="T2150" s="301"/>
      <c r="U2150" s="301"/>
      <c r="V2150" s="301"/>
    </row>
    <row r="2151" spans="1:22" ht="14.4" thickTop="1" thickBot="1" x14ac:dyDescent="0.3">
      <c r="A2151" s="292"/>
      <c r="B2151" s="293"/>
      <c r="C2151" s="294"/>
      <c r="D2151" s="294"/>
      <c r="E2151" s="294"/>
      <c r="F2151" s="310"/>
      <c r="G2151" s="310"/>
      <c r="H2151" s="310"/>
      <c r="I2151" s="295"/>
      <c r="J2151" s="295"/>
      <c r="K2151" s="300">
        <f t="shared" si="257"/>
        <v>1.1000000000000001</v>
      </c>
      <c r="L2151" s="300">
        <f t="shared" si="253"/>
        <v>0</v>
      </c>
      <c r="M2151" s="285">
        <f t="shared" si="254"/>
        <v>0</v>
      </c>
      <c r="N2151" s="1076">
        <f t="shared" si="255"/>
        <v>0</v>
      </c>
      <c r="O2151" s="294"/>
      <c r="P2151" s="404"/>
      <c r="Q2151" s="404"/>
      <c r="R2151" s="301"/>
      <c r="S2151" s="301"/>
      <c r="T2151" s="301"/>
      <c r="U2151" s="301"/>
      <c r="V2151" s="301"/>
    </row>
    <row r="2152" spans="1:22" ht="14.4" thickTop="1" thickBot="1" x14ac:dyDescent="0.3">
      <c r="A2152" s="292"/>
      <c r="B2152" s="296" t="s">
        <v>1915</v>
      </c>
      <c r="C2152" s="294"/>
      <c r="D2152" s="294"/>
      <c r="E2152" s="294"/>
      <c r="F2152" s="310"/>
      <c r="G2152" s="310"/>
      <c r="H2152" s="310"/>
      <c r="I2152" s="295"/>
      <c r="J2152" s="295">
        <v>1094</v>
      </c>
      <c r="K2152" s="300">
        <f t="shared" si="257"/>
        <v>1.1000000000000001</v>
      </c>
      <c r="L2152" s="300">
        <f t="shared" si="253"/>
        <v>1203.4000000000001</v>
      </c>
      <c r="M2152" s="285">
        <f t="shared" si="254"/>
        <v>1203.4000000000001</v>
      </c>
      <c r="N2152" s="1076">
        <f t="shared" si="255"/>
        <v>1204</v>
      </c>
      <c r="O2152" s="294" t="s">
        <v>695</v>
      </c>
      <c r="P2152" s="404"/>
      <c r="Q2152" s="404"/>
      <c r="R2152" s="301"/>
      <c r="S2152" s="301"/>
      <c r="T2152" s="301"/>
      <c r="U2152" s="301"/>
      <c r="V2152" s="301"/>
    </row>
    <row r="2153" spans="1:22" ht="14.4" thickTop="1" thickBot="1" x14ac:dyDescent="0.3">
      <c r="A2153" s="292"/>
      <c r="B2153" s="293"/>
      <c r="C2153" s="294"/>
      <c r="D2153" s="294"/>
      <c r="E2153" s="294"/>
      <c r="F2153" s="310"/>
      <c r="G2153" s="310"/>
      <c r="H2153" s="310"/>
      <c r="I2153" s="295"/>
      <c r="J2153" s="295">
        <f>J2152*10.76</f>
        <v>11771.44</v>
      </c>
      <c r="K2153" s="300">
        <f t="shared" si="257"/>
        <v>1.1000000000000001</v>
      </c>
      <c r="L2153" s="300">
        <f t="shared" si="253"/>
        <v>12948.584000000001</v>
      </c>
      <c r="M2153" s="285">
        <f t="shared" si="254"/>
        <v>12948.6</v>
      </c>
      <c r="N2153" s="1076">
        <f t="shared" si="255"/>
        <v>12949</v>
      </c>
      <c r="O2153" s="294" t="s">
        <v>1846</v>
      </c>
      <c r="P2153" s="404"/>
      <c r="Q2153" s="404"/>
      <c r="R2153" s="301"/>
      <c r="S2153" s="301"/>
      <c r="T2153" s="301"/>
      <c r="U2153" s="301"/>
      <c r="V2153" s="301"/>
    </row>
    <row r="2154" spans="1:22" ht="14.4" thickTop="1" thickBot="1" x14ac:dyDescent="0.3">
      <c r="A2154" s="292"/>
      <c r="B2154" s="293"/>
      <c r="C2154" s="294"/>
      <c r="D2154" s="294"/>
      <c r="E2154" s="294"/>
      <c r="F2154" s="310"/>
      <c r="G2154" s="310"/>
      <c r="H2154" s="310"/>
      <c r="I2154" s="295"/>
      <c r="J2154" s="295">
        <f>J2153/100</f>
        <v>117.71440000000001</v>
      </c>
      <c r="K2154" s="300">
        <v>1.01</v>
      </c>
      <c r="L2154" s="300">
        <f t="shared" si="253"/>
        <v>118.89154400000001</v>
      </c>
      <c r="M2154" s="285">
        <f t="shared" si="254"/>
        <v>118.9</v>
      </c>
      <c r="N2154" s="1076">
        <f t="shared" si="255"/>
        <v>119</v>
      </c>
      <c r="O2154" s="294" t="s">
        <v>879</v>
      </c>
      <c r="P2154" s="404"/>
      <c r="Q2154" s="404"/>
      <c r="R2154" s="301"/>
      <c r="S2154" s="301"/>
      <c r="T2154" s="301"/>
      <c r="U2154" s="301"/>
      <c r="V2154" s="301"/>
    </row>
    <row r="2155" spans="1:22" ht="14.4" thickTop="1" thickBot="1" x14ac:dyDescent="0.3">
      <c r="A2155" s="292"/>
      <c r="B2155" s="293"/>
      <c r="C2155" s="294"/>
      <c r="D2155" s="294"/>
      <c r="E2155" s="294"/>
      <c r="F2155" s="310"/>
      <c r="G2155" s="310"/>
      <c r="H2155" s="310"/>
      <c r="I2155" s="295"/>
      <c r="J2155" s="295"/>
      <c r="K2155" s="300">
        <f t="shared" si="257"/>
        <v>1.1000000000000001</v>
      </c>
      <c r="L2155" s="300">
        <f t="shared" si="253"/>
        <v>0</v>
      </c>
      <c r="M2155" s="285">
        <f t="shared" si="254"/>
        <v>0</v>
      </c>
      <c r="N2155" s="1076">
        <f t="shared" si="255"/>
        <v>0</v>
      </c>
      <c r="O2155" s="294"/>
      <c r="P2155" s="404"/>
      <c r="Q2155" s="404"/>
      <c r="R2155" s="301"/>
      <c r="S2155" s="301"/>
      <c r="T2155" s="301"/>
      <c r="U2155" s="301"/>
      <c r="V2155" s="301"/>
    </row>
    <row r="2156" spans="1:22" ht="14.4" thickTop="1" thickBot="1" x14ac:dyDescent="0.3">
      <c r="A2156" s="292"/>
      <c r="B2156" s="296" t="s">
        <v>2013</v>
      </c>
      <c r="C2156" s="294"/>
      <c r="D2156" s="294"/>
      <c r="E2156" s="294"/>
      <c r="F2156" s="310"/>
      <c r="G2156" s="310"/>
      <c r="H2156" s="310"/>
      <c r="I2156" s="295"/>
      <c r="J2156" s="295">
        <v>200</v>
      </c>
      <c r="K2156" s="300">
        <f t="shared" si="257"/>
        <v>1.1000000000000001</v>
      </c>
      <c r="L2156" s="300">
        <f t="shared" si="253"/>
        <v>220.00000000000003</v>
      </c>
      <c r="M2156" s="285">
        <f t="shared" si="254"/>
        <v>220</v>
      </c>
      <c r="N2156" s="1076">
        <f t="shared" si="255"/>
        <v>220</v>
      </c>
      <c r="O2156" s="294" t="s">
        <v>695</v>
      </c>
      <c r="P2156" s="404"/>
      <c r="Q2156" s="404"/>
      <c r="R2156" s="301"/>
      <c r="S2156" s="301"/>
      <c r="T2156" s="301"/>
      <c r="U2156" s="301"/>
      <c r="V2156" s="301"/>
    </row>
    <row r="2157" spans="1:22" ht="14.4" thickTop="1" thickBot="1" x14ac:dyDescent="0.3">
      <c r="A2157" s="292"/>
      <c r="B2157" s="296"/>
      <c r="C2157" s="294"/>
      <c r="D2157" s="294"/>
      <c r="E2157" s="294"/>
      <c r="F2157" s="310"/>
      <c r="G2157" s="310"/>
      <c r="H2157" s="310"/>
      <c r="I2157" s="295"/>
      <c r="J2157" s="295">
        <f>J2156*10.76</f>
        <v>2152</v>
      </c>
      <c r="K2157" s="300">
        <f t="shared" si="257"/>
        <v>1.1000000000000001</v>
      </c>
      <c r="L2157" s="300">
        <f t="shared" si="253"/>
        <v>2367.2000000000003</v>
      </c>
      <c r="M2157" s="285">
        <f t="shared" si="254"/>
        <v>2367.1999999999998</v>
      </c>
      <c r="N2157" s="1076">
        <f t="shared" si="255"/>
        <v>2368</v>
      </c>
      <c r="O2157" s="294" t="s">
        <v>1846</v>
      </c>
      <c r="P2157" s="404"/>
      <c r="Q2157" s="404"/>
      <c r="R2157" s="301"/>
      <c r="S2157" s="301"/>
      <c r="T2157" s="301"/>
      <c r="U2157" s="301"/>
      <c r="V2157" s="301"/>
    </row>
    <row r="2158" spans="1:22" ht="14.4" thickTop="1" thickBot="1" x14ac:dyDescent="0.3">
      <c r="A2158" s="292"/>
      <c r="B2158" s="296"/>
      <c r="C2158" s="294"/>
      <c r="D2158" s="294"/>
      <c r="E2158" s="294"/>
      <c r="F2158" s="310"/>
      <c r="G2158" s="310"/>
      <c r="H2158" s="310"/>
      <c r="I2158" s="295"/>
      <c r="J2158" s="295">
        <f>J2157/100</f>
        <v>21.52</v>
      </c>
      <c r="K2158" s="300">
        <v>1.01</v>
      </c>
      <c r="L2158" s="300">
        <f t="shared" si="253"/>
        <v>21.735199999999999</v>
      </c>
      <c r="M2158" s="285">
        <f t="shared" si="254"/>
        <v>21.7</v>
      </c>
      <c r="N2158" s="1076">
        <f t="shared" si="255"/>
        <v>22</v>
      </c>
      <c r="O2158" s="294" t="s">
        <v>879</v>
      </c>
      <c r="P2158" s="404"/>
      <c r="Q2158" s="404"/>
      <c r="R2158" s="301"/>
      <c r="S2158" s="301"/>
      <c r="T2158" s="301"/>
      <c r="U2158" s="301"/>
      <c r="V2158" s="301"/>
    </row>
    <row r="2159" spans="1:22" ht="14.4" thickTop="1" thickBot="1" x14ac:dyDescent="0.3">
      <c r="A2159" s="292"/>
      <c r="B2159" s="296"/>
      <c r="C2159" s="294"/>
      <c r="D2159" s="294"/>
      <c r="E2159" s="294"/>
      <c r="F2159" s="310"/>
      <c r="G2159" s="310"/>
      <c r="H2159" s="310"/>
      <c r="I2159" s="295"/>
      <c r="J2159" s="295"/>
      <c r="K2159" s="300">
        <f t="shared" si="257"/>
        <v>1.1000000000000001</v>
      </c>
      <c r="L2159" s="300">
        <f t="shared" si="253"/>
        <v>0</v>
      </c>
      <c r="M2159" s="285">
        <f t="shared" si="254"/>
        <v>0</v>
      </c>
      <c r="N2159" s="1076">
        <f t="shared" si="255"/>
        <v>0</v>
      </c>
      <c r="O2159" s="294"/>
      <c r="P2159" s="404"/>
      <c r="Q2159" s="404"/>
      <c r="R2159" s="301"/>
      <c r="S2159" s="301"/>
      <c r="T2159" s="301"/>
      <c r="U2159" s="301"/>
      <c r="V2159" s="301"/>
    </row>
    <row r="2160" spans="1:22" ht="14.4" thickTop="1" thickBot="1" x14ac:dyDescent="0.3">
      <c r="A2160" s="292"/>
      <c r="B2160" s="296"/>
      <c r="C2160" s="294"/>
      <c r="D2160" s="294"/>
      <c r="E2160" s="294"/>
      <c r="F2160" s="310"/>
      <c r="G2160" s="310"/>
      <c r="H2160" s="310"/>
      <c r="I2160" s="295"/>
      <c r="J2160" s="295"/>
      <c r="K2160" s="300"/>
      <c r="L2160" s="300"/>
      <c r="M2160" s="285"/>
      <c r="N2160" s="1076"/>
      <c r="O2160" s="294"/>
      <c r="P2160" s="404"/>
      <c r="Q2160" s="404"/>
      <c r="R2160" s="301"/>
      <c r="S2160" s="301"/>
      <c r="T2160" s="301"/>
      <c r="U2160" s="301"/>
      <c r="V2160" s="301"/>
    </row>
    <row r="2161" spans="1:22" ht="14.4" thickTop="1" thickBot="1" x14ac:dyDescent="0.3">
      <c r="A2161" s="292"/>
      <c r="B2161" s="293"/>
      <c r="C2161" s="294"/>
      <c r="D2161" s="294"/>
      <c r="E2161" s="294"/>
      <c r="F2161" s="310"/>
      <c r="G2161" s="310"/>
      <c r="H2161" s="310"/>
      <c r="I2161" s="295"/>
      <c r="J2161" s="295"/>
      <c r="K2161" s="300"/>
      <c r="L2161" s="300"/>
      <c r="M2161" s="285"/>
      <c r="N2161" s="1076"/>
      <c r="O2161" s="294"/>
      <c r="P2161" s="404"/>
      <c r="Q2161" s="404"/>
      <c r="R2161" s="301"/>
      <c r="S2161" s="301"/>
      <c r="T2161" s="301"/>
      <c r="U2161" s="301"/>
      <c r="V2161" s="301"/>
    </row>
    <row r="2162" spans="1:22" ht="14.4" thickTop="1" thickBot="1" x14ac:dyDescent="0.3">
      <c r="A2162" s="292"/>
      <c r="B2162" s="293"/>
      <c r="C2162" s="294"/>
      <c r="D2162" s="294"/>
      <c r="E2162" s="294"/>
      <c r="F2162" s="310"/>
      <c r="G2162" s="310"/>
      <c r="H2162" s="310"/>
      <c r="I2162" s="295"/>
      <c r="J2162" s="295"/>
      <c r="K2162" s="300"/>
      <c r="L2162" s="300"/>
      <c r="M2162" s="285"/>
      <c r="N2162" s="1076"/>
      <c r="O2162" s="294"/>
      <c r="P2162" s="404"/>
      <c r="Q2162" s="404"/>
      <c r="R2162" s="301"/>
      <c r="S2162" s="301"/>
      <c r="T2162" s="301"/>
      <c r="U2162" s="301"/>
      <c r="V2162" s="301"/>
    </row>
    <row r="2163" spans="1:22" ht="14.4" thickTop="1" thickBot="1" x14ac:dyDescent="0.3">
      <c r="A2163" s="292"/>
      <c r="B2163" s="293"/>
      <c r="C2163" s="294"/>
      <c r="D2163" s="294"/>
      <c r="E2163" s="294"/>
      <c r="F2163" s="310"/>
      <c r="G2163" s="310"/>
      <c r="H2163" s="310"/>
      <c r="I2163" s="295"/>
      <c r="J2163" s="295"/>
      <c r="K2163" s="300"/>
      <c r="L2163" s="300"/>
      <c r="M2163" s="285"/>
      <c r="N2163" s="1076"/>
      <c r="O2163" s="294"/>
      <c r="P2163" s="404"/>
      <c r="Q2163" s="404"/>
      <c r="R2163" s="301"/>
      <c r="S2163" s="301"/>
      <c r="T2163" s="301"/>
      <c r="U2163" s="301"/>
      <c r="V2163" s="301"/>
    </row>
    <row r="2164" spans="1:22" ht="14.4" thickTop="1" thickBot="1" x14ac:dyDescent="0.3">
      <c r="A2164" s="292"/>
      <c r="B2164" s="296" t="s">
        <v>1916</v>
      </c>
      <c r="C2164" s="294"/>
      <c r="D2164" s="294"/>
      <c r="E2164" s="294">
        <v>2</v>
      </c>
      <c r="F2164" s="310">
        <v>59</v>
      </c>
      <c r="G2164" s="310"/>
      <c r="H2164" s="310"/>
      <c r="I2164" s="295">
        <f>F2164*E2164</f>
        <v>118</v>
      </c>
      <c r="J2164" s="295"/>
      <c r="K2164" s="300">
        <f t="shared" si="257"/>
        <v>1.1000000000000001</v>
      </c>
      <c r="L2164" s="300">
        <f t="shared" si="253"/>
        <v>0</v>
      </c>
      <c r="M2164" s="285">
        <f t="shared" si="254"/>
        <v>0</v>
      </c>
      <c r="N2164" s="1076">
        <f t="shared" si="255"/>
        <v>0</v>
      </c>
      <c r="O2164" s="294"/>
      <c r="P2164" s="404"/>
      <c r="Q2164" s="404"/>
      <c r="R2164" s="301"/>
      <c r="S2164" s="301"/>
      <c r="T2164" s="301"/>
      <c r="U2164" s="301"/>
      <c r="V2164" s="301"/>
    </row>
    <row r="2165" spans="1:22" ht="14.4" thickTop="1" thickBot="1" x14ac:dyDescent="0.3">
      <c r="A2165" s="292"/>
      <c r="B2165" s="293"/>
      <c r="C2165" s="294"/>
      <c r="D2165" s="294"/>
      <c r="E2165" s="294">
        <v>2</v>
      </c>
      <c r="F2165" s="310">
        <v>18</v>
      </c>
      <c r="G2165" s="310"/>
      <c r="H2165" s="310"/>
      <c r="I2165" s="295">
        <f>F2165*E2165</f>
        <v>36</v>
      </c>
      <c r="J2165" s="295"/>
      <c r="K2165" s="300">
        <f t="shared" si="257"/>
        <v>1.1000000000000001</v>
      </c>
      <c r="L2165" s="300">
        <f t="shared" si="253"/>
        <v>0</v>
      </c>
      <c r="M2165" s="285">
        <f t="shared" si="254"/>
        <v>0</v>
      </c>
      <c r="N2165" s="1076">
        <f t="shared" si="255"/>
        <v>0</v>
      </c>
      <c r="O2165" s="294"/>
      <c r="P2165" s="404"/>
      <c r="Q2165" s="404"/>
      <c r="R2165" s="301"/>
      <c r="S2165" s="301"/>
      <c r="T2165" s="301"/>
      <c r="U2165" s="301"/>
      <c r="V2165" s="301"/>
    </row>
    <row r="2166" spans="1:22" ht="14.4" thickTop="1" thickBot="1" x14ac:dyDescent="0.3">
      <c r="A2166" s="292"/>
      <c r="B2166" s="293"/>
      <c r="C2166" s="294"/>
      <c r="D2166" s="294"/>
      <c r="E2166" s="294"/>
      <c r="F2166" s="310"/>
      <c r="G2166" s="310"/>
      <c r="H2166" s="310"/>
      <c r="I2166" s="295"/>
      <c r="J2166" s="295">
        <f>SUM(I2155:I2165)</f>
        <v>154</v>
      </c>
      <c r="K2166" s="300">
        <v>1.01</v>
      </c>
      <c r="L2166" s="300">
        <f t="shared" si="253"/>
        <v>155.54</v>
      </c>
      <c r="M2166" s="285">
        <f t="shared" si="254"/>
        <v>155.5</v>
      </c>
      <c r="N2166" s="1076">
        <f t="shared" si="255"/>
        <v>156</v>
      </c>
      <c r="O2166" s="294" t="s">
        <v>1912</v>
      </c>
      <c r="P2166" s="404"/>
      <c r="Q2166" s="404"/>
      <c r="R2166" s="301"/>
      <c r="S2166" s="301"/>
      <c r="T2166" s="301"/>
      <c r="U2166" s="301"/>
      <c r="V2166" s="301"/>
    </row>
    <row r="2167" spans="1:22" ht="14.4" thickTop="1" thickBot="1" x14ac:dyDescent="0.3">
      <c r="A2167" s="292"/>
      <c r="B2167" s="293"/>
      <c r="C2167" s="294"/>
      <c r="D2167" s="294"/>
      <c r="E2167" s="294"/>
      <c r="F2167" s="310"/>
      <c r="G2167" s="310"/>
      <c r="H2167" s="310"/>
      <c r="I2167" s="295"/>
      <c r="J2167" s="295">
        <f>J2166*3.28</f>
        <v>505.11999999999995</v>
      </c>
      <c r="K2167" s="300">
        <v>1.01</v>
      </c>
      <c r="L2167" s="300">
        <f t="shared" si="253"/>
        <v>510.17119999999994</v>
      </c>
      <c r="M2167" s="285">
        <f t="shared" si="254"/>
        <v>510.2</v>
      </c>
      <c r="N2167" s="1076">
        <f t="shared" si="255"/>
        <v>511</v>
      </c>
      <c r="O2167" s="294" t="s">
        <v>1626</v>
      </c>
      <c r="P2167" s="404"/>
      <c r="Q2167" s="404"/>
      <c r="R2167" s="301"/>
      <c r="S2167" s="301"/>
      <c r="T2167" s="301"/>
      <c r="U2167" s="301"/>
      <c r="V2167" s="301"/>
    </row>
    <row r="2168" spans="1:22" ht="14.4" thickTop="1" thickBot="1" x14ac:dyDescent="0.3">
      <c r="A2168" s="292"/>
      <c r="B2168" s="293"/>
      <c r="C2168" s="294"/>
      <c r="D2168" s="294"/>
      <c r="E2168" s="294"/>
      <c r="F2168" s="310"/>
      <c r="G2168" s="310"/>
      <c r="H2168" s="310"/>
      <c r="I2168" s="295"/>
      <c r="J2168" s="295"/>
      <c r="K2168" s="300">
        <f t="shared" si="257"/>
        <v>1.1000000000000001</v>
      </c>
      <c r="L2168" s="300">
        <f t="shared" si="253"/>
        <v>0</v>
      </c>
      <c r="M2168" s="285">
        <f t="shared" si="254"/>
        <v>0</v>
      </c>
      <c r="N2168" s="1076">
        <f t="shared" si="255"/>
        <v>0</v>
      </c>
      <c r="O2168" s="294"/>
      <c r="P2168" s="404"/>
      <c r="Q2168" s="404"/>
      <c r="R2168" s="301"/>
      <c r="S2168" s="301"/>
      <c r="T2168" s="301"/>
      <c r="U2168" s="301"/>
      <c r="V2168" s="301"/>
    </row>
    <row r="2169" spans="1:22" ht="14.4" thickTop="1" thickBot="1" x14ac:dyDescent="0.3">
      <c r="A2169" s="292"/>
      <c r="B2169" s="302" t="s">
        <v>913</v>
      </c>
      <c r="C2169" s="294"/>
      <c r="D2169" s="294"/>
      <c r="E2169" s="294"/>
      <c r="F2169" s="310"/>
      <c r="G2169" s="310"/>
      <c r="H2169" s="310"/>
      <c r="I2169" s="295"/>
      <c r="J2169" s="295"/>
      <c r="K2169" s="300">
        <f t="shared" si="257"/>
        <v>1.1000000000000001</v>
      </c>
      <c r="L2169" s="300">
        <f t="shared" si="253"/>
        <v>0</v>
      </c>
      <c r="M2169" s="285">
        <f t="shared" si="254"/>
        <v>0</v>
      </c>
      <c r="N2169" s="1076">
        <f t="shared" si="255"/>
        <v>0</v>
      </c>
      <c r="O2169" s="294"/>
      <c r="P2169" s="404"/>
      <c r="Q2169" s="404"/>
      <c r="R2169" s="301"/>
      <c r="S2169" s="301"/>
      <c r="T2169" s="301"/>
      <c r="U2169" s="301"/>
      <c r="V2169" s="301"/>
    </row>
    <row r="2170" spans="1:22" ht="14.4" thickTop="1" thickBot="1" x14ac:dyDescent="0.3">
      <c r="A2170" s="292"/>
      <c r="B2170" s="293"/>
      <c r="C2170" s="294"/>
      <c r="D2170" s="294"/>
      <c r="E2170" s="294"/>
      <c r="F2170" s="310"/>
      <c r="G2170" s="310"/>
      <c r="H2170" s="310"/>
      <c r="I2170" s="295"/>
      <c r="J2170" s="295"/>
      <c r="K2170" s="300">
        <f t="shared" si="257"/>
        <v>1.1000000000000001</v>
      </c>
      <c r="L2170" s="300">
        <f t="shared" si="253"/>
        <v>0</v>
      </c>
      <c r="M2170" s="285">
        <f t="shared" si="254"/>
        <v>0</v>
      </c>
      <c r="N2170" s="1076">
        <f t="shared" si="255"/>
        <v>0</v>
      </c>
      <c r="O2170" s="294"/>
      <c r="P2170" s="404"/>
      <c r="Q2170" s="404"/>
      <c r="R2170" s="301"/>
      <c r="S2170" s="301"/>
      <c r="T2170" s="301"/>
      <c r="U2170" s="301"/>
      <c r="V2170" s="301"/>
    </row>
    <row r="2171" spans="1:22" ht="14.4" thickTop="1" thickBot="1" x14ac:dyDescent="0.3">
      <c r="A2171" s="292"/>
      <c r="B2171" s="296" t="s">
        <v>1917</v>
      </c>
      <c r="C2171" s="294"/>
      <c r="D2171" s="294"/>
      <c r="E2171" s="294"/>
      <c r="F2171" s="310"/>
      <c r="G2171" s="310"/>
      <c r="H2171" s="310"/>
      <c r="I2171" s="295"/>
      <c r="J2171" s="295"/>
      <c r="K2171" s="300"/>
      <c r="L2171" s="300"/>
      <c r="M2171" s="285"/>
      <c r="N2171" s="1076"/>
      <c r="O2171" s="294"/>
      <c r="P2171" s="404"/>
      <c r="Q2171" s="404"/>
      <c r="R2171" s="301"/>
      <c r="S2171" s="301"/>
      <c r="T2171" s="301"/>
      <c r="U2171" s="301"/>
      <c r="V2171" s="301"/>
    </row>
    <row r="2172" spans="1:22" ht="14.4" thickTop="1" thickBot="1" x14ac:dyDescent="0.3">
      <c r="A2172" s="292"/>
      <c r="B2172" s="287" t="s">
        <v>1918</v>
      </c>
      <c r="C2172" s="294"/>
      <c r="D2172" s="294"/>
      <c r="E2172" s="294"/>
      <c r="F2172" s="310">
        <v>3.03</v>
      </c>
      <c r="G2172" s="310"/>
      <c r="H2172" s="310">
        <v>2.4</v>
      </c>
      <c r="I2172" s="295">
        <f>H2172*F2172</f>
        <v>7.2719999999999994</v>
      </c>
      <c r="J2172" s="295"/>
      <c r="K2172" s="300">
        <f t="shared" si="257"/>
        <v>1.1000000000000001</v>
      </c>
      <c r="L2172" s="300">
        <f t="shared" si="253"/>
        <v>0</v>
      </c>
      <c r="M2172" s="285">
        <f t="shared" si="254"/>
        <v>0</v>
      </c>
      <c r="N2172" s="1076">
        <f t="shared" si="255"/>
        <v>0</v>
      </c>
      <c r="O2172" s="294"/>
      <c r="P2172" s="404"/>
      <c r="Q2172" s="404"/>
      <c r="R2172" s="301"/>
      <c r="S2172" s="301"/>
      <c r="T2172" s="301"/>
      <c r="U2172" s="301"/>
      <c r="V2172" s="301"/>
    </row>
    <row r="2173" spans="1:22" ht="14.4" thickTop="1" thickBot="1" x14ac:dyDescent="0.3">
      <c r="A2173" s="292"/>
      <c r="B2173" s="293"/>
      <c r="C2173" s="294"/>
      <c r="D2173" s="294"/>
      <c r="E2173" s="294"/>
      <c r="F2173" s="310">
        <v>2.0449999999999999</v>
      </c>
      <c r="G2173" s="310"/>
      <c r="H2173" s="310">
        <v>2.4</v>
      </c>
      <c r="I2173" s="295">
        <f>H2173*F2173</f>
        <v>4.9079999999999995</v>
      </c>
      <c r="J2173" s="295"/>
      <c r="K2173" s="300">
        <f t="shared" si="257"/>
        <v>1.1000000000000001</v>
      </c>
      <c r="L2173" s="300">
        <f t="shared" si="253"/>
        <v>0</v>
      </c>
      <c r="M2173" s="285">
        <f t="shared" si="254"/>
        <v>0</v>
      </c>
      <c r="N2173" s="1076">
        <f t="shared" si="255"/>
        <v>0</v>
      </c>
      <c r="O2173" s="294"/>
      <c r="P2173" s="404"/>
      <c r="Q2173" s="404"/>
      <c r="R2173" s="301"/>
      <c r="S2173" s="301"/>
      <c r="T2173" s="301"/>
      <c r="U2173" s="301"/>
      <c r="V2173" s="301"/>
    </row>
    <row r="2174" spans="1:22" ht="14.4" thickTop="1" thickBot="1" x14ac:dyDescent="0.3">
      <c r="A2174" s="292"/>
      <c r="B2174" s="287" t="s">
        <v>1919</v>
      </c>
      <c r="C2174" s="294"/>
      <c r="D2174" s="294"/>
      <c r="E2174" s="294"/>
      <c r="F2174" s="310">
        <v>3.03</v>
      </c>
      <c r="G2174" s="310"/>
      <c r="H2174" s="310">
        <v>2.4</v>
      </c>
      <c r="I2174" s="295">
        <f>H2174*F2174</f>
        <v>7.2719999999999994</v>
      </c>
      <c r="J2174" s="295"/>
      <c r="K2174" s="300">
        <f t="shared" si="257"/>
        <v>1.1000000000000001</v>
      </c>
      <c r="L2174" s="300">
        <f t="shared" si="253"/>
        <v>0</v>
      </c>
      <c r="M2174" s="285">
        <f t="shared" si="254"/>
        <v>0</v>
      </c>
      <c r="N2174" s="1076">
        <f t="shared" si="255"/>
        <v>0</v>
      </c>
      <c r="O2174" s="294"/>
      <c r="P2174" s="404"/>
      <c r="Q2174" s="404"/>
      <c r="R2174" s="301"/>
      <c r="S2174" s="301"/>
      <c r="T2174" s="301"/>
      <c r="U2174" s="301"/>
      <c r="V2174" s="301"/>
    </row>
    <row r="2175" spans="1:22" ht="14.4" thickTop="1" thickBot="1" x14ac:dyDescent="0.3">
      <c r="A2175" s="292"/>
      <c r="B2175" s="293"/>
      <c r="C2175" s="294"/>
      <c r="D2175" s="294"/>
      <c r="E2175" s="294"/>
      <c r="F2175" s="310">
        <v>2.0449999999999999</v>
      </c>
      <c r="G2175" s="310"/>
      <c r="H2175" s="310">
        <v>2.4</v>
      </c>
      <c r="I2175" s="295">
        <f>H2175*F2175</f>
        <v>4.9079999999999995</v>
      </c>
      <c r="J2175" s="295"/>
      <c r="K2175" s="300">
        <f t="shared" si="257"/>
        <v>1.1000000000000001</v>
      </c>
      <c r="L2175" s="300">
        <f t="shared" si="253"/>
        <v>0</v>
      </c>
      <c r="M2175" s="285">
        <f t="shared" si="254"/>
        <v>0</v>
      </c>
      <c r="N2175" s="1076">
        <f t="shared" si="255"/>
        <v>0</v>
      </c>
      <c r="O2175" s="294"/>
      <c r="P2175" s="404"/>
      <c r="Q2175" s="404"/>
      <c r="R2175" s="301"/>
      <c r="S2175" s="301"/>
      <c r="T2175" s="301"/>
      <c r="U2175" s="301"/>
      <c r="V2175" s="301"/>
    </row>
    <row r="2176" spans="1:22" ht="14.4" thickTop="1" thickBot="1" x14ac:dyDescent="0.3">
      <c r="A2176" s="292"/>
      <c r="B2176" s="296" t="s">
        <v>1872</v>
      </c>
      <c r="C2176" s="294"/>
      <c r="D2176" s="294"/>
      <c r="E2176" s="294">
        <v>2</v>
      </c>
      <c r="F2176" s="310">
        <v>2.85</v>
      </c>
      <c r="G2176" s="310"/>
      <c r="H2176" s="310">
        <v>2.4</v>
      </c>
      <c r="I2176" s="295">
        <f>H2176*F2176*E2176</f>
        <v>13.68</v>
      </c>
      <c r="J2176" s="295"/>
      <c r="K2176" s="300">
        <f t="shared" si="257"/>
        <v>1.1000000000000001</v>
      </c>
      <c r="L2176" s="300">
        <f t="shared" si="253"/>
        <v>0</v>
      </c>
      <c r="M2176" s="285">
        <f t="shared" si="254"/>
        <v>0</v>
      </c>
      <c r="N2176" s="1076">
        <f t="shared" si="255"/>
        <v>0</v>
      </c>
      <c r="O2176" s="294"/>
      <c r="P2176" s="404"/>
      <c r="Q2176" s="404"/>
      <c r="R2176" s="301"/>
      <c r="S2176" s="301"/>
      <c r="T2176" s="301"/>
      <c r="U2176" s="301"/>
      <c r="V2176" s="301"/>
    </row>
    <row r="2177" spans="1:22" ht="14.4" thickTop="1" thickBot="1" x14ac:dyDescent="0.3">
      <c r="A2177" s="292"/>
      <c r="B2177" s="293"/>
      <c r="C2177" s="294"/>
      <c r="D2177" s="294"/>
      <c r="E2177" s="294">
        <v>2</v>
      </c>
      <c r="F2177" s="310">
        <v>2</v>
      </c>
      <c r="G2177" s="310"/>
      <c r="H2177" s="310">
        <v>2.4</v>
      </c>
      <c r="I2177" s="295">
        <f>H2177*F2177*E2177</f>
        <v>9.6</v>
      </c>
      <c r="J2177" s="295"/>
      <c r="K2177" s="300">
        <f t="shared" si="257"/>
        <v>1.1000000000000001</v>
      </c>
      <c r="L2177" s="300">
        <f t="shared" si="253"/>
        <v>0</v>
      </c>
      <c r="M2177" s="285">
        <f t="shared" si="254"/>
        <v>0</v>
      </c>
      <c r="N2177" s="1076">
        <f t="shared" si="255"/>
        <v>0</v>
      </c>
      <c r="O2177" s="294"/>
      <c r="P2177" s="404"/>
      <c r="Q2177" s="404"/>
      <c r="R2177" s="301"/>
      <c r="S2177" s="301"/>
      <c r="T2177" s="301"/>
      <c r="U2177" s="301"/>
      <c r="V2177" s="301"/>
    </row>
    <row r="2178" spans="1:22" ht="14.4" thickTop="1" thickBot="1" x14ac:dyDescent="0.3">
      <c r="A2178" s="292"/>
      <c r="B2178" s="296" t="s">
        <v>792</v>
      </c>
      <c r="C2178" s="294"/>
      <c r="D2178" s="294"/>
      <c r="E2178" s="294">
        <v>1</v>
      </c>
      <c r="F2178" s="310">
        <v>1.05</v>
      </c>
      <c r="G2178" s="310"/>
      <c r="H2178" s="310">
        <v>2.4</v>
      </c>
      <c r="I2178" s="295">
        <f>-H2178*F2178*E2178</f>
        <v>-2.52</v>
      </c>
      <c r="J2178" s="295"/>
      <c r="K2178" s="300">
        <f t="shared" si="257"/>
        <v>1.1000000000000001</v>
      </c>
      <c r="L2178" s="300">
        <f t="shared" si="253"/>
        <v>0</v>
      </c>
      <c r="M2178" s="285">
        <f t="shared" si="254"/>
        <v>0</v>
      </c>
      <c r="N2178" s="1076">
        <f t="shared" si="255"/>
        <v>0</v>
      </c>
      <c r="O2178" s="294"/>
      <c r="P2178" s="404"/>
      <c r="Q2178" s="404"/>
      <c r="R2178" s="301"/>
      <c r="S2178" s="301"/>
      <c r="T2178" s="301"/>
      <c r="U2178" s="301"/>
      <c r="V2178" s="301"/>
    </row>
    <row r="2179" spans="1:22" ht="14.4" thickTop="1" thickBot="1" x14ac:dyDescent="0.3">
      <c r="A2179" s="292"/>
      <c r="B2179" s="296" t="s">
        <v>769</v>
      </c>
      <c r="C2179" s="294"/>
      <c r="D2179" s="294"/>
      <c r="E2179" s="294">
        <v>1</v>
      </c>
      <c r="F2179" s="310">
        <v>0.9</v>
      </c>
      <c r="G2179" s="310"/>
      <c r="H2179" s="310">
        <v>0.9</v>
      </c>
      <c r="I2179" s="295">
        <f>-H2179*F2179*E2179</f>
        <v>-0.81</v>
      </c>
      <c r="J2179" s="295"/>
      <c r="K2179" s="300">
        <f t="shared" si="257"/>
        <v>1.1000000000000001</v>
      </c>
      <c r="L2179" s="300">
        <f t="shared" si="253"/>
        <v>0</v>
      </c>
      <c r="M2179" s="285">
        <f t="shared" si="254"/>
        <v>0</v>
      </c>
      <c r="N2179" s="1076">
        <f t="shared" si="255"/>
        <v>0</v>
      </c>
      <c r="O2179" s="294"/>
      <c r="P2179" s="404"/>
      <c r="Q2179" s="404"/>
      <c r="R2179" s="301"/>
      <c r="S2179" s="301"/>
      <c r="T2179" s="301"/>
      <c r="U2179" s="301"/>
      <c r="V2179" s="301"/>
    </row>
    <row r="2180" spans="1:22" ht="14.4" thickTop="1" thickBot="1" x14ac:dyDescent="0.3">
      <c r="A2180" s="292"/>
      <c r="B2180" s="296" t="s">
        <v>1873</v>
      </c>
      <c r="C2180" s="294"/>
      <c r="D2180" s="294"/>
      <c r="E2180" s="294">
        <v>2</v>
      </c>
      <c r="F2180" s="310">
        <v>4.8250000000000002</v>
      </c>
      <c r="G2180" s="310"/>
      <c r="H2180" s="310">
        <v>2.4</v>
      </c>
      <c r="I2180" s="295">
        <f t="shared" ref="I2180:I2181" si="259">H2180*F2180*E2180</f>
        <v>23.16</v>
      </c>
      <c r="J2180" s="295"/>
      <c r="K2180" s="300">
        <f t="shared" si="257"/>
        <v>1.1000000000000001</v>
      </c>
      <c r="L2180" s="300">
        <f t="shared" si="253"/>
        <v>0</v>
      </c>
      <c r="M2180" s="285">
        <f t="shared" si="254"/>
        <v>0</v>
      </c>
      <c r="N2180" s="1076">
        <f t="shared" si="255"/>
        <v>0</v>
      </c>
      <c r="O2180" s="294"/>
      <c r="P2180" s="404"/>
      <c r="Q2180" s="404"/>
      <c r="R2180" s="301"/>
      <c r="S2180" s="301"/>
      <c r="T2180" s="301"/>
      <c r="U2180" s="301"/>
      <c r="V2180" s="301"/>
    </row>
    <row r="2181" spans="1:22" ht="14.4" thickTop="1" thickBot="1" x14ac:dyDescent="0.3">
      <c r="A2181" s="292"/>
      <c r="B2181" s="293"/>
      <c r="C2181" s="294"/>
      <c r="D2181" s="294"/>
      <c r="E2181" s="294">
        <v>2</v>
      </c>
      <c r="F2181" s="310">
        <v>3.03</v>
      </c>
      <c r="G2181" s="310"/>
      <c r="H2181" s="310">
        <v>2.4</v>
      </c>
      <c r="I2181" s="295">
        <f t="shared" si="259"/>
        <v>14.543999999999999</v>
      </c>
      <c r="J2181" s="295"/>
      <c r="K2181" s="300">
        <f t="shared" si="257"/>
        <v>1.1000000000000001</v>
      </c>
      <c r="L2181" s="300">
        <f t="shared" si="253"/>
        <v>0</v>
      </c>
      <c r="M2181" s="285">
        <f t="shared" si="254"/>
        <v>0</v>
      </c>
      <c r="N2181" s="1076">
        <f t="shared" si="255"/>
        <v>0</v>
      </c>
      <c r="O2181" s="294"/>
      <c r="P2181" s="404"/>
      <c r="Q2181" s="404"/>
      <c r="R2181" s="301"/>
      <c r="S2181" s="301"/>
      <c r="T2181" s="301"/>
      <c r="U2181" s="301"/>
      <c r="V2181" s="301"/>
    </row>
    <row r="2182" spans="1:22" ht="14.4" thickTop="1" thickBot="1" x14ac:dyDescent="0.3">
      <c r="A2182" s="292"/>
      <c r="B2182" s="296" t="s">
        <v>769</v>
      </c>
      <c r="C2182" s="294"/>
      <c r="D2182" s="294"/>
      <c r="E2182" s="294">
        <v>1</v>
      </c>
      <c r="F2182" s="310">
        <v>0.9</v>
      </c>
      <c r="G2182" s="310"/>
      <c r="H2182" s="310">
        <v>0.9</v>
      </c>
      <c r="I2182" s="295">
        <f>-H2182*F2182*E2182</f>
        <v>-0.81</v>
      </c>
      <c r="J2182" s="295"/>
      <c r="K2182" s="300">
        <f t="shared" si="257"/>
        <v>1.1000000000000001</v>
      </c>
      <c r="L2182" s="300">
        <f t="shared" si="253"/>
        <v>0</v>
      </c>
      <c r="M2182" s="285">
        <f t="shared" si="254"/>
        <v>0</v>
      </c>
      <c r="N2182" s="1076">
        <f t="shared" si="255"/>
        <v>0</v>
      </c>
      <c r="O2182" s="294"/>
      <c r="P2182" s="404"/>
      <c r="Q2182" s="404"/>
      <c r="R2182" s="301"/>
      <c r="S2182" s="301"/>
      <c r="T2182" s="301"/>
      <c r="U2182" s="301"/>
      <c r="V2182" s="301"/>
    </row>
    <row r="2183" spans="1:22" ht="14.4" thickTop="1" thickBot="1" x14ac:dyDescent="0.3">
      <c r="A2183" s="292"/>
      <c r="B2183" s="296" t="s">
        <v>770</v>
      </c>
      <c r="C2183" s="294"/>
      <c r="D2183" s="294"/>
      <c r="E2183" s="294">
        <v>1</v>
      </c>
      <c r="F2183" s="310">
        <v>0.9</v>
      </c>
      <c r="G2183" s="310"/>
      <c r="H2183" s="310">
        <v>2.7</v>
      </c>
      <c r="I2183" s="295">
        <f>-H2183*F2183*E2183</f>
        <v>-2.4300000000000002</v>
      </c>
      <c r="J2183" s="295"/>
      <c r="K2183" s="300">
        <f t="shared" si="257"/>
        <v>1.1000000000000001</v>
      </c>
      <c r="L2183" s="300">
        <f t="shared" si="253"/>
        <v>0</v>
      </c>
      <c r="M2183" s="285">
        <f t="shared" si="254"/>
        <v>0</v>
      </c>
      <c r="N2183" s="1076">
        <f t="shared" si="255"/>
        <v>0</v>
      </c>
      <c r="O2183" s="294"/>
      <c r="P2183" s="404"/>
      <c r="Q2183" s="404"/>
      <c r="R2183" s="301"/>
      <c r="S2183" s="301"/>
      <c r="T2183" s="301"/>
      <c r="U2183" s="301"/>
      <c r="V2183" s="301"/>
    </row>
    <row r="2184" spans="1:22" ht="14.4" thickTop="1" thickBot="1" x14ac:dyDescent="0.3">
      <c r="A2184" s="292"/>
      <c r="B2184" s="296" t="s">
        <v>1920</v>
      </c>
      <c r="C2184" s="294"/>
      <c r="D2184" s="294"/>
      <c r="E2184" s="294">
        <v>2</v>
      </c>
      <c r="F2184" s="310">
        <v>4.3630000000000004</v>
      </c>
      <c r="G2184" s="310"/>
      <c r="H2184" s="310">
        <v>2.4</v>
      </c>
      <c r="I2184" s="295">
        <f t="shared" ref="I2184:I2185" si="260">H2184*F2184*E2184</f>
        <v>20.942400000000003</v>
      </c>
      <c r="J2184" s="295"/>
      <c r="K2184" s="300">
        <f t="shared" si="257"/>
        <v>1.1000000000000001</v>
      </c>
      <c r="L2184" s="300">
        <f t="shared" si="253"/>
        <v>0</v>
      </c>
      <c r="M2184" s="285">
        <f t="shared" si="254"/>
        <v>0</v>
      </c>
      <c r="N2184" s="1076">
        <f t="shared" si="255"/>
        <v>0</v>
      </c>
      <c r="O2184" s="294"/>
      <c r="P2184" s="404"/>
      <c r="Q2184" s="404"/>
      <c r="R2184" s="301"/>
      <c r="S2184" s="301"/>
      <c r="T2184" s="301"/>
      <c r="U2184" s="301"/>
      <c r="V2184" s="301"/>
    </row>
    <row r="2185" spans="1:22" ht="14.4" thickTop="1" thickBot="1" x14ac:dyDescent="0.3">
      <c r="A2185" s="292"/>
      <c r="B2185" s="293"/>
      <c r="C2185" s="294"/>
      <c r="D2185" s="294"/>
      <c r="E2185" s="294">
        <v>2</v>
      </c>
      <c r="F2185" s="310">
        <v>3.03</v>
      </c>
      <c r="G2185" s="310"/>
      <c r="H2185" s="310">
        <v>2.4</v>
      </c>
      <c r="I2185" s="295">
        <f t="shared" si="260"/>
        <v>14.543999999999999</v>
      </c>
      <c r="J2185" s="295"/>
      <c r="K2185" s="300">
        <f t="shared" si="257"/>
        <v>1.1000000000000001</v>
      </c>
      <c r="L2185" s="300">
        <f t="shared" si="253"/>
        <v>0</v>
      </c>
      <c r="M2185" s="285">
        <f t="shared" si="254"/>
        <v>0</v>
      </c>
      <c r="N2185" s="1076">
        <f t="shared" si="255"/>
        <v>0</v>
      </c>
      <c r="O2185" s="294"/>
      <c r="P2185" s="404"/>
      <c r="Q2185" s="404"/>
      <c r="R2185" s="301"/>
      <c r="S2185" s="301"/>
      <c r="T2185" s="301"/>
      <c r="U2185" s="301"/>
      <c r="V2185" s="301"/>
    </row>
    <row r="2186" spans="1:22" ht="14.4" thickTop="1" thickBot="1" x14ac:dyDescent="0.3">
      <c r="A2186" s="292"/>
      <c r="B2186" s="296" t="s">
        <v>769</v>
      </c>
      <c r="C2186" s="294"/>
      <c r="D2186" s="294"/>
      <c r="E2186" s="294">
        <v>1</v>
      </c>
      <c r="F2186" s="310">
        <v>0.9</v>
      </c>
      <c r="G2186" s="310"/>
      <c r="H2186" s="310">
        <v>0.9</v>
      </c>
      <c r="I2186" s="295">
        <f>-H2186*F2186*E2186</f>
        <v>-0.81</v>
      </c>
      <c r="J2186" s="295"/>
      <c r="K2186" s="300">
        <f t="shared" si="257"/>
        <v>1.1000000000000001</v>
      </c>
      <c r="L2186" s="300">
        <f t="shared" si="253"/>
        <v>0</v>
      </c>
      <c r="M2186" s="285">
        <f t="shared" si="254"/>
        <v>0</v>
      </c>
      <c r="N2186" s="1076">
        <f t="shared" si="255"/>
        <v>0</v>
      </c>
      <c r="O2186" s="294"/>
      <c r="P2186" s="404"/>
      <c r="Q2186" s="404"/>
      <c r="R2186" s="301"/>
      <c r="S2186" s="301"/>
      <c r="T2186" s="301"/>
      <c r="U2186" s="301"/>
      <c r="V2186" s="301"/>
    </row>
    <row r="2187" spans="1:22" ht="14.4" thickTop="1" thickBot="1" x14ac:dyDescent="0.3">
      <c r="A2187" s="292"/>
      <c r="B2187" s="296" t="s">
        <v>770</v>
      </c>
      <c r="C2187" s="294"/>
      <c r="D2187" s="294"/>
      <c r="E2187" s="294">
        <v>1</v>
      </c>
      <c r="F2187" s="310">
        <v>0.9</v>
      </c>
      <c r="G2187" s="310"/>
      <c r="H2187" s="310">
        <v>2.7</v>
      </c>
      <c r="I2187" s="295">
        <f>-H2187*F2187*E2187</f>
        <v>-2.4300000000000002</v>
      </c>
      <c r="J2187" s="295"/>
      <c r="K2187" s="300">
        <f t="shared" si="257"/>
        <v>1.1000000000000001</v>
      </c>
      <c r="L2187" s="300">
        <f t="shared" ref="L2187:L2258" si="261">K2187*J2187</f>
        <v>0</v>
      </c>
      <c r="M2187" s="285">
        <f t="shared" si="254"/>
        <v>0</v>
      </c>
      <c r="N2187" s="1076">
        <f t="shared" si="255"/>
        <v>0</v>
      </c>
      <c r="O2187" s="294"/>
      <c r="P2187" s="404"/>
      <c r="Q2187" s="404"/>
      <c r="R2187" s="301"/>
      <c r="S2187" s="301"/>
      <c r="T2187" s="301"/>
      <c r="U2187" s="301"/>
      <c r="V2187" s="301"/>
    </row>
    <row r="2188" spans="1:22" ht="14.4" thickTop="1" thickBot="1" x14ac:dyDescent="0.3">
      <c r="A2188" s="292"/>
      <c r="B2188" s="287" t="s">
        <v>1921</v>
      </c>
      <c r="C2188" s="294"/>
      <c r="D2188" s="294"/>
      <c r="E2188" s="294">
        <v>1</v>
      </c>
      <c r="F2188" s="310">
        <v>1.7749999999999999</v>
      </c>
      <c r="G2188" s="310"/>
      <c r="H2188" s="310">
        <v>2.4</v>
      </c>
      <c r="I2188" s="295">
        <f t="shared" ref="I2188:I2190" si="262">H2188*F2188*E2188</f>
        <v>4.26</v>
      </c>
      <c r="J2188" s="295"/>
      <c r="K2188" s="300">
        <f t="shared" si="257"/>
        <v>1.1000000000000001</v>
      </c>
      <c r="L2188" s="300">
        <f t="shared" si="261"/>
        <v>0</v>
      </c>
      <c r="M2188" s="285">
        <f t="shared" si="254"/>
        <v>0</v>
      </c>
      <c r="N2188" s="1076">
        <f t="shared" si="255"/>
        <v>0</v>
      </c>
      <c r="O2188" s="294"/>
      <c r="P2188" s="404"/>
      <c r="Q2188" s="404"/>
      <c r="R2188" s="301"/>
      <c r="S2188" s="301"/>
      <c r="T2188" s="301"/>
      <c r="U2188" s="301"/>
      <c r="V2188" s="301"/>
    </row>
    <row r="2189" spans="1:22" ht="14.4" thickTop="1" thickBot="1" x14ac:dyDescent="0.3">
      <c r="A2189" s="292"/>
      <c r="B2189" s="293"/>
      <c r="C2189" s="294"/>
      <c r="D2189" s="294"/>
      <c r="E2189" s="294">
        <v>1</v>
      </c>
      <c r="F2189" s="310">
        <v>0.55000000000000004</v>
      </c>
      <c r="G2189" s="310"/>
      <c r="H2189" s="310">
        <v>2.4</v>
      </c>
      <c r="I2189" s="295">
        <f t="shared" si="262"/>
        <v>1.32</v>
      </c>
      <c r="J2189" s="295"/>
      <c r="K2189" s="300">
        <f t="shared" si="257"/>
        <v>1.1000000000000001</v>
      </c>
      <c r="L2189" s="300">
        <f t="shared" si="261"/>
        <v>0</v>
      </c>
      <c r="M2189" s="285">
        <f t="shared" si="254"/>
        <v>0</v>
      </c>
      <c r="N2189" s="1076">
        <f t="shared" si="255"/>
        <v>0</v>
      </c>
      <c r="O2189" s="294"/>
      <c r="P2189" s="404"/>
      <c r="Q2189" s="404"/>
      <c r="R2189" s="301"/>
      <c r="S2189" s="301"/>
      <c r="T2189" s="301"/>
      <c r="U2189" s="301"/>
      <c r="V2189" s="301"/>
    </row>
    <row r="2190" spans="1:22" ht="14.4" thickTop="1" thickBot="1" x14ac:dyDescent="0.3">
      <c r="A2190" s="292"/>
      <c r="B2190" s="293"/>
      <c r="C2190" s="294"/>
      <c r="D2190" s="294"/>
      <c r="E2190" s="294">
        <v>1</v>
      </c>
      <c r="F2190" s="310">
        <v>3.55</v>
      </c>
      <c r="G2190" s="310"/>
      <c r="H2190" s="310">
        <v>2.4</v>
      </c>
      <c r="I2190" s="295">
        <f t="shared" si="262"/>
        <v>8.52</v>
      </c>
      <c r="J2190" s="295"/>
      <c r="K2190" s="300">
        <f t="shared" si="257"/>
        <v>1.1000000000000001</v>
      </c>
      <c r="L2190" s="300">
        <f t="shared" si="261"/>
        <v>0</v>
      </c>
      <c r="M2190" s="285">
        <f t="shared" si="254"/>
        <v>0</v>
      </c>
      <c r="N2190" s="1076">
        <f t="shared" si="255"/>
        <v>0</v>
      </c>
      <c r="O2190" s="294"/>
      <c r="P2190" s="404"/>
      <c r="Q2190" s="404"/>
      <c r="R2190" s="301"/>
      <c r="S2190" s="301"/>
      <c r="T2190" s="301"/>
      <c r="U2190" s="301"/>
      <c r="V2190" s="301"/>
    </row>
    <row r="2191" spans="1:22" ht="14.4" thickTop="1" thickBot="1" x14ac:dyDescent="0.3">
      <c r="A2191" s="292"/>
      <c r="B2191" s="296" t="s">
        <v>769</v>
      </c>
      <c r="C2191" s="294"/>
      <c r="D2191" s="294"/>
      <c r="E2191" s="294">
        <v>2</v>
      </c>
      <c r="F2191" s="310">
        <v>0.9</v>
      </c>
      <c r="G2191" s="310"/>
      <c r="H2191" s="310">
        <v>0.9</v>
      </c>
      <c r="I2191" s="295">
        <f>-H2191*F2191*E2191</f>
        <v>-1.62</v>
      </c>
      <c r="J2191" s="295"/>
      <c r="K2191" s="300">
        <f t="shared" si="257"/>
        <v>1.1000000000000001</v>
      </c>
      <c r="L2191" s="300">
        <f t="shared" si="261"/>
        <v>0</v>
      </c>
      <c r="M2191" s="285">
        <f t="shared" si="254"/>
        <v>0</v>
      </c>
      <c r="N2191" s="1076">
        <f t="shared" si="255"/>
        <v>0</v>
      </c>
      <c r="O2191" s="294"/>
      <c r="P2191" s="404"/>
      <c r="Q2191" s="404"/>
      <c r="R2191" s="301"/>
      <c r="S2191" s="301"/>
      <c r="T2191" s="301"/>
      <c r="U2191" s="301"/>
      <c r="V2191" s="301"/>
    </row>
    <row r="2192" spans="1:22" ht="14.4" thickTop="1" thickBot="1" x14ac:dyDescent="0.3">
      <c r="A2192" s="292"/>
      <c r="B2192" s="287" t="s">
        <v>1922</v>
      </c>
      <c r="C2192" s="294"/>
      <c r="D2192" s="294"/>
      <c r="E2192" s="294">
        <v>1</v>
      </c>
      <c r="F2192" s="310">
        <v>1.8879999999999999</v>
      </c>
      <c r="G2192" s="310"/>
      <c r="H2192" s="310">
        <v>2.4</v>
      </c>
      <c r="I2192" s="295">
        <f t="shared" ref="I2192:I2193" si="263">H2192*F2192*E2192</f>
        <v>4.5311999999999992</v>
      </c>
      <c r="J2192" s="295"/>
      <c r="K2192" s="300">
        <f t="shared" si="257"/>
        <v>1.1000000000000001</v>
      </c>
      <c r="L2192" s="300">
        <f t="shared" si="261"/>
        <v>0</v>
      </c>
      <c r="M2192" s="285">
        <f t="shared" si="254"/>
        <v>0</v>
      </c>
      <c r="N2192" s="1076">
        <f t="shared" si="255"/>
        <v>0</v>
      </c>
      <c r="O2192" s="294"/>
      <c r="P2192" s="404"/>
      <c r="Q2192" s="404"/>
      <c r="R2192" s="301"/>
      <c r="S2192" s="301"/>
      <c r="T2192" s="301"/>
      <c r="U2192" s="301"/>
      <c r="V2192" s="301"/>
    </row>
    <row r="2193" spans="1:22" ht="14.4" thickTop="1" thickBot="1" x14ac:dyDescent="0.3">
      <c r="A2193" s="292"/>
      <c r="B2193" s="293"/>
      <c r="C2193" s="294"/>
      <c r="D2193" s="294"/>
      <c r="E2193" s="294">
        <v>1</v>
      </c>
      <c r="F2193" s="310">
        <v>3.55</v>
      </c>
      <c r="G2193" s="310"/>
      <c r="H2193" s="310">
        <v>2.4</v>
      </c>
      <c r="I2193" s="295">
        <f t="shared" si="263"/>
        <v>8.52</v>
      </c>
      <c r="J2193" s="295"/>
      <c r="K2193" s="300">
        <f t="shared" si="257"/>
        <v>1.1000000000000001</v>
      </c>
      <c r="L2193" s="300">
        <f t="shared" si="261"/>
        <v>0</v>
      </c>
      <c r="M2193" s="285">
        <f t="shared" si="254"/>
        <v>0</v>
      </c>
      <c r="N2193" s="1076">
        <f t="shared" si="255"/>
        <v>0</v>
      </c>
      <c r="O2193" s="294"/>
      <c r="P2193" s="404"/>
      <c r="Q2193" s="404"/>
      <c r="R2193" s="301"/>
      <c r="S2193" s="301"/>
      <c r="T2193" s="301"/>
      <c r="U2193" s="301"/>
      <c r="V2193" s="301"/>
    </row>
    <row r="2194" spans="1:22" ht="14.4" thickTop="1" thickBot="1" x14ac:dyDescent="0.3">
      <c r="A2194" s="292"/>
      <c r="B2194" s="296" t="s">
        <v>769</v>
      </c>
      <c r="C2194" s="294"/>
      <c r="D2194" s="294"/>
      <c r="E2194" s="294">
        <v>2</v>
      </c>
      <c r="F2194" s="310">
        <v>0.9</v>
      </c>
      <c r="G2194" s="310"/>
      <c r="H2194" s="310">
        <v>0.9</v>
      </c>
      <c r="I2194" s="295">
        <f>-H2194*F2194*E2194</f>
        <v>-1.62</v>
      </c>
      <c r="J2194" s="295"/>
      <c r="K2194" s="300">
        <f t="shared" si="257"/>
        <v>1.1000000000000001</v>
      </c>
      <c r="L2194" s="300">
        <f t="shared" si="261"/>
        <v>0</v>
      </c>
      <c r="M2194" s="285">
        <f t="shared" si="254"/>
        <v>0</v>
      </c>
      <c r="N2194" s="1076">
        <f t="shared" si="255"/>
        <v>0</v>
      </c>
      <c r="O2194" s="294"/>
      <c r="P2194" s="404"/>
      <c r="Q2194" s="404"/>
      <c r="R2194" s="301"/>
      <c r="S2194" s="301"/>
      <c r="T2194" s="301"/>
      <c r="U2194" s="301"/>
      <c r="V2194" s="301"/>
    </row>
    <row r="2195" spans="1:22" ht="14.4" thickTop="1" thickBot="1" x14ac:dyDescent="0.3">
      <c r="A2195" s="292"/>
      <c r="B2195" s="293"/>
      <c r="C2195" s="294"/>
      <c r="D2195" s="294"/>
      <c r="E2195" s="294"/>
      <c r="F2195" s="310"/>
      <c r="G2195" s="310"/>
      <c r="H2195" s="310"/>
      <c r="I2195" s="295"/>
      <c r="J2195" s="295">
        <f>SUM(I2172:I2194)</f>
        <v>134.93159999999997</v>
      </c>
      <c r="K2195" s="300">
        <f t="shared" si="257"/>
        <v>1.1000000000000001</v>
      </c>
      <c r="L2195" s="300">
        <f t="shared" si="261"/>
        <v>148.42475999999999</v>
      </c>
      <c r="M2195" s="285">
        <f t="shared" ref="M2195:M2268" si="264">ROUND(L2195,1)</f>
        <v>148.4</v>
      </c>
      <c r="N2195" s="1076">
        <f t="shared" ref="N2195:N2268" si="265">ROUNDUP(M2195,0)</f>
        <v>149</v>
      </c>
      <c r="O2195" s="294" t="s">
        <v>695</v>
      </c>
      <c r="P2195" s="404"/>
      <c r="Q2195" s="404"/>
      <c r="R2195" s="301"/>
      <c r="S2195" s="301"/>
      <c r="T2195" s="301"/>
      <c r="U2195" s="301"/>
      <c r="V2195" s="301"/>
    </row>
    <row r="2196" spans="1:22" ht="14.4" thickTop="1" thickBot="1" x14ac:dyDescent="0.3">
      <c r="A2196" s="292"/>
      <c r="B2196" s="293"/>
      <c r="C2196" s="294"/>
      <c r="D2196" s="294"/>
      <c r="E2196" s="294"/>
      <c r="F2196" s="310"/>
      <c r="G2196" s="310"/>
      <c r="H2196" s="310"/>
      <c r="I2196" s="295"/>
      <c r="J2196" s="295">
        <f>J2195*10.76</f>
        <v>1451.8640159999998</v>
      </c>
      <c r="K2196" s="300">
        <f t="shared" si="257"/>
        <v>1.1000000000000001</v>
      </c>
      <c r="L2196" s="300">
        <f t="shared" si="261"/>
        <v>1597.0504175999999</v>
      </c>
      <c r="M2196" s="285">
        <f t="shared" si="264"/>
        <v>1597.1</v>
      </c>
      <c r="N2196" s="1076">
        <f t="shared" si="265"/>
        <v>1598</v>
      </c>
      <c r="O2196" s="294" t="s">
        <v>1846</v>
      </c>
      <c r="P2196" s="404"/>
      <c r="Q2196" s="404"/>
      <c r="R2196" s="301"/>
      <c r="S2196" s="301"/>
      <c r="T2196" s="301"/>
      <c r="U2196" s="301"/>
      <c r="V2196" s="301"/>
    </row>
    <row r="2197" spans="1:22" ht="14.4" thickTop="1" thickBot="1" x14ac:dyDescent="0.3">
      <c r="A2197" s="292"/>
      <c r="B2197" s="293"/>
      <c r="C2197" s="294"/>
      <c r="D2197" s="294"/>
      <c r="E2197" s="294"/>
      <c r="F2197" s="310"/>
      <c r="G2197" s="310"/>
      <c r="H2197" s="310"/>
      <c r="I2197" s="295"/>
      <c r="J2197" s="295">
        <f>J2196/100</f>
        <v>14.518640159999997</v>
      </c>
      <c r="K2197" s="300">
        <v>1.1000000000000001</v>
      </c>
      <c r="L2197" s="300">
        <f t="shared" si="261"/>
        <v>15.970504175999999</v>
      </c>
      <c r="M2197" s="285">
        <f t="shared" si="264"/>
        <v>16</v>
      </c>
      <c r="N2197" s="1076">
        <f t="shared" si="265"/>
        <v>16</v>
      </c>
      <c r="O2197" s="294" t="s">
        <v>879</v>
      </c>
      <c r="P2197" s="404"/>
      <c r="Q2197" s="404"/>
      <c r="R2197" s="301"/>
      <c r="S2197" s="301"/>
      <c r="T2197" s="301"/>
      <c r="U2197" s="301"/>
      <c r="V2197" s="301"/>
    </row>
    <row r="2198" spans="1:22" ht="14.4" thickTop="1" thickBot="1" x14ac:dyDescent="0.3">
      <c r="A2198" s="292"/>
      <c r="B2198" s="293"/>
      <c r="C2198" s="294"/>
      <c r="D2198" s="294"/>
      <c r="E2198" s="294"/>
      <c r="F2198" s="310"/>
      <c r="G2198" s="310"/>
      <c r="H2198" s="310"/>
      <c r="I2198" s="295"/>
      <c r="J2198" s="295"/>
      <c r="K2198" s="300">
        <f t="shared" si="257"/>
        <v>1.1000000000000001</v>
      </c>
      <c r="L2198" s="300">
        <f t="shared" si="261"/>
        <v>0</v>
      </c>
      <c r="M2198" s="285">
        <f t="shared" si="264"/>
        <v>0</v>
      </c>
      <c r="N2198" s="1076">
        <f t="shared" si="265"/>
        <v>0</v>
      </c>
      <c r="O2198" s="294"/>
      <c r="P2198" s="404"/>
      <c r="Q2198" s="404"/>
      <c r="R2198" s="301"/>
      <c r="S2198" s="301"/>
      <c r="T2198" s="301"/>
      <c r="U2198" s="301"/>
      <c r="V2198" s="301"/>
    </row>
    <row r="2199" spans="1:22" ht="14.4" thickTop="1" thickBot="1" x14ac:dyDescent="0.3">
      <c r="A2199" s="292"/>
      <c r="B2199" s="296" t="s">
        <v>1923</v>
      </c>
      <c r="C2199" s="294"/>
      <c r="D2199" s="294"/>
      <c r="E2199" s="294"/>
      <c r="F2199" s="310"/>
      <c r="G2199" s="310"/>
      <c r="H2199" s="310"/>
      <c r="I2199" s="295"/>
      <c r="J2199" s="295"/>
      <c r="K2199" s="300"/>
      <c r="L2199" s="300"/>
      <c r="M2199" s="285"/>
      <c r="N2199" s="1076"/>
      <c r="O2199" s="294"/>
      <c r="P2199" s="404"/>
      <c r="Q2199" s="404"/>
      <c r="R2199" s="301"/>
      <c r="S2199" s="301"/>
      <c r="T2199" s="301"/>
      <c r="U2199" s="301"/>
      <c r="V2199" s="301"/>
    </row>
    <row r="2200" spans="1:22" ht="14.4" thickTop="1" thickBot="1" x14ac:dyDescent="0.3">
      <c r="A2200" s="292"/>
      <c r="B2200" s="287" t="s">
        <v>1873</v>
      </c>
      <c r="C2200" s="294"/>
      <c r="D2200" s="294"/>
      <c r="E2200" s="294">
        <v>2</v>
      </c>
      <c r="F2200" s="310">
        <v>4.8250000000000002</v>
      </c>
      <c r="G2200" s="310"/>
      <c r="H2200" s="310">
        <v>2.4</v>
      </c>
      <c r="I2200" s="295">
        <f>H2200*F2200*E2200</f>
        <v>23.16</v>
      </c>
      <c r="J2200" s="295"/>
      <c r="K2200" s="300">
        <f t="shared" ref="K2200:K2275" si="266">$K$2</f>
        <v>1.1000000000000001</v>
      </c>
      <c r="L2200" s="300">
        <f t="shared" si="261"/>
        <v>0</v>
      </c>
      <c r="M2200" s="285">
        <f t="shared" si="264"/>
        <v>0</v>
      </c>
      <c r="N2200" s="1076">
        <f t="shared" si="265"/>
        <v>0</v>
      </c>
      <c r="O2200" s="294"/>
      <c r="P2200" s="404"/>
      <c r="Q2200" s="404"/>
      <c r="R2200" s="301"/>
      <c r="S2200" s="301"/>
      <c r="T2200" s="301"/>
      <c r="U2200" s="301"/>
      <c r="V2200" s="301"/>
    </row>
    <row r="2201" spans="1:22" ht="14.4" thickTop="1" thickBot="1" x14ac:dyDescent="0.3">
      <c r="A2201" s="292"/>
      <c r="B2201" s="293"/>
      <c r="C2201" s="294"/>
      <c r="D2201" s="294"/>
      <c r="E2201" s="294">
        <v>2</v>
      </c>
      <c r="F2201" s="310">
        <v>3.03</v>
      </c>
      <c r="G2201" s="310"/>
      <c r="H2201" s="310">
        <v>2.4</v>
      </c>
      <c r="I2201" s="295">
        <f>H2201*F2201*E2201</f>
        <v>14.543999999999999</v>
      </c>
      <c r="J2201" s="295"/>
      <c r="K2201" s="300">
        <f t="shared" si="266"/>
        <v>1.1000000000000001</v>
      </c>
      <c r="L2201" s="300">
        <f t="shared" si="261"/>
        <v>0</v>
      </c>
      <c r="M2201" s="285">
        <f t="shared" si="264"/>
        <v>0</v>
      </c>
      <c r="N2201" s="1076">
        <f t="shared" si="265"/>
        <v>0</v>
      </c>
      <c r="O2201" s="294"/>
      <c r="P2201" s="404"/>
      <c r="Q2201" s="404"/>
      <c r="R2201" s="301"/>
      <c r="S2201" s="301"/>
      <c r="T2201" s="301"/>
      <c r="U2201" s="301"/>
      <c r="V2201" s="301"/>
    </row>
    <row r="2202" spans="1:22" ht="14.4" thickTop="1" thickBot="1" x14ac:dyDescent="0.3">
      <c r="A2202" s="292"/>
      <c r="B2202" s="296" t="s">
        <v>769</v>
      </c>
      <c r="C2202" s="294"/>
      <c r="D2202" s="294"/>
      <c r="E2202" s="294">
        <v>2</v>
      </c>
      <c r="F2202" s="310">
        <v>0.9</v>
      </c>
      <c r="G2202" s="310"/>
      <c r="H2202" s="310">
        <v>0.9</v>
      </c>
      <c r="I2202" s="295">
        <f>-H2202*F2202*E2202</f>
        <v>-1.62</v>
      </c>
      <c r="J2202" s="295"/>
      <c r="K2202" s="300">
        <f t="shared" si="266"/>
        <v>1.1000000000000001</v>
      </c>
      <c r="L2202" s="300">
        <f t="shared" si="261"/>
        <v>0</v>
      </c>
      <c r="M2202" s="285">
        <f t="shared" si="264"/>
        <v>0</v>
      </c>
      <c r="N2202" s="1076">
        <f t="shared" si="265"/>
        <v>0</v>
      </c>
      <c r="O2202" s="294"/>
      <c r="P2202" s="404"/>
      <c r="Q2202" s="404"/>
      <c r="R2202" s="301"/>
      <c r="S2202" s="301"/>
      <c r="T2202" s="301"/>
      <c r="U2202" s="301"/>
      <c r="V2202" s="301"/>
    </row>
    <row r="2203" spans="1:22" ht="14.4" thickTop="1" thickBot="1" x14ac:dyDescent="0.3">
      <c r="A2203" s="292"/>
      <c r="B2203" s="296" t="s">
        <v>770</v>
      </c>
      <c r="C2203" s="294"/>
      <c r="D2203" s="294"/>
      <c r="E2203" s="294">
        <v>1</v>
      </c>
      <c r="F2203" s="310">
        <v>0.9</v>
      </c>
      <c r="G2203" s="310"/>
      <c r="H2203" s="310">
        <v>2.7</v>
      </c>
      <c r="I2203" s="295">
        <f>-H2203*F2203*E2203</f>
        <v>-2.4300000000000002</v>
      </c>
      <c r="J2203" s="295"/>
      <c r="K2203" s="300">
        <f t="shared" si="266"/>
        <v>1.1000000000000001</v>
      </c>
      <c r="L2203" s="300">
        <f t="shared" si="261"/>
        <v>0</v>
      </c>
      <c r="M2203" s="285">
        <f t="shared" si="264"/>
        <v>0</v>
      </c>
      <c r="N2203" s="1076">
        <f t="shared" si="265"/>
        <v>0</v>
      </c>
      <c r="O2203" s="294"/>
      <c r="P2203" s="404"/>
      <c r="Q2203" s="404"/>
      <c r="R2203" s="301"/>
      <c r="S2203" s="301"/>
      <c r="T2203" s="301"/>
      <c r="U2203" s="301"/>
      <c r="V2203" s="301"/>
    </row>
    <row r="2204" spans="1:22" ht="14.4" thickTop="1" thickBot="1" x14ac:dyDescent="0.3">
      <c r="A2204" s="292"/>
      <c r="B2204" s="296" t="s">
        <v>1920</v>
      </c>
      <c r="C2204" s="294"/>
      <c r="D2204" s="294"/>
      <c r="E2204" s="294">
        <v>2</v>
      </c>
      <c r="F2204" s="310">
        <v>4.3630000000000004</v>
      </c>
      <c r="G2204" s="310"/>
      <c r="H2204" s="310">
        <v>2.4</v>
      </c>
      <c r="I2204" s="295">
        <f t="shared" ref="I2204:I2205" si="267">H2204*F2204*E2204</f>
        <v>20.942400000000003</v>
      </c>
      <c r="J2204" s="295"/>
      <c r="K2204" s="300">
        <f t="shared" si="266"/>
        <v>1.1000000000000001</v>
      </c>
      <c r="L2204" s="300">
        <f t="shared" si="261"/>
        <v>0</v>
      </c>
      <c r="M2204" s="285">
        <f t="shared" si="264"/>
        <v>0</v>
      </c>
      <c r="N2204" s="1076">
        <f t="shared" si="265"/>
        <v>0</v>
      </c>
      <c r="O2204" s="294"/>
      <c r="P2204" s="404"/>
      <c r="Q2204" s="404"/>
      <c r="R2204" s="301"/>
      <c r="S2204" s="301"/>
      <c r="T2204" s="301"/>
      <c r="U2204" s="301"/>
      <c r="V2204" s="301"/>
    </row>
    <row r="2205" spans="1:22" ht="14.4" thickTop="1" thickBot="1" x14ac:dyDescent="0.3">
      <c r="A2205" s="292"/>
      <c r="B2205" s="293"/>
      <c r="C2205" s="294"/>
      <c r="D2205" s="294"/>
      <c r="E2205" s="294">
        <v>2</v>
      </c>
      <c r="F2205" s="310">
        <v>3.03</v>
      </c>
      <c r="G2205" s="310"/>
      <c r="H2205" s="310">
        <v>2.4</v>
      </c>
      <c r="I2205" s="295">
        <f t="shared" si="267"/>
        <v>14.543999999999999</v>
      </c>
      <c r="J2205" s="295"/>
      <c r="K2205" s="300">
        <f t="shared" si="266"/>
        <v>1.1000000000000001</v>
      </c>
      <c r="L2205" s="300">
        <f t="shared" si="261"/>
        <v>0</v>
      </c>
      <c r="M2205" s="285">
        <f t="shared" si="264"/>
        <v>0</v>
      </c>
      <c r="N2205" s="1076">
        <f t="shared" si="265"/>
        <v>0</v>
      </c>
      <c r="O2205" s="294"/>
      <c r="P2205" s="404"/>
      <c r="Q2205" s="404"/>
      <c r="R2205" s="301"/>
      <c r="S2205" s="301"/>
      <c r="T2205" s="301"/>
      <c r="U2205" s="301"/>
      <c r="V2205" s="301"/>
    </row>
    <row r="2206" spans="1:22" ht="14.4" thickTop="1" thickBot="1" x14ac:dyDescent="0.3">
      <c r="A2206" s="292"/>
      <c r="B2206" s="296" t="s">
        <v>769</v>
      </c>
      <c r="C2206" s="294"/>
      <c r="D2206" s="294"/>
      <c r="E2206" s="294">
        <v>1</v>
      </c>
      <c r="F2206" s="310">
        <v>0.9</v>
      </c>
      <c r="G2206" s="310"/>
      <c r="H2206" s="310">
        <v>0.9</v>
      </c>
      <c r="I2206" s="295">
        <f>-H2206*F2206*E2206</f>
        <v>-0.81</v>
      </c>
      <c r="J2206" s="295"/>
      <c r="K2206" s="300">
        <f t="shared" si="266"/>
        <v>1.1000000000000001</v>
      </c>
      <c r="L2206" s="300">
        <f t="shared" si="261"/>
        <v>0</v>
      </c>
      <c r="M2206" s="285">
        <f t="shared" si="264"/>
        <v>0</v>
      </c>
      <c r="N2206" s="1076">
        <f t="shared" si="265"/>
        <v>0</v>
      </c>
      <c r="O2206" s="294"/>
      <c r="P2206" s="404"/>
      <c r="Q2206" s="404"/>
      <c r="R2206" s="301"/>
      <c r="S2206" s="301"/>
      <c r="T2206" s="301"/>
      <c r="U2206" s="301"/>
      <c r="V2206" s="301"/>
    </row>
    <row r="2207" spans="1:22" ht="14.4" thickTop="1" thickBot="1" x14ac:dyDescent="0.3">
      <c r="A2207" s="292"/>
      <c r="B2207" s="296" t="s">
        <v>770</v>
      </c>
      <c r="C2207" s="294"/>
      <c r="D2207" s="294"/>
      <c r="E2207" s="294">
        <v>1</v>
      </c>
      <c r="F2207" s="310">
        <v>0.9</v>
      </c>
      <c r="G2207" s="310"/>
      <c r="H2207" s="310">
        <v>2.7</v>
      </c>
      <c r="I2207" s="295">
        <f>-H2207*F2207*E2207</f>
        <v>-2.4300000000000002</v>
      </c>
      <c r="J2207" s="295"/>
      <c r="K2207" s="300">
        <f t="shared" si="266"/>
        <v>1.1000000000000001</v>
      </c>
      <c r="L2207" s="300">
        <f t="shared" si="261"/>
        <v>0</v>
      </c>
      <c r="M2207" s="285">
        <f t="shared" si="264"/>
        <v>0</v>
      </c>
      <c r="N2207" s="1076">
        <f t="shared" si="265"/>
        <v>0</v>
      </c>
      <c r="O2207" s="294"/>
      <c r="P2207" s="404"/>
      <c r="Q2207" s="404"/>
      <c r="R2207" s="301"/>
      <c r="S2207" s="301"/>
      <c r="T2207" s="301"/>
      <c r="U2207" s="301"/>
      <c r="V2207" s="301"/>
    </row>
    <row r="2208" spans="1:22" ht="14.4" thickTop="1" thickBot="1" x14ac:dyDescent="0.3">
      <c r="A2208" s="292"/>
      <c r="B2208" s="293"/>
      <c r="C2208" s="294"/>
      <c r="D2208" s="294"/>
      <c r="E2208" s="294"/>
      <c r="F2208" s="310"/>
      <c r="G2208" s="310"/>
      <c r="H2208" s="310"/>
      <c r="I2208" s="295"/>
      <c r="J2208" s="295">
        <f>SUM(I2200:I2207)</f>
        <v>65.900399999999991</v>
      </c>
      <c r="K2208" s="300">
        <f t="shared" si="266"/>
        <v>1.1000000000000001</v>
      </c>
      <c r="L2208" s="300">
        <f t="shared" si="261"/>
        <v>72.490439999999992</v>
      </c>
      <c r="M2208" s="285">
        <f t="shared" si="264"/>
        <v>72.5</v>
      </c>
      <c r="N2208" s="1076">
        <f t="shared" si="265"/>
        <v>73</v>
      </c>
      <c r="O2208" s="294" t="s">
        <v>695</v>
      </c>
      <c r="P2208" s="404"/>
      <c r="Q2208" s="404"/>
      <c r="R2208" s="301"/>
      <c r="S2208" s="301"/>
      <c r="T2208" s="301"/>
      <c r="U2208" s="301"/>
      <c r="V2208" s="301"/>
    </row>
    <row r="2209" spans="1:22" ht="14.4" thickTop="1" thickBot="1" x14ac:dyDescent="0.3">
      <c r="A2209" s="292"/>
      <c r="B2209" s="293"/>
      <c r="C2209" s="294"/>
      <c r="D2209" s="294"/>
      <c r="E2209" s="294"/>
      <c r="F2209" s="310"/>
      <c r="G2209" s="310"/>
      <c r="H2209" s="310"/>
      <c r="I2209" s="295"/>
      <c r="J2209" s="295">
        <f>J2208*10.76</f>
        <v>709.08830399999988</v>
      </c>
      <c r="K2209" s="300">
        <f t="shared" si="266"/>
        <v>1.1000000000000001</v>
      </c>
      <c r="L2209" s="300">
        <f t="shared" si="261"/>
        <v>779.99713439999994</v>
      </c>
      <c r="M2209" s="285">
        <f t="shared" si="264"/>
        <v>780</v>
      </c>
      <c r="N2209" s="1076">
        <f t="shared" si="265"/>
        <v>780</v>
      </c>
      <c r="O2209" s="294" t="s">
        <v>1846</v>
      </c>
      <c r="P2209" s="404"/>
      <c r="Q2209" s="404"/>
      <c r="R2209" s="301"/>
      <c r="S2209" s="301"/>
      <c r="T2209" s="301"/>
      <c r="U2209" s="301"/>
      <c r="V2209" s="301"/>
    </row>
    <row r="2210" spans="1:22" ht="14.4" thickTop="1" thickBot="1" x14ac:dyDescent="0.3">
      <c r="A2210" s="292"/>
      <c r="B2210" s="293"/>
      <c r="C2210" s="294"/>
      <c r="D2210" s="294"/>
      <c r="E2210" s="294"/>
      <c r="F2210" s="310"/>
      <c r="G2210" s="310"/>
      <c r="H2210" s="310"/>
      <c r="I2210" s="295"/>
      <c r="J2210" s="295">
        <f>J2209/100</f>
        <v>7.0908830399999987</v>
      </c>
      <c r="K2210" s="300">
        <v>1.1000000000000001</v>
      </c>
      <c r="L2210" s="300">
        <f t="shared" si="261"/>
        <v>7.7999713439999994</v>
      </c>
      <c r="M2210" s="285">
        <f t="shared" si="264"/>
        <v>7.8</v>
      </c>
      <c r="N2210" s="1076">
        <f t="shared" si="265"/>
        <v>8</v>
      </c>
      <c r="O2210" s="294" t="s">
        <v>879</v>
      </c>
      <c r="P2210" s="404"/>
      <c r="Q2210" s="404"/>
      <c r="R2210" s="301"/>
      <c r="S2210" s="301"/>
      <c r="T2210" s="301"/>
      <c r="U2210" s="301"/>
      <c r="V2210" s="301"/>
    </row>
    <row r="2211" spans="1:22" ht="14.4" thickTop="1" thickBot="1" x14ac:dyDescent="0.3">
      <c r="A2211" s="292"/>
      <c r="B2211" s="293"/>
      <c r="C2211" s="294"/>
      <c r="D2211" s="294"/>
      <c r="E2211" s="294"/>
      <c r="F2211" s="310"/>
      <c r="G2211" s="310"/>
      <c r="H2211" s="310"/>
      <c r="I2211" s="295"/>
      <c r="J2211" s="295"/>
      <c r="K2211" s="300">
        <f t="shared" si="266"/>
        <v>1.1000000000000001</v>
      </c>
      <c r="L2211" s="300">
        <f t="shared" si="261"/>
        <v>0</v>
      </c>
      <c r="M2211" s="285">
        <f t="shared" si="264"/>
        <v>0</v>
      </c>
      <c r="N2211" s="1076">
        <f t="shared" si="265"/>
        <v>0</v>
      </c>
      <c r="O2211" s="294"/>
      <c r="P2211" s="404"/>
      <c r="Q2211" s="404"/>
      <c r="R2211" s="301"/>
      <c r="S2211" s="301"/>
      <c r="T2211" s="301"/>
      <c r="U2211" s="301"/>
      <c r="V2211" s="301"/>
    </row>
    <row r="2212" spans="1:22" ht="14.4" thickTop="1" thickBot="1" x14ac:dyDescent="0.3">
      <c r="A2212" s="292"/>
      <c r="B2212" s="296" t="s">
        <v>1924</v>
      </c>
      <c r="C2212" s="294"/>
      <c r="D2212" s="294"/>
      <c r="E2212" s="294"/>
      <c r="F2212" s="310"/>
      <c r="G2212" s="310"/>
      <c r="H2212" s="310"/>
      <c r="I2212" s="295"/>
      <c r="J2212" s="295"/>
      <c r="K2212" s="300">
        <f t="shared" si="266"/>
        <v>1.1000000000000001</v>
      </c>
      <c r="L2212" s="300">
        <f t="shared" si="261"/>
        <v>0</v>
      </c>
      <c r="M2212" s="285">
        <f t="shared" si="264"/>
        <v>0</v>
      </c>
      <c r="N2212" s="1076">
        <f t="shared" si="265"/>
        <v>0</v>
      </c>
      <c r="O2212" s="294"/>
      <c r="P2212" s="404"/>
      <c r="Q2212" s="404"/>
      <c r="R2212" s="301"/>
      <c r="S2212" s="301"/>
      <c r="T2212" s="301"/>
      <c r="U2212" s="301"/>
      <c r="V2212" s="301"/>
    </row>
    <row r="2213" spans="1:22" ht="14.4" thickTop="1" thickBot="1" x14ac:dyDescent="0.3">
      <c r="A2213" s="292"/>
      <c r="B2213" s="296" t="s">
        <v>1920</v>
      </c>
      <c r="C2213" s="294"/>
      <c r="D2213" s="294"/>
      <c r="E2213" s="294">
        <v>2</v>
      </c>
      <c r="F2213" s="310">
        <v>2.2130000000000001</v>
      </c>
      <c r="G2213" s="310"/>
      <c r="H2213" s="310">
        <v>2.4</v>
      </c>
      <c r="I2213" s="295">
        <f t="shared" ref="I2213:I2214" si="268">H2213*F2213*E2213</f>
        <v>10.622400000000001</v>
      </c>
      <c r="J2213" s="295"/>
      <c r="K2213" s="300">
        <f t="shared" si="266"/>
        <v>1.1000000000000001</v>
      </c>
      <c r="L2213" s="300">
        <f t="shared" si="261"/>
        <v>0</v>
      </c>
      <c r="M2213" s="285">
        <f t="shared" si="264"/>
        <v>0</v>
      </c>
      <c r="N2213" s="1076">
        <f t="shared" si="265"/>
        <v>0</v>
      </c>
      <c r="O2213" s="294"/>
      <c r="P2213" s="404"/>
      <c r="Q2213" s="404"/>
      <c r="R2213" s="301"/>
      <c r="S2213" s="301"/>
      <c r="T2213" s="301"/>
      <c r="U2213" s="301"/>
      <c r="V2213" s="301"/>
    </row>
    <row r="2214" spans="1:22" ht="14.4" thickTop="1" thickBot="1" x14ac:dyDescent="0.3">
      <c r="A2214" s="292"/>
      <c r="B2214" s="293"/>
      <c r="C2214" s="294"/>
      <c r="D2214" s="294"/>
      <c r="E2214" s="294">
        <v>2</v>
      </c>
      <c r="F2214" s="310">
        <v>6.08</v>
      </c>
      <c r="G2214" s="310"/>
      <c r="H2214" s="310">
        <v>2.4</v>
      </c>
      <c r="I2214" s="295">
        <f t="shared" si="268"/>
        <v>29.183999999999997</v>
      </c>
      <c r="J2214" s="295"/>
      <c r="K2214" s="300">
        <f t="shared" si="266"/>
        <v>1.1000000000000001</v>
      </c>
      <c r="L2214" s="300">
        <f t="shared" si="261"/>
        <v>0</v>
      </c>
      <c r="M2214" s="285">
        <f t="shared" si="264"/>
        <v>0</v>
      </c>
      <c r="N2214" s="1076">
        <f t="shared" si="265"/>
        <v>0</v>
      </c>
      <c r="O2214" s="294"/>
      <c r="P2214" s="404"/>
      <c r="Q2214" s="404"/>
      <c r="R2214" s="301"/>
      <c r="S2214" s="301"/>
      <c r="T2214" s="301"/>
      <c r="U2214" s="301"/>
      <c r="V2214" s="301"/>
    </row>
    <row r="2215" spans="1:22" ht="14.4" thickTop="1" thickBot="1" x14ac:dyDescent="0.3">
      <c r="A2215" s="292"/>
      <c r="B2215" s="296" t="s">
        <v>770</v>
      </c>
      <c r="C2215" s="294"/>
      <c r="D2215" s="294"/>
      <c r="E2215" s="294">
        <v>1</v>
      </c>
      <c r="F2215" s="310">
        <v>0.9</v>
      </c>
      <c r="G2215" s="310"/>
      <c r="H2215" s="310">
        <v>2.7</v>
      </c>
      <c r="I2215" s="295">
        <f>-H2215*F2215*E2215</f>
        <v>-2.4300000000000002</v>
      </c>
      <c r="J2215" s="295"/>
      <c r="K2215" s="300">
        <f t="shared" si="266"/>
        <v>1.1000000000000001</v>
      </c>
      <c r="L2215" s="300">
        <f t="shared" si="261"/>
        <v>0</v>
      </c>
      <c r="M2215" s="285">
        <f t="shared" si="264"/>
        <v>0</v>
      </c>
      <c r="N2215" s="1076">
        <f t="shared" si="265"/>
        <v>0</v>
      </c>
      <c r="O2215" s="294"/>
      <c r="P2215" s="404"/>
      <c r="Q2215" s="404"/>
      <c r="R2215" s="301"/>
      <c r="S2215" s="301"/>
      <c r="T2215" s="301"/>
      <c r="U2215" s="301"/>
      <c r="V2215" s="301"/>
    </row>
    <row r="2216" spans="1:22" ht="14.4" thickTop="1" thickBot="1" x14ac:dyDescent="0.3">
      <c r="A2216" s="292"/>
      <c r="B2216" s="296" t="s">
        <v>1873</v>
      </c>
      <c r="C2216" s="294"/>
      <c r="D2216" s="294"/>
      <c r="E2216" s="294">
        <v>2</v>
      </c>
      <c r="F2216" s="310">
        <v>2.2130000000000001</v>
      </c>
      <c r="G2216" s="310"/>
      <c r="H2216" s="310">
        <v>2.4</v>
      </c>
      <c r="I2216" s="295">
        <f t="shared" ref="I2216:I2217" si="269">H2216*F2216*E2216</f>
        <v>10.622400000000001</v>
      </c>
      <c r="J2216" s="295"/>
      <c r="K2216" s="300">
        <f t="shared" si="266"/>
        <v>1.1000000000000001</v>
      </c>
      <c r="L2216" s="300">
        <f t="shared" si="261"/>
        <v>0</v>
      </c>
      <c r="M2216" s="285">
        <f t="shared" si="264"/>
        <v>0</v>
      </c>
      <c r="N2216" s="1076">
        <f t="shared" si="265"/>
        <v>0</v>
      </c>
      <c r="O2216" s="294"/>
      <c r="P2216" s="404"/>
      <c r="Q2216" s="404"/>
      <c r="R2216" s="301"/>
      <c r="S2216" s="301"/>
      <c r="T2216" s="301"/>
      <c r="U2216" s="301"/>
      <c r="V2216" s="301"/>
    </row>
    <row r="2217" spans="1:22" ht="14.4" thickTop="1" thickBot="1" x14ac:dyDescent="0.3">
      <c r="A2217" s="292"/>
      <c r="B2217" s="293"/>
      <c r="C2217" s="294"/>
      <c r="D2217" s="294"/>
      <c r="E2217" s="294">
        <v>2</v>
      </c>
      <c r="F2217" s="310">
        <v>6.08</v>
      </c>
      <c r="G2217" s="310"/>
      <c r="H2217" s="310">
        <v>2.4</v>
      </c>
      <c r="I2217" s="295">
        <f t="shared" si="269"/>
        <v>29.183999999999997</v>
      </c>
      <c r="J2217" s="295"/>
      <c r="K2217" s="300">
        <f t="shared" si="266"/>
        <v>1.1000000000000001</v>
      </c>
      <c r="L2217" s="300">
        <f t="shared" si="261"/>
        <v>0</v>
      </c>
      <c r="M2217" s="285">
        <f t="shared" si="264"/>
        <v>0</v>
      </c>
      <c r="N2217" s="1076">
        <f t="shared" si="265"/>
        <v>0</v>
      </c>
      <c r="O2217" s="294"/>
      <c r="P2217" s="404"/>
      <c r="Q2217" s="404"/>
      <c r="R2217" s="301"/>
      <c r="S2217" s="301"/>
      <c r="T2217" s="301"/>
      <c r="U2217" s="301"/>
      <c r="V2217" s="301"/>
    </row>
    <row r="2218" spans="1:22" ht="14.4" thickTop="1" thickBot="1" x14ac:dyDescent="0.3">
      <c r="A2218" s="292"/>
      <c r="B2218" s="296" t="s">
        <v>770</v>
      </c>
      <c r="C2218" s="294"/>
      <c r="D2218" s="294"/>
      <c r="E2218" s="294">
        <v>1</v>
      </c>
      <c r="F2218" s="310">
        <v>0.9</v>
      </c>
      <c r="G2218" s="310"/>
      <c r="H2218" s="310">
        <v>2.7</v>
      </c>
      <c r="I2218" s="295">
        <f>-H2218*F2218*E2218</f>
        <v>-2.4300000000000002</v>
      </c>
      <c r="J2218" s="295"/>
      <c r="K2218" s="300">
        <f t="shared" si="266"/>
        <v>1.1000000000000001</v>
      </c>
      <c r="L2218" s="300">
        <f t="shared" si="261"/>
        <v>0</v>
      </c>
      <c r="M2218" s="285">
        <f t="shared" si="264"/>
        <v>0</v>
      </c>
      <c r="N2218" s="1076">
        <f t="shared" si="265"/>
        <v>0</v>
      </c>
      <c r="O2218" s="294"/>
      <c r="P2218" s="404"/>
      <c r="Q2218" s="404"/>
      <c r="R2218" s="301"/>
      <c r="S2218" s="301"/>
      <c r="T2218" s="301"/>
      <c r="U2218" s="301"/>
      <c r="V2218" s="301"/>
    </row>
    <row r="2219" spans="1:22" ht="14.4" thickTop="1" thickBot="1" x14ac:dyDescent="0.3">
      <c r="A2219" s="292"/>
      <c r="B2219" s="293"/>
      <c r="C2219" s="294"/>
      <c r="D2219" s="294"/>
      <c r="E2219" s="294"/>
      <c r="F2219" s="310"/>
      <c r="G2219" s="310"/>
      <c r="H2219" s="310"/>
      <c r="I2219" s="295"/>
      <c r="J2219" s="295">
        <f>SUM(I2211:I2218)</f>
        <v>74.752799999999979</v>
      </c>
      <c r="K2219" s="300">
        <f t="shared" si="266"/>
        <v>1.1000000000000001</v>
      </c>
      <c r="L2219" s="300">
        <f t="shared" si="261"/>
        <v>82.228079999999977</v>
      </c>
      <c r="M2219" s="285">
        <f t="shared" si="264"/>
        <v>82.2</v>
      </c>
      <c r="N2219" s="1076">
        <f t="shared" si="265"/>
        <v>83</v>
      </c>
      <c r="O2219" s="294" t="s">
        <v>695</v>
      </c>
      <c r="P2219" s="404"/>
      <c r="Q2219" s="404"/>
      <c r="R2219" s="301"/>
      <c r="S2219" s="301"/>
      <c r="T2219" s="301"/>
      <c r="U2219" s="301"/>
      <c r="V2219" s="301"/>
    </row>
    <row r="2220" spans="1:22" ht="14.4" thickTop="1" thickBot="1" x14ac:dyDescent="0.3">
      <c r="A2220" s="292"/>
      <c r="B2220" s="293"/>
      <c r="C2220" s="294"/>
      <c r="D2220" s="294"/>
      <c r="E2220" s="294"/>
      <c r="F2220" s="310"/>
      <c r="G2220" s="310"/>
      <c r="H2220" s="310"/>
      <c r="I2220" s="295"/>
      <c r="J2220" s="295">
        <f>J2219*10.76</f>
        <v>804.34012799999971</v>
      </c>
      <c r="K2220" s="300">
        <f t="shared" si="266"/>
        <v>1.1000000000000001</v>
      </c>
      <c r="L2220" s="300">
        <f t="shared" si="261"/>
        <v>884.77414079999971</v>
      </c>
      <c r="M2220" s="285">
        <f t="shared" si="264"/>
        <v>884.8</v>
      </c>
      <c r="N2220" s="1076">
        <f t="shared" si="265"/>
        <v>885</v>
      </c>
      <c r="O2220" s="294" t="s">
        <v>1846</v>
      </c>
      <c r="P2220" s="404"/>
      <c r="Q2220" s="404"/>
      <c r="R2220" s="301"/>
      <c r="S2220" s="301"/>
      <c r="T2220" s="301"/>
      <c r="U2220" s="301"/>
      <c r="V2220" s="301"/>
    </row>
    <row r="2221" spans="1:22" ht="14.4" thickTop="1" thickBot="1" x14ac:dyDescent="0.3">
      <c r="A2221" s="292"/>
      <c r="B2221" s="293"/>
      <c r="C2221" s="294"/>
      <c r="D2221" s="294"/>
      <c r="E2221" s="294"/>
      <c r="F2221" s="310"/>
      <c r="G2221" s="310"/>
      <c r="H2221" s="310"/>
      <c r="I2221" s="295"/>
      <c r="J2221" s="295">
        <f>J2220/100</f>
        <v>8.0434012799999977</v>
      </c>
      <c r="K2221" s="300">
        <v>1.1000000000000001</v>
      </c>
      <c r="L2221" s="300">
        <f t="shared" si="261"/>
        <v>8.8477414079999974</v>
      </c>
      <c r="M2221" s="285">
        <f t="shared" si="264"/>
        <v>8.8000000000000007</v>
      </c>
      <c r="N2221" s="1076">
        <f t="shared" si="265"/>
        <v>9</v>
      </c>
      <c r="O2221" s="294" t="s">
        <v>879</v>
      </c>
      <c r="P2221" s="404"/>
      <c r="Q2221" s="404"/>
      <c r="R2221" s="301"/>
      <c r="S2221" s="301"/>
      <c r="T2221" s="301"/>
      <c r="U2221" s="301"/>
      <c r="V2221" s="301"/>
    </row>
    <row r="2222" spans="1:22" ht="14.4" thickTop="1" thickBot="1" x14ac:dyDescent="0.3">
      <c r="A2222" s="292"/>
      <c r="B2222" s="293"/>
      <c r="C2222" s="294"/>
      <c r="D2222" s="294"/>
      <c r="E2222" s="294"/>
      <c r="F2222" s="310"/>
      <c r="G2222" s="310"/>
      <c r="H2222" s="310"/>
      <c r="I2222" s="295"/>
      <c r="J2222" s="295"/>
      <c r="K2222" s="300">
        <f t="shared" si="266"/>
        <v>1.1000000000000001</v>
      </c>
      <c r="L2222" s="300">
        <f t="shared" si="261"/>
        <v>0</v>
      </c>
      <c r="M2222" s="285">
        <f t="shared" si="264"/>
        <v>0</v>
      </c>
      <c r="N2222" s="1076">
        <f t="shared" si="265"/>
        <v>0</v>
      </c>
      <c r="O2222" s="294"/>
      <c r="P2222" s="404"/>
      <c r="Q2222" s="404"/>
      <c r="R2222" s="301"/>
      <c r="S2222" s="301"/>
      <c r="T2222" s="301"/>
      <c r="U2222" s="301"/>
      <c r="V2222" s="301"/>
    </row>
    <row r="2223" spans="1:22" ht="14.4" thickTop="1" thickBot="1" x14ac:dyDescent="0.3">
      <c r="A2223" s="292"/>
      <c r="B2223" s="296" t="s">
        <v>235</v>
      </c>
      <c r="C2223" s="294"/>
      <c r="D2223" s="294"/>
      <c r="E2223" s="294"/>
      <c r="F2223" s="310"/>
      <c r="G2223" s="310"/>
      <c r="H2223" s="310"/>
      <c r="I2223" s="295"/>
      <c r="J2223" s="295"/>
      <c r="K2223" s="300">
        <f t="shared" si="266"/>
        <v>1.1000000000000001</v>
      </c>
      <c r="L2223" s="300">
        <f t="shared" si="261"/>
        <v>0</v>
      </c>
      <c r="M2223" s="285">
        <f t="shared" si="264"/>
        <v>0</v>
      </c>
      <c r="N2223" s="1076">
        <f t="shared" si="265"/>
        <v>0</v>
      </c>
      <c r="O2223" s="294"/>
      <c r="P2223" s="404"/>
      <c r="Q2223" s="404"/>
      <c r="R2223" s="301"/>
      <c r="S2223" s="301"/>
      <c r="T2223" s="301"/>
      <c r="U2223" s="301"/>
      <c r="V2223" s="301"/>
    </row>
    <row r="2224" spans="1:22" ht="14.4" thickTop="1" thickBot="1" x14ac:dyDescent="0.3">
      <c r="A2224" s="292"/>
      <c r="B2224" s="296" t="s">
        <v>1925</v>
      </c>
      <c r="C2224" s="294"/>
      <c r="D2224" s="294"/>
      <c r="E2224" s="294"/>
      <c r="F2224" s="310"/>
      <c r="G2224" s="310"/>
      <c r="H2224" s="310"/>
      <c r="I2224" s="295"/>
      <c r="J2224" s="295"/>
      <c r="K2224" s="300">
        <f t="shared" si="266"/>
        <v>1.1000000000000001</v>
      </c>
      <c r="L2224" s="300">
        <f t="shared" si="261"/>
        <v>0</v>
      </c>
      <c r="M2224" s="285">
        <f t="shared" si="264"/>
        <v>0</v>
      </c>
      <c r="N2224" s="1076">
        <f t="shared" si="265"/>
        <v>0</v>
      </c>
      <c r="O2224" s="294"/>
      <c r="P2224" s="404"/>
      <c r="Q2224" s="404"/>
      <c r="R2224" s="301"/>
      <c r="S2224" s="301"/>
      <c r="T2224" s="301"/>
      <c r="U2224" s="301"/>
      <c r="V2224" s="301"/>
    </row>
    <row r="2225" spans="1:22" ht="14.4" thickTop="1" thickBot="1" x14ac:dyDescent="0.3">
      <c r="A2225" s="292"/>
      <c r="B2225" s="296" t="s">
        <v>1926</v>
      </c>
      <c r="C2225" s="294"/>
      <c r="D2225" s="294"/>
      <c r="E2225" s="294"/>
      <c r="F2225" s="310"/>
      <c r="G2225" s="310"/>
      <c r="H2225" s="310"/>
      <c r="I2225" s="295"/>
      <c r="J2225" s="295"/>
      <c r="K2225" s="300">
        <f t="shared" si="266"/>
        <v>1.1000000000000001</v>
      </c>
      <c r="L2225" s="300">
        <f t="shared" si="261"/>
        <v>0</v>
      </c>
      <c r="M2225" s="285">
        <f t="shared" si="264"/>
        <v>0</v>
      </c>
      <c r="N2225" s="1076">
        <f t="shared" si="265"/>
        <v>0</v>
      </c>
      <c r="O2225" s="294"/>
      <c r="P2225" s="404"/>
      <c r="Q2225" s="404"/>
      <c r="R2225" s="301"/>
      <c r="S2225" s="301"/>
      <c r="T2225" s="301"/>
      <c r="U2225" s="301"/>
      <c r="V2225" s="301"/>
    </row>
    <row r="2226" spans="1:22" ht="14.4" thickTop="1" thickBot="1" x14ac:dyDescent="0.3">
      <c r="A2226" s="292"/>
      <c r="B2226" s="296" t="s">
        <v>2417</v>
      </c>
      <c r="C2226" s="294"/>
      <c r="D2226" s="294"/>
      <c r="E2226" s="294"/>
      <c r="F2226" s="310"/>
      <c r="G2226" s="310"/>
      <c r="H2226" s="310"/>
      <c r="I2226" s="295">
        <v>15.5</v>
      </c>
      <c r="J2226" s="295"/>
      <c r="K2226" s="300">
        <f t="shared" si="266"/>
        <v>1.1000000000000001</v>
      </c>
      <c r="L2226" s="300">
        <f t="shared" si="261"/>
        <v>0</v>
      </c>
      <c r="M2226" s="285">
        <f t="shared" si="264"/>
        <v>0</v>
      </c>
      <c r="N2226" s="1076">
        <f t="shared" si="265"/>
        <v>0</v>
      </c>
      <c r="O2226" s="294"/>
      <c r="P2226" s="404"/>
      <c r="Q2226" s="404"/>
      <c r="R2226" s="301"/>
      <c r="S2226" s="301"/>
      <c r="T2226" s="301"/>
      <c r="U2226" s="301"/>
      <c r="V2226" s="301"/>
    </row>
    <row r="2227" spans="1:22" ht="14.4" thickTop="1" thickBot="1" x14ac:dyDescent="0.3">
      <c r="A2227" s="292"/>
      <c r="B2227" s="296" t="s">
        <v>2418</v>
      </c>
      <c r="C2227" s="294"/>
      <c r="D2227" s="294"/>
      <c r="E2227" s="294"/>
      <c r="F2227" s="310"/>
      <c r="G2227" s="310"/>
      <c r="H2227" s="310"/>
      <c r="I2227" s="295">
        <v>15.5</v>
      </c>
      <c r="J2227" s="295"/>
      <c r="K2227" s="300">
        <f t="shared" si="266"/>
        <v>1.1000000000000001</v>
      </c>
      <c r="L2227" s="300">
        <f t="shared" si="261"/>
        <v>0</v>
      </c>
      <c r="M2227" s="285">
        <f t="shared" si="264"/>
        <v>0</v>
      </c>
      <c r="N2227" s="1076">
        <f t="shared" si="265"/>
        <v>0</v>
      </c>
      <c r="O2227" s="294"/>
      <c r="P2227" s="404"/>
      <c r="Q2227" s="404"/>
      <c r="R2227" s="301"/>
      <c r="S2227" s="301"/>
      <c r="T2227" s="301"/>
      <c r="U2227" s="301"/>
      <c r="V2227" s="301"/>
    </row>
    <row r="2228" spans="1:22" ht="14.4" thickTop="1" thickBot="1" x14ac:dyDescent="0.3">
      <c r="A2228" s="292"/>
      <c r="B2228" s="296" t="s">
        <v>1927</v>
      </c>
      <c r="C2228" s="294"/>
      <c r="D2228" s="294"/>
      <c r="E2228" s="294"/>
      <c r="F2228" s="310"/>
      <c r="G2228" s="310"/>
      <c r="H2228" s="310"/>
      <c r="I2228" s="295">
        <v>6.15</v>
      </c>
      <c r="J2228" s="295"/>
      <c r="K2228" s="300">
        <f t="shared" si="266"/>
        <v>1.1000000000000001</v>
      </c>
      <c r="L2228" s="300">
        <f t="shared" si="261"/>
        <v>0</v>
      </c>
      <c r="M2228" s="285">
        <f t="shared" si="264"/>
        <v>0</v>
      </c>
      <c r="N2228" s="1076">
        <f t="shared" si="265"/>
        <v>0</v>
      </c>
      <c r="O2228" s="294"/>
      <c r="P2228" s="404"/>
      <c r="Q2228" s="404"/>
      <c r="R2228" s="301"/>
      <c r="S2228" s="301"/>
      <c r="T2228" s="301"/>
      <c r="U2228" s="301"/>
      <c r="V2228" s="301"/>
    </row>
    <row r="2229" spans="1:22" ht="14.4" thickTop="1" thickBot="1" x14ac:dyDescent="0.3">
      <c r="A2229" s="292"/>
      <c r="B2229" s="296" t="s">
        <v>1928</v>
      </c>
      <c r="C2229" s="294"/>
      <c r="D2229" s="294"/>
      <c r="E2229" s="294"/>
      <c r="F2229" s="310"/>
      <c r="G2229" s="310"/>
      <c r="H2229" s="310"/>
      <c r="I2229" s="295">
        <v>6.7249999999999996</v>
      </c>
      <c r="J2229" s="295"/>
      <c r="K2229" s="300">
        <f t="shared" si="266"/>
        <v>1.1000000000000001</v>
      </c>
      <c r="L2229" s="300">
        <f t="shared" si="261"/>
        <v>0</v>
      </c>
      <c r="M2229" s="285">
        <f t="shared" si="264"/>
        <v>0</v>
      </c>
      <c r="N2229" s="1076">
        <f t="shared" si="265"/>
        <v>0</v>
      </c>
      <c r="O2229" s="294"/>
      <c r="P2229" s="404"/>
      <c r="Q2229" s="404"/>
      <c r="R2229" s="301"/>
      <c r="S2229" s="301"/>
      <c r="T2229" s="301"/>
      <c r="U2229" s="301"/>
      <c r="V2229" s="301"/>
    </row>
    <row r="2230" spans="1:22" ht="14.4" thickTop="1" thickBot="1" x14ac:dyDescent="0.3">
      <c r="A2230" s="292"/>
      <c r="B2230" s="296" t="s">
        <v>2419</v>
      </c>
      <c r="C2230" s="294"/>
      <c r="D2230" s="294"/>
      <c r="E2230" s="294"/>
      <c r="F2230" s="310"/>
      <c r="G2230" s="310"/>
      <c r="H2230" s="310"/>
      <c r="I2230" s="295">
        <v>14</v>
      </c>
      <c r="J2230" s="295"/>
      <c r="K2230" s="300">
        <f t="shared" si="266"/>
        <v>1.1000000000000001</v>
      </c>
      <c r="L2230" s="300">
        <f t="shared" si="261"/>
        <v>0</v>
      </c>
      <c r="M2230" s="285">
        <f t="shared" si="264"/>
        <v>0</v>
      </c>
      <c r="N2230" s="1076">
        <f t="shared" si="265"/>
        <v>0</v>
      </c>
      <c r="O2230" s="294"/>
      <c r="P2230" s="404"/>
      <c r="Q2230" s="404"/>
      <c r="R2230" s="301"/>
      <c r="S2230" s="301"/>
      <c r="T2230" s="301"/>
      <c r="U2230" s="301"/>
      <c r="V2230" s="301"/>
    </row>
    <row r="2231" spans="1:22" ht="14.4" thickTop="1" thickBot="1" x14ac:dyDescent="0.3">
      <c r="A2231" s="292"/>
      <c r="B2231" s="296" t="s">
        <v>1922</v>
      </c>
      <c r="C2231" s="294"/>
      <c r="D2231" s="294"/>
      <c r="E2231" s="294"/>
      <c r="F2231" s="310"/>
      <c r="G2231" s="310"/>
      <c r="H2231" s="310"/>
      <c r="I2231" s="295">
        <v>16</v>
      </c>
      <c r="J2231" s="295"/>
      <c r="K2231" s="300">
        <f t="shared" si="266"/>
        <v>1.1000000000000001</v>
      </c>
      <c r="L2231" s="300">
        <f t="shared" si="261"/>
        <v>0</v>
      </c>
      <c r="M2231" s="285">
        <f t="shared" si="264"/>
        <v>0</v>
      </c>
      <c r="N2231" s="1076">
        <f t="shared" si="265"/>
        <v>0</v>
      </c>
      <c r="O2231" s="294"/>
      <c r="P2231" s="404"/>
      <c r="Q2231" s="404"/>
      <c r="R2231" s="301"/>
      <c r="S2231" s="301"/>
      <c r="T2231" s="301"/>
      <c r="U2231" s="301"/>
      <c r="V2231" s="301"/>
    </row>
    <row r="2232" spans="1:22" ht="14.4" thickTop="1" thickBot="1" x14ac:dyDescent="0.3">
      <c r="A2232" s="292"/>
      <c r="B2232" s="296" t="s">
        <v>1896</v>
      </c>
      <c r="C2232" s="294"/>
      <c r="D2232" s="294"/>
      <c r="E2232" s="294"/>
      <c r="F2232" s="310"/>
      <c r="G2232" s="310"/>
      <c r="H2232" s="310"/>
      <c r="I2232" s="295">
        <v>28</v>
      </c>
      <c r="J2232" s="295"/>
      <c r="K2232" s="300"/>
      <c r="L2232" s="300"/>
      <c r="M2232" s="285"/>
      <c r="N2232" s="1076"/>
      <c r="O2232" s="294"/>
      <c r="P2232" s="404"/>
      <c r="Q2232" s="404"/>
      <c r="R2232" s="301"/>
      <c r="S2232" s="301"/>
      <c r="T2232" s="301"/>
      <c r="U2232" s="301"/>
      <c r="V2232" s="301"/>
    </row>
    <row r="2233" spans="1:22" ht="14.4" thickTop="1" thickBot="1" x14ac:dyDescent="0.3">
      <c r="A2233" s="292"/>
      <c r="B2233" s="296"/>
      <c r="C2233" s="294"/>
      <c r="D2233" s="294"/>
      <c r="E2233" s="294"/>
      <c r="F2233" s="310"/>
      <c r="G2233" s="310"/>
      <c r="H2233" s="310"/>
      <c r="I2233" s="295"/>
      <c r="J2233" s="295"/>
      <c r="K2233" s="300"/>
      <c r="L2233" s="300"/>
      <c r="M2233" s="285"/>
      <c r="N2233" s="1076"/>
      <c r="O2233" s="294"/>
      <c r="P2233" s="404"/>
      <c r="Q2233" s="404"/>
      <c r="R2233" s="301"/>
      <c r="S2233" s="301"/>
      <c r="T2233" s="301"/>
      <c r="U2233" s="301"/>
      <c r="V2233" s="301"/>
    </row>
    <row r="2234" spans="1:22" ht="14.4" thickTop="1" thickBot="1" x14ac:dyDescent="0.3">
      <c r="A2234" s="292"/>
      <c r="B2234" s="293"/>
      <c r="C2234" s="294"/>
      <c r="D2234" s="294"/>
      <c r="E2234" s="294"/>
      <c r="F2234" s="310"/>
      <c r="G2234" s="310"/>
      <c r="H2234" s="310"/>
      <c r="I2234" s="295"/>
      <c r="J2234" s="295">
        <f>SUM(I2224:I2233)</f>
        <v>101.875</v>
      </c>
      <c r="K2234" s="300">
        <f t="shared" si="266"/>
        <v>1.1000000000000001</v>
      </c>
      <c r="L2234" s="300">
        <f t="shared" si="261"/>
        <v>112.06250000000001</v>
      </c>
      <c r="M2234" s="285">
        <f t="shared" ref="M2234:M2236" si="270">ROUND(L2234,1)</f>
        <v>112.1</v>
      </c>
      <c r="N2234" s="1076">
        <f t="shared" ref="N2234:N2236" si="271">ROUNDUP(M2234,0)</f>
        <v>113</v>
      </c>
      <c r="O2234" s="294" t="s">
        <v>695</v>
      </c>
      <c r="P2234" s="404"/>
      <c r="Q2234" s="404"/>
      <c r="R2234" s="301"/>
      <c r="S2234" s="301"/>
      <c r="T2234" s="301"/>
      <c r="U2234" s="301"/>
      <c r="V2234" s="301"/>
    </row>
    <row r="2235" spans="1:22" ht="14.4" thickTop="1" thickBot="1" x14ac:dyDescent="0.3">
      <c r="A2235" s="292"/>
      <c r="B2235" s="293"/>
      <c r="C2235" s="294"/>
      <c r="D2235" s="294"/>
      <c r="E2235" s="294"/>
      <c r="F2235" s="310"/>
      <c r="G2235" s="310"/>
      <c r="H2235" s="310"/>
      <c r="I2235" s="295"/>
      <c r="J2235" s="295">
        <f>J2234*10.76</f>
        <v>1096.175</v>
      </c>
      <c r="K2235" s="300">
        <f t="shared" si="266"/>
        <v>1.1000000000000001</v>
      </c>
      <c r="L2235" s="300">
        <f t="shared" si="261"/>
        <v>1205.7925</v>
      </c>
      <c r="M2235" s="285">
        <f t="shared" si="270"/>
        <v>1205.8</v>
      </c>
      <c r="N2235" s="1076">
        <f t="shared" si="271"/>
        <v>1206</v>
      </c>
      <c r="O2235" s="294" t="s">
        <v>1846</v>
      </c>
      <c r="P2235" s="404"/>
      <c r="Q2235" s="404"/>
      <c r="R2235" s="301"/>
      <c r="S2235" s="301"/>
      <c r="T2235" s="301"/>
      <c r="U2235" s="301"/>
      <c r="V2235" s="301"/>
    </row>
    <row r="2236" spans="1:22" ht="14.4" thickTop="1" thickBot="1" x14ac:dyDescent="0.3">
      <c r="A2236" s="292"/>
      <c r="B2236" s="293"/>
      <c r="C2236" s="294"/>
      <c r="D2236" s="294"/>
      <c r="E2236" s="294"/>
      <c r="F2236" s="310"/>
      <c r="G2236" s="310"/>
      <c r="H2236" s="310"/>
      <c r="I2236" s="295"/>
      <c r="J2236" s="295">
        <f>J2235/100</f>
        <v>10.96175</v>
      </c>
      <c r="K2236" s="300">
        <v>1.1000000000000001</v>
      </c>
      <c r="L2236" s="300">
        <f t="shared" si="261"/>
        <v>12.057925000000001</v>
      </c>
      <c r="M2236" s="285">
        <f t="shared" si="270"/>
        <v>12.1</v>
      </c>
      <c r="N2236" s="1076">
        <f t="shared" si="271"/>
        <v>13</v>
      </c>
      <c r="O2236" s="294" t="s">
        <v>879</v>
      </c>
      <c r="P2236" s="413">
        <f>N2236-J2236</f>
        <v>2.0382499999999997</v>
      </c>
      <c r="Q2236" s="404"/>
      <c r="R2236" s="301"/>
      <c r="S2236" s="301"/>
      <c r="T2236" s="301"/>
      <c r="U2236" s="301"/>
      <c r="V2236" s="301"/>
    </row>
    <row r="2237" spans="1:22" ht="14.4" thickTop="1" thickBot="1" x14ac:dyDescent="0.3">
      <c r="A2237" s="292"/>
      <c r="B2237" s="293"/>
      <c r="C2237" s="294"/>
      <c r="D2237" s="294"/>
      <c r="E2237" s="294"/>
      <c r="F2237" s="310"/>
      <c r="G2237" s="310"/>
      <c r="H2237" s="310"/>
      <c r="I2237" s="295"/>
      <c r="J2237" s="295"/>
      <c r="K2237" s="300">
        <f t="shared" si="266"/>
        <v>1.1000000000000001</v>
      </c>
      <c r="L2237" s="300">
        <f t="shared" si="261"/>
        <v>0</v>
      </c>
      <c r="M2237" s="285">
        <f t="shared" si="264"/>
        <v>0</v>
      </c>
      <c r="N2237" s="1076">
        <f t="shared" si="265"/>
        <v>0</v>
      </c>
      <c r="O2237" s="294"/>
      <c r="P2237" s="404"/>
      <c r="Q2237" s="404"/>
      <c r="R2237" s="301"/>
      <c r="S2237" s="301"/>
      <c r="T2237" s="301"/>
      <c r="U2237" s="301"/>
      <c r="V2237" s="301"/>
    </row>
    <row r="2238" spans="1:22" ht="14.4" thickTop="1" thickBot="1" x14ac:dyDescent="0.3">
      <c r="A2238" s="292"/>
      <c r="B2238" s="296" t="s">
        <v>1929</v>
      </c>
      <c r="C2238" s="294"/>
      <c r="D2238" s="294"/>
      <c r="E2238" s="294"/>
      <c r="F2238" s="310"/>
      <c r="G2238" s="310"/>
      <c r="H2238" s="310"/>
      <c r="I2238" s="295"/>
      <c r="J2238" s="295"/>
      <c r="K2238" s="300">
        <f t="shared" si="266"/>
        <v>1.1000000000000001</v>
      </c>
      <c r="L2238" s="300">
        <f t="shared" si="261"/>
        <v>0</v>
      </c>
      <c r="M2238" s="285">
        <f t="shared" si="264"/>
        <v>0</v>
      </c>
      <c r="N2238" s="1076">
        <f t="shared" si="265"/>
        <v>0</v>
      </c>
      <c r="O2238" s="294"/>
      <c r="P2238" s="404"/>
      <c r="Q2238" s="404"/>
      <c r="R2238" s="301"/>
      <c r="S2238" s="301"/>
      <c r="T2238" s="301"/>
      <c r="U2238" s="301"/>
      <c r="V2238" s="301"/>
    </row>
    <row r="2239" spans="1:22" ht="14.4" thickTop="1" thickBot="1" x14ac:dyDescent="0.3">
      <c r="A2239" s="292"/>
      <c r="B2239" s="296" t="s">
        <v>1926</v>
      </c>
      <c r="C2239" s="294"/>
      <c r="D2239" s="294"/>
      <c r="E2239" s="294"/>
      <c r="F2239" s="310"/>
      <c r="G2239" s="310"/>
      <c r="H2239" s="310"/>
      <c r="I2239" s="295">
        <v>1051.9000000000001</v>
      </c>
      <c r="J2239" s="295"/>
      <c r="K2239" s="300">
        <f t="shared" si="266"/>
        <v>1.1000000000000001</v>
      </c>
      <c r="L2239" s="300">
        <f t="shared" si="261"/>
        <v>0</v>
      </c>
      <c r="M2239" s="285">
        <f t="shared" si="264"/>
        <v>0</v>
      </c>
      <c r="N2239" s="1076">
        <f t="shared" si="265"/>
        <v>0</v>
      </c>
      <c r="O2239" s="294"/>
      <c r="P2239" s="404"/>
      <c r="Q2239" s="404"/>
      <c r="R2239" s="301"/>
      <c r="S2239" s="301"/>
      <c r="T2239" s="301"/>
      <c r="U2239" s="301"/>
      <c r="V2239" s="301"/>
    </row>
    <row r="2240" spans="1:22" ht="14.4" thickTop="1" thickBot="1" x14ac:dyDescent="0.3">
      <c r="A2240" s="292"/>
      <c r="B2240" s="296" t="s">
        <v>1930</v>
      </c>
      <c r="C2240" s="294"/>
      <c r="D2240" s="294"/>
      <c r="E2240" s="294"/>
      <c r="F2240" s="310"/>
      <c r="G2240" s="310"/>
      <c r="H2240" s="310"/>
      <c r="I2240" s="295">
        <v>-34.22</v>
      </c>
      <c r="J2240" s="295"/>
      <c r="K2240" s="300">
        <f t="shared" si="266"/>
        <v>1.1000000000000001</v>
      </c>
      <c r="L2240" s="300">
        <f t="shared" si="261"/>
        <v>0</v>
      </c>
      <c r="M2240" s="285">
        <f t="shared" si="264"/>
        <v>0</v>
      </c>
      <c r="N2240" s="1076">
        <f t="shared" si="265"/>
        <v>0</v>
      </c>
      <c r="O2240" s="294"/>
      <c r="P2240" s="404"/>
      <c r="Q2240" s="404"/>
      <c r="R2240" s="301"/>
      <c r="S2240" s="301"/>
      <c r="T2240" s="301"/>
      <c r="U2240" s="301"/>
      <c r="V2240" s="301"/>
    </row>
    <row r="2241" spans="1:22" ht="14.4" thickTop="1" thickBot="1" x14ac:dyDescent="0.3">
      <c r="A2241" s="292"/>
      <c r="B2241" s="296" t="s">
        <v>1931</v>
      </c>
      <c r="C2241" s="294"/>
      <c r="D2241" s="294"/>
      <c r="E2241" s="294"/>
      <c r="F2241" s="310"/>
      <c r="G2241" s="310"/>
      <c r="H2241" s="310"/>
      <c r="I2241" s="295">
        <v>-24.68</v>
      </c>
      <c r="J2241" s="295"/>
      <c r="K2241" s="300">
        <f t="shared" si="266"/>
        <v>1.1000000000000001</v>
      </c>
      <c r="L2241" s="300">
        <f t="shared" si="261"/>
        <v>0</v>
      </c>
      <c r="M2241" s="285">
        <f t="shared" si="264"/>
        <v>0</v>
      </c>
      <c r="N2241" s="1076">
        <f t="shared" si="265"/>
        <v>0</v>
      </c>
      <c r="O2241" s="294"/>
      <c r="P2241" s="404"/>
      <c r="Q2241" s="404"/>
      <c r="R2241" s="301"/>
      <c r="S2241" s="301"/>
      <c r="T2241" s="301"/>
      <c r="U2241" s="301"/>
      <c r="V2241" s="301"/>
    </row>
    <row r="2242" spans="1:22" ht="14.4" thickTop="1" thickBot="1" x14ac:dyDescent="0.3">
      <c r="A2242" s="292"/>
      <c r="B2242" s="296" t="s">
        <v>844</v>
      </c>
      <c r="C2242" s="294"/>
      <c r="D2242" s="294"/>
      <c r="E2242" s="294"/>
      <c r="F2242" s="310"/>
      <c r="G2242" s="310"/>
      <c r="H2242" s="310"/>
      <c r="I2242" s="295">
        <v>-23.4</v>
      </c>
      <c r="J2242" s="295"/>
      <c r="K2242" s="300">
        <f t="shared" si="266"/>
        <v>1.1000000000000001</v>
      </c>
      <c r="L2242" s="300">
        <f t="shared" si="261"/>
        <v>0</v>
      </c>
      <c r="M2242" s="285">
        <f t="shared" si="264"/>
        <v>0</v>
      </c>
      <c r="N2242" s="1076">
        <f t="shared" si="265"/>
        <v>0</v>
      </c>
      <c r="O2242" s="294"/>
      <c r="P2242" s="404"/>
      <c r="Q2242" s="404"/>
      <c r="R2242" s="301"/>
      <c r="S2242" s="301"/>
      <c r="T2242" s="301"/>
      <c r="U2242" s="301"/>
      <c r="V2242" s="301"/>
    </row>
    <row r="2243" spans="1:22" ht="14.4" thickTop="1" thickBot="1" x14ac:dyDescent="0.3">
      <c r="A2243" s="292"/>
      <c r="B2243" s="293"/>
      <c r="C2243" s="294"/>
      <c r="D2243" s="294"/>
      <c r="E2243" s="294"/>
      <c r="F2243" s="310"/>
      <c r="G2243" s="310"/>
      <c r="H2243" s="310"/>
      <c r="I2243" s="295"/>
      <c r="J2243" s="295">
        <f>SUM(I2239:I2242)</f>
        <v>969.60000000000014</v>
      </c>
      <c r="K2243" s="300">
        <f t="shared" si="266"/>
        <v>1.1000000000000001</v>
      </c>
      <c r="L2243" s="300">
        <f t="shared" si="261"/>
        <v>1066.5600000000002</v>
      </c>
      <c r="M2243" s="285">
        <f t="shared" si="264"/>
        <v>1066.5999999999999</v>
      </c>
      <c r="N2243" s="1076">
        <f t="shared" si="265"/>
        <v>1067</v>
      </c>
      <c r="O2243" s="294" t="s">
        <v>695</v>
      </c>
      <c r="P2243" s="404"/>
      <c r="Q2243" s="404"/>
      <c r="R2243" s="301"/>
      <c r="S2243" s="301"/>
      <c r="T2243" s="301"/>
      <c r="U2243" s="301"/>
      <c r="V2243" s="301"/>
    </row>
    <row r="2244" spans="1:22" ht="14.4" thickTop="1" thickBot="1" x14ac:dyDescent="0.3">
      <c r="A2244" s="292"/>
      <c r="B2244" s="293"/>
      <c r="C2244" s="294"/>
      <c r="D2244" s="294"/>
      <c r="E2244" s="294"/>
      <c r="F2244" s="310"/>
      <c r="G2244" s="310"/>
      <c r="H2244" s="310"/>
      <c r="I2244" s="295"/>
      <c r="J2244" s="295">
        <f>J2243*10.76</f>
        <v>10432.896000000001</v>
      </c>
      <c r="K2244" s="300">
        <f t="shared" si="266"/>
        <v>1.1000000000000001</v>
      </c>
      <c r="L2244" s="300">
        <f t="shared" si="261"/>
        <v>11476.185600000003</v>
      </c>
      <c r="M2244" s="285">
        <f t="shared" si="264"/>
        <v>11476.2</v>
      </c>
      <c r="N2244" s="1076">
        <f t="shared" si="265"/>
        <v>11477</v>
      </c>
      <c r="O2244" s="294" t="s">
        <v>1846</v>
      </c>
      <c r="P2244" s="404"/>
      <c r="Q2244" s="404"/>
      <c r="R2244" s="301"/>
      <c r="S2244" s="301"/>
      <c r="T2244" s="301"/>
      <c r="U2244" s="301"/>
      <c r="V2244" s="301"/>
    </row>
    <row r="2245" spans="1:22" ht="14.4" thickTop="1" thickBot="1" x14ac:dyDescent="0.3">
      <c r="A2245" s="292"/>
      <c r="B2245" s="293"/>
      <c r="C2245" s="294"/>
      <c r="D2245" s="294"/>
      <c r="E2245" s="294"/>
      <c r="F2245" s="310"/>
      <c r="G2245" s="310"/>
      <c r="H2245" s="310"/>
      <c r="I2245" s="295"/>
      <c r="J2245" s="295">
        <f>J2244/100</f>
        <v>104.32896000000001</v>
      </c>
      <c r="K2245" s="300">
        <v>1.02</v>
      </c>
      <c r="L2245" s="300">
        <f t="shared" si="261"/>
        <v>106.41553920000001</v>
      </c>
      <c r="M2245" s="285">
        <f t="shared" si="264"/>
        <v>106.4</v>
      </c>
      <c r="N2245" s="1076">
        <f t="shared" si="265"/>
        <v>107</v>
      </c>
      <c r="O2245" s="294" t="s">
        <v>879</v>
      </c>
      <c r="P2245" s="404"/>
      <c r="Q2245" s="404"/>
      <c r="R2245" s="301"/>
      <c r="S2245" s="301"/>
      <c r="T2245" s="301"/>
      <c r="U2245" s="301"/>
      <c r="V2245" s="301"/>
    </row>
    <row r="2246" spans="1:22" ht="14.4" thickTop="1" thickBot="1" x14ac:dyDescent="0.3">
      <c r="A2246" s="292"/>
      <c r="B2246" s="293"/>
      <c r="C2246" s="294"/>
      <c r="D2246" s="294"/>
      <c r="E2246" s="294"/>
      <c r="F2246" s="310"/>
      <c r="G2246" s="310"/>
      <c r="H2246" s="310"/>
      <c r="I2246" s="295"/>
      <c r="J2246" s="295"/>
      <c r="K2246" s="300">
        <f t="shared" si="266"/>
        <v>1.1000000000000001</v>
      </c>
      <c r="L2246" s="300">
        <f t="shared" si="261"/>
        <v>0</v>
      </c>
      <c r="M2246" s="285">
        <f t="shared" si="264"/>
        <v>0</v>
      </c>
      <c r="N2246" s="1076">
        <f t="shared" si="265"/>
        <v>0</v>
      </c>
      <c r="O2246" s="294"/>
      <c r="P2246" s="404"/>
      <c r="Q2246" s="404"/>
      <c r="R2246" s="301"/>
      <c r="S2246" s="301"/>
      <c r="T2246" s="301"/>
      <c r="U2246" s="301"/>
      <c r="V2246" s="301"/>
    </row>
    <row r="2247" spans="1:22" ht="14.4" thickTop="1" thickBot="1" x14ac:dyDescent="0.3">
      <c r="A2247" s="292"/>
      <c r="B2247" s="296" t="s">
        <v>1932</v>
      </c>
      <c r="C2247" s="294"/>
      <c r="D2247" s="294"/>
      <c r="E2247" s="294"/>
      <c r="F2247" s="310"/>
      <c r="G2247" s="310"/>
      <c r="H2247" s="310"/>
      <c r="I2247" s="295"/>
      <c r="J2247" s="295"/>
      <c r="K2247" s="300">
        <f t="shared" si="266"/>
        <v>1.1000000000000001</v>
      </c>
      <c r="L2247" s="300">
        <f t="shared" si="261"/>
        <v>0</v>
      </c>
      <c r="M2247" s="285">
        <f t="shared" si="264"/>
        <v>0</v>
      </c>
      <c r="N2247" s="1076">
        <f t="shared" si="265"/>
        <v>0</v>
      </c>
      <c r="O2247" s="294"/>
      <c r="P2247" s="404"/>
      <c r="Q2247" s="404"/>
      <c r="R2247" s="301"/>
      <c r="S2247" s="301"/>
      <c r="T2247" s="301"/>
      <c r="U2247" s="301"/>
      <c r="V2247" s="301"/>
    </row>
    <row r="2248" spans="1:22" ht="14.4" thickTop="1" thickBot="1" x14ac:dyDescent="0.3">
      <c r="A2248" s="292"/>
      <c r="B2248" s="296" t="s">
        <v>1926</v>
      </c>
      <c r="C2248" s="294"/>
      <c r="D2248" s="294"/>
      <c r="E2248" s="294"/>
      <c r="F2248" s="310"/>
      <c r="G2248" s="310"/>
      <c r="H2248" s="310"/>
      <c r="I2248" s="295"/>
      <c r="J2248" s="295"/>
      <c r="K2248" s="300">
        <f t="shared" si="266"/>
        <v>1.1000000000000001</v>
      </c>
      <c r="L2248" s="300">
        <f t="shared" si="261"/>
        <v>0</v>
      </c>
      <c r="M2248" s="285">
        <f t="shared" si="264"/>
        <v>0</v>
      </c>
      <c r="N2248" s="1076">
        <f t="shared" si="265"/>
        <v>0</v>
      </c>
      <c r="O2248" s="294"/>
      <c r="P2248" s="404"/>
      <c r="Q2248" s="404"/>
      <c r="R2248" s="301"/>
      <c r="S2248" s="301"/>
      <c r="T2248" s="301"/>
      <c r="U2248" s="301"/>
      <c r="V2248" s="301"/>
    </row>
    <row r="2249" spans="1:22" ht="14.4" thickTop="1" thickBot="1" x14ac:dyDescent="0.3">
      <c r="A2249" s="292"/>
      <c r="B2249" s="296" t="s">
        <v>1933</v>
      </c>
      <c r="C2249" s="294"/>
      <c r="D2249" s="294"/>
      <c r="E2249" s="294"/>
      <c r="F2249" s="310"/>
      <c r="G2249" s="310"/>
      <c r="H2249" s="310"/>
      <c r="I2249" s="295">
        <v>213.5</v>
      </c>
      <c r="J2249" s="295"/>
      <c r="K2249" s="300">
        <f t="shared" si="266"/>
        <v>1.1000000000000001</v>
      </c>
      <c r="L2249" s="300">
        <f t="shared" si="261"/>
        <v>0</v>
      </c>
      <c r="M2249" s="285">
        <f t="shared" si="264"/>
        <v>0</v>
      </c>
      <c r="N2249" s="1076">
        <f t="shared" si="265"/>
        <v>0</v>
      </c>
      <c r="O2249" s="294"/>
      <c r="P2249" s="404"/>
      <c r="Q2249" s="404"/>
      <c r="R2249" s="301"/>
      <c r="S2249" s="301"/>
      <c r="T2249" s="301"/>
      <c r="U2249" s="301"/>
      <c r="V2249" s="301"/>
    </row>
    <row r="2250" spans="1:22" ht="14.4" thickTop="1" thickBot="1" x14ac:dyDescent="0.3">
      <c r="A2250" s="292"/>
      <c r="B2250" s="296" t="s">
        <v>1907</v>
      </c>
      <c r="C2250" s="294"/>
      <c r="D2250" s="294"/>
      <c r="E2250" s="294"/>
      <c r="F2250" s="310"/>
      <c r="G2250" s="310"/>
      <c r="H2250" s="310"/>
      <c r="I2250" s="295">
        <v>135.97999999999999</v>
      </c>
      <c r="J2250" s="295"/>
      <c r="K2250" s="300">
        <f t="shared" si="266"/>
        <v>1.1000000000000001</v>
      </c>
      <c r="L2250" s="300">
        <f t="shared" si="261"/>
        <v>0</v>
      </c>
      <c r="M2250" s="285">
        <f t="shared" si="264"/>
        <v>0</v>
      </c>
      <c r="N2250" s="1076">
        <f t="shared" si="265"/>
        <v>0</v>
      </c>
      <c r="O2250" s="294"/>
      <c r="P2250" s="404"/>
      <c r="Q2250" s="404"/>
      <c r="R2250" s="301"/>
      <c r="S2250" s="301"/>
      <c r="T2250" s="301"/>
      <c r="U2250" s="301"/>
      <c r="V2250" s="301"/>
    </row>
    <row r="2251" spans="1:22" ht="14.4" thickTop="1" thickBot="1" x14ac:dyDescent="0.3">
      <c r="A2251" s="292"/>
      <c r="B2251" s="293"/>
      <c r="C2251" s="294"/>
      <c r="D2251" s="294"/>
      <c r="E2251" s="294"/>
      <c r="F2251" s="310"/>
      <c r="G2251" s="310"/>
      <c r="H2251" s="310"/>
      <c r="I2251" s="295"/>
      <c r="J2251" s="295">
        <f>SUM(I2249:I2250)</f>
        <v>349.48</v>
      </c>
      <c r="K2251" s="300">
        <f t="shared" si="266"/>
        <v>1.1000000000000001</v>
      </c>
      <c r="L2251" s="300">
        <f t="shared" si="261"/>
        <v>384.42800000000005</v>
      </c>
      <c r="M2251" s="285">
        <f t="shared" si="264"/>
        <v>384.4</v>
      </c>
      <c r="N2251" s="1076">
        <f t="shared" si="265"/>
        <v>385</v>
      </c>
      <c r="O2251" s="294" t="s">
        <v>695</v>
      </c>
      <c r="P2251" s="404"/>
      <c r="Q2251" s="404"/>
      <c r="R2251" s="301"/>
      <c r="S2251" s="301"/>
      <c r="T2251" s="301"/>
      <c r="U2251" s="301"/>
      <c r="V2251" s="301"/>
    </row>
    <row r="2252" spans="1:22" ht="14.4" thickTop="1" thickBot="1" x14ac:dyDescent="0.3">
      <c r="A2252" s="292"/>
      <c r="B2252" s="293"/>
      <c r="C2252" s="294"/>
      <c r="D2252" s="294"/>
      <c r="E2252" s="294"/>
      <c r="F2252" s="310"/>
      <c r="G2252" s="310"/>
      <c r="H2252" s="310"/>
      <c r="I2252" s="295"/>
      <c r="J2252" s="295">
        <f>J2251*10.76</f>
        <v>3760.4048000000003</v>
      </c>
      <c r="K2252" s="300">
        <f t="shared" si="266"/>
        <v>1.1000000000000001</v>
      </c>
      <c r="L2252" s="300">
        <f t="shared" si="261"/>
        <v>4136.4452800000008</v>
      </c>
      <c r="M2252" s="285">
        <f t="shared" si="264"/>
        <v>4136.3999999999996</v>
      </c>
      <c r="N2252" s="1076">
        <f t="shared" si="265"/>
        <v>4137</v>
      </c>
      <c r="O2252" s="294" t="s">
        <v>1846</v>
      </c>
      <c r="P2252" s="404"/>
      <c r="Q2252" s="404"/>
      <c r="R2252" s="301"/>
      <c r="S2252" s="301"/>
      <c r="T2252" s="301"/>
      <c r="U2252" s="301"/>
      <c r="V2252" s="301"/>
    </row>
    <row r="2253" spans="1:22" ht="14.4" thickTop="1" thickBot="1" x14ac:dyDescent="0.3">
      <c r="A2253" s="292"/>
      <c r="B2253" s="293"/>
      <c r="C2253" s="294"/>
      <c r="D2253" s="294"/>
      <c r="E2253" s="294"/>
      <c r="F2253" s="310"/>
      <c r="G2253" s="310"/>
      <c r="H2253" s="310"/>
      <c r="I2253" s="295"/>
      <c r="J2253" s="295">
        <f>J2252/100</f>
        <v>37.604048000000006</v>
      </c>
      <c r="K2253" s="300">
        <v>1.04</v>
      </c>
      <c r="L2253" s="300">
        <f t="shared" si="261"/>
        <v>39.108209920000007</v>
      </c>
      <c r="M2253" s="285">
        <f t="shared" si="264"/>
        <v>39.1</v>
      </c>
      <c r="N2253" s="1076">
        <f t="shared" si="265"/>
        <v>40</v>
      </c>
      <c r="O2253" s="294" t="s">
        <v>879</v>
      </c>
      <c r="P2253" s="404"/>
      <c r="Q2253" s="404"/>
      <c r="R2253" s="301"/>
      <c r="S2253" s="301"/>
      <c r="T2253" s="301"/>
      <c r="U2253" s="301"/>
      <c r="V2253" s="301"/>
    </row>
    <row r="2254" spans="1:22" ht="14.4" thickTop="1" thickBot="1" x14ac:dyDescent="0.3">
      <c r="A2254" s="292"/>
      <c r="B2254" s="293"/>
      <c r="C2254" s="294"/>
      <c r="D2254" s="294"/>
      <c r="E2254" s="294"/>
      <c r="F2254" s="310"/>
      <c r="G2254" s="310"/>
      <c r="H2254" s="310"/>
      <c r="I2254" s="295"/>
      <c r="J2254" s="295"/>
      <c r="K2254" s="300">
        <f t="shared" si="266"/>
        <v>1.1000000000000001</v>
      </c>
      <c r="L2254" s="300">
        <f t="shared" si="261"/>
        <v>0</v>
      </c>
      <c r="M2254" s="285">
        <f t="shared" si="264"/>
        <v>0</v>
      </c>
      <c r="N2254" s="1076">
        <f t="shared" si="265"/>
        <v>0</v>
      </c>
      <c r="O2254" s="294"/>
      <c r="P2254" s="404"/>
      <c r="Q2254" s="404"/>
      <c r="R2254" s="301"/>
      <c r="S2254" s="301"/>
      <c r="T2254" s="301"/>
      <c r="U2254" s="301"/>
      <c r="V2254" s="301"/>
    </row>
    <row r="2255" spans="1:22" ht="14.4" thickTop="1" thickBot="1" x14ac:dyDescent="0.3">
      <c r="A2255" s="292"/>
      <c r="B2255" s="296" t="s">
        <v>1934</v>
      </c>
      <c r="C2255" s="294"/>
      <c r="D2255" s="294"/>
      <c r="E2255" s="294"/>
      <c r="F2255" s="310"/>
      <c r="G2255" s="310"/>
      <c r="H2255" s="310"/>
      <c r="I2255" s="295"/>
      <c r="J2255" s="295"/>
      <c r="K2255" s="300">
        <f t="shared" si="266"/>
        <v>1.1000000000000001</v>
      </c>
      <c r="L2255" s="300">
        <f t="shared" si="261"/>
        <v>0</v>
      </c>
      <c r="M2255" s="285">
        <f t="shared" si="264"/>
        <v>0</v>
      </c>
      <c r="N2255" s="1076">
        <f t="shared" si="265"/>
        <v>0</v>
      </c>
      <c r="O2255" s="294"/>
      <c r="P2255" s="404"/>
      <c r="Q2255" s="404"/>
      <c r="R2255" s="301"/>
      <c r="S2255" s="301"/>
      <c r="T2255" s="301"/>
      <c r="U2255" s="301"/>
      <c r="V2255" s="301"/>
    </row>
    <row r="2256" spans="1:22" ht="14.4" thickTop="1" thickBot="1" x14ac:dyDescent="0.3">
      <c r="A2256" s="292"/>
      <c r="B2256" s="296" t="s">
        <v>821</v>
      </c>
      <c r="C2256" s="294"/>
      <c r="D2256" s="294"/>
      <c r="E2256" s="294">
        <v>2</v>
      </c>
      <c r="F2256" s="310">
        <v>1.5</v>
      </c>
      <c r="G2256" s="310">
        <v>1.5</v>
      </c>
      <c r="H2256" s="310"/>
      <c r="I2256" s="295">
        <f>G2256*F2256*E2256</f>
        <v>4.5</v>
      </c>
      <c r="J2256" s="295"/>
      <c r="K2256" s="300">
        <f t="shared" si="266"/>
        <v>1.1000000000000001</v>
      </c>
      <c r="L2256" s="300">
        <f t="shared" si="261"/>
        <v>0</v>
      </c>
      <c r="M2256" s="285">
        <f t="shared" si="264"/>
        <v>0</v>
      </c>
      <c r="N2256" s="1076">
        <f t="shared" si="265"/>
        <v>0</v>
      </c>
      <c r="O2256" s="294"/>
      <c r="P2256" s="404"/>
      <c r="Q2256" s="404"/>
      <c r="R2256" s="301"/>
      <c r="S2256" s="301"/>
      <c r="T2256" s="301"/>
      <c r="U2256" s="301"/>
      <c r="V2256" s="301"/>
    </row>
    <row r="2257" spans="1:22" ht="14.4" thickTop="1" thickBot="1" x14ac:dyDescent="0.3">
      <c r="A2257" s="292"/>
      <c r="B2257" s="296" t="s">
        <v>1935</v>
      </c>
      <c r="C2257" s="294"/>
      <c r="D2257" s="294"/>
      <c r="E2257" s="294">
        <v>26</v>
      </c>
      <c r="F2257" s="310">
        <v>1.5</v>
      </c>
      <c r="G2257" s="310">
        <v>0.3</v>
      </c>
      <c r="H2257" s="310"/>
      <c r="I2257" s="295">
        <f t="shared" ref="I2257:I2258" si="272">G2257*F2257*E2257</f>
        <v>11.7</v>
      </c>
      <c r="J2257" s="295"/>
      <c r="K2257" s="300">
        <f t="shared" si="266"/>
        <v>1.1000000000000001</v>
      </c>
      <c r="L2257" s="300">
        <f t="shared" si="261"/>
        <v>0</v>
      </c>
      <c r="M2257" s="285">
        <f t="shared" si="264"/>
        <v>0</v>
      </c>
      <c r="N2257" s="1076">
        <f t="shared" si="265"/>
        <v>0</v>
      </c>
      <c r="O2257" s="294"/>
      <c r="P2257" s="404"/>
      <c r="Q2257" s="404"/>
      <c r="R2257" s="301"/>
      <c r="S2257" s="301"/>
      <c r="T2257" s="301"/>
      <c r="U2257" s="301"/>
      <c r="V2257" s="301"/>
    </row>
    <row r="2258" spans="1:22" ht="14.4" thickTop="1" thickBot="1" x14ac:dyDescent="0.3">
      <c r="A2258" s="292"/>
      <c r="B2258" s="296" t="s">
        <v>1935</v>
      </c>
      <c r="C2258" s="294"/>
      <c r="D2258" s="294"/>
      <c r="E2258" s="294">
        <v>27</v>
      </c>
      <c r="F2258" s="310">
        <f>F2257</f>
        <v>1.5</v>
      </c>
      <c r="G2258" s="310">
        <v>0.22500000000000001</v>
      </c>
      <c r="H2258" s="310"/>
      <c r="I2258" s="295">
        <f t="shared" si="272"/>
        <v>9.1125000000000007</v>
      </c>
      <c r="J2258" s="295"/>
      <c r="K2258" s="300">
        <f t="shared" si="266"/>
        <v>1.1000000000000001</v>
      </c>
      <c r="L2258" s="300">
        <f t="shared" si="261"/>
        <v>0</v>
      </c>
      <c r="M2258" s="285">
        <f t="shared" si="264"/>
        <v>0</v>
      </c>
      <c r="N2258" s="1076">
        <f t="shared" si="265"/>
        <v>0</v>
      </c>
      <c r="O2258" s="294"/>
      <c r="P2258" s="404"/>
      <c r="Q2258" s="404"/>
      <c r="R2258" s="301"/>
      <c r="S2258" s="301"/>
      <c r="T2258" s="301"/>
      <c r="U2258" s="301"/>
      <c r="V2258" s="301"/>
    </row>
    <row r="2259" spans="1:22" ht="14.4" thickTop="1" thickBot="1" x14ac:dyDescent="0.3">
      <c r="A2259" s="292"/>
      <c r="B2259" s="293"/>
      <c r="C2259" s="294"/>
      <c r="D2259" s="294"/>
      <c r="E2259" s="294"/>
      <c r="F2259" s="310"/>
      <c r="G2259" s="310"/>
      <c r="H2259" s="310"/>
      <c r="I2259" s="295"/>
      <c r="J2259" s="295">
        <f>SUM(I2256:I2258)</f>
        <v>25.3125</v>
      </c>
      <c r="K2259" s="300">
        <f t="shared" si="266"/>
        <v>1.1000000000000001</v>
      </c>
      <c r="L2259" s="300">
        <f t="shared" ref="L2259:L2277" si="273">K2259*J2259</f>
        <v>27.843750000000004</v>
      </c>
      <c r="M2259" s="285">
        <f t="shared" si="264"/>
        <v>27.8</v>
      </c>
      <c r="N2259" s="1076">
        <f t="shared" si="265"/>
        <v>28</v>
      </c>
      <c r="O2259" s="294" t="s">
        <v>695</v>
      </c>
      <c r="P2259" s="404"/>
      <c r="Q2259" s="404"/>
      <c r="R2259" s="301"/>
      <c r="S2259" s="301"/>
      <c r="T2259" s="301"/>
      <c r="U2259" s="301"/>
      <c r="V2259" s="301"/>
    </row>
    <row r="2260" spans="1:22" ht="14.4" thickTop="1" thickBot="1" x14ac:dyDescent="0.3">
      <c r="A2260" s="292"/>
      <c r="B2260" s="293"/>
      <c r="C2260" s="294"/>
      <c r="D2260" s="294"/>
      <c r="E2260" s="294"/>
      <c r="F2260" s="310"/>
      <c r="G2260" s="310"/>
      <c r="H2260" s="310"/>
      <c r="I2260" s="295"/>
      <c r="J2260" s="295">
        <f>J2259*10.76</f>
        <v>272.36250000000001</v>
      </c>
      <c r="K2260" s="300">
        <f t="shared" si="266"/>
        <v>1.1000000000000001</v>
      </c>
      <c r="L2260" s="300">
        <f t="shared" si="273"/>
        <v>299.59875000000005</v>
      </c>
      <c r="M2260" s="285">
        <f t="shared" si="264"/>
        <v>299.60000000000002</v>
      </c>
      <c r="N2260" s="1076">
        <f t="shared" si="265"/>
        <v>300</v>
      </c>
      <c r="O2260" s="294" t="s">
        <v>1846</v>
      </c>
      <c r="P2260" s="404"/>
      <c r="Q2260" s="404"/>
      <c r="R2260" s="301"/>
      <c r="S2260" s="301"/>
      <c r="T2260" s="301"/>
      <c r="U2260" s="301"/>
      <c r="V2260" s="301"/>
    </row>
    <row r="2261" spans="1:22" ht="14.4" thickTop="1" thickBot="1" x14ac:dyDescent="0.3">
      <c r="A2261" s="292"/>
      <c r="B2261" s="293"/>
      <c r="C2261" s="294"/>
      <c r="D2261" s="294"/>
      <c r="E2261" s="294"/>
      <c r="F2261" s="310"/>
      <c r="G2261" s="310"/>
      <c r="H2261" s="310"/>
      <c r="I2261" s="295"/>
      <c r="J2261" s="295">
        <f>J2260/100</f>
        <v>2.7236250000000002</v>
      </c>
      <c r="K2261" s="300">
        <v>1.02</v>
      </c>
      <c r="L2261" s="300">
        <f t="shared" si="273"/>
        <v>2.7780975000000003</v>
      </c>
      <c r="M2261" s="285">
        <f t="shared" si="264"/>
        <v>2.8</v>
      </c>
      <c r="N2261" s="1076">
        <f t="shared" si="265"/>
        <v>3</v>
      </c>
      <c r="O2261" s="294" t="s">
        <v>879</v>
      </c>
      <c r="P2261" s="404"/>
      <c r="Q2261" s="404"/>
      <c r="R2261" s="301"/>
      <c r="S2261" s="301"/>
      <c r="T2261" s="301"/>
      <c r="U2261" s="301"/>
      <c r="V2261" s="301"/>
    </row>
    <row r="2262" spans="1:22" ht="14.4" thickTop="1" thickBot="1" x14ac:dyDescent="0.3">
      <c r="A2262" s="292"/>
      <c r="B2262" s="293"/>
      <c r="C2262" s="294"/>
      <c r="D2262" s="294"/>
      <c r="E2262" s="294"/>
      <c r="F2262" s="310"/>
      <c r="G2262" s="310"/>
      <c r="H2262" s="310"/>
      <c r="I2262" s="295"/>
      <c r="J2262" s="295"/>
      <c r="K2262" s="300">
        <f t="shared" si="266"/>
        <v>1.1000000000000001</v>
      </c>
      <c r="L2262" s="300">
        <f t="shared" si="273"/>
        <v>0</v>
      </c>
      <c r="M2262" s="285">
        <f t="shared" si="264"/>
        <v>0</v>
      </c>
      <c r="N2262" s="1076">
        <f t="shared" si="265"/>
        <v>0</v>
      </c>
      <c r="O2262" s="294"/>
      <c r="P2262" s="404"/>
      <c r="Q2262" s="404"/>
      <c r="R2262" s="301"/>
      <c r="S2262" s="301"/>
      <c r="T2262" s="301"/>
      <c r="U2262" s="301"/>
      <c r="V2262" s="301"/>
    </row>
    <row r="2263" spans="1:22" ht="14.4" thickTop="1" thickBot="1" x14ac:dyDescent="0.3">
      <c r="A2263" s="292"/>
      <c r="B2263" s="296" t="s">
        <v>1936</v>
      </c>
      <c r="C2263" s="294"/>
      <c r="D2263" s="294"/>
      <c r="E2263" s="294"/>
      <c r="F2263" s="310"/>
      <c r="G2263" s="310"/>
      <c r="H2263" s="310"/>
      <c r="I2263" s="295"/>
      <c r="J2263" s="295"/>
      <c r="K2263" s="300">
        <f t="shared" si="266"/>
        <v>1.1000000000000001</v>
      </c>
      <c r="L2263" s="300">
        <f t="shared" si="273"/>
        <v>0</v>
      </c>
      <c r="M2263" s="285">
        <f t="shared" si="264"/>
        <v>0</v>
      </c>
      <c r="N2263" s="1076">
        <f t="shared" si="265"/>
        <v>0</v>
      </c>
      <c r="O2263" s="294"/>
      <c r="P2263" s="404"/>
      <c r="Q2263" s="404"/>
      <c r="R2263" s="301"/>
      <c r="S2263" s="301"/>
      <c r="T2263" s="301"/>
      <c r="U2263" s="301"/>
      <c r="V2263" s="301"/>
    </row>
    <row r="2264" spans="1:22" ht="14.4" thickTop="1" thickBot="1" x14ac:dyDescent="0.3">
      <c r="A2264" s="292"/>
      <c r="B2264" s="296" t="s">
        <v>817</v>
      </c>
      <c r="C2264" s="294"/>
      <c r="D2264" s="294"/>
      <c r="E2264" s="294"/>
      <c r="F2264" s="310"/>
      <c r="G2264" s="310"/>
      <c r="H2264" s="310"/>
      <c r="I2264" s="295">
        <v>170</v>
      </c>
      <c r="J2264" s="295"/>
      <c r="K2264" s="300">
        <f t="shared" si="266"/>
        <v>1.1000000000000001</v>
      </c>
      <c r="L2264" s="300">
        <f t="shared" si="273"/>
        <v>0</v>
      </c>
      <c r="M2264" s="285">
        <f t="shared" si="264"/>
        <v>0</v>
      </c>
      <c r="N2264" s="1076">
        <f t="shared" si="265"/>
        <v>0</v>
      </c>
      <c r="O2264" s="294"/>
      <c r="P2264" s="404"/>
      <c r="Q2264" s="404"/>
      <c r="R2264" s="301"/>
      <c r="S2264" s="301"/>
      <c r="T2264" s="301"/>
      <c r="U2264" s="301"/>
      <c r="V2264" s="301"/>
    </row>
    <row r="2265" spans="1:22" ht="14.4" thickTop="1" thickBot="1" x14ac:dyDescent="0.3">
      <c r="A2265" s="292"/>
      <c r="B2265" s="293"/>
      <c r="C2265" s="294"/>
      <c r="D2265" s="294"/>
      <c r="E2265" s="294"/>
      <c r="F2265" s="310"/>
      <c r="G2265" s="310"/>
      <c r="H2265" s="310"/>
      <c r="I2265" s="295"/>
      <c r="J2265" s="295">
        <f>SUM(I2264)</f>
        <v>170</v>
      </c>
      <c r="K2265" s="300">
        <f t="shared" si="266"/>
        <v>1.1000000000000001</v>
      </c>
      <c r="L2265" s="300">
        <f t="shared" si="273"/>
        <v>187.00000000000003</v>
      </c>
      <c r="M2265" s="285">
        <f t="shared" si="264"/>
        <v>187</v>
      </c>
      <c r="N2265" s="1076">
        <f t="shared" si="265"/>
        <v>187</v>
      </c>
      <c r="O2265" s="294" t="s">
        <v>695</v>
      </c>
      <c r="P2265" s="404"/>
      <c r="Q2265" s="404"/>
      <c r="R2265" s="301"/>
      <c r="S2265" s="301"/>
      <c r="T2265" s="301"/>
      <c r="U2265" s="301"/>
      <c r="V2265" s="301"/>
    </row>
    <row r="2266" spans="1:22" ht="14.4" thickTop="1" thickBot="1" x14ac:dyDescent="0.3">
      <c r="A2266" s="292"/>
      <c r="B2266" s="293"/>
      <c r="C2266" s="294"/>
      <c r="D2266" s="294"/>
      <c r="E2266" s="294"/>
      <c r="F2266" s="310"/>
      <c r="G2266" s="310"/>
      <c r="H2266" s="310"/>
      <c r="I2266" s="295"/>
      <c r="J2266" s="295">
        <f>J2265*10.76</f>
        <v>1829.2</v>
      </c>
      <c r="K2266" s="300">
        <f t="shared" si="266"/>
        <v>1.1000000000000001</v>
      </c>
      <c r="L2266" s="300">
        <f t="shared" si="273"/>
        <v>2012.1200000000001</v>
      </c>
      <c r="M2266" s="285">
        <f t="shared" si="264"/>
        <v>2012.1</v>
      </c>
      <c r="N2266" s="1076">
        <f t="shared" si="265"/>
        <v>2013</v>
      </c>
      <c r="O2266" s="294" t="s">
        <v>1846</v>
      </c>
      <c r="P2266" s="404"/>
      <c r="Q2266" s="404"/>
      <c r="R2266" s="301"/>
      <c r="S2266" s="301"/>
      <c r="T2266" s="301"/>
      <c r="U2266" s="301"/>
      <c r="V2266" s="301"/>
    </row>
    <row r="2267" spans="1:22" ht="14.4" thickTop="1" thickBot="1" x14ac:dyDescent="0.3">
      <c r="A2267" s="292"/>
      <c r="B2267" s="293"/>
      <c r="C2267" s="294"/>
      <c r="D2267" s="294"/>
      <c r="E2267" s="294"/>
      <c r="F2267" s="310"/>
      <c r="G2267" s="310"/>
      <c r="H2267" s="310"/>
      <c r="I2267" s="295"/>
      <c r="J2267" s="295">
        <f>J2266/100</f>
        <v>18.292000000000002</v>
      </c>
      <c r="K2267" s="300">
        <v>1.05</v>
      </c>
      <c r="L2267" s="300">
        <f t="shared" si="273"/>
        <v>19.206600000000002</v>
      </c>
      <c r="M2267" s="285">
        <f t="shared" si="264"/>
        <v>19.2</v>
      </c>
      <c r="N2267" s="1076">
        <f t="shared" si="265"/>
        <v>20</v>
      </c>
      <c r="O2267" s="294" t="s">
        <v>879</v>
      </c>
      <c r="P2267" s="404"/>
      <c r="Q2267" s="404"/>
      <c r="R2267" s="301"/>
      <c r="S2267" s="301"/>
      <c r="T2267" s="301"/>
      <c r="U2267" s="301"/>
      <c r="V2267" s="301"/>
    </row>
    <row r="2268" spans="1:22" ht="14.4" thickTop="1" thickBot="1" x14ac:dyDescent="0.3">
      <c r="A2268" s="292"/>
      <c r="B2268" s="293"/>
      <c r="C2268" s="294"/>
      <c r="D2268" s="294"/>
      <c r="E2268" s="294"/>
      <c r="F2268" s="310"/>
      <c r="G2268" s="310"/>
      <c r="H2268" s="310"/>
      <c r="I2268" s="295"/>
      <c r="J2268" s="295"/>
      <c r="K2268" s="300">
        <f t="shared" si="266"/>
        <v>1.1000000000000001</v>
      </c>
      <c r="L2268" s="300">
        <f t="shared" si="273"/>
        <v>0</v>
      </c>
      <c r="M2268" s="285">
        <f t="shared" si="264"/>
        <v>0</v>
      </c>
      <c r="N2268" s="1076">
        <f t="shared" si="265"/>
        <v>0</v>
      </c>
      <c r="O2268" s="294"/>
      <c r="P2268" s="404"/>
      <c r="Q2268" s="404"/>
      <c r="R2268" s="301"/>
      <c r="S2268" s="301"/>
      <c r="T2268" s="301"/>
      <c r="U2268" s="301"/>
      <c r="V2268" s="301"/>
    </row>
    <row r="2269" spans="1:22" ht="14.4" thickTop="1" thickBot="1" x14ac:dyDescent="0.3">
      <c r="A2269" s="292"/>
      <c r="B2269" s="296" t="s">
        <v>1937</v>
      </c>
      <c r="C2269" s="294"/>
      <c r="D2269" s="294"/>
      <c r="E2269" s="294"/>
      <c r="F2269" s="310"/>
      <c r="G2269" s="310"/>
      <c r="H2269" s="310"/>
      <c r="I2269" s="295">
        <v>935.1</v>
      </c>
      <c r="J2269" s="295"/>
      <c r="K2269" s="300">
        <f t="shared" si="266"/>
        <v>1.1000000000000001</v>
      </c>
      <c r="L2269" s="300">
        <f t="shared" si="273"/>
        <v>0</v>
      </c>
      <c r="M2269" s="285">
        <f t="shared" ref="M2269:M2511" si="274">ROUND(L2269,1)</f>
        <v>0</v>
      </c>
      <c r="N2269" s="1076">
        <f t="shared" ref="N2269:N2511" si="275">ROUNDUP(M2269,0)</f>
        <v>0</v>
      </c>
      <c r="O2269" s="294"/>
      <c r="P2269" s="404"/>
      <c r="Q2269" s="404"/>
      <c r="R2269" s="301"/>
      <c r="S2269" s="301"/>
      <c r="T2269" s="301"/>
      <c r="U2269" s="301"/>
      <c r="V2269" s="301"/>
    </row>
    <row r="2270" spans="1:22" ht="14.4" thickTop="1" thickBot="1" x14ac:dyDescent="0.3">
      <c r="A2270" s="292"/>
      <c r="B2270" s="296" t="s">
        <v>846</v>
      </c>
      <c r="C2270" s="294"/>
      <c r="D2270" s="294"/>
      <c r="E2270" s="294"/>
      <c r="F2270" s="310"/>
      <c r="G2270" s="310"/>
      <c r="H2270" s="310"/>
      <c r="I2270" s="295"/>
      <c r="J2270" s="295"/>
      <c r="K2270" s="300">
        <f t="shared" si="266"/>
        <v>1.1000000000000001</v>
      </c>
      <c r="L2270" s="300">
        <f t="shared" si="273"/>
        <v>0</v>
      </c>
      <c r="M2270" s="285">
        <f t="shared" si="274"/>
        <v>0</v>
      </c>
      <c r="N2270" s="1076">
        <f t="shared" si="275"/>
        <v>0</v>
      </c>
      <c r="O2270" s="294"/>
      <c r="P2270" s="404"/>
      <c r="Q2270" s="404"/>
      <c r="R2270" s="301"/>
      <c r="S2270" s="301"/>
      <c r="T2270" s="301"/>
      <c r="U2270" s="301"/>
      <c r="V2270" s="301"/>
    </row>
    <row r="2271" spans="1:22" ht="14.4" thickTop="1" thickBot="1" x14ac:dyDescent="0.3">
      <c r="A2271" s="292"/>
      <c r="B2271" s="296" t="s">
        <v>1933</v>
      </c>
      <c r="C2271" s="294"/>
      <c r="D2271" s="294"/>
      <c r="E2271" s="294"/>
      <c r="F2271" s="310"/>
      <c r="G2271" s="310"/>
      <c r="H2271" s="310"/>
      <c r="I2271" s="295">
        <v>-213.5</v>
      </c>
      <c r="J2271" s="295"/>
      <c r="K2271" s="300">
        <f t="shared" si="266"/>
        <v>1.1000000000000001</v>
      </c>
      <c r="L2271" s="300">
        <f t="shared" si="273"/>
        <v>0</v>
      </c>
      <c r="M2271" s="285">
        <f t="shared" si="274"/>
        <v>0</v>
      </c>
      <c r="N2271" s="1076">
        <f t="shared" si="275"/>
        <v>0</v>
      </c>
      <c r="O2271" s="294"/>
      <c r="P2271" s="404"/>
      <c r="Q2271" s="404"/>
      <c r="R2271" s="301"/>
      <c r="S2271" s="301"/>
      <c r="T2271" s="301"/>
      <c r="U2271" s="301"/>
      <c r="V2271" s="301"/>
    </row>
    <row r="2272" spans="1:22" ht="14.4" thickTop="1" thickBot="1" x14ac:dyDescent="0.3">
      <c r="A2272" s="292"/>
      <c r="B2272" s="296" t="s">
        <v>1907</v>
      </c>
      <c r="C2272" s="294"/>
      <c r="D2272" s="294"/>
      <c r="E2272" s="294"/>
      <c r="F2272" s="310"/>
      <c r="G2272" s="310"/>
      <c r="H2272" s="310"/>
      <c r="I2272" s="295">
        <v>-135.97999999999999</v>
      </c>
      <c r="J2272" s="295"/>
      <c r="K2272" s="300">
        <f t="shared" si="266"/>
        <v>1.1000000000000001</v>
      </c>
      <c r="L2272" s="300">
        <f t="shared" si="273"/>
        <v>0</v>
      </c>
      <c r="M2272" s="285">
        <f t="shared" si="274"/>
        <v>0</v>
      </c>
      <c r="N2272" s="1076">
        <f t="shared" si="275"/>
        <v>0</v>
      </c>
      <c r="O2272" s="294"/>
      <c r="P2272" s="404"/>
      <c r="Q2272" s="404"/>
      <c r="R2272" s="301"/>
      <c r="S2272" s="301"/>
      <c r="T2272" s="301"/>
      <c r="U2272" s="301"/>
      <c r="V2272" s="301"/>
    </row>
    <row r="2273" spans="1:22" ht="14.4" thickTop="1" thickBot="1" x14ac:dyDescent="0.3">
      <c r="A2273" s="292"/>
      <c r="B2273" s="296" t="s">
        <v>844</v>
      </c>
      <c r="C2273" s="294"/>
      <c r="D2273" s="294"/>
      <c r="E2273" s="294"/>
      <c r="F2273" s="310"/>
      <c r="G2273" s="310"/>
      <c r="H2273" s="310"/>
      <c r="I2273" s="295">
        <v>-56</v>
      </c>
      <c r="J2273" s="295"/>
      <c r="K2273" s="300">
        <f t="shared" si="266"/>
        <v>1.1000000000000001</v>
      </c>
      <c r="L2273" s="300">
        <f t="shared" si="273"/>
        <v>0</v>
      </c>
      <c r="M2273" s="285">
        <f t="shared" si="274"/>
        <v>0</v>
      </c>
      <c r="N2273" s="1076">
        <f t="shared" si="275"/>
        <v>0</v>
      </c>
      <c r="O2273" s="294"/>
      <c r="P2273" s="404"/>
      <c r="Q2273" s="404"/>
      <c r="R2273" s="301"/>
      <c r="S2273" s="301"/>
      <c r="T2273" s="301"/>
      <c r="U2273" s="301"/>
      <c r="V2273" s="301"/>
    </row>
    <row r="2274" spans="1:22" ht="14.4" thickTop="1" thickBot="1" x14ac:dyDescent="0.3">
      <c r="A2274" s="292"/>
      <c r="B2274" s="293"/>
      <c r="C2274" s="294"/>
      <c r="D2274" s="294"/>
      <c r="E2274" s="294"/>
      <c r="F2274" s="310"/>
      <c r="G2274" s="310"/>
      <c r="H2274" s="310"/>
      <c r="I2274" s="295"/>
      <c r="J2274" s="295">
        <f>SUM(I2269:I2273)</f>
        <v>529.62</v>
      </c>
      <c r="K2274" s="300">
        <f t="shared" si="266"/>
        <v>1.1000000000000001</v>
      </c>
      <c r="L2274" s="300">
        <f t="shared" si="273"/>
        <v>582.58200000000011</v>
      </c>
      <c r="M2274" s="285">
        <f t="shared" si="274"/>
        <v>582.6</v>
      </c>
      <c r="N2274" s="1076">
        <f t="shared" si="275"/>
        <v>583</v>
      </c>
      <c r="O2274" s="294" t="s">
        <v>695</v>
      </c>
      <c r="P2274" s="404"/>
      <c r="Q2274" s="404"/>
      <c r="R2274" s="301"/>
      <c r="S2274" s="301"/>
      <c r="T2274" s="301"/>
      <c r="U2274" s="301"/>
      <c r="V2274" s="301"/>
    </row>
    <row r="2275" spans="1:22" ht="14.4" thickTop="1" thickBot="1" x14ac:dyDescent="0.3">
      <c r="A2275" s="292"/>
      <c r="B2275" s="293"/>
      <c r="C2275" s="294"/>
      <c r="D2275" s="294"/>
      <c r="E2275" s="294"/>
      <c r="F2275" s="310"/>
      <c r="G2275" s="310"/>
      <c r="H2275" s="310"/>
      <c r="I2275" s="295"/>
      <c r="J2275" s="295">
        <f>J2274*10.76</f>
        <v>5698.7111999999997</v>
      </c>
      <c r="K2275" s="300">
        <f t="shared" si="266"/>
        <v>1.1000000000000001</v>
      </c>
      <c r="L2275" s="300">
        <f t="shared" si="273"/>
        <v>6268.5823200000004</v>
      </c>
      <c r="M2275" s="285">
        <f t="shared" si="274"/>
        <v>6268.6</v>
      </c>
      <c r="N2275" s="1076">
        <f t="shared" si="275"/>
        <v>6269</v>
      </c>
      <c r="O2275" s="294" t="s">
        <v>1846</v>
      </c>
      <c r="P2275" s="404"/>
      <c r="Q2275" s="404"/>
      <c r="R2275" s="301"/>
      <c r="S2275" s="301"/>
      <c r="T2275" s="301"/>
      <c r="U2275" s="301"/>
      <c r="V2275" s="301"/>
    </row>
    <row r="2276" spans="1:22" ht="14.4" thickTop="1" thickBot="1" x14ac:dyDescent="0.3">
      <c r="A2276" s="292"/>
      <c r="B2276" s="293"/>
      <c r="C2276" s="294"/>
      <c r="D2276" s="294"/>
      <c r="E2276" s="294"/>
      <c r="F2276" s="310"/>
      <c r="G2276" s="310"/>
      <c r="H2276" s="310"/>
      <c r="I2276" s="295"/>
      <c r="J2276" s="295">
        <f>J2275/100</f>
        <v>56.987111999999996</v>
      </c>
      <c r="K2276" s="300">
        <v>1.05</v>
      </c>
      <c r="L2276" s="300">
        <f t="shared" si="273"/>
        <v>59.836467599999999</v>
      </c>
      <c r="M2276" s="285">
        <f t="shared" si="274"/>
        <v>59.8</v>
      </c>
      <c r="N2276" s="1076">
        <f t="shared" si="275"/>
        <v>60</v>
      </c>
      <c r="O2276" s="294" t="s">
        <v>879</v>
      </c>
      <c r="P2276" s="404"/>
      <c r="Q2276" s="404"/>
      <c r="R2276" s="301"/>
      <c r="S2276" s="301"/>
      <c r="T2276" s="301"/>
      <c r="U2276" s="301"/>
      <c r="V2276" s="301"/>
    </row>
    <row r="2277" spans="1:22" ht="14.4" thickTop="1" thickBot="1" x14ac:dyDescent="0.3">
      <c r="A2277" s="292"/>
      <c r="B2277" s="293"/>
      <c r="C2277" s="294"/>
      <c r="D2277" s="294"/>
      <c r="E2277" s="294"/>
      <c r="F2277" s="310"/>
      <c r="G2277" s="310"/>
      <c r="H2277" s="310"/>
      <c r="I2277" s="295"/>
      <c r="J2277" s="295"/>
      <c r="K2277" s="300">
        <f t="shared" ref="K2277:K2519" si="276">$K$2</f>
        <v>1.1000000000000001</v>
      </c>
      <c r="L2277" s="300">
        <f t="shared" si="273"/>
        <v>0</v>
      </c>
      <c r="M2277" s="285">
        <f t="shared" si="274"/>
        <v>0</v>
      </c>
      <c r="N2277" s="1076">
        <f t="shared" si="275"/>
        <v>0</v>
      </c>
      <c r="O2277" s="294"/>
      <c r="P2277" s="404"/>
      <c r="Q2277" s="404"/>
      <c r="R2277" s="301"/>
      <c r="S2277" s="301"/>
      <c r="T2277" s="301"/>
      <c r="U2277" s="301"/>
      <c r="V2277" s="301"/>
    </row>
    <row r="2278" spans="1:22" ht="14.4" thickTop="1" thickBot="1" x14ac:dyDescent="0.3">
      <c r="A2278" s="292"/>
      <c r="B2278" s="293" t="s">
        <v>2420</v>
      </c>
      <c r="C2278" s="294"/>
      <c r="D2278" s="294"/>
      <c r="E2278" s="294"/>
      <c r="F2278" s="310"/>
      <c r="G2278" s="310"/>
      <c r="H2278" s="310"/>
      <c r="I2278" s="295"/>
      <c r="J2278" s="295"/>
      <c r="K2278" s="300"/>
      <c r="L2278" s="300"/>
      <c r="M2278" s="285"/>
      <c r="N2278" s="1076"/>
      <c r="O2278" s="294"/>
      <c r="P2278" s="404"/>
      <c r="Q2278" s="404"/>
      <c r="R2278" s="301"/>
      <c r="S2278" s="301"/>
      <c r="T2278" s="301"/>
      <c r="U2278" s="301"/>
      <c r="V2278" s="301"/>
    </row>
    <row r="2279" spans="1:22" ht="14.4" thickTop="1" thickBot="1" x14ac:dyDescent="0.3">
      <c r="A2279" s="292"/>
      <c r="B2279" s="293" t="s">
        <v>1918</v>
      </c>
      <c r="C2279" s="294"/>
      <c r="D2279" s="294"/>
      <c r="E2279" s="294"/>
      <c r="F2279" s="310"/>
      <c r="G2279" s="310"/>
      <c r="H2279" s="310"/>
      <c r="I2279" s="295">
        <v>175</v>
      </c>
      <c r="J2279" s="295"/>
      <c r="K2279" s="300"/>
      <c r="L2279" s="300"/>
      <c r="M2279" s="285"/>
      <c r="N2279" s="1076"/>
      <c r="O2279" s="294"/>
      <c r="P2279" s="404"/>
      <c r="Q2279" s="404"/>
      <c r="R2279" s="301"/>
      <c r="S2279" s="301"/>
      <c r="T2279" s="301"/>
      <c r="U2279" s="301"/>
      <c r="V2279" s="301"/>
    </row>
    <row r="2280" spans="1:22" ht="14.4" thickTop="1" thickBot="1" x14ac:dyDescent="0.3">
      <c r="A2280" s="292"/>
      <c r="B2280" s="293" t="s">
        <v>1919</v>
      </c>
      <c r="C2280" s="294"/>
      <c r="D2280" s="294"/>
      <c r="E2280" s="294"/>
      <c r="F2280" s="310"/>
      <c r="G2280" s="310"/>
      <c r="H2280" s="310"/>
      <c r="I2280" s="295">
        <v>172</v>
      </c>
      <c r="J2280" s="295"/>
      <c r="K2280" s="300"/>
      <c r="L2280" s="300"/>
      <c r="M2280" s="285"/>
      <c r="N2280" s="1076"/>
      <c r="O2280" s="294"/>
      <c r="P2280" s="404"/>
      <c r="Q2280" s="404"/>
      <c r="R2280" s="301"/>
      <c r="S2280" s="301"/>
      <c r="T2280" s="301"/>
      <c r="U2280" s="301"/>
      <c r="V2280" s="301"/>
    </row>
    <row r="2281" spans="1:22" ht="14.4" thickTop="1" thickBot="1" x14ac:dyDescent="0.3">
      <c r="A2281" s="292"/>
      <c r="B2281" s="293" t="s">
        <v>1921</v>
      </c>
      <c r="C2281" s="294"/>
      <c r="D2281" s="294"/>
      <c r="E2281" s="294"/>
      <c r="F2281" s="310"/>
      <c r="G2281" s="310"/>
      <c r="H2281" s="310"/>
      <c r="I2281" s="295">
        <v>175</v>
      </c>
      <c r="J2281" s="295"/>
      <c r="K2281" s="300"/>
      <c r="L2281" s="300"/>
      <c r="M2281" s="285"/>
      <c r="N2281" s="1076"/>
      <c r="O2281" s="294"/>
      <c r="P2281" s="404"/>
      <c r="Q2281" s="404"/>
      <c r="R2281" s="301"/>
      <c r="S2281" s="301"/>
      <c r="T2281" s="301"/>
      <c r="U2281" s="301"/>
      <c r="V2281" s="301"/>
    </row>
    <row r="2282" spans="1:22" ht="14.4" thickTop="1" thickBot="1" x14ac:dyDescent="0.3">
      <c r="A2282" s="292"/>
      <c r="B2282" s="293" t="s">
        <v>1922</v>
      </c>
      <c r="C2282" s="294"/>
      <c r="D2282" s="294"/>
      <c r="E2282" s="294"/>
      <c r="F2282" s="310"/>
      <c r="G2282" s="310"/>
      <c r="H2282" s="310"/>
      <c r="I2282" s="295">
        <v>177</v>
      </c>
      <c r="J2282" s="295"/>
      <c r="K2282" s="300"/>
      <c r="L2282" s="300"/>
      <c r="M2282" s="285"/>
      <c r="N2282" s="1076"/>
      <c r="O2282" s="294"/>
      <c r="P2282" s="404"/>
      <c r="Q2282" s="404"/>
      <c r="R2282" s="301"/>
      <c r="S2282" s="301"/>
      <c r="T2282" s="301"/>
      <c r="U2282" s="301"/>
      <c r="V2282" s="301"/>
    </row>
    <row r="2283" spans="1:22" ht="14.4" thickTop="1" thickBot="1" x14ac:dyDescent="0.3">
      <c r="A2283" s="292"/>
      <c r="B2283" s="293"/>
      <c r="C2283" s="294"/>
      <c r="D2283" s="294"/>
      <c r="E2283" s="294"/>
      <c r="F2283" s="310"/>
      <c r="G2283" s="310"/>
      <c r="H2283" s="310"/>
      <c r="I2283" s="295"/>
      <c r="J2283" s="295">
        <f>SUM(I2279:I2282)</f>
        <v>699</v>
      </c>
      <c r="K2283" s="300">
        <f t="shared" si="276"/>
        <v>1.1000000000000001</v>
      </c>
      <c r="L2283" s="300">
        <f t="shared" ref="L2283:L2285" si="277">K2283*J2283</f>
        <v>768.90000000000009</v>
      </c>
      <c r="M2283" s="285">
        <f t="shared" ref="M2283:M2285" si="278">ROUND(L2283,1)</f>
        <v>768.9</v>
      </c>
      <c r="N2283" s="1076">
        <f t="shared" ref="N2283:N2285" si="279">ROUNDUP(M2283,0)</f>
        <v>769</v>
      </c>
      <c r="O2283" s="294" t="s">
        <v>695</v>
      </c>
      <c r="P2283" s="404"/>
      <c r="Q2283" s="404"/>
      <c r="R2283" s="301"/>
      <c r="S2283" s="301"/>
      <c r="T2283" s="301"/>
      <c r="U2283" s="301"/>
      <c r="V2283" s="301"/>
    </row>
    <row r="2284" spans="1:22" ht="14.4" thickTop="1" thickBot="1" x14ac:dyDescent="0.3">
      <c r="A2284" s="292"/>
      <c r="B2284" s="293"/>
      <c r="C2284" s="294"/>
      <c r="D2284" s="294"/>
      <c r="E2284" s="294"/>
      <c r="F2284" s="310"/>
      <c r="G2284" s="310"/>
      <c r="H2284" s="310"/>
      <c r="I2284" s="295"/>
      <c r="J2284" s="295">
        <f>J2283*10.76</f>
        <v>7521.24</v>
      </c>
      <c r="K2284" s="300">
        <f t="shared" si="276"/>
        <v>1.1000000000000001</v>
      </c>
      <c r="L2284" s="300">
        <f t="shared" si="277"/>
        <v>8273.3639999999996</v>
      </c>
      <c r="M2284" s="285">
        <f t="shared" si="278"/>
        <v>8273.4</v>
      </c>
      <c r="N2284" s="1076">
        <f t="shared" si="279"/>
        <v>8274</v>
      </c>
      <c r="O2284" s="294" t="s">
        <v>1846</v>
      </c>
      <c r="P2284" s="404"/>
      <c r="Q2284" s="404"/>
      <c r="R2284" s="301"/>
      <c r="S2284" s="301"/>
      <c r="T2284" s="301"/>
      <c r="U2284" s="301"/>
      <c r="V2284" s="301"/>
    </row>
    <row r="2285" spans="1:22" ht="14.4" thickTop="1" thickBot="1" x14ac:dyDescent="0.3">
      <c r="A2285" s="292"/>
      <c r="B2285" s="293"/>
      <c r="C2285" s="294"/>
      <c r="D2285" s="294"/>
      <c r="E2285" s="294"/>
      <c r="F2285" s="310"/>
      <c r="G2285" s="310"/>
      <c r="H2285" s="310"/>
      <c r="I2285" s="295"/>
      <c r="J2285" s="295">
        <f>J2284/100</f>
        <v>75.212400000000002</v>
      </c>
      <c r="K2285" s="300">
        <v>1.05</v>
      </c>
      <c r="L2285" s="300">
        <f t="shared" si="277"/>
        <v>78.973020000000005</v>
      </c>
      <c r="M2285" s="285">
        <f t="shared" si="278"/>
        <v>79</v>
      </c>
      <c r="N2285" s="1076">
        <f t="shared" si="279"/>
        <v>79</v>
      </c>
      <c r="O2285" s="294" t="s">
        <v>879</v>
      </c>
      <c r="P2285" s="413">
        <f>N2285-J2285</f>
        <v>3.7875999999999976</v>
      </c>
      <c r="Q2285" s="413">
        <f>P2285*200</f>
        <v>757.51999999999953</v>
      </c>
      <c r="R2285" s="301"/>
      <c r="S2285" s="301"/>
      <c r="T2285" s="301"/>
      <c r="U2285" s="301"/>
      <c r="V2285" s="301"/>
    </row>
    <row r="2286" spans="1:22" ht="14.4" thickTop="1" thickBot="1" x14ac:dyDescent="0.3">
      <c r="A2286" s="292"/>
      <c r="B2286" s="293"/>
      <c r="C2286" s="294"/>
      <c r="D2286" s="294"/>
      <c r="E2286" s="294"/>
      <c r="F2286" s="310"/>
      <c r="G2286" s="310"/>
      <c r="H2286" s="310"/>
      <c r="I2286" s="295"/>
      <c r="J2286" s="295"/>
      <c r="K2286" s="300"/>
      <c r="L2286" s="300"/>
      <c r="M2286" s="285"/>
      <c r="N2286" s="1076"/>
      <c r="O2286" s="294"/>
      <c r="P2286" s="404"/>
      <c r="Q2286" s="404"/>
      <c r="R2286" s="301"/>
      <c r="S2286" s="301"/>
      <c r="T2286" s="301"/>
      <c r="U2286" s="301"/>
      <c r="V2286" s="301"/>
    </row>
    <row r="2287" spans="1:22" ht="14.4" thickTop="1" thickBot="1" x14ac:dyDescent="0.3">
      <c r="A2287" s="292"/>
      <c r="B2287" s="296" t="s">
        <v>2460</v>
      </c>
      <c r="C2287" s="294"/>
      <c r="D2287" s="294"/>
      <c r="E2287" s="294"/>
      <c r="F2287" s="310"/>
      <c r="G2287" s="310"/>
      <c r="H2287" s="310"/>
      <c r="I2287" s="295"/>
      <c r="J2287" s="295"/>
      <c r="K2287" s="300"/>
      <c r="L2287" s="300"/>
      <c r="M2287" s="285"/>
      <c r="N2287" s="1076"/>
      <c r="O2287" s="294"/>
      <c r="P2287" s="404"/>
      <c r="Q2287" s="404"/>
      <c r="R2287" s="301"/>
      <c r="S2287" s="301"/>
      <c r="T2287" s="301"/>
      <c r="U2287" s="301"/>
      <c r="V2287" s="301"/>
    </row>
    <row r="2288" spans="1:22" ht="14.4" thickTop="1" thickBot="1" x14ac:dyDescent="0.3">
      <c r="A2288" s="292"/>
      <c r="B2288" s="293" t="s">
        <v>1918</v>
      </c>
      <c r="C2288" s="294"/>
      <c r="D2288" s="294"/>
      <c r="E2288" s="294"/>
      <c r="F2288" s="310">
        <v>52.1</v>
      </c>
      <c r="G2288" s="310"/>
      <c r="H2288" s="310"/>
      <c r="I2288" s="295"/>
      <c r="J2288" s="295"/>
      <c r="K2288" s="300"/>
      <c r="L2288" s="300"/>
      <c r="M2288" s="285"/>
      <c r="N2288" s="1076"/>
      <c r="O2288" s="294"/>
      <c r="P2288" s="404"/>
      <c r="Q2288" s="404"/>
      <c r="R2288" s="301"/>
      <c r="S2288" s="301"/>
      <c r="T2288" s="301"/>
      <c r="U2288" s="301"/>
      <c r="V2288" s="301"/>
    </row>
    <row r="2289" spans="1:22" ht="14.4" thickTop="1" thickBot="1" x14ac:dyDescent="0.3">
      <c r="A2289" s="292"/>
      <c r="B2289" s="293" t="s">
        <v>1919</v>
      </c>
      <c r="C2289" s="294"/>
      <c r="D2289" s="294"/>
      <c r="E2289" s="294"/>
      <c r="F2289" s="310">
        <v>33</v>
      </c>
      <c r="G2289" s="310"/>
      <c r="H2289" s="310"/>
      <c r="I2289" s="295"/>
      <c r="J2289" s="295"/>
      <c r="K2289" s="300"/>
      <c r="L2289" s="300"/>
      <c r="M2289" s="285"/>
      <c r="N2289" s="1076"/>
      <c r="O2289" s="294"/>
      <c r="P2289" s="404"/>
      <c r="Q2289" s="404"/>
      <c r="R2289" s="301"/>
      <c r="S2289" s="301"/>
      <c r="T2289" s="301"/>
      <c r="U2289" s="301"/>
      <c r="V2289" s="301"/>
    </row>
    <row r="2290" spans="1:22" ht="14.4" thickTop="1" thickBot="1" x14ac:dyDescent="0.3">
      <c r="A2290" s="292"/>
      <c r="B2290" s="293" t="s">
        <v>1921</v>
      </c>
      <c r="C2290" s="294"/>
      <c r="D2290" s="294"/>
      <c r="E2290" s="294"/>
      <c r="F2290" s="310">
        <v>12.2</v>
      </c>
      <c r="G2290" s="310"/>
      <c r="H2290" s="310"/>
      <c r="I2290" s="295"/>
      <c r="J2290" s="295"/>
      <c r="K2290" s="300"/>
      <c r="L2290" s="300"/>
      <c r="M2290" s="285"/>
      <c r="N2290" s="1076"/>
      <c r="O2290" s="294"/>
      <c r="P2290" s="404"/>
      <c r="Q2290" s="404"/>
      <c r="R2290" s="301"/>
      <c r="S2290" s="301"/>
      <c r="T2290" s="301"/>
      <c r="U2290" s="301"/>
      <c r="V2290" s="301"/>
    </row>
    <row r="2291" spans="1:22" ht="14.4" thickTop="1" thickBot="1" x14ac:dyDescent="0.3">
      <c r="A2291" s="292"/>
      <c r="B2291" s="293"/>
      <c r="C2291" s="294"/>
      <c r="D2291" s="294"/>
      <c r="E2291" s="294"/>
      <c r="F2291" s="310">
        <v>40.1</v>
      </c>
      <c r="G2291" s="310"/>
      <c r="H2291" s="310"/>
      <c r="I2291" s="295"/>
      <c r="J2291" s="295"/>
      <c r="K2291" s="300"/>
      <c r="L2291" s="300"/>
      <c r="M2291" s="285"/>
      <c r="N2291" s="1076"/>
      <c r="O2291" s="294"/>
      <c r="P2291" s="404"/>
      <c r="Q2291" s="404"/>
      <c r="R2291" s="301"/>
      <c r="S2291" s="301"/>
      <c r="T2291" s="301"/>
      <c r="U2291" s="301"/>
      <c r="V2291" s="301"/>
    </row>
    <row r="2292" spans="1:22" ht="14.4" thickTop="1" thickBot="1" x14ac:dyDescent="0.3">
      <c r="A2292" s="292"/>
      <c r="B2292" s="293" t="s">
        <v>1922</v>
      </c>
      <c r="C2292" s="294"/>
      <c r="D2292" s="294"/>
      <c r="E2292" s="294"/>
      <c r="F2292" s="310">
        <v>50.2</v>
      </c>
      <c r="G2292" s="310"/>
      <c r="H2292" s="310"/>
      <c r="I2292" s="295"/>
      <c r="J2292" s="295">
        <f>SUM(F2288:F2292)</f>
        <v>187.60000000000002</v>
      </c>
      <c r="K2292" s="300">
        <v>1.01</v>
      </c>
      <c r="L2292" s="300">
        <f>K2292*J2292</f>
        <v>189.47600000000003</v>
      </c>
      <c r="M2292" s="285">
        <f t="shared" ref="M2292:M2293" si="280">ROUND(L2292,1)</f>
        <v>189.5</v>
      </c>
      <c r="N2292" s="1076">
        <f t="shared" ref="N2292:N2293" si="281">ROUNDUP(M2292,0)</f>
        <v>190</v>
      </c>
      <c r="O2292" s="294" t="s">
        <v>1912</v>
      </c>
      <c r="P2292" s="404"/>
      <c r="Q2292" s="404"/>
      <c r="R2292" s="301"/>
      <c r="S2292" s="301"/>
      <c r="T2292" s="301"/>
      <c r="U2292" s="301"/>
      <c r="V2292" s="301"/>
    </row>
    <row r="2293" spans="1:22" ht="14.4" thickTop="1" thickBot="1" x14ac:dyDescent="0.3">
      <c r="A2293" s="292"/>
      <c r="B2293" s="293"/>
      <c r="C2293" s="294"/>
      <c r="D2293" s="294"/>
      <c r="E2293" s="294"/>
      <c r="F2293" s="310"/>
      <c r="G2293" s="310"/>
      <c r="H2293" s="310"/>
      <c r="I2293" s="295"/>
      <c r="J2293" s="295">
        <f>J2292*3.28</f>
        <v>615.32800000000009</v>
      </c>
      <c r="K2293" s="300">
        <v>1.1000000000000001</v>
      </c>
      <c r="L2293" s="300">
        <f t="shared" ref="L2293" si="282">K2293*J2293</f>
        <v>676.86080000000015</v>
      </c>
      <c r="M2293" s="285">
        <f t="shared" si="280"/>
        <v>676.9</v>
      </c>
      <c r="N2293" s="1076">
        <f t="shared" si="281"/>
        <v>677</v>
      </c>
      <c r="O2293" s="294" t="s">
        <v>1626</v>
      </c>
      <c r="P2293" s="404"/>
      <c r="Q2293" s="404"/>
      <c r="R2293" s="301"/>
      <c r="S2293" s="301"/>
      <c r="T2293" s="301"/>
      <c r="U2293" s="301"/>
      <c r="V2293" s="301"/>
    </row>
    <row r="2294" spans="1:22" ht="14.4" thickTop="1" thickBot="1" x14ac:dyDescent="0.3">
      <c r="A2294" s="292"/>
      <c r="B2294" s="293"/>
      <c r="C2294" s="294"/>
      <c r="D2294" s="294"/>
      <c r="E2294" s="294"/>
      <c r="F2294" s="310"/>
      <c r="G2294" s="310"/>
      <c r="H2294" s="310"/>
      <c r="I2294" s="295"/>
      <c r="J2294" s="295"/>
      <c r="K2294" s="300"/>
      <c r="L2294" s="300"/>
      <c r="M2294" s="285"/>
      <c r="N2294" s="1076"/>
      <c r="O2294" s="294"/>
      <c r="P2294" s="404"/>
      <c r="Q2294" s="404"/>
      <c r="R2294" s="301"/>
      <c r="S2294" s="301"/>
      <c r="T2294" s="301"/>
      <c r="U2294" s="301"/>
      <c r="V2294" s="301"/>
    </row>
    <row r="2295" spans="1:22" ht="14.4" thickTop="1" thickBot="1" x14ac:dyDescent="0.3">
      <c r="A2295" s="292"/>
      <c r="B2295" s="293"/>
      <c r="C2295" s="294"/>
      <c r="D2295" s="294"/>
      <c r="E2295" s="294"/>
      <c r="F2295" s="310"/>
      <c r="G2295" s="310"/>
      <c r="H2295" s="310"/>
      <c r="I2295" s="295"/>
      <c r="J2295" s="295"/>
      <c r="K2295" s="300"/>
      <c r="L2295" s="300"/>
      <c r="M2295" s="285"/>
      <c r="N2295" s="1076"/>
      <c r="O2295" s="294"/>
      <c r="P2295" s="404"/>
      <c r="Q2295" s="404"/>
      <c r="R2295" s="301"/>
      <c r="S2295" s="301"/>
      <c r="T2295" s="301"/>
      <c r="U2295" s="301"/>
      <c r="V2295" s="301"/>
    </row>
    <row r="2296" spans="1:22" ht="14.4" thickTop="1" thickBot="1" x14ac:dyDescent="0.3">
      <c r="A2296" s="292"/>
      <c r="B2296" s="293"/>
      <c r="C2296" s="294"/>
      <c r="D2296" s="294"/>
      <c r="E2296" s="294"/>
      <c r="F2296" s="310"/>
      <c r="G2296" s="310"/>
      <c r="H2296" s="310"/>
      <c r="I2296" s="295"/>
      <c r="J2296" s="295"/>
      <c r="K2296" s="300"/>
      <c r="L2296" s="300"/>
      <c r="M2296" s="285"/>
      <c r="N2296" s="1076"/>
      <c r="O2296" s="294"/>
      <c r="P2296" s="404"/>
      <c r="Q2296" s="404"/>
      <c r="R2296" s="301"/>
      <c r="S2296" s="301"/>
      <c r="T2296" s="301"/>
      <c r="U2296" s="301"/>
      <c r="V2296" s="301"/>
    </row>
    <row r="2297" spans="1:22" ht="14.4" thickTop="1" thickBot="1" x14ac:dyDescent="0.3">
      <c r="A2297" s="292"/>
      <c r="B2297" s="293"/>
      <c r="C2297" s="294"/>
      <c r="D2297" s="294"/>
      <c r="E2297" s="294"/>
      <c r="F2297" s="310"/>
      <c r="G2297" s="310"/>
      <c r="H2297" s="310"/>
      <c r="I2297" s="295"/>
      <c r="J2297" s="295"/>
      <c r="K2297" s="300"/>
      <c r="L2297" s="300"/>
      <c r="M2297" s="285"/>
      <c r="N2297" s="1076"/>
      <c r="O2297" s="294"/>
      <c r="P2297" s="404"/>
      <c r="Q2297" s="404"/>
      <c r="R2297" s="301"/>
      <c r="S2297" s="301"/>
      <c r="T2297" s="301"/>
      <c r="U2297" s="301"/>
      <c r="V2297" s="301"/>
    </row>
    <row r="2298" spans="1:22" ht="14.4" thickTop="1" thickBot="1" x14ac:dyDescent="0.3">
      <c r="A2298" s="292"/>
      <c r="B2298" s="293"/>
      <c r="C2298" s="294"/>
      <c r="D2298" s="294"/>
      <c r="E2298" s="294"/>
      <c r="F2298" s="310"/>
      <c r="G2298" s="310"/>
      <c r="H2298" s="310"/>
      <c r="I2298" s="295"/>
      <c r="J2298" s="295"/>
      <c r="K2298" s="300"/>
      <c r="L2298" s="300"/>
      <c r="M2298" s="285"/>
      <c r="N2298" s="1076"/>
      <c r="O2298" s="294"/>
      <c r="P2298" s="404"/>
      <c r="Q2298" s="404"/>
      <c r="R2298" s="301"/>
      <c r="S2298" s="301"/>
      <c r="T2298" s="301"/>
      <c r="U2298" s="301"/>
      <c r="V2298" s="301"/>
    </row>
    <row r="2299" spans="1:22" ht="14.4" thickTop="1" thickBot="1" x14ac:dyDescent="0.3">
      <c r="A2299" s="292"/>
      <c r="B2299" s="293"/>
      <c r="C2299" s="294"/>
      <c r="D2299" s="294"/>
      <c r="E2299" s="294"/>
      <c r="F2299" s="310"/>
      <c r="G2299" s="310"/>
      <c r="H2299" s="310"/>
      <c r="I2299" s="295"/>
      <c r="J2299" s="295"/>
      <c r="K2299" s="300"/>
      <c r="L2299" s="300"/>
      <c r="M2299" s="285"/>
      <c r="N2299" s="1076"/>
      <c r="O2299" s="294"/>
      <c r="P2299" s="404"/>
      <c r="Q2299" s="404"/>
      <c r="R2299" s="301"/>
      <c r="S2299" s="301"/>
      <c r="T2299" s="301"/>
      <c r="U2299" s="301"/>
      <c r="V2299" s="301"/>
    </row>
    <row r="2300" spans="1:22" ht="14.4" thickTop="1" thickBot="1" x14ac:dyDescent="0.3">
      <c r="A2300" s="292"/>
      <c r="B2300" s="293"/>
      <c r="C2300" s="294"/>
      <c r="D2300" s="294"/>
      <c r="E2300" s="294"/>
      <c r="F2300" s="310"/>
      <c r="G2300" s="310"/>
      <c r="H2300" s="310"/>
      <c r="I2300" s="295"/>
      <c r="J2300" s="295"/>
      <c r="K2300" s="300"/>
      <c r="L2300" s="300"/>
      <c r="M2300" s="285"/>
      <c r="N2300" s="1076"/>
      <c r="O2300" s="294"/>
      <c r="P2300" s="404"/>
      <c r="Q2300" s="404"/>
      <c r="R2300" s="301"/>
      <c r="S2300" s="301"/>
      <c r="T2300" s="301"/>
      <c r="U2300" s="301"/>
      <c r="V2300" s="301"/>
    </row>
    <row r="2301" spans="1:22" ht="14.4" thickTop="1" thickBot="1" x14ac:dyDescent="0.3">
      <c r="A2301" s="292"/>
      <c r="B2301" s="293"/>
      <c r="C2301" s="294"/>
      <c r="D2301" s="294"/>
      <c r="E2301" s="294"/>
      <c r="F2301" s="310"/>
      <c r="G2301" s="310"/>
      <c r="H2301" s="310"/>
      <c r="I2301" s="295"/>
      <c r="J2301" s="295"/>
      <c r="K2301" s="300"/>
      <c r="L2301" s="300"/>
      <c r="M2301" s="285"/>
      <c r="N2301" s="1076"/>
      <c r="O2301" s="294"/>
      <c r="P2301" s="404"/>
      <c r="Q2301" s="404"/>
      <c r="R2301" s="301"/>
      <c r="S2301" s="301"/>
      <c r="T2301" s="301"/>
      <c r="U2301" s="301"/>
      <c r="V2301" s="301"/>
    </row>
    <row r="2302" spans="1:22" ht="14.4" thickTop="1" thickBot="1" x14ac:dyDescent="0.3">
      <c r="A2302" s="292"/>
      <c r="B2302" s="293"/>
      <c r="C2302" s="294"/>
      <c r="D2302" s="294"/>
      <c r="E2302" s="294"/>
      <c r="F2302" s="310"/>
      <c r="G2302" s="310"/>
      <c r="H2302" s="310"/>
      <c r="I2302" s="295"/>
      <c r="J2302" s="295"/>
      <c r="K2302" s="300"/>
      <c r="L2302" s="300"/>
      <c r="M2302" s="285"/>
      <c r="N2302" s="1076"/>
      <c r="O2302" s="294"/>
      <c r="P2302" s="404"/>
      <c r="Q2302" s="404"/>
      <c r="R2302" s="301"/>
      <c r="S2302" s="301"/>
      <c r="T2302" s="301"/>
      <c r="U2302" s="301"/>
      <c r="V2302" s="301"/>
    </row>
    <row r="2303" spans="1:22" ht="14.4" thickTop="1" thickBot="1" x14ac:dyDescent="0.3">
      <c r="A2303" s="292"/>
      <c r="B2303" s="293"/>
      <c r="C2303" s="294"/>
      <c r="D2303" s="294"/>
      <c r="E2303" s="294"/>
      <c r="F2303" s="310"/>
      <c r="G2303" s="310"/>
      <c r="H2303" s="310"/>
      <c r="I2303" s="295"/>
      <c r="J2303" s="295"/>
      <c r="K2303" s="300"/>
      <c r="L2303" s="300"/>
      <c r="M2303" s="285"/>
      <c r="N2303" s="1076"/>
      <c r="O2303" s="294"/>
      <c r="P2303" s="404"/>
      <c r="Q2303" s="404"/>
      <c r="R2303" s="301"/>
      <c r="S2303" s="301"/>
      <c r="T2303" s="301"/>
      <c r="U2303" s="301"/>
      <c r="V2303" s="301"/>
    </row>
    <row r="2304" spans="1:22" ht="14.4" thickTop="1" thickBot="1" x14ac:dyDescent="0.3">
      <c r="A2304" s="292"/>
      <c r="B2304" s="293"/>
      <c r="C2304" s="294"/>
      <c r="D2304" s="294"/>
      <c r="E2304" s="294"/>
      <c r="F2304" s="310"/>
      <c r="G2304" s="310"/>
      <c r="H2304" s="310"/>
      <c r="I2304" s="295"/>
      <c r="J2304" s="295"/>
      <c r="K2304" s="300"/>
      <c r="L2304" s="300"/>
      <c r="M2304" s="285"/>
      <c r="N2304" s="1076"/>
      <c r="O2304" s="294"/>
      <c r="P2304" s="404"/>
      <c r="Q2304" s="404"/>
      <c r="R2304" s="301"/>
      <c r="S2304" s="301"/>
      <c r="T2304" s="301"/>
      <c r="U2304" s="301"/>
      <c r="V2304" s="301"/>
    </row>
    <row r="2305" spans="1:22" ht="14.4" thickTop="1" thickBot="1" x14ac:dyDescent="0.3">
      <c r="A2305" s="292"/>
      <c r="B2305" s="293"/>
      <c r="C2305" s="294"/>
      <c r="D2305" s="294"/>
      <c r="E2305" s="294"/>
      <c r="F2305" s="310"/>
      <c r="G2305" s="310"/>
      <c r="H2305" s="310"/>
      <c r="I2305" s="295"/>
      <c r="J2305" s="295"/>
      <c r="K2305" s="300"/>
      <c r="L2305" s="300"/>
      <c r="M2305" s="285"/>
      <c r="N2305" s="1076"/>
      <c r="O2305" s="294"/>
      <c r="P2305" s="404"/>
      <c r="Q2305" s="404"/>
      <c r="R2305" s="301"/>
      <c r="S2305" s="301"/>
      <c r="T2305" s="301"/>
      <c r="U2305" s="301"/>
      <c r="V2305" s="301"/>
    </row>
    <row r="2306" spans="1:22" ht="14.4" thickTop="1" thickBot="1" x14ac:dyDescent="0.3">
      <c r="A2306" s="292"/>
      <c r="B2306" s="293"/>
      <c r="C2306" s="294"/>
      <c r="D2306" s="294"/>
      <c r="E2306" s="294"/>
      <c r="F2306" s="310"/>
      <c r="G2306" s="310"/>
      <c r="H2306" s="310"/>
      <c r="I2306" s="295"/>
      <c r="J2306" s="295"/>
      <c r="K2306" s="300"/>
      <c r="L2306" s="300"/>
      <c r="M2306" s="285"/>
      <c r="N2306" s="1076"/>
      <c r="O2306" s="294"/>
      <c r="P2306" s="404"/>
      <c r="Q2306" s="404"/>
      <c r="R2306" s="301"/>
      <c r="S2306" s="301"/>
      <c r="T2306" s="301"/>
      <c r="U2306" s="301"/>
      <c r="V2306" s="301"/>
    </row>
    <row r="2307" spans="1:22" ht="14.4" thickTop="1" thickBot="1" x14ac:dyDescent="0.3">
      <c r="A2307" s="292"/>
      <c r="B2307" s="293"/>
      <c r="C2307" s="294"/>
      <c r="D2307" s="294"/>
      <c r="E2307" s="294"/>
      <c r="F2307" s="310"/>
      <c r="G2307" s="310"/>
      <c r="H2307" s="310"/>
      <c r="I2307" s="295"/>
      <c r="J2307" s="295"/>
      <c r="K2307" s="300"/>
      <c r="L2307" s="300"/>
      <c r="M2307" s="285"/>
      <c r="N2307" s="1076"/>
      <c r="O2307" s="294"/>
      <c r="P2307" s="404"/>
      <c r="Q2307" s="404"/>
      <c r="R2307" s="301"/>
      <c r="S2307" s="301"/>
      <c r="T2307" s="301"/>
      <c r="U2307" s="301"/>
      <c r="V2307" s="301"/>
    </row>
    <row r="2308" spans="1:22" ht="14.4" thickTop="1" thickBot="1" x14ac:dyDescent="0.3">
      <c r="A2308" s="292"/>
      <c r="B2308" s="293"/>
      <c r="C2308" s="294"/>
      <c r="D2308" s="294"/>
      <c r="E2308" s="294"/>
      <c r="F2308" s="310"/>
      <c r="G2308" s="310"/>
      <c r="H2308" s="310"/>
      <c r="I2308" s="295"/>
      <c r="J2308" s="295"/>
      <c r="K2308" s="300"/>
      <c r="L2308" s="300"/>
      <c r="M2308" s="285"/>
      <c r="N2308" s="1076"/>
      <c r="O2308" s="294"/>
      <c r="P2308" s="404"/>
      <c r="Q2308" s="404"/>
      <c r="R2308" s="301"/>
      <c r="S2308" s="301"/>
      <c r="T2308" s="301"/>
      <c r="U2308" s="301"/>
      <c r="V2308" s="301"/>
    </row>
    <row r="2309" spans="1:22" ht="14.4" thickTop="1" thickBot="1" x14ac:dyDescent="0.3">
      <c r="A2309" s="292"/>
      <c r="B2309" s="293"/>
      <c r="C2309" s="294"/>
      <c r="D2309" s="294"/>
      <c r="E2309" s="294"/>
      <c r="F2309" s="310"/>
      <c r="G2309" s="310"/>
      <c r="H2309" s="310"/>
      <c r="I2309" s="295"/>
      <c r="J2309" s="295"/>
      <c r="K2309" s="300"/>
      <c r="L2309" s="300"/>
      <c r="M2309" s="285"/>
      <c r="N2309" s="1076"/>
      <c r="O2309" s="294"/>
      <c r="P2309" s="404"/>
      <c r="Q2309" s="404"/>
      <c r="R2309" s="301"/>
      <c r="S2309" s="301"/>
      <c r="T2309" s="301"/>
      <c r="U2309" s="301"/>
      <c r="V2309" s="301"/>
    </row>
    <row r="2310" spans="1:22" ht="14.4" thickTop="1" thickBot="1" x14ac:dyDescent="0.3">
      <c r="A2310" s="292"/>
      <c r="B2310" s="293"/>
      <c r="C2310" s="294"/>
      <c r="D2310" s="294"/>
      <c r="E2310" s="294"/>
      <c r="F2310" s="310"/>
      <c r="G2310" s="310"/>
      <c r="H2310" s="310"/>
      <c r="I2310" s="295"/>
      <c r="J2310" s="295"/>
      <c r="K2310" s="300"/>
      <c r="L2310" s="300"/>
      <c r="M2310" s="285"/>
      <c r="N2310" s="1076"/>
      <c r="O2310" s="294"/>
      <c r="P2310" s="404"/>
      <c r="Q2310" s="404"/>
      <c r="R2310" s="301"/>
      <c r="S2310" s="301"/>
      <c r="T2310" s="301"/>
      <c r="U2310" s="301"/>
      <c r="V2310" s="301"/>
    </row>
    <row r="2311" spans="1:22" ht="14.4" thickTop="1" thickBot="1" x14ac:dyDescent="0.3">
      <c r="A2311" s="292"/>
      <c r="B2311" s="293"/>
      <c r="C2311" s="294"/>
      <c r="D2311" s="294"/>
      <c r="E2311" s="294"/>
      <c r="F2311" s="310"/>
      <c r="G2311" s="310"/>
      <c r="H2311" s="310"/>
      <c r="I2311" s="295"/>
      <c r="J2311" s="295"/>
      <c r="K2311" s="300"/>
      <c r="L2311" s="300"/>
      <c r="M2311" s="285"/>
      <c r="N2311" s="1076"/>
      <c r="O2311" s="294"/>
      <c r="P2311" s="404"/>
      <c r="Q2311" s="404"/>
      <c r="R2311" s="301"/>
      <c r="S2311" s="301"/>
      <c r="T2311" s="301"/>
      <c r="U2311" s="301"/>
      <c r="V2311" s="301"/>
    </row>
    <row r="2312" spans="1:22" ht="14.4" thickTop="1" thickBot="1" x14ac:dyDescent="0.3">
      <c r="A2312" s="292"/>
      <c r="B2312" s="293"/>
      <c r="C2312" s="294"/>
      <c r="D2312" s="294"/>
      <c r="E2312" s="294"/>
      <c r="F2312" s="310"/>
      <c r="G2312" s="310"/>
      <c r="H2312" s="310"/>
      <c r="I2312" s="295"/>
      <c r="J2312" s="295"/>
      <c r="K2312" s="300"/>
      <c r="L2312" s="300"/>
      <c r="M2312" s="285"/>
      <c r="N2312" s="1076"/>
      <c r="O2312" s="294"/>
      <c r="P2312" s="404"/>
      <c r="Q2312" s="404"/>
      <c r="R2312" s="301"/>
      <c r="S2312" s="301"/>
      <c r="T2312" s="301"/>
      <c r="U2312" s="301"/>
      <c r="V2312" s="301"/>
    </row>
    <row r="2313" spans="1:22" ht="14.4" thickTop="1" thickBot="1" x14ac:dyDescent="0.3">
      <c r="A2313" s="292"/>
      <c r="B2313" s="293"/>
      <c r="C2313" s="294"/>
      <c r="D2313" s="294"/>
      <c r="E2313" s="294"/>
      <c r="F2313" s="310"/>
      <c r="G2313" s="310"/>
      <c r="H2313" s="310"/>
      <c r="I2313" s="295"/>
      <c r="J2313" s="295"/>
      <c r="K2313" s="300"/>
      <c r="L2313" s="300"/>
      <c r="M2313" s="285"/>
      <c r="N2313" s="1076"/>
      <c r="O2313" s="294"/>
      <c r="P2313" s="404"/>
      <c r="Q2313" s="404"/>
      <c r="R2313" s="301"/>
      <c r="S2313" s="301"/>
      <c r="T2313" s="301"/>
      <c r="U2313" s="301"/>
      <c r="V2313" s="301"/>
    </row>
    <row r="2314" spans="1:22" ht="14.4" thickTop="1" thickBot="1" x14ac:dyDescent="0.3">
      <c r="A2314" s="292"/>
      <c r="B2314" s="293"/>
      <c r="C2314" s="294"/>
      <c r="D2314" s="294"/>
      <c r="E2314" s="294"/>
      <c r="F2314" s="310"/>
      <c r="G2314" s="310"/>
      <c r="H2314" s="310"/>
      <c r="I2314" s="295"/>
      <c r="J2314" s="295"/>
      <c r="K2314" s="300"/>
      <c r="L2314" s="300"/>
      <c r="M2314" s="285"/>
      <c r="N2314" s="1076"/>
      <c r="O2314" s="294"/>
      <c r="P2314" s="404"/>
      <c r="Q2314" s="404"/>
      <c r="R2314" s="301"/>
      <c r="S2314" s="301"/>
      <c r="T2314" s="301"/>
      <c r="U2314" s="301"/>
      <c r="V2314" s="301"/>
    </row>
    <row r="2315" spans="1:22" ht="14.4" thickTop="1" thickBot="1" x14ac:dyDescent="0.3">
      <c r="A2315" s="292"/>
      <c r="B2315" s="293"/>
      <c r="C2315" s="294"/>
      <c r="D2315" s="294"/>
      <c r="E2315" s="294"/>
      <c r="F2315" s="310"/>
      <c r="G2315" s="310"/>
      <c r="H2315" s="310"/>
      <c r="I2315" s="295"/>
      <c r="J2315" s="295"/>
      <c r="K2315" s="300"/>
      <c r="L2315" s="300"/>
      <c r="M2315" s="285"/>
      <c r="N2315" s="1076"/>
      <c r="O2315" s="294"/>
      <c r="P2315" s="404"/>
      <c r="Q2315" s="404"/>
      <c r="R2315" s="301"/>
      <c r="S2315" s="301"/>
      <c r="T2315" s="301"/>
      <c r="U2315" s="301"/>
      <c r="V2315" s="301"/>
    </row>
    <row r="2316" spans="1:22" ht="14.4" thickTop="1" thickBot="1" x14ac:dyDescent="0.3">
      <c r="A2316" s="292"/>
      <c r="B2316" s="293"/>
      <c r="C2316" s="294"/>
      <c r="D2316" s="294"/>
      <c r="E2316" s="294"/>
      <c r="F2316" s="310"/>
      <c r="G2316" s="310"/>
      <c r="H2316" s="310"/>
      <c r="I2316" s="295"/>
      <c r="J2316" s="295"/>
      <c r="K2316" s="300"/>
      <c r="L2316" s="300"/>
      <c r="M2316" s="285"/>
      <c r="N2316" s="1076"/>
      <c r="O2316" s="294"/>
      <c r="P2316" s="404"/>
      <c r="Q2316" s="404"/>
      <c r="R2316" s="301"/>
      <c r="S2316" s="301"/>
      <c r="T2316" s="301"/>
      <c r="U2316" s="301"/>
      <c r="V2316" s="301"/>
    </row>
    <row r="2317" spans="1:22" ht="14.4" thickTop="1" thickBot="1" x14ac:dyDescent="0.3">
      <c r="A2317" s="292"/>
      <c r="B2317" s="293"/>
      <c r="C2317" s="294"/>
      <c r="D2317" s="294"/>
      <c r="E2317" s="294"/>
      <c r="F2317" s="310"/>
      <c r="G2317" s="310"/>
      <c r="H2317" s="310"/>
      <c r="I2317" s="295"/>
      <c r="J2317" s="295"/>
      <c r="K2317" s="300"/>
      <c r="L2317" s="300"/>
      <c r="M2317" s="285"/>
      <c r="N2317" s="1076"/>
      <c r="O2317" s="294"/>
      <c r="P2317" s="404"/>
      <c r="Q2317" s="404"/>
      <c r="R2317" s="301"/>
      <c r="S2317" s="301"/>
      <c r="T2317" s="301"/>
      <c r="U2317" s="301"/>
      <c r="V2317" s="301"/>
    </row>
    <row r="2318" spans="1:22" ht="14.4" thickTop="1" thickBot="1" x14ac:dyDescent="0.3">
      <c r="A2318" s="292"/>
      <c r="B2318" s="293"/>
      <c r="C2318" s="294"/>
      <c r="D2318" s="294"/>
      <c r="E2318" s="294"/>
      <c r="F2318" s="310"/>
      <c r="G2318" s="310"/>
      <c r="H2318" s="310"/>
      <c r="I2318" s="295"/>
      <c r="J2318" s="295"/>
      <c r="K2318" s="300"/>
      <c r="L2318" s="300"/>
      <c r="M2318" s="285"/>
      <c r="N2318" s="1076"/>
      <c r="O2318" s="294"/>
      <c r="P2318" s="404"/>
      <c r="Q2318" s="404"/>
      <c r="R2318" s="301"/>
      <c r="S2318" s="301"/>
      <c r="T2318" s="301"/>
      <c r="U2318" s="301"/>
      <c r="V2318" s="301"/>
    </row>
    <row r="2319" spans="1:22" ht="14.4" thickTop="1" thickBot="1" x14ac:dyDescent="0.3">
      <c r="A2319" s="292"/>
      <c r="B2319" s="293"/>
      <c r="C2319" s="294"/>
      <c r="D2319" s="294"/>
      <c r="E2319" s="294"/>
      <c r="F2319" s="310"/>
      <c r="G2319" s="310"/>
      <c r="H2319" s="310"/>
      <c r="I2319" s="295"/>
      <c r="J2319" s="295"/>
      <c r="K2319" s="300"/>
      <c r="L2319" s="300"/>
      <c r="M2319" s="285"/>
      <c r="N2319" s="1076"/>
      <c r="O2319" s="294"/>
      <c r="P2319" s="404"/>
      <c r="Q2319" s="404"/>
      <c r="R2319" s="301"/>
      <c r="S2319" s="301"/>
      <c r="T2319" s="301"/>
      <c r="U2319" s="301"/>
      <c r="V2319" s="301"/>
    </row>
    <row r="2320" spans="1:22" ht="14.4" thickTop="1" thickBot="1" x14ac:dyDescent="0.3">
      <c r="A2320" s="292"/>
      <c r="B2320" s="293"/>
      <c r="C2320" s="294"/>
      <c r="D2320" s="294"/>
      <c r="E2320" s="294"/>
      <c r="F2320" s="310"/>
      <c r="G2320" s="310"/>
      <c r="H2320" s="310"/>
      <c r="I2320" s="295"/>
      <c r="J2320" s="295"/>
      <c r="K2320" s="300"/>
      <c r="L2320" s="300"/>
      <c r="M2320" s="285"/>
      <c r="N2320" s="1076"/>
      <c r="O2320" s="294"/>
      <c r="P2320" s="404"/>
      <c r="Q2320" s="404"/>
      <c r="R2320" s="301"/>
      <c r="S2320" s="301"/>
      <c r="T2320" s="301"/>
      <c r="U2320" s="301"/>
      <c r="V2320" s="301"/>
    </row>
    <row r="2321" spans="1:22" ht="14.4" thickTop="1" thickBot="1" x14ac:dyDescent="0.3">
      <c r="A2321" s="292"/>
      <c r="B2321" s="293"/>
      <c r="C2321" s="294"/>
      <c r="D2321" s="294"/>
      <c r="E2321" s="294"/>
      <c r="F2321" s="310"/>
      <c r="G2321" s="310"/>
      <c r="H2321" s="310"/>
      <c r="I2321" s="295"/>
      <c r="J2321" s="295"/>
      <c r="K2321" s="300"/>
      <c r="L2321" s="300"/>
      <c r="M2321" s="285"/>
      <c r="N2321" s="1076"/>
      <c r="O2321" s="294"/>
      <c r="P2321" s="404"/>
      <c r="Q2321" s="404"/>
      <c r="R2321" s="301"/>
      <c r="S2321" s="301"/>
      <c r="T2321" s="301"/>
      <c r="U2321" s="301"/>
      <c r="V2321" s="301"/>
    </row>
    <row r="2322" spans="1:22" ht="14.4" thickTop="1" thickBot="1" x14ac:dyDescent="0.3">
      <c r="A2322" s="292"/>
      <c r="B2322" s="293"/>
      <c r="C2322" s="294"/>
      <c r="D2322" s="294"/>
      <c r="E2322" s="294"/>
      <c r="F2322" s="310"/>
      <c r="G2322" s="310"/>
      <c r="H2322" s="310"/>
      <c r="I2322" s="295"/>
      <c r="J2322" s="295"/>
      <c r="K2322" s="300"/>
      <c r="L2322" s="300"/>
      <c r="M2322" s="285"/>
      <c r="N2322" s="1076"/>
      <c r="O2322" s="294"/>
      <c r="P2322" s="404"/>
      <c r="Q2322" s="404"/>
      <c r="R2322" s="301"/>
      <c r="S2322" s="301"/>
      <c r="T2322" s="301"/>
      <c r="U2322" s="301"/>
      <c r="V2322" s="301"/>
    </row>
    <row r="2323" spans="1:22" ht="14.4" thickTop="1" thickBot="1" x14ac:dyDescent="0.3">
      <c r="A2323" s="292"/>
      <c r="B2323" s="293"/>
      <c r="C2323" s="294"/>
      <c r="D2323" s="294"/>
      <c r="E2323" s="294"/>
      <c r="F2323" s="310"/>
      <c r="G2323" s="310"/>
      <c r="H2323" s="310"/>
      <c r="I2323" s="295"/>
      <c r="J2323" s="295"/>
      <c r="K2323" s="300"/>
      <c r="L2323" s="300"/>
      <c r="M2323" s="285"/>
      <c r="N2323" s="1076"/>
      <c r="O2323" s="294"/>
      <c r="P2323" s="404"/>
      <c r="Q2323" s="404"/>
      <c r="R2323" s="301"/>
      <c r="S2323" s="301"/>
      <c r="T2323" s="301"/>
      <c r="U2323" s="301"/>
      <c r="V2323" s="301"/>
    </row>
    <row r="2324" spans="1:22" ht="14.4" thickTop="1" thickBot="1" x14ac:dyDescent="0.3">
      <c r="A2324" s="292"/>
      <c r="B2324" s="293"/>
      <c r="C2324" s="294"/>
      <c r="D2324" s="294"/>
      <c r="E2324" s="294"/>
      <c r="F2324" s="310"/>
      <c r="G2324" s="310"/>
      <c r="H2324" s="310"/>
      <c r="I2324" s="295"/>
      <c r="J2324" s="295"/>
      <c r="K2324" s="300"/>
      <c r="L2324" s="300"/>
      <c r="M2324" s="285"/>
      <c r="N2324" s="1076"/>
      <c r="O2324" s="294"/>
      <c r="P2324" s="404"/>
      <c r="Q2324" s="404"/>
      <c r="R2324" s="301"/>
      <c r="S2324" s="301"/>
      <c r="T2324" s="301"/>
      <c r="U2324" s="301"/>
      <c r="V2324" s="301"/>
    </row>
    <row r="2325" spans="1:22" ht="14.4" thickTop="1" thickBot="1" x14ac:dyDescent="0.3">
      <c r="A2325" s="292"/>
      <c r="B2325" s="293"/>
      <c r="C2325" s="294"/>
      <c r="D2325" s="294"/>
      <c r="E2325" s="294"/>
      <c r="F2325" s="310"/>
      <c r="G2325" s="310"/>
      <c r="H2325" s="310"/>
      <c r="I2325" s="295"/>
      <c r="J2325" s="295"/>
      <c r="K2325" s="300"/>
      <c r="L2325" s="300"/>
      <c r="M2325" s="285"/>
      <c r="N2325" s="1076"/>
      <c r="O2325" s="294"/>
      <c r="P2325" s="404"/>
      <c r="Q2325" s="404"/>
      <c r="R2325" s="301"/>
      <c r="S2325" s="301"/>
      <c r="T2325" s="301"/>
      <c r="U2325" s="301"/>
      <c r="V2325" s="301"/>
    </row>
    <row r="2326" spans="1:22" ht="14.4" thickTop="1" thickBot="1" x14ac:dyDescent="0.3">
      <c r="A2326" s="292"/>
      <c r="B2326" s="293"/>
      <c r="C2326" s="294"/>
      <c r="D2326" s="294"/>
      <c r="E2326" s="294"/>
      <c r="F2326" s="310"/>
      <c r="G2326" s="310"/>
      <c r="H2326" s="310"/>
      <c r="I2326" s="295"/>
      <c r="J2326" s="295"/>
      <c r="K2326" s="300"/>
      <c r="L2326" s="300"/>
      <c r="M2326" s="285"/>
      <c r="N2326" s="1076"/>
      <c r="O2326" s="294"/>
      <c r="P2326" s="404"/>
      <c r="Q2326" s="404"/>
      <c r="R2326" s="301"/>
      <c r="S2326" s="301"/>
      <c r="T2326" s="301"/>
      <c r="U2326" s="301"/>
      <c r="V2326" s="301"/>
    </row>
    <row r="2327" spans="1:22" ht="14.4" thickTop="1" thickBot="1" x14ac:dyDescent="0.3">
      <c r="A2327" s="292"/>
      <c r="B2327" s="293"/>
      <c r="C2327" s="294"/>
      <c r="D2327" s="294"/>
      <c r="E2327" s="294"/>
      <c r="F2327" s="310"/>
      <c r="G2327" s="310"/>
      <c r="H2327" s="310"/>
      <c r="I2327" s="295"/>
      <c r="J2327" s="295"/>
      <c r="K2327" s="300"/>
      <c r="L2327" s="300"/>
      <c r="M2327" s="285"/>
      <c r="N2327" s="1076"/>
      <c r="O2327" s="294"/>
      <c r="P2327" s="404"/>
      <c r="Q2327" s="404"/>
      <c r="R2327" s="301"/>
      <c r="S2327" s="301"/>
      <c r="T2327" s="301"/>
      <c r="U2327" s="301"/>
      <c r="V2327" s="301"/>
    </row>
    <row r="2328" spans="1:22" ht="14.4" thickTop="1" thickBot="1" x14ac:dyDescent="0.3">
      <c r="A2328" s="292"/>
      <c r="B2328" s="293"/>
      <c r="C2328" s="294"/>
      <c r="D2328" s="294"/>
      <c r="E2328" s="294"/>
      <c r="F2328" s="310"/>
      <c r="G2328" s="310"/>
      <c r="H2328" s="310"/>
      <c r="I2328" s="295"/>
      <c r="J2328" s="295"/>
      <c r="K2328" s="300"/>
      <c r="L2328" s="300"/>
      <c r="M2328" s="285"/>
      <c r="N2328" s="1076"/>
      <c r="O2328" s="294"/>
      <c r="P2328" s="404"/>
      <c r="Q2328" s="404"/>
      <c r="R2328" s="301"/>
      <c r="S2328" s="301"/>
      <c r="T2328" s="301"/>
      <c r="U2328" s="301"/>
      <c r="V2328" s="301"/>
    </row>
    <row r="2329" spans="1:22" ht="14.4" thickTop="1" thickBot="1" x14ac:dyDescent="0.3">
      <c r="A2329" s="292"/>
      <c r="B2329" s="293"/>
      <c r="C2329" s="294"/>
      <c r="D2329" s="294"/>
      <c r="E2329" s="294"/>
      <c r="F2329" s="310"/>
      <c r="G2329" s="310"/>
      <c r="H2329" s="310"/>
      <c r="I2329" s="295"/>
      <c r="J2329" s="295"/>
      <c r="K2329" s="300"/>
      <c r="L2329" s="300"/>
      <c r="M2329" s="285"/>
      <c r="N2329" s="1076"/>
      <c r="O2329" s="294"/>
      <c r="P2329" s="404"/>
      <c r="Q2329" s="404"/>
      <c r="R2329" s="301"/>
      <c r="S2329" s="301"/>
      <c r="T2329" s="301"/>
      <c r="U2329" s="301"/>
      <c r="V2329" s="301"/>
    </row>
    <row r="2330" spans="1:22" ht="14.4" thickTop="1" thickBot="1" x14ac:dyDescent="0.3">
      <c r="A2330" s="292"/>
      <c r="B2330" s="293"/>
      <c r="C2330" s="294"/>
      <c r="D2330" s="294"/>
      <c r="E2330" s="294"/>
      <c r="F2330" s="310"/>
      <c r="G2330" s="310"/>
      <c r="H2330" s="310"/>
      <c r="I2330" s="295"/>
      <c r="J2330" s="295"/>
      <c r="K2330" s="300"/>
      <c r="L2330" s="300"/>
      <c r="M2330" s="285"/>
      <c r="N2330" s="1076"/>
      <c r="O2330" s="294"/>
      <c r="P2330" s="404"/>
      <c r="Q2330" s="404"/>
      <c r="R2330" s="301"/>
      <c r="S2330" s="301"/>
      <c r="T2330" s="301"/>
      <c r="U2330" s="301"/>
      <c r="V2330" s="301"/>
    </row>
    <row r="2331" spans="1:22" ht="14.4" thickTop="1" thickBot="1" x14ac:dyDescent="0.3">
      <c r="A2331" s="292"/>
      <c r="B2331" s="293"/>
      <c r="C2331" s="294"/>
      <c r="D2331" s="294"/>
      <c r="E2331" s="294"/>
      <c r="F2331" s="310"/>
      <c r="G2331" s="310"/>
      <c r="H2331" s="310"/>
      <c r="I2331" s="295"/>
      <c r="J2331" s="295"/>
      <c r="K2331" s="300"/>
      <c r="L2331" s="300"/>
      <c r="M2331" s="285"/>
      <c r="N2331" s="1076"/>
      <c r="O2331" s="294"/>
      <c r="P2331" s="404"/>
      <c r="Q2331" s="404"/>
      <c r="R2331" s="301"/>
      <c r="S2331" s="301"/>
      <c r="T2331" s="301"/>
      <c r="U2331" s="301"/>
      <c r="V2331" s="301"/>
    </row>
    <row r="2332" spans="1:22" ht="14.4" thickTop="1" thickBot="1" x14ac:dyDescent="0.3">
      <c r="A2332" s="292"/>
      <c r="B2332" s="293"/>
      <c r="C2332" s="294"/>
      <c r="D2332" s="294"/>
      <c r="E2332" s="294"/>
      <c r="F2332" s="310"/>
      <c r="G2332" s="310"/>
      <c r="H2332" s="310"/>
      <c r="I2332" s="295"/>
      <c r="J2332" s="295"/>
      <c r="K2332" s="300"/>
      <c r="L2332" s="300"/>
      <c r="M2332" s="285"/>
      <c r="N2332" s="1076"/>
      <c r="O2332" s="294"/>
      <c r="P2332" s="404"/>
      <c r="Q2332" s="404"/>
      <c r="R2332" s="301"/>
      <c r="S2332" s="301"/>
      <c r="T2332" s="301"/>
      <c r="U2332" s="301"/>
      <c r="V2332" s="301"/>
    </row>
    <row r="2333" spans="1:22" ht="14.4" thickTop="1" thickBot="1" x14ac:dyDescent="0.3">
      <c r="A2333" s="292"/>
      <c r="B2333" s="293"/>
      <c r="C2333" s="294"/>
      <c r="D2333" s="294"/>
      <c r="E2333" s="294"/>
      <c r="F2333" s="310"/>
      <c r="G2333" s="310"/>
      <c r="H2333" s="310"/>
      <c r="I2333" s="295"/>
      <c r="J2333" s="295"/>
      <c r="K2333" s="300"/>
      <c r="L2333" s="300"/>
      <c r="M2333" s="285"/>
      <c r="N2333" s="1076"/>
      <c r="O2333" s="294"/>
      <c r="P2333" s="404"/>
      <c r="Q2333" s="404"/>
      <c r="R2333" s="301"/>
      <c r="S2333" s="301"/>
      <c r="T2333" s="301"/>
      <c r="U2333" s="301"/>
      <c r="V2333" s="301"/>
    </row>
    <row r="2334" spans="1:22" ht="14.4" thickTop="1" thickBot="1" x14ac:dyDescent="0.3">
      <c r="A2334" s="292"/>
      <c r="B2334" s="293" t="s">
        <v>2421</v>
      </c>
      <c r="C2334" s="294"/>
      <c r="D2334" s="294"/>
      <c r="E2334" s="294"/>
      <c r="F2334" s="310"/>
      <c r="G2334" s="310"/>
      <c r="H2334" s="310"/>
      <c r="I2334" s="295">
        <v>56</v>
      </c>
      <c r="J2334" s="295"/>
      <c r="K2334" s="300"/>
      <c r="L2334" s="300"/>
      <c r="M2334" s="285"/>
      <c r="N2334" s="1076"/>
      <c r="O2334" s="294"/>
      <c r="P2334" s="404"/>
      <c r="Q2334" s="404"/>
      <c r="R2334" s="301"/>
      <c r="S2334" s="301"/>
      <c r="T2334" s="301"/>
      <c r="U2334" s="301"/>
      <c r="V2334" s="301"/>
    </row>
    <row r="2335" spans="1:22" ht="14.4" thickTop="1" thickBot="1" x14ac:dyDescent="0.3">
      <c r="A2335" s="292"/>
      <c r="B2335" s="293"/>
      <c r="C2335" s="294"/>
      <c r="D2335" s="294"/>
      <c r="E2335" s="294"/>
      <c r="F2335" s="310">
        <v>4.45</v>
      </c>
      <c r="G2335" s="310"/>
      <c r="H2335" s="310">
        <v>10</v>
      </c>
      <c r="I2335" s="295">
        <f>H2335*F2335</f>
        <v>44.5</v>
      </c>
      <c r="J2335" s="295"/>
      <c r="K2335" s="300"/>
      <c r="L2335" s="300"/>
      <c r="M2335" s="285"/>
      <c r="N2335" s="1076"/>
      <c r="O2335" s="294"/>
      <c r="P2335" s="404"/>
      <c r="Q2335" s="404"/>
      <c r="R2335" s="301"/>
      <c r="S2335" s="301"/>
      <c r="T2335" s="301"/>
      <c r="U2335" s="301"/>
      <c r="V2335" s="301"/>
    </row>
    <row r="2336" spans="1:22" ht="14.4" thickTop="1" thickBot="1" x14ac:dyDescent="0.3">
      <c r="A2336" s="292"/>
      <c r="B2336" s="293"/>
      <c r="C2336" s="294"/>
      <c r="D2336" s="294"/>
      <c r="E2336" s="294"/>
      <c r="F2336" s="310">
        <v>10</v>
      </c>
      <c r="G2336" s="310"/>
      <c r="H2336" s="310">
        <v>10</v>
      </c>
      <c r="I2336" s="295">
        <f>H2336*F2336</f>
        <v>100</v>
      </c>
      <c r="J2336" s="295"/>
      <c r="K2336" s="300"/>
      <c r="L2336" s="300"/>
      <c r="M2336" s="285"/>
      <c r="N2336" s="1076"/>
      <c r="O2336" s="294"/>
      <c r="P2336" s="404"/>
      <c r="Q2336" s="404"/>
      <c r="R2336" s="301"/>
      <c r="S2336" s="301"/>
      <c r="T2336" s="301"/>
      <c r="U2336" s="301"/>
      <c r="V2336" s="301"/>
    </row>
    <row r="2337" spans="1:22" ht="14.4" thickTop="1" thickBot="1" x14ac:dyDescent="0.3">
      <c r="A2337" s="292"/>
      <c r="B2337" s="293"/>
      <c r="C2337" s="294"/>
      <c r="D2337" s="294"/>
      <c r="E2337" s="294"/>
      <c r="F2337" s="310"/>
      <c r="G2337" s="310"/>
      <c r="H2337" s="310"/>
      <c r="I2337" s="295"/>
      <c r="J2337" s="295">
        <f>SUM(I2334:I2336)</f>
        <v>200.5</v>
      </c>
      <c r="K2337" s="300">
        <f t="shared" si="276"/>
        <v>1.1000000000000001</v>
      </c>
      <c r="L2337" s="300">
        <f t="shared" ref="L2337:L2339" si="283">K2337*J2337</f>
        <v>220.55</v>
      </c>
      <c r="M2337" s="285">
        <f t="shared" ref="M2337:M2339" si="284">ROUND(L2337,1)</f>
        <v>220.6</v>
      </c>
      <c r="N2337" s="1076">
        <f t="shared" ref="N2337:N2339" si="285">ROUNDUP(M2337,0)</f>
        <v>221</v>
      </c>
      <c r="O2337" s="294" t="s">
        <v>695</v>
      </c>
      <c r="P2337" s="404"/>
      <c r="Q2337" s="404"/>
      <c r="R2337" s="301"/>
      <c r="S2337" s="301"/>
      <c r="T2337" s="301"/>
      <c r="U2337" s="301"/>
      <c r="V2337" s="301"/>
    </row>
    <row r="2338" spans="1:22" ht="14.4" thickTop="1" thickBot="1" x14ac:dyDescent="0.3">
      <c r="A2338" s="292"/>
      <c r="B2338" s="293"/>
      <c r="C2338" s="294"/>
      <c r="D2338" s="294"/>
      <c r="E2338" s="294"/>
      <c r="F2338" s="310"/>
      <c r="G2338" s="310"/>
      <c r="H2338" s="310"/>
      <c r="I2338" s="295"/>
      <c r="J2338" s="295">
        <f>J2337*10.76</f>
        <v>2157.38</v>
      </c>
      <c r="K2338" s="300">
        <f t="shared" si="276"/>
        <v>1.1000000000000001</v>
      </c>
      <c r="L2338" s="300">
        <f t="shared" si="283"/>
        <v>2373.1180000000004</v>
      </c>
      <c r="M2338" s="285">
        <f t="shared" si="284"/>
        <v>2373.1</v>
      </c>
      <c r="N2338" s="1076">
        <f t="shared" si="285"/>
        <v>2374</v>
      </c>
      <c r="O2338" s="294" t="s">
        <v>1846</v>
      </c>
      <c r="P2338" s="404"/>
      <c r="Q2338" s="404"/>
      <c r="R2338" s="301"/>
      <c r="S2338" s="301"/>
      <c r="T2338" s="301"/>
      <c r="U2338" s="301"/>
      <c r="V2338" s="301"/>
    </row>
    <row r="2339" spans="1:22" ht="14.4" thickTop="1" thickBot="1" x14ac:dyDescent="0.3">
      <c r="A2339" s="292"/>
      <c r="B2339" s="293"/>
      <c r="C2339" s="294"/>
      <c r="D2339" s="294"/>
      <c r="E2339" s="294"/>
      <c r="F2339" s="310"/>
      <c r="G2339" s="310"/>
      <c r="H2339" s="310"/>
      <c r="I2339" s="295"/>
      <c r="J2339" s="295">
        <f>J2338/100</f>
        <v>21.573800000000002</v>
      </c>
      <c r="K2339" s="300">
        <v>1.1499999999999999</v>
      </c>
      <c r="L2339" s="300">
        <f t="shared" si="283"/>
        <v>24.80987</v>
      </c>
      <c r="M2339" s="285">
        <f t="shared" si="284"/>
        <v>24.8</v>
      </c>
      <c r="N2339" s="1076">
        <f t="shared" si="285"/>
        <v>25</v>
      </c>
      <c r="O2339" s="294" t="s">
        <v>879</v>
      </c>
      <c r="P2339" s="404"/>
      <c r="Q2339" s="404"/>
      <c r="R2339" s="301"/>
      <c r="S2339" s="301"/>
      <c r="T2339" s="301"/>
      <c r="U2339" s="301"/>
      <c r="V2339" s="301"/>
    </row>
    <row r="2340" spans="1:22" ht="14.4" thickTop="1" thickBot="1" x14ac:dyDescent="0.3">
      <c r="A2340" s="292"/>
      <c r="B2340" s="293"/>
      <c r="C2340" s="294"/>
      <c r="D2340" s="294"/>
      <c r="E2340" s="294"/>
      <c r="F2340" s="310"/>
      <c r="G2340" s="310"/>
      <c r="H2340" s="310"/>
      <c r="I2340" s="295"/>
      <c r="J2340" s="295"/>
      <c r="K2340" s="300"/>
      <c r="L2340" s="300"/>
      <c r="M2340" s="285"/>
      <c r="N2340" s="1076"/>
      <c r="O2340" s="294"/>
      <c r="P2340" s="404"/>
      <c r="Q2340" s="404"/>
      <c r="R2340" s="301"/>
      <c r="S2340" s="301"/>
      <c r="T2340" s="301"/>
      <c r="U2340" s="301"/>
      <c r="V2340" s="301"/>
    </row>
    <row r="2341" spans="1:22" ht="14.4" thickTop="1" thickBot="1" x14ac:dyDescent="0.3">
      <c r="A2341" s="292"/>
      <c r="B2341" s="296" t="s">
        <v>2456</v>
      </c>
      <c r="C2341" s="294"/>
      <c r="D2341" s="294"/>
      <c r="E2341" s="294"/>
      <c r="F2341" s="310"/>
      <c r="G2341" s="310"/>
      <c r="H2341" s="310"/>
      <c r="I2341" s="295"/>
      <c r="J2341" s="295"/>
      <c r="K2341" s="300"/>
      <c r="L2341" s="300"/>
      <c r="M2341" s="285"/>
      <c r="N2341" s="1076"/>
      <c r="O2341" s="294"/>
      <c r="P2341" s="404"/>
      <c r="Q2341" s="404"/>
      <c r="R2341" s="301"/>
      <c r="S2341" s="301"/>
      <c r="T2341" s="301"/>
      <c r="U2341" s="301"/>
      <c r="V2341" s="301"/>
    </row>
    <row r="2342" spans="1:22" ht="14.4" thickTop="1" thickBot="1" x14ac:dyDescent="0.3">
      <c r="A2342" s="292"/>
      <c r="B2342" s="296" t="s">
        <v>2457</v>
      </c>
      <c r="C2342" s="294"/>
      <c r="D2342" s="294"/>
      <c r="E2342" s="294"/>
      <c r="F2342" s="310"/>
      <c r="G2342" s="310"/>
      <c r="H2342" s="310"/>
      <c r="I2342" s="295"/>
      <c r="J2342" s="295"/>
      <c r="K2342" s="300"/>
      <c r="L2342" s="300"/>
      <c r="M2342" s="285"/>
      <c r="N2342" s="1076"/>
      <c r="O2342" s="294"/>
      <c r="P2342" s="404"/>
      <c r="Q2342" s="404"/>
      <c r="R2342" s="301"/>
      <c r="S2342" s="301"/>
      <c r="T2342" s="301"/>
      <c r="U2342" s="301"/>
      <c r="V2342" s="301"/>
    </row>
    <row r="2343" spans="1:22" ht="14.4" thickTop="1" thickBot="1" x14ac:dyDescent="0.3">
      <c r="A2343" s="292"/>
      <c r="B2343" s="296" t="s">
        <v>2417</v>
      </c>
      <c r="C2343" s="294"/>
      <c r="D2343" s="294"/>
      <c r="E2343" s="294"/>
      <c r="F2343" s="310"/>
      <c r="G2343" s="310"/>
      <c r="H2343" s="310"/>
      <c r="I2343" s="295">
        <v>15.5</v>
      </c>
      <c r="J2343" s="295"/>
      <c r="K2343" s="300">
        <f t="shared" si="276"/>
        <v>1.1000000000000001</v>
      </c>
      <c r="L2343" s="300">
        <f t="shared" ref="L2343:L2348" si="286">K2343*J2343</f>
        <v>0</v>
      </c>
      <c r="M2343" s="285">
        <f t="shared" ref="M2343:M2348" si="287">ROUND(L2343,1)</f>
        <v>0</v>
      </c>
      <c r="N2343" s="1076">
        <f t="shared" ref="N2343:N2348" si="288">ROUNDUP(M2343,0)</f>
        <v>0</v>
      </c>
      <c r="O2343" s="294"/>
      <c r="P2343" s="404"/>
      <c r="Q2343" s="404"/>
      <c r="R2343" s="301"/>
      <c r="S2343" s="301"/>
      <c r="T2343" s="301"/>
      <c r="U2343" s="301"/>
      <c r="V2343" s="301"/>
    </row>
    <row r="2344" spans="1:22" ht="14.4" thickTop="1" thickBot="1" x14ac:dyDescent="0.3">
      <c r="A2344" s="292"/>
      <c r="B2344" s="296" t="s">
        <v>2418</v>
      </c>
      <c r="C2344" s="294"/>
      <c r="D2344" s="294"/>
      <c r="E2344" s="294"/>
      <c r="F2344" s="310"/>
      <c r="G2344" s="310"/>
      <c r="H2344" s="310"/>
      <c r="I2344" s="295">
        <v>15.5</v>
      </c>
      <c r="J2344" s="295"/>
      <c r="K2344" s="300">
        <f t="shared" si="276"/>
        <v>1.1000000000000001</v>
      </c>
      <c r="L2344" s="300">
        <f t="shared" si="286"/>
        <v>0</v>
      </c>
      <c r="M2344" s="285">
        <f t="shared" si="287"/>
        <v>0</v>
      </c>
      <c r="N2344" s="1076">
        <f t="shared" si="288"/>
        <v>0</v>
      </c>
      <c r="O2344" s="294"/>
      <c r="P2344" s="404"/>
      <c r="Q2344" s="404"/>
      <c r="R2344" s="301"/>
      <c r="S2344" s="301"/>
      <c r="T2344" s="301"/>
      <c r="U2344" s="301"/>
      <c r="V2344" s="301"/>
    </row>
    <row r="2345" spans="1:22" ht="14.4" thickTop="1" thickBot="1" x14ac:dyDescent="0.3">
      <c r="A2345" s="292"/>
      <c r="B2345" s="296" t="s">
        <v>1927</v>
      </c>
      <c r="C2345" s="294"/>
      <c r="D2345" s="294"/>
      <c r="E2345" s="294"/>
      <c r="F2345" s="310"/>
      <c r="G2345" s="310"/>
      <c r="H2345" s="310"/>
      <c r="I2345" s="295">
        <v>6.15</v>
      </c>
      <c r="J2345" s="295"/>
      <c r="K2345" s="300">
        <f t="shared" si="276"/>
        <v>1.1000000000000001</v>
      </c>
      <c r="L2345" s="300">
        <f t="shared" si="286"/>
        <v>0</v>
      </c>
      <c r="M2345" s="285">
        <f t="shared" si="287"/>
        <v>0</v>
      </c>
      <c r="N2345" s="1076">
        <f t="shared" si="288"/>
        <v>0</v>
      </c>
      <c r="O2345" s="294"/>
      <c r="P2345" s="404"/>
      <c r="Q2345" s="404"/>
      <c r="R2345" s="301"/>
      <c r="S2345" s="301"/>
      <c r="T2345" s="301"/>
      <c r="U2345" s="301"/>
      <c r="V2345" s="301"/>
    </row>
    <row r="2346" spans="1:22" ht="14.4" thickTop="1" thickBot="1" x14ac:dyDescent="0.3">
      <c r="A2346" s="292"/>
      <c r="B2346" s="296" t="s">
        <v>1928</v>
      </c>
      <c r="C2346" s="294"/>
      <c r="D2346" s="294"/>
      <c r="E2346" s="294"/>
      <c r="F2346" s="310"/>
      <c r="G2346" s="310"/>
      <c r="H2346" s="310"/>
      <c r="I2346" s="295">
        <v>6.7249999999999996</v>
      </c>
      <c r="J2346" s="295"/>
      <c r="K2346" s="300">
        <f t="shared" si="276"/>
        <v>1.1000000000000001</v>
      </c>
      <c r="L2346" s="300">
        <f t="shared" si="286"/>
        <v>0</v>
      </c>
      <c r="M2346" s="285">
        <f t="shared" si="287"/>
        <v>0</v>
      </c>
      <c r="N2346" s="1076">
        <f t="shared" si="288"/>
        <v>0</v>
      </c>
      <c r="O2346" s="294"/>
      <c r="P2346" s="404"/>
      <c r="Q2346" s="404"/>
      <c r="R2346" s="301"/>
      <c r="S2346" s="301"/>
      <c r="T2346" s="301"/>
      <c r="U2346" s="301"/>
      <c r="V2346" s="301"/>
    </row>
    <row r="2347" spans="1:22" ht="14.4" thickTop="1" thickBot="1" x14ac:dyDescent="0.3">
      <c r="A2347" s="292"/>
      <c r="B2347" s="296" t="s">
        <v>2419</v>
      </c>
      <c r="C2347" s="294"/>
      <c r="D2347" s="294"/>
      <c r="E2347" s="294"/>
      <c r="F2347" s="310"/>
      <c r="G2347" s="310"/>
      <c r="H2347" s="310"/>
      <c r="I2347" s="295">
        <v>14</v>
      </c>
      <c r="J2347" s="295"/>
      <c r="K2347" s="300">
        <f t="shared" si="276"/>
        <v>1.1000000000000001</v>
      </c>
      <c r="L2347" s="300">
        <f t="shared" si="286"/>
        <v>0</v>
      </c>
      <c r="M2347" s="285">
        <f t="shared" si="287"/>
        <v>0</v>
      </c>
      <c r="N2347" s="1076">
        <f t="shared" si="288"/>
        <v>0</v>
      </c>
      <c r="O2347" s="294"/>
      <c r="P2347" s="404"/>
      <c r="Q2347" s="404"/>
      <c r="R2347" s="301"/>
      <c r="S2347" s="301"/>
      <c r="T2347" s="301"/>
      <c r="U2347" s="301"/>
      <c r="V2347" s="301"/>
    </row>
    <row r="2348" spans="1:22" ht="14.4" thickTop="1" thickBot="1" x14ac:dyDescent="0.3">
      <c r="A2348" s="292"/>
      <c r="B2348" s="296" t="s">
        <v>1922</v>
      </c>
      <c r="C2348" s="294"/>
      <c r="D2348" s="294"/>
      <c r="E2348" s="294"/>
      <c r="F2348" s="310"/>
      <c r="G2348" s="310"/>
      <c r="H2348" s="310"/>
      <c r="I2348" s="295">
        <v>16</v>
      </c>
      <c r="J2348" s="295"/>
      <c r="K2348" s="300">
        <f t="shared" si="276"/>
        <v>1.1000000000000001</v>
      </c>
      <c r="L2348" s="300">
        <f t="shared" si="286"/>
        <v>0</v>
      </c>
      <c r="M2348" s="285">
        <f t="shared" si="287"/>
        <v>0</v>
      </c>
      <c r="N2348" s="1076">
        <f t="shared" si="288"/>
        <v>0</v>
      </c>
      <c r="O2348" s="294"/>
      <c r="P2348" s="404"/>
      <c r="Q2348" s="404"/>
      <c r="R2348" s="301"/>
      <c r="S2348" s="301"/>
      <c r="T2348" s="301"/>
      <c r="U2348" s="301"/>
      <c r="V2348" s="301"/>
    </row>
    <row r="2349" spans="1:22" ht="14.4" thickTop="1" thickBot="1" x14ac:dyDescent="0.3">
      <c r="A2349" s="292"/>
      <c r="B2349" s="296" t="s">
        <v>1896</v>
      </c>
      <c r="C2349" s="294"/>
      <c r="D2349" s="294"/>
      <c r="E2349" s="294"/>
      <c r="F2349" s="310"/>
      <c r="G2349" s="310"/>
      <c r="H2349" s="310"/>
      <c r="I2349" s="295">
        <v>28</v>
      </c>
      <c r="J2349" s="295"/>
      <c r="K2349" s="300"/>
      <c r="L2349" s="300"/>
      <c r="M2349" s="285"/>
      <c r="N2349" s="1076"/>
      <c r="O2349" s="294"/>
      <c r="P2349" s="404"/>
      <c r="Q2349" s="404"/>
      <c r="R2349" s="301"/>
      <c r="S2349" s="301"/>
      <c r="T2349" s="301"/>
      <c r="U2349" s="301"/>
      <c r="V2349" s="301"/>
    </row>
    <row r="2350" spans="1:22" ht="14.4" thickTop="1" thickBot="1" x14ac:dyDescent="0.3">
      <c r="A2350" s="292"/>
      <c r="B2350" s="296"/>
      <c r="C2350" s="294"/>
      <c r="D2350" s="294"/>
      <c r="E2350" s="294"/>
      <c r="F2350" s="310"/>
      <c r="G2350" s="310"/>
      <c r="H2350" s="310"/>
      <c r="I2350" s="295"/>
      <c r="J2350" s="295"/>
      <c r="K2350" s="300"/>
      <c r="L2350" s="300"/>
      <c r="M2350" s="285"/>
      <c r="N2350" s="1076"/>
      <c r="O2350" s="294"/>
      <c r="P2350" s="404"/>
      <c r="Q2350" s="404"/>
      <c r="R2350" s="301"/>
      <c r="S2350" s="301"/>
      <c r="T2350" s="301"/>
      <c r="U2350" s="301"/>
      <c r="V2350" s="301"/>
    </row>
    <row r="2351" spans="1:22" ht="14.4" thickTop="1" thickBot="1" x14ac:dyDescent="0.3">
      <c r="A2351" s="292"/>
      <c r="B2351" s="293"/>
      <c r="C2351" s="294"/>
      <c r="D2351" s="294"/>
      <c r="E2351" s="294"/>
      <c r="F2351" s="310"/>
      <c r="G2351" s="310"/>
      <c r="H2351" s="310"/>
      <c r="I2351" s="295"/>
      <c r="J2351" s="295">
        <f>SUM(I2341:I2350)</f>
        <v>101.875</v>
      </c>
      <c r="K2351" s="300">
        <f t="shared" si="276"/>
        <v>1.1000000000000001</v>
      </c>
      <c r="L2351" s="300">
        <f t="shared" ref="L2351:L2353" si="289">K2351*J2351</f>
        <v>112.06250000000001</v>
      </c>
      <c r="M2351" s="285">
        <f t="shared" ref="M2351:M2353" si="290">ROUND(L2351,1)</f>
        <v>112.1</v>
      </c>
      <c r="N2351" s="1076">
        <f t="shared" ref="N2351:N2353" si="291">ROUNDUP(M2351,0)</f>
        <v>113</v>
      </c>
      <c r="O2351" s="294" t="s">
        <v>695</v>
      </c>
      <c r="P2351" s="404"/>
      <c r="Q2351" s="404"/>
      <c r="R2351" s="301"/>
      <c r="S2351" s="301"/>
      <c r="T2351" s="301"/>
      <c r="U2351" s="301"/>
      <c r="V2351" s="301"/>
    </row>
    <row r="2352" spans="1:22" ht="14.4" thickTop="1" thickBot="1" x14ac:dyDescent="0.3">
      <c r="A2352" s="292"/>
      <c r="B2352" s="293"/>
      <c r="C2352" s="294"/>
      <c r="D2352" s="294"/>
      <c r="E2352" s="294"/>
      <c r="F2352" s="310"/>
      <c r="G2352" s="310"/>
      <c r="H2352" s="310"/>
      <c r="I2352" s="295"/>
      <c r="J2352" s="295">
        <f>J2351*10.76</f>
        <v>1096.175</v>
      </c>
      <c r="K2352" s="300">
        <f t="shared" si="276"/>
        <v>1.1000000000000001</v>
      </c>
      <c r="L2352" s="300">
        <f t="shared" si="289"/>
        <v>1205.7925</v>
      </c>
      <c r="M2352" s="285">
        <f t="shared" si="290"/>
        <v>1205.8</v>
      </c>
      <c r="N2352" s="1076">
        <f t="shared" si="291"/>
        <v>1206</v>
      </c>
      <c r="O2352" s="294" t="s">
        <v>1846</v>
      </c>
      <c r="P2352" s="404"/>
      <c r="Q2352" s="404"/>
      <c r="R2352" s="301"/>
      <c r="S2352" s="301"/>
      <c r="T2352" s="301"/>
      <c r="U2352" s="301"/>
      <c r="V2352" s="301"/>
    </row>
    <row r="2353" spans="1:22" ht="14.4" thickTop="1" thickBot="1" x14ac:dyDescent="0.3">
      <c r="A2353" s="292"/>
      <c r="B2353" s="293"/>
      <c r="C2353" s="294"/>
      <c r="D2353" s="294"/>
      <c r="E2353" s="294"/>
      <c r="F2353" s="310"/>
      <c r="G2353" s="310"/>
      <c r="H2353" s="310"/>
      <c r="I2353" s="295"/>
      <c r="J2353" s="295">
        <f>J2352/100</f>
        <v>10.96175</v>
      </c>
      <c r="K2353" s="300">
        <v>1.01</v>
      </c>
      <c r="L2353" s="300">
        <f t="shared" si="289"/>
        <v>11.071367500000001</v>
      </c>
      <c r="M2353" s="285">
        <f t="shared" si="290"/>
        <v>11.1</v>
      </c>
      <c r="N2353" s="1076">
        <f t="shared" si="291"/>
        <v>12</v>
      </c>
      <c r="O2353" s="294" t="s">
        <v>879</v>
      </c>
      <c r="P2353" s="404"/>
      <c r="Q2353" s="404"/>
      <c r="R2353" s="301"/>
      <c r="S2353" s="301"/>
      <c r="T2353" s="301"/>
      <c r="U2353" s="301"/>
      <c r="V2353" s="301"/>
    </row>
    <row r="2354" spans="1:22" ht="14.4" thickTop="1" thickBot="1" x14ac:dyDescent="0.3">
      <c r="A2354" s="292"/>
      <c r="B2354" s="293"/>
      <c r="C2354" s="294"/>
      <c r="D2354" s="294"/>
      <c r="E2354" s="294"/>
      <c r="F2354" s="310"/>
      <c r="G2354" s="310"/>
      <c r="H2354" s="310"/>
      <c r="I2354" s="295"/>
      <c r="J2354" s="295"/>
      <c r="K2354" s="300"/>
      <c r="L2354" s="300"/>
      <c r="M2354" s="285"/>
      <c r="N2354" s="1076"/>
      <c r="O2354" s="294"/>
      <c r="P2354" s="404"/>
      <c r="Q2354" s="404"/>
      <c r="R2354" s="301"/>
      <c r="S2354" s="301"/>
      <c r="T2354" s="301"/>
      <c r="U2354" s="301"/>
      <c r="V2354" s="301"/>
    </row>
    <row r="2355" spans="1:22" ht="14.4" thickTop="1" thickBot="1" x14ac:dyDescent="0.3">
      <c r="A2355" s="292"/>
      <c r="B2355" s="296" t="s">
        <v>2460</v>
      </c>
      <c r="C2355" s="294"/>
      <c r="D2355" s="294"/>
      <c r="E2355" s="294"/>
      <c r="F2355" s="310">
        <v>15</v>
      </c>
      <c r="G2355" s="310"/>
      <c r="H2355" s="310"/>
      <c r="I2355" s="295"/>
      <c r="J2355" s="295"/>
      <c r="K2355" s="300"/>
      <c r="L2355" s="300"/>
      <c r="M2355" s="285"/>
      <c r="N2355" s="1076"/>
      <c r="O2355" s="294"/>
      <c r="P2355" s="404"/>
      <c r="Q2355" s="404"/>
      <c r="R2355" s="301"/>
      <c r="S2355" s="301"/>
      <c r="T2355" s="301"/>
      <c r="U2355" s="301"/>
      <c r="V2355" s="301"/>
    </row>
    <row r="2356" spans="1:22" ht="14.4" thickTop="1" thickBot="1" x14ac:dyDescent="0.3">
      <c r="A2356" s="292"/>
      <c r="B2356" s="293"/>
      <c r="C2356" s="294"/>
      <c r="D2356" s="294"/>
      <c r="E2356" s="294"/>
      <c r="F2356" s="310">
        <v>14</v>
      </c>
      <c r="G2356" s="310"/>
      <c r="H2356" s="310"/>
      <c r="I2356" s="295"/>
      <c r="J2356" s="295"/>
      <c r="K2356" s="300"/>
      <c r="L2356" s="300"/>
      <c r="M2356" s="285"/>
      <c r="N2356" s="1076"/>
      <c r="O2356" s="294"/>
      <c r="P2356" s="404"/>
      <c r="Q2356" s="404"/>
      <c r="R2356" s="301"/>
      <c r="S2356" s="301"/>
      <c r="T2356" s="301"/>
      <c r="U2356" s="301"/>
      <c r="V2356" s="301"/>
    </row>
    <row r="2357" spans="1:22" ht="14.4" thickTop="1" thickBot="1" x14ac:dyDescent="0.3">
      <c r="A2357" s="292"/>
      <c r="B2357" s="293"/>
      <c r="C2357" s="294"/>
      <c r="D2357" s="294"/>
      <c r="E2357" s="294"/>
      <c r="F2357" s="310">
        <v>14</v>
      </c>
      <c r="G2357" s="310"/>
      <c r="H2357" s="310"/>
      <c r="I2357" s="295"/>
      <c r="J2357" s="295"/>
      <c r="K2357" s="300"/>
      <c r="L2357" s="300"/>
      <c r="M2357" s="285"/>
      <c r="N2357" s="1076"/>
      <c r="O2357" s="294"/>
      <c r="P2357" s="404"/>
      <c r="Q2357" s="404"/>
      <c r="R2357" s="301"/>
      <c r="S2357" s="301"/>
      <c r="T2357" s="301"/>
      <c r="U2357" s="301"/>
      <c r="V2357" s="301"/>
    </row>
    <row r="2358" spans="1:22" ht="14.4" thickTop="1" thickBot="1" x14ac:dyDescent="0.3">
      <c r="A2358" s="292"/>
      <c r="B2358" s="293"/>
      <c r="C2358" s="294"/>
      <c r="D2358" s="294"/>
      <c r="E2358" s="294"/>
      <c r="F2358" s="310">
        <v>14</v>
      </c>
      <c r="G2358" s="310"/>
      <c r="H2358" s="310"/>
      <c r="I2358" s="295"/>
      <c r="J2358" s="295"/>
      <c r="K2358" s="300"/>
      <c r="L2358" s="300"/>
      <c r="M2358" s="285"/>
      <c r="N2358" s="1076"/>
      <c r="O2358" s="294"/>
      <c r="P2358" s="404"/>
      <c r="Q2358" s="404"/>
      <c r="R2358" s="301"/>
      <c r="S2358" s="301"/>
      <c r="T2358" s="301"/>
      <c r="U2358" s="301"/>
      <c r="V2358" s="301"/>
    </row>
    <row r="2359" spans="1:22" ht="14.4" thickTop="1" thickBot="1" x14ac:dyDescent="0.3">
      <c r="A2359" s="292"/>
      <c r="B2359" s="293"/>
      <c r="C2359" s="294"/>
      <c r="D2359" s="294"/>
      <c r="E2359" s="294"/>
      <c r="F2359" s="310">
        <v>13.6</v>
      </c>
      <c r="G2359" s="310"/>
      <c r="H2359" s="310"/>
      <c r="I2359" s="295"/>
      <c r="J2359" s="295"/>
      <c r="K2359" s="300"/>
      <c r="L2359" s="300"/>
      <c r="M2359" s="285"/>
      <c r="N2359" s="1076"/>
      <c r="O2359" s="294"/>
      <c r="P2359" s="404"/>
      <c r="Q2359" s="404"/>
      <c r="R2359" s="301"/>
      <c r="S2359" s="301"/>
      <c r="T2359" s="301"/>
      <c r="U2359" s="301"/>
      <c r="V2359" s="301"/>
    </row>
    <row r="2360" spans="1:22" ht="14.4" thickTop="1" thickBot="1" x14ac:dyDescent="0.3">
      <c r="A2360" s="292"/>
      <c r="B2360" s="293"/>
      <c r="C2360" s="294"/>
      <c r="D2360" s="294"/>
      <c r="E2360" s="294"/>
      <c r="F2360" s="310">
        <v>10.15</v>
      </c>
      <c r="G2360" s="310"/>
      <c r="H2360" s="310"/>
      <c r="I2360" s="295"/>
      <c r="J2360" s="295"/>
      <c r="K2360" s="300"/>
      <c r="L2360" s="300"/>
      <c r="M2360" s="285"/>
      <c r="N2360" s="1076"/>
      <c r="O2360" s="294"/>
      <c r="P2360" s="404"/>
      <c r="Q2360" s="404"/>
      <c r="R2360" s="301"/>
      <c r="S2360" s="301"/>
      <c r="T2360" s="301"/>
      <c r="U2360" s="301"/>
      <c r="V2360" s="301"/>
    </row>
    <row r="2361" spans="1:22" ht="14.4" thickTop="1" thickBot="1" x14ac:dyDescent="0.3">
      <c r="A2361" s="292"/>
      <c r="B2361" s="293"/>
      <c r="C2361" s="294"/>
      <c r="D2361" s="294"/>
      <c r="E2361" s="294"/>
      <c r="F2361" s="310"/>
      <c r="G2361" s="310"/>
      <c r="H2361" s="310"/>
      <c r="I2361" s="295"/>
      <c r="J2361" s="295">
        <f>SUM(F2355:F2360)</f>
        <v>80.75</v>
      </c>
      <c r="K2361" s="300"/>
      <c r="L2361" s="300"/>
      <c r="M2361" s="285"/>
      <c r="N2361" s="1076"/>
      <c r="O2361" s="294"/>
      <c r="P2361" s="404"/>
      <c r="Q2361" s="404"/>
      <c r="R2361" s="301"/>
      <c r="S2361" s="301"/>
      <c r="T2361" s="301"/>
      <c r="U2361" s="301"/>
      <c r="V2361" s="301"/>
    </row>
    <row r="2362" spans="1:22" ht="14.4" thickTop="1" thickBot="1" x14ac:dyDescent="0.3">
      <c r="A2362" s="292"/>
      <c r="B2362" s="293"/>
      <c r="C2362" s="294"/>
      <c r="D2362" s="294"/>
      <c r="E2362" s="294"/>
      <c r="F2362" s="310"/>
      <c r="G2362" s="310"/>
      <c r="H2362" s="310"/>
      <c r="I2362" s="295"/>
      <c r="J2362" s="295">
        <f>J2361*3.28</f>
        <v>264.85999999999996</v>
      </c>
      <c r="K2362" s="300">
        <v>1.1000000000000001</v>
      </c>
      <c r="L2362" s="300">
        <f t="shared" ref="L2362" si="292">K2362*J2362</f>
        <v>291.346</v>
      </c>
      <c r="M2362" s="285">
        <f t="shared" ref="M2362" si="293">ROUND(L2362,1)</f>
        <v>291.3</v>
      </c>
      <c r="N2362" s="1076">
        <f t="shared" ref="N2362" si="294">ROUNDUP(M2362,0)</f>
        <v>292</v>
      </c>
      <c r="O2362" s="294"/>
      <c r="P2362" s="404"/>
      <c r="Q2362" s="404"/>
      <c r="R2362" s="301"/>
      <c r="S2362" s="301"/>
      <c r="T2362" s="301"/>
      <c r="U2362" s="301"/>
      <c r="V2362" s="301"/>
    </row>
    <row r="2363" spans="1:22" ht="14.4" thickTop="1" thickBot="1" x14ac:dyDescent="0.3">
      <c r="A2363" s="292"/>
      <c r="B2363" s="293"/>
      <c r="C2363" s="294"/>
      <c r="D2363" s="294"/>
      <c r="E2363" s="294"/>
      <c r="F2363" s="310"/>
      <c r="G2363" s="310"/>
      <c r="H2363" s="310"/>
      <c r="I2363" s="295"/>
      <c r="J2363" s="295"/>
      <c r="K2363" s="300"/>
      <c r="L2363" s="300"/>
      <c r="M2363" s="285"/>
      <c r="N2363" s="1076"/>
      <c r="O2363" s="294"/>
      <c r="P2363" s="404"/>
      <c r="Q2363" s="404"/>
      <c r="R2363" s="301"/>
      <c r="S2363" s="301"/>
      <c r="T2363" s="301"/>
      <c r="U2363" s="301"/>
      <c r="V2363" s="301"/>
    </row>
    <row r="2364" spans="1:22" ht="14.4" thickTop="1" thickBot="1" x14ac:dyDescent="0.3">
      <c r="A2364" s="292"/>
      <c r="B2364" s="293"/>
      <c r="C2364" s="294"/>
      <c r="D2364" s="294"/>
      <c r="E2364" s="294"/>
      <c r="F2364" s="310"/>
      <c r="G2364" s="310"/>
      <c r="H2364" s="310"/>
      <c r="I2364" s="295"/>
      <c r="J2364" s="295"/>
      <c r="K2364" s="300"/>
      <c r="L2364" s="300"/>
      <c r="M2364" s="285"/>
      <c r="N2364" s="1076"/>
      <c r="O2364" s="294"/>
      <c r="P2364" s="404"/>
      <c r="Q2364" s="404"/>
      <c r="R2364" s="301"/>
      <c r="S2364" s="301"/>
      <c r="T2364" s="301"/>
      <c r="U2364" s="301"/>
      <c r="V2364" s="301"/>
    </row>
    <row r="2365" spans="1:22" ht="14.4" thickTop="1" thickBot="1" x14ac:dyDescent="0.3">
      <c r="A2365" s="292"/>
      <c r="B2365" s="293"/>
      <c r="C2365" s="294"/>
      <c r="D2365" s="294"/>
      <c r="E2365" s="294"/>
      <c r="F2365" s="310"/>
      <c r="G2365" s="310"/>
      <c r="H2365" s="310"/>
      <c r="I2365" s="295"/>
      <c r="J2365" s="295"/>
      <c r="K2365" s="300"/>
      <c r="L2365" s="300"/>
      <c r="M2365" s="285"/>
      <c r="N2365" s="1076"/>
      <c r="O2365" s="294"/>
      <c r="P2365" s="404"/>
      <c r="Q2365" s="404"/>
      <c r="R2365" s="301"/>
      <c r="S2365" s="301"/>
      <c r="T2365" s="301"/>
      <c r="U2365" s="301"/>
      <c r="V2365" s="301"/>
    </row>
    <row r="2366" spans="1:22" ht="14.4" thickTop="1" thickBot="1" x14ac:dyDescent="0.3">
      <c r="A2366" s="292"/>
      <c r="B2366" s="293"/>
      <c r="C2366" s="294"/>
      <c r="D2366" s="294"/>
      <c r="E2366" s="294"/>
      <c r="F2366" s="310"/>
      <c r="G2366" s="310"/>
      <c r="H2366" s="310"/>
      <c r="I2366" s="295"/>
      <c r="J2366" s="295"/>
      <c r="K2366" s="300"/>
      <c r="L2366" s="300"/>
      <c r="M2366" s="285"/>
      <c r="N2366" s="1076"/>
      <c r="O2366" s="294"/>
      <c r="P2366" s="404"/>
      <c r="Q2366" s="404"/>
      <c r="R2366" s="301"/>
      <c r="S2366" s="301"/>
      <c r="T2366" s="301"/>
      <c r="U2366" s="301"/>
      <c r="V2366" s="301"/>
    </row>
    <row r="2367" spans="1:22" ht="14.4" thickTop="1" thickBot="1" x14ac:dyDescent="0.3">
      <c r="A2367" s="292"/>
      <c r="B2367" s="293"/>
      <c r="C2367" s="294"/>
      <c r="D2367" s="294"/>
      <c r="E2367" s="294"/>
      <c r="F2367" s="310"/>
      <c r="G2367" s="310"/>
      <c r="H2367" s="310"/>
      <c r="I2367" s="295"/>
      <c r="J2367" s="295"/>
      <c r="K2367" s="300"/>
      <c r="L2367" s="300"/>
      <c r="M2367" s="285"/>
      <c r="N2367" s="1076"/>
      <c r="O2367" s="294"/>
      <c r="P2367" s="404"/>
      <c r="Q2367" s="404"/>
      <c r="R2367" s="301"/>
      <c r="S2367" s="301"/>
      <c r="T2367" s="301"/>
      <c r="U2367" s="301"/>
      <c r="V2367" s="301"/>
    </row>
    <row r="2368" spans="1:22" ht="14.4" thickTop="1" thickBot="1" x14ac:dyDescent="0.3">
      <c r="A2368" s="292"/>
      <c r="B2368" s="293"/>
      <c r="C2368" s="294"/>
      <c r="D2368" s="294"/>
      <c r="E2368" s="294"/>
      <c r="F2368" s="310"/>
      <c r="G2368" s="310"/>
      <c r="H2368" s="310"/>
      <c r="I2368" s="295"/>
      <c r="J2368" s="295"/>
      <c r="K2368" s="300"/>
      <c r="L2368" s="300"/>
      <c r="M2368" s="285"/>
      <c r="N2368" s="1076"/>
      <c r="O2368" s="294"/>
      <c r="P2368" s="404"/>
      <c r="Q2368" s="404"/>
      <c r="R2368" s="301"/>
      <c r="S2368" s="301"/>
      <c r="T2368" s="301"/>
      <c r="U2368" s="301"/>
      <c r="V2368" s="301"/>
    </row>
    <row r="2369" spans="1:22" ht="14.4" thickTop="1" thickBot="1" x14ac:dyDescent="0.3">
      <c r="A2369" s="292"/>
      <c r="B2369" s="293"/>
      <c r="C2369" s="294"/>
      <c r="D2369" s="294"/>
      <c r="E2369" s="294"/>
      <c r="F2369" s="310"/>
      <c r="G2369" s="310"/>
      <c r="H2369" s="310"/>
      <c r="I2369" s="295"/>
      <c r="J2369" s="295"/>
      <c r="K2369" s="300"/>
      <c r="L2369" s="300"/>
      <c r="M2369" s="285"/>
      <c r="N2369" s="1076"/>
      <c r="O2369" s="294"/>
      <c r="P2369" s="404"/>
      <c r="Q2369" s="404"/>
      <c r="R2369" s="301"/>
      <c r="S2369" s="301"/>
      <c r="T2369" s="301"/>
      <c r="U2369" s="301"/>
      <c r="V2369" s="301"/>
    </row>
    <row r="2370" spans="1:22" ht="14.4" thickTop="1" thickBot="1" x14ac:dyDescent="0.3">
      <c r="A2370" s="292"/>
      <c r="B2370" s="293"/>
      <c r="C2370" s="294"/>
      <c r="D2370" s="294"/>
      <c r="E2370" s="294"/>
      <c r="F2370" s="310"/>
      <c r="G2370" s="310"/>
      <c r="H2370" s="310"/>
      <c r="I2370" s="295"/>
      <c r="J2370" s="295"/>
      <c r="K2370" s="300"/>
      <c r="L2370" s="300"/>
      <c r="M2370" s="285"/>
      <c r="N2370" s="1076"/>
      <c r="O2370" s="294"/>
      <c r="P2370" s="404"/>
      <c r="Q2370" s="404"/>
      <c r="R2370" s="301"/>
      <c r="S2370" s="301"/>
      <c r="T2370" s="301"/>
      <c r="U2370" s="301"/>
      <c r="V2370" s="301"/>
    </row>
    <row r="2371" spans="1:22" ht="14.4" thickTop="1" thickBot="1" x14ac:dyDescent="0.3">
      <c r="A2371" s="292"/>
      <c r="B2371" s="293"/>
      <c r="C2371" s="294"/>
      <c r="D2371" s="294"/>
      <c r="E2371" s="294"/>
      <c r="F2371" s="310"/>
      <c r="G2371" s="310"/>
      <c r="H2371" s="310"/>
      <c r="I2371" s="295"/>
      <c r="J2371" s="295"/>
      <c r="K2371" s="300"/>
      <c r="L2371" s="300"/>
      <c r="M2371" s="285"/>
      <c r="N2371" s="1076"/>
      <c r="O2371" s="294"/>
      <c r="P2371" s="404"/>
      <c r="Q2371" s="404"/>
      <c r="R2371" s="301"/>
      <c r="S2371" s="301"/>
      <c r="T2371" s="301"/>
      <c r="U2371" s="301"/>
      <c r="V2371" s="301"/>
    </row>
    <row r="2372" spans="1:22" ht="14.4" thickTop="1" thickBot="1" x14ac:dyDescent="0.3">
      <c r="A2372" s="292"/>
      <c r="B2372" s="293"/>
      <c r="C2372" s="294"/>
      <c r="D2372" s="294"/>
      <c r="E2372" s="294"/>
      <c r="F2372" s="310"/>
      <c r="G2372" s="310"/>
      <c r="H2372" s="310"/>
      <c r="I2372" s="295"/>
      <c r="J2372" s="295"/>
      <c r="K2372" s="300"/>
      <c r="L2372" s="300"/>
      <c r="M2372" s="285"/>
      <c r="N2372" s="1076"/>
      <c r="O2372" s="294"/>
      <c r="P2372" s="404"/>
      <c r="Q2372" s="404"/>
      <c r="R2372" s="301"/>
      <c r="S2372" s="301"/>
      <c r="T2372" s="301"/>
      <c r="U2372" s="301"/>
      <c r="V2372" s="301"/>
    </row>
    <row r="2373" spans="1:22" ht="14.4" thickTop="1" thickBot="1" x14ac:dyDescent="0.3">
      <c r="A2373" s="292"/>
      <c r="B2373" s="293"/>
      <c r="C2373" s="294"/>
      <c r="D2373" s="294"/>
      <c r="E2373" s="294"/>
      <c r="F2373" s="310"/>
      <c r="G2373" s="310"/>
      <c r="H2373" s="310"/>
      <c r="I2373" s="295"/>
      <c r="J2373" s="295"/>
      <c r="K2373" s="300"/>
      <c r="L2373" s="300"/>
      <c r="M2373" s="285"/>
      <c r="N2373" s="1076"/>
      <c r="O2373" s="294"/>
      <c r="P2373" s="404"/>
      <c r="Q2373" s="404"/>
      <c r="R2373" s="301"/>
      <c r="S2373" s="301"/>
      <c r="T2373" s="301"/>
      <c r="U2373" s="301"/>
      <c r="V2373" s="301"/>
    </row>
    <row r="2374" spans="1:22" ht="14.4" thickTop="1" thickBot="1" x14ac:dyDescent="0.3">
      <c r="A2374" s="292"/>
      <c r="B2374" s="293"/>
      <c r="C2374" s="294"/>
      <c r="D2374" s="294"/>
      <c r="E2374" s="294"/>
      <c r="F2374" s="310"/>
      <c r="G2374" s="310"/>
      <c r="H2374" s="310"/>
      <c r="I2374" s="295"/>
      <c r="J2374" s="295"/>
      <c r="K2374" s="300"/>
      <c r="L2374" s="300"/>
      <c r="M2374" s="285"/>
      <c r="N2374" s="1076"/>
      <c r="O2374" s="294"/>
      <c r="P2374" s="404"/>
      <c r="Q2374" s="404"/>
      <c r="R2374" s="301"/>
      <c r="S2374" s="301"/>
      <c r="T2374" s="301"/>
      <c r="U2374" s="301"/>
      <c r="V2374" s="301"/>
    </row>
    <row r="2375" spans="1:22" ht="14.4" thickTop="1" thickBot="1" x14ac:dyDescent="0.3">
      <c r="A2375" s="292"/>
      <c r="B2375" s="293"/>
      <c r="C2375" s="294"/>
      <c r="D2375" s="294"/>
      <c r="E2375" s="294"/>
      <c r="F2375" s="310"/>
      <c r="G2375" s="310"/>
      <c r="H2375" s="310"/>
      <c r="I2375" s="295"/>
      <c r="J2375" s="295"/>
      <c r="K2375" s="300"/>
      <c r="L2375" s="300"/>
      <c r="M2375" s="285"/>
      <c r="N2375" s="1076"/>
      <c r="O2375" s="294"/>
      <c r="P2375" s="404"/>
      <c r="Q2375" s="404"/>
      <c r="R2375" s="301"/>
      <c r="S2375" s="301"/>
      <c r="T2375" s="301"/>
      <c r="U2375" s="301"/>
      <c r="V2375" s="301"/>
    </row>
    <row r="2376" spans="1:22" ht="14.4" thickTop="1" thickBot="1" x14ac:dyDescent="0.3">
      <c r="A2376" s="292"/>
      <c r="B2376" s="296" t="s">
        <v>848</v>
      </c>
      <c r="C2376" s="294"/>
      <c r="D2376" s="294"/>
      <c r="E2376" s="294"/>
      <c r="F2376" s="310"/>
      <c r="G2376" s="310"/>
      <c r="H2376" s="310"/>
      <c r="I2376" s="295"/>
      <c r="J2376" s="295"/>
      <c r="K2376" s="300"/>
      <c r="L2376" s="300"/>
      <c r="M2376" s="285"/>
      <c r="N2376" s="1076"/>
      <c r="O2376" s="294"/>
      <c r="P2376" s="404"/>
      <c r="Q2376" s="404"/>
      <c r="R2376" s="301"/>
      <c r="S2376" s="301"/>
      <c r="T2376" s="301"/>
      <c r="U2376" s="301"/>
      <c r="V2376" s="301"/>
    </row>
    <row r="2377" spans="1:22" ht="14.4" thickTop="1" thickBot="1" x14ac:dyDescent="0.3">
      <c r="A2377" s="292"/>
      <c r="B2377" s="296" t="s">
        <v>1834</v>
      </c>
      <c r="C2377" s="294"/>
      <c r="D2377" s="294"/>
      <c r="E2377" s="294">
        <v>2</v>
      </c>
      <c r="F2377" s="310"/>
      <c r="G2377" s="310"/>
      <c r="H2377" s="310"/>
      <c r="I2377" s="295">
        <v>6.1</v>
      </c>
      <c r="J2377" s="295">
        <f>I2377*E2377</f>
        <v>12.2</v>
      </c>
      <c r="K2377" s="300"/>
      <c r="L2377" s="300"/>
      <c r="M2377" s="285"/>
      <c r="N2377" s="1076"/>
      <c r="O2377" s="294"/>
      <c r="P2377" s="404"/>
      <c r="Q2377" s="404"/>
      <c r="R2377" s="301"/>
      <c r="S2377" s="301"/>
      <c r="T2377" s="301"/>
      <c r="U2377" s="301"/>
      <c r="V2377" s="301"/>
    </row>
    <row r="2378" spans="1:22" ht="14.4" thickTop="1" thickBot="1" x14ac:dyDescent="0.3">
      <c r="A2378" s="292"/>
      <c r="B2378" s="293"/>
      <c r="C2378" s="294"/>
      <c r="D2378" s="294"/>
      <c r="E2378" s="294"/>
      <c r="F2378" s="310"/>
      <c r="G2378" s="310"/>
      <c r="H2378" s="310"/>
      <c r="I2378" s="295"/>
      <c r="J2378" s="295">
        <v>33.700000000000003</v>
      </c>
      <c r="K2378" s="300"/>
      <c r="L2378" s="300"/>
      <c r="M2378" s="285"/>
      <c r="N2378" s="1076"/>
      <c r="O2378" s="294"/>
      <c r="P2378" s="404"/>
      <c r="Q2378" s="404"/>
      <c r="R2378" s="301"/>
      <c r="S2378" s="301"/>
      <c r="T2378" s="301"/>
      <c r="U2378" s="301"/>
      <c r="V2378" s="301"/>
    </row>
    <row r="2379" spans="1:22" ht="14.4" thickTop="1" thickBot="1" x14ac:dyDescent="0.3">
      <c r="A2379" s="292"/>
      <c r="B2379" s="293"/>
      <c r="C2379" s="294"/>
      <c r="D2379" s="294"/>
      <c r="E2379" s="294"/>
      <c r="F2379" s="310"/>
      <c r="G2379" s="310"/>
      <c r="H2379" s="310"/>
      <c r="I2379" s="295"/>
      <c r="J2379" s="295"/>
      <c r="K2379" s="300"/>
      <c r="L2379" s="300"/>
      <c r="M2379" s="285"/>
      <c r="N2379" s="1076"/>
      <c r="O2379" s="294"/>
      <c r="P2379" s="404"/>
      <c r="Q2379" s="404"/>
      <c r="R2379" s="301"/>
      <c r="S2379" s="301"/>
      <c r="T2379" s="301"/>
      <c r="U2379" s="301"/>
      <c r="V2379" s="301"/>
    </row>
    <row r="2380" spans="1:22" ht="14.4" thickTop="1" thickBot="1" x14ac:dyDescent="0.3">
      <c r="A2380" s="292"/>
      <c r="B2380" s="293"/>
      <c r="C2380" s="294"/>
      <c r="D2380" s="294"/>
      <c r="E2380" s="294"/>
      <c r="F2380" s="310"/>
      <c r="G2380" s="310"/>
      <c r="H2380" s="310"/>
      <c r="I2380" s="295"/>
      <c r="J2380" s="295">
        <f>SUM(J2377:J2379)</f>
        <v>45.900000000000006</v>
      </c>
      <c r="K2380" s="300"/>
      <c r="L2380" s="300"/>
      <c r="M2380" s="285"/>
      <c r="N2380" s="1076"/>
      <c r="O2380" s="294"/>
      <c r="P2380" s="404"/>
      <c r="Q2380" s="404"/>
      <c r="R2380" s="301"/>
      <c r="S2380" s="301"/>
      <c r="T2380" s="301"/>
      <c r="U2380" s="301"/>
      <c r="V2380" s="301"/>
    </row>
    <row r="2381" spans="1:22" ht="14.4" thickTop="1" thickBot="1" x14ac:dyDescent="0.3">
      <c r="A2381" s="292"/>
      <c r="B2381" s="293"/>
      <c r="C2381" s="294"/>
      <c r="D2381" s="294"/>
      <c r="E2381" s="294"/>
      <c r="F2381" s="310"/>
      <c r="G2381" s="310"/>
      <c r="H2381" s="310"/>
      <c r="I2381" s="295"/>
      <c r="J2381" s="295">
        <f>J2380*10.76</f>
        <v>493.88400000000007</v>
      </c>
      <c r="K2381" s="300">
        <f t="shared" si="276"/>
        <v>1.1000000000000001</v>
      </c>
      <c r="L2381" s="300">
        <f t="shared" ref="L2381:L2382" si="295">K2381*J2381</f>
        <v>543.27240000000018</v>
      </c>
      <c r="M2381" s="285">
        <f t="shared" ref="M2381:M2382" si="296">ROUND(L2381,1)</f>
        <v>543.29999999999995</v>
      </c>
      <c r="N2381" s="1076">
        <f t="shared" ref="N2381:N2382" si="297">ROUNDUP(M2381,0)</f>
        <v>544</v>
      </c>
      <c r="O2381" s="294" t="s">
        <v>1846</v>
      </c>
      <c r="P2381" s="404"/>
      <c r="Q2381" s="404"/>
      <c r="R2381" s="301"/>
      <c r="S2381" s="301"/>
      <c r="T2381" s="301"/>
      <c r="U2381" s="301"/>
      <c r="V2381" s="301"/>
    </row>
    <row r="2382" spans="1:22" ht="14.4" thickTop="1" thickBot="1" x14ac:dyDescent="0.3">
      <c r="A2382" s="292"/>
      <c r="B2382" s="293"/>
      <c r="C2382" s="294"/>
      <c r="D2382" s="294"/>
      <c r="E2382" s="294"/>
      <c r="F2382" s="310"/>
      <c r="G2382" s="310"/>
      <c r="H2382" s="310"/>
      <c r="I2382" s="295"/>
      <c r="J2382" s="295">
        <f>J2381/100</f>
        <v>4.9388400000000008</v>
      </c>
      <c r="K2382" s="300">
        <v>1.1000000000000001</v>
      </c>
      <c r="L2382" s="300">
        <f t="shared" si="295"/>
        <v>5.4327240000000012</v>
      </c>
      <c r="M2382" s="285">
        <f t="shared" si="296"/>
        <v>5.4</v>
      </c>
      <c r="N2382" s="1076">
        <f t="shared" si="297"/>
        <v>6</v>
      </c>
      <c r="O2382" s="294" t="s">
        <v>879</v>
      </c>
      <c r="P2382" s="404"/>
      <c r="Q2382" s="404"/>
      <c r="R2382" s="301"/>
      <c r="S2382" s="301"/>
      <c r="T2382" s="301"/>
      <c r="U2382" s="301"/>
      <c r="V2382" s="301"/>
    </row>
    <row r="2383" spans="1:22" ht="14.4" thickTop="1" thickBot="1" x14ac:dyDescent="0.3">
      <c r="A2383" s="292"/>
      <c r="B2383" s="293"/>
      <c r="C2383" s="294"/>
      <c r="D2383" s="294"/>
      <c r="E2383" s="294"/>
      <c r="F2383" s="310"/>
      <c r="G2383" s="310"/>
      <c r="H2383" s="310"/>
      <c r="I2383" s="295"/>
      <c r="J2383" s="295"/>
      <c r="K2383" s="300"/>
      <c r="L2383" s="300"/>
      <c r="M2383" s="285"/>
      <c r="N2383" s="1076"/>
      <c r="O2383" s="294"/>
      <c r="P2383" s="404"/>
      <c r="Q2383" s="404"/>
      <c r="R2383" s="301"/>
      <c r="S2383" s="301"/>
      <c r="T2383" s="301"/>
      <c r="U2383" s="301"/>
      <c r="V2383" s="301"/>
    </row>
    <row r="2384" spans="1:22" ht="14.4" thickTop="1" thickBot="1" x14ac:dyDescent="0.3">
      <c r="A2384" s="292"/>
      <c r="B2384" s="296" t="s">
        <v>2458</v>
      </c>
      <c r="C2384" s="294"/>
      <c r="D2384" s="294"/>
      <c r="E2384" s="294"/>
      <c r="F2384" s="310"/>
      <c r="G2384" s="310"/>
      <c r="H2384" s="310"/>
      <c r="I2384" s="295"/>
      <c r="J2384" s="295">
        <v>36.24</v>
      </c>
      <c r="K2384" s="300"/>
      <c r="L2384" s="300"/>
      <c r="M2384" s="285"/>
      <c r="N2384" s="1076"/>
      <c r="O2384" s="294"/>
      <c r="P2384" s="404"/>
      <c r="Q2384" s="404"/>
      <c r="R2384" s="301"/>
      <c r="S2384" s="301"/>
      <c r="T2384" s="301"/>
      <c r="U2384" s="301"/>
      <c r="V2384" s="301"/>
    </row>
    <row r="2385" spans="1:22" ht="14.4" thickTop="1" thickBot="1" x14ac:dyDescent="0.3">
      <c r="A2385" s="292"/>
      <c r="B2385" s="293"/>
      <c r="C2385" s="294"/>
      <c r="D2385" s="294"/>
      <c r="E2385" s="294"/>
      <c r="F2385" s="310"/>
      <c r="G2385" s="310"/>
      <c r="H2385" s="310"/>
      <c r="I2385" s="295"/>
      <c r="J2385" s="295">
        <f>J2384*10.76</f>
        <v>389.94240000000002</v>
      </c>
      <c r="K2385" s="300">
        <f t="shared" si="276"/>
        <v>1.1000000000000001</v>
      </c>
      <c r="L2385" s="300">
        <f t="shared" ref="L2385:L2386" si="298">K2385*J2385</f>
        <v>428.93664000000007</v>
      </c>
      <c r="M2385" s="285">
        <f t="shared" ref="M2385:M2386" si="299">ROUND(L2385,1)</f>
        <v>428.9</v>
      </c>
      <c r="N2385" s="1076">
        <f t="shared" ref="N2385:N2386" si="300">ROUNDUP(M2385,0)</f>
        <v>429</v>
      </c>
      <c r="O2385" s="294" t="s">
        <v>1846</v>
      </c>
      <c r="P2385" s="404"/>
      <c r="Q2385" s="404"/>
      <c r="R2385" s="301"/>
      <c r="S2385" s="301"/>
      <c r="T2385" s="301"/>
      <c r="U2385" s="301"/>
      <c r="V2385" s="301"/>
    </row>
    <row r="2386" spans="1:22" ht="14.4" thickTop="1" thickBot="1" x14ac:dyDescent="0.3">
      <c r="A2386" s="292"/>
      <c r="B2386" s="293"/>
      <c r="C2386" s="294"/>
      <c r="D2386" s="294"/>
      <c r="E2386" s="294"/>
      <c r="F2386" s="310"/>
      <c r="G2386" s="310"/>
      <c r="H2386" s="310"/>
      <c r="I2386" s="295"/>
      <c r="J2386" s="295">
        <f>J2385/100</f>
        <v>3.8994240000000002</v>
      </c>
      <c r="K2386" s="300">
        <v>1.01</v>
      </c>
      <c r="L2386" s="300">
        <f t="shared" si="298"/>
        <v>3.9384182400000003</v>
      </c>
      <c r="M2386" s="285">
        <f t="shared" si="299"/>
        <v>3.9</v>
      </c>
      <c r="N2386" s="1076">
        <f t="shared" si="300"/>
        <v>4</v>
      </c>
      <c r="O2386" s="294" t="s">
        <v>879</v>
      </c>
      <c r="P2386" s="404"/>
      <c r="Q2386" s="404"/>
      <c r="R2386" s="301"/>
      <c r="S2386" s="301"/>
      <c r="T2386" s="301"/>
      <c r="U2386" s="301"/>
      <c r="V2386" s="301"/>
    </row>
    <row r="2387" spans="1:22" ht="14.4" thickTop="1" thickBot="1" x14ac:dyDescent="0.3">
      <c r="A2387" s="292"/>
      <c r="B2387" s="293"/>
      <c r="C2387" s="294"/>
      <c r="D2387" s="294"/>
      <c r="E2387" s="294"/>
      <c r="F2387" s="310"/>
      <c r="G2387" s="310"/>
      <c r="H2387" s="310"/>
      <c r="I2387" s="295"/>
      <c r="J2387" s="295"/>
      <c r="K2387" s="300"/>
      <c r="L2387" s="300"/>
      <c r="M2387" s="285"/>
      <c r="N2387" s="1076"/>
      <c r="O2387" s="294"/>
      <c r="P2387" s="404"/>
      <c r="Q2387" s="404"/>
      <c r="R2387" s="301"/>
      <c r="S2387" s="301"/>
      <c r="T2387" s="301"/>
      <c r="U2387" s="301"/>
      <c r="V2387" s="301"/>
    </row>
    <row r="2388" spans="1:22" ht="14.4" thickTop="1" thickBot="1" x14ac:dyDescent="0.3">
      <c r="A2388" s="292"/>
      <c r="B2388" s="296" t="s">
        <v>2460</v>
      </c>
      <c r="C2388" s="294"/>
      <c r="D2388" s="294"/>
      <c r="E2388" s="294"/>
      <c r="F2388" s="310"/>
      <c r="G2388" s="310"/>
      <c r="H2388" s="310"/>
      <c r="I2388" s="295">
        <v>6.8</v>
      </c>
      <c r="J2388" s="295"/>
      <c r="K2388" s="300"/>
      <c r="L2388" s="300"/>
      <c r="M2388" s="285"/>
      <c r="N2388" s="1076"/>
      <c r="O2388" s="294"/>
      <c r="P2388" s="404"/>
      <c r="Q2388" s="404"/>
      <c r="R2388" s="301"/>
      <c r="S2388" s="301"/>
      <c r="T2388" s="301"/>
      <c r="U2388" s="301"/>
      <c r="V2388" s="301"/>
    </row>
    <row r="2389" spans="1:22" ht="14.4" thickTop="1" thickBot="1" x14ac:dyDescent="0.3">
      <c r="A2389" s="292"/>
      <c r="B2389" s="293"/>
      <c r="C2389" s="294"/>
      <c r="D2389" s="294"/>
      <c r="E2389" s="294"/>
      <c r="F2389" s="310"/>
      <c r="G2389" s="310"/>
      <c r="H2389" s="310"/>
      <c r="I2389" s="295">
        <v>3</v>
      </c>
      <c r="J2389" s="295">
        <f>SUM(I2388:I2389)</f>
        <v>9.8000000000000007</v>
      </c>
      <c r="K2389" s="300">
        <f t="shared" si="276"/>
        <v>1.1000000000000001</v>
      </c>
      <c r="L2389" s="300">
        <f t="shared" ref="L2389:L2390" si="301">K2389*J2389</f>
        <v>10.780000000000001</v>
      </c>
      <c r="M2389" s="285">
        <f t="shared" ref="M2389:M2390" si="302">ROUND(L2389,1)</f>
        <v>10.8</v>
      </c>
      <c r="N2389" s="1076">
        <f t="shared" ref="N2389:N2390" si="303">ROUNDUP(M2389,0)</f>
        <v>11</v>
      </c>
      <c r="O2389" s="294"/>
      <c r="P2389" s="404"/>
      <c r="Q2389" s="404"/>
      <c r="R2389" s="301"/>
      <c r="S2389" s="301"/>
      <c r="T2389" s="301"/>
      <c r="U2389" s="301"/>
      <c r="V2389" s="301"/>
    </row>
    <row r="2390" spans="1:22" ht="14.4" thickTop="1" thickBot="1" x14ac:dyDescent="0.3">
      <c r="A2390" s="292"/>
      <c r="B2390" s="293"/>
      <c r="C2390" s="294"/>
      <c r="D2390" s="294"/>
      <c r="E2390" s="294"/>
      <c r="F2390" s="310"/>
      <c r="G2390" s="310"/>
      <c r="H2390" s="310"/>
      <c r="I2390" s="295"/>
      <c r="J2390" s="295">
        <f>J2389*3.28</f>
        <v>32.143999999999998</v>
      </c>
      <c r="K2390" s="300">
        <v>1.1000000000000001</v>
      </c>
      <c r="L2390" s="300">
        <f t="shared" si="301"/>
        <v>35.358400000000003</v>
      </c>
      <c r="M2390" s="285">
        <f t="shared" si="302"/>
        <v>35.4</v>
      </c>
      <c r="N2390" s="1076">
        <f t="shared" si="303"/>
        <v>36</v>
      </c>
      <c r="O2390" s="294"/>
      <c r="P2390" s="404"/>
      <c r="Q2390" s="404"/>
      <c r="R2390" s="301"/>
      <c r="S2390" s="301"/>
      <c r="T2390" s="301"/>
      <c r="U2390" s="301"/>
      <c r="V2390" s="301"/>
    </row>
    <row r="2391" spans="1:22" ht="14.4" thickTop="1" thickBot="1" x14ac:dyDescent="0.3">
      <c r="A2391" s="292"/>
      <c r="B2391" s="293"/>
      <c r="C2391" s="294"/>
      <c r="D2391" s="294"/>
      <c r="E2391" s="294"/>
      <c r="F2391" s="310"/>
      <c r="G2391" s="310"/>
      <c r="H2391" s="310"/>
      <c r="I2391" s="295"/>
      <c r="J2391" s="295"/>
      <c r="K2391" s="300"/>
      <c r="L2391" s="300"/>
      <c r="M2391" s="285"/>
      <c r="N2391" s="1076"/>
      <c r="O2391" s="294"/>
      <c r="P2391" s="404"/>
      <c r="Q2391" s="404"/>
      <c r="R2391" s="301"/>
      <c r="S2391" s="301"/>
      <c r="T2391" s="301"/>
      <c r="U2391" s="301"/>
      <c r="V2391" s="301"/>
    </row>
    <row r="2392" spans="1:22" ht="14.4" thickTop="1" thickBot="1" x14ac:dyDescent="0.3">
      <c r="A2392" s="292"/>
      <c r="B2392" s="293"/>
      <c r="C2392" s="294"/>
      <c r="D2392" s="294"/>
      <c r="E2392" s="294"/>
      <c r="F2392" s="310"/>
      <c r="G2392" s="310"/>
      <c r="H2392" s="310"/>
      <c r="I2392" s="295"/>
      <c r="J2392" s="295"/>
      <c r="K2392" s="300"/>
      <c r="L2392" s="300"/>
      <c r="M2392" s="285"/>
      <c r="N2392" s="1076"/>
      <c r="O2392" s="294"/>
      <c r="P2392" s="404"/>
      <c r="Q2392" s="404"/>
      <c r="R2392" s="301"/>
      <c r="S2392" s="301"/>
      <c r="T2392" s="301"/>
      <c r="U2392" s="301"/>
      <c r="V2392" s="301"/>
    </row>
    <row r="2393" spans="1:22" ht="14.4" thickTop="1" thickBot="1" x14ac:dyDescent="0.3">
      <c r="A2393" s="292"/>
      <c r="B2393" s="293"/>
      <c r="C2393" s="294"/>
      <c r="D2393" s="294"/>
      <c r="E2393" s="294"/>
      <c r="F2393" s="310"/>
      <c r="G2393" s="310"/>
      <c r="H2393" s="310"/>
      <c r="I2393" s="295"/>
      <c r="J2393" s="295"/>
      <c r="K2393" s="300"/>
      <c r="L2393" s="300"/>
      <c r="M2393" s="285"/>
      <c r="N2393" s="1076"/>
      <c r="O2393" s="294"/>
      <c r="P2393" s="404"/>
      <c r="Q2393" s="404"/>
      <c r="R2393" s="301"/>
      <c r="S2393" s="301"/>
      <c r="T2393" s="301"/>
      <c r="U2393" s="301"/>
      <c r="V2393" s="301"/>
    </row>
    <row r="2394" spans="1:22" ht="14.4" thickTop="1" thickBot="1" x14ac:dyDescent="0.3">
      <c r="A2394" s="292"/>
      <c r="B2394" s="296" t="s">
        <v>2459</v>
      </c>
      <c r="C2394" s="294"/>
      <c r="D2394" s="294"/>
      <c r="E2394" s="294"/>
      <c r="F2394" s="310"/>
      <c r="G2394" s="310"/>
      <c r="H2394" s="310"/>
      <c r="I2394" s="295"/>
      <c r="J2394" s="295">
        <v>131.36000000000001</v>
      </c>
      <c r="K2394" s="300"/>
      <c r="L2394" s="300"/>
      <c r="M2394" s="285"/>
      <c r="N2394" s="1076"/>
      <c r="O2394" s="294"/>
      <c r="P2394" s="404"/>
      <c r="Q2394" s="404"/>
      <c r="R2394" s="301"/>
      <c r="S2394" s="301"/>
      <c r="T2394" s="301"/>
      <c r="U2394" s="301"/>
      <c r="V2394" s="301"/>
    </row>
    <row r="2395" spans="1:22" ht="14.4" thickTop="1" thickBot="1" x14ac:dyDescent="0.3">
      <c r="A2395" s="292"/>
      <c r="B2395" s="293"/>
      <c r="C2395" s="294"/>
      <c r="D2395" s="294"/>
      <c r="E2395" s="294"/>
      <c r="F2395" s="310"/>
      <c r="G2395" s="310"/>
      <c r="H2395" s="310"/>
      <c r="I2395" s="295"/>
      <c r="J2395" s="295">
        <f>J2394*10.76</f>
        <v>1413.4336000000001</v>
      </c>
      <c r="K2395" s="300">
        <f t="shared" si="276"/>
        <v>1.1000000000000001</v>
      </c>
      <c r="L2395" s="300">
        <f t="shared" ref="L2395:L2396" si="304">K2395*J2395</f>
        <v>1554.7769600000001</v>
      </c>
      <c r="M2395" s="285">
        <f t="shared" ref="M2395:M2396" si="305">ROUND(L2395,1)</f>
        <v>1554.8</v>
      </c>
      <c r="N2395" s="1076">
        <f t="shared" ref="N2395:N2396" si="306">ROUNDUP(M2395,0)</f>
        <v>1555</v>
      </c>
      <c r="O2395" s="294" t="s">
        <v>1846</v>
      </c>
      <c r="P2395" s="404"/>
      <c r="Q2395" s="404"/>
      <c r="R2395" s="301"/>
      <c r="S2395" s="301"/>
      <c r="T2395" s="301"/>
      <c r="U2395" s="301"/>
      <c r="V2395" s="301"/>
    </row>
    <row r="2396" spans="1:22" ht="14.4" thickTop="1" thickBot="1" x14ac:dyDescent="0.3">
      <c r="A2396" s="292"/>
      <c r="B2396" s="293"/>
      <c r="C2396" s="294"/>
      <c r="D2396" s="294"/>
      <c r="E2396" s="294"/>
      <c r="F2396" s="310"/>
      <c r="G2396" s="310"/>
      <c r="H2396" s="310"/>
      <c r="I2396" s="295"/>
      <c r="J2396" s="295">
        <f>J2395/100</f>
        <v>14.134336000000001</v>
      </c>
      <c r="K2396" s="300">
        <v>1.01</v>
      </c>
      <c r="L2396" s="300">
        <f t="shared" si="304"/>
        <v>14.275679360000002</v>
      </c>
      <c r="M2396" s="285">
        <f t="shared" si="305"/>
        <v>14.3</v>
      </c>
      <c r="N2396" s="1076">
        <f t="shared" si="306"/>
        <v>15</v>
      </c>
      <c r="O2396" s="294" t="s">
        <v>879</v>
      </c>
      <c r="P2396" s="404"/>
      <c r="Q2396" s="404"/>
      <c r="R2396" s="301"/>
      <c r="S2396" s="301"/>
      <c r="T2396" s="301"/>
      <c r="U2396" s="301"/>
      <c r="V2396" s="301"/>
    </row>
    <row r="2397" spans="1:22" ht="14.4" thickTop="1" thickBot="1" x14ac:dyDescent="0.3">
      <c r="A2397" s="292"/>
      <c r="B2397" s="293"/>
      <c r="C2397" s="294"/>
      <c r="D2397" s="294"/>
      <c r="E2397" s="294"/>
      <c r="F2397" s="310"/>
      <c r="G2397" s="310"/>
      <c r="H2397" s="310"/>
      <c r="I2397" s="295"/>
      <c r="J2397" s="295"/>
      <c r="K2397" s="300"/>
      <c r="L2397" s="300"/>
      <c r="M2397" s="285"/>
      <c r="N2397" s="1076"/>
      <c r="O2397" s="294"/>
      <c r="P2397" s="404"/>
      <c r="Q2397" s="404"/>
      <c r="R2397" s="301"/>
      <c r="S2397" s="301"/>
      <c r="T2397" s="301"/>
      <c r="U2397" s="301"/>
      <c r="V2397" s="301"/>
    </row>
    <row r="2398" spans="1:22" ht="14.4" thickTop="1" thickBot="1" x14ac:dyDescent="0.3">
      <c r="A2398" s="292"/>
      <c r="B2398" s="296" t="s">
        <v>2460</v>
      </c>
      <c r="C2398" s="294"/>
      <c r="D2398" s="294"/>
      <c r="E2398" s="294"/>
      <c r="F2398" s="310"/>
      <c r="G2398" s="310"/>
      <c r="H2398" s="310"/>
      <c r="I2398" s="295">
        <v>23</v>
      </c>
      <c r="J2398" s="295">
        <f>SUM(I2397:I2398)</f>
        <v>23</v>
      </c>
      <c r="K2398" s="300">
        <f t="shared" si="276"/>
        <v>1.1000000000000001</v>
      </c>
      <c r="L2398" s="300">
        <f t="shared" ref="L2398:L2399" si="307">K2398*J2398</f>
        <v>25.3</v>
      </c>
      <c r="M2398" s="285">
        <f t="shared" ref="M2398:M2399" si="308">ROUND(L2398,1)</f>
        <v>25.3</v>
      </c>
      <c r="N2398" s="1076">
        <f t="shared" ref="N2398:N2399" si="309">ROUNDUP(M2398,0)</f>
        <v>26</v>
      </c>
      <c r="O2398" s="294"/>
      <c r="P2398" s="404"/>
      <c r="Q2398" s="404"/>
      <c r="R2398" s="301"/>
      <c r="S2398" s="301"/>
      <c r="T2398" s="301"/>
      <c r="U2398" s="301"/>
      <c r="V2398" s="301"/>
    </row>
    <row r="2399" spans="1:22" ht="14.4" thickTop="1" thickBot="1" x14ac:dyDescent="0.3">
      <c r="A2399" s="292"/>
      <c r="B2399" s="293"/>
      <c r="C2399" s="294"/>
      <c r="D2399" s="294"/>
      <c r="E2399" s="294"/>
      <c r="F2399" s="310"/>
      <c r="G2399" s="310"/>
      <c r="H2399" s="310"/>
      <c r="I2399" s="295"/>
      <c r="J2399" s="295">
        <f>J2398*3.28</f>
        <v>75.44</v>
      </c>
      <c r="K2399" s="300">
        <v>1.1000000000000001</v>
      </c>
      <c r="L2399" s="300">
        <f t="shared" si="307"/>
        <v>82.984000000000009</v>
      </c>
      <c r="M2399" s="285">
        <f t="shared" si="308"/>
        <v>83</v>
      </c>
      <c r="N2399" s="1076">
        <f t="shared" si="309"/>
        <v>83</v>
      </c>
      <c r="O2399" s="294"/>
      <c r="P2399" s="404"/>
      <c r="Q2399" s="404"/>
      <c r="R2399" s="301"/>
      <c r="S2399" s="301"/>
      <c r="T2399" s="301"/>
      <c r="U2399" s="301"/>
      <c r="V2399" s="301"/>
    </row>
    <row r="2400" spans="1:22" ht="14.4" thickTop="1" thickBot="1" x14ac:dyDescent="0.3">
      <c r="A2400" s="292"/>
      <c r="B2400" s="293"/>
      <c r="C2400" s="294"/>
      <c r="D2400" s="294"/>
      <c r="E2400" s="294"/>
      <c r="F2400" s="310"/>
      <c r="G2400" s="310"/>
      <c r="H2400" s="310"/>
      <c r="I2400" s="295"/>
      <c r="J2400" s="295"/>
      <c r="K2400" s="300"/>
      <c r="L2400" s="300"/>
      <c r="M2400" s="285"/>
      <c r="N2400" s="1076"/>
      <c r="O2400" s="294"/>
      <c r="P2400" s="404"/>
      <c r="Q2400" s="404"/>
      <c r="R2400" s="301"/>
      <c r="S2400" s="301"/>
      <c r="T2400" s="301"/>
      <c r="U2400" s="301"/>
      <c r="V2400" s="301"/>
    </row>
    <row r="2401" spans="1:22" ht="14.4" thickTop="1" thickBot="1" x14ac:dyDescent="0.3">
      <c r="A2401" s="292"/>
      <c r="B2401" s="296" t="s">
        <v>802</v>
      </c>
      <c r="C2401" s="294"/>
      <c r="D2401" s="294"/>
      <c r="E2401" s="294"/>
      <c r="F2401" s="310"/>
      <c r="G2401" s="310"/>
      <c r="H2401" s="310"/>
      <c r="I2401" s="295"/>
      <c r="J2401" s="295"/>
      <c r="K2401" s="300"/>
      <c r="L2401" s="300"/>
      <c r="M2401" s="285"/>
      <c r="N2401" s="1076"/>
      <c r="O2401" s="294"/>
      <c r="P2401" s="404"/>
      <c r="Q2401" s="404"/>
      <c r="R2401" s="301"/>
      <c r="S2401" s="301"/>
      <c r="T2401" s="301"/>
      <c r="U2401" s="301"/>
      <c r="V2401" s="301"/>
    </row>
    <row r="2402" spans="1:22" ht="14.4" thickTop="1" thickBot="1" x14ac:dyDescent="0.3">
      <c r="A2402" s="292"/>
      <c r="B2402" s="296" t="s">
        <v>2461</v>
      </c>
      <c r="C2402" s="294"/>
      <c r="D2402" s="294"/>
      <c r="E2402" s="294"/>
      <c r="F2402" s="310"/>
      <c r="G2402" s="310"/>
      <c r="H2402" s="310"/>
      <c r="I2402" s="295">
        <v>1048</v>
      </c>
      <c r="J2402" s="295"/>
      <c r="K2402" s="300"/>
      <c r="L2402" s="300"/>
      <c r="M2402" s="285"/>
      <c r="N2402" s="1076"/>
      <c r="O2402" s="294"/>
      <c r="P2402" s="404"/>
      <c r="Q2402" s="404"/>
      <c r="R2402" s="301"/>
      <c r="S2402" s="301"/>
      <c r="T2402" s="301"/>
      <c r="U2402" s="301"/>
      <c r="V2402" s="301"/>
    </row>
    <row r="2403" spans="1:22" ht="14.4" thickTop="1" thickBot="1" x14ac:dyDescent="0.3">
      <c r="A2403" s="292"/>
      <c r="B2403" s="296"/>
      <c r="C2403" s="294"/>
      <c r="D2403" s="294"/>
      <c r="E2403" s="294"/>
      <c r="F2403" s="310"/>
      <c r="G2403" s="310"/>
      <c r="H2403" s="310"/>
      <c r="I2403" s="295">
        <v>39</v>
      </c>
      <c r="J2403" s="295"/>
      <c r="K2403" s="300"/>
      <c r="L2403" s="300"/>
      <c r="M2403" s="285"/>
      <c r="N2403" s="1076"/>
      <c r="O2403" s="294"/>
      <c r="P2403" s="404"/>
      <c r="Q2403" s="404"/>
      <c r="R2403" s="301"/>
      <c r="S2403" s="301"/>
      <c r="T2403" s="301"/>
      <c r="U2403" s="301"/>
      <c r="V2403" s="301"/>
    </row>
    <row r="2404" spans="1:22" ht="14.4" thickTop="1" thickBot="1" x14ac:dyDescent="0.3">
      <c r="A2404" s="292"/>
      <c r="B2404" s="296" t="s">
        <v>844</v>
      </c>
      <c r="C2404" s="294"/>
      <c r="D2404" s="294"/>
      <c r="E2404" s="294"/>
      <c r="F2404" s="310"/>
      <c r="G2404" s="310"/>
      <c r="H2404" s="310"/>
      <c r="I2404" s="295">
        <v>-25</v>
      </c>
      <c r="J2404" s="295"/>
      <c r="K2404" s="300"/>
      <c r="L2404" s="300"/>
      <c r="M2404" s="285"/>
      <c r="N2404" s="1076"/>
      <c r="O2404" s="294"/>
      <c r="P2404" s="404"/>
      <c r="Q2404" s="404"/>
      <c r="R2404" s="301"/>
      <c r="S2404" s="301"/>
      <c r="T2404" s="301"/>
      <c r="U2404" s="301"/>
      <c r="V2404" s="301"/>
    </row>
    <row r="2405" spans="1:22" ht="14.4" thickTop="1" thickBot="1" x14ac:dyDescent="0.3">
      <c r="A2405" s="292"/>
      <c r="B2405" s="296" t="s">
        <v>1931</v>
      </c>
      <c r="C2405" s="294"/>
      <c r="D2405" s="294"/>
      <c r="E2405" s="294"/>
      <c r="F2405" s="310"/>
      <c r="G2405" s="310"/>
      <c r="H2405" s="310"/>
      <c r="I2405" s="295">
        <v>-24</v>
      </c>
      <c r="J2405" s="295"/>
      <c r="K2405" s="300"/>
      <c r="L2405" s="300"/>
      <c r="M2405" s="285"/>
      <c r="N2405" s="1076"/>
      <c r="O2405" s="294"/>
      <c r="P2405" s="404"/>
      <c r="Q2405" s="404"/>
      <c r="R2405" s="301"/>
      <c r="S2405" s="301"/>
      <c r="T2405" s="301"/>
      <c r="U2405" s="301"/>
      <c r="V2405" s="301"/>
    </row>
    <row r="2406" spans="1:22" ht="14.4" thickTop="1" thickBot="1" x14ac:dyDescent="0.3">
      <c r="A2406" s="292"/>
      <c r="B2406" s="296" t="s">
        <v>1931</v>
      </c>
      <c r="C2406" s="294"/>
      <c r="D2406" s="294"/>
      <c r="E2406" s="294"/>
      <c r="F2406" s="310"/>
      <c r="G2406" s="310"/>
      <c r="H2406" s="310"/>
      <c r="I2406" s="295">
        <v>-32</v>
      </c>
      <c r="J2406" s="295"/>
      <c r="K2406" s="300"/>
      <c r="L2406" s="300"/>
      <c r="M2406" s="285"/>
      <c r="N2406" s="1076"/>
      <c r="O2406" s="294"/>
      <c r="P2406" s="404"/>
      <c r="Q2406" s="404"/>
      <c r="R2406" s="301"/>
      <c r="S2406" s="301"/>
      <c r="T2406" s="301"/>
      <c r="U2406" s="301"/>
      <c r="V2406" s="301"/>
    </row>
    <row r="2407" spans="1:22" ht="14.4" thickTop="1" thickBot="1" x14ac:dyDescent="0.3">
      <c r="A2407" s="292"/>
      <c r="B2407" s="296" t="s">
        <v>2462</v>
      </c>
      <c r="C2407" s="294"/>
      <c r="D2407" s="294"/>
      <c r="E2407" s="294"/>
      <c r="F2407" s="310"/>
      <c r="G2407" s="310"/>
      <c r="H2407" s="310"/>
      <c r="I2407" s="295">
        <v>-34</v>
      </c>
      <c r="J2407" s="295"/>
      <c r="K2407" s="300"/>
      <c r="L2407" s="300"/>
      <c r="M2407" s="285"/>
      <c r="N2407" s="1076"/>
      <c r="O2407" s="294"/>
      <c r="P2407" s="404"/>
      <c r="Q2407" s="404"/>
      <c r="R2407" s="301"/>
      <c r="S2407" s="301"/>
      <c r="T2407" s="301"/>
      <c r="U2407" s="301"/>
      <c r="V2407" s="301"/>
    </row>
    <row r="2408" spans="1:22" ht="14.4" thickTop="1" thickBot="1" x14ac:dyDescent="0.3">
      <c r="A2408" s="292"/>
      <c r="B2408" s="293"/>
      <c r="C2408" s="294"/>
      <c r="D2408" s="294"/>
      <c r="E2408" s="294"/>
      <c r="F2408" s="310"/>
      <c r="G2408" s="310"/>
      <c r="H2408" s="310"/>
      <c r="I2408" s="295"/>
      <c r="J2408" s="295">
        <f>SUM(I2402:I2407)</f>
        <v>972</v>
      </c>
      <c r="K2408" s="300"/>
      <c r="L2408" s="300"/>
      <c r="M2408" s="285"/>
      <c r="N2408" s="1076"/>
      <c r="O2408" s="294"/>
      <c r="P2408" s="404"/>
      <c r="Q2408" s="404"/>
      <c r="R2408" s="301"/>
      <c r="S2408" s="301"/>
      <c r="T2408" s="301"/>
      <c r="U2408" s="301"/>
      <c r="V2408" s="301"/>
    </row>
    <row r="2409" spans="1:22" ht="14.4" thickTop="1" thickBot="1" x14ac:dyDescent="0.3">
      <c r="A2409" s="292"/>
      <c r="B2409" s="293"/>
      <c r="C2409" s="294"/>
      <c r="D2409" s="294"/>
      <c r="E2409" s="294"/>
      <c r="F2409" s="310"/>
      <c r="G2409" s="310"/>
      <c r="H2409" s="310"/>
      <c r="I2409" s="295"/>
      <c r="J2409" s="295">
        <f>J2408*10.76</f>
        <v>10458.719999999999</v>
      </c>
      <c r="K2409" s="300">
        <f t="shared" si="276"/>
        <v>1.1000000000000001</v>
      </c>
      <c r="L2409" s="300">
        <f t="shared" ref="L2409:L2410" si="310">K2409*J2409</f>
        <v>11504.592000000001</v>
      </c>
      <c r="M2409" s="285">
        <f t="shared" ref="M2409:M2410" si="311">ROUND(L2409,1)</f>
        <v>11504.6</v>
      </c>
      <c r="N2409" s="1076">
        <f t="shared" ref="N2409:N2410" si="312">ROUNDUP(M2409,0)</f>
        <v>11505</v>
      </c>
      <c r="O2409" s="294" t="s">
        <v>1846</v>
      </c>
      <c r="P2409" s="404"/>
      <c r="Q2409" s="404"/>
      <c r="R2409" s="301"/>
      <c r="S2409" s="301"/>
      <c r="T2409" s="301"/>
      <c r="U2409" s="301"/>
      <c r="V2409" s="301"/>
    </row>
    <row r="2410" spans="1:22" ht="14.4" thickTop="1" thickBot="1" x14ac:dyDescent="0.3">
      <c r="A2410" s="292"/>
      <c r="B2410" s="293"/>
      <c r="C2410" s="294"/>
      <c r="D2410" s="294"/>
      <c r="E2410" s="294"/>
      <c r="F2410" s="310"/>
      <c r="G2410" s="310"/>
      <c r="H2410" s="310"/>
      <c r="I2410" s="295"/>
      <c r="J2410" s="295">
        <f>J2409/100</f>
        <v>104.5872</v>
      </c>
      <c r="K2410" s="300">
        <v>1.05</v>
      </c>
      <c r="L2410" s="300">
        <f t="shared" si="310"/>
        <v>109.81656</v>
      </c>
      <c r="M2410" s="285">
        <f t="shared" si="311"/>
        <v>109.8</v>
      </c>
      <c r="N2410" s="1076">
        <f t="shared" si="312"/>
        <v>110</v>
      </c>
      <c r="O2410" s="294" t="s">
        <v>879</v>
      </c>
      <c r="P2410" s="404"/>
      <c r="Q2410" s="404"/>
      <c r="R2410" s="301"/>
      <c r="S2410" s="301"/>
      <c r="T2410" s="301"/>
      <c r="U2410" s="301"/>
      <c r="V2410" s="301"/>
    </row>
    <row r="2411" spans="1:22" ht="14.4" thickTop="1" thickBot="1" x14ac:dyDescent="0.3">
      <c r="A2411" s="292"/>
      <c r="B2411" s="293"/>
      <c r="C2411" s="294"/>
      <c r="D2411" s="294"/>
      <c r="E2411" s="294"/>
      <c r="F2411" s="310"/>
      <c r="G2411" s="310"/>
      <c r="H2411" s="310"/>
      <c r="I2411" s="295"/>
      <c r="J2411" s="295"/>
      <c r="K2411" s="300"/>
      <c r="L2411" s="300"/>
      <c r="M2411" s="285"/>
      <c r="N2411" s="1076"/>
      <c r="O2411" s="294"/>
      <c r="P2411" s="404"/>
      <c r="Q2411" s="404"/>
      <c r="R2411" s="301"/>
      <c r="S2411" s="301"/>
      <c r="T2411" s="301"/>
      <c r="U2411" s="301"/>
      <c r="V2411" s="301"/>
    </row>
    <row r="2412" spans="1:22" ht="14.4" thickTop="1" thickBot="1" x14ac:dyDescent="0.3">
      <c r="A2412" s="292"/>
      <c r="B2412" s="296" t="s">
        <v>2460</v>
      </c>
      <c r="C2412" s="294"/>
      <c r="D2412" s="294"/>
      <c r="E2412" s="294">
        <v>1</v>
      </c>
      <c r="F2412" s="310">
        <v>9</v>
      </c>
      <c r="G2412" s="310"/>
      <c r="H2412" s="310"/>
      <c r="I2412" s="295">
        <f>F2412*E2412</f>
        <v>9</v>
      </c>
      <c r="J2412" s="295"/>
      <c r="K2412" s="300"/>
      <c r="L2412" s="300"/>
      <c r="M2412" s="285"/>
      <c r="N2412" s="1076"/>
      <c r="O2412" s="294"/>
      <c r="P2412" s="404"/>
      <c r="Q2412" s="404"/>
      <c r="R2412" s="301"/>
      <c r="S2412" s="301"/>
      <c r="T2412" s="301"/>
      <c r="U2412" s="301"/>
      <c r="V2412" s="301"/>
    </row>
    <row r="2413" spans="1:22" ht="14.4" thickTop="1" thickBot="1" x14ac:dyDescent="0.3">
      <c r="A2413" s="292"/>
      <c r="B2413" s="293"/>
      <c r="C2413" s="294"/>
      <c r="D2413" s="294"/>
      <c r="E2413" s="294">
        <v>1</v>
      </c>
      <c r="F2413" s="310">
        <v>12.7</v>
      </c>
      <c r="G2413" s="310"/>
      <c r="H2413" s="310"/>
      <c r="I2413" s="295">
        <f t="shared" ref="I2413:I2414" si="313">F2413*E2413</f>
        <v>12.7</v>
      </c>
      <c r="J2413" s="295"/>
      <c r="K2413" s="300"/>
      <c r="L2413" s="300"/>
      <c r="M2413" s="285"/>
      <c r="N2413" s="1076"/>
      <c r="O2413" s="294"/>
      <c r="P2413" s="404"/>
      <c r="Q2413" s="404"/>
      <c r="R2413" s="301"/>
      <c r="S2413" s="301"/>
      <c r="T2413" s="301"/>
      <c r="U2413" s="301"/>
      <c r="V2413" s="301"/>
    </row>
    <row r="2414" spans="1:22" ht="14.4" thickTop="1" thickBot="1" x14ac:dyDescent="0.3">
      <c r="A2414" s="292"/>
      <c r="B2414" s="293"/>
      <c r="C2414" s="294"/>
      <c r="D2414" s="294"/>
      <c r="E2414" s="294">
        <v>32</v>
      </c>
      <c r="F2414" s="310">
        <v>15.3</v>
      </c>
      <c r="G2414" s="310"/>
      <c r="H2414" s="310"/>
      <c r="I2414" s="295">
        <f t="shared" si="313"/>
        <v>489.6</v>
      </c>
      <c r="J2414" s="295"/>
      <c r="K2414" s="300"/>
      <c r="L2414" s="300"/>
      <c r="M2414" s="285"/>
      <c r="N2414" s="1076"/>
      <c r="O2414" s="294"/>
      <c r="P2414" s="404"/>
      <c r="Q2414" s="404"/>
      <c r="R2414" s="301"/>
      <c r="S2414" s="301"/>
      <c r="T2414" s="301"/>
      <c r="U2414" s="301"/>
      <c r="V2414" s="301"/>
    </row>
    <row r="2415" spans="1:22" ht="14.4" thickTop="1" thickBot="1" x14ac:dyDescent="0.3">
      <c r="A2415" s="292"/>
      <c r="B2415" s="293"/>
      <c r="C2415" s="294"/>
      <c r="D2415" s="294"/>
      <c r="E2415" s="294"/>
      <c r="F2415" s="310"/>
      <c r="G2415" s="310"/>
      <c r="H2415" s="310"/>
      <c r="I2415" s="295"/>
      <c r="J2415" s="295">
        <f>SUM(I2412:I2414)</f>
        <v>511.3</v>
      </c>
      <c r="K2415" s="300">
        <f t="shared" si="276"/>
        <v>1.1000000000000001</v>
      </c>
      <c r="L2415" s="300">
        <f t="shared" ref="L2415:L2416" si="314">K2415*J2415</f>
        <v>562.43000000000006</v>
      </c>
      <c r="M2415" s="285">
        <f t="shared" ref="M2415:M2416" si="315">ROUND(L2415,1)</f>
        <v>562.4</v>
      </c>
      <c r="N2415" s="1076">
        <f t="shared" ref="N2415:N2416" si="316">ROUNDUP(M2415,0)</f>
        <v>563</v>
      </c>
      <c r="O2415" s="294"/>
      <c r="P2415" s="404"/>
      <c r="Q2415" s="404"/>
      <c r="R2415" s="301"/>
      <c r="S2415" s="301"/>
      <c r="T2415" s="301"/>
      <c r="U2415" s="301"/>
      <c r="V2415" s="301"/>
    </row>
    <row r="2416" spans="1:22" ht="14.4" thickTop="1" thickBot="1" x14ac:dyDescent="0.3">
      <c r="A2416" s="292"/>
      <c r="B2416" s="293"/>
      <c r="C2416" s="294"/>
      <c r="D2416" s="294"/>
      <c r="E2416" s="294"/>
      <c r="F2416" s="310"/>
      <c r="G2416" s="310"/>
      <c r="H2416" s="310"/>
      <c r="I2416" s="295"/>
      <c r="J2416" s="295">
        <f>J2415*3.28</f>
        <v>1677.0639999999999</v>
      </c>
      <c r="K2416" s="300">
        <v>1.05</v>
      </c>
      <c r="L2416" s="300">
        <f t="shared" si="314"/>
        <v>1760.9171999999999</v>
      </c>
      <c r="M2416" s="285">
        <f t="shared" si="315"/>
        <v>1760.9</v>
      </c>
      <c r="N2416" s="1076">
        <f t="shared" si="316"/>
        <v>1761</v>
      </c>
      <c r="O2416" s="294"/>
      <c r="P2416" s="404"/>
      <c r="Q2416" s="404"/>
      <c r="R2416" s="301"/>
      <c r="S2416" s="301"/>
      <c r="T2416" s="301"/>
      <c r="U2416" s="301"/>
      <c r="V2416" s="301"/>
    </row>
    <row r="2417" spans="1:22" ht="14.4" thickTop="1" thickBot="1" x14ac:dyDescent="0.3">
      <c r="A2417" s="292"/>
      <c r="B2417" s="293"/>
      <c r="C2417" s="294"/>
      <c r="D2417" s="294"/>
      <c r="E2417" s="294"/>
      <c r="F2417" s="310"/>
      <c r="G2417" s="310"/>
      <c r="H2417" s="310"/>
      <c r="I2417" s="295"/>
      <c r="J2417" s="295"/>
      <c r="K2417" s="300"/>
      <c r="L2417" s="300"/>
      <c r="M2417" s="285"/>
      <c r="N2417" s="1076"/>
      <c r="O2417" s="294"/>
      <c r="P2417" s="404"/>
      <c r="Q2417" s="404"/>
      <c r="R2417" s="301"/>
      <c r="S2417" s="301"/>
      <c r="T2417" s="301"/>
      <c r="U2417" s="301"/>
      <c r="V2417" s="301"/>
    </row>
    <row r="2418" spans="1:22" ht="14.4" thickTop="1" thickBot="1" x14ac:dyDescent="0.3">
      <c r="A2418" s="292"/>
      <c r="B2418" s="296" t="s">
        <v>2463</v>
      </c>
      <c r="C2418" s="294"/>
      <c r="D2418" s="294"/>
      <c r="E2418" s="294"/>
      <c r="F2418" s="310"/>
      <c r="G2418" s="310"/>
      <c r="H2418" s="310"/>
      <c r="I2418" s="295">
        <v>30</v>
      </c>
      <c r="J2418" s="295">
        <f>I2418</f>
        <v>30</v>
      </c>
      <c r="K2418" s="300"/>
      <c r="L2418" s="300"/>
      <c r="M2418" s="285"/>
      <c r="N2418" s="1076"/>
      <c r="O2418" s="294"/>
      <c r="P2418" s="404"/>
      <c r="Q2418" s="404"/>
      <c r="R2418" s="301"/>
      <c r="S2418" s="301"/>
      <c r="T2418" s="301"/>
      <c r="U2418" s="301"/>
      <c r="V2418" s="301"/>
    </row>
    <row r="2419" spans="1:22" ht="14.4" thickTop="1" thickBot="1" x14ac:dyDescent="0.3">
      <c r="A2419" s="292"/>
      <c r="B2419" s="293"/>
      <c r="C2419" s="294"/>
      <c r="D2419" s="294"/>
      <c r="E2419" s="294"/>
      <c r="F2419" s="310"/>
      <c r="G2419" s="310"/>
      <c r="H2419" s="310"/>
      <c r="I2419" s="295"/>
      <c r="J2419" s="295">
        <f>J2418*10.76</f>
        <v>322.8</v>
      </c>
      <c r="K2419" s="300">
        <f t="shared" si="276"/>
        <v>1.1000000000000001</v>
      </c>
      <c r="L2419" s="300">
        <f t="shared" ref="L2419:L2420" si="317">K2419*J2419</f>
        <v>355.08000000000004</v>
      </c>
      <c r="M2419" s="285">
        <f t="shared" ref="M2419:M2420" si="318">ROUND(L2419,1)</f>
        <v>355.1</v>
      </c>
      <c r="N2419" s="1076">
        <f t="shared" ref="N2419:N2420" si="319">ROUNDUP(M2419,0)</f>
        <v>356</v>
      </c>
      <c r="O2419" s="294" t="s">
        <v>1846</v>
      </c>
      <c r="P2419" s="404"/>
      <c r="Q2419" s="404"/>
      <c r="R2419" s="301"/>
      <c r="S2419" s="301"/>
      <c r="T2419" s="301"/>
      <c r="U2419" s="301"/>
      <c r="V2419" s="301"/>
    </row>
    <row r="2420" spans="1:22" ht="14.4" thickTop="1" thickBot="1" x14ac:dyDescent="0.3">
      <c r="A2420" s="292"/>
      <c r="B2420" s="293"/>
      <c r="C2420" s="294"/>
      <c r="D2420" s="294"/>
      <c r="E2420" s="294"/>
      <c r="F2420" s="310"/>
      <c r="G2420" s="310"/>
      <c r="H2420" s="310"/>
      <c r="I2420" s="295"/>
      <c r="J2420" s="295">
        <f>J2419/100</f>
        <v>3.2280000000000002</v>
      </c>
      <c r="K2420" s="300">
        <v>1.05</v>
      </c>
      <c r="L2420" s="300">
        <f t="shared" si="317"/>
        <v>3.3894000000000002</v>
      </c>
      <c r="M2420" s="285">
        <f t="shared" si="318"/>
        <v>3.4</v>
      </c>
      <c r="N2420" s="1076">
        <f t="shared" si="319"/>
        <v>4</v>
      </c>
      <c r="O2420" s="294" t="s">
        <v>879</v>
      </c>
      <c r="P2420" s="404"/>
      <c r="Q2420" s="404"/>
      <c r="R2420" s="301"/>
      <c r="S2420" s="301"/>
      <c r="T2420" s="301"/>
      <c r="U2420" s="301"/>
      <c r="V2420" s="301"/>
    </row>
    <row r="2421" spans="1:22" ht="14.4" thickTop="1" thickBot="1" x14ac:dyDescent="0.3">
      <c r="A2421" s="292"/>
      <c r="B2421" s="293"/>
      <c r="C2421" s="294"/>
      <c r="D2421" s="294"/>
      <c r="E2421" s="294"/>
      <c r="F2421" s="310"/>
      <c r="G2421" s="310"/>
      <c r="H2421" s="310"/>
      <c r="I2421" s="295"/>
      <c r="J2421" s="295"/>
      <c r="K2421" s="300"/>
      <c r="L2421" s="300"/>
      <c r="M2421" s="285"/>
      <c r="N2421" s="1076"/>
      <c r="O2421" s="294"/>
      <c r="P2421" s="404"/>
      <c r="Q2421" s="404"/>
      <c r="R2421" s="301"/>
      <c r="S2421" s="301"/>
      <c r="T2421" s="301"/>
      <c r="U2421" s="301"/>
      <c r="V2421" s="301"/>
    </row>
    <row r="2422" spans="1:22" ht="14.4" thickTop="1" thickBot="1" x14ac:dyDescent="0.3">
      <c r="A2422" s="292"/>
      <c r="B2422" s="296" t="s">
        <v>2464</v>
      </c>
      <c r="C2422" s="294"/>
      <c r="D2422" s="294"/>
      <c r="E2422" s="294"/>
      <c r="F2422" s="310"/>
      <c r="G2422" s="310"/>
      <c r="H2422" s="310"/>
      <c r="I2422" s="295"/>
      <c r="J2422" s="295"/>
      <c r="K2422" s="300"/>
      <c r="L2422" s="300"/>
      <c r="M2422" s="285"/>
      <c r="N2422" s="1076"/>
      <c r="O2422" s="294"/>
      <c r="P2422" s="404"/>
      <c r="Q2422" s="404"/>
      <c r="R2422" s="301"/>
      <c r="S2422" s="301"/>
      <c r="T2422" s="301"/>
      <c r="U2422" s="301"/>
      <c r="V2422" s="301"/>
    </row>
    <row r="2423" spans="1:22" ht="14.4" thickTop="1" thickBot="1" x14ac:dyDescent="0.3">
      <c r="A2423" s="292"/>
      <c r="B2423" s="296" t="s">
        <v>2465</v>
      </c>
      <c r="C2423" s="294"/>
      <c r="D2423" s="294"/>
      <c r="E2423" s="294"/>
      <c r="F2423" s="310">
        <v>348.45</v>
      </c>
      <c r="G2423" s="310"/>
      <c r="H2423" s="310"/>
      <c r="I2423" s="295"/>
      <c r="J2423" s="295"/>
      <c r="K2423" s="300"/>
      <c r="L2423" s="300"/>
      <c r="M2423" s="285"/>
      <c r="N2423" s="1076"/>
      <c r="O2423" s="294"/>
      <c r="P2423" s="404"/>
      <c r="Q2423" s="404"/>
      <c r="R2423" s="301"/>
      <c r="S2423" s="301"/>
      <c r="T2423" s="301"/>
      <c r="U2423" s="301"/>
      <c r="V2423" s="301"/>
    </row>
    <row r="2424" spans="1:22" ht="14.4" thickTop="1" thickBot="1" x14ac:dyDescent="0.3">
      <c r="A2424" s="292"/>
      <c r="B2424" s="293"/>
      <c r="C2424" s="294"/>
      <c r="D2424" s="294"/>
      <c r="E2424" s="294"/>
      <c r="F2424" s="310">
        <v>102.64</v>
      </c>
      <c r="G2424" s="310"/>
      <c r="H2424" s="310"/>
      <c r="I2424" s="295"/>
      <c r="J2424" s="295"/>
      <c r="K2424" s="300"/>
      <c r="L2424" s="300"/>
      <c r="M2424" s="285"/>
      <c r="N2424" s="1076"/>
      <c r="O2424" s="294"/>
      <c r="P2424" s="404"/>
      <c r="Q2424" s="404"/>
      <c r="R2424" s="301"/>
      <c r="S2424" s="301"/>
      <c r="T2424" s="301"/>
      <c r="U2424" s="301"/>
      <c r="V2424" s="301"/>
    </row>
    <row r="2425" spans="1:22" ht="14.4" thickTop="1" thickBot="1" x14ac:dyDescent="0.3">
      <c r="A2425" s="292"/>
      <c r="B2425" s="293"/>
      <c r="C2425" s="294"/>
      <c r="D2425" s="294"/>
      <c r="E2425" s="294"/>
      <c r="F2425" s="310"/>
      <c r="G2425" s="310"/>
      <c r="H2425" s="310"/>
      <c r="I2425" s="295">
        <f>SUM(F2423:F2424)</f>
        <v>451.09</v>
      </c>
      <c r="J2425" s="295">
        <f>I2425</f>
        <v>451.09</v>
      </c>
      <c r="K2425" s="300"/>
      <c r="L2425" s="300"/>
      <c r="M2425" s="285"/>
      <c r="N2425" s="1076"/>
      <c r="O2425" s="294"/>
      <c r="P2425" s="404"/>
      <c r="Q2425" s="404"/>
      <c r="R2425" s="301"/>
      <c r="S2425" s="301"/>
      <c r="T2425" s="301"/>
      <c r="U2425" s="301"/>
      <c r="V2425" s="301"/>
    </row>
    <row r="2426" spans="1:22" ht="14.4" thickTop="1" thickBot="1" x14ac:dyDescent="0.3">
      <c r="A2426" s="292"/>
      <c r="B2426" s="293"/>
      <c r="C2426" s="294"/>
      <c r="D2426" s="294"/>
      <c r="E2426" s="294"/>
      <c r="F2426" s="310"/>
      <c r="G2426" s="310"/>
      <c r="H2426" s="310"/>
      <c r="I2426" s="295"/>
      <c r="J2426" s="295">
        <f>J2425*10.76</f>
        <v>4853.7284</v>
      </c>
      <c r="K2426" s="300">
        <f t="shared" si="276"/>
        <v>1.1000000000000001</v>
      </c>
      <c r="L2426" s="300">
        <f t="shared" ref="L2426:L2427" si="320">K2426*J2426</f>
        <v>5339.10124</v>
      </c>
      <c r="M2426" s="285">
        <f t="shared" ref="M2426:M2427" si="321">ROUND(L2426,1)</f>
        <v>5339.1</v>
      </c>
      <c r="N2426" s="1076">
        <f t="shared" ref="N2426:N2427" si="322">ROUNDUP(M2426,0)</f>
        <v>5340</v>
      </c>
      <c r="O2426" s="294" t="s">
        <v>1846</v>
      </c>
      <c r="P2426" s="404"/>
      <c r="Q2426" s="404"/>
      <c r="R2426" s="301"/>
      <c r="S2426" s="301"/>
      <c r="T2426" s="301"/>
      <c r="U2426" s="301"/>
      <c r="V2426" s="301"/>
    </row>
    <row r="2427" spans="1:22" ht="14.4" thickTop="1" thickBot="1" x14ac:dyDescent="0.3">
      <c r="A2427" s="292"/>
      <c r="B2427" s="293"/>
      <c r="C2427" s="294"/>
      <c r="D2427" s="294"/>
      <c r="E2427" s="294"/>
      <c r="F2427" s="310"/>
      <c r="G2427" s="310"/>
      <c r="H2427" s="310"/>
      <c r="I2427" s="295"/>
      <c r="J2427" s="295">
        <f>J2426/100</f>
        <v>48.537284</v>
      </c>
      <c r="K2427" s="300">
        <v>1.05</v>
      </c>
      <c r="L2427" s="300">
        <f t="shared" si="320"/>
        <v>50.964148200000004</v>
      </c>
      <c r="M2427" s="285">
        <f t="shared" si="321"/>
        <v>51</v>
      </c>
      <c r="N2427" s="1076">
        <f t="shared" si="322"/>
        <v>51</v>
      </c>
      <c r="O2427" s="294" t="s">
        <v>879</v>
      </c>
      <c r="P2427" s="404"/>
      <c r="Q2427" s="404"/>
      <c r="R2427" s="301"/>
      <c r="S2427" s="301"/>
      <c r="T2427" s="301"/>
      <c r="U2427" s="301"/>
      <c r="V2427" s="301"/>
    </row>
    <row r="2428" spans="1:22" ht="14.4" thickTop="1" thickBot="1" x14ac:dyDescent="0.3">
      <c r="A2428" s="292"/>
      <c r="B2428" s="293"/>
      <c r="C2428" s="294"/>
      <c r="D2428" s="294"/>
      <c r="E2428" s="294"/>
      <c r="F2428" s="310"/>
      <c r="G2428" s="310"/>
      <c r="H2428" s="310"/>
      <c r="I2428" s="295"/>
      <c r="J2428" s="295"/>
      <c r="K2428" s="300"/>
      <c r="L2428" s="300"/>
      <c r="M2428" s="285"/>
      <c r="N2428" s="1076"/>
      <c r="O2428" s="294"/>
      <c r="P2428" s="404"/>
      <c r="Q2428" s="404"/>
      <c r="R2428" s="301"/>
      <c r="S2428" s="301"/>
      <c r="T2428" s="301"/>
      <c r="U2428" s="301"/>
      <c r="V2428" s="301"/>
    </row>
    <row r="2429" spans="1:22" ht="14.4" thickTop="1" thickBot="1" x14ac:dyDescent="0.3">
      <c r="A2429" s="292"/>
      <c r="B2429" s="296" t="s">
        <v>2460</v>
      </c>
      <c r="C2429" s="294"/>
      <c r="D2429" s="294"/>
      <c r="E2429" s="294"/>
      <c r="F2429" s="310">
        <v>29.5</v>
      </c>
      <c r="G2429" s="310"/>
      <c r="H2429" s="310"/>
      <c r="I2429" s="295"/>
      <c r="J2429" s="295"/>
      <c r="K2429" s="300"/>
      <c r="L2429" s="300"/>
      <c r="M2429" s="285"/>
      <c r="N2429" s="1076"/>
      <c r="O2429" s="294"/>
      <c r="P2429" s="404"/>
      <c r="Q2429" s="404"/>
      <c r="R2429" s="301"/>
      <c r="S2429" s="301"/>
      <c r="T2429" s="301"/>
      <c r="U2429" s="301"/>
      <c r="V2429" s="301"/>
    </row>
    <row r="2430" spans="1:22" ht="14.4" thickTop="1" thickBot="1" x14ac:dyDescent="0.3">
      <c r="A2430" s="292"/>
      <c r="B2430" s="293"/>
      <c r="C2430" s="294"/>
      <c r="D2430" s="294"/>
      <c r="E2430" s="294"/>
      <c r="F2430" s="310">
        <v>130</v>
      </c>
      <c r="G2430" s="310"/>
      <c r="H2430" s="310"/>
      <c r="I2430" s="295">
        <f>SUM(F2429:F2430)</f>
        <v>159.5</v>
      </c>
      <c r="J2430" s="295"/>
      <c r="K2430" s="300"/>
      <c r="L2430" s="300"/>
      <c r="M2430" s="285"/>
      <c r="N2430" s="1076"/>
      <c r="O2430" s="294"/>
      <c r="P2430" s="404"/>
      <c r="Q2430" s="404"/>
      <c r="R2430" s="301"/>
      <c r="S2430" s="301"/>
      <c r="T2430" s="301"/>
      <c r="U2430" s="301"/>
      <c r="V2430" s="301"/>
    </row>
    <row r="2431" spans="1:22" ht="14.4" thickTop="1" thickBot="1" x14ac:dyDescent="0.3">
      <c r="A2431" s="292"/>
      <c r="B2431" s="293"/>
      <c r="C2431" s="294"/>
      <c r="D2431" s="294"/>
      <c r="E2431" s="294"/>
      <c r="F2431" s="310"/>
      <c r="G2431" s="310"/>
      <c r="H2431" s="310"/>
      <c r="I2431" s="295"/>
      <c r="J2431" s="295">
        <f>SUM(I2428:I2430)</f>
        <v>159.5</v>
      </c>
      <c r="K2431" s="300">
        <f t="shared" si="276"/>
        <v>1.1000000000000001</v>
      </c>
      <c r="L2431" s="300">
        <f t="shared" ref="L2431:L2432" si="323">K2431*J2431</f>
        <v>175.45000000000002</v>
      </c>
      <c r="M2431" s="285">
        <f t="shared" ref="M2431:M2432" si="324">ROUND(L2431,1)</f>
        <v>175.5</v>
      </c>
      <c r="N2431" s="1076">
        <f t="shared" ref="N2431:N2432" si="325">ROUNDUP(M2431,0)</f>
        <v>176</v>
      </c>
      <c r="O2431" s="294"/>
      <c r="P2431" s="404"/>
      <c r="Q2431" s="404"/>
      <c r="R2431" s="301"/>
      <c r="S2431" s="301"/>
      <c r="T2431" s="301"/>
      <c r="U2431" s="301"/>
      <c r="V2431" s="301"/>
    </row>
    <row r="2432" spans="1:22" ht="14.4" thickTop="1" thickBot="1" x14ac:dyDescent="0.3">
      <c r="A2432" s="292"/>
      <c r="B2432" s="293"/>
      <c r="C2432" s="294"/>
      <c r="D2432" s="294"/>
      <c r="E2432" s="294"/>
      <c r="F2432" s="310"/>
      <c r="G2432" s="310"/>
      <c r="H2432" s="310"/>
      <c r="I2432" s="295"/>
      <c r="J2432" s="295">
        <f>J2431*3.28</f>
        <v>523.16</v>
      </c>
      <c r="K2432" s="300">
        <v>1.05</v>
      </c>
      <c r="L2432" s="300">
        <f t="shared" si="323"/>
        <v>549.31799999999998</v>
      </c>
      <c r="M2432" s="285">
        <f t="shared" si="324"/>
        <v>549.29999999999995</v>
      </c>
      <c r="N2432" s="1076">
        <f t="shared" si="325"/>
        <v>550</v>
      </c>
      <c r="O2432" s="294"/>
      <c r="P2432" s="404"/>
      <c r="Q2432" s="404"/>
      <c r="R2432" s="301"/>
      <c r="S2432" s="301"/>
      <c r="T2432" s="301"/>
      <c r="U2432" s="301"/>
      <c r="V2432" s="301"/>
    </row>
    <row r="2433" spans="1:22" ht="14.4" thickTop="1" thickBot="1" x14ac:dyDescent="0.3">
      <c r="A2433" s="292"/>
      <c r="B2433" s="293"/>
      <c r="C2433" s="294"/>
      <c r="D2433" s="294"/>
      <c r="E2433" s="294"/>
      <c r="F2433" s="310"/>
      <c r="G2433" s="310"/>
      <c r="H2433" s="310"/>
      <c r="I2433" s="295"/>
      <c r="J2433" s="295"/>
      <c r="K2433" s="300"/>
      <c r="L2433" s="300"/>
      <c r="M2433" s="285"/>
      <c r="N2433" s="1076"/>
      <c r="O2433" s="294"/>
      <c r="P2433" s="404"/>
      <c r="Q2433" s="404"/>
      <c r="R2433" s="301"/>
      <c r="S2433" s="301"/>
      <c r="T2433" s="301"/>
      <c r="U2433" s="301"/>
      <c r="V2433" s="301"/>
    </row>
    <row r="2434" spans="1:22" ht="14.4" thickTop="1" thickBot="1" x14ac:dyDescent="0.3">
      <c r="A2434" s="292"/>
      <c r="B2434" s="296" t="s">
        <v>2466</v>
      </c>
      <c r="C2434" s="294"/>
      <c r="D2434" s="294"/>
      <c r="E2434" s="294"/>
      <c r="F2434" s="310">
        <v>215</v>
      </c>
      <c r="G2434" s="310"/>
      <c r="H2434" s="310"/>
      <c r="I2434" s="295"/>
      <c r="J2434" s="295"/>
      <c r="K2434" s="300"/>
      <c r="L2434" s="300"/>
      <c r="M2434" s="285"/>
      <c r="N2434" s="1076"/>
      <c r="O2434" s="294"/>
      <c r="P2434" s="404"/>
      <c r="Q2434" s="404"/>
      <c r="R2434" s="301"/>
      <c r="S2434" s="301"/>
      <c r="T2434" s="301"/>
      <c r="U2434" s="301"/>
      <c r="V2434" s="301"/>
    </row>
    <row r="2435" spans="1:22" ht="14.4" thickTop="1" thickBot="1" x14ac:dyDescent="0.3">
      <c r="A2435" s="292"/>
      <c r="B2435" s="293"/>
      <c r="C2435" s="294"/>
      <c r="D2435" s="294"/>
      <c r="E2435" s="294"/>
      <c r="F2435" s="310">
        <v>137</v>
      </c>
      <c r="G2435" s="310"/>
      <c r="H2435" s="310"/>
      <c r="I2435" s="295">
        <f>SUM(F2434:F2435)</f>
        <v>352</v>
      </c>
      <c r="J2435" s="295">
        <f>I2435</f>
        <v>352</v>
      </c>
      <c r="K2435" s="300"/>
      <c r="L2435" s="300"/>
      <c r="M2435" s="285"/>
      <c r="N2435" s="1076"/>
      <c r="O2435" s="294"/>
      <c r="P2435" s="404"/>
      <c r="Q2435" s="404"/>
      <c r="R2435" s="301"/>
      <c r="S2435" s="301"/>
      <c r="T2435" s="301"/>
      <c r="U2435" s="301"/>
      <c r="V2435" s="301"/>
    </row>
    <row r="2436" spans="1:22" ht="14.4" thickTop="1" thickBot="1" x14ac:dyDescent="0.3">
      <c r="A2436" s="292"/>
      <c r="B2436" s="293"/>
      <c r="C2436" s="294"/>
      <c r="D2436" s="294"/>
      <c r="E2436" s="294"/>
      <c r="F2436" s="310"/>
      <c r="G2436" s="310"/>
      <c r="H2436" s="310"/>
      <c r="I2436" s="295"/>
      <c r="J2436" s="295">
        <f>J2435*10.76</f>
        <v>3787.52</v>
      </c>
      <c r="K2436" s="300">
        <f t="shared" si="276"/>
        <v>1.1000000000000001</v>
      </c>
      <c r="L2436" s="300">
        <f t="shared" ref="L2436:L2437" si="326">K2436*J2436</f>
        <v>4166.2719999999999</v>
      </c>
      <c r="M2436" s="285">
        <f t="shared" ref="M2436:M2437" si="327">ROUND(L2436,1)</f>
        <v>4166.3</v>
      </c>
      <c r="N2436" s="1076">
        <f t="shared" ref="N2436:N2437" si="328">ROUNDUP(M2436,0)</f>
        <v>4167</v>
      </c>
      <c r="O2436" s="294" t="s">
        <v>1846</v>
      </c>
      <c r="P2436" s="404"/>
      <c r="Q2436" s="404"/>
      <c r="R2436" s="301"/>
      <c r="S2436" s="301"/>
      <c r="T2436" s="301"/>
      <c r="U2436" s="301"/>
      <c r="V2436" s="301"/>
    </row>
    <row r="2437" spans="1:22" ht="14.4" thickTop="1" thickBot="1" x14ac:dyDescent="0.3">
      <c r="A2437" s="292"/>
      <c r="B2437" s="293"/>
      <c r="C2437" s="294"/>
      <c r="D2437" s="294"/>
      <c r="E2437" s="294"/>
      <c r="F2437" s="310"/>
      <c r="G2437" s="310"/>
      <c r="H2437" s="310"/>
      <c r="I2437" s="295"/>
      <c r="J2437" s="295">
        <f>J2436/100</f>
        <v>37.8752</v>
      </c>
      <c r="K2437" s="300">
        <v>1.05</v>
      </c>
      <c r="L2437" s="300">
        <f t="shared" si="326"/>
        <v>39.76896</v>
      </c>
      <c r="M2437" s="285">
        <f t="shared" si="327"/>
        <v>39.799999999999997</v>
      </c>
      <c r="N2437" s="1076">
        <f t="shared" si="328"/>
        <v>40</v>
      </c>
      <c r="O2437" s="294" t="s">
        <v>879</v>
      </c>
      <c r="P2437" s="404"/>
      <c r="Q2437" s="404"/>
      <c r="R2437" s="301"/>
      <c r="S2437" s="301"/>
      <c r="T2437" s="301"/>
      <c r="U2437" s="301"/>
      <c r="V2437" s="301"/>
    </row>
    <row r="2438" spans="1:22" ht="14.4" thickTop="1" thickBot="1" x14ac:dyDescent="0.3">
      <c r="A2438" s="292"/>
      <c r="B2438" s="296" t="s">
        <v>2460</v>
      </c>
      <c r="C2438" s="294"/>
      <c r="D2438" s="294"/>
      <c r="E2438" s="294"/>
      <c r="F2438" s="310">
        <v>17</v>
      </c>
      <c r="G2438" s="310"/>
      <c r="H2438" s="310"/>
      <c r="I2438" s="295"/>
      <c r="J2438" s="295"/>
      <c r="K2438" s="300"/>
      <c r="L2438" s="300"/>
      <c r="M2438" s="285"/>
      <c r="N2438" s="1076"/>
      <c r="O2438" s="294"/>
      <c r="P2438" s="404"/>
      <c r="Q2438" s="404"/>
      <c r="R2438" s="301"/>
      <c r="S2438" s="301"/>
      <c r="T2438" s="301"/>
      <c r="U2438" s="301"/>
      <c r="V2438" s="301"/>
    </row>
    <row r="2439" spans="1:22" ht="14.4" thickTop="1" thickBot="1" x14ac:dyDescent="0.3">
      <c r="A2439" s="292"/>
      <c r="B2439" s="293"/>
      <c r="C2439" s="294"/>
      <c r="D2439" s="294"/>
      <c r="E2439" s="294"/>
      <c r="F2439" s="310">
        <v>19</v>
      </c>
      <c r="G2439" s="310"/>
      <c r="H2439" s="310"/>
      <c r="I2439" s="295"/>
      <c r="J2439" s="295"/>
      <c r="K2439" s="300"/>
      <c r="L2439" s="300"/>
      <c r="M2439" s="285"/>
      <c r="N2439" s="1076"/>
      <c r="O2439" s="294"/>
      <c r="P2439" s="404"/>
      <c r="Q2439" s="404"/>
      <c r="R2439" s="301"/>
      <c r="S2439" s="301"/>
      <c r="T2439" s="301"/>
      <c r="U2439" s="301"/>
      <c r="V2439" s="301"/>
    </row>
    <row r="2440" spans="1:22" ht="14.4" thickTop="1" thickBot="1" x14ac:dyDescent="0.3">
      <c r="A2440" s="292"/>
      <c r="B2440" s="293"/>
      <c r="C2440" s="294"/>
      <c r="D2440" s="294"/>
      <c r="E2440" s="294"/>
      <c r="F2440" s="310">
        <v>14.3</v>
      </c>
      <c r="G2440" s="310"/>
      <c r="H2440" s="310"/>
      <c r="I2440" s="295"/>
      <c r="J2440" s="295"/>
      <c r="K2440" s="300"/>
      <c r="L2440" s="300"/>
      <c r="M2440" s="285"/>
      <c r="N2440" s="1076"/>
      <c r="O2440" s="294"/>
      <c r="P2440" s="404"/>
      <c r="Q2440" s="404"/>
      <c r="R2440" s="301"/>
      <c r="S2440" s="301"/>
      <c r="T2440" s="301"/>
      <c r="U2440" s="301"/>
      <c r="V2440" s="301"/>
    </row>
    <row r="2441" spans="1:22" ht="14.4" thickTop="1" thickBot="1" x14ac:dyDescent="0.3">
      <c r="A2441" s="292"/>
      <c r="B2441" s="293"/>
      <c r="C2441" s="294"/>
      <c r="D2441" s="294"/>
      <c r="E2441" s="294"/>
      <c r="F2441" s="310">
        <v>76.900000000000006</v>
      </c>
      <c r="G2441" s="310"/>
      <c r="H2441" s="310"/>
      <c r="I2441" s="295">
        <f>SUM(F2438:F2441)</f>
        <v>127.2</v>
      </c>
      <c r="J2441" s="295"/>
      <c r="K2441" s="300"/>
      <c r="L2441" s="300"/>
      <c r="M2441" s="285"/>
      <c r="N2441" s="1076"/>
      <c r="O2441" s="294"/>
      <c r="P2441" s="404"/>
      <c r="Q2441" s="404"/>
      <c r="R2441" s="301"/>
      <c r="S2441" s="301"/>
      <c r="T2441" s="301"/>
      <c r="U2441" s="301"/>
      <c r="V2441" s="301"/>
    </row>
    <row r="2442" spans="1:22" ht="14.4" thickTop="1" thickBot="1" x14ac:dyDescent="0.3">
      <c r="A2442" s="292"/>
      <c r="B2442" s="293"/>
      <c r="C2442" s="294"/>
      <c r="D2442" s="294"/>
      <c r="E2442" s="294"/>
      <c r="F2442" s="310"/>
      <c r="G2442" s="310"/>
      <c r="H2442" s="310"/>
      <c r="I2442" s="295"/>
      <c r="J2442" s="295">
        <f>SUM(I2439:I2441)</f>
        <v>127.2</v>
      </c>
      <c r="K2442" s="300">
        <f t="shared" si="276"/>
        <v>1.1000000000000001</v>
      </c>
      <c r="L2442" s="300">
        <f t="shared" ref="L2442:L2443" si="329">K2442*J2442</f>
        <v>139.92000000000002</v>
      </c>
      <c r="M2442" s="285">
        <f t="shared" ref="M2442:M2443" si="330">ROUND(L2442,1)</f>
        <v>139.9</v>
      </c>
      <c r="N2442" s="1076">
        <f t="shared" ref="N2442:N2443" si="331">ROUNDUP(M2442,0)</f>
        <v>140</v>
      </c>
      <c r="O2442" s="294"/>
      <c r="P2442" s="404"/>
      <c r="Q2442" s="404"/>
      <c r="R2442" s="301"/>
      <c r="S2442" s="301"/>
      <c r="T2442" s="301"/>
      <c r="U2442" s="301"/>
      <c r="V2442" s="301"/>
    </row>
    <row r="2443" spans="1:22" ht="14.4" thickTop="1" thickBot="1" x14ac:dyDescent="0.3">
      <c r="A2443" s="292"/>
      <c r="B2443" s="293"/>
      <c r="C2443" s="294"/>
      <c r="D2443" s="294"/>
      <c r="E2443" s="294"/>
      <c r="F2443" s="310"/>
      <c r="G2443" s="310"/>
      <c r="H2443" s="310"/>
      <c r="I2443" s="295"/>
      <c r="J2443" s="295">
        <f>J2442*3.28</f>
        <v>417.21600000000001</v>
      </c>
      <c r="K2443" s="300">
        <v>1.05</v>
      </c>
      <c r="L2443" s="300">
        <f t="shared" si="329"/>
        <v>438.07680000000005</v>
      </c>
      <c r="M2443" s="285">
        <f t="shared" si="330"/>
        <v>438.1</v>
      </c>
      <c r="N2443" s="1076">
        <f t="shared" si="331"/>
        <v>439</v>
      </c>
      <c r="O2443" s="294"/>
      <c r="P2443" s="404"/>
      <c r="Q2443" s="404"/>
      <c r="R2443" s="301"/>
      <c r="S2443" s="301"/>
      <c r="T2443" s="301"/>
      <c r="U2443" s="301"/>
      <c r="V2443" s="301"/>
    </row>
    <row r="2444" spans="1:22" ht="14.4" thickTop="1" thickBot="1" x14ac:dyDescent="0.3">
      <c r="A2444" s="292"/>
      <c r="B2444" s="293"/>
      <c r="C2444" s="294"/>
      <c r="D2444" s="294"/>
      <c r="E2444" s="294"/>
      <c r="F2444" s="310"/>
      <c r="G2444" s="310"/>
      <c r="H2444" s="310"/>
      <c r="I2444" s="295"/>
      <c r="J2444" s="295"/>
      <c r="K2444" s="300"/>
      <c r="L2444" s="300"/>
      <c r="M2444" s="285"/>
      <c r="N2444" s="1076"/>
      <c r="O2444" s="294"/>
      <c r="P2444" s="404"/>
      <c r="Q2444" s="404"/>
      <c r="R2444" s="301"/>
      <c r="S2444" s="301"/>
      <c r="T2444" s="301"/>
      <c r="U2444" s="301"/>
      <c r="V2444" s="301"/>
    </row>
    <row r="2445" spans="1:22" ht="14.4" thickTop="1" thickBot="1" x14ac:dyDescent="0.3">
      <c r="A2445" s="292"/>
      <c r="B2445" s="293"/>
      <c r="C2445" s="294"/>
      <c r="D2445" s="294"/>
      <c r="E2445" s="294"/>
      <c r="F2445" s="310"/>
      <c r="G2445" s="310"/>
      <c r="H2445" s="310"/>
      <c r="I2445" s="295"/>
      <c r="J2445" s="295"/>
      <c r="K2445" s="300"/>
      <c r="L2445" s="300"/>
      <c r="M2445" s="285"/>
      <c r="N2445" s="1076"/>
      <c r="O2445" s="294"/>
      <c r="P2445" s="404"/>
      <c r="Q2445" s="404"/>
      <c r="R2445" s="301"/>
      <c r="S2445" s="301"/>
      <c r="T2445" s="301"/>
      <c r="U2445" s="301"/>
      <c r="V2445" s="301"/>
    </row>
    <row r="2446" spans="1:22" ht="14.4" thickTop="1" thickBot="1" x14ac:dyDescent="0.3">
      <c r="A2446" s="292"/>
      <c r="B2446" s="293"/>
      <c r="C2446" s="294"/>
      <c r="D2446" s="294"/>
      <c r="E2446" s="294"/>
      <c r="F2446" s="310"/>
      <c r="G2446" s="310"/>
      <c r="H2446" s="310"/>
      <c r="I2446" s="295"/>
      <c r="J2446" s="295"/>
      <c r="K2446" s="300"/>
      <c r="L2446" s="300"/>
      <c r="M2446" s="285"/>
      <c r="N2446" s="1076"/>
      <c r="O2446" s="294"/>
      <c r="P2446" s="404"/>
      <c r="Q2446" s="404"/>
      <c r="R2446" s="301"/>
      <c r="S2446" s="301"/>
      <c r="T2446" s="301"/>
      <c r="U2446" s="301"/>
      <c r="V2446" s="301"/>
    </row>
    <row r="2447" spans="1:22" ht="14.4" thickTop="1" thickBot="1" x14ac:dyDescent="0.3">
      <c r="A2447" s="292"/>
      <c r="B2447" s="293"/>
      <c r="C2447" s="294"/>
      <c r="D2447" s="294"/>
      <c r="E2447" s="294"/>
      <c r="F2447" s="310"/>
      <c r="G2447" s="310"/>
      <c r="H2447" s="310"/>
      <c r="I2447" s="295"/>
      <c r="J2447" s="295"/>
      <c r="K2447" s="300"/>
      <c r="L2447" s="300"/>
      <c r="M2447" s="285"/>
      <c r="N2447" s="1076"/>
      <c r="O2447" s="294"/>
      <c r="P2447" s="404"/>
      <c r="Q2447" s="404"/>
      <c r="R2447" s="301"/>
      <c r="S2447" s="301"/>
      <c r="T2447" s="301"/>
      <c r="U2447" s="301"/>
      <c r="V2447" s="301"/>
    </row>
    <row r="2448" spans="1:22" ht="14.4" thickTop="1" thickBot="1" x14ac:dyDescent="0.3">
      <c r="A2448" s="292"/>
      <c r="B2448" s="293"/>
      <c r="C2448" s="294"/>
      <c r="D2448" s="294"/>
      <c r="E2448" s="294"/>
      <c r="F2448" s="310"/>
      <c r="G2448" s="310"/>
      <c r="H2448" s="310"/>
      <c r="I2448" s="295"/>
      <c r="J2448" s="295"/>
      <c r="K2448" s="300"/>
      <c r="L2448" s="300"/>
      <c r="M2448" s="285"/>
      <c r="N2448" s="1076"/>
      <c r="O2448" s="294"/>
      <c r="P2448" s="404"/>
      <c r="Q2448" s="404"/>
      <c r="R2448" s="301"/>
      <c r="S2448" s="301"/>
      <c r="T2448" s="301"/>
      <c r="U2448" s="301"/>
      <c r="V2448" s="301"/>
    </row>
    <row r="2449" spans="1:22" ht="14.4" thickTop="1" thickBot="1" x14ac:dyDescent="0.3">
      <c r="A2449" s="292"/>
      <c r="B2449" s="293"/>
      <c r="C2449" s="294"/>
      <c r="D2449" s="294"/>
      <c r="E2449" s="294"/>
      <c r="F2449" s="310"/>
      <c r="G2449" s="310"/>
      <c r="H2449" s="310"/>
      <c r="I2449" s="295"/>
      <c r="J2449" s="295"/>
      <c r="K2449" s="300"/>
      <c r="L2449" s="300"/>
      <c r="M2449" s="285"/>
      <c r="N2449" s="1076"/>
      <c r="O2449" s="294"/>
      <c r="P2449" s="404"/>
      <c r="Q2449" s="404"/>
      <c r="R2449" s="301"/>
      <c r="S2449" s="301"/>
      <c r="T2449" s="301"/>
      <c r="U2449" s="301"/>
      <c r="V2449" s="301"/>
    </row>
    <row r="2450" spans="1:22" ht="14.4" thickTop="1" thickBot="1" x14ac:dyDescent="0.3">
      <c r="A2450" s="292"/>
      <c r="B2450" s="293"/>
      <c r="C2450" s="294"/>
      <c r="D2450" s="294"/>
      <c r="E2450" s="294"/>
      <c r="F2450" s="310"/>
      <c r="G2450" s="310"/>
      <c r="H2450" s="310"/>
      <c r="I2450" s="295"/>
      <c r="J2450" s="295"/>
      <c r="K2450" s="300"/>
      <c r="L2450" s="300"/>
      <c r="M2450" s="285"/>
      <c r="N2450" s="1076"/>
      <c r="O2450" s="294"/>
      <c r="P2450" s="404"/>
      <c r="Q2450" s="404"/>
      <c r="R2450" s="301"/>
      <c r="S2450" s="301"/>
      <c r="T2450" s="301"/>
      <c r="U2450" s="301"/>
      <c r="V2450" s="301"/>
    </row>
    <row r="2451" spans="1:22" ht="14.4" thickTop="1" thickBot="1" x14ac:dyDescent="0.3">
      <c r="A2451" s="292"/>
      <c r="B2451" s="293"/>
      <c r="C2451" s="294"/>
      <c r="D2451" s="294"/>
      <c r="E2451" s="294"/>
      <c r="F2451" s="310"/>
      <c r="G2451" s="310"/>
      <c r="H2451" s="310"/>
      <c r="I2451" s="295"/>
      <c r="J2451" s="295"/>
      <c r="K2451" s="300"/>
      <c r="L2451" s="300"/>
      <c r="M2451" s="285"/>
      <c r="N2451" s="1076"/>
      <c r="O2451" s="294"/>
      <c r="P2451" s="404"/>
      <c r="Q2451" s="404"/>
      <c r="R2451" s="301"/>
      <c r="S2451" s="301"/>
      <c r="T2451" s="301"/>
      <c r="U2451" s="301"/>
      <c r="V2451" s="301"/>
    </row>
    <row r="2452" spans="1:22" ht="14.4" thickTop="1" thickBot="1" x14ac:dyDescent="0.3">
      <c r="A2452" s="292"/>
      <c r="B2452" s="293"/>
      <c r="C2452" s="294"/>
      <c r="D2452" s="294"/>
      <c r="E2452" s="294"/>
      <c r="F2452" s="310"/>
      <c r="G2452" s="310"/>
      <c r="H2452" s="310"/>
      <c r="I2452" s="295"/>
      <c r="J2452" s="295"/>
      <c r="K2452" s="300"/>
      <c r="L2452" s="300"/>
      <c r="M2452" s="285"/>
      <c r="N2452" s="1076"/>
      <c r="O2452" s="294"/>
      <c r="P2452" s="404"/>
      <c r="Q2452" s="404"/>
      <c r="R2452" s="301"/>
      <c r="S2452" s="301"/>
      <c r="T2452" s="301"/>
      <c r="U2452" s="301"/>
      <c r="V2452" s="301"/>
    </row>
    <row r="2453" spans="1:22" ht="14.4" thickTop="1" thickBot="1" x14ac:dyDescent="0.3">
      <c r="A2453" s="292"/>
      <c r="B2453" s="293"/>
      <c r="C2453" s="294"/>
      <c r="D2453" s="294"/>
      <c r="E2453" s="294"/>
      <c r="F2453" s="310"/>
      <c r="G2453" s="310"/>
      <c r="H2453" s="310"/>
      <c r="I2453" s="295"/>
      <c r="J2453" s="295"/>
      <c r="K2453" s="300"/>
      <c r="L2453" s="300"/>
      <c r="M2453" s="285"/>
      <c r="N2453" s="1076"/>
      <c r="O2453" s="294"/>
      <c r="P2453" s="404"/>
      <c r="Q2453" s="404"/>
      <c r="R2453" s="301"/>
      <c r="S2453" s="301"/>
      <c r="T2453" s="301"/>
      <c r="U2453" s="301"/>
      <c r="V2453" s="301"/>
    </row>
    <row r="2454" spans="1:22" ht="14.4" thickTop="1" thickBot="1" x14ac:dyDescent="0.3">
      <c r="A2454" s="292"/>
      <c r="B2454" s="293"/>
      <c r="C2454" s="294"/>
      <c r="D2454" s="294"/>
      <c r="E2454" s="294"/>
      <c r="F2454" s="310"/>
      <c r="G2454" s="310"/>
      <c r="H2454" s="310"/>
      <c r="I2454" s="295"/>
      <c r="J2454" s="295"/>
      <c r="K2454" s="300"/>
      <c r="L2454" s="300"/>
      <c r="M2454" s="285"/>
      <c r="N2454" s="1076"/>
      <c r="O2454" s="294"/>
      <c r="P2454" s="404"/>
      <c r="Q2454" s="404"/>
      <c r="R2454" s="301"/>
      <c r="S2454" s="301"/>
      <c r="T2454" s="301"/>
      <c r="U2454" s="301"/>
      <c r="V2454" s="301"/>
    </row>
    <row r="2455" spans="1:22" ht="14.4" thickTop="1" thickBot="1" x14ac:dyDescent="0.3">
      <c r="A2455" s="292"/>
      <c r="B2455" s="296" t="s">
        <v>1938</v>
      </c>
      <c r="C2455" s="294"/>
      <c r="D2455" s="294"/>
      <c r="E2455" s="294"/>
      <c r="F2455" s="310"/>
      <c r="G2455" s="310"/>
      <c r="H2455" s="310"/>
      <c r="I2455" s="295"/>
      <c r="J2455" s="295"/>
      <c r="K2455" s="300">
        <f t="shared" si="276"/>
        <v>1.1000000000000001</v>
      </c>
      <c r="L2455" s="300">
        <f t="shared" ref="L2455:L2523" si="332">K2455*J2455</f>
        <v>0</v>
      </c>
      <c r="M2455" s="285">
        <f t="shared" si="274"/>
        <v>0</v>
      </c>
      <c r="N2455" s="1076">
        <f t="shared" si="275"/>
        <v>0</v>
      </c>
      <c r="O2455" s="294"/>
      <c r="P2455" s="404"/>
      <c r="Q2455" s="404"/>
      <c r="R2455" s="301"/>
      <c r="S2455" s="301"/>
      <c r="T2455" s="301"/>
      <c r="U2455" s="301"/>
      <c r="V2455" s="301"/>
    </row>
    <row r="2456" spans="1:22" ht="14.4" thickTop="1" thickBot="1" x14ac:dyDescent="0.3">
      <c r="A2456" s="292"/>
      <c r="B2456" s="296" t="s">
        <v>1918</v>
      </c>
      <c r="C2456" s="294"/>
      <c r="D2456" s="294"/>
      <c r="E2456" s="294"/>
      <c r="F2456" s="310">
        <v>29.78</v>
      </c>
      <c r="G2456" s="310"/>
      <c r="H2456" s="310"/>
      <c r="I2456" s="295">
        <f>SUM(F2456)</f>
        <v>29.78</v>
      </c>
      <c r="J2456" s="295"/>
      <c r="K2456" s="300">
        <f t="shared" si="276"/>
        <v>1.1000000000000001</v>
      </c>
      <c r="L2456" s="300">
        <f t="shared" si="332"/>
        <v>0</v>
      </c>
      <c r="M2456" s="285">
        <f t="shared" si="274"/>
        <v>0</v>
      </c>
      <c r="N2456" s="1076">
        <f t="shared" si="275"/>
        <v>0</v>
      </c>
      <c r="O2456" s="294"/>
      <c r="P2456" s="404"/>
      <c r="Q2456" s="404"/>
      <c r="R2456" s="301"/>
      <c r="S2456" s="301"/>
      <c r="T2456" s="301"/>
      <c r="U2456" s="301"/>
      <c r="V2456" s="301"/>
    </row>
    <row r="2457" spans="1:22" ht="14.4" thickTop="1" thickBot="1" x14ac:dyDescent="0.3">
      <c r="A2457" s="292"/>
      <c r="B2457" s="293"/>
      <c r="C2457" s="294"/>
      <c r="D2457" s="294"/>
      <c r="E2457" s="294"/>
      <c r="F2457" s="310">
        <v>21.675000000000001</v>
      </c>
      <c r="G2457" s="310"/>
      <c r="H2457" s="310"/>
      <c r="I2457" s="295">
        <f t="shared" ref="I2457:I2472" si="333">SUM(F2457)</f>
        <v>21.675000000000001</v>
      </c>
      <c r="J2457" s="295"/>
      <c r="K2457" s="300">
        <f t="shared" si="276"/>
        <v>1.1000000000000001</v>
      </c>
      <c r="L2457" s="300">
        <f t="shared" si="332"/>
        <v>0</v>
      </c>
      <c r="M2457" s="285">
        <f t="shared" si="274"/>
        <v>0</v>
      </c>
      <c r="N2457" s="1076">
        <f t="shared" si="275"/>
        <v>0</v>
      </c>
      <c r="O2457" s="294"/>
      <c r="P2457" s="404"/>
      <c r="Q2457" s="404"/>
      <c r="R2457" s="301"/>
      <c r="S2457" s="301"/>
      <c r="T2457" s="301"/>
      <c r="U2457" s="301"/>
      <c r="V2457" s="301"/>
    </row>
    <row r="2458" spans="1:22" ht="14.4" thickTop="1" thickBot="1" x14ac:dyDescent="0.3">
      <c r="A2458" s="292"/>
      <c r="B2458" s="293"/>
      <c r="C2458" s="294"/>
      <c r="D2458" s="294"/>
      <c r="E2458" s="294"/>
      <c r="F2458" s="310">
        <v>15.593</v>
      </c>
      <c r="G2458" s="310"/>
      <c r="H2458" s="310"/>
      <c r="I2458" s="295">
        <f t="shared" si="333"/>
        <v>15.593</v>
      </c>
      <c r="J2458" s="295"/>
      <c r="K2458" s="300">
        <f t="shared" si="276"/>
        <v>1.1000000000000001</v>
      </c>
      <c r="L2458" s="300">
        <f t="shared" si="332"/>
        <v>0</v>
      </c>
      <c r="M2458" s="285">
        <f t="shared" si="274"/>
        <v>0</v>
      </c>
      <c r="N2458" s="1076">
        <f t="shared" si="275"/>
        <v>0</v>
      </c>
      <c r="O2458" s="294"/>
      <c r="P2458" s="404"/>
      <c r="Q2458" s="404"/>
      <c r="R2458" s="301"/>
      <c r="S2458" s="301"/>
      <c r="T2458" s="301"/>
      <c r="U2458" s="301"/>
      <c r="V2458" s="301"/>
    </row>
    <row r="2459" spans="1:22" ht="14.4" thickTop="1" thickBot="1" x14ac:dyDescent="0.3">
      <c r="A2459" s="292"/>
      <c r="B2459" s="296" t="s">
        <v>1889</v>
      </c>
      <c r="C2459" s="294"/>
      <c r="D2459" s="294"/>
      <c r="E2459" s="294"/>
      <c r="F2459" s="310">
        <v>19.114999999999998</v>
      </c>
      <c r="G2459" s="310"/>
      <c r="H2459" s="310"/>
      <c r="I2459" s="295">
        <f t="shared" si="333"/>
        <v>19.114999999999998</v>
      </c>
      <c r="J2459" s="295"/>
      <c r="K2459" s="300">
        <f t="shared" si="276"/>
        <v>1.1000000000000001</v>
      </c>
      <c r="L2459" s="300">
        <f t="shared" si="332"/>
        <v>0</v>
      </c>
      <c r="M2459" s="285">
        <f t="shared" si="274"/>
        <v>0</v>
      </c>
      <c r="N2459" s="1076">
        <f t="shared" si="275"/>
        <v>0</v>
      </c>
      <c r="O2459" s="294"/>
      <c r="P2459" s="404"/>
      <c r="Q2459" s="404"/>
      <c r="R2459" s="301"/>
      <c r="S2459" s="301"/>
      <c r="T2459" s="301"/>
      <c r="U2459" s="301"/>
      <c r="V2459" s="301"/>
    </row>
    <row r="2460" spans="1:22" ht="14.4" thickTop="1" thickBot="1" x14ac:dyDescent="0.3">
      <c r="A2460" s="292"/>
      <c r="B2460" s="293"/>
      <c r="C2460" s="294"/>
      <c r="D2460" s="294"/>
      <c r="E2460" s="294"/>
      <c r="F2460" s="310">
        <v>10.24</v>
      </c>
      <c r="G2460" s="310"/>
      <c r="H2460" s="310"/>
      <c r="I2460" s="295">
        <f t="shared" si="333"/>
        <v>10.24</v>
      </c>
      <c r="J2460" s="295"/>
      <c r="K2460" s="300">
        <f t="shared" si="276"/>
        <v>1.1000000000000001</v>
      </c>
      <c r="L2460" s="300">
        <f t="shared" si="332"/>
        <v>0</v>
      </c>
      <c r="M2460" s="285">
        <f t="shared" si="274"/>
        <v>0</v>
      </c>
      <c r="N2460" s="1076">
        <f t="shared" si="275"/>
        <v>0</v>
      </c>
      <c r="O2460" s="294"/>
      <c r="P2460" s="404"/>
      <c r="Q2460" s="404"/>
      <c r="R2460" s="301"/>
      <c r="S2460" s="301"/>
      <c r="T2460" s="301"/>
      <c r="U2460" s="301"/>
      <c r="V2460" s="301"/>
    </row>
    <row r="2461" spans="1:22" ht="14.4" thickTop="1" thickBot="1" x14ac:dyDescent="0.3">
      <c r="A2461" s="292"/>
      <c r="B2461" s="293"/>
      <c r="C2461" s="294"/>
      <c r="D2461" s="294"/>
      <c r="E2461" s="294"/>
      <c r="F2461" s="310">
        <v>26.829000000000001</v>
      </c>
      <c r="G2461" s="310"/>
      <c r="H2461" s="310"/>
      <c r="I2461" s="295">
        <f t="shared" si="333"/>
        <v>26.829000000000001</v>
      </c>
      <c r="J2461" s="295"/>
      <c r="K2461" s="300">
        <f t="shared" si="276"/>
        <v>1.1000000000000001</v>
      </c>
      <c r="L2461" s="300">
        <f t="shared" si="332"/>
        <v>0</v>
      </c>
      <c r="M2461" s="285">
        <f t="shared" si="274"/>
        <v>0</v>
      </c>
      <c r="N2461" s="1076">
        <f t="shared" si="275"/>
        <v>0</v>
      </c>
      <c r="O2461" s="294"/>
      <c r="P2461" s="404"/>
      <c r="Q2461" s="404"/>
      <c r="R2461" s="301"/>
      <c r="S2461" s="301"/>
      <c r="T2461" s="301"/>
      <c r="U2461" s="301"/>
      <c r="V2461" s="301"/>
    </row>
    <row r="2462" spans="1:22" ht="14.4" thickTop="1" thickBot="1" x14ac:dyDescent="0.3">
      <c r="A2462" s="292"/>
      <c r="B2462" s="296" t="s">
        <v>817</v>
      </c>
      <c r="C2462" s="294"/>
      <c r="D2462" s="294"/>
      <c r="E2462" s="294"/>
      <c r="F2462" s="310">
        <v>12.505000000000001</v>
      </c>
      <c r="G2462" s="310"/>
      <c r="H2462" s="310"/>
      <c r="I2462" s="295">
        <f t="shared" si="333"/>
        <v>12.505000000000001</v>
      </c>
      <c r="J2462" s="295"/>
      <c r="K2462" s="300">
        <f t="shared" si="276"/>
        <v>1.1000000000000001</v>
      </c>
      <c r="L2462" s="300">
        <f t="shared" si="332"/>
        <v>0</v>
      </c>
      <c r="M2462" s="285">
        <f t="shared" si="274"/>
        <v>0</v>
      </c>
      <c r="N2462" s="1076">
        <f t="shared" si="275"/>
        <v>0</v>
      </c>
      <c r="O2462" s="294"/>
      <c r="P2462" s="404"/>
      <c r="Q2462" s="404"/>
      <c r="R2462" s="301"/>
      <c r="S2462" s="301"/>
      <c r="T2462" s="301"/>
      <c r="U2462" s="301"/>
      <c r="V2462" s="301"/>
    </row>
    <row r="2463" spans="1:22" ht="14.4" thickTop="1" thickBot="1" x14ac:dyDescent="0.3">
      <c r="A2463" s="292"/>
      <c r="B2463" s="293"/>
      <c r="C2463" s="294"/>
      <c r="D2463" s="294"/>
      <c r="E2463" s="294"/>
      <c r="F2463" s="310">
        <v>2.2250000000000001</v>
      </c>
      <c r="G2463" s="310"/>
      <c r="H2463" s="310"/>
      <c r="I2463" s="295">
        <f t="shared" si="333"/>
        <v>2.2250000000000001</v>
      </c>
      <c r="J2463" s="295"/>
      <c r="K2463" s="300">
        <f t="shared" si="276"/>
        <v>1.1000000000000001</v>
      </c>
      <c r="L2463" s="300">
        <f t="shared" si="332"/>
        <v>0</v>
      </c>
      <c r="M2463" s="285">
        <f t="shared" si="274"/>
        <v>0</v>
      </c>
      <c r="N2463" s="1076">
        <f t="shared" si="275"/>
        <v>0</v>
      </c>
      <c r="O2463" s="294"/>
      <c r="P2463" s="404"/>
      <c r="Q2463" s="404"/>
      <c r="R2463" s="301"/>
      <c r="S2463" s="301"/>
      <c r="T2463" s="301"/>
      <c r="U2463" s="301"/>
      <c r="V2463" s="301"/>
    </row>
    <row r="2464" spans="1:22" ht="14.4" thickTop="1" thickBot="1" x14ac:dyDescent="0.3">
      <c r="A2464" s="292"/>
      <c r="B2464" s="293"/>
      <c r="C2464" s="294"/>
      <c r="D2464" s="294"/>
      <c r="E2464" s="294"/>
      <c r="F2464" s="310">
        <v>2.6</v>
      </c>
      <c r="G2464" s="310"/>
      <c r="H2464" s="310"/>
      <c r="I2464" s="295">
        <f t="shared" si="333"/>
        <v>2.6</v>
      </c>
      <c r="J2464" s="295"/>
      <c r="K2464" s="300">
        <f t="shared" si="276"/>
        <v>1.1000000000000001</v>
      </c>
      <c r="L2464" s="300">
        <f t="shared" si="332"/>
        <v>0</v>
      </c>
      <c r="M2464" s="285">
        <f t="shared" si="274"/>
        <v>0</v>
      </c>
      <c r="N2464" s="1076">
        <f t="shared" si="275"/>
        <v>0</v>
      </c>
      <c r="O2464" s="294"/>
      <c r="P2464" s="404"/>
      <c r="Q2464" s="404"/>
      <c r="R2464" s="301"/>
      <c r="S2464" s="301"/>
      <c r="T2464" s="301"/>
      <c r="U2464" s="301"/>
      <c r="V2464" s="301"/>
    </row>
    <row r="2465" spans="1:22" ht="14.4" thickTop="1" thickBot="1" x14ac:dyDescent="0.3">
      <c r="A2465" s="292"/>
      <c r="B2465" s="293"/>
      <c r="C2465" s="294"/>
      <c r="D2465" s="294"/>
      <c r="E2465" s="294"/>
      <c r="F2465" s="310">
        <v>21.274999999999999</v>
      </c>
      <c r="G2465" s="310"/>
      <c r="H2465" s="310"/>
      <c r="I2465" s="295">
        <f t="shared" si="333"/>
        <v>21.274999999999999</v>
      </c>
      <c r="J2465" s="295"/>
      <c r="K2465" s="300">
        <f t="shared" si="276"/>
        <v>1.1000000000000001</v>
      </c>
      <c r="L2465" s="300">
        <f t="shared" si="332"/>
        <v>0</v>
      </c>
      <c r="M2465" s="285">
        <f t="shared" si="274"/>
        <v>0</v>
      </c>
      <c r="N2465" s="1076">
        <f t="shared" si="275"/>
        <v>0</v>
      </c>
      <c r="O2465" s="294"/>
      <c r="P2465" s="404"/>
      <c r="Q2465" s="404"/>
      <c r="R2465" s="301"/>
      <c r="S2465" s="301"/>
      <c r="T2465" s="301"/>
      <c r="U2465" s="301"/>
      <c r="V2465" s="301"/>
    </row>
    <row r="2466" spans="1:22" ht="14.4" thickTop="1" thickBot="1" x14ac:dyDescent="0.3">
      <c r="A2466" s="292"/>
      <c r="B2466" s="293"/>
      <c r="C2466" s="294"/>
      <c r="D2466" s="294"/>
      <c r="E2466" s="294"/>
      <c r="F2466" s="310">
        <v>6.2619999999999996</v>
      </c>
      <c r="G2466" s="310"/>
      <c r="H2466" s="310"/>
      <c r="I2466" s="295">
        <f t="shared" si="333"/>
        <v>6.2619999999999996</v>
      </c>
      <c r="J2466" s="295"/>
      <c r="K2466" s="300">
        <f t="shared" si="276"/>
        <v>1.1000000000000001</v>
      </c>
      <c r="L2466" s="300">
        <f t="shared" si="332"/>
        <v>0</v>
      </c>
      <c r="M2466" s="285">
        <f t="shared" si="274"/>
        <v>0</v>
      </c>
      <c r="N2466" s="1076">
        <f t="shared" si="275"/>
        <v>0</v>
      </c>
      <c r="O2466" s="294"/>
      <c r="P2466" s="404"/>
      <c r="Q2466" s="404"/>
      <c r="R2466" s="301"/>
      <c r="S2466" s="301"/>
      <c r="T2466" s="301"/>
      <c r="U2466" s="301"/>
      <c r="V2466" s="301"/>
    </row>
    <row r="2467" spans="1:22" ht="14.4" thickTop="1" thickBot="1" x14ac:dyDescent="0.3">
      <c r="A2467" s="292"/>
      <c r="B2467" s="296" t="s">
        <v>1921</v>
      </c>
      <c r="C2467" s="294"/>
      <c r="D2467" s="294"/>
      <c r="E2467" s="294"/>
      <c r="F2467" s="310">
        <v>24.25</v>
      </c>
      <c r="G2467" s="310"/>
      <c r="H2467" s="310"/>
      <c r="I2467" s="295">
        <f t="shared" si="333"/>
        <v>24.25</v>
      </c>
      <c r="J2467" s="295"/>
      <c r="K2467" s="300">
        <f t="shared" si="276"/>
        <v>1.1000000000000001</v>
      </c>
      <c r="L2467" s="300">
        <f t="shared" si="332"/>
        <v>0</v>
      </c>
      <c r="M2467" s="285">
        <f t="shared" si="274"/>
        <v>0</v>
      </c>
      <c r="N2467" s="1076">
        <f t="shared" si="275"/>
        <v>0</v>
      </c>
      <c r="O2467" s="294"/>
      <c r="P2467" s="404"/>
      <c r="Q2467" s="404"/>
      <c r="R2467" s="301"/>
      <c r="S2467" s="301"/>
      <c r="T2467" s="301"/>
      <c r="U2467" s="301"/>
      <c r="V2467" s="301"/>
    </row>
    <row r="2468" spans="1:22" ht="14.4" thickTop="1" thickBot="1" x14ac:dyDescent="0.3">
      <c r="A2468" s="292"/>
      <c r="B2468" s="293"/>
      <c r="C2468" s="294"/>
      <c r="D2468" s="294"/>
      <c r="E2468" s="294"/>
      <c r="F2468" s="310">
        <v>17.324999999999999</v>
      </c>
      <c r="G2468" s="310"/>
      <c r="H2468" s="310"/>
      <c r="I2468" s="295">
        <f t="shared" si="333"/>
        <v>17.324999999999999</v>
      </c>
      <c r="J2468" s="295"/>
      <c r="K2468" s="300">
        <f t="shared" si="276"/>
        <v>1.1000000000000001</v>
      </c>
      <c r="L2468" s="300">
        <f t="shared" si="332"/>
        <v>0</v>
      </c>
      <c r="M2468" s="285">
        <f t="shared" si="274"/>
        <v>0</v>
      </c>
      <c r="N2468" s="1076">
        <f t="shared" si="275"/>
        <v>0</v>
      </c>
      <c r="O2468" s="294"/>
      <c r="P2468" s="404"/>
      <c r="Q2468" s="404"/>
      <c r="R2468" s="301"/>
      <c r="S2468" s="301"/>
      <c r="T2468" s="301"/>
      <c r="U2468" s="301"/>
      <c r="V2468" s="301"/>
    </row>
    <row r="2469" spans="1:22" ht="14.4" thickTop="1" thickBot="1" x14ac:dyDescent="0.3">
      <c r="A2469" s="292"/>
      <c r="B2469" s="293"/>
      <c r="C2469" s="294"/>
      <c r="D2469" s="294"/>
      <c r="E2469" s="294"/>
      <c r="F2469" s="310">
        <v>38.408999999999999</v>
      </c>
      <c r="G2469" s="310"/>
      <c r="H2469" s="310"/>
      <c r="I2469" s="295">
        <f t="shared" si="333"/>
        <v>38.408999999999999</v>
      </c>
      <c r="J2469" s="295"/>
      <c r="K2469" s="300">
        <f t="shared" si="276"/>
        <v>1.1000000000000001</v>
      </c>
      <c r="L2469" s="300">
        <f t="shared" si="332"/>
        <v>0</v>
      </c>
      <c r="M2469" s="285">
        <f t="shared" si="274"/>
        <v>0</v>
      </c>
      <c r="N2469" s="1076">
        <f t="shared" si="275"/>
        <v>0</v>
      </c>
      <c r="O2469" s="294"/>
      <c r="P2469" s="404"/>
      <c r="Q2469" s="404"/>
      <c r="R2469" s="301"/>
      <c r="S2469" s="301"/>
      <c r="T2469" s="301"/>
      <c r="U2469" s="301"/>
      <c r="V2469" s="301"/>
    </row>
    <row r="2470" spans="1:22" ht="14.4" thickTop="1" thickBot="1" x14ac:dyDescent="0.3">
      <c r="A2470" s="292"/>
      <c r="B2470" s="296" t="s">
        <v>1922</v>
      </c>
      <c r="C2470" s="294"/>
      <c r="D2470" s="294"/>
      <c r="E2470" s="294"/>
      <c r="F2470" s="310">
        <v>24.215</v>
      </c>
      <c r="G2470" s="310"/>
      <c r="H2470" s="310"/>
      <c r="I2470" s="295">
        <f t="shared" si="333"/>
        <v>24.215</v>
      </c>
      <c r="J2470" s="295"/>
      <c r="K2470" s="300">
        <f t="shared" si="276"/>
        <v>1.1000000000000001</v>
      </c>
      <c r="L2470" s="300">
        <f t="shared" si="332"/>
        <v>0</v>
      </c>
      <c r="M2470" s="285">
        <f t="shared" si="274"/>
        <v>0</v>
      </c>
      <c r="N2470" s="1076">
        <f t="shared" si="275"/>
        <v>0</v>
      </c>
      <c r="O2470" s="294"/>
      <c r="P2470" s="404"/>
      <c r="Q2470" s="404"/>
      <c r="R2470" s="301"/>
      <c r="S2470" s="301"/>
      <c r="T2470" s="301"/>
      <c r="U2470" s="301"/>
      <c r="V2470" s="301"/>
    </row>
    <row r="2471" spans="1:22" ht="14.4" thickTop="1" thickBot="1" x14ac:dyDescent="0.3">
      <c r="A2471" s="292"/>
      <c r="B2471" s="293"/>
      <c r="C2471" s="294"/>
      <c r="D2471" s="294"/>
      <c r="E2471" s="294"/>
      <c r="F2471" s="310">
        <v>48.872999999999998</v>
      </c>
      <c r="G2471" s="310"/>
      <c r="H2471" s="310"/>
      <c r="I2471" s="295">
        <f t="shared" si="333"/>
        <v>48.872999999999998</v>
      </c>
      <c r="J2471" s="295"/>
      <c r="K2471" s="300">
        <f t="shared" si="276"/>
        <v>1.1000000000000001</v>
      </c>
      <c r="L2471" s="300">
        <f t="shared" si="332"/>
        <v>0</v>
      </c>
      <c r="M2471" s="285">
        <f t="shared" si="274"/>
        <v>0</v>
      </c>
      <c r="N2471" s="1076">
        <f t="shared" si="275"/>
        <v>0</v>
      </c>
      <c r="O2471" s="294"/>
      <c r="P2471" s="404"/>
      <c r="Q2471" s="404"/>
      <c r="R2471" s="301"/>
      <c r="S2471" s="301"/>
      <c r="T2471" s="301"/>
      <c r="U2471" s="301"/>
      <c r="V2471" s="301"/>
    </row>
    <row r="2472" spans="1:22" ht="14.4" thickTop="1" thickBot="1" x14ac:dyDescent="0.3">
      <c r="A2472" s="292"/>
      <c r="B2472" s="296" t="s">
        <v>1928</v>
      </c>
      <c r="C2472" s="294"/>
      <c r="D2472" s="294"/>
      <c r="E2472" s="294"/>
      <c r="F2472" s="310">
        <v>10.45</v>
      </c>
      <c r="G2472" s="310"/>
      <c r="H2472" s="310"/>
      <c r="I2472" s="295">
        <f t="shared" si="333"/>
        <v>10.45</v>
      </c>
      <c r="J2472" s="295"/>
      <c r="K2472" s="300">
        <f t="shared" si="276"/>
        <v>1.1000000000000001</v>
      </c>
      <c r="L2472" s="300">
        <f t="shared" si="332"/>
        <v>0</v>
      </c>
      <c r="M2472" s="285">
        <f t="shared" si="274"/>
        <v>0</v>
      </c>
      <c r="N2472" s="1076">
        <f t="shared" si="275"/>
        <v>0</v>
      </c>
      <c r="O2472" s="294"/>
      <c r="P2472" s="404"/>
      <c r="Q2472" s="404"/>
      <c r="R2472" s="301"/>
      <c r="S2472" s="301"/>
      <c r="T2472" s="301"/>
      <c r="U2472" s="301"/>
      <c r="V2472" s="301"/>
    </row>
    <row r="2473" spans="1:22" ht="14.4" thickTop="1" thickBot="1" x14ac:dyDescent="0.3">
      <c r="A2473" s="292"/>
      <c r="B2473" s="293"/>
      <c r="C2473" s="294"/>
      <c r="D2473" s="294"/>
      <c r="E2473" s="294"/>
      <c r="F2473" s="310"/>
      <c r="G2473" s="310"/>
      <c r="H2473" s="310"/>
      <c r="I2473" s="295"/>
      <c r="J2473" s="295">
        <f>SUM(I2456:I2472)</f>
        <v>331.62099999999992</v>
      </c>
      <c r="K2473" s="300">
        <f t="shared" si="276"/>
        <v>1.1000000000000001</v>
      </c>
      <c r="L2473" s="300">
        <f t="shared" si="332"/>
        <v>364.78309999999993</v>
      </c>
      <c r="M2473" s="285">
        <f t="shared" si="274"/>
        <v>364.8</v>
      </c>
      <c r="N2473" s="1076">
        <f t="shared" si="275"/>
        <v>365</v>
      </c>
      <c r="O2473" s="294"/>
      <c r="P2473" s="404"/>
      <c r="Q2473" s="404"/>
      <c r="R2473" s="301"/>
      <c r="S2473" s="301"/>
      <c r="T2473" s="301"/>
      <c r="U2473" s="301"/>
      <c r="V2473" s="301"/>
    </row>
    <row r="2474" spans="1:22" ht="14.4" thickTop="1" thickBot="1" x14ac:dyDescent="0.3">
      <c r="A2474" s="292"/>
      <c r="B2474" s="293"/>
      <c r="C2474" s="294"/>
      <c r="D2474" s="294"/>
      <c r="E2474" s="294"/>
      <c r="F2474" s="310"/>
      <c r="G2474" s="310"/>
      <c r="H2474" s="310"/>
      <c r="I2474" s="295"/>
      <c r="J2474" s="295">
        <f>J2473*3.28</f>
        <v>1087.7168799999997</v>
      </c>
      <c r="K2474" s="300">
        <f t="shared" si="276"/>
        <v>1.1000000000000001</v>
      </c>
      <c r="L2474" s="300">
        <f t="shared" si="332"/>
        <v>1196.4885679999998</v>
      </c>
      <c r="M2474" s="285">
        <f t="shared" si="274"/>
        <v>1196.5</v>
      </c>
      <c r="N2474" s="1076">
        <f t="shared" si="275"/>
        <v>1197</v>
      </c>
      <c r="O2474" s="294"/>
      <c r="P2474" s="404"/>
      <c r="Q2474" s="404"/>
      <c r="R2474" s="301"/>
      <c r="S2474" s="301"/>
      <c r="T2474" s="301"/>
      <c r="U2474" s="301"/>
      <c r="V2474" s="301"/>
    </row>
    <row r="2475" spans="1:22" ht="14.4" thickTop="1" thickBot="1" x14ac:dyDescent="0.3">
      <c r="A2475" s="292"/>
      <c r="B2475" s="293"/>
      <c r="C2475" s="294"/>
      <c r="D2475" s="294"/>
      <c r="E2475" s="294"/>
      <c r="F2475" s="310"/>
      <c r="G2475" s="310"/>
      <c r="H2475" s="310"/>
      <c r="I2475" s="295"/>
      <c r="J2475" s="295"/>
      <c r="K2475" s="300">
        <f t="shared" si="276"/>
        <v>1.1000000000000001</v>
      </c>
      <c r="L2475" s="300">
        <f t="shared" si="332"/>
        <v>0</v>
      </c>
      <c r="M2475" s="285">
        <f t="shared" si="274"/>
        <v>0</v>
      </c>
      <c r="N2475" s="1076">
        <f t="shared" si="275"/>
        <v>0</v>
      </c>
      <c r="O2475" s="294"/>
      <c r="P2475" s="404"/>
      <c r="Q2475" s="404"/>
      <c r="R2475" s="301"/>
      <c r="S2475" s="301"/>
      <c r="T2475" s="301"/>
      <c r="U2475" s="301"/>
      <c r="V2475" s="301"/>
    </row>
    <row r="2476" spans="1:22" ht="14.4" thickTop="1" thickBot="1" x14ac:dyDescent="0.3">
      <c r="A2476" s="292"/>
      <c r="B2476" s="296" t="s">
        <v>1939</v>
      </c>
      <c r="C2476" s="294"/>
      <c r="D2476" s="294"/>
      <c r="E2476" s="294"/>
      <c r="F2476" s="310">
        <v>9.0500000000000007</v>
      </c>
      <c r="G2476" s="310"/>
      <c r="H2476" s="310"/>
      <c r="I2476" s="295">
        <f>F2476</f>
        <v>9.0500000000000007</v>
      </c>
      <c r="J2476" s="295"/>
      <c r="K2476" s="300">
        <f t="shared" si="276"/>
        <v>1.1000000000000001</v>
      </c>
      <c r="L2476" s="300">
        <f t="shared" si="332"/>
        <v>0</v>
      </c>
      <c r="M2476" s="285">
        <f t="shared" si="274"/>
        <v>0</v>
      </c>
      <c r="N2476" s="1076">
        <f t="shared" si="275"/>
        <v>0</v>
      </c>
      <c r="O2476" s="294"/>
      <c r="P2476" s="404"/>
      <c r="Q2476" s="404"/>
      <c r="R2476" s="301"/>
      <c r="S2476" s="301"/>
      <c r="T2476" s="301"/>
      <c r="U2476" s="301"/>
      <c r="V2476" s="301"/>
    </row>
    <row r="2477" spans="1:22" ht="14.4" thickTop="1" thickBot="1" x14ac:dyDescent="0.3">
      <c r="A2477" s="292"/>
      <c r="B2477" s="293"/>
      <c r="C2477" s="294"/>
      <c r="D2477" s="294"/>
      <c r="E2477" s="294"/>
      <c r="F2477" s="310">
        <v>12.975</v>
      </c>
      <c r="G2477" s="310"/>
      <c r="H2477" s="310"/>
      <c r="I2477" s="295">
        <f t="shared" ref="I2477:I2487" si="334">F2477</f>
        <v>12.975</v>
      </c>
      <c r="J2477" s="295"/>
      <c r="K2477" s="300">
        <f t="shared" si="276"/>
        <v>1.1000000000000001</v>
      </c>
      <c r="L2477" s="300">
        <f t="shared" si="332"/>
        <v>0</v>
      </c>
      <c r="M2477" s="285">
        <f t="shared" si="274"/>
        <v>0</v>
      </c>
      <c r="N2477" s="1076">
        <f t="shared" si="275"/>
        <v>0</v>
      </c>
      <c r="O2477" s="294"/>
      <c r="P2477" s="404"/>
      <c r="Q2477" s="404"/>
      <c r="R2477" s="301"/>
      <c r="S2477" s="301"/>
      <c r="T2477" s="301"/>
      <c r="U2477" s="301"/>
      <c r="V2477" s="301"/>
    </row>
    <row r="2478" spans="1:22" ht="14.4" thickTop="1" thickBot="1" x14ac:dyDescent="0.3">
      <c r="A2478" s="292"/>
      <c r="B2478" s="293"/>
      <c r="C2478" s="294"/>
      <c r="D2478" s="294"/>
      <c r="E2478" s="294"/>
      <c r="F2478" s="310">
        <v>27.164999999999999</v>
      </c>
      <c r="G2478" s="310"/>
      <c r="H2478" s="310"/>
      <c r="I2478" s="295">
        <f t="shared" si="334"/>
        <v>27.164999999999999</v>
      </c>
      <c r="J2478" s="295"/>
      <c r="K2478" s="300">
        <f t="shared" si="276"/>
        <v>1.1000000000000001</v>
      </c>
      <c r="L2478" s="300">
        <f t="shared" si="332"/>
        <v>0</v>
      </c>
      <c r="M2478" s="285">
        <f t="shared" si="274"/>
        <v>0</v>
      </c>
      <c r="N2478" s="1076">
        <f t="shared" si="275"/>
        <v>0</v>
      </c>
      <c r="O2478" s="294"/>
      <c r="P2478" s="404"/>
      <c r="Q2478" s="404"/>
      <c r="R2478" s="301"/>
      <c r="S2478" s="301"/>
      <c r="T2478" s="301"/>
      <c r="U2478" s="301"/>
      <c r="V2478" s="301"/>
    </row>
    <row r="2479" spans="1:22" ht="14.4" thickTop="1" thickBot="1" x14ac:dyDescent="0.3">
      <c r="A2479" s="292"/>
      <c r="B2479" s="293"/>
      <c r="C2479" s="294"/>
      <c r="D2479" s="294"/>
      <c r="E2479" s="294">
        <v>4</v>
      </c>
      <c r="F2479" s="310">
        <v>14</v>
      </c>
      <c r="G2479" s="310"/>
      <c r="H2479" s="310"/>
      <c r="I2479" s="295">
        <f>F2479*E2479</f>
        <v>56</v>
      </c>
      <c r="J2479" s="295"/>
      <c r="K2479" s="300">
        <f t="shared" si="276"/>
        <v>1.1000000000000001</v>
      </c>
      <c r="L2479" s="300">
        <f t="shared" si="332"/>
        <v>0</v>
      </c>
      <c r="M2479" s="285">
        <f t="shared" si="274"/>
        <v>0</v>
      </c>
      <c r="N2479" s="1076">
        <f t="shared" si="275"/>
        <v>0</v>
      </c>
      <c r="O2479" s="294"/>
      <c r="P2479" s="404"/>
      <c r="Q2479" s="404"/>
      <c r="R2479" s="301"/>
      <c r="S2479" s="301"/>
      <c r="T2479" s="301"/>
      <c r="U2479" s="301"/>
      <c r="V2479" s="301"/>
    </row>
    <row r="2480" spans="1:22" ht="14.4" thickTop="1" thickBot="1" x14ac:dyDescent="0.3">
      <c r="A2480" s="292"/>
      <c r="B2480" s="293"/>
      <c r="C2480" s="294"/>
      <c r="D2480" s="294"/>
      <c r="E2480" s="294"/>
      <c r="F2480" s="310">
        <v>37.450000000000003</v>
      </c>
      <c r="G2480" s="310"/>
      <c r="H2480" s="310"/>
      <c r="I2480" s="295">
        <f t="shared" si="334"/>
        <v>37.450000000000003</v>
      </c>
      <c r="J2480" s="295"/>
      <c r="K2480" s="300">
        <f t="shared" si="276"/>
        <v>1.1000000000000001</v>
      </c>
      <c r="L2480" s="300">
        <f t="shared" si="332"/>
        <v>0</v>
      </c>
      <c r="M2480" s="285">
        <f t="shared" si="274"/>
        <v>0</v>
      </c>
      <c r="N2480" s="1076">
        <f t="shared" si="275"/>
        <v>0</v>
      </c>
      <c r="O2480" s="294"/>
      <c r="P2480" s="404"/>
      <c r="Q2480" s="404"/>
      <c r="R2480" s="301"/>
      <c r="S2480" s="301"/>
      <c r="T2480" s="301"/>
      <c r="U2480" s="301"/>
      <c r="V2480" s="301"/>
    </row>
    <row r="2481" spans="1:22" ht="14.4" thickTop="1" thickBot="1" x14ac:dyDescent="0.3">
      <c r="A2481" s="292"/>
      <c r="B2481" s="293"/>
      <c r="C2481" s="294"/>
      <c r="D2481" s="294"/>
      <c r="E2481" s="294">
        <v>6</v>
      </c>
      <c r="F2481" s="310">
        <v>14</v>
      </c>
      <c r="G2481" s="310"/>
      <c r="H2481" s="310"/>
      <c r="I2481" s="295">
        <f>F2481*E2481</f>
        <v>84</v>
      </c>
      <c r="J2481" s="295"/>
      <c r="K2481" s="300">
        <f t="shared" si="276"/>
        <v>1.1000000000000001</v>
      </c>
      <c r="L2481" s="300">
        <f t="shared" si="332"/>
        <v>0</v>
      </c>
      <c r="M2481" s="285">
        <f t="shared" si="274"/>
        <v>0</v>
      </c>
      <c r="N2481" s="1076">
        <f t="shared" si="275"/>
        <v>0</v>
      </c>
      <c r="O2481" s="294"/>
      <c r="P2481" s="404"/>
      <c r="Q2481" s="404"/>
      <c r="R2481" s="301"/>
      <c r="S2481" s="301"/>
      <c r="T2481" s="301"/>
      <c r="U2481" s="301"/>
      <c r="V2481" s="301"/>
    </row>
    <row r="2482" spans="1:22" ht="14.4" thickTop="1" thickBot="1" x14ac:dyDescent="0.3">
      <c r="A2482" s="292"/>
      <c r="B2482" s="293"/>
      <c r="C2482" s="294"/>
      <c r="D2482" s="294"/>
      <c r="E2482" s="294"/>
      <c r="F2482" s="310">
        <v>59.6</v>
      </c>
      <c r="G2482" s="310"/>
      <c r="H2482" s="310"/>
      <c r="I2482" s="295">
        <f t="shared" si="334"/>
        <v>59.6</v>
      </c>
      <c r="J2482" s="295"/>
      <c r="K2482" s="300">
        <f t="shared" si="276"/>
        <v>1.1000000000000001</v>
      </c>
      <c r="L2482" s="300">
        <f t="shared" si="332"/>
        <v>0</v>
      </c>
      <c r="M2482" s="285">
        <f t="shared" si="274"/>
        <v>0</v>
      </c>
      <c r="N2482" s="1076">
        <f t="shared" si="275"/>
        <v>0</v>
      </c>
      <c r="O2482" s="294"/>
      <c r="P2482" s="404"/>
      <c r="Q2482" s="404"/>
      <c r="R2482" s="301"/>
      <c r="S2482" s="301"/>
      <c r="T2482" s="301"/>
      <c r="U2482" s="301"/>
      <c r="V2482" s="301"/>
    </row>
    <row r="2483" spans="1:22" ht="14.4" thickTop="1" thickBot="1" x14ac:dyDescent="0.3">
      <c r="A2483" s="292"/>
      <c r="B2483" s="293"/>
      <c r="C2483" s="294"/>
      <c r="D2483" s="294"/>
      <c r="E2483" s="294">
        <v>5</v>
      </c>
      <c r="F2483" s="310">
        <v>14</v>
      </c>
      <c r="G2483" s="310"/>
      <c r="H2483" s="310"/>
      <c r="I2483" s="295">
        <f>F2483*E2483</f>
        <v>70</v>
      </c>
      <c r="J2483" s="295"/>
      <c r="K2483" s="300">
        <f t="shared" si="276"/>
        <v>1.1000000000000001</v>
      </c>
      <c r="L2483" s="300">
        <f t="shared" si="332"/>
        <v>0</v>
      </c>
      <c r="M2483" s="285">
        <f t="shared" si="274"/>
        <v>0</v>
      </c>
      <c r="N2483" s="1076">
        <f t="shared" si="275"/>
        <v>0</v>
      </c>
      <c r="O2483" s="294"/>
      <c r="P2483" s="404"/>
      <c r="Q2483" s="404"/>
      <c r="R2483" s="301"/>
      <c r="S2483" s="301"/>
      <c r="T2483" s="301"/>
      <c r="U2483" s="301"/>
      <c r="V2483" s="301"/>
    </row>
    <row r="2484" spans="1:22" ht="14.4" thickTop="1" thickBot="1" x14ac:dyDescent="0.3">
      <c r="A2484" s="292"/>
      <c r="B2484" s="293"/>
      <c r="C2484" s="294"/>
      <c r="D2484" s="294"/>
      <c r="E2484" s="294"/>
      <c r="F2484" s="310">
        <v>8.9749999999999996</v>
      </c>
      <c r="G2484" s="310"/>
      <c r="H2484" s="310"/>
      <c r="I2484" s="295">
        <f t="shared" si="334"/>
        <v>8.9749999999999996</v>
      </c>
      <c r="J2484" s="295"/>
      <c r="K2484" s="300">
        <f t="shared" si="276"/>
        <v>1.1000000000000001</v>
      </c>
      <c r="L2484" s="300">
        <f t="shared" si="332"/>
        <v>0</v>
      </c>
      <c r="M2484" s="285">
        <f t="shared" si="274"/>
        <v>0</v>
      </c>
      <c r="N2484" s="1076">
        <f t="shared" si="275"/>
        <v>0</v>
      </c>
      <c r="O2484" s="294"/>
      <c r="P2484" s="404"/>
      <c r="Q2484" s="404"/>
      <c r="R2484" s="301"/>
      <c r="S2484" s="301"/>
      <c r="T2484" s="301"/>
      <c r="U2484" s="301"/>
      <c r="V2484" s="301"/>
    </row>
    <row r="2485" spans="1:22" ht="14.4" thickTop="1" thickBot="1" x14ac:dyDescent="0.3">
      <c r="A2485" s="292"/>
      <c r="B2485" s="293"/>
      <c r="C2485" s="294"/>
      <c r="D2485" s="294"/>
      <c r="E2485" s="294"/>
      <c r="F2485" s="310">
        <v>45.6</v>
      </c>
      <c r="G2485" s="310"/>
      <c r="H2485" s="310"/>
      <c r="I2485" s="295">
        <f t="shared" si="334"/>
        <v>45.6</v>
      </c>
      <c r="J2485" s="295"/>
      <c r="K2485" s="300">
        <f t="shared" si="276"/>
        <v>1.1000000000000001</v>
      </c>
      <c r="L2485" s="300">
        <f t="shared" si="332"/>
        <v>0</v>
      </c>
      <c r="M2485" s="285">
        <f t="shared" si="274"/>
        <v>0</v>
      </c>
      <c r="N2485" s="1076">
        <f t="shared" si="275"/>
        <v>0</v>
      </c>
      <c r="O2485" s="294"/>
      <c r="P2485" s="404"/>
      <c r="Q2485" s="404"/>
      <c r="R2485" s="301"/>
      <c r="S2485" s="301"/>
      <c r="T2485" s="301"/>
      <c r="U2485" s="301"/>
      <c r="V2485" s="301"/>
    </row>
    <row r="2486" spans="1:22" ht="14.4" thickTop="1" thickBot="1" x14ac:dyDescent="0.3">
      <c r="A2486" s="292"/>
      <c r="B2486" s="293"/>
      <c r="C2486" s="294"/>
      <c r="D2486" s="294"/>
      <c r="E2486" s="294">
        <v>8</v>
      </c>
      <c r="F2486" s="310">
        <v>14</v>
      </c>
      <c r="G2486" s="310"/>
      <c r="H2486" s="310"/>
      <c r="I2486" s="295">
        <f>F2486*E2486</f>
        <v>112</v>
      </c>
      <c r="J2486" s="295"/>
      <c r="K2486" s="300">
        <f t="shared" si="276"/>
        <v>1.1000000000000001</v>
      </c>
      <c r="L2486" s="300">
        <f t="shared" si="332"/>
        <v>0</v>
      </c>
      <c r="M2486" s="285">
        <f t="shared" si="274"/>
        <v>0</v>
      </c>
      <c r="N2486" s="1076">
        <f t="shared" si="275"/>
        <v>0</v>
      </c>
      <c r="O2486" s="294"/>
      <c r="P2486" s="404"/>
      <c r="Q2486" s="404"/>
      <c r="R2486" s="301"/>
      <c r="S2486" s="301"/>
      <c r="T2486" s="301"/>
      <c r="U2486" s="301"/>
      <c r="V2486" s="301"/>
    </row>
    <row r="2487" spans="1:22" ht="14.4" thickTop="1" thickBot="1" x14ac:dyDescent="0.3">
      <c r="A2487" s="292"/>
      <c r="B2487" s="293"/>
      <c r="C2487" s="294"/>
      <c r="D2487" s="294"/>
      <c r="E2487" s="294"/>
      <c r="F2487" s="310">
        <v>49.65</v>
      </c>
      <c r="G2487" s="310"/>
      <c r="H2487" s="310"/>
      <c r="I2487" s="295">
        <f t="shared" si="334"/>
        <v>49.65</v>
      </c>
      <c r="J2487" s="295"/>
      <c r="K2487" s="300">
        <f t="shared" si="276"/>
        <v>1.1000000000000001</v>
      </c>
      <c r="L2487" s="300">
        <f t="shared" si="332"/>
        <v>0</v>
      </c>
      <c r="M2487" s="285">
        <f t="shared" si="274"/>
        <v>0</v>
      </c>
      <c r="N2487" s="1076">
        <f t="shared" si="275"/>
        <v>0</v>
      </c>
      <c r="O2487" s="294"/>
      <c r="P2487" s="404"/>
      <c r="Q2487" s="404"/>
      <c r="R2487" s="301"/>
      <c r="S2487" s="301"/>
      <c r="T2487" s="301"/>
      <c r="U2487" s="301"/>
      <c r="V2487" s="301"/>
    </row>
    <row r="2488" spans="1:22" ht="14.4" thickTop="1" thickBot="1" x14ac:dyDescent="0.3">
      <c r="A2488" s="292"/>
      <c r="B2488" s="293"/>
      <c r="C2488" s="294"/>
      <c r="D2488" s="294"/>
      <c r="E2488" s="294">
        <v>2</v>
      </c>
      <c r="F2488" s="310">
        <v>15</v>
      </c>
      <c r="G2488" s="310"/>
      <c r="H2488" s="310"/>
      <c r="I2488" s="295">
        <f t="shared" ref="I2488:I2489" si="335">F2488*E2488</f>
        <v>30</v>
      </c>
      <c r="J2488" s="295"/>
      <c r="K2488" s="300">
        <f t="shared" si="276"/>
        <v>1.1000000000000001</v>
      </c>
      <c r="L2488" s="300">
        <f t="shared" si="332"/>
        <v>0</v>
      </c>
      <c r="M2488" s="285">
        <f t="shared" si="274"/>
        <v>0</v>
      </c>
      <c r="N2488" s="1076">
        <f t="shared" si="275"/>
        <v>0</v>
      </c>
      <c r="O2488" s="294"/>
      <c r="P2488" s="404"/>
      <c r="Q2488" s="404"/>
      <c r="R2488" s="301"/>
      <c r="S2488" s="301"/>
      <c r="T2488" s="301"/>
      <c r="U2488" s="301"/>
      <c r="V2488" s="301"/>
    </row>
    <row r="2489" spans="1:22" ht="14.4" thickTop="1" thickBot="1" x14ac:dyDescent="0.3">
      <c r="A2489" s="292"/>
      <c r="B2489" s="293"/>
      <c r="C2489" s="294"/>
      <c r="D2489" s="294"/>
      <c r="E2489" s="294">
        <v>6</v>
      </c>
      <c r="F2489" s="310">
        <v>14</v>
      </c>
      <c r="G2489" s="310"/>
      <c r="H2489" s="310"/>
      <c r="I2489" s="295">
        <f t="shared" si="335"/>
        <v>84</v>
      </c>
      <c r="J2489" s="295"/>
      <c r="K2489" s="300">
        <f t="shared" si="276"/>
        <v>1.1000000000000001</v>
      </c>
      <c r="L2489" s="300">
        <f t="shared" si="332"/>
        <v>0</v>
      </c>
      <c r="M2489" s="285">
        <f t="shared" si="274"/>
        <v>0</v>
      </c>
      <c r="N2489" s="1076">
        <f t="shared" si="275"/>
        <v>0</v>
      </c>
      <c r="O2489" s="294"/>
      <c r="P2489" s="404"/>
      <c r="Q2489" s="404"/>
      <c r="R2489" s="301"/>
      <c r="S2489" s="301"/>
      <c r="T2489" s="301"/>
      <c r="U2489" s="301"/>
      <c r="V2489" s="301"/>
    </row>
    <row r="2490" spans="1:22" ht="14.4" thickTop="1" thickBot="1" x14ac:dyDescent="0.3">
      <c r="A2490" s="292"/>
      <c r="B2490" s="296" t="s">
        <v>1940</v>
      </c>
      <c r="C2490" s="294"/>
      <c r="D2490" s="294"/>
      <c r="E2490" s="294">
        <v>32</v>
      </c>
      <c r="F2490" s="310">
        <v>2.7</v>
      </c>
      <c r="G2490" s="310"/>
      <c r="H2490" s="310"/>
      <c r="I2490" s="295">
        <f>-F2490*E2490</f>
        <v>-86.4</v>
      </c>
      <c r="J2490" s="295"/>
      <c r="K2490" s="300">
        <f t="shared" si="276"/>
        <v>1.1000000000000001</v>
      </c>
      <c r="L2490" s="300">
        <f t="shared" si="332"/>
        <v>0</v>
      </c>
      <c r="M2490" s="285">
        <f t="shared" si="274"/>
        <v>0</v>
      </c>
      <c r="N2490" s="1076">
        <f t="shared" si="275"/>
        <v>0</v>
      </c>
      <c r="O2490" s="294"/>
      <c r="P2490" s="404"/>
      <c r="Q2490" s="404"/>
      <c r="R2490" s="301"/>
      <c r="S2490" s="301"/>
      <c r="T2490" s="301"/>
      <c r="U2490" s="301"/>
      <c r="V2490" s="301"/>
    </row>
    <row r="2491" spans="1:22" ht="14.4" thickTop="1" thickBot="1" x14ac:dyDescent="0.3">
      <c r="A2491" s="292"/>
      <c r="B2491" s="293"/>
      <c r="C2491" s="294"/>
      <c r="D2491" s="294"/>
      <c r="E2491" s="294"/>
      <c r="F2491" s="310"/>
      <c r="G2491" s="310"/>
      <c r="H2491" s="310"/>
      <c r="I2491" s="295"/>
      <c r="J2491" s="295">
        <f>SUM(I2476:I2490)</f>
        <v>600.06500000000005</v>
      </c>
      <c r="K2491" s="300">
        <f t="shared" si="276"/>
        <v>1.1000000000000001</v>
      </c>
      <c r="L2491" s="300">
        <f t="shared" si="332"/>
        <v>660.07150000000013</v>
      </c>
      <c r="M2491" s="285">
        <f t="shared" si="274"/>
        <v>660.1</v>
      </c>
      <c r="N2491" s="1076">
        <f t="shared" si="275"/>
        <v>661</v>
      </c>
      <c r="O2491" s="294"/>
      <c r="P2491" s="404"/>
      <c r="Q2491" s="404"/>
      <c r="R2491" s="301"/>
      <c r="S2491" s="301"/>
      <c r="T2491" s="301"/>
      <c r="U2491" s="301"/>
      <c r="V2491" s="301"/>
    </row>
    <row r="2492" spans="1:22" ht="14.4" thickTop="1" thickBot="1" x14ac:dyDescent="0.3">
      <c r="A2492" s="292"/>
      <c r="B2492" s="293"/>
      <c r="C2492" s="294"/>
      <c r="D2492" s="294"/>
      <c r="E2492" s="294"/>
      <c r="F2492" s="310"/>
      <c r="G2492" s="310"/>
      <c r="H2492" s="310"/>
      <c r="I2492" s="295"/>
      <c r="J2492" s="295">
        <f>J2491*3.28</f>
        <v>1968.2132000000001</v>
      </c>
      <c r="K2492" s="300">
        <v>1.05</v>
      </c>
      <c r="L2492" s="300">
        <f t="shared" si="332"/>
        <v>2066.6238600000001</v>
      </c>
      <c r="M2492" s="285">
        <f t="shared" si="274"/>
        <v>2066.6</v>
      </c>
      <c r="N2492" s="1076">
        <f t="shared" si="275"/>
        <v>2067</v>
      </c>
      <c r="O2492" s="294"/>
      <c r="P2492" s="404"/>
      <c r="Q2492" s="404"/>
      <c r="R2492" s="301"/>
      <c r="S2492" s="301"/>
      <c r="T2492" s="301"/>
      <c r="U2492" s="301"/>
      <c r="V2492" s="301"/>
    </row>
    <row r="2493" spans="1:22" ht="14.4" thickTop="1" thickBot="1" x14ac:dyDescent="0.3">
      <c r="A2493" s="292"/>
      <c r="B2493" s="293"/>
      <c r="C2493" s="294"/>
      <c r="D2493" s="294"/>
      <c r="E2493" s="294"/>
      <c r="F2493" s="310"/>
      <c r="G2493" s="310"/>
      <c r="H2493" s="310"/>
      <c r="I2493" s="295"/>
      <c r="J2493" s="295"/>
      <c r="K2493" s="300">
        <f t="shared" si="276"/>
        <v>1.1000000000000001</v>
      </c>
      <c r="L2493" s="300">
        <f t="shared" si="332"/>
        <v>0</v>
      </c>
      <c r="M2493" s="285">
        <f t="shared" si="274"/>
        <v>0</v>
      </c>
      <c r="N2493" s="1076">
        <f t="shared" si="275"/>
        <v>0</v>
      </c>
      <c r="O2493" s="294"/>
      <c r="P2493" s="404"/>
      <c r="Q2493" s="404"/>
      <c r="R2493" s="301"/>
      <c r="S2493" s="301"/>
      <c r="T2493" s="301"/>
      <c r="U2493" s="301"/>
      <c r="V2493" s="301"/>
    </row>
    <row r="2494" spans="1:22" ht="14.4" thickTop="1" thickBot="1" x14ac:dyDescent="0.3">
      <c r="A2494" s="292"/>
      <c r="B2494" s="296" t="s">
        <v>1941</v>
      </c>
      <c r="C2494" s="294"/>
      <c r="D2494" s="294"/>
      <c r="E2494" s="294"/>
      <c r="F2494" s="310">
        <v>46.628</v>
      </c>
      <c r="G2494" s="310"/>
      <c r="H2494" s="310"/>
      <c r="I2494" s="295">
        <f>F2494</f>
        <v>46.628</v>
      </c>
      <c r="J2494" s="295"/>
      <c r="K2494" s="300">
        <f t="shared" si="276"/>
        <v>1.1000000000000001</v>
      </c>
      <c r="L2494" s="300">
        <f t="shared" si="332"/>
        <v>0</v>
      </c>
      <c r="M2494" s="285">
        <f t="shared" si="274"/>
        <v>0</v>
      </c>
      <c r="N2494" s="1076">
        <f t="shared" si="275"/>
        <v>0</v>
      </c>
      <c r="O2494" s="294"/>
      <c r="P2494" s="404"/>
      <c r="Q2494" s="404"/>
      <c r="R2494" s="301"/>
      <c r="S2494" s="301"/>
      <c r="T2494" s="301"/>
      <c r="U2494" s="301"/>
      <c r="V2494" s="301"/>
    </row>
    <row r="2495" spans="1:22" ht="14.4" thickTop="1" thickBot="1" x14ac:dyDescent="0.3">
      <c r="A2495" s="292"/>
      <c r="B2495" s="293"/>
      <c r="C2495" s="294"/>
      <c r="D2495" s="294"/>
      <c r="E2495" s="294"/>
      <c r="F2495" s="310">
        <v>46.3</v>
      </c>
      <c r="G2495" s="310"/>
      <c r="H2495" s="310"/>
      <c r="I2495" s="295">
        <f t="shared" ref="I2495:I2498" si="336">F2495</f>
        <v>46.3</v>
      </c>
      <c r="J2495" s="295"/>
      <c r="K2495" s="300">
        <f t="shared" si="276"/>
        <v>1.1000000000000001</v>
      </c>
      <c r="L2495" s="300">
        <f t="shared" si="332"/>
        <v>0</v>
      </c>
      <c r="M2495" s="285">
        <f t="shared" si="274"/>
        <v>0</v>
      </c>
      <c r="N2495" s="1076">
        <f t="shared" si="275"/>
        <v>0</v>
      </c>
      <c r="O2495" s="294"/>
      <c r="P2495" s="404"/>
      <c r="Q2495" s="404"/>
      <c r="R2495" s="301"/>
      <c r="S2495" s="301"/>
      <c r="T2495" s="301"/>
      <c r="U2495" s="301"/>
      <c r="V2495" s="301"/>
    </row>
    <row r="2496" spans="1:22" ht="14.4" thickTop="1" thickBot="1" x14ac:dyDescent="0.3">
      <c r="A2496" s="292"/>
      <c r="B2496" s="293"/>
      <c r="C2496" s="294"/>
      <c r="D2496" s="294"/>
      <c r="E2496" s="294"/>
      <c r="F2496" s="310">
        <v>16.309999999999999</v>
      </c>
      <c r="G2496" s="310"/>
      <c r="H2496" s="310"/>
      <c r="I2496" s="295">
        <f t="shared" si="336"/>
        <v>16.309999999999999</v>
      </c>
      <c r="J2496" s="295"/>
      <c r="K2496" s="300">
        <f t="shared" si="276"/>
        <v>1.1000000000000001</v>
      </c>
      <c r="L2496" s="300">
        <f t="shared" si="332"/>
        <v>0</v>
      </c>
      <c r="M2496" s="285">
        <f t="shared" si="274"/>
        <v>0</v>
      </c>
      <c r="N2496" s="1076">
        <f t="shared" si="275"/>
        <v>0</v>
      </c>
      <c r="O2496" s="294"/>
      <c r="P2496" s="404"/>
      <c r="Q2496" s="404"/>
      <c r="R2496" s="301"/>
      <c r="S2496" s="301"/>
      <c r="T2496" s="301"/>
      <c r="U2496" s="301"/>
      <c r="V2496" s="301"/>
    </row>
    <row r="2497" spans="1:22" ht="14.4" thickTop="1" thickBot="1" x14ac:dyDescent="0.3">
      <c r="A2497" s="292"/>
      <c r="B2497" s="293"/>
      <c r="C2497" s="294"/>
      <c r="D2497" s="294"/>
      <c r="E2497" s="294"/>
      <c r="F2497" s="310">
        <v>193.59899999999999</v>
      </c>
      <c r="G2497" s="310"/>
      <c r="H2497" s="310"/>
      <c r="I2497" s="295">
        <f t="shared" si="336"/>
        <v>193.59899999999999</v>
      </c>
      <c r="J2497" s="295"/>
      <c r="K2497" s="300">
        <f t="shared" si="276"/>
        <v>1.1000000000000001</v>
      </c>
      <c r="L2497" s="300">
        <f t="shared" si="332"/>
        <v>0</v>
      </c>
      <c r="M2497" s="285">
        <f t="shared" si="274"/>
        <v>0</v>
      </c>
      <c r="N2497" s="1076">
        <f t="shared" si="275"/>
        <v>0</v>
      </c>
      <c r="O2497" s="294"/>
      <c r="P2497" s="404"/>
      <c r="Q2497" s="404"/>
      <c r="R2497" s="301"/>
      <c r="S2497" s="301"/>
      <c r="T2497" s="301"/>
      <c r="U2497" s="301"/>
      <c r="V2497" s="301"/>
    </row>
    <row r="2498" spans="1:22" ht="14.4" thickTop="1" thickBot="1" x14ac:dyDescent="0.3">
      <c r="A2498" s="292"/>
      <c r="B2498" s="293"/>
      <c r="C2498" s="294"/>
      <c r="D2498" s="294"/>
      <c r="E2498" s="294"/>
      <c r="F2498" s="310">
        <v>28.881</v>
      </c>
      <c r="G2498" s="310"/>
      <c r="H2498" s="310"/>
      <c r="I2498" s="295">
        <f t="shared" si="336"/>
        <v>28.881</v>
      </c>
      <c r="J2498" s="295"/>
      <c r="K2498" s="300">
        <f t="shared" si="276"/>
        <v>1.1000000000000001</v>
      </c>
      <c r="L2498" s="300">
        <f t="shared" si="332"/>
        <v>0</v>
      </c>
      <c r="M2498" s="285">
        <f t="shared" si="274"/>
        <v>0</v>
      </c>
      <c r="N2498" s="1076">
        <f t="shared" si="275"/>
        <v>0</v>
      </c>
      <c r="O2498" s="294"/>
      <c r="P2498" s="404"/>
      <c r="Q2498" s="404"/>
      <c r="R2498" s="301"/>
      <c r="S2498" s="301"/>
      <c r="T2498" s="301"/>
      <c r="U2498" s="301"/>
      <c r="V2498" s="301"/>
    </row>
    <row r="2499" spans="1:22" ht="14.4" thickTop="1" thickBot="1" x14ac:dyDescent="0.3">
      <c r="A2499" s="292"/>
      <c r="B2499" s="293"/>
      <c r="C2499" s="294"/>
      <c r="D2499" s="294"/>
      <c r="E2499" s="294"/>
      <c r="F2499" s="310"/>
      <c r="G2499" s="310"/>
      <c r="H2499" s="310"/>
      <c r="I2499" s="295"/>
      <c r="J2499" s="295">
        <f>SUM(I2494:I2498)</f>
        <v>331.71799999999996</v>
      </c>
      <c r="K2499" s="300">
        <f t="shared" si="276"/>
        <v>1.1000000000000001</v>
      </c>
      <c r="L2499" s="300">
        <f t="shared" si="332"/>
        <v>364.88979999999998</v>
      </c>
      <c r="M2499" s="285">
        <f t="shared" si="274"/>
        <v>364.9</v>
      </c>
      <c r="N2499" s="1076">
        <f t="shared" si="275"/>
        <v>365</v>
      </c>
      <c r="O2499" s="294"/>
      <c r="P2499" s="404"/>
      <c r="Q2499" s="404"/>
      <c r="R2499" s="301"/>
      <c r="S2499" s="301"/>
      <c r="T2499" s="301"/>
      <c r="U2499" s="301"/>
      <c r="V2499" s="301"/>
    </row>
    <row r="2500" spans="1:22" ht="14.4" thickTop="1" thickBot="1" x14ac:dyDescent="0.3">
      <c r="A2500" s="292"/>
      <c r="B2500" s="293"/>
      <c r="C2500" s="294"/>
      <c r="D2500" s="294"/>
      <c r="E2500" s="294"/>
      <c r="F2500" s="310"/>
      <c r="G2500" s="310"/>
      <c r="H2500" s="310"/>
      <c r="I2500" s="295"/>
      <c r="J2500" s="295">
        <f>J2499*3.28</f>
        <v>1088.0350399999998</v>
      </c>
      <c r="K2500" s="300">
        <v>1.05</v>
      </c>
      <c r="L2500" s="300">
        <f t="shared" si="332"/>
        <v>1142.4367919999997</v>
      </c>
      <c r="M2500" s="285">
        <f t="shared" si="274"/>
        <v>1142.4000000000001</v>
      </c>
      <c r="N2500" s="1076">
        <f t="shared" si="275"/>
        <v>1143</v>
      </c>
      <c r="O2500" s="294"/>
      <c r="P2500" s="404"/>
      <c r="Q2500" s="404"/>
      <c r="R2500" s="301"/>
      <c r="S2500" s="301"/>
      <c r="T2500" s="301"/>
      <c r="U2500" s="301"/>
      <c r="V2500" s="301"/>
    </row>
    <row r="2501" spans="1:22" ht="14.4" thickTop="1" thickBot="1" x14ac:dyDescent="0.3">
      <c r="A2501" s="292"/>
      <c r="B2501" s="293"/>
      <c r="C2501" s="294"/>
      <c r="D2501" s="294"/>
      <c r="E2501" s="294"/>
      <c r="F2501" s="310"/>
      <c r="G2501" s="310"/>
      <c r="H2501" s="310"/>
      <c r="I2501" s="295"/>
      <c r="J2501" s="295"/>
      <c r="K2501" s="300">
        <f t="shared" si="276"/>
        <v>1.1000000000000001</v>
      </c>
      <c r="L2501" s="300">
        <f t="shared" si="332"/>
        <v>0</v>
      </c>
      <c r="M2501" s="285">
        <f t="shared" si="274"/>
        <v>0</v>
      </c>
      <c r="N2501" s="1076">
        <f t="shared" si="275"/>
        <v>0</v>
      </c>
      <c r="O2501" s="294"/>
      <c r="P2501" s="404"/>
      <c r="Q2501" s="404"/>
      <c r="R2501" s="301"/>
      <c r="S2501" s="301"/>
      <c r="T2501" s="301"/>
      <c r="U2501" s="301"/>
      <c r="V2501" s="301"/>
    </row>
    <row r="2502" spans="1:22" ht="14.4" thickTop="1" thickBot="1" x14ac:dyDescent="0.3">
      <c r="A2502" s="292"/>
      <c r="B2502" s="293" t="s">
        <v>1942</v>
      </c>
      <c r="C2502" s="294"/>
      <c r="D2502" s="294"/>
      <c r="E2502" s="294">
        <v>2</v>
      </c>
      <c r="F2502" s="310">
        <v>7</v>
      </c>
      <c r="G2502" s="310"/>
      <c r="H2502" s="310"/>
      <c r="I2502" s="295">
        <f>F2502*E2502</f>
        <v>14</v>
      </c>
      <c r="J2502" s="295"/>
      <c r="K2502" s="300">
        <f t="shared" si="276"/>
        <v>1.1000000000000001</v>
      </c>
      <c r="L2502" s="300">
        <f t="shared" si="332"/>
        <v>0</v>
      </c>
      <c r="M2502" s="285">
        <f t="shared" si="274"/>
        <v>0</v>
      </c>
      <c r="N2502" s="1076">
        <f t="shared" si="275"/>
        <v>0</v>
      </c>
      <c r="O2502" s="294"/>
      <c r="P2502" s="404"/>
      <c r="Q2502" s="404"/>
      <c r="R2502" s="301"/>
      <c r="S2502" s="301"/>
      <c r="T2502" s="301"/>
      <c r="U2502" s="301"/>
      <c r="V2502" s="301"/>
    </row>
    <row r="2503" spans="1:22" ht="14.4" thickTop="1" thickBot="1" x14ac:dyDescent="0.3">
      <c r="A2503" s="292"/>
      <c r="B2503" s="293"/>
      <c r="C2503" s="294"/>
      <c r="D2503" s="294"/>
      <c r="E2503" s="294">
        <v>1.5</v>
      </c>
      <c r="F2503" s="310">
        <v>10</v>
      </c>
      <c r="G2503" s="310"/>
      <c r="H2503" s="310"/>
      <c r="I2503" s="295">
        <f>F2503*E2503</f>
        <v>15</v>
      </c>
      <c r="J2503" s="295"/>
      <c r="K2503" s="300">
        <f t="shared" si="276"/>
        <v>1.1000000000000001</v>
      </c>
      <c r="L2503" s="300">
        <f t="shared" si="332"/>
        <v>0</v>
      </c>
      <c r="M2503" s="285">
        <f t="shared" si="274"/>
        <v>0</v>
      </c>
      <c r="N2503" s="1076">
        <f t="shared" si="275"/>
        <v>0</v>
      </c>
      <c r="O2503" s="294"/>
      <c r="P2503" s="404"/>
      <c r="Q2503" s="404"/>
      <c r="R2503" s="301"/>
      <c r="S2503" s="301"/>
      <c r="T2503" s="301"/>
      <c r="U2503" s="301"/>
      <c r="V2503" s="301"/>
    </row>
    <row r="2504" spans="1:22" ht="14.4" thickTop="1" thickBot="1" x14ac:dyDescent="0.3">
      <c r="A2504" s="292"/>
      <c r="B2504" s="293"/>
      <c r="C2504" s="294"/>
      <c r="D2504" s="294"/>
      <c r="E2504" s="294"/>
      <c r="F2504" s="310"/>
      <c r="G2504" s="310"/>
      <c r="H2504" s="310"/>
      <c r="I2504" s="295"/>
      <c r="J2504" s="295">
        <f>SUM(I2502:I2503)</f>
        <v>29</v>
      </c>
      <c r="K2504" s="300">
        <f t="shared" si="276"/>
        <v>1.1000000000000001</v>
      </c>
      <c r="L2504" s="300">
        <f t="shared" si="332"/>
        <v>31.900000000000002</v>
      </c>
      <c r="M2504" s="285">
        <f t="shared" si="274"/>
        <v>31.9</v>
      </c>
      <c r="N2504" s="1076">
        <f t="shared" si="275"/>
        <v>32</v>
      </c>
      <c r="O2504" s="294"/>
      <c r="P2504" s="404"/>
      <c r="Q2504" s="404"/>
      <c r="R2504" s="301"/>
      <c r="S2504" s="301"/>
      <c r="T2504" s="301"/>
      <c r="U2504" s="301"/>
      <c r="V2504" s="301"/>
    </row>
    <row r="2505" spans="1:22" ht="14.4" thickTop="1" thickBot="1" x14ac:dyDescent="0.3">
      <c r="A2505" s="292"/>
      <c r="B2505" s="293"/>
      <c r="C2505" s="294"/>
      <c r="D2505" s="294"/>
      <c r="E2505" s="294"/>
      <c r="F2505" s="310"/>
      <c r="G2505" s="310"/>
      <c r="H2505" s="310"/>
      <c r="I2505" s="295"/>
      <c r="J2505" s="295">
        <f>J2504*3.28</f>
        <v>95.11999999999999</v>
      </c>
      <c r="K2505" s="300">
        <v>1.05</v>
      </c>
      <c r="L2505" s="300">
        <f t="shared" si="332"/>
        <v>99.875999999999991</v>
      </c>
      <c r="M2505" s="285">
        <f t="shared" si="274"/>
        <v>99.9</v>
      </c>
      <c r="N2505" s="1076">
        <f t="shared" si="275"/>
        <v>100</v>
      </c>
      <c r="O2505" s="294"/>
      <c r="P2505" s="404"/>
      <c r="Q2505" s="404"/>
      <c r="R2505" s="301"/>
      <c r="S2505" s="301"/>
      <c r="T2505" s="301"/>
      <c r="U2505" s="301"/>
      <c r="V2505" s="301"/>
    </row>
    <row r="2506" spans="1:22" ht="14.4" thickTop="1" thickBot="1" x14ac:dyDescent="0.3">
      <c r="A2506" s="292"/>
      <c r="B2506" s="293"/>
      <c r="C2506" s="294"/>
      <c r="D2506" s="294"/>
      <c r="E2506" s="294"/>
      <c r="F2506" s="310"/>
      <c r="G2506" s="310"/>
      <c r="H2506" s="310"/>
      <c r="I2506" s="295"/>
      <c r="J2506" s="295"/>
      <c r="K2506" s="300">
        <f t="shared" si="276"/>
        <v>1.1000000000000001</v>
      </c>
      <c r="L2506" s="300">
        <f t="shared" si="332"/>
        <v>0</v>
      </c>
      <c r="M2506" s="285">
        <f t="shared" si="274"/>
        <v>0</v>
      </c>
      <c r="N2506" s="1076">
        <f t="shared" si="275"/>
        <v>0</v>
      </c>
      <c r="O2506" s="294"/>
      <c r="P2506" s="404"/>
      <c r="Q2506" s="404"/>
      <c r="R2506" s="301"/>
      <c r="S2506" s="301"/>
      <c r="T2506" s="301"/>
      <c r="U2506" s="301"/>
      <c r="V2506" s="301"/>
    </row>
    <row r="2507" spans="1:22" ht="14.4" thickTop="1" thickBot="1" x14ac:dyDescent="0.3">
      <c r="A2507" s="292"/>
      <c r="B2507" s="302" t="s">
        <v>330</v>
      </c>
      <c r="C2507" s="294"/>
      <c r="D2507" s="294"/>
      <c r="E2507" s="294"/>
      <c r="F2507" s="310"/>
      <c r="G2507" s="310"/>
      <c r="H2507" s="310"/>
      <c r="I2507" s="295"/>
      <c r="J2507" s="295"/>
      <c r="K2507" s="300">
        <f t="shared" si="276"/>
        <v>1.1000000000000001</v>
      </c>
      <c r="L2507" s="300">
        <f t="shared" si="332"/>
        <v>0</v>
      </c>
      <c r="M2507" s="285">
        <f t="shared" si="274"/>
        <v>0</v>
      </c>
      <c r="N2507" s="1076">
        <f t="shared" si="275"/>
        <v>0</v>
      </c>
      <c r="O2507" s="294"/>
      <c r="P2507" s="404"/>
      <c r="Q2507" s="404"/>
      <c r="R2507" s="301"/>
      <c r="S2507" s="301"/>
      <c r="T2507" s="301"/>
      <c r="U2507" s="301"/>
      <c r="V2507" s="301"/>
    </row>
    <row r="2508" spans="1:22" ht="14.4" thickTop="1" thickBot="1" x14ac:dyDescent="0.3">
      <c r="A2508" s="292"/>
      <c r="B2508" s="296" t="s">
        <v>2018</v>
      </c>
      <c r="C2508" s="294"/>
      <c r="D2508" s="294"/>
      <c r="E2508" s="294"/>
      <c r="F2508" s="310"/>
      <c r="G2508" s="310"/>
      <c r="H2508" s="310"/>
      <c r="I2508" s="295"/>
      <c r="J2508" s="295"/>
      <c r="K2508" s="300">
        <f t="shared" si="276"/>
        <v>1.1000000000000001</v>
      </c>
      <c r="L2508" s="300">
        <f t="shared" si="332"/>
        <v>0</v>
      </c>
      <c r="M2508" s="285">
        <f t="shared" si="274"/>
        <v>0</v>
      </c>
      <c r="N2508" s="1076">
        <f t="shared" si="275"/>
        <v>0</v>
      </c>
      <c r="O2508" s="294"/>
      <c r="P2508" s="404"/>
      <c r="Q2508" s="404"/>
      <c r="R2508" s="301"/>
      <c r="S2508" s="301"/>
      <c r="T2508" s="301"/>
      <c r="U2508" s="301"/>
      <c r="V2508" s="301"/>
    </row>
    <row r="2509" spans="1:22" ht="14.4" thickTop="1" thickBot="1" x14ac:dyDescent="0.3">
      <c r="A2509" s="292"/>
      <c r="B2509" s="296" t="s">
        <v>1888</v>
      </c>
      <c r="C2509" s="294"/>
      <c r="D2509" s="294"/>
      <c r="E2509" s="294"/>
      <c r="F2509" s="310"/>
      <c r="G2509" s="310"/>
      <c r="H2509" s="310"/>
      <c r="I2509" s="295">
        <v>174.09</v>
      </c>
      <c r="J2509" s="295"/>
      <c r="K2509" s="300">
        <f t="shared" si="276"/>
        <v>1.1000000000000001</v>
      </c>
      <c r="L2509" s="300">
        <f t="shared" si="332"/>
        <v>0</v>
      </c>
      <c r="M2509" s="285">
        <f t="shared" si="274"/>
        <v>0</v>
      </c>
      <c r="N2509" s="1076">
        <f t="shared" si="275"/>
        <v>0</v>
      </c>
      <c r="O2509" s="294"/>
      <c r="P2509" s="404"/>
      <c r="Q2509" s="404"/>
      <c r="R2509" s="301"/>
      <c r="S2509" s="301"/>
      <c r="T2509" s="301"/>
      <c r="U2509" s="301"/>
      <c r="V2509" s="301"/>
    </row>
    <row r="2510" spans="1:22" ht="14.4" thickTop="1" thickBot="1" x14ac:dyDescent="0.3">
      <c r="A2510" s="292"/>
      <c r="B2510" s="296" t="s">
        <v>1889</v>
      </c>
      <c r="C2510" s="294"/>
      <c r="D2510" s="294"/>
      <c r="E2510" s="294"/>
      <c r="F2510" s="310"/>
      <c r="G2510" s="310"/>
      <c r="H2510" s="310"/>
      <c r="I2510" s="295">
        <v>172.72</v>
      </c>
      <c r="J2510" s="295"/>
      <c r="K2510" s="300">
        <f t="shared" si="276"/>
        <v>1.1000000000000001</v>
      </c>
      <c r="L2510" s="300">
        <f t="shared" si="332"/>
        <v>0</v>
      </c>
      <c r="M2510" s="285">
        <f t="shared" si="274"/>
        <v>0</v>
      </c>
      <c r="N2510" s="1076">
        <f t="shared" si="275"/>
        <v>0</v>
      </c>
      <c r="O2510" s="294"/>
      <c r="P2510" s="404"/>
      <c r="Q2510" s="404"/>
      <c r="R2510" s="301"/>
      <c r="S2510" s="301"/>
      <c r="T2510" s="301"/>
      <c r="U2510" s="301"/>
      <c r="V2510" s="301"/>
    </row>
    <row r="2511" spans="1:22" ht="14.4" thickTop="1" thickBot="1" x14ac:dyDescent="0.3">
      <c r="A2511" s="292"/>
      <c r="B2511" s="296" t="s">
        <v>1894</v>
      </c>
      <c r="C2511" s="294"/>
      <c r="D2511" s="294"/>
      <c r="E2511" s="294"/>
      <c r="F2511" s="310"/>
      <c r="G2511" s="310"/>
      <c r="H2511" s="310"/>
      <c r="I2511" s="295">
        <v>177.78</v>
      </c>
      <c r="J2511" s="295"/>
      <c r="K2511" s="300">
        <f t="shared" si="276"/>
        <v>1.1000000000000001</v>
      </c>
      <c r="L2511" s="300">
        <f t="shared" si="332"/>
        <v>0</v>
      </c>
      <c r="M2511" s="285">
        <f t="shared" si="274"/>
        <v>0</v>
      </c>
      <c r="N2511" s="1076">
        <f t="shared" si="275"/>
        <v>0</v>
      </c>
      <c r="O2511" s="294"/>
      <c r="P2511" s="404"/>
      <c r="Q2511" s="404"/>
      <c r="R2511" s="301"/>
      <c r="S2511" s="301"/>
      <c r="T2511" s="301"/>
      <c r="U2511" s="301"/>
      <c r="V2511" s="301"/>
    </row>
    <row r="2512" spans="1:22" ht="14.4" thickTop="1" thickBot="1" x14ac:dyDescent="0.3">
      <c r="A2512" s="292"/>
      <c r="B2512" s="296" t="s">
        <v>1895</v>
      </c>
      <c r="C2512" s="294"/>
      <c r="D2512" s="294"/>
      <c r="E2512" s="294"/>
      <c r="F2512" s="310"/>
      <c r="G2512" s="310"/>
      <c r="H2512" s="310"/>
      <c r="I2512" s="295">
        <v>175.06</v>
      </c>
      <c r="J2512" s="295"/>
      <c r="K2512" s="300">
        <f t="shared" si="276"/>
        <v>1.1000000000000001</v>
      </c>
      <c r="L2512" s="300">
        <f t="shared" si="332"/>
        <v>0</v>
      </c>
      <c r="M2512" s="285">
        <f t="shared" ref="M2512:M2544" si="337">ROUND(L2512,1)</f>
        <v>0</v>
      </c>
      <c r="N2512" s="1076">
        <f t="shared" ref="N2512:N2544" si="338">ROUNDUP(M2512,0)</f>
        <v>0</v>
      </c>
      <c r="O2512" s="294"/>
      <c r="P2512" s="404"/>
      <c r="Q2512" s="404"/>
      <c r="R2512" s="301"/>
      <c r="S2512" s="301"/>
      <c r="T2512" s="301"/>
      <c r="U2512" s="301"/>
      <c r="V2512" s="301"/>
    </row>
    <row r="2513" spans="1:22" ht="14.4" thickTop="1" thickBot="1" x14ac:dyDescent="0.3">
      <c r="A2513" s="292"/>
      <c r="B2513" s="293"/>
      <c r="C2513" s="294"/>
      <c r="D2513" s="294"/>
      <c r="E2513" s="294"/>
      <c r="F2513" s="310"/>
      <c r="G2513" s="310"/>
      <c r="H2513" s="310"/>
      <c r="I2513" s="295"/>
      <c r="J2513" s="295">
        <f>SUM(I2509:I2512)</f>
        <v>699.65000000000009</v>
      </c>
      <c r="K2513" s="300">
        <f t="shared" si="276"/>
        <v>1.1000000000000001</v>
      </c>
      <c r="L2513" s="300">
        <f t="shared" si="332"/>
        <v>769.61500000000012</v>
      </c>
      <c r="M2513" s="285">
        <f t="shared" si="337"/>
        <v>769.6</v>
      </c>
      <c r="N2513" s="1076">
        <f t="shared" si="338"/>
        <v>770</v>
      </c>
      <c r="O2513" s="294" t="s">
        <v>695</v>
      </c>
      <c r="P2513" s="404"/>
      <c r="Q2513" s="404"/>
      <c r="R2513" s="301"/>
      <c r="S2513" s="301"/>
      <c r="T2513" s="301"/>
      <c r="U2513" s="301"/>
      <c r="V2513" s="301"/>
    </row>
    <row r="2514" spans="1:22" ht="14.4" thickTop="1" thickBot="1" x14ac:dyDescent="0.3">
      <c r="A2514" s="292"/>
      <c r="B2514" s="293"/>
      <c r="C2514" s="294"/>
      <c r="D2514" s="294"/>
      <c r="E2514" s="294"/>
      <c r="F2514" s="310"/>
      <c r="G2514" s="310"/>
      <c r="H2514" s="310"/>
      <c r="I2514" s="295"/>
      <c r="J2514" s="295">
        <f>J2513*10.76</f>
        <v>7528.2340000000004</v>
      </c>
      <c r="K2514" s="300">
        <f t="shared" si="276"/>
        <v>1.1000000000000001</v>
      </c>
      <c r="L2514" s="300">
        <f t="shared" si="332"/>
        <v>8281.0574000000015</v>
      </c>
      <c r="M2514" s="285">
        <f t="shared" si="337"/>
        <v>8281.1</v>
      </c>
      <c r="N2514" s="1076">
        <f t="shared" si="338"/>
        <v>8282</v>
      </c>
      <c r="O2514" s="294" t="s">
        <v>1846</v>
      </c>
      <c r="P2514" s="404"/>
      <c r="Q2514" s="404"/>
      <c r="R2514" s="301"/>
      <c r="S2514" s="301"/>
      <c r="T2514" s="301"/>
      <c r="U2514" s="301"/>
      <c r="V2514" s="301"/>
    </row>
    <row r="2515" spans="1:22" ht="14.4" thickTop="1" thickBot="1" x14ac:dyDescent="0.3">
      <c r="A2515" s="292"/>
      <c r="B2515" s="293"/>
      <c r="C2515" s="294"/>
      <c r="D2515" s="294"/>
      <c r="E2515" s="294"/>
      <c r="F2515" s="310"/>
      <c r="G2515" s="310"/>
      <c r="H2515" s="310"/>
      <c r="I2515" s="295"/>
      <c r="J2515" s="295">
        <f>J2514/100</f>
        <v>75.282340000000005</v>
      </c>
      <c r="K2515" s="300">
        <v>1.02</v>
      </c>
      <c r="L2515" s="300">
        <f t="shared" si="332"/>
        <v>76.787986800000013</v>
      </c>
      <c r="M2515" s="285">
        <f t="shared" si="337"/>
        <v>76.8</v>
      </c>
      <c r="N2515" s="1076">
        <f t="shared" si="338"/>
        <v>77</v>
      </c>
      <c r="O2515" s="294" t="s">
        <v>879</v>
      </c>
      <c r="P2515" s="404"/>
      <c r="Q2515" s="404"/>
      <c r="R2515" s="301"/>
      <c r="S2515" s="301"/>
      <c r="T2515" s="301"/>
      <c r="U2515" s="301"/>
      <c r="V2515" s="301"/>
    </row>
    <row r="2516" spans="1:22" ht="14.4" thickTop="1" thickBot="1" x14ac:dyDescent="0.3">
      <c r="A2516" s="292"/>
      <c r="B2516" s="293"/>
      <c r="C2516" s="294"/>
      <c r="D2516" s="294"/>
      <c r="E2516" s="294"/>
      <c r="F2516" s="310"/>
      <c r="G2516" s="310"/>
      <c r="H2516" s="310"/>
      <c r="I2516" s="295"/>
      <c r="J2516" s="295"/>
      <c r="K2516" s="300">
        <f t="shared" si="276"/>
        <v>1.1000000000000001</v>
      </c>
      <c r="L2516" s="300">
        <f t="shared" si="332"/>
        <v>0</v>
      </c>
      <c r="M2516" s="285">
        <f t="shared" si="337"/>
        <v>0</v>
      </c>
      <c r="N2516" s="1076">
        <f t="shared" si="338"/>
        <v>0</v>
      </c>
      <c r="O2516" s="294"/>
      <c r="P2516" s="404"/>
      <c r="Q2516" s="404"/>
      <c r="R2516" s="301"/>
      <c r="S2516" s="301"/>
      <c r="T2516" s="301"/>
      <c r="U2516" s="301"/>
      <c r="V2516" s="301"/>
    </row>
    <row r="2517" spans="1:22" ht="14.4" thickTop="1" thickBot="1" x14ac:dyDescent="0.3">
      <c r="A2517" s="292"/>
      <c r="B2517" s="296" t="s">
        <v>1028</v>
      </c>
      <c r="C2517" s="294"/>
      <c r="D2517" s="294"/>
      <c r="E2517" s="294"/>
      <c r="F2517" s="310"/>
      <c r="G2517" s="310"/>
      <c r="H2517" s="310"/>
      <c r="I2517" s="295"/>
      <c r="J2517" s="295"/>
      <c r="K2517" s="300">
        <f t="shared" si="276"/>
        <v>1.1000000000000001</v>
      </c>
      <c r="L2517" s="300">
        <f t="shared" si="332"/>
        <v>0</v>
      </c>
      <c r="M2517" s="285">
        <f t="shared" si="337"/>
        <v>0</v>
      </c>
      <c r="N2517" s="1076">
        <f t="shared" si="338"/>
        <v>0</v>
      </c>
      <c r="O2517" s="294"/>
      <c r="P2517" s="404"/>
      <c r="Q2517" s="404"/>
      <c r="R2517" s="301"/>
      <c r="S2517" s="301"/>
      <c r="T2517" s="301"/>
      <c r="U2517" s="301"/>
      <c r="V2517" s="301"/>
    </row>
    <row r="2518" spans="1:22" ht="14.4" thickTop="1" thickBot="1" x14ac:dyDescent="0.3">
      <c r="A2518" s="292"/>
      <c r="B2518" s="296" t="s">
        <v>2425</v>
      </c>
      <c r="C2518" s="294"/>
      <c r="D2518" s="294"/>
      <c r="E2518" s="294"/>
      <c r="F2518" s="310">
        <v>1.35</v>
      </c>
      <c r="G2518" s="310">
        <v>1.85</v>
      </c>
      <c r="H2518" s="310"/>
      <c r="I2518" s="295">
        <f>G2518*F2518</f>
        <v>2.4975000000000005</v>
      </c>
      <c r="J2518" s="295"/>
      <c r="K2518" s="300">
        <f t="shared" si="276"/>
        <v>1.1000000000000001</v>
      </c>
      <c r="L2518" s="300">
        <f t="shared" si="332"/>
        <v>0</v>
      </c>
      <c r="M2518" s="285">
        <f t="shared" si="337"/>
        <v>0</v>
      </c>
      <c r="N2518" s="1076">
        <f t="shared" si="338"/>
        <v>0</v>
      </c>
      <c r="O2518" s="294"/>
      <c r="P2518" s="404"/>
      <c r="Q2518" s="404"/>
      <c r="R2518" s="301"/>
      <c r="S2518" s="301"/>
      <c r="T2518" s="301"/>
      <c r="U2518" s="301"/>
      <c r="V2518" s="301"/>
    </row>
    <row r="2519" spans="1:22" ht="14.4" thickTop="1" thickBot="1" x14ac:dyDescent="0.3">
      <c r="A2519" s="292"/>
      <c r="B2519" s="296" t="s">
        <v>2426</v>
      </c>
      <c r="C2519" s="294"/>
      <c r="D2519" s="294"/>
      <c r="E2519" s="294"/>
      <c r="F2519" s="310">
        <v>1.55</v>
      </c>
      <c r="G2519" s="310">
        <v>1.83</v>
      </c>
      <c r="H2519" s="310"/>
      <c r="I2519" s="295">
        <f t="shared" ref="I2519:I2521" si="339">G2519*F2519</f>
        <v>2.8365</v>
      </c>
      <c r="J2519" s="295"/>
      <c r="K2519" s="300">
        <f t="shared" si="276"/>
        <v>1.1000000000000001</v>
      </c>
      <c r="L2519" s="300">
        <f t="shared" si="332"/>
        <v>0</v>
      </c>
      <c r="M2519" s="285">
        <f t="shared" si="337"/>
        <v>0</v>
      </c>
      <c r="N2519" s="1076">
        <f t="shared" si="338"/>
        <v>0</v>
      </c>
      <c r="O2519" s="294"/>
      <c r="P2519" s="404"/>
      <c r="Q2519" s="404"/>
      <c r="R2519" s="301"/>
      <c r="S2519" s="301"/>
      <c r="T2519" s="301"/>
      <c r="U2519" s="301"/>
      <c r="V2519" s="301"/>
    </row>
    <row r="2520" spans="1:22" ht="14.4" thickTop="1" thickBot="1" x14ac:dyDescent="0.3">
      <c r="A2520" s="292"/>
      <c r="B2520" s="296" t="s">
        <v>2427</v>
      </c>
      <c r="C2520" s="294"/>
      <c r="D2520" s="294"/>
      <c r="E2520" s="294"/>
      <c r="F2520" s="310">
        <v>1.5</v>
      </c>
      <c r="G2520" s="310">
        <v>1.75</v>
      </c>
      <c r="H2520" s="310"/>
      <c r="I2520" s="295">
        <f t="shared" si="339"/>
        <v>2.625</v>
      </c>
      <c r="J2520" s="295"/>
      <c r="K2520" s="300">
        <f t="shared" ref="K2520:K2526" si="340">$K$2</f>
        <v>1.1000000000000001</v>
      </c>
      <c r="L2520" s="300">
        <f t="shared" si="332"/>
        <v>0</v>
      </c>
      <c r="M2520" s="285">
        <f t="shared" si="337"/>
        <v>0</v>
      </c>
      <c r="N2520" s="1076">
        <f t="shared" si="338"/>
        <v>0</v>
      </c>
      <c r="O2520" s="294"/>
      <c r="P2520" s="404"/>
      <c r="Q2520" s="404"/>
      <c r="R2520" s="301"/>
      <c r="S2520" s="301"/>
      <c r="T2520" s="301"/>
      <c r="U2520" s="301"/>
      <c r="V2520" s="301"/>
    </row>
    <row r="2521" spans="1:22" ht="14.4" thickTop="1" thickBot="1" x14ac:dyDescent="0.3">
      <c r="A2521" s="292"/>
      <c r="B2521" s="296" t="s">
        <v>2428</v>
      </c>
      <c r="C2521" s="294"/>
      <c r="D2521" s="294"/>
      <c r="E2521" s="294"/>
      <c r="F2521" s="310">
        <v>1.4</v>
      </c>
      <c r="G2521" s="310">
        <v>1.8</v>
      </c>
      <c r="H2521" s="310"/>
      <c r="I2521" s="295">
        <f t="shared" si="339"/>
        <v>2.52</v>
      </c>
      <c r="J2521" s="295"/>
      <c r="K2521" s="300">
        <f t="shared" si="340"/>
        <v>1.1000000000000001</v>
      </c>
      <c r="L2521" s="300">
        <f t="shared" si="332"/>
        <v>0</v>
      </c>
      <c r="M2521" s="285">
        <f t="shared" si="337"/>
        <v>0</v>
      </c>
      <c r="N2521" s="1076">
        <f t="shared" si="338"/>
        <v>0</v>
      </c>
      <c r="O2521" s="294"/>
      <c r="P2521" s="404"/>
      <c r="Q2521" s="404"/>
      <c r="R2521" s="301"/>
      <c r="S2521" s="301"/>
      <c r="T2521" s="301"/>
      <c r="U2521" s="301"/>
      <c r="V2521" s="301"/>
    </row>
    <row r="2522" spans="1:22" ht="14.4" thickTop="1" thickBot="1" x14ac:dyDescent="0.3">
      <c r="A2522" s="292"/>
      <c r="B2522" s="296" t="s">
        <v>1949</v>
      </c>
      <c r="C2522" s="294"/>
      <c r="D2522" s="294"/>
      <c r="E2522" s="294"/>
      <c r="F2522" s="310"/>
      <c r="G2522" s="310"/>
      <c r="H2522" s="310"/>
      <c r="I2522" s="295">
        <v>33.72</v>
      </c>
      <c r="J2522" s="295"/>
      <c r="K2522" s="300">
        <f t="shared" si="340"/>
        <v>1.1000000000000001</v>
      </c>
      <c r="L2522" s="300">
        <f t="shared" si="332"/>
        <v>0</v>
      </c>
      <c r="M2522" s="285">
        <f t="shared" si="337"/>
        <v>0</v>
      </c>
      <c r="N2522" s="1076">
        <f t="shared" si="338"/>
        <v>0</v>
      </c>
      <c r="O2522" s="294"/>
      <c r="P2522" s="404"/>
      <c r="Q2522" s="404"/>
      <c r="R2522" s="301"/>
      <c r="S2522" s="301"/>
      <c r="T2522" s="301"/>
      <c r="U2522" s="301"/>
      <c r="V2522" s="301"/>
    </row>
    <row r="2523" spans="1:22" ht="14.4" thickTop="1" thickBot="1" x14ac:dyDescent="0.3">
      <c r="A2523" s="292"/>
      <c r="B2523" s="296" t="s">
        <v>1896</v>
      </c>
      <c r="C2523" s="294"/>
      <c r="D2523" s="294"/>
      <c r="E2523" s="294"/>
      <c r="F2523" s="310"/>
      <c r="G2523" s="310"/>
      <c r="H2523" s="310"/>
      <c r="I2523" s="295">
        <v>28</v>
      </c>
      <c r="J2523" s="295"/>
      <c r="K2523" s="300">
        <f t="shared" si="340"/>
        <v>1.1000000000000001</v>
      </c>
      <c r="L2523" s="300">
        <f t="shared" si="332"/>
        <v>0</v>
      </c>
      <c r="M2523" s="285">
        <f t="shared" si="337"/>
        <v>0</v>
      </c>
      <c r="N2523" s="1076">
        <f t="shared" si="338"/>
        <v>0</v>
      </c>
      <c r="O2523" s="294"/>
      <c r="P2523" s="404"/>
      <c r="Q2523" s="404"/>
      <c r="R2523" s="301"/>
      <c r="S2523" s="301"/>
      <c r="T2523" s="301"/>
      <c r="U2523" s="301"/>
      <c r="V2523" s="301"/>
    </row>
    <row r="2524" spans="1:22" ht="14.4" thickTop="1" thickBot="1" x14ac:dyDescent="0.3">
      <c r="A2524" s="292"/>
      <c r="B2524" s="296" t="s">
        <v>2019</v>
      </c>
      <c r="C2524" s="294"/>
      <c r="D2524" s="294"/>
      <c r="E2524" s="294"/>
      <c r="F2524" s="310"/>
      <c r="G2524" s="310"/>
      <c r="H2524" s="310"/>
      <c r="I2524" s="295">
        <v>6.28</v>
      </c>
      <c r="J2524" s="295"/>
      <c r="K2524" s="300"/>
      <c r="L2524" s="300"/>
      <c r="M2524" s="285"/>
      <c r="N2524" s="1076"/>
      <c r="O2524" s="294"/>
      <c r="P2524" s="404"/>
      <c r="Q2524" s="404"/>
      <c r="R2524" s="301"/>
      <c r="S2524" s="301"/>
      <c r="T2524" s="301"/>
      <c r="U2524" s="301"/>
      <c r="V2524" s="301"/>
    </row>
    <row r="2525" spans="1:22" ht="14.4" thickTop="1" thickBot="1" x14ac:dyDescent="0.3">
      <c r="A2525" s="292"/>
      <c r="B2525" s="293"/>
      <c r="C2525" s="294"/>
      <c r="D2525" s="294"/>
      <c r="E2525" s="294"/>
      <c r="F2525" s="310"/>
      <c r="G2525" s="310"/>
      <c r="H2525" s="310"/>
      <c r="I2525" s="295"/>
      <c r="J2525" s="295">
        <f>SUM(I2518:I2524)</f>
        <v>78.478999999999999</v>
      </c>
      <c r="K2525" s="300">
        <f t="shared" si="340"/>
        <v>1.1000000000000001</v>
      </c>
      <c r="L2525" s="300">
        <f t="shared" ref="L2525:L2544" si="341">K2525*J2525</f>
        <v>86.326900000000009</v>
      </c>
      <c r="M2525" s="285">
        <f t="shared" si="337"/>
        <v>86.3</v>
      </c>
      <c r="N2525" s="1076">
        <f t="shared" si="338"/>
        <v>87</v>
      </c>
      <c r="O2525" s="294" t="s">
        <v>695</v>
      </c>
      <c r="P2525" s="404"/>
      <c r="Q2525" s="404"/>
      <c r="R2525" s="301"/>
      <c r="S2525" s="301"/>
      <c r="T2525" s="301"/>
      <c r="U2525" s="301"/>
      <c r="V2525" s="301"/>
    </row>
    <row r="2526" spans="1:22" ht="14.4" thickTop="1" thickBot="1" x14ac:dyDescent="0.3">
      <c r="A2526" s="292"/>
      <c r="B2526" s="293"/>
      <c r="C2526" s="294"/>
      <c r="D2526" s="294"/>
      <c r="E2526" s="294"/>
      <c r="F2526" s="310"/>
      <c r="G2526" s="310"/>
      <c r="H2526" s="310"/>
      <c r="I2526" s="295"/>
      <c r="J2526" s="295">
        <f>J2525*10.76</f>
        <v>844.43403999999998</v>
      </c>
      <c r="K2526" s="300">
        <f t="shared" si="340"/>
        <v>1.1000000000000001</v>
      </c>
      <c r="L2526" s="300">
        <f t="shared" si="341"/>
        <v>928.87744400000008</v>
      </c>
      <c r="M2526" s="285">
        <f t="shared" si="337"/>
        <v>928.9</v>
      </c>
      <c r="N2526" s="1076">
        <f t="shared" si="338"/>
        <v>929</v>
      </c>
      <c r="O2526" s="294" t="s">
        <v>1846</v>
      </c>
      <c r="P2526" s="404"/>
      <c r="Q2526" s="404"/>
      <c r="R2526" s="301"/>
      <c r="S2526" s="301"/>
      <c r="T2526" s="301"/>
      <c r="U2526" s="301"/>
      <c r="V2526" s="301"/>
    </row>
    <row r="2527" spans="1:22" ht="14.4" thickTop="1" thickBot="1" x14ac:dyDescent="0.3">
      <c r="A2527" s="292"/>
      <c r="B2527" s="293"/>
      <c r="C2527" s="294"/>
      <c r="D2527" s="294"/>
      <c r="E2527" s="294"/>
      <c r="F2527" s="310"/>
      <c r="G2527" s="310"/>
      <c r="H2527" s="310"/>
      <c r="I2527" s="295"/>
      <c r="J2527" s="295">
        <f>J2526/100</f>
        <v>8.4443403999999997</v>
      </c>
      <c r="K2527" s="300">
        <v>1.02</v>
      </c>
      <c r="L2527" s="300">
        <f t="shared" si="341"/>
        <v>8.6132272079999996</v>
      </c>
      <c r="M2527" s="285">
        <f t="shared" si="337"/>
        <v>8.6</v>
      </c>
      <c r="N2527" s="1076">
        <f t="shared" si="338"/>
        <v>9</v>
      </c>
      <c r="O2527" s="294" t="s">
        <v>879</v>
      </c>
      <c r="P2527" s="404"/>
      <c r="Q2527" s="404"/>
      <c r="R2527" s="301"/>
      <c r="S2527" s="301"/>
      <c r="T2527" s="301"/>
      <c r="U2527" s="301"/>
      <c r="V2527" s="301"/>
    </row>
    <row r="2528" spans="1:22" ht="14.4" thickTop="1" thickBot="1" x14ac:dyDescent="0.3">
      <c r="A2528" s="292"/>
      <c r="B2528" s="293"/>
      <c r="C2528" s="294"/>
      <c r="D2528" s="294"/>
      <c r="E2528" s="294"/>
      <c r="F2528" s="310"/>
      <c r="G2528" s="310"/>
      <c r="H2528" s="310"/>
      <c r="I2528" s="295"/>
      <c r="J2528" s="295"/>
      <c r="K2528" s="300">
        <f t="shared" ref="K2528:K2721" si="342">$K$2</f>
        <v>1.1000000000000001</v>
      </c>
      <c r="L2528" s="300">
        <f t="shared" si="341"/>
        <v>0</v>
      </c>
      <c r="M2528" s="285">
        <f t="shared" si="337"/>
        <v>0</v>
      </c>
      <c r="N2528" s="1076">
        <f t="shared" si="338"/>
        <v>0</v>
      </c>
      <c r="O2528" s="294"/>
      <c r="P2528" s="404"/>
      <c r="Q2528" s="404"/>
      <c r="R2528" s="301"/>
      <c r="S2528" s="301"/>
      <c r="T2528" s="301"/>
      <c r="U2528" s="301"/>
      <c r="V2528" s="301"/>
    </row>
    <row r="2529" spans="1:22" ht="14.4" thickTop="1" thickBot="1" x14ac:dyDescent="0.3">
      <c r="A2529" s="292"/>
      <c r="B2529" s="296" t="s">
        <v>803</v>
      </c>
      <c r="C2529" s="294"/>
      <c r="D2529" s="294"/>
      <c r="E2529" s="294"/>
      <c r="F2529" s="310"/>
      <c r="G2529" s="310"/>
      <c r="H2529" s="310"/>
      <c r="I2529" s="295"/>
      <c r="J2529" s="295"/>
      <c r="K2529" s="300">
        <f t="shared" si="342"/>
        <v>1.1000000000000001</v>
      </c>
      <c r="L2529" s="300">
        <f t="shared" si="341"/>
        <v>0</v>
      </c>
      <c r="M2529" s="285">
        <f t="shared" si="337"/>
        <v>0</v>
      </c>
      <c r="N2529" s="1076">
        <f t="shared" si="338"/>
        <v>0</v>
      </c>
      <c r="O2529" s="294"/>
      <c r="P2529" s="404"/>
      <c r="Q2529" s="404"/>
      <c r="R2529" s="301"/>
      <c r="S2529" s="301"/>
      <c r="T2529" s="301"/>
      <c r="U2529" s="301"/>
      <c r="V2529" s="301"/>
    </row>
    <row r="2530" spans="1:22" ht="14.4" thickTop="1" thickBot="1" x14ac:dyDescent="0.3">
      <c r="A2530" s="292"/>
      <c r="B2530" s="296" t="s">
        <v>1028</v>
      </c>
      <c r="C2530" s="294"/>
      <c r="D2530" s="294"/>
      <c r="E2530" s="294"/>
      <c r="F2530" s="310"/>
      <c r="G2530" s="310"/>
      <c r="H2530" s="310"/>
      <c r="I2530" s="295">
        <v>274.58999999999997</v>
      </c>
      <c r="J2530" s="295"/>
      <c r="K2530" s="300">
        <f t="shared" si="342"/>
        <v>1.1000000000000001</v>
      </c>
      <c r="L2530" s="300">
        <f t="shared" si="341"/>
        <v>0</v>
      </c>
      <c r="M2530" s="285">
        <f t="shared" si="337"/>
        <v>0</v>
      </c>
      <c r="N2530" s="1076">
        <f t="shared" si="338"/>
        <v>0</v>
      </c>
      <c r="O2530" s="294"/>
      <c r="P2530" s="404"/>
      <c r="Q2530" s="404"/>
      <c r="R2530" s="301"/>
      <c r="S2530" s="301"/>
      <c r="T2530" s="301"/>
      <c r="U2530" s="301"/>
      <c r="V2530" s="301"/>
    </row>
    <row r="2531" spans="1:22" ht="14.4" thickTop="1" thickBot="1" x14ac:dyDescent="0.3">
      <c r="A2531" s="292"/>
      <c r="B2531" s="296" t="s">
        <v>756</v>
      </c>
      <c r="C2531" s="294"/>
      <c r="D2531" s="294"/>
      <c r="E2531" s="294"/>
      <c r="F2531" s="310"/>
      <c r="G2531" s="310"/>
      <c r="H2531" s="310"/>
      <c r="I2531" s="295">
        <v>-28.51</v>
      </c>
      <c r="J2531" s="295"/>
      <c r="K2531" s="300"/>
      <c r="L2531" s="300"/>
      <c r="M2531" s="285"/>
      <c r="N2531" s="1076"/>
      <c r="O2531" s="294"/>
      <c r="P2531" s="404"/>
      <c r="Q2531" s="404"/>
      <c r="R2531" s="301"/>
      <c r="S2531" s="301"/>
      <c r="T2531" s="301"/>
      <c r="U2531" s="301"/>
      <c r="V2531" s="301"/>
    </row>
    <row r="2532" spans="1:22" ht="14.4" thickTop="1" thickBot="1" x14ac:dyDescent="0.3">
      <c r="A2532" s="292"/>
      <c r="B2532" s="296"/>
      <c r="C2532" s="294"/>
      <c r="D2532" s="294"/>
      <c r="E2532" s="294"/>
      <c r="F2532" s="310"/>
      <c r="G2532" s="310"/>
      <c r="H2532" s="310"/>
      <c r="I2532" s="295">
        <v>330</v>
      </c>
      <c r="J2532" s="295"/>
      <c r="K2532" s="300"/>
      <c r="L2532" s="300"/>
      <c r="M2532" s="285"/>
      <c r="N2532" s="1076"/>
      <c r="O2532" s="294"/>
      <c r="P2532" s="404"/>
      <c r="Q2532" s="404"/>
      <c r="R2532" s="301"/>
      <c r="S2532" s="301"/>
      <c r="T2532" s="301"/>
      <c r="U2532" s="301"/>
      <c r="V2532" s="301"/>
    </row>
    <row r="2533" spans="1:22" ht="14.4" thickTop="1" thickBot="1" x14ac:dyDescent="0.3">
      <c r="A2533" s="292"/>
      <c r="B2533" s="296"/>
      <c r="C2533" s="294"/>
      <c r="D2533" s="294"/>
      <c r="E2533" s="294"/>
      <c r="F2533" s="310"/>
      <c r="G2533" s="310"/>
      <c r="H2533" s="310"/>
      <c r="I2533" s="295">
        <v>-213.94</v>
      </c>
      <c r="J2533" s="295"/>
      <c r="K2533" s="300"/>
      <c r="L2533" s="300"/>
      <c r="M2533" s="285"/>
      <c r="N2533" s="1076"/>
      <c r="O2533" s="294"/>
      <c r="P2533" s="404"/>
      <c r="Q2533" s="404"/>
      <c r="R2533" s="301"/>
      <c r="S2533" s="301"/>
      <c r="T2533" s="301"/>
      <c r="U2533" s="301"/>
      <c r="V2533" s="301"/>
    </row>
    <row r="2534" spans="1:22" ht="14.4" thickTop="1" thickBot="1" x14ac:dyDescent="0.3">
      <c r="A2534" s="292"/>
      <c r="B2534" s="293"/>
      <c r="C2534" s="294"/>
      <c r="D2534" s="294"/>
      <c r="E2534" s="294"/>
      <c r="F2534" s="310"/>
      <c r="G2534" s="310"/>
      <c r="H2534" s="310"/>
      <c r="I2534" s="295"/>
      <c r="J2534" s="295">
        <f>SUM(I2530:I2533)</f>
        <v>362.13999999999993</v>
      </c>
      <c r="K2534" s="300">
        <f t="shared" si="342"/>
        <v>1.1000000000000001</v>
      </c>
      <c r="L2534" s="300">
        <f t="shared" si="341"/>
        <v>398.35399999999993</v>
      </c>
      <c r="M2534" s="285">
        <f t="shared" ref="M2534:M2536" si="343">ROUND(L2534,1)</f>
        <v>398.4</v>
      </c>
      <c r="N2534" s="1076">
        <f t="shared" ref="N2534:N2536" si="344">ROUNDUP(M2534,0)</f>
        <v>399</v>
      </c>
      <c r="O2534" s="294" t="s">
        <v>695</v>
      </c>
      <c r="P2534" s="404"/>
      <c r="Q2534" s="404"/>
      <c r="R2534" s="301"/>
      <c r="S2534" s="301"/>
      <c r="T2534" s="301"/>
      <c r="U2534" s="301"/>
      <c r="V2534" s="301"/>
    </row>
    <row r="2535" spans="1:22" ht="14.4" thickTop="1" thickBot="1" x14ac:dyDescent="0.3">
      <c r="A2535" s="292"/>
      <c r="B2535" s="293"/>
      <c r="C2535" s="294"/>
      <c r="D2535" s="294"/>
      <c r="E2535" s="294"/>
      <c r="F2535" s="310"/>
      <c r="G2535" s="310"/>
      <c r="H2535" s="310"/>
      <c r="I2535" s="295"/>
      <c r="J2535" s="295">
        <f>J2534*10.76</f>
        <v>3896.6263999999992</v>
      </c>
      <c r="K2535" s="300">
        <f t="shared" si="342"/>
        <v>1.1000000000000001</v>
      </c>
      <c r="L2535" s="300">
        <f t="shared" si="341"/>
        <v>4286.2890399999997</v>
      </c>
      <c r="M2535" s="285">
        <f t="shared" si="343"/>
        <v>4286.3</v>
      </c>
      <c r="N2535" s="1076">
        <f t="shared" si="344"/>
        <v>4287</v>
      </c>
      <c r="O2535" s="294" t="s">
        <v>1846</v>
      </c>
      <c r="P2535" s="404"/>
      <c r="Q2535" s="404"/>
      <c r="R2535" s="301"/>
      <c r="S2535" s="301"/>
      <c r="T2535" s="301"/>
      <c r="U2535" s="301"/>
      <c r="V2535" s="301"/>
    </row>
    <row r="2536" spans="1:22" ht="14.4" thickTop="1" thickBot="1" x14ac:dyDescent="0.3">
      <c r="A2536" s="292"/>
      <c r="B2536" s="293"/>
      <c r="C2536" s="294"/>
      <c r="D2536" s="294"/>
      <c r="E2536" s="294"/>
      <c r="F2536" s="310"/>
      <c r="G2536" s="310"/>
      <c r="H2536" s="310"/>
      <c r="I2536" s="295"/>
      <c r="J2536" s="295">
        <f>J2535/100</f>
        <v>38.966263999999995</v>
      </c>
      <c r="K2536" s="300">
        <v>1.02</v>
      </c>
      <c r="L2536" s="300">
        <f t="shared" si="341"/>
        <v>39.745589279999997</v>
      </c>
      <c r="M2536" s="285">
        <f t="shared" si="343"/>
        <v>39.700000000000003</v>
      </c>
      <c r="N2536" s="1076">
        <f t="shared" si="344"/>
        <v>40</v>
      </c>
      <c r="O2536" s="294" t="s">
        <v>879</v>
      </c>
      <c r="P2536" s="404"/>
      <c r="Q2536" s="404"/>
      <c r="R2536" s="301"/>
      <c r="S2536" s="301"/>
      <c r="T2536" s="301"/>
      <c r="U2536" s="301"/>
      <c r="V2536" s="301"/>
    </row>
    <row r="2537" spans="1:22" ht="14.4" thickTop="1" thickBot="1" x14ac:dyDescent="0.3">
      <c r="A2537" s="292"/>
      <c r="B2537" s="293"/>
      <c r="C2537" s="294"/>
      <c r="D2537" s="294"/>
      <c r="E2537" s="294"/>
      <c r="F2537" s="310"/>
      <c r="G2537" s="310"/>
      <c r="H2537" s="310"/>
      <c r="I2537" s="295"/>
      <c r="J2537" s="295"/>
      <c r="K2537" s="300">
        <f t="shared" si="342"/>
        <v>1.1000000000000001</v>
      </c>
      <c r="L2537" s="300">
        <f t="shared" si="341"/>
        <v>0</v>
      </c>
      <c r="M2537" s="285">
        <f t="shared" si="337"/>
        <v>0</v>
      </c>
      <c r="N2537" s="1076">
        <f t="shared" si="338"/>
        <v>0</v>
      </c>
      <c r="O2537" s="294"/>
      <c r="P2537" s="404"/>
      <c r="Q2537" s="404"/>
      <c r="R2537" s="301"/>
      <c r="S2537" s="301"/>
      <c r="T2537" s="301"/>
      <c r="U2537" s="301"/>
      <c r="V2537" s="301"/>
    </row>
    <row r="2538" spans="1:22" ht="14.4" thickTop="1" thickBot="1" x14ac:dyDescent="0.3">
      <c r="A2538" s="292"/>
      <c r="B2538" s="293" t="s">
        <v>1950</v>
      </c>
      <c r="C2538" s="294"/>
      <c r="D2538" s="294"/>
      <c r="E2538" s="294"/>
      <c r="F2538" s="310"/>
      <c r="G2538" s="310"/>
      <c r="H2538" s="310"/>
      <c r="I2538" s="295"/>
      <c r="J2538" s="295"/>
      <c r="K2538" s="300">
        <f t="shared" si="342"/>
        <v>1.1000000000000001</v>
      </c>
      <c r="L2538" s="300">
        <f t="shared" si="341"/>
        <v>0</v>
      </c>
      <c r="M2538" s="285">
        <f t="shared" si="337"/>
        <v>0</v>
      </c>
      <c r="N2538" s="1076">
        <f t="shared" si="338"/>
        <v>0</v>
      </c>
      <c r="O2538" s="294"/>
      <c r="P2538" s="404"/>
      <c r="Q2538" s="404"/>
      <c r="R2538" s="301"/>
      <c r="S2538" s="301"/>
      <c r="T2538" s="301"/>
      <c r="U2538" s="301"/>
      <c r="V2538" s="301"/>
    </row>
    <row r="2539" spans="1:22" ht="14.4" thickTop="1" thickBot="1" x14ac:dyDescent="0.3">
      <c r="A2539" s="292"/>
      <c r="B2539" s="296" t="s">
        <v>803</v>
      </c>
      <c r="C2539" s="294"/>
      <c r="D2539" s="294"/>
      <c r="E2539" s="294"/>
      <c r="F2539" s="310"/>
      <c r="G2539" s="310"/>
      <c r="H2539" s="310"/>
      <c r="I2539" s="295"/>
      <c r="J2539" s="295"/>
      <c r="K2539" s="300">
        <f t="shared" si="342"/>
        <v>1.1000000000000001</v>
      </c>
      <c r="L2539" s="300">
        <f t="shared" si="341"/>
        <v>0</v>
      </c>
      <c r="M2539" s="285">
        <f t="shared" si="337"/>
        <v>0</v>
      </c>
      <c r="N2539" s="1076">
        <f t="shared" si="338"/>
        <v>0</v>
      </c>
      <c r="O2539" s="294"/>
      <c r="P2539" s="404"/>
      <c r="Q2539" s="404"/>
      <c r="R2539" s="301"/>
      <c r="S2539" s="301"/>
      <c r="T2539" s="301"/>
      <c r="U2539" s="301"/>
      <c r="V2539" s="301"/>
    </row>
    <row r="2540" spans="1:22" ht="14.4" thickTop="1" thickBot="1" x14ac:dyDescent="0.3">
      <c r="A2540" s="292"/>
      <c r="B2540" s="296" t="s">
        <v>1951</v>
      </c>
      <c r="C2540" s="294"/>
      <c r="D2540" s="294"/>
      <c r="E2540" s="294"/>
      <c r="F2540" s="310"/>
      <c r="G2540" s="310"/>
      <c r="H2540" s="310"/>
      <c r="I2540" s="295">
        <v>223</v>
      </c>
      <c r="J2540" s="295"/>
      <c r="K2540" s="300">
        <f t="shared" si="342"/>
        <v>1.1000000000000001</v>
      </c>
      <c r="L2540" s="300">
        <f t="shared" si="341"/>
        <v>0</v>
      </c>
      <c r="M2540" s="285">
        <f t="shared" si="337"/>
        <v>0</v>
      </c>
      <c r="N2540" s="1076">
        <f t="shared" si="338"/>
        <v>0</v>
      </c>
      <c r="O2540" s="294"/>
      <c r="P2540" s="404"/>
      <c r="Q2540" s="404"/>
      <c r="R2540" s="301"/>
      <c r="S2540" s="301"/>
      <c r="T2540" s="301"/>
      <c r="U2540" s="301"/>
      <c r="V2540" s="301"/>
    </row>
    <row r="2541" spans="1:22" ht="14.4" thickTop="1" thickBot="1" x14ac:dyDescent="0.3">
      <c r="A2541" s="292"/>
      <c r="B2541" s="293"/>
      <c r="C2541" s="294"/>
      <c r="D2541" s="294"/>
      <c r="E2541" s="294"/>
      <c r="F2541" s="310"/>
      <c r="G2541" s="310"/>
      <c r="H2541" s="310"/>
      <c r="I2541" s="295"/>
      <c r="J2541" s="295">
        <f>SUM(I2540)</f>
        <v>223</v>
      </c>
      <c r="K2541" s="300">
        <f t="shared" si="342"/>
        <v>1.1000000000000001</v>
      </c>
      <c r="L2541" s="300">
        <f t="shared" si="341"/>
        <v>245.3</v>
      </c>
      <c r="M2541" s="285">
        <f t="shared" si="337"/>
        <v>245.3</v>
      </c>
      <c r="N2541" s="1076">
        <f t="shared" si="338"/>
        <v>246</v>
      </c>
      <c r="O2541" s="294" t="s">
        <v>695</v>
      </c>
      <c r="P2541" s="404"/>
      <c r="Q2541" s="404"/>
      <c r="R2541" s="301"/>
      <c r="S2541" s="301"/>
      <c r="T2541" s="301"/>
      <c r="U2541" s="301"/>
      <c r="V2541" s="301"/>
    </row>
    <row r="2542" spans="1:22" ht="14.4" thickTop="1" thickBot="1" x14ac:dyDescent="0.3">
      <c r="A2542" s="292"/>
      <c r="B2542" s="293"/>
      <c r="C2542" s="294"/>
      <c r="D2542" s="294"/>
      <c r="E2542" s="294"/>
      <c r="F2542" s="310"/>
      <c r="G2542" s="310"/>
      <c r="H2542" s="310"/>
      <c r="I2542" s="295"/>
      <c r="J2542" s="295">
        <f>J2541*10.76</f>
        <v>2399.48</v>
      </c>
      <c r="K2542" s="300">
        <f t="shared" si="342"/>
        <v>1.1000000000000001</v>
      </c>
      <c r="L2542" s="300">
        <f t="shared" si="341"/>
        <v>2639.4280000000003</v>
      </c>
      <c r="M2542" s="285">
        <f t="shared" si="337"/>
        <v>2639.4</v>
      </c>
      <c r="N2542" s="1076">
        <f t="shared" si="338"/>
        <v>2640</v>
      </c>
      <c r="O2542" s="294" t="s">
        <v>1846</v>
      </c>
      <c r="P2542" s="404"/>
      <c r="Q2542" s="404"/>
      <c r="R2542" s="301"/>
      <c r="S2542" s="301"/>
      <c r="T2542" s="301"/>
      <c r="U2542" s="301"/>
      <c r="V2542" s="301"/>
    </row>
    <row r="2543" spans="1:22" ht="14.4" thickTop="1" thickBot="1" x14ac:dyDescent="0.3">
      <c r="A2543" s="292"/>
      <c r="B2543" s="293"/>
      <c r="C2543" s="294"/>
      <c r="D2543" s="294"/>
      <c r="E2543" s="294"/>
      <c r="F2543" s="310"/>
      <c r="G2543" s="310"/>
      <c r="H2543" s="310"/>
      <c r="I2543" s="295"/>
      <c r="J2543" s="295">
        <f>J2542/100</f>
        <v>23.994800000000001</v>
      </c>
      <c r="K2543" s="300">
        <v>1.02</v>
      </c>
      <c r="L2543" s="300">
        <f t="shared" si="341"/>
        <v>24.474696000000002</v>
      </c>
      <c r="M2543" s="285">
        <f t="shared" si="337"/>
        <v>24.5</v>
      </c>
      <c r="N2543" s="1076">
        <f t="shared" si="338"/>
        <v>25</v>
      </c>
      <c r="O2543" s="294" t="s">
        <v>879</v>
      </c>
      <c r="P2543" s="404"/>
      <c r="Q2543" s="404"/>
      <c r="R2543" s="301"/>
      <c r="S2543" s="301"/>
      <c r="T2543" s="301"/>
      <c r="U2543" s="301"/>
      <c r="V2543" s="301"/>
    </row>
    <row r="2544" spans="1:22" ht="14.4" thickTop="1" thickBot="1" x14ac:dyDescent="0.3">
      <c r="A2544" s="292"/>
      <c r="B2544" s="293"/>
      <c r="C2544" s="294"/>
      <c r="D2544" s="294"/>
      <c r="E2544" s="294"/>
      <c r="F2544" s="310"/>
      <c r="G2544" s="310"/>
      <c r="H2544" s="310"/>
      <c r="I2544" s="295"/>
      <c r="J2544" s="295"/>
      <c r="K2544" s="300">
        <f t="shared" si="342"/>
        <v>1.1000000000000001</v>
      </c>
      <c r="L2544" s="300">
        <f t="shared" si="341"/>
        <v>0</v>
      </c>
      <c r="M2544" s="285">
        <f t="shared" si="337"/>
        <v>0</v>
      </c>
      <c r="N2544" s="1076">
        <f t="shared" si="338"/>
        <v>0</v>
      </c>
      <c r="O2544" s="294"/>
      <c r="P2544" s="404"/>
      <c r="Q2544" s="404"/>
      <c r="R2544" s="301"/>
      <c r="S2544" s="301"/>
      <c r="T2544" s="301"/>
      <c r="U2544" s="301"/>
      <c r="V2544" s="301"/>
    </row>
    <row r="2545" spans="1:22" ht="14.4" thickTop="1" thickBot="1" x14ac:dyDescent="0.3">
      <c r="A2545" s="292"/>
      <c r="B2545" s="296" t="s">
        <v>2022</v>
      </c>
      <c r="C2545" s="294"/>
      <c r="D2545" s="294"/>
      <c r="E2545" s="294"/>
      <c r="F2545" s="310"/>
      <c r="G2545" s="310"/>
      <c r="H2545" s="310"/>
      <c r="I2545" s="295"/>
      <c r="J2545" s="295"/>
      <c r="K2545" s="300"/>
      <c r="L2545" s="300"/>
      <c r="M2545" s="285"/>
      <c r="N2545" s="1076"/>
      <c r="O2545" s="294"/>
      <c r="P2545" s="404"/>
      <c r="Q2545" s="404"/>
      <c r="R2545" s="301"/>
      <c r="S2545" s="301"/>
      <c r="T2545" s="301"/>
      <c r="U2545" s="301"/>
      <c r="V2545" s="301"/>
    </row>
    <row r="2546" spans="1:22" ht="14.4" thickTop="1" thickBot="1" x14ac:dyDescent="0.3">
      <c r="A2546" s="292"/>
      <c r="B2546" s="296" t="s">
        <v>1918</v>
      </c>
      <c r="C2546" s="294"/>
      <c r="D2546" s="294"/>
      <c r="E2546" s="294">
        <v>1</v>
      </c>
      <c r="F2546" s="310">
        <v>8.7840000000000007</v>
      </c>
      <c r="G2546" s="310"/>
      <c r="H2546" s="310">
        <v>4.2</v>
      </c>
      <c r="I2546" s="295">
        <f>H2546*F2546*E2546</f>
        <v>36.892800000000001</v>
      </c>
      <c r="J2546" s="295"/>
      <c r="K2546" s="300"/>
      <c r="L2546" s="300"/>
      <c r="M2546" s="285"/>
      <c r="N2546" s="1076"/>
      <c r="O2546" s="294"/>
      <c r="P2546" s="404"/>
      <c r="Q2546" s="404"/>
      <c r="R2546" s="301"/>
      <c r="S2546" s="301"/>
      <c r="T2546" s="301"/>
      <c r="U2546" s="301"/>
      <c r="V2546" s="301"/>
    </row>
    <row r="2547" spans="1:22" ht="14.4" thickTop="1" thickBot="1" x14ac:dyDescent="0.3">
      <c r="A2547" s="292"/>
      <c r="B2547" s="293"/>
      <c r="C2547" s="294"/>
      <c r="D2547" s="294"/>
      <c r="E2547" s="294">
        <v>1</v>
      </c>
      <c r="F2547" s="310">
        <v>4.0330000000000004</v>
      </c>
      <c r="G2547" s="310"/>
      <c r="H2547" s="310">
        <v>4.2</v>
      </c>
      <c r="I2547" s="295">
        <f t="shared" ref="I2547:I2557" si="345">H2547*F2547*E2547</f>
        <v>16.938600000000001</v>
      </c>
      <c r="J2547" s="295"/>
      <c r="K2547" s="300"/>
      <c r="L2547" s="300"/>
      <c r="M2547" s="285"/>
      <c r="N2547" s="1076"/>
      <c r="O2547" s="294"/>
      <c r="P2547" s="404"/>
      <c r="Q2547" s="404"/>
      <c r="R2547" s="301"/>
      <c r="S2547" s="301"/>
      <c r="T2547" s="301"/>
      <c r="U2547" s="301"/>
      <c r="V2547" s="301"/>
    </row>
    <row r="2548" spans="1:22" ht="14.4" thickTop="1" thickBot="1" x14ac:dyDescent="0.3">
      <c r="A2548" s="292"/>
      <c r="B2548" s="296" t="s">
        <v>1919</v>
      </c>
      <c r="C2548" s="294"/>
      <c r="D2548" s="294"/>
      <c r="E2548" s="294">
        <v>1</v>
      </c>
      <c r="F2548" s="310">
        <v>15.958</v>
      </c>
      <c r="G2548" s="310"/>
      <c r="H2548" s="310">
        <v>4.2</v>
      </c>
      <c r="I2548" s="295">
        <f t="shared" si="345"/>
        <v>67.023600000000002</v>
      </c>
      <c r="J2548" s="295"/>
      <c r="K2548" s="300"/>
      <c r="L2548" s="300"/>
      <c r="M2548" s="285"/>
      <c r="N2548" s="1076"/>
      <c r="O2548" s="294"/>
      <c r="P2548" s="404"/>
      <c r="Q2548" s="404"/>
      <c r="R2548" s="301"/>
      <c r="S2548" s="301"/>
      <c r="T2548" s="301"/>
      <c r="U2548" s="301"/>
      <c r="V2548" s="301"/>
    </row>
    <row r="2549" spans="1:22" ht="14.4" thickTop="1" thickBot="1" x14ac:dyDescent="0.3">
      <c r="A2549" s="292"/>
      <c r="C2549" s="294"/>
      <c r="D2549" s="294"/>
      <c r="E2549" s="294">
        <v>2</v>
      </c>
      <c r="F2549" s="310">
        <v>4.8250000000000002</v>
      </c>
      <c r="G2549" s="310"/>
      <c r="H2549" s="310">
        <v>4.2</v>
      </c>
      <c r="I2549" s="295">
        <f t="shared" si="345"/>
        <v>40.53</v>
      </c>
      <c r="J2549" s="295"/>
      <c r="K2549" s="300"/>
      <c r="L2549" s="300"/>
      <c r="M2549" s="285"/>
      <c r="N2549" s="1076"/>
      <c r="O2549" s="294"/>
      <c r="P2549" s="404"/>
      <c r="Q2549" s="404"/>
      <c r="R2549" s="301"/>
      <c r="S2549" s="301"/>
      <c r="T2549" s="301"/>
      <c r="U2549" s="301"/>
      <c r="V2549" s="301"/>
    </row>
    <row r="2550" spans="1:22" ht="14.4" thickTop="1" thickBot="1" x14ac:dyDescent="0.3">
      <c r="A2550" s="292"/>
      <c r="B2550" s="296" t="s">
        <v>1921</v>
      </c>
      <c r="C2550" s="294"/>
      <c r="D2550" s="294"/>
      <c r="E2550" s="294">
        <v>1</v>
      </c>
      <c r="F2550" s="310">
        <v>3.9750000000000001</v>
      </c>
      <c r="G2550" s="310"/>
      <c r="H2550" s="310">
        <v>4.2</v>
      </c>
      <c r="I2550" s="295">
        <f t="shared" si="345"/>
        <v>16.695</v>
      </c>
      <c r="J2550" s="295"/>
      <c r="K2550" s="300"/>
      <c r="L2550" s="300"/>
      <c r="M2550" s="285"/>
      <c r="N2550" s="1076"/>
      <c r="O2550" s="294"/>
      <c r="P2550" s="404"/>
      <c r="Q2550" s="404"/>
      <c r="R2550" s="301"/>
      <c r="S2550" s="301"/>
      <c r="T2550" s="301"/>
      <c r="U2550" s="301"/>
      <c r="V2550" s="301"/>
    </row>
    <row r="2551" spans="1:22" ht="14.4" thickTop="1" thickBot="1" x14ac:dyDescent="0.3">
      <c r="A2551" s="292"/>
      <c r="B2551" s="293"/>
      <c r="C2551" s="294"/>
      <c r="D2551" s="294"/>
      <c r="E2551" s="294">
        <v>1</v>
      </c>
      <c r="F2551" s="310">
        <v>3</v>
      </c>
      <c r="G2551" s="310"/>
      <c r="H2551" s="310">
        <v>4.2</v>
      </c>
      <c r="I2551" s="295">
        <f t="shared" si="345"/>
        <v>12.600000000000001</v>
      </c>
      <c r="J2551" s="295"/>
      <c r="K2551" s="300"/>
      <c r="L2551" s="300"/>
      <c r="M2551" s="285"/>
      <c r="N2551" s="1076"/>
      <c r="O2551" s="294"/>
      <c r="P2551" s="404"/>
      <c r="Q2551" s="404"/>
      <c r="R2551" s="301"/>
      <c r="S2551" s="301"/>
      <c r="T2551" s="301"/>
      <c r="U2551" s="301"/>
      <c r="V2551" s="301"/>
    </row>
    <row r="2552" spans="1:22" ht="14.4" thickTop="1" thickBot="1" x14ac:dyDescent="0.3">
      <c r="A2552" s="292"/>
      <c r="B2552" s="293"/>
      <c r="C2552" s="294"/>
      <c r="D2552" s="294"/>
      <c r="E2552" s="294">
        <v>1</v>
      </c>
      <c r="F2552" s="310">
        <v>3.1120000000000001</v>
      </c>
      <c r="G2552" s="310"/>
      <c r="H2552" s="310">
        <v>4.2</v>
      </c>
      <c r="I2552" s="295">
        <f t="shared" si="345"/>
        <v>13.070400000000001</v>
      </c>
      <c r="J2552" s="295"/>
      <c r="K2552" s="300"/>
      <c r="L2552" s="300"/>
      <c r="M2552" s="285"/>
      <c r="N2552" s="1076"/>
      <c r="O2552" s="294"/>
      <c r="P2552" s="404"/>
      <c r="Q2552" s="404"/>
      <c r="R2552" s="301"/>
      <c r="S2552" s="301"/>
      <c r="T2552" s="301"/>
      <c r="U2552" s="301"/>
      <c r="V2552" s="301"/>
    </row>
    <row r="2553" spans="1:22" ht="14.4" thickTop="1" thickBot="1" x14ac:dyDescent="0.3">
      <c r="A2553" s="292"/>
      <c r="B2553" s="293"/>
      <c r="C2553" s="294"/>
      <c r="D2553" s="294"/>
      <c r="E2553" s="294">
        <v>1</v>
      </c>
      <c r="F2553" s="310">
        <v>5.0129999999999999</v>
      </c>
      <c r="G2553" s="310"/>
      <c r="H2553" s="310">
        <v>4.2</v>
      </c>
      <c r="I2553" s="295">
        <f t="shared" si="345"/>
        <v>21.054600000000001</v>
      </c>
      <c r="J2553" s="295"/>
      <c r="K2553" s="300"/>
      <c r="L2553" s="300"/>
      <c r="M2553" s="285"/>
      <c r="N2553" s="1076"/>
      <c r="O2553" s="294"/>
      <c r="P2553" s="404"/>
      <c r="Q2553" s="404"/>
      <c r="R2553" s="301"/>
      <c r="S2553" s="301"/>
      <c r="T2553" s="301"/>
      <c r="U2553" s="301"/>
      <c r="V2553" s="301"/>
    </row>
    <row r="2554" spans="1:22" ht="14.4" thickTop="1" thickBot="1" x14ac:dyDescent="0.3">
      <c r="A2554" s="292"/>
      <c r="B2554" s="296" t="s">
        <v>1922</v>
      </c>
      <c r="C2554" s="294"/>
      <c r="D2554" s="294"/>
      <c r="E2554" s="294">
        <v>1</v>
      </c>
      <c r="F2554" s="310">
        <v>8.0630000000000006</v>
      </c>
      <c r="G2554" s="310"/>
      <c r="H2554" s="310">
        <v>4.2</v>
      </c>
      <c r="I2554" s="295">
        <f t="shared" si="345"/>
        <v>33.864600000000003</v>
      </c>
      <c r="J2554" s="295"/>
      <c r="K2554" s="300"/>
      <c r="L2554" s="300"/>
      <c r="M2554" s="285"/>
      <c r="N2554" s="1076"/>
      <c r="O2554" s="294"/>
      <c r="P2554" s="404"/>
      <c r="Q2554" s="404"/>
      <c r="R2554" s="301"/>
      <c r="S2554" s="301"/>
      <c r="T2554" s="301"/>
      <c r="U2554" s="301"/>
      <c r="V2554" s="301"/>
    </row>
    <row r="2555" spans="1:22" ht="14.4" thickTop="1" thickBot="1" x14ac:dyDescent="0.3">
      <c r="A2555" s="292"/>
      <c r="B2555" s="293"/>
      <c r="C2555" s="294"/>
      <c r="D2555" s="294"/>
      <c r="E2555" s="294">
        <v>1</v>
      </c>
      <c r="F2555" s="310">
        <v>5.2750000000000004</v>
      </c>
      <c r="G2555" s="310"/>
      <c r="H2555" s="310">
        <v>4.2</v>
      </c>
      <c r="I2555" s="295">
        <f t="shared" si="345"/>
        <v>22.155000000000001</v>
      </c>
      <c r="J2555" s="295"/>
      <c r="K2555" s="300"/>
      <c r="L2555" s="300"/>
      <c r="M2555" s="285"/>
      <c r="N2555" s="1076"/>
      <c r="O2555" s="294"/>
      <c r="P2555" s="404"/>
      <c r="Q2555" s="404"/>
      <c r="R2555" s="301"/>
      <c r="S2555" s="301"/>
      <c r="T2555" s="301"/>
      <c r="U2555" s="301"/>
      <c r="V2555" s="301"/>
    </row>
    <row r="2556" spans="1:22" ht="14.4" thickTop="1" thickBot="1" x14ac:dyDescent="0.3">
      <c r="A2556" s="292"/>
      <c r="B2556" s="293"/>
      <c r="C2556" s="294"/>
      <c r="D2556" s="294"/>
      <c r="E2556" s="294">
        <v>1</v>
      </c>
      <c r="F2556" s="310">
        <v>4.5</v>
      </c>
      <c r="G2556" s="310"/>
      <c r="H2556" s="310">
        <v>4.2</v>
      </c>
      <c r="I2556" s="295">
        <f t="shared" si="345"/>
        <v>18.900000000000002</v>
      </c>
      <c r="J2556" s="295"/>
      <c r="K2556" s="300"/>
      <c r="L2556" s="300"/>
      <c r="M2556" s="285"/>
      <c r="N2556" s="1076"/>
      <c r="O2556" s="294"/>
      <c r="P2556" s="404"/>
      <c r="Q2556" s="404"/>
      <c r="R2556" s="301"/>
      <c r="S2556" s="301"/>
      <c r="T2556" s="301"/>
      <c r="U2556" s="301"/>
      <c r="V2556" s="301"/>
    </row>
    <row r="2557" spans="1:22" ht="14.4" thickTop="1" thickBot="1" x14ac:dyDescent="0.3">
      <c r="A2557" s="292"/>
      <c r="B2557" s="296" t="s">
        <v>2023</v>
      </c>
      <c r="C2557" s="294"/>
      <c r="D2557" s="294"/>
      <c r="E2557" s="294">
        <v>1</v>
      </c>
      <c r="F2557" s="310">
        <v>3.45</v>
      </c>
      <c r="G2557" s="310"/>
      <c r="H2557" s="310">
        <v>4.2</v>
      </c>
      <c r="I2557" s="295">
        <f t="shared" si="345"/>
        <v>14.490000000000002</v>
      </c>
      <c r="J2557" s="295"/>
      <c r="K2557" s="300"/>
      <c r="L2557" s="300"/>
      <c r="M2557" s="285"/>
      <c r="N2557" s="1076"/>
      <c r="O2557" s="294"/>
      <c r="P2557" s="404"/>
      <c r="Q2557" s="404"/>
      <c r="R2557" s="301"/>
      <c r="S2557" s="301"/>
      <c r="T2557" s="301"/>
      <c r="U2557" s="301"/>
      <c r="V2557" s="301"/>
    </row>
    <row r="2558" spans="1:22" ht="14.4" thickTop="1" thickBot="1" x14ac:dyDescent="0.3">
      <c r="A2558" s="292"/>
      <c r="B2558" s="296" t="s">
        <v>2024</v>
      </c>
      <c r="C2558" s="294"/>
      <c r="D2558" s="294"/>
      <c r="E2558" s="294">
        <v>9</v>
      </c>
      <c r="F2558" s="310">
        <v>2.2000000000000002</v>
      </c>
      <c r="G2558" s="310"/>
      <c r="H2558" s="310">
        <v>2.7</v>
      </c>
      <c r="I2558" s="295">
        <f>-H2558*F2558*E2558</f>
        <v>-53.460000000000008</v>
      </c>
      <c r="J2558" s="295"/>
      <c r="K2558" s="300"/>
      <c r="L2558" s="300"/>
      <c r="M2558" s="285"/>
      <c r="N2558" s="1076"/>
      <c r="O2558" s="294"/>
      <c r="P2558" s="404"/>
      <c r="Q2558" s="404"/>
      <c r="R2558" s="301"/>
      <c r="S2558" s="301"/>
      <c r="T2558" s="301"/>
      <c r="U2558" s="301"/>
      <c r="V2558" s="301"/>
    </row>
    <row r="2559" spans="1:22" ht="14.4" thickTop="1" thickBot="1" x14ac:dyDescent="0.3">
      <c r="A2559" s="292"/>
      <c r="B2559" s="296" t="s">
        <v>763</v>
      </c>
      <c r="C2559" s="294"/>
      <c r="D2559" s="294"/>
      <c r="E2559" s="294">
        <v>1</v>
      </c>
      <c r="F2559" s="310">
        <v>1</v>
      </c>
      <c r="G2559" s="310"/>
      <c r="H2559" s="310">
        <v>2.7</v>
      </c>
      <c r="I2559" s="295">
        <f>-H2559*F2559*E2559</f>
        <v>-2.7</v>
      </c>
      <c r="J2559" s="295"/>
      <c r="K2559" s="300"/>
      <c r="L2559" s="300"/>
      <c r="M2559" s="285"/>
      <c r="N2559" s="1076"/>
      <c r="O2559" s="294"/>
      <c r="P2559" s="404"/>
      <c r="Q2559" s="404"/>
      <c r="R2559" s="301"/>
      <c r="S2559" s="301"/>
      <c r="T2559" s="301"/>
      <c r="U2559" s="301"/>
      <c r="V2559" s="301"/>
    </row>
    <row r="2560" spans="1:22" ht="14.4" thickTop="1" thickBot="1" x14ac:dyDescent="0.3">
      <c r="A2560" s="292"/>
      <c r="B2560" s="293"/>
      <c r="C2560" s="294"/>
      <c r="D2560" s="294"/>
      <c r="E2560" s="294"/>
      <c r="F2560" s="310"/>
      <c r="G2560" s="310"/>
      <c r="H2560" s="310"/>
      <c r="I2560" s="295"/>
      <c r="J2560" s="295">
        <f>SUM(I2547:I2559)</f>
        <v>221.1618</v>
      </c>
      <c r="K2560" s="300">
        <f t="shared" si="342"/>
        <v>1.1000000000000001</v>
      </c>
      <c r="L2560" s="300">
        <f>K2560*J2560</f>
        <v>243.27798000000001</v>
      </c>
      <c r="M2560" s="285">
        <f t="shared" ref="M2560:M2562" si="346">ROUND(L2560,1)</f>
        <v>243.3</v>
      </c>
      <c r="N2560" s="1076">
        <f t="shared" ref="N2560:N2562" si="347">ROUNDUP(M2560,0)</f>
        <v>244</v>
      </c>
      <c r="O2560" s="294" t="s">
        <v>695</v>
      </c>
      <c r="P2560" s="404"/>
      <c r="Q2560" s="404"/>
      <c r="R2560" s="301"/>
      <c r="S2560" s="301"/>
      <c r="T2560" s="301"/>
      <c r="U2560" s="301"/>
      <c r="V2560" s="301"/>
    </row>
    <row r="2561" spans="1:22" ht="14.4" thickTop="1" thickBot="1" x14ac:dyDescent="0.3">
      <c r="A2561" s="292"/>
      <c r="B2561" s="293"/>
      <c r="C2561" s="294"/>
      <c r="D2561" s="294"/>
      <c r="E2561" s="294"/>
      <c r="F2561" s="310"/>
      <c r="G2561" s="310"/>
      <c r="H2561" s="310"/>
      <c r="I2561" s="295"/>
      <c r="J2561" s="295">
        <f>J2560*10.76</f>
        <v>2379.7009680000001</v>
      </c>
      <c r="K2561" s="300">
        <f t="shared" si="342"/>
        <v>1.1000000000000001</v>
      </c>
      <c r="L2561" s="300">
        <f t="shared" ref="L2561:L2562" si="348">K2561*J2561</f>
        <v>2617.6710648000003</v>
      </c>
      <c r="M2561" s="285">
        <f t="shared" si="346"/>
        <v>2617.6999999999998</v>
      </c>
      <c r="N2561" s="1076">
        <f t="shared" si="347"/>
        <v>2618</v>
      </c>
      <c r="O2561" s="294" t="s">
        <v>1846</v>
      </c>
      <c r="P2561" s="404"/>
      <c r="Q2561" s="404"/>
      <c r="R2561" s="301"/>
      <c r="S2561" s="301"/>
      <c r="T2561" s="301"/>
      <c r="U2561" s="301"/>
      <c r="V2561" s="301"/>
    </row>
    <row r="2562" spans="1:22" ht="14.4" thickTop="1" thickBot="1" x14ac:dyDescent="0.3">
      <c r="A2562" s="292"/>
      <c r="B2562" s="293"/>
      <c r="C2562" s="294"/>
      <c r="D2562" s="294"/>
      <c r="E2562" s="294"/>
      <c r="F2562" s="310"/>
      <c r="G2562" s="310"/>
      <c r="H2562" s="310"/>
      <c r="I2562" s="295"/>
      <c r="J2562" s="295">
        <f>J2561/100</f>
        <v>23.797009680000002</v>
      </c>
      <c r="K2562" s="300">
        <v>1.02</v>
      </c>
      <c r="L2562" s="300">
        <f t="shared" si="348"/>
        <v>24.272949873600002</v>
      </c>
      <c r="M2562" s="285">
        <f t="shared" si="346"/>
        <v>24.3</v>
      </c>
      <c r="N2562" s="1076">
        <f t="shared" si="347"/>
        <v>25</v>
      </c>
      <c r="O2562" s="294" t="s">
        <v>879</v>
      </c>
      <c r="P2562" s="404"/>
      <c r="Q2562" s="404"/>
      <c r="R2562" s="301"/>
      <c r="S2562" s="301"/>
      <c r="T2562" s="301"/>
      <c r="U2562" s="301"/>
      <c r="V2562" s="301"/>
    </row>
    <row r="2563" spans="1:22" ht="14.4" thickTop="1" thickBot="1" x14ac:dyDescent="0.3">
      <c r="A2563" s="292"/>
      <c r="B2563" s="293"/>
      <c r="C2563" s="294"/>
      <c r="D2563" s="294"/>
      <c r="E2563" s="294"/>
      <c r="F2563" s="310"/>
      <c r="G2563" s="310"/>
      <c r="H2563" s="310"/>
      <c r="I2563" s="295"/>
      <c r="J2563" s="295"/>
      <c r="K2563" s="300"/>
      <c r="L2563" s="300"/>
      <c r="M2563" s="285"/>
      <c r="N2563" s="1076"/>
      <c r="O2563" s="294"/>
      <c r="P2563" s="404"/>
      <c r="Q2563" s="404"/>
      <c r="R2563" s="301"/>
      <c r="S2563" s="301"/>
      <c r="T2563" s="301"/>
      <c r="U2563" s="301"/>
      <c r="V2563" s="301"/>
    </row>
    <row r="2564" spans="1:22" ht="14.4" thickTop="1" thickBot="1" x14ac:dyDescent="0.3">
      <c r="A2564" s="292"/>
      <c r="B2564" s="296" t="s">
        <v>2025</v>
      </c>
      <c r="C2564" s="294"/>
      <c r="D2564" s="294"/>
      <c r="E2564" s="294"/>
      <c r="F2564" s="310"/>
      <c r="G2564" s="310"/>
      <c r="H2564" s="310"/>
      <c r="I2564" s="295"/>
      <c r="J2564" s="295"/>
      <c r="K2564" s="300"/>
      <c r="L2564" s="300"/>
      <c r="M2564" s="285"/>
      <c r="N2564" s="1076"/>
      <c r="O2564" s="294"/>
      <c r="P2564" s="404"/>
      <c r="Q2564" s="404"/>
      <c r="R2564" s="301"/>
      <c r="S2564" s="301"/>
      <c r="T2564" s="301"/>
      <c r="U2564" s="301"/>
      <c r="V2564" s="301"/>
    </row>
    <row r="2565" spans="1:22" ht="14.4" thickTop="1" thickBot="1" x14ac:dyDescent="0.3">
      <c r="A2565" s="292"/>
      <c r="B2565" s="296" t="s">
        <v>2027</v>
      </c>
      <c r="C2565" s="294"/>
      <c r="D2565" s="294"/>
      <c r="E2565" s="294"/>
      <c r="F2565" s="310"/>
      <c r="G2565" s="310"/>
      <c r="H2565" s="310"/>
      <c r="I2565" s="295"/>
      <c r="J2565" s="295"/>
      <c r="K2565" s="300"/>
      <c r="L2565" s="300"/>
      <c r="M2565" s="285"/>
      <c r="N2565" s="1076"/>
      <c r="O2565" s="294"/>
      <c r="P2565" s="404"/>
      <c r="Q2565" s="404"/>
      <c r="R2565" s="301"/>
      <c r="S2565" s="301"/>
      <c r="T2565" s="301"/>
      <c r="U2565" s="301"/>
      <c r="V2565" s="301"/>
    </row>
    <row r="2566" spans="1:22" ht="14.4" thickTop="1" thickBot="1" x14ac:dyDescent="0.3">
      <c r="A2566" s="292"/>
      <c r="B2566" s="296" t="s">
        <v>1918</v>
      </c>
      <c r="C2566" s="294"/>
      <c r="D2566" s="294"/>
      <c r="E2566" s="294">
        <v>1</v>
      </c>
      <c r="F2566" s="310">
        <v>1.83</v>
      </c>
      <c r="G2566" s="310"/>
      <c r="H2566" s="310">
        <v>2.7</v>
      </c>
      <c r="I2566" s="295">
        <f>H2566*F2566*E2566</f>
        <v>4.9410000000000007</v>
      </c>
      <c r="J2566" s="295"/>
      <c r="K2566" s="300"/>
      <c r="L2566" s="300"/>
      <c r="M2566" s="285"/>
      <c r="N2566" s="1076"/>
      <c r="O2566" s="294"/>
      <c r="P2566" s="404"/>
      <c r="Q2566" s="404"/>
      <c r="R2566" s="301"/>
      <c r="S2566" s="301"/>
      <c r="T2566" s="301"/>
      <c r="U2566" s="301"/>
      <c r="V2566" s="301"/>
    </row>
    <row r="2567" spans="1:22" ht="14.4" thickTop="1" thickBot="1" x14ac:dyDescent="0.3">
      <c r="A2567" s="292"/>
      <c r="B2567" s="293"/>
      <c r="C2567" s="294"/>
      <c r="D2567" s="294"/>
      <c r="E2567" s="294">
        <v>2</v>
      </c>
      <c r="F2567" s="310">
        <v>1.5</v>
      </c>
      <c r="G2567" s="310"/>
      <c r="H2567" s="310">
        <v>2.7</v>
      </c>
      <c r="I2567" s="295">
        <f t="shared" ref="I2567:I2582" si="349">H2567*F2567*E2567</f>
        <v>8.1000000000000014</v>
      </c>
      <c r="J2567" s="295"/>
      <c r="K2567" s="300"/>
      <c r="L2567" s="300"/>
      <c r="M2567" s="285"/>
      <c r="N2567" s="1076"/>
      <c r="O2567" s="294"/>
      <c r="P2567" s="404"/>
      <c r="Q2567" s="404"/>
      <c r="R2567" s="301"/>
      <c r="S2567" s="301"/>
      <c r="T2567" s="301"/>
      <c r="U2567" s="301"/>
      <c r="V2567" s="301"/>
    </row>
    <row r="2568" spans="1:22" ht="14.4" thickTop="1" thickBot="1" x14ac:dyDescent="0.3">
      <c r="A2568" s="292"/>
      <c r="B2568" s="293"/>
      <c r="C2568" s="294"/>
      <c r="D2568" s="294"/>
      <c r="E2568" s="294"/>
      <c r="F2568" s="310"/>
      <c r="G2568" s="310"/>
      <c r="H2568" s="310"/>
      <c r="I2568" s="295">
        <f t="shared" si="349"/>
        <v>0</v>
      </c>
      <c r="J2568" s="295"/>
      <c r="K2568" s="300"/>
      <c r="L2568" s="300"/>
      <c r="M2568" s="285"/>
      <c r="N2568" s="1076"/>
      <c r="O2568" s="294"/>
      <c r="P2568" s="404"/>
      <c r="Q2568" s="404"/>
      <c r="R2568" s="301"/>
      <c r="S2568" s="301"/>
      <c r="T2568" s="301"/>
      <c r="U2568" s="301"/>
      <c r="V2568" s="301"/>
    </row>
    <row r="2569" spans="1:22" ht="14.4" thickTop="1" thickBot="1" x14ac:dyDescent="0.3">
      <c r="A2569" s="292"/>
      <c r="B2569" s="296" t="s">
        <v>1919</v>
      </c>
      <c r="C2569" s="294"/>
      <c r="D2569" s="294"/>
      <c r="E2569" s="294">
        <v>1</v>
      </c>
      <c r="F2569" s="310">
        <v>1.83</v>
      </c>
      <c r="G2569" s="310"/>
      <c r="H2569" s="310">
        <v>2.7</v>
      </c>
      <c r="I2569" s="295">
        <f t="shared" si="349"/>
        <v>4.9410000000000007</v>
      </c>
      <c r="J2569" s="295"/>
      <c r="K2569" s="300"/>
      <c r="L2569" s="300"/>
      <c r="M2569" s="285"/>
      <c r="N2569" s="1076"/>
      <c r="O2569" s="294"/>
      <c r="P2569" s="404"/>
      <c r="Q2569" s="404"/>
      <c r="R2569" s="301"/>
      <c r="S2569" s="301"/>
      <c r="T2569" s="301"/>
      <c r="U2569" s="301"/>
      <c r="V2569" s="301"/>
    </row>
    <row r="2570" spans="1:22" ht="14.4" thickTop="1" thickBot="1" x14ac:dyDescent="0.3">
      <c r="A2570" s="292"/>
      <c r="B2570" s="293"/>
      <c r="C2570" s="294"/>
      <c r="D2570" s="294"/>
      <c r="E2570" s="294">
        <v>2</v>
      </c>
      <c r="F2570" s="310">
        <v>1.5</v>
      </c>
      <c r="G2570" s="310"/>
      <c r="H2570" s="310">
        <v>2.7</v>
      </c>
      <c r="I2570" s="295">
        <f t="shared" si="349"/>
        <v>8.1000000000000014</v>
      </c>
      <c r="J2570" s="295"/>
      <c r="K2570" s="300"/>
      <c r="L2570" s="300"/>
      <c r="M2570" s="285"/>
      <c r="N2570" s="1076"/>
      <c r="O2570" s="294"/>
      <c r="P2570" s="404"/>
      <c r="Q2570" s="404"/>
      <c r="R2570" s="301"/>
      <c r="S2570" s="301"/>
      <c r="T2570" s="301"/>
      <c r="U2570" s="301"/>
      <c r="V2570" s="301"/>
    </row>
    <row r="2571" spans="1:22" ht="14.4" thickTop="1" thickBot="1" x14ac:dyDescent="0.3">
      <c r="A2571" s="292"/>
      <c r="B2571" s="293"/>
      <c r="C2571" s="294"/>
      <c r="D2571" s="294"/>
      <c r="E2571" s="294"/>
      <c r="F2571" s="310"/>
      <c r="G2571" s="310"/>
      <c r="H2571" s="310"/>
      <c r="I2571" s="295">
        <f t="shared" si="349"/>
        <v>0</v>
      </c>
      <c r="J2571" s="295"/>
      <c r="K2571" s="300"/>
      <c r="L2571" s="300"/>
      <c r="M2571" s="285"/>
      <c r="N2571" s="1076"/>
      <c r="O2571" s="294"/>
      <c r="P2571" s="404"/>
      <c r="Q2571" s="404"/>
      <c r="R2571" s="301"/>
      <c r="S2571" s="301"/>
      <c r="T2571" s="301"/>
      <c r="U2571" s="301"/>
      <c r="V2571" s="301"/>
    </row>
    <row r="2572" spans="1:22" ht="14.4" thickTop="1" thickBot="1" x14ac:dyDescent="0.3">
      <c r="A2572" s="292"/>
      <c r="B2572" s="296" t="s">
        <v>1921</v>
      </c>
      <c r="C2572" s="294"/>
      <c r="D2572" s="294"/>
      <c r="E2572" s="294">
        <v>1</v>
      </c>
      <c r="F2572" s="310">
        <v>1.83</v>
      </c>
      <c r="G2572" s="310"/>
      <c r="H2572" s="310">
        <v>2.7</v>
      </c>
      <c r="I2572" s="295">
        <f t="shared" si="349"/>
        <v>4.9410000000000007</v>
      </c>
      <c r="J2572" s="295"/>
      <c r="K2572" s="300"/>
      <c r="L2572" s="300"/>
      <c r="M2572" s="285"/>
      <c r="N2572" s="1076"/>
      <c r="O2572" s="294"/>
      <c r="P2572" s="404"/>
      <c r="Q2572" s="404"/>
      <c r="R2572" s="301"/>
      <c r="S2572" s="301"/>
      <c r="T2572" s="301"/>
      <c r="U2572" s="301"/>
      <c r="V2572" s="301"/>
    </row>
    <row r="2573" spans="1:22" ht="14.4" thickTop="1" thickBot="1" x14ac:dyDescent="0.3">
      <c r="A2573" s="292"/>
      <c r="B2573" s="293"/>
      <c r="C2573" s="294"/>
      <c r="D2573" s="294"/>
      <c r="E2573" s="294">
        <v>2</v>
      </c>
      <c r="F2573" s="310">
        <v>1.5</v>
      </c>
      <c r="G2573" s="310"/>
      <c r="H2573" s="310">
        <v>2.7</v>
      </c>
      <c r="I2573" s="295">
        <f t="shared" si="349"/>
        <v>8.1000000000000014</v>
      </c>
      <c r="J2573" s="295"/>
      <c r="K2573" s="300"/>
      <c r="L2573" s="300"/>
      <c r="M2573" s="285"/>
      <c r="N2573" s="1076"/>
      <c r="O2573" s="294"/>
      <c r="P2573" s="404"/>
      <c r="Q2573" s="404"/>
      <c r="R2573" s="301"/>
      <c r="S2573" s="301"/>
      <c r="T2573" s="301"/>
      <c r="U2573" s="301"/>
      <c r="V2573" s="301"/>
    </row>
    <row r="2574" spans="1:22" ht="14.4" thickTop="1" thickBot="1" x14ac:dyDescent="0.3">
      <c r="A2574" s="292"/>
      <c r="B2574" s="293"/>
      <c r="C2574" s="294"/>
      <c r="D2574" s="294"/>
      <c r="E2574" s="294"/>
      <c r="F2574" s="310"/>
      <c r="G2574" s="310"/>
      <c r="H2574" s="310"/>
      <c r="I2574" s="295">
        <f t="shared" si="349"/>
        <v>0</v>
      </c>
      <c r="J2574" s="295"/>
      <c r="K2574" s="300"/>
      <c r="L2574" s="300"/>
      <c r="M2574" s="285"/>
      <c r="N2574" s="1076"/>
      <c r="O2574" s="294"/>
      <c r="P2574" s="404"/>
      <c r="Q2574" s="404"/>
      <c r="R2574" s="301"/>
      <c r="S2574" s="301"/>
      <c r="T2574" s="301"/>
      <c r="U2574" s="301"/>
      <c r="V2574" s="301"/>
    </row>
    <row r="2575" spans="1:22" ht="14.4" thickTop="1" thickBot="1" x14ac:dyDescent="0.3">
      <c r="A2575" s="292"/>
      <c r="B2575" s="296" t="s">
        <v>1922</v>
      </c>
      <c r="C2575" s="294"/>
      <c r="D2575" s="294"/>
      <c r="E2575" s="294">
        <v>1</v>
      </c>
      <c r="F2575" s="310">
        <v>1.83</v>
      </c>
      <c r="G2575" s="310"/>
      <c r="H2575" s="310">
        <v>2.7</v>
      </c>
      <c r="I2575" s="295">
        <f t="shared" si="349"/>
        <v>4.9410000000000007</v>
      </c>
      <c r="J2575" s="295"/>
      <c r="K2575" s="300"/>
      <c r="L2575" s="300"/>
      <c r="M2575" s="285"/>
      <c r="N2575" s="1076"/>
      <c r="O2575" s="294"/>
      <c r="P2575" s="404"/>
      <c r="Q2575" s="404"/>
      <c r="R2575" s="301"/>
      <c r="S2575" s="301"/>
      <c r="T2575" s="301"/>
      <c r="U2575" s="301"/>
      <c r="V2575" s="301"/>
    </row>
    <row r="2576" spans="1:22" ht="14.4" thickTop="1" thickBot="1" x14ac:dyDescent="0.3">
      <c r="A2576" s="292"/>
      <c r="B2576" s="293"/>
      <c r="C2576" s="294"/>
      <c r="D2576" s="294"/>
      <c r="E2576" s="294">
        <v>2</v>
      </c>
      <c r="F2576" s="310">
        <v>1.5</v>
      </c>
      <c r="G2576" s="310"/>
      <c r="H2576" s="310">
        <v>2.7</v>
      </c>
      <c r="I2576" s="295">
        <f t="shared" si="349"/>
        <v>8.1000000000000014</v>
      </c>
      <c r="J2576" s="295"/>
      <c r="K2576" s="300"/>
      <c r="L2576" s="300"/>
      <c r="M2576" s="285"/>
      <c r="N2576" s="1076"/>
      <c r="O2576" s="294"/>
      <c r="P2576" s="404"/>
      <c r="Q2576" s="404"/>
      <c r="R2576" s="301"/>
      <c r="S2576" s="301"/>
      <c r="T2576" s="301"/>
      <c r="U2576" s="301"/>
      <c r="V2576" s="301"/>
    </row>
    <row r="2577" spans="1:22" ht="14.4" thickTop="1" thickBot="1" x14ac:dyDescent="0.3">
      <c r="A2577" s="292"/>
      <c r="B2577" s="293"/>
      <c r="C2577" s="294"/>
      <c r="D2577" s="294"/>
      <c r="E2577" s="294"/>
      <c r="F2577" s="310"/>
      <c r="G2577" s="310"/>
      <c r="H2577" s="310"/>
      <c r="I2577" s="295">
        <f t="shared" si="349"/>
        <v>0</v>
      </c>
      <c r="J2577" s="295"/>
      <c r="K2577" s="300"/>
      <c r="L2577" s="300"/>
      <c r="M2577" s="285"/>
      <c r="N2577" s="1076"/>
      <c r="O2577" s="294"/>
      <c r="P2577" s="404"/>
      <c r="Q2577" s="404"/>
      <c r="R2577" s="301"/>
      <c r="S2577" s="301"/>
      <c r="T2577" s="301"/>
      <c r="U2577" s="301"/>
      <c r="V2577" s="301"/>
    </row>
    <row r="2578" spans="1:22" ht="14.4" thickTop="1" thickBot="1" x14ac:dyDescent="0.3">
      <c r="A2578" s="292"/>
      <c r="B2578" s="296" t="s">
        <v>1873</v>
      </c>
      <c r="C2578" s="294"/>
      <c r="D2578" s="294"/>
      <c r="E2578" s="294">
        <v>1</v>
      </c>
      <c r="F2578" s="310">
        <v>3.8</v>
      </c>
      <c r="G2578" s="310"/>
      <c r="H2578" s="310">
        <v>2.7</v>
      </c>
      <c r="I2578" s="295">
        <f t="shared" si="349"/>
        <v>10.26</v>
      </c>
      <c r="J2578" s="295"/>
      <c r="K2578" s="300"/>
      <c r="L2578" s="300"/>
      <c r="M2578" s="285"/>
      <c r="N2578" s="1076"/>
      <c r="O2578" s="294"/>
      <c r="P2578" s="404"/>
      <c r="Q2578" s="404"/>
      <c r="R2578" s="301"/>
      <c r="S2578" s="301"/>
      <c r="T2578" s="301"/>
      <c r="U2578" s="301"/>
      <c r="V2578" s="301"/>
    </row>
    <row r="2579" spans="1:22" ht="14.4" thickTop="1" thickBot="1" x14ac:dyDescent="0.3">
      <c r="A2579" s="292"/>
      <c r="B2579" s="293"/>
      <c r="C2579" s="294"/>
      <c r="D2579" s="294"/>
      <c r="E2579" s="294">
        <v>4</v>
      </c>
      <c r="F2579" s="310">
        <v>1.23</v>
      </c>
      <c r="G2579" s="310"/>
      <c r="H2579" s="310">
        <v>2.7</v>
      </c>
      <c r="I2579" s="295">
        <f t="shared" si="349"/>
        <v>13.284000000000001</v>
      </c>
      <c r="J2579" s="295"/>
      <c r="K2579" s="300"/>
      <c r="L2579" s="300"/>
      <c r="M2579" s="285"/>
      <c r="N2579" s="1076"/>
      <c r="O2579" s="294"/>
      <c r="P2579" s="404"/>
      <c r="Q2579" s="404"/>
      <c r="R2579" s="301"/>
      <c r="S2579" s="301"/>
      <c r="T2579" s="301"/>
      <c r="U2579" s="301"/>
      <c r="V2579" s="301"/>
    </row>
    <row r="2580" spans="1:22" ht="14.4" thickTop="1" thickBot="1" x14ac:dyDescent="0.3">
      <c r="A2580" s="292"/>
      <c r="B2580" s="293"/>
      <c r="C2580" s="294"/>
      <c r="D2580" s="294"/>
      <c r="E2580" s="294"/>
      <c r="F2580" s="310"/>
      <c r="G2580" s="310"/>
      <c r="H2580" s="310"/>
      <c r="I2580" s="295">
        <f t="shared" si="349"/>
        <v>0</v>
      </c>
      <c r="J2580" s="295"/>
      <c r="K2580" s="300"/>
      <c r="L2580" s="300"/>
      <c r="M2580" s="285"/>
      <c r="N2580" s="1076"/>
      <c r="O2580" s="294"/>
      <c r="P2580" s="404"/>
      <c r="Q2580" s="404"/>
      <c r="R2580" s="301"/>
      <c r="S2580" s="301"/>
      <c r="T2580" s="301"/>
      <c r="U2580" s="301"/>
      <c r="V2580" s="301"/>
    </row>
    <row r="2581" spans="1:22" ht="14.4" thickTop="1" thickBot="1" x14ac:dyDescent="0.3">
      <c r="A2581" s="292"/>
      <c r="B2581" s="296" t="s">
        <v>1891</v>
      </c>
      <c r="C2581" s="294"/>
      <c r="D2581" s="294"/>
      <c r="E2581" s="294">
        <v>1</v>
      </c>
      <c r="F2581" s="310">
        <v>3.03</v>
      </c>
      <c r="G2581" s="310"/>
      <c r="H2581" s="310">
        <v>2.7</v>
      </c>
      <c r="I2581" s="295">
        <f t="shared" si="349"/>
        <v>8.1809999999999992</v>
      </c>
      <c r="J2581" s="295"/>
      <c r="K2581" s="300"/>
      <c r="L2581" s="300"/>
      <c r="M2581" s="285"/>
      <c r="N2581" s="1076"/>
      <c r="O2581" s="294"/>
      <c r="P2581" s="404"/>
      <c r="Q2581" s="404"/>
      <c r="R2581" s="301"/>
      <c r="S2581" s="301"/>
      <c r="T2581" s="301"/>
      <c r="U2581" s="301"/>
      <c r="V2581" s="301"/>
    </row>
    <row r="2582" spans="1:22" ht="14.4" thickTop="1" thickBot="1" x14ac:dyDescent="0.3">
      <c r="A2582" s="292"/>
      <c r="B2582" s="293"/>
      <c r="C2582" s="294"/>
      <c r="D2582" s="294"/>
      <c r="E2582" s="294">
        <v>2</v>
      </c>
      <c r="F2582" s="310">
        <v>1.5</v>
      </c>
      <c r="G2582" s="310"/>
      <c r="H2582" s="310">
        <v>2.7</v>
      </c>
      <c r="I2582" s="295">
        <f t="shared" si="349"/>
        <v>8.1000000000000014</v>
      </c>
      <c r="J2582" s="295"/>
      <c r="K2582" s="300"/>
      <c r="L2582" s="300"/>
      <c r="M2582" s="285"/>
      <c r="N2582" s="1076"/>
      <c r="O2582" s="294"/>
      <c r="P2582" s="404"/>
      <c r="Q2582" s="404"/>
      <c r="R2582" s="301"/>
      <c r="S2582" s="301"/>
      <c r="T2582" s="301"/>
      <c r="U2582" s="301"/>
      <c r="V2582" s="301"/>
    </row>
    <row r="2583" spans="1:22" ht="14.4" thickTop="1" thickBot="1" x14ac:dyDescent="0.3">
      <c r="A2583" s="292"/>
      <c r="B2583" s="296" t="s">
        <v>2026</v>
      </c>
      <c r="C2583" s="294"/>
      <c r="D2583" s="294"/>
      <c r="E2583" s="294">
        <v>15</v>
      </c>
      <c r="F2583" s="310">
        <v>0.75</v>
      </c>
      <c r="G2583" s="310"/>
      <c r="H2583" s="310">
        <v>2.1</v>
      </c>
      <c r="I2583" s="295">
        <f>-H2583*F2583*E2583</f>
        <v>-23.625000000000004</v>
      </c>
      <c r="J2583" s="295">
        <f>SUM(I2566:I2583)</f>
        <v>68.364000000000004</v>
      </c>
      <c r="K2583" s="300">
        <f t="shared" si="342"/>
        <v>1.1000000000000001</v>
      </c>
      <c r="L2583" s="300">
        <f>K2583*J2583</f>
        <v>75.200400000000016</v>
      </c>
      <c r="M2583" s="285">
        <f t="shared" ref="M2583:M2584" si="350">ROUND(L2583,1)</f>
        <v>75.2</v>
      </c>
      <c r="N2583" s="1076">
        <f t="shared" ref="N2583:N2584" si="351">ROUNDUP(M2583,0)</f>
        <v>76</v>
      </c>
      <c r="O2583" s="294" t="s">
        <v>695</v>
      </c>
      <c r="P2583" s="404"/>
      <c r="Q2583" s="404"/>
      <c r="R2583" s="301"/>
      <c r="S2583" s="301"/>
      <c r="T2583" s="301"/>
      <c r="U2583" s="301"/>
      <c r="V2583" s="301"/>
    </row>
    <row r="2584" spans="1:22" ht="14.4" thickTop="1" thickBot="1" x14ac:dyDescent="0.3">
      <c r="A2584" s="292"/>
      <c r="B2584" s="293"/>
      <c r="C2584" s="294"/>
      <c r="D2584" s="294"/>
      <c r="E2584" s="294"/>
      <c r="F2584" s="310"/>
      <c r="G2584" s="310"/>
      <c r="H2584" s="310"/>
      <c r="I2584" s="295"/>
      <c r="J2584" s="295">
        <f>J2583*10.76</f>
        <v>735.59663999999998</v>
      </c>
      <c r="K2584" s="300">
        <f t="shared" si="342"/>
        <v>1.1000000000000001</v>
      </c>
      <c r="L2584" s="300">
        <f t="shared" ref="L2584" si="352">K2584*J2584</f>
        <v>809.15630400000009</v>
      </c>
      <c r="M2584" s="285">
        <f t="shared" si="350"/>
        <v>809.2</v>
      </c>
      <c r="N2584" s="1076">
        <f t="shared" si="351"/>
        <v>810</v>
      </c>
      <c r="O2584" s="294" t="s">
        <v>1846</v>
      </c>
      <c r="P2584" s="404"/>
      <c r="Q2584" s="404"/>
      <c r="R2584" s="301"/>
      <c r="S2584" s="301"/>
      <c r="T2584" s="301"/>
      <c r="U2584" s="301"/>
      <c r="V2584" s="301"/>
    </row>
    <row r="2585" spans="1:22" ht="14.4" thickTop="1" thickBot="1" x14ac:dyDescent="0.3">
      <c r="A2585" s="292"/>
      <c r="B2585" s="293"/>
      <c r="C2585" s="294"/>
      <c r="D2585" s="294"/>
      <c r="E2585" s="294"/>
      <c r="F2585" s="310"/>
      <c r="G2585" s="310"/>
      <c r="H2585" s="310"/>
      <c r="I2585" s="295"/>
      <c r="J2585" s="295"/>
      <c r="K2585" s="300"/>
      <c r="L2585" s="300"/>
      <c r="M2585" s="285"/>
      <c r="N2585" s="1076"/>
      <c r="O2585" s="294"/>
      <c r="P2585" s="404"/>
      <c r="Q2585" s="404"/>
      <c r="R2585" s="301"/>
      <c r="S2585" s="301"/>
      <c r="T2585" s="301"/>
      <c r="U2585" s="301"/>
      <c r="V2585" s="301"/>
    </row>
    <row r="2586" spans="1:22" ht="14.4" thickTop="1" thickBot="1" x14ac:dyDescent="0.3">
      <c r="A2586" s="292"/>
      <c r="B2586" s="296" t="s">
        <v>802</v>
      </c>
      <c r="C2586" s="294"/>
      <c r="D2586" s="294"/>
      <c r="E2586" s="294"/>
      <c r="F2586" s="310"/>
      <c r="G2586" s="310"/>
      <c r="H2586" s="310"/>
      <c r="I2586" s="295"/>
      <c r="J2586" s="295"/>
      <c r="K2586" s="300"/>
      <c r="L2586" s="300"/>
      <c r="M2586" s="285"/>
      <c r="N2586" s="1076"/>
      <c r="O2586" s="294"/>
      <c r="P2586" s="404"/>
      <c r="Q2586" s="404"/>
      <c r="R2586" s="301"/>
      <c r="S2586" s="301"/>
      <c r="T2586" s="301"/>
      <c r="U2586" s="301"/>
      <c r="V2586" s="301"/>
    </row>
    <row r="2587" spans="1:22" ht="14.4" thickTop="1" thickBot="1" x14ac:dyDescent="0.3">
      <c r="A2587" s="292"/>
      <c r="B2587" s="296" t="s">
        <v>1873</v>
      </c>
      <c r="C2587" s="294"/>
      <c r="D2587" s="294"/>
      <c r="E2587" s="294">
        <v>1</v>
      </c>
      <c r="F2587" s="310">
        <v>3.8</v>
      </c>
      <c r="G2587" s="310"/>
      <c r="H2587" s="310">
        <v>2.7</v>
      </c>
      <c r="I2587" s="295">
        <f t="shared" ref="I2587:I2591" si="353">H2587*F2587*E2587</f>
        <v>10.26</v>
      </c>
      <c r="J2587" s="295"/>
      <c r="K2587" s="300"/>
      <c r="L2587" s="300"/>
      <c r="M2587" s="285"/>
      <c r="N2587" s="1076"/>
      <c r="O2587" s="294"/>
      <c r="P2587" s="404"/>
      <c r="Q2587" s="404"/>
      <c r="R2587" s="301"/>
      <c r="S2587" s="301"/>
      <c r="T2587" s="301"/>
      <c r="U2587" s="301"/>
      <c r="V2587" s="301"/>
    </row>
    <row r="2588" spans="1:22" ht="14.4" thickTop="1" thickBot="1" x14ac:dyDescent="0.3">
      <c r="A2588" s="292"/>
      <c r="B2588" s="293"/>
      <c r="C2588" s="294"/>
      <c r="D2588" s="294"/>
      <c r="E2588" s="294">
        <v>4</v>
      </c>
      <c r="F2588" s="310">
        <v>1.23</v>
      </c>
      <c r="G2588" s="310"/>
      <c r="H2588" s="310">
        <v>2.7</v>
      </c>
      <c r="I2588" s="295">
        <f t="shared" si="353"/>
        <v>13.284000000000001</v>
      </c>
      <c r="J2588" s="295"/>
      <c r="K2588" s="300"/>
      <c r="L2588" s="300"/>
      <c r="M2588" s="285"/>
      <c r="N2588" s="1076"/>
      <c r="O2588" s="294"/>
      <c r="P2588" s="404"/>
      <c r="Q2588" s="404"/>
      <c r="R2588" s="301"/>
      <c r="S2588" s="301"/>
      <c r="T2588" s="301"/>
      <c r="U2588" s="301"/>
      <c r="V2588" s="301"/>
    </row>
    <row r="2589" spans="1:22" ht="14.4" thickTop="1" thickBot="1" x14ac:dyDescent="0.3">
      <c r="A2589" s="292"/>
      <c r="B2589" s="293"/>
      <c r="C2589" s="294"/>
      <c r="D2589" s="294"/>
      <c r="E2589" s="294"/>
      <c r="F2589" s="310"/>
      <c r="G2589" s="310"/>
      <c r="H2589" s="310"/>
      <c r="I2589" s="295">
        <f t="shared" si="353"/>
        <v>0</v>
      </c>
      <c r="J2589" s="295"/>
      <c r="K2589" s="300"/>
      <c r="L2589" s="300"/>
      <c r="M2589" s="285"/>
      <c r="N2589" s="1076"/>
      <c r="O2589" s="294"/>
      <c r="P2589" s="404"/>
      <c r="Q2589" s="404"/>
      <c r="R2589" s="301"/>
      <c r="S2589" s="301"/>
      <c r="T2589" s="301"/>
      <c r="U2589" s="301"/>
      <c r="V2589" s="301"/>
    </row>
    <row r="2590" spans="1:22" ht="14.4" thickTop="1" thickBot="1" x14ac:dyDescent="0.3">
      <c r="A2590" s="292"/>
      <c r="B2590" s="296" t="s">
        <v>1891</v>
      </c>
      <c r="C2590" s="294"/>
      <c r="D2590" s="294"/>
      <c r="E2590" s="294">
        <v>1</v>
      </c>
      <c r="F2590" s="310">
        <v>3.03</v>
      </c>
      <c r="G2590" s="310"/>
      <c r="H2590" s="310">
        <v>2.7</v>
      </c>
      <c r="I2590" s="295">
        <f t="shared" si="353"/>
        <v>8.1809999999999992</v>
      </c>
      <c r="J2590" s="295"/>
      <c r="K2590" s="300"/>
      <c r="L2590" s="300"/>
      <c r="M2590" s="285"/>
      <c r="N2590" s="1076"/>
      <c r="O2590" s="294"/>
      <c r="P2590" s="404"/>
      <c r="Q2590" s="404"/>
      <c r="R2590" s="301"/>
      <c r="S2590" s="301"/>
      <c r="T2590" s="301"/>
      <c r="U2590" s="301"/>
      <c r="V2590" s="301"/>
    </row>
    <row r="2591" spans="1:22" ht="14.4" thickTop="1" thickBot="1" x14ac:dyDescent="0.3">
      <c r="A2591" s="292"/>
      <c r="B2591" s="293"/>
      <c r="C2591" s="294"/>
      <c r="D2591" s="294"/>
      <c r="E2591" s="294">
        <v>2</v>
      </c>
      <c r="F2591" s="310">
        <v>1.5</v>
      </c>
      <c r="G2591" s="310"/>
      <c r="H2591" s="310">
        <v>2.7</v>
      </c>
      <c r="I2591" s="295">
        <f t="shared" si="353"/>
        <v>8.1000000000000014</v>
      </c>
      <c r="J2591" s="295"/>
      <c r="K2591" s="300"/>
      <c r="L2591" s="300"/>
      <c r="M2591" s="285"/>
      <c r="N2591" s="1076"/>
      <c r="O2591" s="294"/>
      <c r="P2591" s="404"/>
      <c r="Q2591" s="404"/>
      <c r="R2591" s="301"/>
      <c r="S2591" s="301"/>
      <c r="T2591" s="301"/>
      <c r="U2591" s="301"/>
      <c r="V2591" s="301"/>
    </row>
    <row r="2592" spans="1:22" ht="14.4" thickTop="1" thickBot="1" x14ac:dyDescent="0.3">
      <c r="A2592" s="292"/>
      <c r="B2592" s="296" t="s">
        <v>2026</v>
      </c>
      <c r="C2592" s="294"/>
      <c r="D2592" s="294"/>
      <c r="E2592" s="294">
        <v>7</v>
      </c>
      <c r="F2592" s="310">
        <v>0.75</v>
      </c>
      <c r="G2592" s="310"/>
      <c r="H2592" s="310">
        <v>2.1</v>
      </c>
      <c r="I2592" s="295">
        <f>-H2592*F2592*E2592</f>
        <v>-11.025000000000002</v>
      </c>
      <c r="J2592" s="295">
        <f>SUM(I2587:I2592)</f>
        <v>28.8</v>
      </c>
      <c r="K2592" s="300">
        <f t="shared" si="342"/>
        <v>1.1000000000000001</v>
      </c>
      <c r="L2592" s="300">
        <f>K2592*J2592</f>
        <v>31.680000000000003</v>
      </c>
      <c r="M2592" s="285">
        <f t="shared" ref="M2592:M2593" si="354">ROUND(L2592,1)</f>
        <v>31.7</v>
      </c>
      <c r="N2592" s="1076">
        <f t="shared" ref="N2592:N2593" si="355">ROUNDUP(M2592,0)</f>
        <v>32</v>
      </c>
      <c r="O2592" s="294" t="s">
        <v>695</v>
      </c>
      <c r="P2592" s="404"/>
      <c r="Q2592" s="404"/>
      <c r="R2592" s="301"/>
      <c r="S2592" s="301"/>
      <c r="T2592" s="301"/>
      <c r="U2592" s="301"/>
      <c r="V2592" s="301"/>
    </row>
    <row r="2593" spans="1:22" ht="14.4" thickTop="1" thickBot="1" x14ac:dyDescent="0.3">
      <c r="A2593" s="292"/>
      <c r="B2593" s="293"/>
      <c r="C2593" s="294"/>
      <c r="D2593" s="294"/>
      <c r="E2593" s="294"/>
      <c r="F2593" s="310"/>
      <c r="G2593" s="310"/>
      <c r="H2593" s="310"/>
      <c r="I2593" s="295"/>
      <c r="J2593" s="295">
        <f>J2592*10.76</f>
        <v>309.88799999999998</v>
      </c>
      <c r="K2593" s="300">
        <f t="shared" si="342"/>
        <v>1.1000000000000001</v>
      </c>
      <c r="L2593" s="300">
        <f t="shared" ref="L2593" si="356">K2593*J2593</f>
        <v>340.8768</v>
      </c>
      <c r="M2593" s="285">
        <f t="shared" si="354"/>
        <v>340.9</v>
      </c>
      <c r="N2593" s="1076">
        <f t="shared" si="355"/>
        <v>341</v>
      </c>
      <c r="O2593" s="294" t="s">
        <v>1846</v>
      </c>
      <c r="P2593" s="404"/>
      <c r="Q2593" s="404"/>
      <c r="R2593" s="301"/>
      <c r="S2593" s="301"/>
      <c r="T2593" s="301"/>
      <c r="U2593" s="301"/>
      <c r="V2593" s="301"/>
    </row>
    <row r="2594" spans="1:22" ht="14.4" thickTop="1" thickBot="1" x14ac:dyDescent="0.3">
      <c r="A2594" s="292"/>
      <c r="B2594" s="293"/>
      <c r="C2594" s="294"/>
      <c r="D2594" s="294"/>
      <c r="E2594" s="294"/>
      <c r="F2594" s="310"/>
      <c r="G2594" s="310"/>
      <c r="H2594" s="310"/>
      <c r="I2594" s="295"/>
      <c r="J2594" s="295"/>
      <c r="K2594" s="300"/>
      <c r="L2594" s="300"/>
      <c r="M2594" s="285"/>
      <c r="N2594" s="1076"/>
      <c r="O2594" s="294"/>
      <c r="P2594" s="404"/>
      <c r="Q2594" s="404"/>
      <c r="R2594" s="301"/>
      <c r="S2594" s="301"/>
      <c r="T2594" s="301"/>
      <c r="U2594" s="301"/>
      <c r="V2594" s="301"/>
    </row>
    <row r="2595" spans="1:22" ht="14.4" thickTop="1" thickBot="1" x14ac:dyDescent="0.3">
      <c r="A2595" s="292"/>
      <c r="B2595" s="293"/>
      <c r="C2595" s="294"/>
      <c r="D2595" s="294"/>
      <c r="E2595" s="294"/>
      <c r="F2595" s="310"/>
      <c r="G2595" s="310"/>
      <c r="H2595" s="310"/>
      <c r="I2595" s="295"/>
      <c r="J2595" s="295"/>
      <c r="K2595" s="300"/>
      <c r="L2595" s="300"/>
      <c r="M2595" s="285"/>
      <c r="N2595" s="1076"/>
      <c r="O2595" s="294"/>
      <c r="P2595" s="404"/>
      <c r="Q2595" s="404"/>
      <c r="R2595" s="301"/>
      <c r="S2595" s="301"/>
      <c r="T2595" s="301"/>
      <c r="U2595" s="301"/>
      <c r="V2595" s="301"/>
    </row>
    <row r="2596" spans="1:22" ht="14.4" thickTop="1" thickBot="1" x14ac:dyDescent="0.3">
      <c r="A2596" s="292"/>
      <c r="B2596" s="296" t="s">
        <v>2029</v>
      </c>
      <c r="C2596" s="294"/>
      <c r="D2596" s="294"/>
      <c r="E2596" s="294"/>
      <c r="F2596" s="310"/>
      <c r="G2596" s="310"/>
      <c r="H2596" s="310"/>
      <c r="I2596" s="295">
        <v>2150</v>
      </c>
      <c r="J2596" s="295"/>
      <c r="K2596" s="300"/>
      <c r="L2596" s="300"/>
      <c r="M2596" s="285"/>
      <c r="N2596" s="1076"/>
      <c r="O2596" s="294"/>
      <c r="P2596" s="404">
        <f>2117-2150</f>
        <v>-33</v>
      </c>
      <c r="Q2596" s="404"/>
      <c r="R2596" s="301"/>
      <c r="S2596" s="301"/>
      <c r="T2596" s="301"/>
      <c r="U2596" s="301"/>
      <c r="V2596" s="301"/>
    </row>
    <row r="2597" spans="1:22" ht="14.4" thickTop="1" thickBot="1" x14ac:dyDescent="0.3">
      <c r="A2597" s="292"/>
      <c r="B2597" s="293"/>
      <c r="C2597" s="294"/>
      <c r="D2597" s="294"/>
      <c r="E2597" s="294"/>
      <c r="F2597" s="310"/>
      <c r="G2597" s="310"/>
      <c r="H2597" s="310"/>
      <c r="I2597" s="295">
        <v>-1081</v>
      </c>
      <c r="J2597" s="295"/>
      <c r="K2597" s="300"/>
      <c r="L2597" s="300"/>
      <c r="M2597" s="285"/>
      <c r="N2597" s="1076"/>
      <c r="O2597" s="294"/>
      <c r="P2597" s="404"/>
      <c r="Q2597" s="404"/>
      <c r="R2597" s="301"/>
      <c r="S2597" s="301"/>
      <c r="T2597" s="301"/>
      <c r="U2597" s="301"/>
      <c r="V2597" s="301"/>
    </row>
    <row r="2598" spans="1:22" ht="14.4" thickTop="1" thickBot="1" x14ac:dyDescent="0.3">
      <c r="A2598" s="292"/>
      <c r="B2598" s="293"/>
      <c r="C2598" s="294"/>
      <c r="D2598" s="294"/>
      <c r="E2598" s="294"/>
      <c r="F2598" s="310"/>
      <c r="G2598" s="310"/>
      <c r="H2598" s="310"/>
      <c r="I2598" s="295"/>
      <c r="J2598" s="295">
        <f>SUM(I2596:I2597)</f>
        <v>1069</v>
      </c>
      <c r="K2598" s="300">
        <f t="shared" si="342"/>
        <v>1.1000000000000001</v>
      </c>
      <c r="L2598" s="300">
        <f>K2598*J2598</f>
        <v>1175.9000000000001</v>
      </c>
      <c r="M2598" s="285">
        <f t="shared" ref="M2598:M2600" si="357">ROUND(L2598,1)</f>
        <v>1175.9000000000001</v>
      </c>
      <c r="N2598" s="1076">
        <f t="shared" ref="N2598:N2600" si="358">ROUNDUP(M2598,0)</f>
        <v>1176</v>
      </c>
      <c r="O2598" s="294" t="s">
        <v>695</v>
      </c>
      <c r="P2598" s="404"/>
      <c r="Q2598" s="404"/>
      <c r="R2598" s="301"/>
      <c r="S2598" s="301"/>
      <c r="T2598" s="301"/>
      <c r="U2598" s="301"/>
      <c r="V2598" s="301"/>
    </row>
    <row r="2599" spans="1:22" ht="14.4" thickTop="1" thickBot="1" x14ac:dyDescent="0.3">
      <c r="A2599" s="292"/>
      <c r="B2599" s="293"/>
      <c r="C2599" s="294"/>
      <c r="D2599" s="294"/>
      <c r="E2599" s="294"/>
      <c r="F2599" s="310"/>
      <c r="G2599" s="310"/>
      <c r="H2599" s="310"/>
      <c r="I2599" s="295"/>
      <c r="J2599" s="295">
        <f>J2598*10.76</f>
        <v>11502.44</v>
      </c>
      <c r="K2599" s="300">
        <f t="shared" si="342"/>
        <v>1.1000000000000001</v>
      </c>
      <c r="L2599" s="300">
        <f t="shared" ref="L2599:L2600" si="359">K2599*J2599</f>
        <v>12652.684000000001</v>
      </c>
      <c r="M2599" s="285">
        <f t="shared" si="357"/>
        <v>12652.7</v>
      </c>
      <c r="N2599" s="1076">
        <f t="shared" si="358"/>
        <v>12653</v>
      </c>
      <c r="O2599" s="294" t="s">
        <v>1846</v>
      </c>
      <c r="P2599" s="404"/>
      <c r="Q2599" s="404"/>
      <c r="R2599" s="301"/>
      <c r="S2599" s="301"/>
      <c r="T2599" s="301"/>
      <c r="U2599" s="301"/>
      <c r="V2599" s="301"/>
    </row>
    <row r="2600" spans="1:22" ht="14.4" thickTop="1" thickBot="1" x14ac:dyDescent="0.3">
      <c r="A2600" s="292"/>
      <c r="B2600" s="293"/>
      <c r="C2600" s="294"/>
      <c r="D2600" s="294"/>
      <c r="E2600" s="294"/>
      <c r="F2600" s="310"/>
      <c r="G2600" s="310"/>
      <c r="H2600" s="310"/>
      <c r="I2600" s="295"/>
      <c r="J2600" s="295">
        <f>J2599/100</f>
        <v>115.0244</v>
      </c>
      <c r="K2600" s="300">
        <v>1.02</v>
      </c>
      <c r="L2600" s="300">
        <f t="shared" si="359"/>
        <v>117.324888</v>
      </c>
      <c r="M2600" s="285">
        <f t="shared" si="357"/>
        <v>117.3</v>
      </c>
      <c r="N2600" s="1076">
        <f t="shared" si="358"/>
        <v>118</v>
      </c>
      <c r="O2600" s="294" t="s">
        <v>1846</v>
      </c>
      <c r="P2600" s="404"/>
      <c r="Q2600" s="404"/>
      <c r="R2600" s="301"/>
      <c r="S2600" s="301"/>
      <c r="T2600" s="301"/>
      <c r="U2600" s="301"/>
      <c r="V2600" s="301"/>
    </row>
    <row r="2601" spans="1:22" ht="14.4" thickTop="1" thickBot="1" x14ac:dyDescent="0.3">
      <c r="A2601" s="292"/>
      <c r="B2601" s="293"/>
      <c r="C2601" s="294"/>
      <c r="D2601" s="294"/>
      <c r="E2601" s="294"/>
      <c r="F2601" s="310"/>
      <c r="G2601" s="310"/>
      <c r="H2601" s="310"/>
      <c r="I2601" s="295"/>
      <c r="J2601" s="295"/>
      <c r="K2601" s="300"/>
      <c r="L2601" s="300"/>
      <c r="M2601" s="285"/>
      <c r="N2601" s="1076"/>
      <c r="O2601" s="294"/>
      <c r="P2601" s="404"/>
      <c r="Q2601" s="404"/>
      <c r="R2601" s="301"/>
      <c r="S2601" s="301"/>
      <c r="T2601" s="301"/>
      <c r="U2601" s="301"/>
      <c r="V2601" s="301"/>
    </row>
    <row r="2602" spans="1:22" ht="14.4" thickTop="1" thickBot="1" x14ac:dyDescent="0.3">
      <c r="A2602" s="292"/>
      <c r="B2602" s="293"/>
      <c r="C2602" s="294"/>
      <c r="D2602" s="294"/>
      <c r="E2602" s="294"/>
      <c r="F2602" s="310"/>
      <c r="G2602" s="310"/>
      <c r="H2602" s="310"/>
      <c r="I2602" s="295"/>
      <c r="J2602" s="295"/>
      <c r="K2602" s="300"/>
      <c r="L2602" s="300"/>
      <c r="M2602" s="285"/>
      <c r="N2602" s="1076"/>
      <c r="O2602" s="294"/>
      <c r="P2602" s="404"/>
      <c r="Q2602" s="404"/>
      <c r="R2602" s="301"/>
      <c r="S2602" s="301"/>
      <c r="T2602" s="301"/>
      <c r="U2602" s="301"/>
      <c r="V2602" s="301"/>
    </row>
    <row r="2603" spans="1:22" ht="14.4" thickTop="1" thickBot="1" x14ac:dyDescent="0.3">
      <c r="A2603" s="292"/>
      <c r="B2603" s="302" t="s">
        <v>1953</v>
      </c>
      <c r="C2603" s="294"/>
      <c r="D2603" s="294"/>
      <c r="E2603" s="294"/>
      <c r="F2603" s="310"/>
      <c r="G2603" s="310"/>
      <c r="H2603" s="310"/>
      <c r="I2603" s="295"/>
      <c r="J2603" s="295"/>
      <c r="K2603" s="300">
        <f t="shared" si="342"/>
        <v>1.1000000000000001</v>
      </c>
      <c r="L2603" s="300">
        <f t="shared" ref="L2603:L2797" si="360">K2603*J2603</f>
        <v>0</v>
      </c>
      <c r="M2603" s="285">
        <f t="shared" ref="M2603:M2799" si="361">ROUND(L2603,1)</f>
        <v>0</v>
      </c>
      <c r="N2603" s="1076">
        <f t="shared" ref="N2603:N2799" si="362">ROUNDUP(M2603,0)</f>
        <v>0</v>
      </c>
      <c r="O2603" s="294"/>
      <c r="P2603" s="404"/>
      <c r="Q2603" s="404"/>
      <c r="R2603" s="301"/>
      <c r="S2603" s="301"/>
      <c r="T2603" s="301"/>
      <c r="U2603" s="301"/>
      <c r="V2603" s="301"/>
    </row>
    <row r="2604" spans="1:22" ht="14.4" thickTop="1" thickBot="1" x14ac:dyDescent="0.3">
      <c r="A2604" s="292"/>
      <c r="B2604" s="296" t="s">
        <v>1954</v>
      </c>
      <c r="C2604" s="294"/>
      <c r="D2604" s="294"/>
      <c r="E2604" s="294">
        <v>4</v>
      </c>
      <c r="F2604" s="310">
        <v>1.4</v>
      </c>
      <c r="G2604" s="310"/>
      <c r="H2604" s="310">
        <v>2.7</v>
      </c>
      <c r="I2604" s="295">
        <f>H2604*F2604*E2604</f>
        <v>15.12</v>
      </c>
      <c r="J2604" s="295"/>
      <c r="K2604" s="300"/>
      <c r="L2604" s="300"/>
      <c r="M2604" s="285"/>
      <c r="N2604" s="1076"/>
      <c r="O2604" s="294"/>
      <c r="P2604" s="404"/>
      <c r="Q2604" s="404"/>
      <c r="R2604" s="301"/>
      <c r="S2604" s="301"/>
      <c r="T2604" s="301"/>
      <c r="U2604" s="301"/>
      <c r="V2604" s="301"/>
    </row>
    <row r="2605" spans="1:22" ht="14.4" thickTop="1" thickBot="1" x14ac:dyDescent="0.3">
      <c r="A2605" s="292"/>
      <c r="B2605" s="293"/>
      <c r="C2605" s="294"/>
      <c r="D2605" s="294"/>
      <c r="E2605" s="294"/>
      <c r="F2605" s="310"/>
      <c r="G2605" s="310"/>
      <c r="H2605" s="310"/>
      <c r="I2605" s="295"/>
      <c r="J2605" s="295">
        <f>SUM(I2604)</f>
        <v>15.12</v>
      </c>
      <c r="K2605" s="300">
        <f t="shared" si="342"/>
        <v>1.1000000000000001</v>
      </c>
      <c r="L2605" s="300">
        <f t="shared" si="360"/>
        <v>16.632000000000001</v>
      </c>
      <c r="M2605" s="285">
        <f t="shared" ref="M2605:M2606" si="363">ROUND(L2605,1)</f>
        <v>16.600000000000001</v>
      </c>
      <c r="N2605" s="1076">
        <f t="shared" ref="N2605:N2606" si="364">ROUNDUP(M2605,0)</f>
        <v>17</v>
      </c>
      <c r="O2605" s="294" t="s">
        <v>695</v>
      </c>
      <c r="P2605" s="404"/>
      <c r="Q2605" s="404"/>
      <c r="R2605" s="301"/>
      <c r="S2605" s="301"/>
      <c r="T2605" s="301"/>
      <c r="U2605" s="301"/>
      <c r="V2605" s="301"/>
    </row>
    <row r="2606" spans="1:22" ht="14.4" thickTop="1" thickBot="1" x14ac:dyDescent="0.3">
      <c r="A2606" s="292"/>
      <c r="B2606" s="293"/>
      <c r="C2606" s="294"/>
      <c r="D2606" s="294"/>
      <c r="E2606" s="294"/>
      <c r="F2606" s="310"/>
      <c r="G2606" s="310"/>
      <c r="H2606" s="310"/>
      <c r="I2606" s="295"/>
      <c r="J2606" s="295">
        <f>J2605*10.76</f>
        <v>162.69119999999998</v>
      </c>
      <c r="K2606" s="300">
        <v>1.1000000000000001</v>
      </c>
      <c r="L2606" s="300">
        <f t="shared" si="360"/>
        <v>178.96032</v>
      </c>
      <c r="M2606" s="285">
        <f t="shared" si="363"/>
        <v>179</v>
      </c>
      <c r="N2606" s="1076">
        <f t="shared" si="364"/>
        <v>179</v>
      </c>
      <c r="O2606" s="294" t="s">
        <v>1846</v>
      </c>
      <c r="P2606" s="404"/>
      <c r="Q2606" s="404"/>
      <c r="R2606" s="301"/>
      <c r="S2606" s="301"/>
      <c r="T2606" s="301"/>
      <c r="U2606" s="301"/>
      <c r="V2606" s="301"/>
    </row>
    <row r="2607" spans="1:22" ht="14.4" thickTop="1" thickBot="1" x14ac:dyDescent="0.3">
      <c r="A2607" s="292"/>
      <c r="B2607" s="293"/>
      <c r="C2607" s="294"/>
      <c r="D2607" s="294"/>
      <c r="E2607" s="294"/>
      <c r="F2607" s="310"/>
      <c r="G2607" s="310"/>
      <c r="H2607" s="310"/>
      <c r="I2607" s="295"/>
      <c r="J2607" s="295"/>
      <c r="K2607" s="300"/>
      <c r="L2607" s="300"/>
      <c r="M2607" s="285"/>
      <c r="N2607" s="1076"/>
      <c r="O2607" s="294"/>
      <c r="P2607" s="404"/>
      <c r="Q2607" s="404"/>
      <c r="R2607" s="301"/>
      <c r="S2607" s="301"/>
      <c r="T2607" s="301"/>
      <c r="U2607" s="301"/>
      <c r="V2607" s="301"/>
    </row>
    <row r="2608" spans="1:22" ht="14.4" thickTop="1" thickBot="1" x14ac:dyDescent="0.3">
      <c r="A2608" s="292"/>
      <c r="B2608" s="296" t="s">
        <v>1955</v>
      </c>
      <c r="C2608" s="294"/>
      <c r="D2608" s="294"/>
      <c r="E2608" s="294">
        <v>4</v>
      </c>
      <c r="F2608" s="310">
        <f>(1.4+2.7+2.7)</f>
        <v>6.8</v>
      </c>
      <c r="G2608" s="310"/>
      <c r="H2608" s="310"/>
      <c r="I2608" s="295">
        <f>F2608*E2608</f>
        <v>27.2</v>
      </c>
      <c r="J2608" s="295"/>
      <c r="K2608" s="300">
        <f t="shared" si="342"/>
        <v>1.1000000000000001</v>
      </c>
      <c r="L2608" s="300">
        <f t="shared" si="360"/>
        <v>0</v>
      </c>
      <c r="M2608" s="285">
        <f t="shared" si="361"/>
        <v>0</v>
      </c>
      <c r="N2608" s="1076">
        <f t="shared" si="362"/>
        <v>0</v>
      </c>
      <c r="O2608" s="294"/>
      <c r="P2608" s="404"/>
      <c r="Q2608" s="404"/>
      <c r="R2608" s="301"/>
      <c r="S2608" s="301"/>
      <c r="T2608" s="301"/>
      <c r="U2608" s="301"/>
      <c r="V2608" s="301"/>
    </row>
    <row r="2609" spans="1:22" ht="14.4" thickTop="1" thickBot="1" x14ac:dyDescent="0.3">
      <c r="A2609" s="292"/>
      <c r="B2609" s="293"/>
      <c r="C2609" s="294"/>
      <c r="D2609" s="294"/>
      <c r="E2609" s="294"/>
      <c r="F2609" s="310"/>
      <c r="G2609" s="310"/>
      <c r="H2609" s="310"/>
      <c r="I2609" s="295"/>
      <c r="J2609" s="295">
        <f>I2608</f>
        <v>27.2</v>
      </c>
      <c r="K2609" s="300">
        <f t="shared" si="342"/>
        <v>1.1000000000000001</v>
      </c>
      <c r="L2609" s="300">
        <f t="shared" si="360"/>
        <v>29.92</v>
      </c>
      <c r="M2609" s="285">
        <f t="shared" si="361"/>
        <v>29.9</v>
      </c>
      <c r="N2609" s="1076">
        <f t="shared" si="362"/>
        <v>30</v>
      </c>
      <c r="O2609" s="294"/>
      <c r="P2609" s="404"/>
      <c r="Q2609" s="404"/>
      <c r="R2609" s="301"/>
      <c r="S2609" s="301"/>
      <c r="T2609" s="301"/>
      <c r="U2609" s="301"/>
      <c r="V2609" s="301"/>
    </row>
    <row r="2610" spans="1:22" ht="14.4" thickTop="1" thickBot="1" x14ac:dyDescent="0.3">
      <c r="A2610" s="292"/>
      <c r="B2610" s="293"/>
      <c r="C2610" s="294"/>
      <c r="D2610" s="294"/>
      <c r="E2610" s="294"/>
      <c r="F2610" s="310"/>
      <c r="G2610" s="310"/>
      <c r="H2610" s="310"/>
      <c r="I2610" s="295"/>
      <c r="J2610" s="295">
        <f>J2609*3.28</f>
        <v>89.215999999999994</v>
      </c>
      <c r="K2610" s="300">
        <f t="shared" si="342"/>
        <v>1.1000000000000001</v>
      </c>
      <c r="L2610" s="300">
        <f t="shared" si="360"/>
        <v>98.137600000000006</v>
      </c>
      <c r="M2610" s="285">
        <f t="shared" si="361"/>
        <v>98.1</v>
      </c>
      <c r="N2610" s="1076">
        <f t="shared" si="362"/>
        <v>99</v>
      </c>
      <c r="O2610" s="294"/>
      <c r="P2610" s="404"/>
      <c r="Q2610" s="404"/>
      <c r="R2610" s="301"/>
      <c r="S2610" s="301"/>
      <c r="T2610" s="301"/>
      <c r="U2610" s="301"/>
      <c r="V2610" s="301"/>
    </row>
    <row r="2611" spans="1:22" ht="14.4" thickTop="1" thickBot="1" x14ac:dyDescent="0.3">
      <c r="A2611" s="292"/>
      <c r="B2611" s="293"/>
      <c r="C2611" s="294"/>
      <c r="D2611" s="294"/>
      <c r="E2611" s="294"/>
      <c r="F2611" s="310"/>
      <c r="G2611" s="310"/>
      <c r="H2611" s="310"/>
      <c r="I2611" s="295"/>
      <c r="J2611" s="295"/>
      <c r="K2611" s="300">
        <f t="shared" si="342"/>
        <v>1.1000000000000001</v>
      </c>
      <c r="L2611" s="300">
        <f t="shared" si="360"/>
        <v>0</v>
      </c>
      <c r="M2611" s="285">
        <f t="shared" si="361"/>
        <v>0</v>
      </c>
      <c r="N2611" s="1076">
        <f t="shared" si="362"/>
        <v>0</v>
      </c>
      <c r="O2611" s="294"/>
      <c r="P2611" s="404"/>
      <c r="Q2611" s="404"/>
      <c r="R2611" s="301"/>
      <c r="S2611" s="301"/>
      <c r="T2611" s="301"/>
      <c r="U2611" s="301"/>
      <c r="V2611" s="301"/>
    </row>
    <row r="2612" spans="1:22" ht="14.4" thickTop="1" thickBot="1" x14ac:dyDescent="0.3">
      <c r="A2612" s="292"/>
      <c r="B2612" s="296" t="s">
        <v>1956</v>
      </c>
      <c r="C2612" s="294"/>
      <c r="D2612" s="294"/>
      <c r="E2612" s="294">
        <v>4</v>
      </c>
      <c r="F2612" s="310">
        <v>1.4</v>
      </c>
      <c r="G2612" s="310"/>
      <c r="H2612" s="310">
        <v>2.7</v>
      </c>
      <c r="I2612" s="295">
        <f>H2612*F2612*E2612</f>
        <v>15.12</v>
      </c>
      <c r="J2612" s="295"/>
      <c r="K2612" s="300">
        <f t="shared" si="342"/>
        <v>1.1000000000000001</v>
      </c>
      <c r="L2612" s="300">
        <f t="shared" si="360"/>
        <v>0</v>
      </c>
      <c r="M2612" s="285">
        <f t="shared" si="361"/>
        <v>0</v>
      </c>
      <c r="N2612" s="1076">
        <f t="shared" si="362"/>
        <v>0</v>
      </c>
      <c r="O2612" s="294"/>
      <c r="P2612" s="404"/>
      <c r="Q2612" s="404"/>
      <c r="R2612" s="301"/>
      <c r="S2612" s="301"/>
      <c r="T2612" s="301"/>
      <c r="U2612" s="301"/>
      <c r="V2612" s="301"/>
    </row>
    <row r="2613" spans="1:22" ht="14.4" thickTop="1" thickBot="1" x14ac:dyDescent="0.3">
      <c r="A2613" s="292"/>
      <c r="B2613" s="293"/>
      <c r="C2613" s="294"/>
      <c r="D2613" s="294"/>
      <c r="E2613" s="294"/>
      <c r="F2613" s="310"/>
      <c r="G2613" s="310"/>
      <c r="H2613" s="310"/>
      <c r="I2613" s="295"/>
      <c r="J2613" s="295">
        <f>SUM(I2612)</f>
        <v>15.12</v>
      </c>
      <c r="K2613" s="300">
        <f t="shared" si="342"/>
        <v>1.1000000000000001</v>
      </c>
      <c r="L2613" s="300">
        <f t="shared" si="360"/>
        <v>16.632000000000001</v>
      </c>
      <c r="M2613" s="285">
        <f t="shared" si="361"/>
        <v>16.600000000000001</v>
      </c>
      <c r="N2613" s="1076">
        <f t="shared" si="362"/>
        <v>17</v>
      </c>
      <c r="O2613" s="294" t="s">
        <v>695</v>
      </c>
      <c r="P2613" s="404"/>
      <c r="Q2613" s="404"/>
      <c r="R2613" s="301"/>
      <c r="S2613" s="301"/>
      <c r="T2613" s="301"/>
      <c r="U2613" s="301"/>
      <c r="V2613" s="301"/>
    </row>
    <row r="2614" spans="1:22" ht="14.4" thickTop="1" thickBot="1" x14ac:dyDescent="0.3">
      <c r="A2614" s="292"/>
      <c r="B2614" s="293"/>
      <c r="C2614" s="294"/>
      <c r="D2614" s="294"/>
      <c r="E2614" s="294"/>
      <c r="F2614" s="310"/>
      <c r="G2614" s="310"/>
      <c r="H2614" s="310"/>
      <c r="I2614" s="295"/>
      <c r="J2614" s="295">
        <f>J2613*10.76</f>
        <v>162.69119999999998</v>
      </c>
      <c r="K2614" s="300">
        <f t="shared" si="342"/>
        <v>1.1000000000000001</v>
      </c>
      <c r="L2614" s="300">
        <f t="shared" si="360"/>
        <v>178.96032</v>
      </c>
      <c r="M2614" s="285">
        <f t="shared" si="361"/>
        <v>179</v>
      </c>
      <c r="N2614" s="1076">
        <f t="shared" si="362"/>
        <v>179</v>
      </c>
      <c r="O2614" s="294" t="s">
        <v>1846</v>
      </c>
      <c r="P2614" s="404"/>
      <c r="Q2614" s="404"/>
      <c r="R2614" s="301"/>
      <c r="S2614" s="301"/>
      <c r="T2614" s="301"/>
      <c r="U2614" s="301"/>
      <c r="V2614" s="301"/>
    </row>
    <row r="2615" spans="1:22" ht="14.4" thickTop="1" thickBot="1" x14ac:dyDescent="0.3">
      <c r="A2615" s="292"/>
      <c r="B2615" s="293"/>
      <c r="C2615" s="294"/>
      <c r="D2615" s="294"/>
      <c r="E2615" s="294"/>
      <c r="F2615" s="310"/>
      <c r="G2615" s="310"/>
      <c r="H2615" s="310"/>
      <c r="I2615" s="295"/>
      <c r="J2615" s="295">
        <f>J2614/100</f>
        <v>1.6269119999999999</v>
      </c>
      <c r="K2615" s="300">
        <v>1.1000000000000001</v>
      </c>
      <c r="L2615" s="300">
        <f t="shared" si="360"/>
        <v>1.7896031999999999</v>
      </c>
      <c r="M2615" s="285">
        <f t="shared" si="361"/>
        <v>1.8</v>
      </c>
      <c r="N2615" s="1076">
        <f t="shared" si="362"/>
        <v>2</v>
      </c>
      <c r="O2615" s="294" t="s">
        <v>879</v>
      </c>
      <c r="P2615" s="404"/>
      <c r="Q2615" s="404"/>
      <c r="R2615" s="301"/>
      <c r="S2615" s="301"/>
      <c r="T2615" s="301"/>
      <c r="U2615" s="301"/>
      <c r="V2615" s="301"/>
    </row>
    <row r="2616" spans="1:22" ht="14.4" thickTop="1" thickBot="1" x14ac:dyDescent="0.3">
      <c r="A2616" s="292"/>
      <c r="B2616" s="293"/>
      <c r="C2616" s="294"/>
      <c r="D2616" s="294"/>
      <c r="E2616" s="294"/>
      <c r="F2616" s="310"/>
      <c r="G2616" s="310"/>
      <c r="H2616" s="310"/>
      <c r="I2616" s="295"/>
      <c r="J2616" s="295"/>
      <c r="K2616" s="300">
        <f t="shared" si="342"/>
        <v>1.1000000000000001</v>
      </c>
      <c r="L2616" s="300">
        <f t="shared" si="360"/>
        <v>0</v>
      </c>
      <c r="M2616" s="285">
        <f t="shared" si="361"/>
        <v>0</v>
      </c>
      <c r="N2616" s="1076">
        <f t="shared" si="362"/>
        <v>0</v>
      </c>
      <c r="O2616" s="294"/>
      <c r="P2616" s="404"/>
      <c r="Q2616" s="404"/>
      <c r="R2616" s="301"/>
      <c r="S2616" s="301"/>
      <c r="T2616" s="301"/>
      <c r="U2616" s="301"/>
      <c r="V2616" s="301"/>
    </row>
    <row r="2617" spans="1:22" ht="14.4" thickTop="1" thickBot="1" x14ac:dyDescent="0.3">
      <c r="A2617" s="292"/>
      <c r="B2617" s="296" t="s">
        <v>2014</v>
      </c>
      <c r="C2617" s="294"/>
      <c r="D2617" s="294"/>
      <c r="E2617" s="294">
        <v>4</v>
      </c>
      <c r="F2617" s="310">
        <v>1.05</v>
      </c>
      <c r="G2617" s="310"/>
      <c r="H2617" s="310">
        <v>2.7</v>
      </c>
      <c r="I2617" s="295">
        <f>H2617*F2617*E2617</f>
        <v>11.340000000000002</v>
      </c>
      <c r="J2617" s="295"/>
      <c r="K2617" s="300"/>
      <c r="L2617" s="300"/>
      <c r="M2617" s="285"/>
      <c r="N2617" s="1076"/>
      <c r="O2617" s="294"/>
      <c r="P2617" s="404"/>
      <c r="Q2617" s="404"/>
      <c r="R2617" s="301"/>
      <c r="S2617" s="301"/>
      <c r="T2617" s="301"/>
      <c r="U2617" s="301"/>
      <c r="V2617" s="301"/>
    </row>
    <row r="2618" spans="1:22" ht="14.4" thickTop="1" thickBot="1" x14ac:dyDescent="0.3">
      <c r="A2618" s="292"/>
      <c r="B2618" s="293"/>
      <c r="C2618" s="294"/>
      <c r="D2618" s="294"/>
      <c r="E2618" s="294"/>
      <c r="F2618" s="310"/>
      <c r="G2618" s="310"/>
      <c r="H2618" s="310"/>
      <c r="I2618" s="295"/>
      <c r="J2618" s="295">
        <f>SUM(I2617)</f>
        <v>11.340000000000002</v>
      </c>
      <c r="K2618" s="300">
        <f t="shared" si="342"/>
        <v>1.1000000000000001</v>
      </c>
      <c r="L2618" s="300">
        <f t="shared" ref="L2618:L2619" si="365">K2618*J2618</f>
        <v>12.474000000000002</v>
      </c>
      <c r="M2618" s="285">
        <f t="shared" ref="M2618:M2619" si="366">ROUND(L2618,1)</f>
        <v>12.5</v>
      </c>
      <c r="N2618" s="1076">
        <f t="shared" ref="N2618:N2619" si="367">ROUNDUP(M2618,0)</f>
        <v>13</v>
      </c>
      <c r="O2618" s="294" t="s">
        <v>695</v>
      </c>
      <c r="P2618" s="404"/>
      <c r="Q2618" s="404"/>
      <c r="R2618" s="301"/>
      <c r="S2618" s="301"/>
      <c r="T2618" s="301"/>
      <c r="U2618" s="301"/>
      <c r="V2618" s="301"/>
    </row>
    <row r="2619" spans="1:22" ht="14.4" thickTop="1" thickBot="1" x14ac:dyDescent="0.3">
      <c r="A2619" s="292"/>
      <c r="B2619" s="293"/>
      <c r="C2619" s="294"/>
      <c r="D2619" s="294"/>
      <c r="E2619" s="294"/>
      <c r="F2619" s="310"/>
      <c r="G2619" s="310"/>
      <c r="H2619" s="310"/>
      <c r="I2619" s="295"/>
      <c r="J2619" s="295">
        <f>J2618*10.76</f>
        <v>122.01840000000001</v>
      </c>
      <c r="K2619" s="300">
        <v>1.1000000000000001</v>
      </c>
      <c r="L2619" s="300">
        <f t="shared" si="365"/>
        <v>134.22024000000002</v>
      </c>
      <c r="M2619" s="285">
        <f t="shared" si="366"/>
        <v>134.19999999999999</v>
      </c>
      <c r="N2619" s="1076">
        <f t="shared" si="367"/>
        <v>135</v>
      </c>
      <c r="O2619" s="294" t="s">
        <v>1846</v>
      </c>
      <c r="P2619" s="404"/>
      <c r="Q2619" s="404"/>
      <c r="R2619" s="301"/>
      <c r="S2619" s="301"/>
      <c r="T2619" s="301"/>
      <c r="U2619" s="301"/>
      <c r="V2619" s="301"/>
    </row>
    <row r="2620" spans="1:22" ht="14.4" thickTop="1" thickBot="1" x14ac:dyDescent="0.3">
      <c r="A2620" s="292"/>
      <c r="B2620" s="293"/>
      <c r="C2620" s="294"/>
      <c r="D2620" s="294"/>
      <c r="E2620" s="294"/>
      <c r="F2620" s="310"/>
      <c r="G2620" s="310"/>
      <c r="H2620" s="310"/>
      <c r="I2620" s="295"/>
      <c r="J2620" s="295"/>
      <c r="K2620" s="300"/>
      <c r="L2620" s="300"/>
      <c r="M2620" s="285"/>
      <c r="N2620" s="1076"/>
      <c r="O2620" s="294"/>
      <c r="P2620" s="404"/>
      <c r="Q2620" s="404"/>
      <c r="R2620" s="301"/>
      <c r="S2620" s="301"/>
      <c r="T2620" s="301"/>
      <c r="U2620" s="301"/>
      <c r="V2620" s="301"/>
    </row>
    <row r="2621" spans="1:22" ht="14.4" thickTop="1" thickBot="1" x14ac:dyDescent="0.3">
      <c r="A2621" s="292"/>
      <c r="B2621" s="296" t="s">
        <v>1955</v>
      </c>
      <c r="C2621" s="294"/>
      <c r="D2621" s="294"/>
      <c r="E2621" s="294">
        <v>4</v>
      </c>
      <c r="F2621" s="310">
        <f>(1.05+2.7+2.7)</f>
        <v>6.45</v>
      </c>
      <c r="G2621" s="310"/>
      <c r="H2621" s="310"/>
      <c r="I2621" s="295">
        <f>F2621*E2621</f>
        <v>25.8</v>
      </c>
      <c r="J2621" s="295"/>
      <c r="K2621" s="300">
        <f t="shared" si="342"/>
        <v>1.1000000000000001</v>
      </c>
      <c r="L2621" s="300">
        <f t="shared" ref="L2621:L2623" si="368">K2621*J2621</f>
        <v>0</v>
      </c>
      <c r="M2621" s="285">
        <f t="shared" ref="M2621:M2623" si="369">ROUND(L2621,1)</f>
        <v>0</v>
      </c>
      <c r="N2621" s="1076">
        <f t="shared" ref="N2621:N2623" si="370">ROUNDUP(M2621,0)</f>
        <v>0</v>
      </c>
      <c r="O2621" s="294"/>
      <c r="P2621" s="404"/>
      <c r="Q2621" s="404"/>
      <c r="R2621" s="301"/>
      <c r="S2621" s="301"/>
      <c r="T2621" s="301"/>
      <c r="U2621" s="301"/>
      <c r="V2621" s="301"/>
    </row>
    <row r="2622" spans="1:22" ht="14.4" thickTop="1" thickBot="1" x14ac:dyDescent="0.3">
      <c r="A2622" s="292"/>
      <c r="B2622" s="293"/>
      <c r="C2622" s="294"/>
      <c r="D2622" s="294"/>
      <c r="E2622" s="294"/>
      <c r="F2622" s="310"/>
      <c r="G2622" s="310"/>
      <c r="H2622" s="310"/>
      <c r="I2622" s="295"/>
      <c r="J2622" s="295">
        <f>I2621</f>
        <v>25.8</v>
      </c>
      <c r="K2622" s="300">
        <f t="shared" si="342"/>
        <v>1.1000000000000001</v>
      </c>
      <c r="L2622" s="300">
        <f t="shared" si="368"/>
        <v>28.380000000000003</v>
      </c>
      <c r="M2622" s="285">
        <f t="shared" si="369"/>
        <v>28.4</v>
      </c>
      <c r="N2622" s="1076">
        <f t="shared" si="370"/>
        <v>29</v>
      </c>
      <c r="O2622" s="294"/>
      <c r="P2622" s="404"/>
      <c r="Q2622" s="404"/>
      <c r="R2622" s="301"/>
      <c r="S2622" s="301"/>
      <c r="T2622" s="301"/>
      <c r="U2622" s="301"/>
      <c r="V2622" s="301"/>
    </row>
    <row r="2623" spans="1:22" ht="14.4" thickTop="1" thickBot="1" x14ac:dyDescent="0.3">
      <c r="A2623" s="292"/>
      <c r="B2623" s="293"/>
      <c r="C2623" s="294"/>
      <c r="D2623" s="294"/>
      <c r="E2623" s="294"/>
      <c r="F2623" s="310"/>
      <c r="G2623" s="310"/>
      <c r="H2623" s="310"/>
      <c r="I2623" s="295"/>
      <c r="J2623" s="295">
        <f>J2622*3.28</f>
        <v>84.623999999999995</v>
      </c>
      <c r="K2623" s="300">
        <f t="shared" si="342"/>
        <v>1.1000000000000001</v>
      </c>
      <c r="L2623" s="300">
        <f t="shared" si="368"/>
        <v>93.086399999999998</v>
      </c>
      <c r="M2623" s="285">
        <f t="shared" si="369"/>
        <v>93.1</v>
      </c>
      <c r="N2623" s="1076">
        <f t="shared" si="370"/>
        <v>94</v>
      </c>
      <c r="O2623" s="294"/>
      <c r="P2623" s="404"/>
      <c r="Q2623" s="404"/>
      <c r="R2623" s="301"/>
      <c r="S2623" s="301"/>
      <c r="T2623" s="301"/>
      <c r="U2623" s="301"/>
      <c r="V2623" s="301"/>
    </row>
    <row r="2624" spans="1:22" ht="14.4" thickTop="1" thickBot="1" x14ac:dyDescent="0.3">
      <c r="A2624" s="292"/>
      <c r="B2624" s="293"/>
      <c r="C2624" s="294"/>
      <c r="D2624" s="294"/>
      <c r="E2624" s="294"/>
      <c r="F2624" s="310"/>
      <c r="G2624" s="310"/>
      <c r="H2624" s="310"/>
      <c r="I2624" s="295"/>
      <c r="J2624" s="295"/>
      <c r="K2624" s="300"/>
      <c r="L2624" s="300"/>
      <c r="M2624" s="285"/>
      <c r="N2624" s="1076"/>
      <c r="O2624" s="294"/>
      <c r="P2624" s="404"/>
      <c r="Q2624" s="404"/>
      <c r="R2624" s="301"/>
      <c r="S2624" s="301"/>
      <c r="T2624" s="301"/>
      <c r="U2624" s="301"/>
      <c r="V2624" s="301"/>
    </row>
    <row r="2625" spans="1:22" ht="14.4" thickTop="1" thickBot="1" x14ac:dyDescent="0.3">
      <c r="A2625" s="292"/>
      <c r="B2625" s="296" t="s">
        <v>1956</v>
      </c>
      <c r="C2625" s="294"/>
      <c r="D2625" s="294"/>
      <c r="E2625" s="294">
        <v>4</v>
      </c>
      <c r="F2625" s="310">
        <v>1.05</v>
      </c>
      <c r="G2625" s="310"/>
      <c r="H2625" s="310">
        <v>2.7</v>
      </c>
      <c r="I2625" s="295">
        <f>H2625*F2625*E2625</f>
        <v>11.340000000000002</v>
      </c>
      <c r="J2625" s="295"/>
      <c r="K2625" s="300">
        <f t="shared" si="342"/>
        <v>1.1000000000000001</v>
      </c>
      <c r="L2625" s="300">
        <f t="shared" ref="L2625:L2628" si="371">K2625*J2625</f>
        <v>0</v>
      </c>
      <c r="M2625" s="285">
        <f t="shared" ref="M2625:M2628" si="372">ROUND(L2625,1)</f>
        <v>0</v>
      </c>
      <c r="N2625" s="1076">
        <f t="shared" ref="N2625:N2628" si="373">ROUNDUP(M2625,0)</f>
        <v>0</v>
      </c>
      <c r="O2625" s="294"/>
      <c r="P2625" s="404"/>
      <c r="Q2625" s="404"/>
      <c r="R2625" s="301"/>
      <c r="S2625" s="301"/>
      <c r="T2625" s="301"/>
      <c r="U2625" s="301"/>
      <c r="V2625" s="301"/>
    </row>
    <row r="2626" spans="1:22" ht="14.4" thickTop="1" thickBot="1" x14ac:dyDescent="0.3">
      <c r="A2626" s="292"/>
      <c r="B2626" s="293"/>
      <c r="C2626" s="294"/>
      <c r="D2626" s="294"/>
      <c r="E2626" s="294"/>
      <c r="F2626" s="310"/>
      <c r="G2626" s="310"/>
      <c r="H2626" s="310"/>
      <c r="I2626" s="295"/>
      <c r="J2626" s="295">
        <f>SUM(I2625)</f>
        <v>11.340000000000002</v>
      </c>
      <c r="K2626" s="300">
        <f t="shared" si="342"/>
        <v>1.1000000000000001</v>
      </c>
      <c r="L2626" s="300">
        <f t="shared" si="371"/>
        <v>12.474000000000002</v>
      </c>
      <c r="M2626" s="285">
        <f t="shared" si="372"/>
        <v>12.5</v>
      </c>
      <c r="N2626" s="1076">
        <f t="shared" si="373"/>
        <v>13</v>
      </c>
      <c r="O2626" s="294" t="s">
        <v>695</v>
      </c>
      <c r="P2626" s="404"/>
      <c r="Q2626" s="404"/>
      <c r="R2626" s="301"/>
      <c r="S2626" s="301"/>
      <c r="T2626" s="301"/>
      <c r="U2626" s="301"/>
      <c r="V2626" s="301"/>
    </row>
    <row r="2627" spans="1:22" ht="14.4" thickTop="1" thickBot="1" x14ac:dyDescent="0.3">
      <c r="A2627" s="292"/>
      <c r="B2627" s="293"/>
      <c r="C2627" s="294"/>
      <c r="D2627" s="294"/>
      <c r="E2627" s="294"/>
      <c r="F2627" s="310"/>
      <c r="G2627" s="310"/>
      <c r="H2627" s="310"/>
      <c r="I2627" s="295"/>
      <c r="J2627" s="295">
        <f>J2626*10.76</f>
        <v>122.01840000000001</v>
      </c>
      <c r="K2627" s="300">
        <f t="shared" si="342"/>
        <v>1.1000000000000001</v>
      </c>
      <c r="L2627" s="300">
        <f t="shared" si="371"/>
        <v>134.22024000000002</v>
      </c>
      <c r="M2627" s="285">
        <f t="shared" si="372"/>
        <v>134.19999999999999</v>
      </c>
      <c r="N2627" s="1076">
        <f t="shared" si="373"/>
        <v>135</v>
      </c>
      <c r="O2627" s="294" t="s">
        <v>1846</v>
      </c>
      <c r="P2627" s="404"/>
      <c r="Q2627" s="404"/>
      <c r="R2627" s="301"/>
      <c r="S2627" s="301"/>
      <c r="T2627" s="301"/>
      <c r="U2627" s="301"/>
      <c r="V2627" s="301"/>
    </row>
    <row r="2628" spans="1:22" ht="14.4" thickTop="1" thickBot="1" x14ac:dyDescent="0.3">
      <c r="A2628" s="292"/>
      <c r="B2628" s="293"/>
      <c r="C2628" s="294"/>
      <c r="D2628" s="294"/>
      <c r="E2628" s="294"/>
      <c r="F2628" s="310"/>
      <c r="G2628" s="310"/>
      <c r="H2628" s="310"/>
      <c r="I2628" s="295"/>
      <c r="J2628" s="295">
        <f>J2627/100</f>
        <v>1.2201840000000002</v>
      </c>
      <c r="K2628" s="300">
        <v>1.05</v>
      </c>
      <c r="L2628" s="300">
        <f t="shared" si="371"/>
        <v>1.2811932000000001</v>
      </c>
      <c r="M2628" s="285">
        <f t="shared" si="372"/>
        <v>1.3</v>
      </c>
      <c r="N2628" s="1076">
        <f t="shared" si="373"/>
        <v>2</v>
      </c>
      <c r="O2628" s="294" t="s">
        <v>879</v>
      </c>
      <c r="P2628" s="404"/>
      <c r="Q2628" s="404"/>
      <c r="R2628" s="301"/>
      <c r="S2628" s="301"/>
      <c r="T2628" s="301"/>
      <c r="U2628" s="301"/>
      <c r="V2628" s="301"/>
    </row>
    <row r="2629" spans="1:22" ht="14.4" thickTop="1" thickBot="1" x14ac:dyDescent="0.3">
      <c r="A2629" s="292"/>
      <c r="B2629" s="293"/>
      <c r="C2629" s="294"/>
      <c r="D2629" s="294"/>
      <c r="E2629" s="294"/>
      <c r="F2629" s="310"/>
      <c r="G2629" s="310"/>
      <c r="H2629" s="310"/>
      <c r="I2629" s="295"/>
      <c r="J2629" s="295"/>
      <c r="K2629" s="300"/>
      <c r="L2629" s="300"/>
      <c r="M2629" s="285"/>
      <c r="N2629" s="1076"/>
      <c r="O2629" s="294"/>
      <c r="P2629" s="404"/>
      <c r="Q2629" s="404"/>
      <c r="R2629" s="301"/>
      <c r="S2629" s="301"/>
      <c r="T2629" s="301"/>
      <c r="U2629" s="301"/>
      <c r="V2629" s="301"/>
    </row>
    <row r="2630" spans="1:22" ht="14.4" thickTop="1" thickBot="1" x14ac:dyDescent="0.3">
      <c r="A2630" s="292"/>
      <c r="B2630" s="296" t="s">
        <v>2015</v>
      </c>
      <c r="C2630" s="294"/>
      <c r="D2630" s="294"/>
      <c r="E2630" s="294">
        <v>2</v>
      </c>
      <c r="F2630" s="310">
        <v>4.8</v>
      </c>
      <c r="G2630" s="310"/>
      <c r="H2630" s="310"/>
      <c r="I2630" s="295"/>
      <c r="J2630" s="295">
        <f>F2630*E2630</f>
        <v>9.6</v>
      </c>
      <c r="K2630" s="300">
        <f t="shared" si="342"/>
        <v>1.1000000000000001</v>
      </c>
      <c r="L2630" s="300">
        <f>K2630*J2630</f>
        <v>10.56</v>
      </c>
      <c r="M2630" s="285">
        <f t="shared" ref="M2630:M2631" si="374">ROUND(L2630,1)</f>
        <v>10.6</v>
      </c>
      <c r="N2630" s="1076">
        <f t="shared" ref="N2630:N2631" si="375">ROUNDUP(M2630,0)</f>
        <v>11</v>
      </c>
      <c r="O2630" s="294"/>
      <c r="P2630" s="404"/>
      <c r="Q2630" s="404"/>
      <c r="R2630" s="301"/>
      <c r="S2630" s="301"/>
      <c r="T2630" s="301"/>
      <c r="U2630" s="301"/>
      <c r="V2630" s="301"/>
    </row>
    <row r="2631" spans="1:22" ht="14.4" thickTop="1" thickBot="1" x14ac:dyDescent="0.3">
      <c r="A2631" s="292"/>
      <c r="B2631" s="293"/>
      <c r="C2631" s="294"/>
      <c r="D2631" s="294"/>
      <c r="E2631" s="294"/>
      <c r="F2631" s="310"/>
      <c r="G2631" s="310"/>
      <c r="H2631" s="310"/>
      <c r="I2631" s="295"/>
      <c r="J2631" s="295">
        <f>J2630*3.28</f>
        <v>31.487999999999996</v>
      </c>
      <c r="K2631" s="300">
        <f t="shared" si="342"/>
        <v>1.1000000000000001</v>
      </c>
      <c r="L2631" s="300">
        <f>K2631*J2631</f>
        <v>34.636800000000001</v>
      </c>
      <c r="M2631" s="285">
        <f t="shared" si="374"/>
        <v>34.6</v>
      </c>
      <c r="N2631" s="1076">
        <f t="shared" si="375"/>
        <v>35</v>
      </c>
      <c r="O2631" s="294"/>
      <c r="P2631" s="404"/>
      <c r="Q2631" s="404"/>
      <c r="R2631" s="301"/>
      <c r="S2631" s="301"/>
      <c r="T2631" s="301"/>
      <c r="U2631" s="301"/>
      <c r="V2631" s="301"/>
    </row>
    <row r="2632" spans="1:22" ht="14.4" thickTop="1" thickBot="1" x14ac:dyDescent="0.3">
      <c r="A2632" s="292"/>
      <c r="B2632" s="293"/>
      <c r="C2632" s="294"/>
      <c r="D2632" s="294"/>
      <c r="E2632" s="294"/>
      <c r="F2632" s="310"/>
      <c r="G2632" s="310"/>
      <c r="H2632" s="310"/>
      <c r="I2632" s="295"/>
      <c r="J2632" s="295"/>
      <c r="K2632" s="300"/>
      <c r="L2632" s="300"/>
      <c r="M2632" s="285"/>
      <c r="N2632" s="1076"/>
      <c r="O2632" s="294"/>
      <c r="P2632" s="404"/>
      <c r="Q2632" s="404"/>
      <c r="R2632" s="301"/>
      <c r="S2632" s="301"/>
      <c r="T2632" s="301"/>
      <c r="U2632" s="301"/>
      <c r="V2632" s="301"/>
    </row>
    <row r="2633" spans="1:22" ht="14.4" thickTop="1" thickBot="1" x14ac:dyDescent="0.3">
      <c r="A2633" s="292"/>
      <c r="B2633" s="296" t="s">
        <v>2017</v>
      </c>
      <c r="C2633" s="294"/>
      <c r="D2633" s="294"/>
      <c r="E2633" s="294"/>
      <c r="F2633" s="310">
        <v>16.812999999999999</v>
      </c>
      <c r="G2633" s="310"/>
      <c r="H2633" s="310"/>
      <c r="I2633" s="295">
        <f>F2633</f>
        <v>16.812999999999999</v>
      </c>
      <c r="J2633" s="295"/>
      <c r="K2633" s="300"/>
      <c r="L2633" s="300"/>
      <c r="M2633" s="285"/>
      <c r="N2633" s="1076"/>
      <c r="O2633" s="294"/>
      <c r="P2633" s="404"/>
      <c r="Q2633" s="404"/>
      <c r="R2633" s="301"/>
      <c r="S2633" s="301"/>
      <c r="T2633" s="301"/>
      <c r="U2633" s="301"/>
      <c r="V2633" s="301"/>
    </row>
    <row r="2634" spans="1:22" ht="14.4" thickTop="1" thickBot="1" x14ac:dyDescent="0.3">
      <c r="A2634" s="292"/>
      <c r="B2634" s="293"/>
      <c r="C2634" s="294"/>
      <c r="D2634" s="294"/>
      <c r="E2634" s="294"/>
      <c r="F2634" s="310">
        <v>13</v>
      </c>
      <c r="G2634" s="310"/>
      <c r="H2634" s="310"/>
      <c r="I2634" s="295">
        <f>F2634</f>
        <v>13</v>
      </c>
      <c r="J2634" s="295">
        <f>SUM(I2633:I2634)</f>
        <v>29.812999999999999</v>
      </c>
      <c r="K2634" s="300">
        <f>$K$2</f>
        <v>1.1000000000000001</v>
      </c>
      <c r="L2634" s="300">
        <f>K2634*J2634</f>
        <v>32.7943</v>
      </c>
      <c r="M2634" s="285">
        <f t="shared" ref="M2634:M2635" si="376">ROUND(L2634,1)</f>
        <v>32.799999999999997</v>
      </c>
      <c r="N2634" s="1076">
        <f t="shared" ref="N2634:N2635" si="377">ROUNDUP(M2634,0)</f>
        <v>33</v>
      </c>
      <c r="O2634" s="294"/>
      <c r="P2634" s="404"/>
      <c r="Q2634" s="404"/>
      <c r="R2634" s="301"/>
      <c r="S2634" s="301"/>
      <c r="T2634" s="301"/>
      <c r="U2634" s="301"/>
      <c r="V2634" s="301"/>
    </row>
    <row r="2635" spans="1:22" ht="14.4" thickTop="1" thickBot="1" x14ac:dyDescent="0.3">
      <c r="A2635" s="292"/>
      <c r="B2635" s="293"/>
      <c r="C2635" s="294"/>
      <c r="D2635" s="294"/>
      <c r="E2635" s="294"/>
      <c r="F2635" s="310"/>
      <c r="G2635" s="310"/>
      <c r="H2635" s="310"/>
      <c r="I2635" s="295"/>
      <c r="J2635" s="295">
        <f>J2634*3.28</f>
        <v>97.786639999999991</v>
      </c>
      <c r="K2635" s="300">
        <f t="shared" si="342"/>
        <v>1.1000000000000001</v>
      </c>
      <c r="L2635" s="300">
        <f>K2635*J2635</f>
        <v>107.565304</v>
      </c>
      <c r="M2635" s="285">
        <f t="shared" si="376"/>
        <v>107.6</v>
      </c>
      <c r="N2635" s="1076">
        <f t="shared" si="377"/>
        <v>108</v>
      </c>
      <c r="O2635" s="294"/>
      <c r="P2635" s="404"/>
      <c r="Q2635" s="404"/>
      <c r="R2635" s="301"/>
      <c r="S2635" s="301"/>
      <c r="T2635" s="301"/>
      <c r="U2635" s="301"/>
      <c r="V2635" s="301"/>
    </row>
    <row r="2636" spans="1:22" ht="14.4" thickTop="1" thickBot="1" x14ac:dyDescent="0.3">
      <c r="A2636" s="292"/>
      <c r="B2636" s="293"/>
      <c r="C2636" s="294"/>
      <c r="D2636" s="294"/>
      <c r="E2636" s="294"/>
      <c r="F2636" s="310"/>
      <c r="G2636" s="310"/>
      <c r="H2636" s="310"/>
      <c r="I2636" s="295"/>
      <c r="J2636" s="295"/>
      <c r="K2636" s="300"/>
      <c r="L2636" s="300"/>
      <c r="M2636" s="285"/>
      <c r="N2636" s="1076"/>
      <c r="O2636" s="294"/>
      <c r="P2636" s="404"/>
      <c r="Q2636" s="404"/>
      <c r="R2636" s="301"/>
      <c r="S2636" s="301"/>
      <c r="T2636" s="301"/>
      <c r="U2636" s="301"/>
      <c r="V2636" s="301"/>
    </row>
    <row r="2637" spans="1:22" ht="14.4" thickTop="1" thickBot="1" x14ac:dyDescent="0.3">
      <c r="A2637" s="292"/>
      <c r="B2637" s="293" t="s">
        <v>2449</v>
      </c>
      <c r="C2637" s="294"/>
      <c r="D2637" s="294"/>
      <c r="E2637" s="294"/>
      <c r="F2637" s="310"/>
      <c r="G2637" s="310"/>
      <c r="H2637" s="310"/>
      <c r="I2637" s="295"/>
      <c r="J2637" s="295"/>
      <c r="K2637" s="300"/>
      <c r="L2637" s="300"/>
      <c r="M2637" s="285"/>
      <c r="N2637" s="1076"/>
      <c r="O2637" s="294"/>
      <c r="P2637" s="404"/>
      <c r="Q2637" s="404"/>
      <c r="R2637" s="301"/>
      <c r="S2637" s="301"/>
      <c r="T2637" s="301"/>
      <c r="U2637" s="301"/>
      <c r="V2637" s="301"/>
    </row>
    <row r="2638" spans="1:22" ht="14.4" thickTop="1" thickBot="1" x14ac:dyDescent="0.3">
      <c r="A2638" s="292"/>
      <c r="B2638" s="293" t="s">
        <v>799</v>
      </c>
      <c r="C2638" s="294"/>
      <c r="D2638" s="294"/>
      <c r="E2638" s="294"/>
      <c r="F2638" s="310">
        <v>19</v>
      </c>
      <c r="G2638" s="310"/>
      <c r="H2638" s="310"/>
      <c r="I2638" s="295"/>
      <c r="J2638" s="295"/>
      <c r="K2638" s="300"/>
      <c r="L2638" s="300"/>
      <c r="M2638" s="285"/>
      <c r="N2638" s="1076"/>
      <c r="O2638" s="294"/>
      <c r="P2638" s="404"/>
      <c r="Q2638" s="404"/>
      <c r="R2638" s="301"/>
      <c r="S2638" s="301"/>
      <c r="T2638" s="301"/>
      <c r="U2638" s="301"/>
      <c r="V2638" s="301"/>
    </row>
    <row r="2639" spans="1:22" ht="14.4" thickTop="1" thickBot="1" x14ac:dyDescent="0.3">
      <c r="A2639" s="292"/>
      <c r="B2639" s="293"/>
      <c r="C2639" s="294"/>
      <c r="D2639" s="294"/>
      <c r="E2639" s="294"/>
      <c r="F2639" s="310">
        <v>3</v>
      </c>
      <c r="G2639" s="310"/>
      <c r="H2639" s="310"/>
      <c r="I2639" s="295"/>
      <c r="J2639" s="295"/>
      <c r="K2639" s="300"/>
      <c r="L2639" s="300"/>
      <c r="M2639" s="285"/>
      <c r="N2639" s="1076"/>
      <c r="O2639" s="294"/>
      <c r="P2639" s="404"/>
      <c r="Q2639" s="404"/>
      <c r="R2639" s="301"/>
      <c r="S2639" s="301"/>
      <c r="T2639" s="301"/>
      <c r="U2639" s="301"/>
      <c r="V2639" s="301"/>
    </row>
    <row r="2640" spans="1:22" ht="14.4" thickTop="1" thickBot="1" x14ac:dyDescent="0.3">
      <c r="A2640" s="292"/>
      <c r="B2640" s="293"/>
      <c r="C2640" s="294"/>
      <c r="D2640" s="294"/>
      <c r="E2640" s="294"/>
      <c r="F2640" s="310">
        <v>5</v>
      </c>
      <c r="G2640" s="310"/>
      <c r="H2640" s="310"/>
      <c r="I2640" s="295"/>
      <c r="J2640" s="295"/>
      <c r="K2640" s="300"/>
      <c r="L2640" s="300"/>
      <c r="M2640" s="285"/>
      <c r="N2640" s="1076"/>
      <c r="O2640" s="294"/>
      <c r="P2640" s="404"/>
      <c r="Q2640" s="404"/>
      <c r="R2640" s="301"/>
      <c r="S2640" s="301"/>
      <c r="T2640" s="301"/>
      <c r="U2640" s="301"/>
      <c r="V2640" s="301"/>
    </row>
    <row r="2641" spans="1:22" ht="14.4" thickTop="1" thickBot="1" x14ac:dyDescent="0.3">
      <c r="A2641" s="292"/>
      <c r="B2641" s="293"/>
      <c r="C2641" s="294"/>
      <c r="D2641" s="294"/>
      <c r="E2641" s="294"/>
      <c r="F2641" s="310">
        <v>5</v>
      </c>
      <c r="G2641" s="310"/>
      <c r="H2641" s="310"/>
      <c r="I2641" s="295"/>
      <c r="J2641" s="295"/>
      <c r="K2641" s="300"/>
      <c r="L2641" s="300"/>
      <c r="M2641" s="285"/>
      <c r="N2641" s="1076"/>
      <c r="O2641" s="294"/>
      <c r="P2641" s="404"/>
      <c r="Q2641" s="404"/>
      <c r="R2641" s="301"/>
      <c r="S2641" s="301"/>
      <c r="T2641" s="301"/>
      <c r="U2641" s="301"/>
      <c r="V2641" s="301"/>
    </row>
    <row r="2642" spans="1:22" ht="14.4" thickTop="1" thickBot="1" x14ac:dyDescent="0.3">
      <c r="A2642" s="292"/>
      <c r="B2642" s="293"/>
      <c r="C2642" s="294"/>
      <c r="D2642" s="294"/>
      <c r="E2642" s="294"/>
      <c r="F2642" s="310">
        <v>8</v>
      </c>
      <c r="G2642" s="310"/>
      <c r="H2642" s="310"/>
      <c r="I2642" s="295"/>
      <c r="J2642" s="295"/>
      <c r="K2642" s="300"/>
      <c r="L2642" s="300"/>
      <c r="M2642" s="285"/>
      <c r="N2642" s="1076"/>
      <c r="O2642" s="294"/>
      <c r="P2642" s="404"/>
      <c r="Q2642" s="404"/>
      <c r="R2642" s="301"/>
      <c r="S2642" s="301"/>
      <c r="T2642" s="301"/>
      <c r="U2642" s="301"/>
      <c r="V2642" s="301"/>
    </row>
    <row r="2643" spans="1:22" ht="14.4" thickTop="1" thickBot="1" x14ac:dyDescent="0.3">
      <c r="A2643" s="292"/>
      <c r="B2643" s="293"/>
      <c r="C2643" s="294"/>
      <c r="D2643" s="294"/>
      <c r="E2643" s="294"/>
      <c r="F2643" s="310">
        <v>5</v>
      </c>
      <c r="G2643" s="310"/>
      <c r="H2643" s="310"/>
      <c r="I2643" s="295"/>
      <c r="J2643" s="295"/>
      <c r="K2643" s="300"/>
      <c r="L2643" s="300"/>
      <c r="M2643" s="285"/>
      <c r="N2643" s="1076"/>
      <c r="O2643" s="294"/>
      <c r="P2643" s="404"/>
      <c r="Q2643" s="404"/>
      <c r="R2643" s="301"/>
      <c r="S2643" s="301"/>
      <c r="T2643" s="301"/>
      <c r="U2643" s="301"/>
      <c r="V2643" s="301"/>
    </row>
    <row r="2644" spans="1:22" ht="14.4" thickTop="1" thickBot="1" x14ac:dyDescent="0.3">
      <c r="A2644" s="292"/>
      <c r="B2644" s="293"/>
      <c r="C2644" s="294"/>
      <c r="D2644" s="294"/>
      <c r="E2644" s="294"/>
      <c r="F2644" s="310">
        <v>1.78</v>
      </c>
      <c r="G2644" s="310"/>
      <c r="H2644" s="310"/>
      <c r="I2644" s="295"/>
      <c r="J2644" s="295">
        <f>SUM(F2638:F2644)</f>
        <v>46.78</v>
      </c>
      <c r="K2644" s="300">
        <f>$K$2</f>
        <v>1.1000000000000001</v>
      </c>
      <c r="L2644" s="300">
        <f>K2644*J2644</f>
        <v>51.458000000000006</v>
      </c>
      <c r="M2644" s="285">
        <f t="shared" ref="M2644:M2645" si="378">ROUND(L2644,1)</f>
        <v>51.5</v>
      </c>
      <c r="N2644" s="1076">
        <f t="shared" ref="N2644:N2645" si="379">ROUNDUP(M2644,0)</f>
        <v>52</v>
      </c>
      <c r="O2644" s="294"/>
      <c r="P2644" s="404"/>
      <c r="Q2644" s="404"/>
      <c r="R2644" s="301"/>
      <c r="S2644" s="301"/>
      <c r="T2644" s="301"/>
      <c r="U2644" s="301"/>
      <c r="V2644" s="301"/>
    </row>
    <row r="2645" spans="1:22" ht="14.4" thickTop="1" thickBot="1" x14ac:dyDescent="0.3">
      <c r="A2645" s="292"/>
      <c r="B2645" s="293"/>
      <c r="C2645" s="294"/>
      <c r="D2645" s="294"/>
      <c r="E2645" s="294"/>
      <c r="F2645" s="310"/>
      <c r="G2645" s="310"/>
      <c r="H2645" s="310"/>
      <c r="I2645" s="295"/>
      <c r="J2645" s="295">
        <f>J2644*3.28</f>
        <v>153.4384</v>
      </c>
      <c r="K2645" s="300">
        <f t="shared" si="342"/>
        <v>1.1000000000000001</v>
      </c>
      <c r="L2645" s="300">
        <f>K2645*J2645</f>
        <v>168.78224</v>
      </c>
      <c r="M2645" s="285">
        <f t="shared" si="378"/>
        <v>168.8</v>
      </c>
      <c r="N2645" s="1076">
        <f t="shared" si="379"/>
        <v>169</v>
      </c>
      <c r="O2645" s="294"/>
      <c r="P2645" s="404"/>
      <c r="Q2645" s="404"/>
      <c r="R2645" s="301"/>
      <c r="S2645" s="301"/>
      <c r="T2645" s="301"/>
      <c r="U2645" s="301"/>
      <c r="V2645" s="301"/>
    </row>
    <row r="2646" spans="1:22" ht="14.4" thickTop="1" thickBot="1" x14ac:dyDescent="0.3">
      <c r="A2646" s="292"/>
      <c r="B2646" s="293"/>
      <c r="C2646" s="294"/>
      <c r="D2646" s="294"/>
      <c r="E2646" s="294"/>
      <c r="F2646" s="310"/>
      <c r="G2646" s="310"/>
      <c r="H2646" s="310"/>
      <c r="I2646" s="295"/>
      <c r="J2646" s="295"/>
      <c r="K2646" s="300"/>
      <c r="L2646" s="300"/>
      <c r="M2646" s="285"/>
      <c r="N2646" s="1076"/>
      <c r="O2646" s="294"/>
      <c r="P2646" s="404"/>
      <c r="Q2646" s="404"/>
      <c r="R2646" s="301"/>
      <c r="S2646" s="301"/>
      <c r="T2646" s="301"/>
      <c r="U2646" s="301"/>
      <c r="V2646" s="301"/>
    </row>
    <row r="2647" spans="1:22" ht="14.4" thickTop="1" thickBot="1" x14ac:dyDescent="0.3">
      <c r="A2647" s="292"/>
      <c r="B2647" s="293" t="s">
        <v>802</v>
      </c>
      <c r="C2647" s="294"/>
      <c r="D2647" s="294"/>
      <c r="E2647" s="294"/>
      <c r="F2647" s="310">
        <v>12</v>
      </c>
      <c r="G2647" s="310"/>
      <c r="H2647" s="310"/>
      <c r="I2647" s="295"/>
      <c r="J2647" s="295">
        <f>F2647</f>
        <v>12</v>
      </c>
      <c r="K2647" s="300">
        <f>$K$2</f>
        <v>1.1000000000000001</v>
      </c>
      <c r="L2647" s="300">
        <f>K2647*J2647</f>
        <v>13.200000000000001</v>
      </c>
      <c r="M2647" s="285">
        <f t="shared" ref="M2647:M2648" si="380">ROUND(L2647,1)</f>
        <v>13.2</v>
      </c>
      <c r="N2647" s="1076">
        <f t="shared" ref="N2647:N2648" si="381">ROUNDUP(M2647,0)</f>
        <v>14</v>
      </c>
      <c r="O2647" s="294"/>
      <c r="P2647" s="404"/>
      <c r="Q2647" s="404"/>
      <c r="R2647" s="301"/>
      <c r="S2647" s="301"/>
      <c r="T2647" s="301"/>
      <c r="U2647" s="301"/>
      <c r="V2647" s="301"/>
    </row>
    <row r="2648" spans="1:22" ht="14.4" thickTop="1" thickBot="1" x14ac:dyDescent="0.3">
      <c r="A2648" s="292"/>
      <c r="B2648" s="293"/>
      <c r="C2648" s="294"/>
      <c r="D2648" s="294"/>
      <c r="E2648" s="294"/>
      <c r="F2648" s="310"/>
      <c r="G2648" s="310"/>
      <c r="H2648" s="310"/>
      <c r="I2648" s="295"/>
      <c r="J2648" s="295">
        <f>J2647*3.28</f>
        <v>39.36</v>
      </c>
      <c r="K2648" s="300">
        <f t="shared" si="342"/>
        <v>1.1000000000000001</v>
      </c>
      <c r="L2648" s="300">
        <f>K2648*J2648</f>
        <v>43.295999999999999</v>
      </c>
      <c r="M2648" s="285">
        <f t="shared" si="380"/>
        <v>43.3</v>
      </c>
      <c r="N2648" s="1076">
        <f t="shared" si="381"/>
        <v>44</v>
      </c>
      <c r="O2648" s="294"/>
      <c r="P2648" s="404"/>
      <c r="Q2648" s="404"/>
      <c r="R2648" s="301"/>
      <c r="S2648" s="301"/>
      <c r="T2648" s="301"/>
      <c r="U2648" s="301"/>
      <c r="V2648" s="301"/>
    </row>
    <row r="2649" spans="1:22" ht="14.4" thickTop="1" thickBot="1" x14ac:dyDescent="0.3">
      <c r="A2649" s="292"/>
      <c r="B2649" s="293"/>
      <c r="C2649" s="294"/>
      <c r="D2649" s="294"/>
      <c r="E2649" s="294"/>
      <c r="F2649" s="310"/>
      <c r="G2649" s="310"/>
      <c r="H2649" s="310"/>
      <c r="I2649" s="295"/>
      <c r="J2649" s="295"/>
      <c r="K2649" s="300"/>
      <c r="L2649" s="300"/>
      <c r="M2649" s="285"/>
      <c r="N2649" s="1076"/>
      <c r="O2649" s="294"/>
      <c r="P2649" s="404"/>
      <c r="Q2649" s="404"/>
      <c r="R2649" s="301"/>
      <c r="S2649" s="301"/>
      <c r="T2649" s="301"/>
      <c r="U2649" s="301"/>
      <c r="V2649" s="301"/>
    </row>
    <row r="2650" spans="1:22" ht="14.4" thickTop="1" thickBot="1" x14ac:dyDescent="0.3">
      <c r="A2650" s="292"/>
      <c r="B2650" s="293" t="s">
        <v>803</v>
      </c>
      <c r="C2650" s="294"/>
      <c r="D2650" s="294"/>
      <c r="E2650" s="294">
        <v>4</v>
      </c>
      <c r="F2650" s="310">
        <v>3</v>
      </c>
      <c r="G2650" s="310"/>
      <c r="H2650" s="310"/>
      <c r="I2650" s="295"/>
      <c r="J2650" s="295">
        <f>F2650*E2650</f>
        <v>12</v>
      </c>
      <c r="K2650" s="300">
        <f>$K$2</f>
        <v>1.1000000000000001</v>
      </c>
      <c r="L2650" s="300">
        <f>K2650*J2650</f>
        <v>13.200000000000001</v>
      </c>
      <c r="M2650" s="285">
        <f t="shared" ref="M2650:M2651" si="382">ROUND(L2650,1)</f>
        <v>13.2</v>
      </c>
      <c r="N2650" s="1076">
        <f t="shared" ref="N2650:N2651" si="383">ROUNDUP(M2650,0)</f>
        <v>14</v>
      </c>
      <c r="O2650" s="294"/>
      <c r="P2650" s="404"/>
      <c r="Q2650" s="404"/>
      <c r="R2650" s="301"/>
      <c r="S2650" s="301"/>
      <c r="T2650" s="301"/>
      <c r="U2650" s="301"/>
      <c r="V2650" s="301"/>
    </row>
    <row r="2651" spans="1:22" ht="14.4" thickTop="1" thickBot="1" x14ac:dyDescent="0.3">
      <c r="A2651" s="292"/>
      <c r="B2651" s="293"/>
      <c r="C2651" s="294"/>
      <c r="D2651" s="294"/>
      <c r="E2651" s="294"/>
      <c r="F2651" s="310"/>
      <c r="G2651" s="310"/>
      <c r="H2651" s="310"/>
      <c r="I2651" s="295"/>
      <c r="J2651" s="295">
        <f>J2650*3.28</f>
        <v>39.36</v>
      </c>
      <c r="K2651" s="300">
        <f t="shared" si="342"/>
        <v>1.1000000000000001</v>
      </c>
      <c r="L2651" s="300">
        <f>K2651*J2651</f>
        <v>43.295999999999999</v>
      </c>
      <c r="M2651" s="285">
        <f t="shared" si="382"/>
        <v>43.3</v>
      </c>
      <c r="N2651" s="1076">
        <f t="shared" si="383"/>
        <v>44</v>
      </c>
      <c r="O2651" s="294"/>
      <c r="P2651" s="404"/>
      <c r="Q2651" s="404"/>
      <c r="R2651" s="301"/>
      <c r="S2651" s="301"/>
      <c r="T2651" s="301"/>
      <c r="U2651" s="301"/>
      <c r="V2651" s="301"/>
    </row>
    <row r="2652" spans="1:22" ht="14.4" thickTop="1" thickBot="1" x14ac:dyDescent="0.3">
      <c r="A2652" s="292"/>
      <c r="B2652" s="293"/>
      <c r="C2652" s="294"/>
      <c r="D2652" s="294"/>
      <c r="E2652" s="294"/>
      <c r="F2652" s="310"/>
      <c r="G2652" s="310"/>
      <c r="H2652" s="310"/>
      <c r="I2652" s="295"/>
      <c r="J2652" s="295"/>
      <c r="K2652" s="300"/>
      <c r="L2652" s="300"/>
      <c r="M2652" s="285"/>
      <c r="N2652" s="1076"/>
      <c r="O2652" s="294"/>
      <c r="P2652" s="404"/>
      <c r="Q2652" s="404"/>
      <c r="R2652" s="301"/>
      <c r="S2652" s="301"/>
      <c r="T2652" s="301"/>
      <c r="U2652" s="301"/>
      <c r="V2652" s="301"/>
    </row>
    <row r="2653" spans="1:22" ht="14.4" thickTop="1" thickBot="1" x14ac:dyDescent="0.3">
      <c r="A2653" s="292"/>
      <c r="B2653" s="293" t="s">
        <v>2450</v>
      </c>
      <c r="C2653" s="294"/>
      <c r="D2653" s="294"/>
      <c r="E2653" s="294"/>
      <c r="F2653" s="310"/>
      <c r="G2653" s="310"/>
      <c r="H2653" s="310"/>
      <c r="I2653" s="295"/>
      <c r="J2653" s="295"/>
      <c r="K2653" s="300"/>
      <c r="L2653" s="300"/>
      <c r="M2653" s="285"/>
      <c r="N2653" s="1076"/>
      <c r="O2653" s="294"/>
      <c r="P2653" s="404"/>
      <c r="Q2653" s="404"/>
      <c r="R2653" s="301"/>
      <c r="S2653" s="301"/>
      <c r="T2653" s="301"/>
      <c r="U2653" s="301"/>
      <c r="V2653" s="301"/>
    </row>
    <row r="2654" spans="1:22" ht="14.4" thickTop="1" thickBot="1" x14ac:dyDescent="0.3">
      <c r="A2654" s="292"/>
      <c r="B2654" s="293" t="s">
        <v>799</v>
      </c>
      <c r="C2654" s="294"/>
      <c r="D2654" s="294"/>
      <c r="E2654" s="294">
        <v>5</v>
      </c>
      <c r="F2654" s="310">
        <v>2</v>
      </c>
      <c r="G2654" s="310"/>
      <c r="H2654" s="310"/>
      <c r="I2654" s="295">
        <f>F2654*E2654</f>
        <v>10</v>
      </c>
      <c r="J2654" s="295"/>
      <c r="K2654" s="300"/>
      <c r="L2654" s="300"/>
      <c r="M2654" s="285"/>
      <c r="N2654" s="1076"/>
      <c r="O2654" s="294"/>
      <c r="P2654" s="404"/>
      <c r="Q2654" s="404"/>
      <c r="R2654" s="301"/>
      <c r="S2654" s="301"/>
      <c r="T2654" s="301"/>
      <c r="U2654" s="301"/>
      <c r="V2654" s="301"/>
    </row>
    <row r="2655" spans="1:22" ht="14.4" thickTop="1" thickBot="1" x14ac:dyDescent="0.3">
      <c r="A2655" s="292"/>
      <c r="B2655" s="293"/>
      <c r="C2655" s="294"/>
      <c r="D2655" s="294"/>
      <c r="E2655" s="294">
        <v>1</v>
      </c>
      <c r="F2655" s="310">
        <v>8</v>
      </c>
      <c r="G2655" s="310"/>
      <c r="H2655" s="310"/>
      <c r="I2655" s="295">
        <f>F2655*E2655</f>
        <v>8</v>
      </c>
      <c r="J2655" s="295"/>
      <c r="K2655" s="300"/>
      <c r="L2655" s="300"/>
      <c r="M2655" s="285"/>
      <c r="N2655" s="1076"/>
      <c r="O2655" s="294"/>
      <c r="P2655" s="404"/>
      <c r="Q2655" s="404"/>
      <c r="R2655" s="301"/>
      <c r="S2655" s="301"/>
      <c r="T2655" s="301"/>
      <c r="U2655" s="301"/>
      <c r="V2655" s="301"/>
    </row>
    <row r="2656" spans="1:22" ht="14.4" thickTop="1" thickBot="1" x14ac:dyDescent="0.3">
      <c r="A2656" s="292"/>
      <c r="B2656" s="293"/>
      <c r="C2656" s="294"/>
      <c r="D2656" s="294"/>
      <c r="E2656" s="294"/>
      <c r="F2656" s="310"/>
      <c r="G2656" s="310"/>
      <c r="H2656" s="310"/>
      <c r="I2656" s="295"/>
      <c r="J2656" s="295">
        <f>SUM(I2654:I2655)</f>
        <v>18</v>
      </c>
      <c r="K2656" s="300">
        <f>$K$2</f>
        <v>1.1000000000000001</v>
      </c>
      <c r="L2656" s="300">
        <f>K2656*J2656</f>
        <v>19.8</v>
      </c>
      <c r="M2656" s="285">
        <f t="shared" ref="M2656:M2657" si="384">ROUND(L2656,1)</f>
        <v>19.8</v>
      </c>
      <c r="N2656" s="1076">
        <f t="shared" ref="N2656:N2657" si="385">ROUNDUP(M2656,0)</f>
        <v>20</v>
      </c>
      <c r="O2656" s="294"/>
      <c r="P2656" s="404"/>
      <c r="Q2656" s="404"/>
      <c r="R2656" s="301"/>
      <c r="S2656" s="301"/>
      <c r="T2656" s="301"/>
      <c r="U2656" s="301"/>
      <c r="V2656" s="301"/>
    </row>
    <row r="2657" spans="1:22" ht="14.4" thickTop="1" thickBot="1" x14ac:dyDescent="0.3">
      <c r="A2657" s="292"/>
      <c r="B2657" s="293"/>
      <c r="C2657" s="294"/>
      <c r="D2657" s="294"/>
      <c r="E2657" s="294"/>
      <c r="F2657" s="310"/>
      <c r="G2657" s="310"/>
      <c r="H2657" s="310"/>
      <c r="I2657" s="295"/>
      <c r="J2657" s="295">
        <f>J2656*3.28</f>
        <v>59.04</v>
      </c>
      <c r="K2657" s="300">
        <f t="shared" si="342"/>
        <v>1.1000000000000001</v>
      </c>
      <c r="L2657" s="300">
        <f>K2657*J2657</f>
        <v>64.944000000000003</v>
      </c>
      <c r="M2657" s="285">
        <f t="shared" si="384"/>
        <v>64.900000000000006</v>
      </c>
      <c r="N2657" s="1076">
        <f t="shared" si="385"/>
        <v>65</v>
      </c>
      <c r="O2657" s="294"/>
      <c r="P2657" s="404"/>
      <c r="Q2657" s="404"/>
      <c r="R2657" s="301"/>
      <c r="S2657" s="301"/>
      <c r="T2657" s="301"/>
      <c r="U2657" s="301"/>
      <c r="V2657" s="301"/>
    </row>
    <row r="2658" spans="1:22" ht="14.4" thickTop="1" thickBot="1" x14ac:dyDescent="0.3">
      <c r="A2658" s="292"/>
      <c r="B2658" s="293"/>
      <c r="C2658" s="294"/>
      <c r="D2658" s="294"/>
      <c r="E2658" s="294"/>
      <c r="F2658" s="310"/>
      <c r="G2658" s="310"/>
      <c r="H2658" s="310"/>
      <c r="I2658" s="295"/>
      <c r="J2658" s="295"/>
      <c r="K2658" s="300"/>
      <c r="L2658" s="300"/>
      <c r="M2658" s="285"/>
      <c r="N2658" s="1076"/>
      <c r="O2658" s="294"/>
      <c r="P2658" s="404"/>
      <c r="Q2658" s="404"/>
      <c r="R2658" s="301"/>
      <c r="S2658" s="301"/>
      <c r="T2658" s="301"/>
      <c r="U2658" s="301"/>
      <c r="V2658" s="301"/>
    </row>
    <row r="2659" spans="1:22" ht="14.4" thickTop="1" thickBot="1" x14ac:dyDescent="0.3">
      <c r="A2659" s="292"/>
      <c r="B2659" s="293" t="s">
        <v>802</v>
      </c>
      <c r="C2659" s="294"/>
      <c r="D2659" s="294"/>
      <c r="E2659" s="294"/>
      <c r="F2659" s="310">
        <v>12</v>
      </c>
      <c r="G2659" s="310"/>
      <c r="H2659" s="310"/>
      <c r="I2659" s="295"/>
      <c r="J2659" s="295">
        <f>F2659</f>
        <v>12</v>
      </c>
      <c r="K2659" s="300">
        <f>$K$2</f>
        <v>1.1000000000000001</v>
      </c>
      <c r="L2659" s="300">
        <f>K2659*J2659</f>
        <v>13.200000000000001</v>
      </c>
      <c r="M2659" s="285">
        <f t="shared" ref="M2659:M2660" si="386">ROUND(L2659,1)</f>
        <v>13.2</v>
      </c>
      <c r="N2659" s="1076">
        <f t="shared" ref="N2659:N2660" si="387">ROUNDUP(M2659,0)</f>
        <v>14</v>
      </c>
      <c r="O2659" s="294"/>
      <c r="P2659" s="404"/>
      <c r="Q2659" s="404"/>
      <c r="R2659" s="301"/>
      <c r="S2659" s="301"/>
      <c r="T2659" s="301"/>
      <c r="U2659" s="301"/>
      <c r="V2659" s="301"/>
    </row>
    <row r="2660" spans="1:22" ht="14.4" thickTop="1" thickBot="1" x14ac:dyDescent="0.3">
      <c r="A2660" s="292"/>
      <c r="B2660" s="293"/>
      <c r="C2660" s="294"/>
      <c r="D2660" s="294"/>
      <c r="E2660" s="294"/>
      <c r="F2660" s="310"/>
      <c r="G2660" s="310"/>
      <c r="H2660" s="310"/>
      <c r="I2660" s="295"/>
      <c r="J2660" s="295">
        <f>J2659*3.28</f>
        <v>39.36</v>
      </c>
      <c r="K2660" s="300">
        <f t="shared" si="342"/>
        <v>1.1000000000000001</v>
      </c>
      <c r="L2660" s="300">
        <f>K2660*J2660</f>
        <v>43.295999999999999</v>
      </c>
      <c r="M2660" s="285">
        <f t="shared" si="386"/>
        <v>43.3</v>
      </c>
      <c r="N2660" s="1076">
        <f t="shared" si="387"/>
        <v>44</v>
      </c>
      <c r="O2660" s="294"/>
      <c r="P2660" s="404"/>
      <c r="Q2660" s="404"/>
      <c r="R2660" s="301"/>
      <c r="S2660" s="301"/>
      <c r="T2660" s="301"/>
      <c r="U2660" s="301"/>
      <c r="V2660" s="301"/>
    </row>
    <row r="2661" spans="1:22" ht="14.4" thickTop="1" thickBot="1" x14ac:dyDescent="0.3">
      <c r="A2661" s="292"/>
      <c r="B2661" s="293"/>
      <c r="C2661" s="294"/>
      <c r="D2661" s="294"/>
      <c r="E2661" s="294"/>
      <c r="F2661" s="310"/>
      <c r="G2661" s="310"/>
      <c r="H2661" s="310"/>
      <c r="I2661" s="295"/>
      <c r="J2661" s="295"/>
      <c r="K2661" s="300"/>
      <c r="L2661" s="300"/>
      <c r="M2661" s="285"/>
      <c r="N2661" s="1076"/>
      <c r="O2661" s="294"/>
      <c r="P2661" s="404"/>
      <c r="Q2661" s="404"/>
      <c r="R2661" s="301"/>
      <c r="S2661" s="301"/>
      <c r="T2661" s="301"/>
      <c r="U2661" s="301"/>
      <c r="V2661" s="301"/>
    </row>
    <row r="2662" spans="1:22" ht="14.4" thickTop="1" thickBot="1" x14ac:dyDescent="0.3">
      <c r="A2662" s="292"/>
      <c r="B2662" s="293" t="s">
        <v>803</v>
      </c>
      <c r="C2662" s="294"/>
      <c r="D2662" s="294"/>
      <c r="E2662" s="294">
        <v>4</v>
      </c>
      <c r="F2662" s="310">
        <v>3</v>
      </c>
      <c r="G2662" s="310"/>
      <c r="H2662" s="310"/>
      <c r="I2662" s="295"/>
      <c r="J2662" s="295">
        <f>F2662*E2662</f>
        <v>12</v>
      </c>
      <c r="K2662" s="300">
        <f>$K$2</f>
        <v>1.1000000000000001</v>
      </c>
      <c r="L2662" s="300">
        <f>K2662*J2662</f>
        <v>13.200000000000001</v>
      </c>
      <c r="M2662" s="285">
        <f t="shared" ref="M2662:M2663" si="388">ROUND(L2662,1)</f>
        <v>13.2</v>
      </c>
      <c r="N2662" s="1076">
        <f t="shared" ref="N2662:N2663" si="389">ROUNDUP(M2662,0)</f>
        <v>14</v>
      </c>
      <c r="O2662" s="294"/>
      <c r="P2662" s="404"/>
      <c r="Q2662" s="404"/>
      <c r="R2662" s="301"/>
      <c r="S2662" s="301"/>
      <c r="T2662" s="301"/>
      <c r="U2662" s="301"/>
      <c r="V2662" s="301"/>
    </row>
    <row r="2663" spans="1:22" ht="14.4" thickTop="1" thickBot="1" x14ac:dyDescent="0.3">
      <c r="A2663" s="292"/>
      <c r="B2663" s="293"/>
      <c r="C2663" s="294"/>
      <c r="D2663" s="294"/>
      <c r="E2663" s="294"/>
      <c r="F2663" s="310"/>
      <c r="G2663" s="310"/>
      <c r="H2663" s="310"/>
      <c r="I2663" s="295"/>
      <c r="J2663" s="295">
        <f>J2662*3.28</f>
        <v>39.36</v>
      </c>
      <c r="K2663" s="300">
        <f t="shared" si="342"/>
        <v>1.1000000000000001</v>
      </c>
      <c r="L2663" s="300">
        <f>K2663*J2663</f>
        <v>43.295999999999999</v>
      </c>
      <c r="M2663" s="285">
        <f t="shared" si="388"/>
        <v>43.3</v>
      </c>
      <c r="N2663" s="1076">
        <f t="shared" si="389"/>
        <v>44</v>
      </c>
      <c r="O2663" s="294"/>
      <c r="P2663" s="404"/>
      <c r="Q2663" s="404"/>
      <c r="R2663" s="301"/>
      <c r="S2663" s="301"/>
      <c r="T2663" s="301"/>
      <c r="U2663" s="301"/>
      <c r="V2663" s="301"/>
    </row>
    <row r="2664" spans="1:22" ht="14.4" thickTop="1" thickBot="1" x14ac:dyDescent="0.3">
      <c r="A2664" s="292"/>
      <c r="B2664" s="293"/>
      <c r="C2664" s="294"/>
      <c r="D2664" s="294"/>
      <c r="E2664" s="294"/>
      <c r="F2664" s="310"/>
      <c r="G2664" s="310"/>
      <c r="H2664" s="310"/>
      <c r="I2664" s="295"/>
      <c r="J2664" s="295"/>
      <c r="K2664" s="300"/>
      <c r="L2664" s="300"/>
      <c r="M2664" s="285"/>
      <c r="N2664" s="1076"/>
      <c r="O2664" s="294"/>
      <c r="P2664" s="404"/>
      <c r="Q2664" s="404"/>
      <c r="R2664" s="301"/>
      <c r="S2664" s="301"/>
      <c r="T2664" s="301"/>
      <c r="U2664" s="301"/>
      <c r="V2664" s="301"/>
    </row>
    <row r="2665" spans="1:22" ht="14.4" thickTop="1" thickBot="1" x14ac:dyDescent="0.3">
      <c r="A2665" s="292"/>
      <c r="B2665" s="293"/>
      <c r="C2665" s="294"/>
      <c r="D2665" s="294"/>
      <c r="E2665" s="294"/>
      <c r="F2665" s="310"/>
      <c r="G2665" s="310"/>
      <c r="H2665" s="310"/>
      <c r="I2665" s="295"/>
      <c r="J2665" s="295"/>
      <c r="K2665" s="300"/>
      <c r="L2665" s="300"/>
      <c r="M2665" s="285"/>
      <c r="N2665" s="1076"/>
      <c r="O2665" s="294"/>
      <c r="P2665" s="404"/>
      <c r="Q2665" s="404"/>
      <c r="R2665" s="301"/>
      <c r="S2665" s="301"/>
      <c r="T2665" s="301"/>
      <c r="U2665" s="301"/>
      <c r="V2665" s="301"/>
    </row>
    <row r="2666" spans="1:22" ht="14.4" thickTop="1" thickBot="1" x14ac:dyDescent="0.3">
      <c r="A2666" s="292"/>
      <c r="B2666" s="293" t="s">
        <v>2451</v>
      </c>
      <c r="C2666" s="294"/>
      <c r="D2666" s="294"/>
      <c r="E2666" s="294">
        <v>3</v>
      </c>
      <c r="F2666" s="310"/>
      <c r="G2666" s="310"/>
      <c r="H2666" s="310"/>
      <c r="I2666" s="295">
        <v>100</v>
      </c>
      <c r="J2666" s="295">
        <f>I2666*E2666</f>
        <v>300</v>
      </c>
      <c r="K2666" s="300"/>
      <c r="L2666" s="300"/>
      <c r="M2666" s="285"/>
      <c r="N2666" s="1076"/>
      <c r="O2666" s="294"/>
      <c r="P2666" s="404"/>
      <c r="Q2666" s="404"/>
      <c r="R2666" s="301"/>
      <c r="S2666" s="301"/>
      <c r="T2666" s="301"/>
      <c r="U2666" s="301"/>
      <c r="V2666" s="301"/>
    </row>
    <row r="2667" spans="1:22" ht="14.4" thickTop="1" thickBot="1" x14ac:dyDescent="0.3">
      <c r="A2667" s="292"/>
      <c r="B2667" s="293"/>
      <c r="C2667" s="294"/>
      <c r="D2667" s="294"/>
      <c r="E2667" s="294">
        <v>1</v>
      </c>
      <c r="F2667" s="310"/>
      <c r="G2667" s="310"/>
      <c r="H2667" s="310"/>
      <c r="I2667" s="295">
        <v>55</v>
      </c>
      <c r="J2667" s="295">
        <f>I2667*E2667</f>
        <v>55</v>
      </c>
      <c r="K2667" s="300"/>
      <c r="L2667" s="300"/>
      <c r="M2667" s="285"/>
      <c r="N2667" s="1076"/>
      <c r="O2667" s="294"/>
      <c r="P2667" s="404"/>
      <c r="Q2667" s="404"/>
      <c r="R2667" s="301"/>
      <c r="S2667" s="301"/>
      <c r="T2667" s="301"/>
      <c r="U2667" s="301"/>
      <c r="V2667" s="301"/>
    </row>
    <row r="2668" spans="1:22" ht="14.4" thickTop="1" thickBot="1" x14ac:dyDescent="0.3">
      <c r="A2668" s="292"/>
      <c r="B2668" s="293"/>
      <c r="C2668" s="294"/>
      <c r="D2668" s="294"/>
      <c r="E2668" s="294"/>
      <c r="F2668" s="310"/>
      <c r="G2668" s="310"/>
      <c r="H2668" s="310"/>
      <c r="I2668" s="295"/>
      <c r="J2668" s="295"/>
      <c r="K2668" s="300"/>
      <c r="L2668" s="300"/>
      <c r="M2668" s="285"/>
      <c r="N2668" s="1076"/>
      <c r="O2668" s="294"/>
      <c r="P2668" s="404"/>
      <c r="Q2668" s="404"/>
      <c r="R2668" s="301"/>
      <c r="S2668" s="301"/>
      <c r="T2668" s="301"/>
      <c r="U2668" s="301"/>
      <c r="V2668" s="301"/>
    </row>
    <row r="2669" spans="1:22" ht="14.4" thickTop="1" thickBot="1" x14ac:dyDescent="0.3">
      <c r="A2669" s="292"/>
      <c r="B2669" s="293"/>
      <c r="C2669" s="294"/>
      <c r="D2669" s="294"/>
      <c r="E2669" s="294"/>
      <c r="F2669" s="310"/>
      <c r="G2669" s="310"/>
      <c r="H2669" s="310"/>
      <c r="I2669" s="295"/>
      <c r="J2669" s="295">
        <f>SUM(J2666:J2668)</f>
        <v>355</v>
      </c>
      <c r="K2669" s="300">
        <f>$K$2</f>
        <v>1.1000000000000001</v>
      </c>
      <c r="L2669" s="300">
        <f>K2669*J2669</f>
        <v>390.50000000000006</v>
      </c>
      <c r="M2669" s="285">
        <f t="shared" ref="M2669:M2670" si="390">ROUND(L2669,1)</f>
        <v>390.5</v>
      </c>
      <c r="N2669" s="1076">
        <f t="shared" ref="N2669:N2670" si="391">ROUNDUP(M2669,0)</f>
        <v>391</v>
      </c>
      <c r="O2669" s="294"/>
      <c r="P2669" s="404"/>
      <c r="Q2669" s="404"/>
      <c r="R2669" s="301"/>
      <c r="S2669" s="301"/>
      <c r="T2669" s="301"/>
      <c r="U2669" s="301"/>
      <c r="V2669" s="301"/>
    </row>
    <row r="2670" spans="1:22" ht="14.4" thickTop="1" thickBot="1" x14ac:dyDescent="0.3">
      <c r="A2670" s="292"/>
      <c r="B2670" s="293"/>
      <c r="C2670" s="294"/>
      <c r="D2670" s="294"/>
      <c r="E2670" s="294"/>
      <c r="F2670" s="310"/>
      <c r="G2670" s="310"/>
      <c r="H2670" s="310"/>
      <c r="I2670" s="295"/>
      <c r="J2670" s="295">
        <f>J2669*10.76</f>
        <v>3819.7999999999997</v>
      </c>
      <c r="K2670" s="300">
        <f t="shared" si="342"/>
        <v>1.1000000000000001</v>
      </c>
      <c r="L2670" s="300">
        <f>K2670*J2670</f>
        <v>4201.78</v>
      </c>
      <c r="M2670" s="285">
        <f t="shared" si="390"/>
        <v>4201.8</v>
      </c>
      <c r="N2670" s="1076">
        <f t="shared" si="391"/>
        <v>4202</v>
      </c>
      <c r="O2670" s="294"/>
      <c r="P2670" s="404"/>
      <c r="Q2670" s="404"/>
      <c r="R2670" s="301"/>
      <c r="S2670" s="301"/>
      <c r="T2670" s="301"/>
      <c r="U2670" s="301"/>
      <c r="V2670" s="301"/>
    </row>
    <row r="2671" spans="1:22" ht="14.4" thickTop="1" thickBot="1" x14ac:dyDescent="0.3">
      <c r="A2671" s="292"/>
      <c r="B2671" s="293"/>
      <c r="C2671" s="294"/>
      <c r="D2671" s="294"/>
      <c r="E2671" s="294"/>
      <c r="F2671" s="310"/>
      <c r="G2671" s="310"/>
      <c r="H2671" s="310"/>
      <c r="I2671" s="295"/>
      <c r="J2671" s="295"/>
      <c r="K2671" s="300"/>
      <c r="L2671" s="300"/>
      <c r="M2671" s="285"/>
      <c r="N2671" s="1076"/>
      <c r="O2671" s="294"/>
      <c r="P2671" s="404"/>
      <c r="Q2671" s="404"/>
      <c r="R2671" s="301"/>
      <c r="S2671" s="301"/>
      <c r="T2671" s="301"/>
      <c r="U2671" s="301"/>
      <c r="V2671" s="301"/>
    </row>
    <row r="2672" spans="1:22" ht="14.4" thickTop="1" thickBot="1" x14ac:dyDescent="0.3">
      <c r="A2672" s="292"/>
      <c r="B2672" s="296" t="s">
        <v>2454</v>
      </c>
      <c r="C2672" s="294"/>
      <c r="D2672" s="294"/>
      <c r="E2672" s="294"/>
      <c r="F2672" s="310"/>
      <c r="G2672" s="310"/>
      <c r="H2672" s="310"/>
      <c r="I2672" s="295"/>
      <c r="J2672" s="295"/>
      <c r="K2672" s="300"/>
      <c r="L2672" s="300"/>
      <c r="M2672" s="285"/>
      <c r="N2672" s="1076"/>
      <c r="O2672" s="294"/>
      <c r="P2672" s="404"/>
      <c r="Q2672" s="404"/>
      <c r="R2672" s="301"/>
      <c r="S2672" s="301"/>
      <c r="T2672" s="301"/>
      <c r="U2672" s="301"/>
      <c r="V2672" s="301"/>
    </row>
    <row r="2673" spans="1:22" ht="14.4" thickTop="1" thickBot="1" x14ac:dyDescent="0.3">
      <c r="A2673" s="292"/>
      <c r="B2673" s="296" t="s">
        <v>803</v>
      </c>
      <c r="C2673" s="294"/>
      <c r="D2673" s="294"/>
      <c r="E2673" s="294">
        <v>2</v>
      </c>
      <c r="F2673" s="310"/>
      <c r="G2673" s="310"/>
      <c r="H2673" s="310"/>
      <c r="I2673" s="295">
        <v>80</v>
      </c>
      <c r="J2673" s="295">
        <f>I2673*E2673</f>
        <v>160</v>
      </c>
      <c r="K2673" s="300">
        <f>$K$2</f>
        <v>1.1000000000000001</v>
      </c>
      <c r="L2673" s="300">
        <f>K2673*J2673</f>
        <v>176</v>
      </c>
      <c r="M2673" s="285">
        <f t="shared" ref="M2673:M2674" si="392">ROUND(L2673,1)</f>
        <v>176</v>
      </c>
      <c r="N2673" s="1076">
        <f t="shared" ref="N2673:N2674" si="393">ROUNDUP(M2673,0)</f>
        <v>176</v>
      </c>
      <c r="O2673" s="294"/>
      <c r="P2673" s="404"/>
      <c r="Q2673" s="404"/>
      <c r="R2673" s="301"/>
      <c r="S2673" s="301"/>
      <c r="T2673" s="301"/>
      <c r="U2673" s="301"/>
      <c r="V2673" s="301"/>
    </row>
    <row r="2674" spans="1:22" ht="14.4" thickTop="1" thickBot="1" x14ac:dyDescent="0.3">
      <c r="A2674" s="292"/>
      <c r="B2674" s="293"/>
      <c r="C2674" s="294"/>
      <c r="D2674" s="294"/>
      <c r="E2674" s="294"/>
      <c r="F2674" s="310"/>
      <c r="G2674" s="310"/>
      <c r="H2674" s="310"/>
      <c r="I2674" s="295"/>
      <c r="J2674" s="295">
        <f>J2673/9.29</f>
        <v>17.222820236813781</v>
      </c>
      <c r="K2674" s="300">
        <f t="shared" si="342"/>
        <v>1.1000000000000001</v>
      </c>
      <c r="L2674" s="300">
        <f>K2674*J2674</f>
        <v>18.945102260495162</v>
      </c>
      <c r="M2674" s="285">
        <f t="shared" si="392"/>
        <v>18.899999999999999</v>
      </c>
      <c r="N2674" s="1076">
        <f t="shared" si="393"/>
        <v>19</v>
      </c>
      <c r="O2674" s="294"/>
      <c r="P2674" s="404"/>
      <c r="Q2674" s="404"/>
      <c r="R2674" s="301"/>
      <c r="S2674" s="301"/>
      <c r="T2674" s="301"/>
      <c r="U2674" s="301"/>
      <c r="V2674" s="301"/>
    </row>
    <row r="2675" spans="1:22" ht="14.4" thickTop="1" thickBot="1" x14ac:dyDescent="0.3">
      <c r="A2675" s="292"/>
      <c r="B2675" s="293"/>
      <c r="C2675" s="294"/>
      <c r="D2675" s="294"/>
      <c r="E2675" s="294"/>
      <c r="F2675" s="310"/>
      <c r="G2675" s="310"/>
      <c r="H2675" s="310"/>
      <c r="I2675" s="295"/>
      <c r="J2675" s="295"/>
      <c r="K2675" s="300"/>
      <c r="L2675" s="300"/>
      <c r="M2675" s="285"/>
      <c r="N2675" s="1076"/>
      <c r="O2675" s="294"/>
      <c r="P2675" s="404"/>
      <c r="Q2675" s="404"/>
      <c r="R2675" s="301"/>
      <c r="S2675" s="301"/>
      <c r="T2675" s="301"/>
      <c r="U2675" s="301"/>
      <c r="V2675" s="301"/>
    </row>
    <row r="2676" spans="1:22" ht="14.4" thickTop="1" thickBot="1" x14ac:dyDescent="0.3">
      <c r="A2676" s="292"/>
      <c r="B2676" s="293"/>
      <c r="C2676" s="294"/>
      <c r="D2676" s="294"/>
      <c r="E2676" s="294"/>
      <c r="F2676" s="310"/>
      <c r="G2676" s="310"/>
      <c r="H2676" s="310"/>
      <c r="I2676" s="295"/>
      <c r="J2676" s="295"/>
      <c r="K2676" s="300"/>
      <c r="L2676" s="300"/>
      <c r="M2676" s="285"/>
      <c r="N2676" s="1076"/>
      <c r="O2676" s="294"/>
      <c r="P2676" s="404"/>
      <c r="Q2676" s="404"/>
      <c r="R2676" s="301"/>
      <c r="S2676" s="301"/>
      <c r="T2676" s="301"/>
      <c r="U2676" s="301"/>
      <c r="V2676" s="301"/>
    </row>
    <row r="2677" spans="1:22" ht="14.4" thickTop="1" thickBot="1" x14ac:dyDescent="0.3">
      <c r="A2677" s="292"/>
      <c r="B2677" s="293"/>
      <c r="C2677" s="294"/>
      <c r="D2677" s="294"/>
      <c r="E2677" s="294"/>
      <c r="F2677" s="310"/>
      <c r="G2677" s="310"/>
      <c r="H2677" s="310"/>
      <c r="I2677" s="295"/>
      <c r="J2677" s="295"/>
      <c r="K2677" s="300"/>
      <c r="L2677" s="300"/>
      <c r="M2677" s="285"/>
      <c r="N2677" s="1076"/>
      <c r="O2677" s="294"/>
      <c r="P2677" s="404">
        <f>2.2+1.5</f>
        <v>3.7</v>
      </c>
      <c r="Q2677" s="404">
        <f>P2677-3</f>
        <v>0.70000000000000018</v>
      </c>
      <c r="R2677" s="301"/>
      <c r="S2677" s="301"/>
      <c r="T2677" s="301"/>
      <c r="U2677" s="301"/>
      <c r="V2677" s="301"/>
    </row>
    <row r="2678" spans="1:22" ht="14.4" thickTop="1" thickBot="1" x14ac:dyDescent="0.3">
      <c r="A2678" s="292"/>
      <c r="B2678" s="293"/>
      <c r="C2678" s="294"/>
      <c r="D2678" s="294"/>
      <c r="E2678" s="294"/>
      <c r="F2678" s="310"/>
      <c r="G2678" s="310"/>
      <c r="H2678" s="310"/>
      <c r="I2678" s="295"/>
      <c r="J2678" s="295"/>
      <c r="K2678" s="300">
        <f t="shared" si="342"/>
        <v>1.1000000000000001</v>
      </c>
      <c r="L2678" s="300">
        <f t="shared" si="360"/>
        <v>0</v>
      </c>
      <c r="M2678" s="285">
        <f t="shared" si="361"/>
        <v>0</v>
      </c>
      <c r="N2678" s="1076">
        <f t="shared" si="362"/>
        <v>0</v>
      </c>
      <c r="O2678" s="294"/>
      <c r="P2678" s="404">
        <f>1.5+1.5</f>
        <v>3</v>
      </c>
      <c r="Q2678" s="404"/>
      <c r="R2678" s="301"/>
      <c r="S2678" s="301"/>
      <c r="T2678" s="301"/>
      <c r="U2678" s="301"/>
      <c r="V2678" s="301"/>
    </row>
    <row r="2679" spans="1:22" ht="14.4" thickTop="1" thickBot="1" x14ac:dyDescent="0.3">
      <c r="A2679" s="292"/>
      <c r="B2679" s="302" t="s">
        <v>1943</v>
      </c>
      <c r="C2679" s="294"/>
      <c r="D2679" s="294"/>
      <c r="E2679" s="294"/>
      <c r="F2679" s="310"/>
      <c r="G2679" s="310"/>
      <c r="H2679" s="310"/>
      <c r="I2679" s="295"/>
      <c r="J2679" s="295"/>
      <c r="K2679" s="300">
        <f t="shared" si="342"/>
        <v>1.1000000000000001</v>
      </c>
      <c r="L2679" s="300">
        <f t="shared" si="360"/>
        <v>0</v>
      </c>
      <c r="M2679" s="285">
        <f t="shared" si="361"/>
        <v>0</v>
      </c>
      <c r="N2679" s="1076">
        <f t="shared" si="362"/>
        <v>0</v>
      </c>
      <c r="O2679" s="294"/>
      <c r="P2679" s="404"/>
      <c r="Q2679" s="404"/>
      <c r="R2679" s="301"/>
      <c r="S2679" s="301"/>
      <c r="T2679" s="301"/>
      <c r="U2679" s="301"/>
      <c r="V2679" s="301"/>
    </row>
    <row r="2680" spans="1:22" ht="14.4" thickTop="1" thickBot="1" x14ac:dyDescent="0.3">
      <c r="A2680" s="292"/>
      <c r="B2680" s="293"/>
      <c r="C2680" s="294"/>
      <c r="D2680" s="294"/>
      <c r="E2680" s="294"/>
      <c r="F2680" s="310"/>
      <c r="G2680" s="310"/>
      <c r="H2680" s="310"/>
      <c r="I2680" s="295"/>
      <c r="J2680" s="295"/>
      <c r="K2680" s="300">
        <f t="shared" si="342"/>
        <v>1.1000000000000001</v>
      </c>
      <c r="L2680" s="300">
        <f t="shared" si="360"/>
        <v>0</v>
      </c>
      <c r="M2680" s="285">
        <f t="shared" si="361"/>
        <v>0</v>
      </c>
      <c r="N2680" s="1076">
        <f t="shared" si="362"/>
        <v>0</v>
      </c>
      <c r="O2680" s="294"/>
      <c r="P2680" s="404"/>
      <c r="Q2680" s="404"/>
      <c r="R2680" s="301"/>
      <c r="S2680" s="301"/>
      <c r="T2680" s="301"/>
      <c r="U2680" s="301"/>
      <c r="V2680" s="301"/>
    </row>
    <row r="2681" spans="1:22" ht="14.4" thickTop="1" thickBot="1" x14ac:dyDescent="0.3">
      <c r="A2681" s="292">
        <v>1</v>
      </c>
      <c r="B2681" s="296" t="s">
        <v>692</v>
      </c>
      <c r="C2681" s="294"/>
      <c r="D2681" s="294"/>
      <c r="E2681" s="294"/>
      <c r="F2681" s="310">
        <f>62.8+2+3</f>
        <v>67.8</v>
      </c>
      <c r="G2681" s="310">
        <v>2.8</v>
      </c>
      <c r="H2681" s="310">
        <v>1.52</v>
      </c>
      <c r="I2681" s="295">
        <f>H2681*G2681*F2681</f>
        <v>288.55679999999995</v>
      </c>
      <c r="J2681" s="295">
        <f>I2681</f>
        <v>288.55679999999995</v>
      </c>
      <c r="K2681" s="300">
        <v>1.05</v>
      </c>
      <c r="L2681" s="300">
        <f t="shared" si="360"/>
        <v>302.98463999999996</v>
      </c>
      <c r="M2681" s="285">
        <f t="shared" si="361"/>
        <v>303</v>
      </c>
      <c r="N2681" s="1076">
        <f t="shared" si="362"/>
        <v>303</v>
      </c>
      <c r="O2681" s="294"/>
      <c r="P2681" s="404">
        <f>3.7*3.28</f>
        <v>12.135999999999999</v>
      </c>
      <c r="Q2681" s="404">
        <f>5/3.28</f>
        <v>1.524390243902439</v>
      </c>
      <c r="R2681" s="301"/>
      <c r="S2681" s="301"/>
      <c r="T2681" s="301"/>
      <c r="U2681" s="301"/>
      <c r="V2681" s="301"/>
    </row>
    <row r="2682" spans="1:22" ht="14.4" thickTop="1" thickBot="1" x14ac:dyDescent="0.3">
      <c r="A2682" s="292"/>
      <c r="B2682" s="296"/>
      <c r="C2682" s="294"/>
      <c r="D2682" s="294"/>
      <c r="E2682" s="294"/>
      <c r="F2682" s="310"/>
      <c r="G2682" s="310"/>
      <c r="H2682" s="310"/>
      <c r="I2682" s="295"/>
      <c r="J2682" s="295">
        <f>J2681/2.83</f>
        <v>101.96353356890458</v>
      </c>
      <c r="K2682" s="300">
        <v>1.05</v>
      </c>
      <c r="L2682" s="300">
        <f t="shared" si="360"/>
        <v>107.06171024734981</v>
      </c>
      <c r="M2682" s="285">
        <f t="shared" si="361"/>
        <v>107.1</v>
      </c>
      <c r="N2682" s="1076">
        <f t="shared" si="362"/>
        <v>108</v>
      </c>
      <c r="O2682" s="294"/>
      <c r="P2682" s="404"/>
      <c r="Q2682" s="404"/>
      <c r="R2682" s="301"/>
      <c r="S2682" s="301"/>
      <c r="T2682" s="301"/>
      <c r="U2682" s="301"/>
      <c r="V2682" s="301"/>
    </row>
    <row r="2683" spans="1:22" ht="14.4" thickTop="1" thickBot="1" x14ac:dyDescent="0.3">
      <c r="A2683" s="292"/>
      <c r="B2683" s="296"/>
      <c r="C2683" s="294"/>
      <c r="D2683" s="294"/>
      <c r="E2683" s="294"/>
      <c r="F2683" s="310"/>
      <c r="G2683" s="310"/>
      <c r="H2683" s="310"/>
      <c r="I2683" s="295"/>
      <c r="J2683" s="295"/>
      <c r="K2683" s="300"/>
      <c r="L2683" s="300"/>
      <c r="M2683" s="285"/>
      <c r="N2683" s="1076"/>
      <c r="O2683" s="294"/>
      <c r="P2683" s="404"/>
      <c r="Q2683" s="404"/>
      <c r="R2683" s="301"/>
      <c r="S2683" s="301"/>
      <c r="T2683" s="301"/>
      <c r="U2683" s="301"/>
      <c r="V2683" s="301"/>
    </row>
    <row r="2684" spans="1:22" ht="14.4" thickTop="1" thickBot="1" x14ac:dyDescent="0.3">
      <c r="A2684" s="292"/>
      <c r="B2684" s="296"/>
      <c r="C2684" s="294"/>
      <c r="D2684" s="294"/>
      <c r="E2684" s="294"/>
      <c r="F2684" s="310"/>
      <c r="G2684" s="310"/>
      <c r="H2684" s="310"/>
      <c r="I2684" s="295"/>
      <c r="J2684" s="295"/>
      <c r="K2684" s="300"/>
      <c r="L2684" s="300"/>
      <c r="M2684" s="285"/>
      <c r="N2684" s="1076"/>
      <c r="O2684" s="294"/>
      <c r="P2684" s="404"/>
      <c r="Q2684" s="404"/>
      <c r="R2684" s="301"/>
      <c r="S2684" s="301"/>
      <c r="T2684" s="301"/>
      <c r="U2684" s="301"/>
      <c r="V2684" s="301"/>
    </row>
    <row r="2685" spans="1:22" ht="14.4" thickTop="1" thickBot="1" x14ac:dyDescent="0.3">
      <c r="A2685" s="292"/>
      <c r="B2685" s="293"/>
      <c r="C2685" s="294"/>
      <c r="D2685" s="294"/>
      <c r="E2685" s="294"/>
      <c r="F2685" s="310">
        <f>62.8+2+3</f>
        <v>67.8</v>
      </c>
      <c r="G2685" s="310">
        <v>2.8</v>
      </c>
      <c r="H2685" s="310">
        <v>0.7</v>
      </c>
      <c r="I2685" s="295">
        <f>H2685*G2685*F2685</f>
        <v>132.88799999999998</v>
      </c>
      <c r="J2685" s="295">
        <f>I2685</f>
        <v>132.88799999999998</v>
      </c>
      <c r="K2685" s="300">
        <v>1.05</v>
      </c>
      <c r="L2685" s="300">
        <f t="shared" si="360"/>
        <v>139.5324</v>
      </c>
      <c r="M2685" s="285">
        <f t="shared" si="361"/>
        <v>139.5</v>
      </c>
      <c r="N2685" s="1076">
        <f t="shared" si="362"/>
        <v>140</v>
      </c>
      <c r="O2685" s="294"/>
      <c r="P2685" s="413">
        <f>H2685+H2681</f>
        <v>2.2199999999999998</v>
      </c>
      <c r="Q2685" s="404">
        <v>3.7</v>
      </c>
      <c r="R2685" s="301"/>
      <c r="S2685" s="301"/>
      <c r="T2685" s="301"/>
      <c r="U2685" s="301"/>
      <c r="V2685" s="301"/>
    </row>
    <row r="2686" spans="1:22" ht="14.4" thickTop="1" thickBot="1" x14ac:dyDescent="0.3">
      <c r="A2686" s="292"/>
      <c r="B2686" s="293"/>
      <c r="C2686" s="294"/>
      <c r="D2686" s="294"/>
      <c r="E2686" s="294"/>
      <c r="F2686" s="310"/>
      <c r="G2686" s="310"/>
      <c r="H2686" s="310"/>
      <c r="I2686" s="295"/>
      <c r="J2686" s="295">
        <f>J2685/2.83</f>
        <v>46.956890459363947</v>
      </c>
      <c r="K2686" s="300">
        <v>1.05</v>
      </c>
      <c r="L2686" s="300">
        <f t="shared" si="360"/>
        <v>49.30473498233215</v>
      </c>
      <c r="M2686" s="285">
        <f t="shared" si="361"/>
        <v>49.3</v>
      </c>
      <c r="N2686" s="1076">
        <f t="shared" si="362"/>
        <v>50</v>
      </c>
      <c r="O2686" s="294"/>
      <c r="P2686" s="404"/>
      <c r="Q2686" s="413">
        <f>Q2685-P2685</f>
        <v>1.4800000000000004</v>
      </c>
      <c r="R2686" s="301"/>
      <c r="S2686" s="301"/>
      <c r="T2686" s="301"/>
      <c r="U2686" s="301"/>
      <c r="V2686" s="301"/>
    </row>
    <row r="2687" spans="1:22" ht="14.4" thickTop="1" thickBot="1" x14ac:dyDescent="0.3">
      <c r="A2687" s="292"/>
      <c r="B2687" s="293"/>
      <c r="C2687" s="294"/>
      <c r="D2687" s="294"/>
      <c r="E2687" s="294"/>
      <c r="F2687" s="310"/>
      <c r="G2687" s="310"/>
      <c r="H2687" s="310"/>
      <c r="I2687" s="295"/>
      <c r="J2687" s="295"/>
      <c r="K2687" s="300"/>
      <c r="L2687" s="300"/>
      <c r="M2687" s="285"/>
      <c r="N2687" s="1076"/>
      <c r="O2687" s="294"/>
      <c r="P2687" s="413">
        <f>H2681+H2681+H2685</f>
        <v>3.74</v>
      </c>
      <c r="Q2687" s="413"/>
      <c r="R2687" s="301"/>
      <c r="S2687" s="301"/>
      <c r="T2687" s="301"/>
      <c r="U2687" s="301"/>
      <c r="V2687" s="301"/>
    </row>
    <row r="2688" spans="1:22" ht="14.4" thickTop="1" thickBot="1" x14ac:dyDescent="0.3">
      <c r="A2688" s="292"/>
      <c r="B2688" s="293" t="s">
        <v>2390</v>
      </c>
      <c r="C2688" s="294"/>
      <c r="D2688" s="294"/>
      <c r="E2688" s="294">
        <v>1</v>
      </c>
      <c r="F2688" s="310">
        <f>F2681</f>
        <v>67.8</v>
      </c>
      <c r="G2688" s="310"/>
      <c r="H2688" s="310">
        <v>3.8</v>
      </c>
      <c r="I2688" s="295">
        <f>H2688*F2688*E2688</f>
        <v>257.64</v>
      </c>
      <c r="J2688" s="295"/>
      <c r="K2688" s="300"/>
      <c r="L2688" s="300"/>
      <c r="M2688" s="285"/>
      <c r="N2688" s="1076"/>
      <c r="O2688" s="294"/>
      <c r="P2688" s="404"/>
      <c r="Q2688" s="413"/>
      <c r="R2688" s="301"/>
      <c r="S2688" s="301"/>
      <c r="T2688" s="301"/>
      <c r="U2688" s="301"/>
      <c r="V2688" s="301"/>
    </row>
    <row r="2689" spans="1:22" ht="14.4" thickTop="1" thickBot="1" x14ac:dyDescent="0.3">
      <c r="A2689" s="292"/>
      <c r="B2689" s="293"/>
      <c r="C2689" s="294"/>
      <c r="D2689" s="294"/>
      <c r="E2689" s="294">
        <v>2</v>
      </c>
      <c r="F2689" s="310">
        <f>G2681</f>
        <v>2.8</v>
      </c>
      <c r="G2689" s="310"/>
      <c r="H2689" s="310">
        <f>H2688</f>
        <v>3.8</v>
      </c>
      <c r="I2689" s="295">
        <f>H2689*F2689*E2689</f>
        <v>21.279999999999998</v>
      </c>
      <c r="J2689" s="295">
        <f>SUM(I2688:I2689)</f>
        <v>278.91999999999996</v>
      </c>
      <c r="K2689" s="300"/>
      <c r="L2689" s="300"/>
      <c r="M2689" s="285"/>
      <c r="N2689" s="1076"/>
      <c r="O2689" s="294"/>
      <c r="P2689" s="413">
        <f>J2689/9.29</f>
        <v>30.023681377825618</v>
      </c>
      <c r="Q2689" s="413">
        <f>P2689*100</f>
        <v>3002.3681377825619</v>
      </c>
      <c r="R2689" s="301"/>
      <c r="S2689" s="301"/>
      <c r="T2689" s="301"/>
      <c r="U2689" s="301"/>
      <c r="V2689" s="301"/>
    </row>
    <row r="2690" spans="1:22" ht="14.4" thickTop="1" thickBot="1" x14ac:dyDescent="0.3">
      <c r="A2690" s="292"/>
      <c r="B2690" s="293"/>
      <c r="C2690" s="294"/>
      <c r="D2690" s="294"/>
      <c r="E2690" s="294"/>
      <c r="F2690" s="310"/>
      <c r="G2690" s="310"/>
      <c r="H2690" s="310"/>
      <c r="I2690" s="295"/>
      <c r="J2690" s="295">
        <f>J2689*10.76</f>
        <v>3001.1791999999996</v>
      </c>
      <c r="K2690" s="300">
        <v>1.05</v>
      </c>
      <c r="L2690" s="300">
        <f t="shared" ref="L2690" si="394">K2690*J2690</f>
        <v>3151.2381599999999</v>
      </c>
      <c r="M2690" s="285">
        <f t="shared" ref="M2690" si="395">ROUND(L2690,1)</f>
        <v>3151.2</v>
      </c>
      <c r="N2690" s="1076">
        <f t="shared" ref="N2690" si="396">ROUNDUP(M2690,0)</f>
        <v>3152</v>
      </c>
      <c r="O2690" s="294"/>
      <c r="P2690" s="404"/>
      <c r="Q2690" s="413"/>
      <c r="R2690" s="301"/>
      <c r="S2690" s="301"/>
      <c r="T2690" s="301"/>
      <c r="U2690" s="301"/>
      <c r="V2690" s="301"/>
    </row>
    <row r="2691" spans="1:22" ht="14.4" thickTop="1" thickBot="1" x14ac:dyDescent="0.3">
      <c r="A2691" s="292"/>
      <c r="B2691" s="293"/>
      <c r="C2691" s="294"/>
      <c r="D2691" s="294"/>
      <c r="E2691" s="294"/>
      <c r="F2691" s="310"/>
      <c r="G2691" s="310"/>
      <c r="H2691" s="310"/>
      <c r="I2691" s="295"/>
      <c r="J2691" s="295"/>
      <c r="K2691" s="300"/>
      <c r="L2691" s="300"/>
      <c r="M2691" s="285"/>
      <c r="N2691" s="1076"/>
      <c r="O2691" s="294"/>
      <c r="P2691" s="404"/>
      <c r="Q2691" s="413"/>
      <c r="R2691" s="301"/>
      <c r="S2691" s="301"/>
      <c r="T2691" s="301"/>
      <c r="U2691" s="301"/>
      <c r="V2691" s="301"/>
    </row>
    <row r="2692" spans="1:22" ht="14.4" thickTop="1" thickBot="1" x14ac:dyDescent="0.3">
      <c r="A2692" s="292"/>
      <c r="B2692" s="293" t="s">
        <v>2391</v>
      </c>
      <c r="C2692" s="294"/>
      <c r="D2692" s="294"/>
      <c r="E2692" s="294"/>
      <c r="F2692" s="310"/>
      <c r="G2692" s="310"/>
      <c r="H2692" s="310"/>
      <c r="I2692" s="295"/>
      <c r="J2692" s="295"/>
      <c r="K2692" s="300">
        <f t="shared" si="342"/>
        <v>1.1000000000000001</v>
      </c>
      <c r="L2692" s="300">
        <f t="shared" ref="L2692:L2694" si="397">K2692*J2692</f>
        <v>0</v>
      </c>
      <c r="M2692" s="285">
        <f t="shared" ref="M2692:M2694" si="398">ROUND(L2692,1)</f>
        <v>0</v>
      </c>
      <c r="N2692" s="1076">
        <f t="shared" ref="N2692:N2694" si="399">ROUNDUP(M2692,0)</f>
        <v>0</v>
      </c>
      <c r="O2692" s="294"/>
      <c r="P2692" s="404"/>
      <c r="Q2692" s="413"/>
      <c r="R2692" s="301"/>
      <c r="S2692" s="301"/>
      <c r="T2692" s="301"/>
      <c r="U2692" s="301"/>
      <c r="V2692" s="301"/>
    </row>
    <row r="2693" spans="1:22" ht="14.4" thickTop="1" thickBot="1" x14ac:dyDescent="0.3">
      <c r="A2693" s="292"/>
      <c r="B2693" s="293"/>
      <c r="C2693" s="294"/>
      <c r="D2693" s="294"/>
      <c r="E2693" s="294"/>
      <c r="F2693" s="310">
        <f>F2681</f>
        <v>67.8</v>
      </c>
      <c r="G2693" s="310">
        <v>2.8</v>
      </c>
      <c r="H2693" s="310">
        <v>2.2000000000000002</v>
      </c>
      <c r="I2693" s="295">
        <f>H2693*G2693*F2693</f>
        <v>417.64799999999997</v>
      </c>
      <c r="J2693" s="295"/>
      <c r="K2693" s="300">
        <f t="shared" si="342"/>
        <v>1.1000000000000001</v>
      </c>
      <c r="L2693" s="300">
        <f t="shared" si="397"/>
        <v>0</v>
      </c>
      <c r="M2693" s="285">
        <f t="shared" si="398"/>
        <v>0</v>
      </c>
      <c r="N2693" s="1076">
        <f t="shared" si="399"/>
        <v>0</v>
      </c>
      <c r="O2693" s="294"/>
      <c r="P2693" s="404"/>
      <c r="Q2693" s="413"/>
      <c r="R2693" s="301"/>
      <c r="S2693" s="301"/>
      <c r="T2693" s="301"/>
      <c r="U2693" s="301"/>
      <c r="V2693" s="301"/>
    </row>
    <row r="2694" spans="1:22" ht="14.4" thickTop="1" thickBot="1" x14ac:dyDescent="0.3">
      <c r="A2694" s="292"/>
      <c r="B2694" s="293"/>
      <c r="C2694" s="294"/>
      <c r="D2694" s="294"/>
      <c r="E2694" s="294"/>
      <c r="F2694" s="310"/>
      <c r="G2694" s="310"/>
      <c r="H2694" s="310"/>
      <c r="I2694" s="295">
        <f>I2693/2.83</f>
        <v>147.57879858657242</v>
      </c>
      <c r="J2694" s="295">
        <f>SUM(I2694)</f>
        <v>147.57879858657242</v>
      </c>
      <c r="K2694" s="300">
        <v>1.05</v>
      </c>
      <c r="L2694" s="300">
        <f t="shared" si="397"/>
        <v>154.95773851590104</v>
      </c>
      <c r="M2694" s="285">
        <f t="shared" si="398"/>
        <v>155</v>
      </c>
      <c r="N2694" s="1076">
        <f t="shared" si="399"/>
        <v>155</v>
      </c>
      <c r="O2694" s="294"/>
      <c r="P2694" s="404"/>
      <c r="Q2694" s="413"/>
      <c r="R2694" s="301"/>
      <c r="S2694" s="301"/>
      <c r="T2694" s="301"/>
      <c r="U2694" s="301"/>
      <c r="V2694" s="301"/>
    </row>
    <row r="2695" spans="1:22" ht="14.4" thickTop="1" thickBot="1" x14ac:dyDescent="0.3">
      <c r="A2695" s="292"/>
      <c r="B2695" s="296"/>
      <c r="C2695" s="294"/>
      <c r="D2695" s="294"/>
      <c r="E2695" s="294"/>
      <c r="F2695" s="310"/>
      <c r="G2695" s="310"/>
      <c r="H2695" s="310"/>
      <c r="I2695" s="295"/>
      <c r="J2695" s="295"/>
      <c r="K2695" s="300">
        <f t="shared" si="342"/>
        <v>1.1000000000000001</v>
      </c>
      <c r="L2695" s="300">
        <f t="shared" si="360"/>
        <v>0</v>
      </c>
      <c r="M2695" s="285">
        <f t="shared" si="361"/>
        <v>0</v>
      </c>
      <c r="N2695" s="1076">
        <f t="shared" si="362"/>
        <v>0</v>
      </c>
      <c r="O2695" s="294"/>
      <c r="P2695" s="404"/>
      <c r="Q2695" s="404"/>
      <c r="R2695" s="301"/>
      <c r="S2695" s="301"/>
      <c r="T2695" s="301"/>
      <c r="U2695" s="301"/>
      <c r="V2695" s="301"/>
    </row>
    <row r="2696" spans="1:22" ht="14.4" thickTop="1" thickBot="1" x14ac:dyDescent="0.3">
      <c r="A2696" s="292"/>
      <c r="B2696" s="293"/>
      <c r="C2696" s="294"/>
      <c r="D2696" s="294"/>
      <c r="E2696" s="294"/>
      <c r="F2696" s="310"/>
      <c r="G2696" s="310"/>
      <c r="H2696" s="310"/>
      <c r="I2696" s="295"/>
      <c r="J2696" s="295"/>
      <c r="K2696" s="300">
        <f t="shared" si="342"/>
        <v>1.1000000000000001</v>
      </c>
      <c r="L2696" s="300">
        <f t="shared" si="360"/>
        <v>0</v>
      </c>
      <c r="M2696" s="285">
        <f t="shared" si="361"/>
        <v>0</v>
      </c>
      <c r="N2696" s="1076">
        <f t="shared" si="362"/>
        <v>0</v>
      </c>
      <c r="O2696" s="294"/>
      <c r="P2696" s="404"/>
      <c r="Q2696" s="404"/>
      <c r="R2696" s="301"/>
      <c r="S2696" s="301"/>
      <c r="T2696" s="301"/>
      <c r="U2696" s="301"/>
      <c r="V2696" s="301"/>
    </row>
    <row r="2697" spans="1:22" ht="14.4" thickTop="1" thickBot="1" x14ac:dyDescent="0.3">
      <c r="A2697" s="292"/>
      <c r="B2697" s="296" t="s">
        <v>2395</v>
      </c>
      <c r="C2697" s="294"/>
      <c r="D2697" s="294"/>
      <c r="E2697" s="294"/>
      <c r="F2697" s="310"/>
      <c r="G2697" s="310"/>
      <c r="H2697" s="310"/>
      <c r="I2697" s="295"/>
      <c r="J2697" s="295"/>
      <c r="K2697" s="300">
        <f t="shared" si="342"/>
        <v>1.1000000000000001</v>
      </c>
      <c r="L2697" s="300">
        <f t="shared" si="360"/>
        <v>0</v>
      </c>
      <c r="M2697" s="285">
        <f t="shared" si="361"/>
        <v>0</v>
      </c>
      <c r="N2697" s="1076">
        <f t="shared" si="362"/>
        <v>0</v>
      </c>
      <c r="O2697" s="294"/>
      <c r="P2697" s="404"/>
      <c r="Q2697" s="404"/>
      <c r="R2697" s="301"/>
      <c r="S2697" s="301"/>
      <c r="T2697" s="301"/>
      <c r="U2697" s="301"/>
      <c r="V2697" s="301"/>
    </row>
    <row r="2698" spans="1:22" ht="14.4" thickTop="1" thickBot="1" x14ac:dyDescent="0.3">
      <c r="A2698" s="292"/>
      <c r="B2698" s="296" t="s">
        <v>692</v>
      </c>
      <c r="C2698" s="294"/>
      <c r="D2698" s="294"/>
      <c r="E2698" s="294"/>
      <c r="F2698" s="310"/>
      <c r="G2698" s="310"/>
      <c r="H2698" s="310"/>
      <c r="I2698" s="295"/>
      <c r="J2698" s="295">
        <f>J2682+J2682+J2686</f>
        <v>250.88395759717309</v>
      </c>
      <c r="K2698" s="300">
        <f t="shared" si="342"/>
        <v>1.1000000000000001</v>
      </c>
      <c r="L2698" s="300">
        <f t="shared" si="360"/>
        <v>275.97235335689044</v>
      </c>
      <c r="M2698" s="285">
        <f t="shared" si="361"/>
        <v>276</v>
      </c>
      <c r="N2698" s="1076">
        <f t="shared" si="362"/>
        <v>276</v>
      </c>
      <c r="O2698" s="294"/>
      <c r="P2698" s="413">
        <f>J2681+J2681+J2685</f>
        <v>710.00159999999983</v>
      </c>
      <c r="Q2698" s="404"/>
      <c r="R2698" s="301"/>
      <c r="S2698" s="301"/>
      <c r="T2698" s="301"/>
      <c r="U2698" s="301"/>
      <c r="V2698" s="301"/>
    </row>
    <row r="2699" spans="1:22" ht="14.4" thickTop="1" thickBot="1" x14ac:dyDescent="0.3">
      <c r="A2699" s="292"/>
      <c r="B2699" s="296" t="s">
        <v>2396</v>
      </c>
      <c r="C2699" s="294"/>
      <c r="D2699" s="294"/>
      <c r="E2699" s="294"/>
      <c r="F2699" s="310"/>
      <c r="G2699" s="310"/>
      <c r="H2699" s="310"/>
      <c r="I2699" s="295"/>
      <c r="J2699" s="295">
        <f>-J2694</f>
        <v>-147.57879858657242</v>
      </c>
      <c r="K2699" s="300">
        <f t="shared" si="342"/>
        <v>1.1000000000000001</v>
      </c>
      <c r="L2699" s="300">
        <f t="shared" si="360"/>
        <v>-162.33667844522967</v>
      </c>
      <c r="M2699" s="285">
        <f t="shared" si="361"/>
        <v>-162.30000000000001</v>
      </c>
      <c r="N2699" s="1076">
        <f t="shared" si="362"/>
        <v>-163</v>
      </c>
      <c r="O2699" s="294"/>
      <c r="P2699" s="423">
        <f>-I2693</f>
        <v>-417.64799999999997</v>
      </c>
      <c r="Q2699" s="404"/>
      <c r="R2699" s="301"/>
      <c r="S2699" s="301"/>
      <c r="T2699" s="301"/>
      <c r="U2699" s="301"/>
      <c r="V2699" s="301"/>
    </row>
    <row r="2700" spans="1:22" ht="14.4" thickTop="1" thickBot="1" x14ac:dyDescent="0.3">
      <c r="A2700" s="292"/>
      <c r="B2700" s="296" t="s">
        <v>1605</v>
      </c>
      <c r="C2700" s="294"/>
      <c r="D2700" s="294"/>
      <c r="E2700" s="294"/>
      <c r="F2700" s="310"/>
      <c r="G2700" s="310"/>
      <c r="H2700" s="310"/>
      <c r="I2700" s="295"/>
      <c r="J2700" s="295">
        <f>-J2707</f>
        <v>-79.326000000000008</v>
      </c>
      <c r="K2700" s="300">
        <f t="shared" si="342"/>
        <v>1.1000000000000001</v>
      </c>
      <c r="L2700" s="300">
        <f t="shared" si="360"/>
        <v>-87.258600000000015</v>
      </c>
      <c r="M2700" s="285">
        <f t="shared" si="361"/>
        <v>-87.3</v>
      </c>
      <c r="N2700" s="1076">
        <f t="shared" si="362"/>
        <v>-88</v>
      </c>
      <c r="O2700" s="294"/>
      <c r="P2700" s="413">
        <f>P2698+P2699</f>
        <v>292.35359999999986</v>
      </c>
      <c r="Q2700" s="404"/>
      <c r="R2700" s="301"/>
      <c r="S2700" s="301"/>
      <c r="T2700" s="301"/>
      <c r="U2700" s="301"/>
      <c r="V2700" s="301"/>
    </row>
    <row r="2701" spans="1:22" ht="14.4" thickTop="1" thickBot="1" x14ac:dyDescent="0.3">
      <c r="A2701" s="292"/>
      <c r="B2701" s="293"/>
      <c r="C2701" s="294"/>
      <c r="D2701" s="294"/>
      <c r="E2701" s="294"/>
      <c r="F2701" s="310"/>
      <c r="G2701" s="310"/>
      <c r="H2701" s="310"/>
      <c r="I2701" s="295"/>
      <c r="J2701" s="295"/>
      <c r="K2701" s="300">
        <f t="shared" si="342"/>
        <v>1.1000000000000001</v>
      </c>
      <c r="L2701" s="300">
        <f t="shared" si="360"/>
        <v>0</v>
      </c>
      <c r="M2701" s="285">
        <f t="shared" si="361"/>
        <v>0</v>
      </c>
      <c r="N2701" s="1076">
        <f t="shared" si="362"/>
        <v>0</v>
      </c>
      <c r="O2701" s="294"/>
      <c r="P2701" s="404"/>
      <c r="Q2701" s="404"/>
      <c r="R2701" s="301"/>
      <c r="S2701" s="301"/>
      <c r="T2701" s="301"/>
      <c r="U2701" s="301"/>
      <c r="V2701" s="301"/>
    </row>
    <row r="2702" spans="1:22" ht="14.4" thickTop="1" thickBot="1" x14ac:dyDescent="0.3">
      <c r="A2702" s="292"/>
      <c r="B2702" s="293"/>
      <c r="C2702" s="294"/>
      <c r="D2702" s="294"/>
      <c r="E2702" s="294"/>
      <c r="F2702" s="310"/>
      <c r="G2702" s="310"/>
      <c r="H2702" s="310"/>
      <c r="I2702" s="295"/>
      <c r="J2702" s="295">
        <f>SUM(J2698:J2701)</f>
        <v>23.979159010600668</v>
      </c>
      <c r="K2702" s="300">
        <f t="shared" si="342"/>
        <v>1.1000000000000001</v>
      </c>
      <c r="L2702" s="300">
        <f t="shared" si="360"/>
        <v>26.377074911660738</v>
      </c>
      <c r="M2702" s="285">
        <f t="shared" si="361"/>
        <v>26.4</v>
      </c>
      <c r="N2702" s="1076">
        <f t="shared" si="362"/>
        <v>27</v>
      </c>
      <c r="O2702" s="294"/>
      <c r="P2702" s="404"/>
      <c r="Q2702" s="404"/>
      <c r="R2702" s="301"/>
      <c r="S2702" s="301"/>
      <c r="T2702" s="301"/>
      <c r="U2702" s="301"/>
      <c r="V2702" s="301"/>
    </row>
    <row r="2703" spans="1:22" ht="14.4" thickTop="1" thickBot="1" x14ac:dyDescent="0.3">
      <c r="A2703" s="292"/>
      <c r="B2703" s="293"/>
      <c r="C2703" s="294"/>
      <c r="D2703" s="294"/>
      <c r="E2703" s="294"/>
      <c r="F2703" s="310"/>
      <c r="G2703" s="310"/>
      <c r="H2703" s="310"/>
      <c r="I2703" s="295"/>
      <c r="J2703" s="295"/>
      <c r="K2703" s="300">
        <v>1.05</v>
      </c>
      <c r="L2703" s="300">
        <f t="shared" si="360"/>
        <v>0</v>
      </c>
      <c r="M2703" s="285">
        <f t="shared" si="361"/>
        <v>0</v>
      </c>
      <c r="N2703" s="1076">
        <f t="shared" si="362"/>
        <v>0</v>
      </c>
      <c r="O2703" s="294"/>
      <c r="P2703" s="404"/>
      <c r="Q2703" s="404"/>
      <c r="R2703" s="301"/>
      <c r="S2703" s="301"/>
      <c r="T2703" s="301"/>
      <c r="U2703" s="301"/>
      <c r="V2703" s="301"/>
    </row>
    <row r="2704" spans="1:22" ht="14.4" thickTop="1" thickBot="1" x14ac:dyDescent="0.3">
      <c r="A2704" s="292"/>
      <c r="B2704" s="296" t="s">
        <v>1061</v>
      </c>
      <c r="C2704" s="294"/>
      <c r="D2704" s="294"/>
      <c r="E2704" s="294"/>
      <c r="F2704" s="310">
        <f>F2681</f>
        <v>67.8</v>
      </c>
      <c r="G2704" s="310">
        <v>2.6</v>
      </c>
      <c r="H2704" s="310"/>
      <c r="I2704" s="295">
        <f>G2704*F2704</f>
        <v>176.28</v>
      </c>
      <c r="J2704" s="295">
        <f>I2704</f>
        <v>176.28</v>
      </c>
      <c r="K2704" s="300">
        <f t="shared" si="342"/>
        <v>1.1000000000000001</v>
      </c>
      <c r="L2704" s="300">
        <f t="shared" si="360"/>
        <v>193.90800000000002</v>
      </c>
      <c r="M2704" s="285">
        <f t="shared" si="361"/>
        <v>193.9</v>
      </c>
      <c r="N2704" s="1076">
        <f t="shared" si="362"/>
        <v>194</v>
      </c>
      <c r="O2704" s="294"/>
      <c r="P2704" s="413">
        <f>J2704*10.76</f>
        <v>1896.7728</v>
      </c>
      <c r="Q2704" s="404"/>
      <c r="R2704" s="301"/>
      <c r="S2704" s="301"/>
      <c r="T2704" s="301"/>
      <c r="U2704" s="301"/>
      <c r="V2704" s="301"/>
    </row>
    <row r="2705" spans="1:22" ht="14.4" thickTop="1" thickBot="1" x14ac:dyDescent="0.3">
      <c r="A2705" s="292"/>
      <c r="B2705" s="293"/>
      <c r="C2705" s="294"/>
      <c r="D2705" s="294"/>
      <c r="E2705" s="294"/>
      <c r="F2705" s="310"/>
      <c r="G2705" s="310"/>
      <c r="H2705" s="310"/>
      <c r="I2705" s="295"/>
      <c r="J2705" s="295">
        <f>J2704/9.29</f>
        <v>18.975242195909583</v>
      </c>
      <c r="K2705" s="300">
        <f t="shared" si="342"/>
        <v>1.1000000000000001</v>
      </c>
      <c r="L2705" s="300">
        <f t="shared" si="360"/>
        <v>20.872766415500543</v>
      </c>
      <c r="M2705" s="285">
        <f t="shared" si="361"/>
        <v>20.9</v>
      </c>
      <c r="N2705" s="1076">
        <f t="shared" si="362"/>
        <v>21</v>
      </c>
      <c r="O2705" s="294"/>
      <c r="P2705" s="413">
        <f>P2704/100</f>
        <v>18.967728000000001</v>
      </c>
      <c r="Q2705" s="404"/>
      <c r="R2705" s="301"/>
      <c r="S2705" s="301"/>
      <c r="T2705" s="301"/>
      <c r="U2705" s="301"/>
      <c r="V2705" s="301"/>
    </row>
    <row r="2706" spans="1:22" ht="14.4" thickTop="1" thickBot="1" x14ac:dyDescent="0.3">
      <c r="A2706" s="292"/>
      <c r="B2706" s="293"/>
      <c r="C2706" s="294"/>
      <c r="D2706" s="294"/>
      <c r="E2706" s="294"/>
      <c r="F2706" s="310"/>
      <c r="G2706" s="310"/>
      <c r="H2706" s="310"/>
      <c r="I2706" s="295"/>
      <c r="J2706" s="295"/>
      <c r="K2706" s="300">
        <f t="shared" si="342"/>
        <v>1.1000000000000001</v>
      </c>
      <c r="L2706" s="300">
        <f t="shared" si="360"/>
        <v>0</v>
      </c>
      <c r="M2706" s="285">
        <f t="shared" si="361"/>
        <v>0</v>
      </c>
      <c r="N2706" s="1076">
        <f t="shared" si="362"/>
        <v>0</v>
      </c>
      <c r="O2706" s="294"/>
      <c r="P2706" s="404"/>
      <c r="Q2706" s="404"/>
      <c r="R2706" s="301"/>
      <c r="S2706" s="301"/>
      <c r="T2706" s="301"/>
      <c r="U2706" s="301"/>
      <c r="V2706" s="301"/>
    </row>
    <row r="2707" spans="1:22" ht="14.4" thickTop="1" thickBot="1" x14ac:dyDescent="0.3">
      <c r="A2707" s="292"/>
      <c r="B2707" s="296" t="s">
        <v>2397</v>
      </c>
      <c r="C2707" s="294"/>
      <c r="D2707" s="294"/>
      <c r="E2707" s="294"/>
      <c r="F2707" s="310">
        <f>F2704</f>
        <v>67.8</v>
      </c>
      <c r="G2707" s="310">
        <f>G2704</f>
        <v>2.6</v>
      </c>
      <c r="H2707" s="310">
        <v>0.45</v>
      </c>
      <c r="I2707" s="295">
        <f>H2707*G2707*F2707</f>
        <v>79.326000000000008</v>
      </c>
      <c r="J2707" s="295">
        <f>I2707</f>
        <v>79.326000000000008</v>
      </c>
      <c r="K2707" s="300">
        <f t="shared" si="342"/>
        <v>1.1000000000000001</v>
      </c>
      <c r="L2707" s="300">
        <f t="shared" si="360"/>
        <v>87.258600000000015</v>
      </c>
      <c r="M2707" s="285">
        <f t="shared" si="361"/>
        <v>87.3</v>
      </c>
      <c r="N2707" s="1076">
        <f t="shared" si="362"/>
        <v>88</v>
      </c>
      <c r="O2707" s="294"/>
      <c r="P2707" s="404"/>
      <c r="Q2707" s="404"/>
      <c r="R2707" s="301"/>
      <c r="S2707" s="301"/>
      <c r="T2707" s="301"/>
      <c r="U2707" s="301"/>
      <c r="V2707" s="301"/>
    </row>
    <row r="2708" spans="1:22" ht="14.4" thickTop="1" thickBot="1" x14ac:dyDescent="0.3">
      <c r="A2708" s="292"/>
      <c r="B2708" s="293"/>
      <c r="C2708" s="294"/>
      <c r="D2708" s="294"/>
      <c r="E2708" s="294"/>
      <c r="F2708" s="310"/>
      <c r="G2708" s="310"/>
      <c r="H2708" s="310"/>
      <c r="I2708" s="295"/>
      <c r="J2708" s="295"/>
      <c r="K2708" s="300">
        <f t="shared" si="342"/>
        <v>1.1000000000000001</v>
      </c>
      <c r="L2708" s="300">
        <f t="shared" si="360"/>
        <v>0</v>
      </c>
      <c r="M2708" s="285">
        <f t="shared" si="361"/>
        <v>0</v>
      </c>
      <c r="N2708" s="1076">
        <f t="shared" si="362"/>
        <v>0</v>
      </c>
      <c r="O2708" s="294"/>
      <c r="P2708" s="404"/>
      <c r="Q2708" s="404"/>
      <c r="R2708" s="301"/>
      <c r="S2708" s="301"/>
      <c r="T2708" s="301"/>
      <c r="U2708" s="301"/>
      <c r="V2708" s="301"/>
    </row>
    <row r="2709" spans="1:22" ht="14.4" thickTop="1" thickBot="1" x14ac:dyDescent="0.3">
      <c r="A2709" s="292"/>
      <c r="B2709" s="296" t="s">
        <v>2398</v>
      </c>
      <c r="C2709" s="294"/>
      <c r="D2709" s="294"/>
      <c r="E2709" s="294"/>
      <c r="F2709" s="310">
        <f>F2707</f>
        <v>67.8</v>
      </c>
      <c r="G2709" s="310">
        <f>(0.45+0.3)/2</f>
        <v>0.375</v>
      </c>
      <c r="H2709" s="310">
        <v>4.2</v>
      </c>
      <c r="I2709" s="295">
        <f>H2709*G2709*F2709</f>
        <v>106.78500000000001</v>
      </c>
      <c r="J2709" s="295">
        <f>I2709</f>
        <v>106.78500000000001</v>
      </c>
      <c r="K2709" s="300">
        <f t="shared" si="342"/>
        <v>1.1000000000000001</v>
      </c>
      <c r="L2709" s="300">
        <f t="shared" si="360"/>
        <v>117.46350000000002</v>
      </c>
      <c r="M2709" s="285">
        <f t="shared" si="361"/>
        <v>117.5</v>
      </c>
      <c r="N2709" s="1076">
        <f t="shared" si="362"/>
        <v>118</v>
      </c>
      <c r="O2709" s="294"/>
      <c r="P2709" s="404"/>
      <c r="Q2709" s="404"/>
      <c r="R2709" s="301"/>
      <c r="S2709" s="301"/>
      <c r="T2709" s="301"/>
      <c r="U2709" s="301"/>
      <c r="V2709" s="301"/>
    </row>
    <row r="2710" spans="1:22" ht="14.4" thickTop="1" thickBot="1" x14ac:dyDescent="0.3">
      <c r="A2710" s="292"/>
      <c r="B2710" s="293"/>
      <c r="C2710" s="294"/>
      <c r="D2710" s="294"/>
      <c r="E2710" s="294"/>
      <c r="F2710" s="310"/>
      <c r="G2710" s="310"/>
      <c r="H2710" s="310"/>
      <c r="I2710" s="295"/>
      <c r="J2710" s="295"/>
      <c r="K2710" s="300">
        <f t="shared" si="342"/>
        <v>1.1000000000000001</v>
      </c>
      <c r="L2710" s="300">
        <f t="shared" si="360"/>
        <v>0</v>
      </c>
      <c r="M2710" s="285">
        <f t="shared" si="361"/>
        <v>0</v>
      </c>
      <c r="N2710" s="1076">
        <f t="shared" si="362"/>
        <v>0</v>
      </c>
      <c r="O2710" s="294"/>
      <c r="P2710" s="404"/>
      <c r="Q2710" s="404"/>
      <c r="R2710" s="301"/>
      <c r="S2710" s="301"/>
      <c r="T2710" s="301"/>
      <c r="U2710" s="301"/>
      <c r="V2710" s="301"/>
    </row>
    <row r="2711" spans="1:22" ht="14.4" thickTop="1" thickBot="1" x14ac:dyDescent="0.3">
      <c r="A2711" s="292"/>
      <c r="B2711" s="293"/>
      <c r="C2711" s="294"/>
      <c r="D2711" s="294"/>
      <c r="E2711" s="294"/>
      <c r="F2711" s="310"/>
      <c r="G2711" s="310"/>
      <c r="H2711" s="310"/>
      <c r="I2711" s="295"/>
      <c r="J2711" s="295"/>
      <c r="K2711" s="300">
        <f t="shared" si="342"/>
        <v>1.1000000000000001</v>
      </c>
      <c r="L2711" s="300">
        <f t="shared" si="360"/>
        <v>0</v>
      </c>
      <c r="M2711" s="285">
        <f t="shared" si="361"/>
        <v>0</v>
      </c>
      <c r="N2711" s="1076">
        <f t="shared" si="362"/>
        <v>0</v>
      </c>
      <c r="O2711" s="294"/>
      <c r="P2711" s="404"/>
      <c r="Q2711" s="404"/>
      <c r="R2711" s="301"/>
      <c r="S2711" s="301"/>
      <c r="T2711" s="301"/>
      <c r="U2711" s="301"/>
      <c r="V2711" s="301"/>
    </row>
    <row r="2712" spans="1:22" ht="14.4" thickTop="1" thickBot="1" x14ac:dyDescent="0.3">
      <c r="A2712" s="292"/>
      <c r="B2712" s="296" t="s">
        <v>2399</v>
      </c>
      <c r="C2712" s="294"/>
      <c r="D2712" s="294"/>
      <c r="E2712" s="294"/>
      <c r="F2712" s="310"/>
      <c r="G2712" s="310"/>
      <c r="H2712" s="310"/>
      <c r="I2712" s="295"/>
      <c r="J2712" s="295"/>
      <c r="K2712" s="300">
        <f t="shared" si="342"/>
        <v>1.1000000000000001</v>
      </c>
      <c r="L2712" s="300">
        <f t="shared" si="360"/>
        <v>0</v>
      </c>
      <c r="M2712" s="285">
        <f t="shared" si="361"/>
        <v>0</v>
      </c>
      <c r="N2712" s="1076">
        <f t="shared" si="362"/>
        <v>0</v>
      </c>
      <c r="O2712" s="294"/>
      <c r="P2712" s="404"/>
      <c r="Q2712" s="404"/>
      <c r="R2712" s="301"/>
      <c r="S2712" s="301"/>
      <c r="T2712" s="301"/>
      <c r="U2712" s="301"/>
      <c r="V2712" s="301"/>
    </row>
    <row r="2713" spans="1:22" ht="14.4" thickTop="1" thickBot="1" x14ac:dyDescent="0.3">
      <c r="A2713" s="292"/>
      <c r="B2713" s="296" t="s">
        <v>1605</v>
      </c>
      <c r="C2713" s="294"/>
      <c r="D2713" s="294"/>
      <c r="E2713" s="294">
        <v>2</v>
      </c>
      <c r="F2713" s="310">
        <f>F2707</f>
        <v>67.8</v>
      </c>
      <c r="G2713" s="310"/>
      <c r="H2713" s="310">
        <f>H2707</f>
        <v>0.45</v>
      </c>
      <c r="I2713" s="295">
        <f>H2713*F2713*E2713</f>
        <v>61.019999999999996</v>
      </c>
      <c r="J2713" s="295"/>
      <c r="K2713" s="300">
        <f t="shared" si="342"/>
        <v>1.1000000000000001</v>
      </c>
      <c r="L2713" s="300">
        <f t="shared" si="360"/>
        <v>0</v>
      </c>
      <c r="M2713" s="285">
        <f t="shared" si="361"/>
        <v>0</v>
      </c>
      <c r="N2713" s="1076">
        <f t="shared" si="362"/>
        <v>0</v>
      </c>
      <c r="O2713" s="294"/>
      <c r="P2713" s="404"/>
      <c r="Q2713" s="404"/>
      <c r="R2713" s="301"/>
      <c r="S2713" s="301"/>
      <c r="T2713" s="301"/>
      <c r="U2713" s="301"/>
      <c r="V2713" s="301"/>
    </row>
    <row r="2714" spans="1:22" ht="14.4" thickTop="1" thickBot="1" x14ac:dyDescent="0.3">
      <c r="A2714" s="292"/>
      <c r="B2714" s="293"/>
      <c r="C2714" s="294"/>
      <c r="D2714" s="294"/>
      <c r="E2714" s="294">
        <v>2</v>
      </c>
      <c r="F2714" s="310">
        <f>G2707</f>
        <v>2.6</v>
      </c>
      <c r="G2714" s="310"/>
      <c r="H2714" s="310">
        <f>H2713</f>
        <v>0.45</v>
      </c>
      <c r="I2714" s="295">
        <f>H2714*F2714*E2714</f>
        <v>2.3400000000000003</v>
      </c>
      <c r="J2714" s="295">
        <f>SUM(I2713:I2714)</f>
        <v>63.36</v>
      </c>
      <c r="K2714" s="300">
        <f t="shared" si="342"/>
        <v>1.1000000000000001</v>
      </c>
      <c r="L2714" s="300">
        <f t="shared" si="360"/>
        <v>69.695999999999998</v>
      </c>
      <c r="M2714" s="285">
        <f t="shared" si="361"/>
        <v>69.7</v>
      </c>
      <c r="N2714" s="1076">
        <f t="shared" si="362"/>
        <v>70</v>
      </c>
      <c r="O2714" s="294"/>
      <c r="P2714" s="413"/>
      <c r="Q2714" s="404"/>
      <c r="R2714" s="301"/>
      <c r="S2714" s="301"/>
      <c r="T2714" s="301"/>
      <c r="U2714" s="301"/>
      <c r="V2714" s="301"/>
    </row>
    <row r="2715" spans="1:22" ht="14.4" thickTop="1" thickBot="1" x14ac:dyDescent="0.3">
      <c r="A2715" s="292"/>
      <c r="B2715" s="293"/>
      <c r="C2715" s="294"/>
      <c r="D2715" s="294"/>
      <c r="E2715" s="294"/>
      <c r="F2715" s="310"/>
      <c r="G2715" s="310"/>
      <c r="H2715" s="310"/>
      <c r="I2715" s="295"/>
      <c r="J2715" s="295">
        <f>J2714/9.29</f>
        <v>6.8202368137782567</v>
      </c>
      <c r="K2715" s="300">
        <v>1.05</v>
      </c>
      <c r="L2715" s="300">
        <f t="shared" si="360"/>
        <v>7.1612486544671698</v>
      </c>
      <c r="M2715" s="285">
        <f t="shared" si="361"/>
        <v>7.2</v>
      </c>
      <c r="N2715" s="1076">
        <f t="shared" si="362"/>
        <v>8</v>
      </c>
      <c r="O2715" s="294"/>
      <c r="P2715" s="413"/>
      <c r="Q2715" s="404"/>
      <c r="R2715" s="301"/>
      <c r="S2715" s="301"/>
      <c r="T2715" s="301"/>
      <c r="U2715" s="301"/>
      <c r="V2715" s="301"/>
    </row>
    <row r="2716" spans="1:22" ht="14.4" thickTop="1" thickBot="1" x14ac:dyDescent="0.3">
      <c r="A2716" s="292"/>
      <c r="B2716" s="293"/>
      <c r="C2716" s="294"/>
      <c r="D2716" s="294"/>
      <c r="E2716" s="294"/>
      <c r="F2716" s="310"/>
      <c r="G2716" s="310"/>
      <c r="H2716" s="310"/>
      <c r="I2716" s="295"/>
      <c r="J2716" s="295"/>
      <c r="K2716" s="300">
        <f t="shared" si="342"/>
        <v>1.1000000000000001</v>
      </c>
      <c r="L2716" s="300">
        <f t="shared" si="360"/>
        <v>0</v>
      </c>
      <c r="M2716" s="285">
        <f t="shared" si="361"/>
        <v>0</v>
      </c>
      <c r="N2716" s="1076">
        <f t="shared" si="362"/>
        <v>0</v>
      </c>
      <c r="O2716" s="294"/>
      <c r="P2716" s="404"/>
      <c r="Q2716" s="404"/>
      <c r="R2716" s="301"/>
      <c r="S2716" s="301"/>
      <c r="T2716" s="301"/>
      <c r="U2716" s="301"/>
      <c r="V2716" s="301"/>
    </row>
    <row r="2717" spans="1:22" ht="14.4" thickTop="1" thickBot="1" x14ac:dyDescent="0.3">
      <c r="A2717" s="292"/>
      <c r="B2717" s="296" t="s">
        <v>800</v>
      </c>
      <c r="C2717" s="294"/>
      <c r="D2717" s="294"/>
      <c r="E2717" s="294">
        <v>2</v>
      </c>
      <c r="F2717" s="310">
        <f>F2709</f>
        <v>67.8</v>
      </c>
      <c r="G2717" s="310"/>
      <c r="H2717" s="310">
        <f>H2709</f>
        <v>4.2</v>
      </c>
      <c r="I2717" s="295">
        <f>H2717*F2717*E2717</f>
        <v>569.52</v>
      </c>
      <c r="J2717" s="295"/>
      <c r="K2717" s="300">
        <f t="shared" si="342"/>
        <v>1.1000000000000001</v>
      </c>
      <c r="L2717" s="300">
        <f t="shared" si="360"/>
        <v>0</v>
      </c>
      <c r="M2717" s="285">
        <f t="shared" si="361"/>
        <v>0</v>
      </c>
      <c r="N2717" s="1076">
        <f t="shared" si="362"/>
        <v>0</v>
      </c>
      <c r="O2717" s="294"/>
      <c r="P2717" s="404"/>
      <c r="Q2717" s="404"/>
      <c r="R2717" s="301"/>
      <c r="S2717" s="301"/>
      <c r="T2717" s="301"/>
      <c r="U2717" s="301"/>
      <c r="V2717" s="301"/>
    </row>
    <row r="2718" spans="1:22" ht="14.4" thickTop="1" thickBot="1" x14ac:dyDescent="0.3">
      <c r="A2718" s="292"/>
      <c r="B2718" s="293"/>
      <c r="C2718" s="294"/>
      <c r="D2718" s="294"/>
      <c r="E2718" s="294">
        <v>2</v>
      </c>
      <c r="F2718" s="310">
        <f>G2709</f>
        <v>0.375</v>
      </c>
      <c r="G2718" s="310"/>
      <c r="H2718" s="310">
        <f>H2717</f>
        <v>4.2</v>
      </c>
      <c r="I2718" s="295">
        <f>H2718*F2718*E2718</f>
        <v>3.1500000000000004</v>
      </c>
      <c r="J2718" s="295">
        <f>SUM(I2717:I2718)</f>
        <v>572.66999999999996</v>
      </c>
      <c r="K2718" s="300">
        <f t="shared" si="342"/>
        <v>1.1000000000000001</v>
      </c>
      <c r="L2718" s="300">
        <f t="shared" si="360"/>
        <v>629.93700000000001</v>
      </c>
      <c r="M2718" s="285">
        <f t="shared" si="361"/>
        <v>629.9</v>
      </c>
      <c r="N2718" s="1076">
        <f t="shared" si="362"/>
        <v>630</v>
      </c>
      <c r="O2718" s="294"/>
      <c r="P2718" s="404"/>
      <c r="Q2718" s="404"/>
      <c r="R2718" s="301"/>
      <c r="S2718" s="301"/>
      <c r="T2718" s="301"/>
      <c r="U2718" s="301"/>
      <c r="V2718" s="301"/>
    </row>
    <row r="2719" spans="1:22" ht="14.4" thickTop="1" thickBot="1" x14ac:dyDescent="0.3">
      <c r="A2719" s="292"/>
      <c r="B2719" s="293"/>
      <c r="C2719" s="294"/>
      <c r="D2719" s="294"/>
      <c r="E2719" s="294"/>
      <c r="F2719" s="310"/>
      <c r="G2719" s="310"/>
      <c r="H2719" s="310"/>
      <c r="I2719" s="295"/>
      <c r="J2719" s="295">
        <f>J2718/9.29</f>
        <v>61.643702906350917</v>
      </c>
      <c r="K2719" s="300">
        <v>1.05</v>
      </c>
      <c r="L2719" s="300">
        <f t="shared" si="360"/>
        <v>64.725888051668463</v>
      </c>
      <c r="M2719" s="285">
        <f t="shared" si="361"/>
        <v>64.7</v>
      </c>
      <c r="N2719" s="1076">
        <f t="shared" si="362"/>
        <v>65</v>
      </c>
      <c r="O2719" s="294"/>
      <c r="P2719" s="404"/>
      <c r="Q2719" s="404"/>
      <c r="R2719" s="301"/>
      <c r="S2719" s="301"/>
      <c r="T2719" s="301"/>
      <c r="U2719" s="301"/>
      <c r="V2719" s="301"/>
    </row>
    <row r="2720" spans="1:22" ht="14.4" thickTop="1" thickBot="1" x14ac:dyDescent="0.3">
      <c r="A2720" s="292"/>
      <c r="B2720" s="293"/>
      <c r="C2720" s="294"/>
      <c r="D2720" s="294"/>
      <c r="E2720" s="294"/>
      <c r="F2720" s="310"/>
      <c r="G2720" s="310"/>
      <c r="H2720" s="310"/>
      <c r="I2720" s="295"/>
      <c r="J2720" s="295"/>
      <c r="K2720" s="300">
        <f t="shared" si="342"/>
        <v>1.1000000000000001</v>
      </c>
      <c r="L2720" s="300">
        <f t="shared" si="360"/>
        <v>0</v>
      </c>
      <c r="M2720" s="285">
        <f t="shared" si="361"/>
        <v>0</v>
      </c>
      <c r="N2720" s="1076">
        <f t="shared" si="362"/>
        <v>0</v>
      </c>
      <c r="O2720" s="294"/>
      <c r="P2720" s="404"/>
      <c r="Q2720" s="404"/>
      <c r="R2720" s="301"/>
      <c r="S2720" s="301"/>
      <c r="T2720" s="301"/>
      <c r="U2720" s="301"/>
      <c r="V2720" s="301"/>
    </row>
    <row r="2721" spans="1:22" ht="14.4" thickTop="1" thickBot="1" x14ac:dyDescent="0.3">
      <c r="A2721" s="292"/>
      <c r="B2721" s="296" t="s">
        <v>2400</v>
      </c>
      <c r="C2721" s="294"/>
      <c r="D2721" s="294"/>
      <c r="E2721" s="294"/>
      <c r="F2721" s="310"/>
      <c r="G2721" s="310"/>
      <c r="H2721" s="310"/>
      <c r="I2721" s="295"/>
      <c r="J2721" s="295"/>
      <c r="K2721" s="300">
        <f t="shared" si="342"/>
        <v>1.1000000000000001</v>
      </c>
      <c r="L2721" s="300">
        <f t="shared" si="360"/>
        <v>0</v>
      </c>
      <c r="M2721" s="285">
        <f t="shared" si="361"/>
        <v>0</v>
      </c>
      <c r="N2721" s="1076">
        <f t="shared" si="362"/>
        <v>0</v>
      </c>
      <c r="O2721" s="294"/>
      <c r="P2721" s="404">
        <f>2.6/0.175</f>
        <v>14.857142857142859</v>
      </c>
      <c r="Q2721" s="404"/>
      <c r="R2721" s="301"/>
      <c r="S2721" s="301"/>
      <c r="T2721" s="301"/>
      <c r="U2721" s="301"/>
      <c r="V2721" s="301"/>
    </row>
    <row r="2722" spans="1:22" ht="14.4" thickTop="1" thickBot="1" x14ac:dyDescent="0.3">
      <c r="A2722" s="292"/>
      <c r="B2722" s="296" t="s">
        <v>2402</v>
      </c>
      <c r="C2722" s="294"/>
      <c r="D2722" s="294"/>
      <c r="E2722" s="294">
        <v>16</v>
      </c>
      <c r="F2722" s="310">
        <f>F2704+(12*0.6)</f>
        <v>75</v>
      </c>
      <c r="G2722" s="310"/>
      <c r="H2722" s="310">
        <v>0.88900000000000001</v>
      </c>
      <c r="I2722" s="295">
        <f>H2722*F2722*E2722</f>
        <v>1066.8</v>
      </c>
      <c r="J2722" s="295"/>
      <c r="K2722" s="300">
        <f t="shared" ref="K2722:K2787" si="400">$K$2</f>
        <v>1.1000000000000001</v>
      </c>
      <c r="L2722" s="300">
        <f t="shared" si="360"/>
        <v>0</v>
      </c>
      <c r="M2722" s="285">
        <f t="shared" si="361"/>
        <v>0</v>
      </c>
      <c r="N2722" s="1076">
        <f t="shared" si="362"/>
        <v>0</v>
      </c>
      <c r="O2722" s="294"/>
      <c r="P2722" s="404">
        <f>12*12/162</f>
        <v>0.88888888888888884</v>
      </c>
      <c r="Q2722" s="413">
        <f>F2722/6</f>
        <v>12.5</v>
      </c>
      <c r="R2722" s="301">
        <f>12*50</f>
        <v>600</v>
      </c>
      <c r="S2722" s="301"/>
      <c r="T2722" s="301"/>
      <c r="U2722" s="301"/>
      <c r="V2722" s="301"/>
    </row>
    <row r="2723" spans="1:22" ht="14.4" thickTop="1" thickBot="1" x14ac:dyDescent="0.3">
      <c r="A2723" s="292"/>
      <c r="B2723" s="296" t="s">
        <v>2403</v>
      </c>
      <c r="C2723" s="294"/>
      <c r="D2723" s="294"/>
      <c r="E2723" s="294">
        <v>16</v>
      </c>
      <c r="F2723" s="310">
        <f>F2722</f>
        <v>75</v>
      </c>
      <c r="G2723" s="310"/>
      <c r="H2723" s="310">
        <v>0.88900000000000001</v>
      </c>
      <c r="I2723" s="295">
        <f t="shared" ref="I2723:I2730" si="401">H2723*F2723*E2723</f>
        <v>1066.8</v>
      </c>
      <c r="J2723" s="295"/>
      <c r="K2723" s="300">
        <f t="shared" si="400"/>
        <v>1.1000000000000001</v>
      </c>
      <c r="L2723" s="300">
        <f t="shared" si="360"/>
        <v>0</v>
      </c>
      <c r="M2723" s="285">
        <f t="shared" si="361"/>
        <v>0</v>
      </c>
      <c r="N2723" s="1076">
        <f t="shared" si="362"/>
        <v>0</v>
      </c>
      <c r="O2723" s="294"/>
      <c r="P2723" s="404">
        <f>12*12/162</f>
        <v>0.88888888888888884</v>
      </c>
      <c r="Q2723" s="413">
        <f>F2723/6</f>
        <v>12.5</v>
      </c>
      <c r="R2723" s="301">
        <f>12*50</f>
        <v>600</v>
      </c>
      <c r="S2723" s="301"/>
      <c r="T2723" s="301"/>
      <c r="U2723" s="301"/>
      <c r="V2723" s="301"/>
    </row>
    <row r="2724" spans="1:22" ht="14.4" thickTop="1" thickBot="1" x14ac:dyDescent="0.3">
      <c r="A2724" s="292"/>
      <c r="B2724" s="296" t="s">
        <v>2404</v>
      </c>
      <c r="C2724" s="294"/>
      <c r="D2724" s="294"/>
      <c r="E2724" s="294">
        <v>389</v>
      </c>
      <c r="F2724" s="310">
        <v>3.3780000000000001</v>
      </c>
      <c r="G2724" s="310"/>
      <c r="H2724" s="310">
        <v>1.58</v>
      </c>
      <c r="I2724" s="295">
        <f t="shared" si="401"/>
        <v>2076.1863600000001</v>
      </c>
      <c r="J2724" s="295"/>
      <c r="K2724" s="300">
        <f t="shared" si="400"/>
        <v>1.1000000000000001</v>
      </c>
      <c r="L2724" s="300">
        <f t="shared" si="360"/>
        <v>0</v>
      </c>
      <c r="M2724" s="285">
        <f t="shared" si="361"/>
        <v>0</v>
      </c>
      <c r="N2724" s="1076">
        <f t="shared" si="362"/>
        <v>0</v>
      </c>
      <c r="O2724" s="294"/>
      <c r="P2724" s="404">
        <f>16*16/162</f>
        <v>1.5802469135802468</v>
      </c>
      <c r="Q2724" s="413">
        <f>F2713/0.175</f>
        <v>387.42857142857144</v>
      </c>
      <c r="R2724" s="301"/>
      <c r="S2724" s="301"/>
      <c r="T2724" s="301"/>
      <c r="U2724" s="301"/>
      <c r="V2724" s="301"/>
    </row>
    <row r="2725" spans="1:22" ht="14.4" thickTop="1" thickBot="1" x14ac:dyDescent="0.3">
      <c r="A2725" s="292"/>
      <c r="B2725" s="296" t="s">
        <v>2405</v>
      </c>
      <c r="C2725" s="294"/>
      <c r="D2725" s="294"/>
      <c r="E2725" s="294">
        <v>389</v>
      </c>
      <c r="F2725" s="310">
        <f>8.24+1</f>
        <v>9.24</v>
      </c>
      <c r="G2725" s="310"/>
      <c r="H2725" s="310">
        <v>2.4700000000000002</v>
      </c>
      <c r="I2725" s="295">
        <f t="shared" si="401"/>
        <v>8878.0691999999999</v>
      </c>
      <c r="J2725" s="295"/>
      <c r="K2725" s="300">
        <f t="shared" si="400"/>
        <v>1.1000000000000001</v>
      </c>
      <c r="L2725" s="300">
        <f t="shared" si="360"/>
        <v>0</v>
      </c>
      <c r="M2725" s="285">
        <f t="shared" si="361"/>
        <v>0</v>
      </c>
      <c r="N2725" s="1076">
        <f t="shared" si="362"/>
        <v>0</v>
      </c>
      <c r="O2725" s="294"/>
      <c r="P2725" s="404">
        <f>20*20/162</f>
        <v>2.4691358024691357</v>
      </c>
      <c r="Q2725" s="404">
        <f>20*50</f>
        <v>1000</v>
      </c>
      <c r="R2725" s="301">
        <f>F2713/0.175</f>
        <v>387.42857142857144</v>
      </c>
      <c r="S2725" s="301"/>
      <c r="T2725" s="301"/>
      <c r="U2725" s="301"/>
      <c r="V2725" s="301"/>
    </row>
    <row r="2726" spans="1:22" ht="14.4" thickTop="1" thickBot="1" x14ac:dyDescent="0.3">
      <c r="A2726" s="292"/>
      <c r="B2726" s="296" t="s">
        <v>2406</v>
      </c>
      <c r="C2726" s="294"/>
      <c r="D2726" s="294"/>
      <c r="E2726" s="294">
        <v>389</v>
      </c>
      <c r="F2726" s="310">
        <v>5.8849999999999998</v>
      </c>
      <c r="G2726" s="310"/>
      <c r="H2726" s="310">
        <v>1.58</v>
      </c>
      <c r="I2726" s="295">
        <f t="shared" si="401"/>
        <v>3617.0386999999996</v>
      </c>
      <c r="J2726" s="295"/>
      <c r="K2726" s="300">
        <f t="shared" si="400"/>
        <v>1.1000000000000001</v>
      </c>
      <c r="L2726" s="300">
        <f t="shared" si="360"/>
        <v>0</v>
      </c>
      <c r="M2726" s="285">
        <f t="shared" si="361"/>
        <v>0</v>
      </c>
      <c r="N2726" s="1076">
        <f t="shared" si="362"/>
        <v>0</v>
      </c>
      <c r="O2726" s="294"/>
      <c r="P2726" s="404">
        <f>5.25/0.2</f>
        <v>26.25</v>
      </c>
      <c r="Q2726" s="404"/>
      <c r="R2726" s="301"/>
      <c r="S2726" s="301"/>
      <c r="T2726" s="301"/>
      <c r="U2726" s="301"/>
      <c r="V2726" s="301"/>
    </row>
    <row r="2727" spans="1:22" ht="14.4" thickTop="1" thickBot="1" x14ac:dyDescent="0.3">
      <c r="A2727" s="292"/>
      <c r="B2727" s="296" t="s">
        <v>2407</v>
      </c>
      <c r="C2727" s="294"/>
      <c r="D2727" s="294"/>
      <c r="E2727" s="294">
        <v>28</v>
      </c>
      <c r="F2727" s="310">
        <v>75</v>
      </c>
      <c r="G2727" s="310"/>
      <c r="H2727" s="310">
        <v>0.88900000000000001</v>
      </c>
      <c r="I2727" s="295">
        <f t="shared" si="401"/>
        <v>1866.8999999999999</v>
      </c>
      <c r="J2727" s="295"/>
      <c r="K2727" s="300">
        <f t="shared" si="400"/>
        <v>1.1000000000000001</v>
      </c>
      <c r="L2727" s="300">
        <f t="shared" si="360"/>
        <v>0</v>
      </c>
      <c r="M2727" s="285">
        <f t="shared" si="361"/>
        <v>0</v>
      </c>
      <c r="N2727" s="1076">
        <f t="shared" si="362"/>
        <v>0</v>
      </c>
      <c r="O2727" s="294"/>
      <c r="P2727" s="404"/>
      <c r="Q2727" s="404"/>
      <c r="R2727" s="301"/>
      <c r="S2727" s="301"/>
      <c r="T2727" s="301"/>
      <c r="U2727" s="301"/>
      <c r="V2727" s="301"/>
    </row>
    <row r="2728" spans="1:22" ht="14.4" thickTop="1" thickBot="1" x14ac:dyDescent="0.3">
      <c r="A2728" s="292"/>
      <c r="B2728" s="296" t="s">
        <v>2408</v>
      </c>
      <c r="C2728" s="294"/>
      <c r="D2728" s="294"/>
      <c r="E2728" s="294">
        <v>28</v>
      </c>
      <c r="F2728" s="310">
        <v>75</v>
      </c>
      <c r="G2728" s="310"/>
      <c r="H2728" s="310">
        <v>0.88900000000000001</v>
      </c>
      <c r="I2728" s="295">
        <f t="shared" si="401"/>
        <v>1866.8999999999999</v>
      </c>
      <c r="J2728" s="295"/>
      <c r="K2728" s="300">
        <f t="shared" si="400"/>
        <v>1.1000000000000001</v>
      </c>
      <c r="L2728" s="300">
        <f t="shared" si="360"/>
        <v>0</v>
      </c>
      <c r="M2728" s="285">
        <f t="shared" si="361"/>
        <v>0</v>
      </c>
      <c r="N2728" s="1076">
        <f t="shared" si="362"/>
        <v>0</v>
      </c>
      <c r="O2728" s="294"/>
      <c r="P2728" s="404"/>
      <c r="Q2728" s="404"/>
      <c r="R2728" s="301"/>
      <c r="S2728" s="301"/>
      <c r="T2728" s="301"/>
      <c r="U2728" s="301"/>
      <c r="V2728" s="301"/>
    </row>
    <row r="2729" spans="1:22" ht="14.4" thickTop="1" thickBot="1" x14ac:dyDescent="0.3">
      <c r="A2729" s="292"/>
      <c r="B2729" s="296" t="s">
        <v>2409</v>
      </c>
      <c r="C2729" s="294"/>
      <c r="D2729" s="294"/>
      <c r="E2729" s="294"/>
      <c r="F2729" s="310"/>
      <c r="G2729" s="310"/>
      <c r="H2729" s="310"/>
      <c r="I2729" s="295"/>
      <c r="J2729" s="295"/>
      <c r="K2729" s="300"/>
      <c r="L2729" s="300"/>
      <c r="M2729" s="285"/>
      <c r="N2729" s="1076"/>
      <c r="O2729" s="294"/>
      <c r="P2729" s="404"/>
      <c r="Q2729" s="404"/>
      <c r="R2729" s="301"/>
      <c r="S2729" s="301"/>
      <c r="T2729" s="301"/>
      <c r="U2729" s="301"/>
      <c r="V2729" s="301"/>
    </row>
    <row r="2730" spans="1:22" ht="14.4" thickTop="1" thickBot="1" x14ac:dyDescent="0.3">
      <c r="A2730" s="292"/>
      <c r="B2730" s="296" t="s">
        <v>2410</v>
      </c>
      <c r="C2730" s="294"/>
      <c r="D2730" s="294"/>
      <c r="E2730" s="294">
        <f>E2726*E2728</f>
        <v>10892</v>
      </c>
      <c r="F2730" s="310">
        <v>0.35</v>
      </c>
      <c r="G2730" s="310"/>
      <c r="H2730" s="310">
        <v>0.61199999999999999</v>
      </c>
      <c r="I2730" s="295">
        <f t="shared" si="401"/>
        <v>2333.0663999999997</v>
      </c>
      <c r="J2730" s="295"/>
      <c r="K2730" s="300"/>
      <c r="L2730" s="300"/>
      <c r="M2730" s="285"/>
      <c r="N2730" s="1076"/>
      <c r="O2730" s="294"/>
      <c r="P2730" s="404"/>
      <c r="Q2730" s="404"/>
      <c r="R2730" s="301"/>
      <c r="S2730" s="301"/>
      <c r="T2730" s="301"/>
      <c r="U2730" s="301"/>
      <c r="V2730" s="301"/>
    </row>
    <row r="2731" spans="1:22" ht="14.4" thickTop="1" thickBot="1" x14ac:dyDescent="0.3">
      <c r="A2731" s="292"/>
      <c r="B2731" s="293"/>
      <c r="C2731" s="294"/>
      <c r="D2731" s="294"/>
      <c r="E2731" s="294"/>
      <c r="F2731" s="310"/>
      <c r="G2731" s="310"/>
      <c r="H2731" s="310"/>
      <c r="I2731" s="295"/>
      <c r="J2731" s="295">
        <f>SUM(I2722:I2730)</f>
        <v>22771.760660000004</v>
      </c>
      <c r="K2731" s="300">
        <v>1.02</v>
      </c>
      <c r="L2731" s="300">
        <f t="shared" si="360"/>
        <v>23227.195873200006</v>
      </c>
      <c r="M2731" s="285">
        <f t="shared" si="361"/>
        <v>23227.200000000001</v>
      </c>
      <c r="N2731" s="1076">
        <f t="shared" si="362"/>
        <v>23228</v>
      </c>
      <c r="O2731" s="294"/>
      <c r="P2731" s="413">
        <f>N2731-J2731</f>
        <v>456.23933999999645</v>
      </c>
      <c r="Q2731" s="404"/>
      <c r="R2731" s="301"/>
      <c r="S2731" s="301"/>
      <c r="T2731" s="301"/>
      <c r="U2731" s="301"/>
      <c r="V2731" s="301"/>
    </row>
    <row r="2732" spans="1:22" ht="14.4" thickTop="1" thickBot="1" x14ac:dyDescent="0.3">
      <c r="A2732" s="292"/>
      <c r="B2732" s="293"/>
      <c r="C2732" s="294"/>
      <c r="D2732" s="294"/>
      <c r="E2732" s="294"/>
      <c r="F2732" s="310"/>
      <c r="G2732" s="310"/>
      <c r="H2732" s="310"/>
      <c r="I2732" s="295"/>
      <c r="J2732" s="295"/>
      <c r="K2732" s="300">
        <f t="shared" si="400"/>
        <v>1.1000000000000001</v>
      </c>
      <c r="L2732" s="300">
        <f t="shared" si="360"/>
        <v>0</v>
      </c>
      <c r="M2732" s="285">
        <f t="shared" si="361"/>
        <v>0</v>
      </c>
      <c r="N2732" s="1076">
        <f t="shared" si="362"/>
        <v>0</v>
      </c>
      <c r="O2732" s="294"/>
      <c r="P2732" s="404"/>
      <c r="Q2732" s="404"/>
      <c r="R2732" s="301"/>
      <c r="S2732" s="301"/>
      <c r="T2732" s="301"/>
      <c r="U2732" s="301"/>
      <c r="V2732" s="301"/>
    </row>
    <row r="2733" spans="1:22" ht="14.4" thickTop="1" thickBot="1" x14ac:dyDescent="0.3">
      <c r="A2733" s="292"/>
      <c r="B2733" s="293"/>
      <c r="C2733" s="294"/>
      <c r="D2733" s="294"/>
      <c r="E2733" s="294"/>
      <c r="F2733" s="310"/>
      <c r="G2733" s="310"/>
      <c r="H2733" s="310"/>
      <c r="I2733" s="295">
        <f>J2707+J2709</f>
        <v>186.11100000000002</v>
      </c>
      <c r="J2733" s="295"/>
      <c r="K2733" s="300">
        <f t="shared" si="400"/>
        <v>1.1000000000000001</v>
      </c>
      <c r="L2733" s="300">
        <f t="shared" si="360"/>
        <v>0</v>
      </c>
      <c r="M2733" s="285">
        <f t="shared" si="361"/>
        <v>0</v>
      </c>
      <c r="N2733" s="1076">
        <f t="shared" si="362"/>
        <v>0</v>
      </c>
      <c r="O2733" s="294"/>
      <c r="P2733" s="404"/>
      <c r="Q2733" s="404"/>
      <c r="R2733" s="301"/>
      <c r="S2733" s="301"/>
      <c r="T2733" s="301"/>
      <c r="U2733" s="301"/>
      <c r="V2733" s="301"/>
    </row>
    <row r="2734" spans="1:22" ht="14.4" thickTop="1" thickBot="1" x14ac:dyDescent="0.3">
      <c r="A2734" s="292"/>
      <c r="B2734" s="293"/>
      <c r="C2734" s="294"/>
      <c r="D2734" s="294"/>
      <c r="E2734" s="294"/>
      <c r="F2734" s="310"/>
      <c r="G2734" s="310"/>
      <c r="H2734" s="310"/>
      <c r="I2734" s="295">
        <f>J2731/I2733</f>
        <v>122.35580196764298</v>
      </c>
      <c r="J2734" s="295"/>
      <c r="K2734" s="300">
        <f t="shared" si="400"/>
        <v>1.1000000000000001</v>
      </c>
      <c r="L2734" s="300">
        <f t="shared" si="360"/>
        <v>0</v>
      </c>
      <c r="M2734" s="285">
        <f t="shared" si="361"/>
        <v>0</v>
      </c>
      <c r="N2734" s="1076">
        <f t="shared" si="362"/>
        <v>0</v>
      </c>
      <c r="O2734" s="294"/>
      <c r="P2734" s="404"/>
      <c r="Q2734" s="404"/>
      <c r="R2734" s="301"/>
      <c r="S2734" s="301"/>
      <c r="T2734" s="301"/>
      <c r="U2734" s="301"/>
      <c r="V2734" s="301"/>
    </row>
    <row r="2735" spans="1:22" ht="14.4" thickTop="1" thickBot="1" x14ac:dyDescent="0.3">
      <c r="A2735" s="292"/>
      <c r="B2735" s="293"/>
      <c r="C2735" s="294"/>
      <c r="D2735" s="294"/>
      <c r="E2735" s="294"/>
      <c r="F2735" s="310"/>
      <c r="G2735" s="310"/>
      <c r="H2735" s="310"/>
      <c r="I2735" s="295"/>
      <c r="J2735" s="295"/>
      <c r="K2735" s="300">
        <f t="shared" si="400"/>
        <v>1.1000000000000001</v>
      </c>
      <c r="L2735" s="300">
        <f t="shared" si="360"/>
        <v>0</v>
      </c>
      <c r="M2735" s="285">
        <f t="shared" si="361"/>
        <v>0</v>
      </c>
      <c r="N2735" s="1076">
        <f t="shared" si="362"/>
        <v>0</v>
      </c>
      <c r="O2735" s="294"/>
      <c r="P2735" s="404"/>
      <c r="Q2735" s="404"/>
      <c r="R2735" s="301"/>
      <c r="S2735" s="301"/>
      <c r="T2735" s="301"/>
      <c r="U2735" s="301"/>
      <c r="V2735" s="301"/>
    </row>
    <row r="2736" spans="1:22" ht="14.4" thickTop="1" thickBot="1" x14ac:dyDescent="0.3">
      <c r="A2736" s="292"/>
      <c r="B2736" s="293"/>
      <c r="C2736" s="294"/>
      <c r="D2736" s="294"/>
      <c r="E2736" s="294"/>
      <c r="F2736" s="310"/>
      <c r="G2736" s="310"/>
      <c r="H2736" s="310"/>
      <c r="I2736" s="295"/>
      <c r="J2736" s="295"/>
      <c r="K2736" s="300">
        <f t="shared" si="400"/>
        <v>1.1000000000000001</v>
      </c>
      <c r="L2736" s="300">
        <f t="shared" si="360"/>
        <v>0</v>
      </c>
      <c r="M2736" s="285">
        <f t="shared" si="361"/>
        <v>0</v>
      </c>
      <c r="N2736" s="1076">
        <f t="shared" si="362"/>
        <v>0</v>
      </c>
      <c r="O2736" s="294"/>
      <c r="P2736" s="404"/>
      <c r="Q2736" s="404"/>
      <c r="R2736" s="301"/>
      <c r="S2736" s="301"/>
      <c r="T2736" s="301"/>
      <c r="U2736" s="301"/>
      <c r="V2736" s="301"/>
    </row>
    <row r="2737" spans="1:22" ht="14.4" thickTop="1" thickBot="1" x14ac:dyDescent="0.3">
      <c r="A2737" s="292"/>
      <c r="B2737" s="293"/>
      <c r="C2737" s="294"/>
      <c r="D2737" s="294"/>
      <c r="E2737" s="294"/>
      <c r="F2737" s="310"/>
      <c r="G2737" s="310"/>
      <c r="H2737" s="310"/>
      <c r="I2737" s="295"/>
      <c r="J2737" s="295"/>
      <c r="K2737" s="300">
        <f t="shared" si="400"/>
        <v>1.1000000000000001</v>
      </c>
      <c r="L2737" s="300">
        <f t="shared" si="360"/>
        <v>0</v>
      </c>
      <c r="M2737" s="285">
        <f t="shared" si="361"/>
        <v>0</v>
      </c>
      <c r="N2737" s="1076">
        <f t="shared" si="362"/>
        <v>0</v>
      </c>
      <c r="O2737" s="294"/>
      <c r="P2737" s="404"/>
      <c r="Q2737" s="404"/>
      <c r="R2737" s="301"/>
      <c r="S2737" s="301"/>
      <c r="T2737" s="301"/>
      <c r="U2737" s="301"/>
      <c r="V2737" s="301"/>
    </row>
    <row r="2738" spans="1:22" ht="14.4" thickTop="1" thickBot="1" x14ac:dyDescent="0.3">
      <c r="A2738" s="292"/>
      <c r="B2738" s="293"/>
      <c r="C2738" s="294"/>
      <c r="D2738" s="294"/>
      <c r="E2738" s="294"/>
      <c r="F2738" s="310"/>
      <c r="G2738" s="310"/>
      <c r="H2738" s="310"/>
      <c r="I2738" s="295"/>
      <c r="J2738" s="295"/>
      <c r="K2738" s="300">
        <f t="shared" si="400"/>
        <v>1.1000000000000001</v>
      </c>
      <c r="L2738" s="300">
        <f t="shared" si="360"/>
        <v>0</v>
      </c>
      <c r="M2738" s="285">
        <f t="shared" si="361"/>
        <v>0</v>
      </c>
      <c r="N2738" s="1076">
        <f t="shared" si="362"/>
        <v>0</v>
      </c>
      <c r="O2738" s="294"/>
      <c r="P2738" s="404"/>
      <c r="Q2738" s="404"/>
      <c r="R2738" s="301"/>
      <c r="S2738" s="301"/>
      <c r="T2738" s="301"/>
      <c r="U2738" s="301"/>
      <c r="V2738" s="301"/>
    </row>
    <row r="2739" spans="1:22" ht="14.4" thickTop="1" thickBot="1" x14ac:dyDescent="0.3">
      <c r="A2739" s="292"/>
      <c r="B2739" s="293"/>
      <c r="C2739" s="294"/>
      <c r="D2739" s="294"/>
      <c r="E2739" s="294"/>
      <c r="F2739" s="310"/>
      <c r="G2739" s="310"/>
      <c r="H2739" s="310"/>
      <c r="I2739" s="295"/>
      <c r="J2739" s="295"/>
      <c r="K2739" s="300">
        <f t="shared" si="400"/>
        <v>1.1000000000000001</v>
      </c>
      <c r="L2739" s="300">
        <f t="shared" si="360"/>
        <v>0</v>
      </c>
      <c r="M2739" s="285">
        <f t="shared" si="361"/>
        <v>0</v>
      </c>
      <c r="N2739" s="1076">
        <f t="shared" si="362"/>
        <v>0</v>
      </c>
      <c r="O2739" s="294"/>
      <c r="P2739" s="404"/>
      <c r="Q2739" s="404"/>
      <c r="R2739" s="301"/>
      <c r="S2739" s="301"/>
      <c r="T2739" s="301"/>
      <c r="U2739" s="301"/>
      <c r="V2739" s="301"/>
    </row>
    <row r="2740" spans="1:22" ht="14.4" thickTop="1" thickBot="1" x14ac:dyDescent="0.3">
      <c r="A2740" s="292"/>
      <c r="B2740" s="293"/>
      <c r="C2740" s="294"/>
      <c r="D2740" s="294"/>
      <c r="E2740" s="294"/>
      <c r="F2740" s="310"/>
      <c r="G2740" s="310"/>
      <c r="H2740" s="310"/>
      <c r="I2740" s="295"/>
      <c r="J2740" s="295"/>
      <c r="K2740" s="300">
        <f t="shared" si="400"/>
        <v>1.1000000000000001</v>
      </c>
      <c r="L2740" s="300">
        <f t="shared" si="360"/>
        <v>0</v>
      </c>
      <c r="M2740" s="285">
        <f t="shared" si="361"/>
        <v>0</v>
      </c>
      <c r="N2740" s="1076">
        <f t="shared" si="362"/>
        <v>0</v>
      </c>
      <c r="O2740" s="294"/>
      <c r="P2740" s="404"/>
      <c r="Q2740" s="404"/>
      <c r="R2740" s="301"/>
      <c r="S2740" s="301"/>
      <c r="T2740" s="301"/>
      <c r="U2740" s="301"/>
      <c r="V2740" s="301"/>
    </row>
    <row r="2741" spans="1:22" ht="14.4" thickTop="1" thickBot="1" x14ac:dyDescent="0.3">
      <c r="A2741" s="292"/>
      <c r="B2741" s="293"/>
      <c r="C2741" s="294"/>
      <c r="D2741" s="294"/>
      <c r="E2741" s="294"/>
      <c r="F2741" s="310"/>
      <c r="G2741" s="310"/>
      <c r="H2741" s="310"/>
      <c r="I2741" s="295"/>
      <c r="J2741" s="295"/>
      <c r="K2741" s="300">
        <f t="shared" si="400"/>
        <v>1.1000000000000001</v>
      </c>
      <c r="L2741" s="300">
        <f t="shared" si="360"/>
        <v>0</v>
      </c>
      <c r="M2741" s="285">
        <f t="shared" si="361"/>
        <v>0</v>
      </c>
      <c r="N2741" s="1076">
        <f t="shared" si="362"/>
        <v>0</v>
      </c>
      <c r="O2741" s="294"/>
      <c r="P2741" s="404"/>
      <c r="Q2741" s="404"/>
      <c r="R2741" s="301"/>
      <c r="S2741" s="301"/>
      <c r="T2741" s="301"/>
      <c r="U2741" s="301"/>
      <c r="V2741" s="301"/>
    </row>
    <row r="2742" spans="1:22" ht="14.4" thickTop="1" thickBot="1" x14ac:dyDescent="0.3">
      <c r="A2742" s="292"/>
      <c r="B2742" s="293"/>
      <c r="C2742" s="294"/>
      <c r="D2742" s="294"/>
      <c r="E2742" s="294"/>
      <c r="F2742" s="310"/>
      <c r="G2742" s="310"/>
      <c r="H2742" s="310"/>
      <c r="I2742" s="295"/>
      <c r="J2742" s="295"/>
      <c r="K2742" s="300">
        <f t="shared" si="400"/>
        <v>1.1000000000000001</v>
      </c>
      <c r="L2742" s="300">
        <f t="shared" si="360"/>
        <v>0</v>
      </c>
      <c r="M2742" s="285">
        <f t="shared" si="361"/>
        <v>0</v>
      </c>
      <c r="N2742" s="1076">
        <f t="shared" si="362"/>
        <v>0</v>
      </c>
      <c r="O2742" s="294"/>
      <c r="P2742" s="404"/>
      <c r="Q2742" s="404"/>
      <c r="R2742" s="301"/>
      <c r="S2742" s="301"/>
      <c r="T2742" s="301"/>
      <c r="U2742" s="301"/>
      <c r="V2742" s="301"/>
    </row>
    <row r="2743" spans="1:22" ht="14.4" thickTop="1" thickBot="1" x14ac:dyDescent="0.3">
      <c r="A2743" s="292"/>
      <c r="B2743" s="293"/>
      <c r="C2743" s="294"/>
      <c r="D2743" s="294"/>
      <c r="E2743" s="294"/>
      <c r="F2743" s="310"/>
      <c r="G2743" s="310"/>
      <c r="H2743" s="310"/>
      <c r="I2743" s="295"/>
      <c r="J2743" s="295"/>
      <c r="K2743" s="300">
        <f t="shared" si="400"/>
        <v>1.1000000000000001</v>
      </c>
      <c r="L2743" s="300">
        <f t="shared" si="360"/>
        <v>0</v>
      </c>
      <c r="M2743" s="285">
        <f t="shared" si="361"/>
        <v>0</v>
      </c>
      <c r="N2743" s="1076">
        <f t="shared" si="362"/>
        <v>0</v>
      </c>
      <c r="O2743" s="294"/>
      <c r="P2743" s="404"/>
      <c r="Q2743" s="404"/>
      <c r="R2743" s="301"/>
      <c r="S2743" s="301"/>
      <c r="T2743" s="301"/>
      <c r="U2743" s="301"/>
      <c r="V2743" s="301"/>
    </row>
    <row r="2744" spans="1:22" ht="14.4" thickTop="1" thickBot="1" x14ac:dyDescent="0.3">
      <c r="A2744" s="292"/>
      <c r="B2744" s="293"/>
      <c r="C2744" s="294"/>
      <c r="D2744" s="294"/>
      <c r="E2744" s="294"/>
      <c r="F2744" s="310"/>
      <c r="G2744" s="310"/>
      <c r="H2744" s="310"/>
      <c r="I2744" s="295"/>
      <c r="J2744" s="295"/>
      <c r="K2744" s="300">
        <f t="shared" si="400"/>
        <v>1.1000000000000001</v>
      </c>
      <c r="L2744" s="300">
        <f t="shared" si="360"/>
        <v>0</v>
      </c>
      <c r="M2744" s="285">
        <f t="shared" si="361"/>
        <v>0</v>
      </c>
      <c r="N2744" s="1076">
        <f t="shared" si="362"/>
        <v>0</v>
      </c>
      <c r="O2744" s="294"/>
      <c r="P2744" s="404"/>
      <c r="Q2744" s="404"/>
      <c r="R2744" s="301"/>
      <c r="S2744" s="301"/>
      <c r="T2744" s="301"/>
      <c r="U2744" s="301"/>
      <c r="V2744" s="301"/>
    </row>
    <row r="2745" spans="1:22" ht="14.4" thickTop="1" thickBot="1" x14ac:dyDescent="0.3">
      <c r="A2745" s="292"/>
      <c r="B2745" s="293"/>
      <c r="C2745" s="294"/>
      <c r="D2745" s="294"/>
      <c r="E2745" s="294"/>
      <c r="F2745" s="310"/>
      <c r="G2745" s="310"/>
      <c r="H2745" s="310"/>
      <c r="I2745" s="295"/>
      <c r="J2745" s="295"/>
      <c r="K2745" s="300">
        <f t="shared" si="400"/>
        <v>1.1000000000000001</v>
      </c>
      <c r="L2745" s="300">
        <f t="shared" si="360"/>
        <v>0</v>
      </c>
      <c r="M2745" s="285">
        <f t="shared" si="361"/>
        <v>0</v>
      </c>
      <c r="N2745" s="1076">
        <f t="shared" si="362"/>
        <v>0</v>
      </c>
      <c r="O2745" s="294"/>
      <c r="P2745" s="404"/>
      <c r="Q2745" s="404"/>
      <c r="R2745" s="301"/>
      <c r="S2745" s="301"/>
      <c r="T2745" s="301"/>
      <c r="U2745" s="301"/>
      <c r="V2745" s="301"/>
    </row>
    <row r="2746" spans="1:22" ht="14.4" thickTop="1" thickBot="1" x14ac:dyDescent="0.3">
      <c r="A2746" s="292"/>
      <c r="B2746" s="293"/>
      <c r="C2746" s="294"/>
      <c r="D2746" s="294"/>
      <c r="E2746" s="294"/>
      <c r="F2746" s="310"/>
      <c r="G2746" s="310"/>
      <c r="H2746" s="310"/>
      <c r="I2746" s="295"/>
      <c r="J2746" s="295"/>
      <c r="K2746" s="300">
        <f t="shared" si="400"/>
        <v>1.1000000000000001</v>
      </c>
      <c r="L2746" s="300">
        <f t="shared" si="360"/>
        <v>0</v>
      </c>
      <c r="M2746" s="285">
        <f t="shared" si="361"/>
        <v>0</v>
      </c>
      <c r="N2746" s="1076">
        <f t="shared" si="362"/>
        <v>0</v>
      </c>
      <c r="O2746" s="294"/>
      <c r="P2746" s="404"/>
      <c r="Q2746" s="404"/>
      <c r="R2746" s="301"/>
      <c r="S2746" s="301"/>
      <c r="T2746" s="301"/>
      <c r="U2746" s="301"/>
      <c r="V2746" s="301"/>
    </row>
    <row r="2747" spans="1:22" ht="14.4" thickTop="1" thickBot="1" x14ac:dyDescent="0.3">
      <c r="A2747" s="292"/>
      <c r="B2747" s="293"/>
      <c r="C2747" s="294"/>
      <c r="D2747" s="294"/>
      <c r="E2747" s="294"/>
      <c r="F2747" s="310"/>
      <c r="G2747" s="310"/>
      <c r="H2747" s="310"/>
      <c r="I2747" s="295"/>
      <c r="J2747" s="295"/>
      <c r="K2747" s="300">
        <f t="shared" si="400"/>
        <v>1.1000000000000001</v>
      </c>
      <c r="L2747" s="300">
        <f t="shared" si="360"/>
        <v>0</v>
      </c>
      <c r="M2747" s="285">
        <f t="shared" si="361"/>
        <v>0</v>
      </c>
      <c r="N2747" s="1076">
        <f t="shared" si="362"/>
        <v>0</v>
      </c>
      <c r="O2747" s="294"/>
      <c r="P2747" s="404"/>
      <c r="Q2747" s="404"/>
      <c r="R2747" s="301"/>
      <c r="S2747" s="301"/>
      <c r="T2747" s="301"/>
      <c r="U2747" s="301"/>
      <c r="V2747" s="301"/>
    </row>
    <row r="2748" spans="1:22" ht="14.4" thickTop="1" thickBot="1" x14ac:dyDescent="0.3">
      <c r="A2748" s="292"/>
      <c r="B2748" s="293"/>
      <c r="C2748" s="294"/>
      <c r="D2748" s="294"/>
      <c r="E2748" s="294"/>
      <c r="F2748" s="310"/>
      <c r="G2748" s="310"/>
      <c r="H2748" s="310"/>
      <c r="I2748" s="295"/>
      <c r="J2748" s="295"/>
      <c r="K2748" s="300">
        <f t="shared" si="400"/>
        <v>1.1000000000000001</v>
      </c>
      <c r="L2748" s="300">
        <f t="shared" si="360"/>
        <v>0</v>
      </c>
      <c r="M2748" s="285">
        <f t="shared" si="361"/>
        <v>0</v>
      </c>
      <c r="N2748" s="1076">
        <f t="shared" si="362"/>
        <v>0</v>
      </c>
      <c r="O2748" s="294"/>
      <c r="P2748" s="404"/>
      <c r="Q2748" s="404"/>
      <c r="R2748" s="301"/>
      <c r="S2748" s="301"/>
      <c r="T2748" s="301"/>
      <c r="U2748" s="301"/>
      <c r="V2748" s="301"/>
    </row>
    <row r="2749" spans="1:22" ht="14.4" thickTop="1" thickBot="1" x14ac:dyDescent="0.3">
      <c r="A2749" s="292"/>
      <c r="B2749" s="293"/>
      <c r="C2749" s="294"/>
      <c r="D2749" s="294"/>
      <c r="E2749" s="294"/>
      <c r="F2749" s="310"/>
      <c r="G2749" s="310"/>
      <c r="H2749" s="310"/>
      <c r="I2749" s="295"/>
      <c r="J2749" s="295"/>
      <c r="K2749" s="300">
        <f t="shared" si="400"/>
        <v>1.1000000000000001</v>
      </c>
      <c r="L2749" s="300">
        <f t="shared" si="360"/>
        <v>0</v>
      </c>
      <c r="M2749" s="285">
        <f t="shared" si="361"/>
        <v>0</v>
      </c>
      <c r="N2749" s="1076">
        <f t="shared" si="362"/>
        <v>0</v>
      </c>
      <c r="O2749" s="294"/>
      <c r="P2749" s="404"/>
      <c r="Q2749" s="404"/>
      <c r="R2749" s="301"/>
      <c r="S2749" s="301"/>
      <c r="T2749" s="301"/>
      <c r="U2749" s="301"/>
      <c r="V2749" s="301"/>
    </row>
    <row r="2750" spans="1:22" ht="14.4" thickTop="1" thickBot="1" x14ac:dyDescent="0.3">
      <c r="A2750" s="292"/>
      <c r="B2750" s="293"/>
      <c r="C2750" s="294"/>
      <c r="D2750" s="294"/>
      <c r="E2750" s="294"/>
      <c r="F2750" s="310"/>
      <c r="G2750" s="310"/>
      <c r="H2750" s="310"/>
      <c r="I2750" s="295"/>
      <c r="J2750" s="295"/>
      <c r="K2750" s="300">
        <f t="shared" si="400"/>
        <v>1.1000000000000001</v>
      </c>
      <c r="L2750" s="300">
        <f t="shared" si="360"/>
        <v>0</v>
      </c>
      <c r="M2750" s="285">
        <f t="shared" si="361"/>
        <v>0</v>
      </c>
      <c r="N2750" s="1076">
        <f t="shared" si="362"/>
        <v>0</v>
      </c>
      <c r="O2750" s="294"/>
      <c r="P2750" s="404"/>
      <c r="Q2750" s="404"/>
      <c r="R2750" s="301"/>
      <c r="S2750" s="301"/>
      <c r="T2750" s="301"/>
      <c r="U2750" s="301"/>
      <c r="V2750" s="301"/>
    </row>
    <row r="2751" spans="1:22" ht="14.4" thickTop="1" thickBot="1" x14ac:dyDescent="0.3">
      <c r="A2751" s="292"/>
      <c r="B2751" s="293"/>
      <c r="C2751" s="294"/>
      <c r="D2751" s="294"/>
      <c r="E2751" s="294"/>
      <c r="F2751" s="310"/>
      <c r="G2751" s="310"/>
      <c r="H2751" s="310"/>
      <c r="I2751" s="295"/>
      <c r="J2751" s="295"/>
      <c r="K2751" s="300">
        <f t="shared" si="400"/>
        <v>1.1000000000000001</v>
      </c>
      <c r="L2751" s="300">
        <f t="shared" si="360"/>
        <v>0</v>
      </c>
      <c r="M2751" s="285">
        <f t="shared" si="361"/>
        <v>0</v>
      </c>
      <c r="N2751" s="1076">
        <f t="shared" si="362"/>
        <v>0</v>
      </c>
      <c r="O2751" s="294"/>
      <c r="P2751" s="404"/>
      <c r="Q2751" s="404"/>
      <c r="R2751" s="301"/>
      <c r="S2751" s="301"/>
      <c r="T2751" s="301"/>
      <c r="U2751" s="301"/>
      <c r="V2751" s="301"/>
    </row>
    <row r="2752" spans="1:22" ht="14.4" thickTop="1" thickBot="1" x14ac:dyDescent="0.3">
      <c r="A2752" s="292"/>
      <c r="B2752" s="293"/>
      <c r="C2752" s="294"/>
      <c r="D2752" s="294"/>
      <c r="E2752" s="294"/>
      <c r="F2752" s="310"/>
      <c r="G2752" s="310"/>
      <c r="H2752" s="310"/>
      <c r="I2752" s="295"/>
      <c r="J2752" s="295"/>
      <c r="K2752" s="300">
        <f t="shared" si="400"/>
        <v>1.1000000000000001</v>
      </c>
      <c r="L2752" s="300">
        <f t="shared" si="360"/>
        <v>0</v>
      </c>
      <c r="M2752" s="285">
        <f t="shared" si="361"/>
        <v>0</v>
      </c>
      <c r="N2752" s="1076">
        <f t="shared" si="362"/>
        <v>0</v>
      </c>
      <c r="O2752" s="294"/>
      <c r="P2752" s="404"/>
      <c r="Q2752" s="404"/>
      <c r="R2752" s="301"/>
      <c r="S2752" s="301"/>
      <c r="T2752" s="301"/>
      <c r="U2752" s="301"/>
      <c r="V2752" s="301"/>
    </row>
    <row r="2753" spans="1:22" ht="14.4" thickTop="1" thickBot="1" x14ac:dyDescent="0.3">
      <c r="A2753" s="292"/>
      <c r="B2753" s="293"/>
      <c r="C2753" s="294"/>
      <c r="D2753" s="294"/>
      <c r="E2753" s="294"/>
      <c r="F2753" s="310"/>
      <c r="G2753" s="310"/>
      <c r="H2753" s="310"/>
      <c r="I2753" s="295"/>
      <c r="J2753" s="295"/>
      <c r="K2753" s="300">
        <f t="shared" si="400"/>
        <v>1.1000000000000001</v>
      </c>
      <c r="L2753" s="300">
        <f t="shared" si="360"/>
        <v>0</v>
      </c>
      <c r="M2753" s="285">
        <f t="shared" si="361"/>
        <v>0</v>
      </c>
      <c r="N2753" s="1076">
        <f t="shared" si="362"/>
        <v>0</v>
      </c>
      <c r="O2753" s="294"/>
      <c r="P2753" s="404"/>
      <c r="Q2753" s="404"/>
      <c r="R2753" s="301"/>
      <c r="S2753" s="301"/>
      <c r="T2753" s="301"/>
      <c r="U2753" s="301"/>
      <c r="V2753" s="301"/>
    </row>
    <row r="2754" spans="1:22" ht="14.4" thickTop="1" thickBot="1" x14ac:dyDescent="0.3">
      <c r="A2754" s="292"/>
      <c r="B2754" s="293"/>
      <c r="C2754" s="294"/>
      <c r="D2754" s="294"/>
      <c r="E2754" s="294"/>
      <c r="F2754" s="310"/>
      <c r="G2754" s="310"/>
      <c r="H2754" s="310"/>
      <c r="I2754" s="295"/>
      <c r="J2754" s="295"/>
      <c r="K2754" s="300">
        <f t="shared" si="400"/>
        <v>1.1000000000000001</v>
      </c>
      <c r="L2754" s="300">
        <f t="shared" si="360"/>
        <v>0</v>
      </c>
      <c r="M2754" s="285">
        <f t="shared" si="361"/>
        <v>0</v>
      </c>
      <c r="N2754" s="1076">
        <f t="shared" si="362"/>
        <v>0</v>
      </c>
      <c r="O2754" s="294"/>
      <c r="P2754" s="404"/>
      <c r="Q2754" s="404"/>
      <c r="R2754" s="301"/>
      <c r="S2754" s="301"/>
      <c r="T2754" s="301"/>
      <c r="U2754" s="301"/>
      <c r="V2754" s="301"/>
    </row>
    <row r="2755" spans="1:22" ht="14.4" thickTop="1" thickBot="1" x14ac:dyDescent="0.3">
      <c r="A2755" s="292"/>
      <c r="B2755" s="293"/>
      <c r="C2755" s="294"/>
      <c r="D2755" s="294"/>
      <c r="E2755" s="294"/>
      <c r="F2755" s="310"/>
      <c r="G2755" s="310"/>
      <c r="H2755" s="310"/>
      <c r="I2755" s="295"/>
      <c r="J2755" s="295"/>
      <c r="K2755" s="300">
        <f t="shared" si="400"/>
        <v>1.1000000000000001</v>
      </c>
      <c r="L2755" s="300">
        <f t="shared" si="360"/>
        <v>0</v>
      </c>
      <c r="M2755" s="285">
        <f t="shared" si="361"/>
        <v>0</v>
      </c>
      <c r="N2755" s="1076">
        <f t="shared" si="362"/>
        <v>0</v>
      </c>
      <c r="O2755" s="294"/>
      <c r="P2755" s="404"/>
      <c r="Q2755" s="404"/>
      <c r="R2755" s="301"/>
      <c r="S2755" s="301"/>
      <c r="T2755" s="301"/>
      <c r="U2755" s="301"/>
      <c r="V2755" s="301"/>
    </row>
    <row r="2756" spans="1:22" ht="14.4" thickTop="1" thickBot="1" x14ac:dyDescent="0.3">
      <c r="A2756" s="292"/>
      <c r="B2756" s="293"/>
      <c r="C2756" s="294"/>
      <c r="D2756" s="294"/>
      <c r="E2756" s="294"/>
      <c r="F2756" s="310"/>
      <c r="G2756" s="310"/>
      <c r="H2756" s="310"/>
      <c r="I2756" s="295"/>
      <c r="J2756" s="295"/>
      <c r="K2756" s="300">
        <f t="shared" si="400"/>
        <v>1.1000000000000001</v>
      </c>
      <c r="L2756" s="300">
        <f t="shared" si="360"/>
        <v>0</v>
      </c>
      <c r="M2756" s="285">
        <f t="shared" si="361"/>
        <v>0</v>
      </c>
      <c r="N2756" s="1076">
        <f t="shared" si="362"/>
        <v>0</v>
      </c>
      <c r="O2756" s="294"/>
      <c r="P2756" s="404"/>
      <c r="Q2756" s="404"/>
      <c r="R2756" s="301"/>
      <c r="S2756" s="301"/>
      <c r="T2756" s="301"/>
      <c r="U2756" s="301"/>
      <c r="V2756" s="301"/>
    </row>
    <row r="2757" spans="1:22" ht="14.4" thickTop="1" thickBot="1" x14ac:dyDescent="0.3">
      <c r="A2757" s="292"/>
      <c r="B2757" s="293"/>
      <c r="C2757" s="294"/>
      <c r="D2757" s="294"/>
      <c r="E2757" s="294"/>
      <c r="F2757" s="310"/>
      <c r="G2757" s="310"/>
      <c r="H2757" s="310"/>
      <c r="I2757" s="295"/>
      <c r="J2757" s="295"/>
      <c r="K2757" s="300">
        <f t="shared" si="400"/>
        <v>1.1000000000000001</v>
      </c>
      <c r="L2757" s="300">
        <f t="shared" si="360"/>
        <v>0</v>
      </c>
      <c r="M2757" s="285">
        <f t="shared" si="361"/>
        <v>0</v>
      </c>
      <c r="N2757" s="1076">
        <f t="shared" si="362"/>
        <v>0</v>
      </c>
      <c r="O2757" s="294"/>
      <c r="P2757" s="404"/>
      <c r="Q2757" s="404"/>
      <c r="R2757" s="301"/>
      <c r="S2757" s="301"/>
      <c r="T2757" s="301"/>
      <c r="U2757" s="301"/>
      <c r="V2757" s="301"/>
    </row>
    <row r="2758" spans="1:22" ht="14.4" thickTop="1" thickBot="1" x14ac:dyDescent="0.3">
      <c r="A2758" s="292"/>
      <c r="B2758" s="293"/>
      <c r="C2758" s="294"/>
      <c r="D2758" s="294"/>
      <c r="E2758" s="294"/>
      <c r="F2758" s="310"/>
      <c r="G2758" s="310"/>
      <c r="H2758" s="310"/>
      <c r="I2758" s="295"/>
      <c r="J2758" s="295"/>
      <c r="K2758" s="300">
        <f t="shared" si="400"/>
        <v>1.1000000000000001</v>
      </c>
      <c r="L2758" s="300">
        <f t="shared" si="360"/>
        <v>0</v>
      </c>
      <c r="M2758" s="285">
        <f t="shared" si="361"/>
        <v>0</v>
      </c>
      <c r="N2758" s="1076">
        <f t="shared" si="362"/>
        <v>0</v>
      </c>
      <c r="O2758" s="294"/>
      <c r="P2758" s="404"/>
      <c r="Q2758" s="404"/>
      <c r="R2758" s="301"/>
      <c r="S2758" s="301"/>
      <c r="T2758" s="301"/>
      <c r="U2758" s="301"/>
      <c r="V2758" s="301"/>
    </row>
    <row r="2759" spans="1:22" ht="14.4" thickTop="1" thickBot="1" x14ac:dyDescent="0.3">
      <c r="A2759" s="292"/>
      <c r="B2759" s="293"/>
      <c r="C2759" s="294"/>
      <c r="D2759" s="294"/>
      <c r="E2759" s="294"/>
      <c r="F2759" s="310"/>
      <c r="G2759" s="310"/>
      <c r="H2759" s="310"/>
      <c r="I2759" s="295"/>
      <c r="J2759" s="295"/>
      <c r="K2759" s="300">
        <f t="shared" si="400"/>
        <v>1.1000000000000001</v>
      </c>
      <c r="L2759" s="300">
        <f t="shared" si="360"/>
        <v>0</v>
      </c>
      <c r="M2759" s="285">
        <f t="shared" si="361"/>
        <v>0</v>
      </c>
      <c r="N2759" s="1076">
        <f t="shared" si="362"/>
        <v>0</v>
      </c>
      <c r="O2759" s="294"/>
      <c r="P2759" s="404"/>
      <c r="Q2759" s="404"/>
      <c r="R2759" s="301"/>
      <c r="S2759" s="301"/>
      <c r="T2759" s="301"/>
      <c r="U2759" s="301"/>
      <c r="V2759" s="301"/>
    </row>
    <row r="2760" spans="1:22" ht="14.4" thickTop="1" thickBot="1" x14ac:dyDescent="0.3">
      <c r="A2760" s="292"/>
      <c r="B2760" s="293"/>
      <c r="C2760" s="294"/>
      <c r="D2760" s="294"/>
      <c r="E2760" s="294"/>
      <c r="F2760" s="310"/>
      <c r="G2760" s="310"/>
      <c r="H2760" s="310"/>
      <c r="I2760" s="295"/>
      <c r="J2760" s="295"/>
      <c r="K2760" s="300">
        <f t="shared" si="400"/>
        <v>1.1000000000000001</v>
      </c>
      <c r="L2760" s="300">
        <f t="shared" si="360"/>
        <v>0</v>
      </c>
      <c r="M2760" s="285">
        <f t="shared" si="361"/>
        <v>0</v>
      </c>
      <c r="N2760" s="1076">
        <f t="shared" si="362"/>
        <v>0</v>
      </c>
      <c r="O2760" s="294"/>
      <c r="P2760" s="404"/>
      <c r="Q2760" s="404"/>
      <c r="R2760" s="301"/>
      <c r="S2760" s="301"/>
      <c r="T2760" s="301"/>
      <c r="U2760" s="301"/>
      <c r="V2760" s="301"/>
    </row>
    <row r="2761" spans="1:22" ht="14.4" thickTop="1" thickBot="1" x14ac:dyDescent="0.3">
      <c r="A2761" s="292"/>
      <c r="B2761" s="293"/>
      <c r="C2761" s="294"/>
      <c r="D2761" s="294"/>
      <c r="E2761" s="294"/>
      <c r="F2761" s="310"/>
      <c r="G2761" s="310"/>
      <c r="H2761" s="310"/>
      <c r="I2761" s="295"/>
      <c r="J2761" s="295"/>
      <c r="K2761" s="300">
        <f t="shared" si="400"/>
        <v>1.1000000000000001</v>
      </c>
      <c r="L2761" s="300">
        <f t="shared" si="360"/>
        <v>0</v>
      </c>
      <c r="M2761" s="285">
        <f t="shared" si="361"/>
        <v>0</v>
      </c>
      <c r="N2761" s="1076">
        <f t="shared" si="362"/>
        <v>0</v>
      </c>
      <c r="O2761" s="294"/>
      <c r="P2761" s="404"/>
      <c r="Q2761" s="404"/>
      <c r="R2761" s="301"/>
      <c r="S2761" s="301"/>
      <c r="T2761" s="301"/>
      <c r="U2761" s="301"/>
      <c r="V2761" s="301"/>
    </row>
    <row r="2762" spans="1:22" ht="14.4" thickTop="1" thickBot="1" x14ac:dyDescent="0.3">
      <c r="A2762" s="292"/>
      <c r="B2762" s="293"/>
      <c r="C2762" s="294"/>
      <c r="D2762" s="294"/>
      <c r="E2762" s="294"/>
      <c r="F2762" s="310"/>
      <c r="G2762" s="310"/>
      <c r="H2762" s="310"/>
      <c r="I2762" s="295"/>
      <c r="J2762" s="295"/>
      <c r="K2762" s="300">
        <f t="shared" si="400"/>
        <v>1.1000000000000001</v>
      </c>
      <c r="L2762" s="300">
        <f t="shared" si="360"/>
        <v>0</v>
      </c>
      <c r="M2762" s="285">
        <f t="shared" si="361"/>
        <v>0</v>
      </c>
      <c r="N2762" s="1076">
        <f t="shared" si="362"/>
        <v>0</v>
      </c>
      <c r="O2762" s="294"/>
      <c r="P2762" s="404"/>
      <c r="Q2762" s="404"/>
      <c r="R2762" s="301"/>
      <c r="S2762" s="301"/>
      <c r="T2762" s="301"/>
      <c r="U2762" s="301"/>
      <c r="V2762" s="301"/>
    </row>
    <row r="2763" spans="1:22" ht="14.4" thickTop="1" thickBot="1" x14ac:dyDescent="0.3">
      <c r="A2763" s="292"/>
      <c r="B2763" s="293"/>
      <c r="C2763" s="294"/>
      <c r="D2763" s="294"/>
      <c r="E2763" s="294"/>
      <c r="F2763" s="310"/>
      <c r="G2763" s="310"/>
      <c r="H2763" s="310"/>
      <c r="I2763" s="295"/>
      <c r="J2763" s="295"/>
      <c r="K2763" s="300">
        <f t="shared" si="400"/>
        <v>1.1000000000000001</v>
      </c>
      <c r="L2763" s="300">
        <f t="shared" si="360"/>
        <v>0</v>
      </c>
      <c r="M2763" s="285">
        <f t="shared" si="361"/>
        <v>0</v>
      </c>
      <c r="N2763" s="1076">
        <f t="shared" si="362"/>
        <v>0</v>
      </c>
      <c r="O2763" s="294"/>
      <c r="P2763" s="404"/>
      <c r="Q2763" s="404"/>
      <c r="R2763" s="301"/>
      <c r="S2763" s="301"/>
      <c r="T2763" s="301"/>
      <c r="U2763" s="301"/>
      <c r="V2763" s="301"/>
    </row>
    <row r="2764" spans="1:22" ht="14.4" thickTop="1" thickBot="1" x14ac:dyDescent="0.3">
      <c r="A2764" s="292"/>
      <c r="B2764" s="293"/>
      <c r="C2764" s="294"/>
      <c r="D2764" s="294"/>
      <c r="E2764" s="294"/>
      <c r="F2764" s="310"/>
      <c r="G2764" s="310"/>
      <c r="H2764" s="310"/>
      <c r="I2764" s="295"/>
      <c r="J2764" s="295"/>
      <c r="K2764" s="300">
        <f t="shared" si="400"/>
        <v>1.1000000000000001</v>
      </c>
      <c r="L2764" s="300">
        <f t="shared" si="360"/>
        <v>0</v>
      </c>
      <c r="M2764" s="285">
        <f t="shared" si="361"/>
        <v>0</v>
      </c>
      <c r="N2764" s="1076">
        <f t="shared" si="362"/>
        <v>0</v>
      </c>
      <c r="O2764" s="294"/>
      <c r="P2764" s="404"/>
      <c r="Q2764" s="404"/>
      <c r="R2764" s="301"/>
      <c r="S2764" s="301"/>
      <c r="T2764" s="301"/>
      <c r="U2764" s="301"/>
      <c r="V2764" s="301"/>
    </row>
    <row r="2765" spans="1:22" ht="14.4" thickTop="1" thickBot="1" x14ac:dyDescent="0.3">
      <c r="A2765" s="292"/>
      <c r="B2765" s="293"/>
      <c r="C2765" s="294"/>
      <c r="D2765" s="294"/>
      <c r="E2765" s="294"/>
      <c r="F2765" s="310"/>
      <c r="G2765" s="310"/>
      <c r="H2765" s="310"/>
      <c r="I2765" s="295"/>
      <c r="J2765" s="295"/>
      <c r="K2765" s="300">
        <f t="shared" si="400"/>
        <v>1.1000000000000001</v>
      </c>
      <c r="L2765" s="300">
        <f t="shared" si="360"/>
        <v>0</v>
      </c>
      <c r="M2765" s="285">
        <f t="shared" si="361"/>
        <v>0</v>
      </c>
      <c r="N2765" s="1076">
        <f t="shared" si="362"/>
        <v>0</v>
      </c>
      <c r="O2765" s="294"/>
      <c r="P2765" s="404"/>
      <c r="Q2765" s="404"/>
      <c r="R2765" s="301"/>
      <c r="S2765" s="301"/>
      <c r="T2765" s="301"/>
      <c r="U2765" s="301"/>
      <c r="V2765" s="301"/>
    </row>
    <row r="2766" spans="1:22" ht="14.4" thickTop="1" thickBot="1" x14ac:dyDescent="0.3">
      <c r="A2766" s="292"/>
      <c r="B2766" s="293"/>
      <c r="C2766" s="294"/>
      <c r="D2766" s="294"/>
      <c r="E2766" s="294"/>
      <c r="F2766" s="310"/>
      <c r="G2766" s="310"/>
      <c r="H2766" s="310"/>
      <c r="I2766" s="295"/>
      <c r="J2766" s="295"/>
      <c r="K2766" s="300">
        <f t="shared" si="400"/>
        <v>1.1000000000000001</v>
      </c>
      <c r="L2766" s="300">
        <f t="shared" si="360"/>
        <v>0</v>
      </c>
      <c r="M2766" s="285">
        <f t="shared" si="361"/>
        <v>0</v>
      </c>
      <c r="N2766" s="1076">
        <f t="shared" si="362"/>
        <v>0</v>
      </c>
      <c r="O2766" s="294"/>
      <c r="P2766" s="404"/>
      <c r="Q2766" s="404"/>
      <c r="R2766" s="301"/>
      <c r="S2766" s="301"/>
      <c r="T2766" s="301"/>
      <c r="U2766" s="301"/>
      <c r="V2766" s="301"/>
    </row>
    <row r="2767" spans="1:22" ht="14.4" thickTop="1" thickBot="1" x14ac:dyDescent="0.3">
      <c r="A2767" s="292"/>
      <c r="B2767" s="293"/>
      <c r="C2767" s="294"/>
      <c r="D2767" s="294"/>
      <c r="E2767" s="294"/>
      <c r="F2767" s="310"/>
      <c r="G2767" s="310"/>
      <c r="H2767" s="310"/>
      <c r="I2767" s="295"/>
      <c r="J2767" s="295"/>
      <c r="K2767" s="300">
        <f t="shared" si="400"/>
        <v>1.1000000000000001</v>
      </c>
      <c r="L2767" s="300">
        <f t="shared" si="360"/>
        <v>0</v>
      </c>
      <c r="M2767" s="285">
        <f t="shared" si="361"/>
        <v>0</v>
      </c>
      <c r="N2767" s="1076">
        <f t="shared" si="362"/>
        <v>0</v>
      </c>
      <c r="O2767" s="294"/>
      <c r="P2767" s="404"/>
      <c r="Q2767" s="404"/>
      <c r="R2767" s="301"/>
      <c r="S2767" s="301"/>
      <c r="T2767" s="301"/>
      <c r="U2767" s="301"/>
      <c r="V2767" s="301"/>
    </row>
    <row r="2768" spans="1:22" ht="14.4" thickTop="1" thickBot="1" x14ac:dyDescent="0.3">
      <c r="A2768" s="292"/>
      <c r="B2768" s="293"/>
      <c r="C2768" s="294"/>
      <c r="D2768" s="294"/>
      <c r="E2768" s="294"/>
      <c r="F2768" s="310"/>
      <c r="G2768" s="310"/>
      <c r="H2768" s="310"/>
      <c r="I2768" s="295"/>
      <c r="J2768" s="295"/>
      <c r="K2768" s="300">
        <f t="shared" si="400"/>
        <v>1.1000000000000001</v>
      </c>
      <c r="L2768" s="300">
        <f t="shared" si="360"/>
        <v>0</v>
      </c>
      <c r="M2768" s="285">
        <f t="shared" si="361"/>
        <v>0</v>
      </c>
      <c r="N2768" s="1076">
        <f t="shared" si="362"/>
        <v>0</v>
      </c>
      <c r="O2768" s="294"/>
      <c r="P2768" s="404"/>
      <c r="Q2768" s="404"/>
      <c r="R2768" s="301"/>
      <c r="S2768" s="301"/>
      <c r="T2768" s="301"/>
      <c r="U2768" s="301"/>
      <c r="V2768" s="301"/>
    </row>
    <row r="2769" spans="1:22" ht="14.4" thickTop="1" thickBot="1" x14ac:dyDescent="0.3">
      <c r="A2769" s="292"/>
      <c r="B2769" s="293"/>
      <c r="C2769" s="294"/>
      <c r="D2769" s="294"/>
      <c r="E2769" s="294"/>
      <c r="F2769" s="310"/>
      <c r="G2769" s="310"/>
      <c r="H2769" s="310"/>
      <c r="I2769" s="295"/>
      <c r="J2769" s="295"/>
      <c r="K2769" s="300">
        <f t="shared" si="400"/>
        <v>1.1000000000000001</v>
      </c>
      <c r="L2769" s="300">
        <f t="shared" si="360"/>
        <v>0</v>
      </c>
      <c r="M2769" s="285">
        <f t="shared" si="361"/>
        <v>0</v>
      </c>
      <c r="N2769" s="1076">
        <f t="shared" si="362"/>
        <v>0</v>
      </c>
      <c r="O2769" s="294"/>
      <c r="P2769" s="404"/>
      <c r="Q2769" s="404"/>
      <c r="R2769" s="301"/>
      <c r="S2769" s="301"/>
      <c r="T2769" s="301"/>
      <c r="U2769" s="301"/>
      <c r="V2769" s="301"/>
    </row>
    <row r="2770" spans="1:22" ht="14.4" thickTop="1" thickBot="1" x14ac:dyDescent="0.3">
      <c r="A2770" s="292"/>
      <c r="B2770" s="293"/>
      <c r="C2770" s="294"/>
      <c r="D2770" s="294"/>
      <c r="E2770" s="294"/>
      <c r="F2770" s="310"/>
      <c r="G2770" s="310"/>
      <c r="H2770" s="310"/>
      <c r="I2770" s="295"/>
      <c r="J2770" s="295"/>
      <c r="K2770" s="300">
        <f t="shared" si="400"/>
        <v>1.1000000000000001</v>
      </c>
      <c r="L2770" s="300">
        <f t="shared" si="360"/>
        <v>0</v>
      </c>
      <c r="M2770" s="285">
        <f t="shared" si="361"/>
        <v>0</v>
      </c>
      <c r="N2770" s="1076">
        <f t="shared" si="362"/>
        <v>0</v>
      </c>
      <c r="O2770" s="294"/>
      <c r="P2770" s="404"/>
      <c r="Q2770" s="404"/>
      <c r="R2770" s="301"/>
      <c r="S2770" s="301"/>
      <c r="T2770" s="301"/>
      <c r="U2770" s="301"/>
      <c r="V2770" s="301"/>
    </row>
    <row r="2771" spans="1:22" ht="14.4" thickTop="1" thickBot="1" x14ac:dyDescent="0.3">
      <c r="A2771" s="292"/>
      <c r="B2771" s="293"/>
      <c r="C2771" s="294"/>
      <c r="D2771" s="294"/>
      <c r="E2771" s="294"/>
      <c r="F2771" s="310"/>
      <c r="G2771" s="310"/>
      <c r="H2771" s="310"/>
      <c r="I2771" s="295"/>
      <c r="J2771" s="295"/>
      <c r="K2771" s="300">
        <f t="shared" si="400"/>
        <v>1.1000000000000001</v>
      </c>
      <c r="L2771" s="300">
        <f t="shared" si="360"/>
        <v>0</v>
      </c>
      <c r="M2771" s="285">
        <f t="shared" si="361"/>
        <v>0</v>
      </c>
      <c r="N2771" s="1076">
        <f t="shared" si="362"/>
        <v>0</v>
      </c>
      <c r="O2771" s="294"/>
      <c r="P2771" s="404"/>
      <c r="Q2771" s="404"/>
      <c r="R2771" s="301"/>
      <c r="S2771" s="301"/>
      <c r="T2771" s="301"/>
      <c r="U2771" s="301"/>
      <c r="V2771" s="301"/>
    </row>
    <row r="2772" spans="1:22" ht="14.4" thickTop="1" thickBot="1" x14ac:dyDescent="0.3">
      <c r="A2772" s="292"/>
      <c r="B2772" s="293"/>
      <c r="C2772" s="294"/>
      <c r="D2772" s="294"/>
      <c r="E2772" s="294"/>
      <c r="F2772" s="310"/>
      <c r="G2772" s="310"/>
      <c r="H2772" s="310"/>
      <c r="I2772" s="295"/>
      <c r="J2772" s="295"/>
      <c r="K2772" s="300">
        <f t="shared" si="400"/>
        <v>1.1000000000000001</v>
      </c>
      <c r="L2772" s="300">
        <f t="shared" si="360"/>
        <v>0</v>
      </c>
      <c r="M2772" s="285">
        <f t="shared" si="361"/>
        <v>0</v>
      </c>
      <c r="N2772" s="1076">
        <f t="shared" si="362"/>
        <v>0</v>
      </c>
      <c r="O2772" s="294"/>
      <c r="P2772" s="404"/>
      <c r="Q2772" s="404"/>
      <c r="R2772" s="301"/>
      <c r="S2772" s="301"/>
      <c r="T2772" s="301"/>
      <c r="U2772" s="301"/>
      <c r="V2772" s="301"/>
    </row>
    <row r="2773" spans="1:22" ht="14.4" thickTop="1" thickBot="1" x14ac:dyDescent="0.3">
      <c r="A2773" s="292"/>
      <c r="B2773" s="293"/>
      <c r="C2773" s="294"/>
      <c r="D2773" s="294"/>
      <c r="E2773" s="294"/>
      <c r="F2773" s="310"/>
      <c r="G2773" s="310"/>
      <c r="H2773" s="310"/>
      <c r="I2773" s="295"/>
      <c r="J2773" s="295"/>
      <c r="K2773" s="300">
        <f t="shared" si="400"/>
        <v>1.1000000000000001</v>
      </c>
      <c r="L2773" s="300">
        <f t="shared" si="360"/>
        <v>0</v>
      </c>
      <c r="M2773" s="285">
        <f t="shared" si="361"/>
        <v>0</v>
      </c>
      <c r="N2773" s="1076">
        <f t="shared" si="362"/>
        <v>0</v>
      </c>
      <c r="O2773" s="294"/>
      <c r="P2773" s="404"/>
      <c r="Q2773" s="404"/>
      <c r="R2773" s="301"/>
      <c r="S2773" s="301"/>
      <c r="T2773" s="301"/>
      <c r="U2773" s="301"/>
      <c r="V2773" s="301"/>
    </row>
    <row r="2774" spans="1:22" ht="14.4" thickTop="1" thickBot="1" x14ac:dyDescent="0.3">
      <c r="A2774" s="292"/>
      <c r="B2774" s="293"/>
      <c r="C2774" s="294"/>
      <c r="D2774" s="294"/>
      <c r="E2774" s="294"/>
      <c r="F2774" s="310"/>
      <c r="G2774" s="310"/>
      <c r="H2774" s="310"/>
      <c r="I2774" s="295"/>
      <c r="J2774" s="295"/>
      <c r="K2774" s="300">
        <f t="shared" si="400"/>
        <v>1.1000000000000001</v>
      </c>
      <c r="L2774" s="300">
        <f t="shared" si="360"/>
        <v>0</v>
      </c>
      <c r="M2774" s="285">
        <f t="shared" si="361"/>
        <v>0</v>
      </c>
      <c r="N2774" s="1076">
        <f t="shared" si="362"/>
        <v>0</v>
      </c>
      <c r="O2774" s="294"/>
      <c r="P2774" s="404"/>
      <c r="Q2774" s="404"/>
      <c r="R2774" s="301"/>
      <c r="S2774" s="301"/>
      <c r="T2774" s="301"/>
      <c r="U2774" s="301"/>
      <c r="V2774" s="301"/>
    </row>
    <row r="2775" spans="1:22" ht="14.4" thickTop="1" thickBot="1" x14ac:dyDescent="0.3">
      <c r="A2775" s="292"/>
      <c r="B2775" s="293"/>
      <c r="C2775" s="294"/>
      <c r="D2775" s="294"/>
      <c r="E2775" s="294"/>
      <c r="F2775" s="310"/>
      <c r="G2775" s="310"/>
      <c r="H2775" s="310"/>
      <c r="I2775" s="295"/>
      <c r="J2775" s="295"/>
      <c r="K2775" s="300">
        <f t="shared" si="400"/>
        <v>1.1000000000000001</v>
      </c>
      <c r="L2775" s="300">
        <f t="shared" si="360"/>
        <v>0</v>
      </c>
      <c r="M2775" s="285">
        <f t="shared" si="361"/>
        <v>0</v>
      </c>
      <c r="N2775" s="1076">
        <f t="shared" si="362"/>
        <v>0</v>
      </c>
      <c r="O2775" s="294"/>
      <c r="P2775" s="404"/>
      <c r="Q2775" s="404"/>
      <c r="R2775" s="301"/>
      <c r="S2775" s="301"/>
      <c r="T2775" s="301"/>
      <c r="U2775" s="301"/>
      <c r="V2775" s="301"/>
    </row>
    <row r="2776" spans="1:22" ht="14.4" thickTop="1" thickBot="1" x14ac:dyDescent="0.3">
      <c r="A2776" s="292"/>
      <c r="B2776" s="293"/>
      <c r="C2776" s="294"/>
      <c r="D2776" s="294"/>
      <c r="E2776" s="294"/>
      <c r="F2776" s="310"/>
      <c r="G2776" s="310"/>
      <c r="H2776" s="310"/>
      <c r="I2776" s="295"/>
      <c r="J2776" s="295"/>
      <c r="K2776" s="300">
        <f t="shared" si="400"/>
        <v>1.1000000000000001</v>
      </c>
      <c r="L2776" s="300">
        <f t="shared" si="360"/>
        <v>0</v>
      </c>
      <c r="M2776" s="285">
        <f t="shared" si="361"/>
        <v>0</v>
      </c>
      <c r="N2776" s="1076">
        <f t="shared" si="362"/>
        <v>0</v>
      </c>
      <c r="O2776" s="294"/>
      <c r="P2776" s="404"/>
      <c r="Q2776" s="404"/>
      <c r="R2776" s="301"/>
      <c r="S2776" s="301"/>
      <c r="T2776" s="301"/>
      <c r="U2776" s="301"/>
      <c r="V2776" s="301"/>
    </row>
    <row r="2777" spans="1:22" ht="14.4" thickTop="1" thickBot="1" x14ac:dyDescent="0.3">
      <c r="A2777" s="292"/>
      <c r="B2777" s="293"/>
      <c r="C2777" s="294"/>
      <c r="D2777" s="294"/>
      <c r="E2777" s="294"/>
      <c r="F2777" s="310"/>
      <c r="G2777" s="310"/>
      <c r="H2777" s="310"/>
      <c r="I2777" s="295"/>
      <c r="J2777" s="295"/>
      <c r="K2777" s="300">
        <f t="shared" si="400"/>
        <v>1.1000000000000001</v>
      </c>
      <c r="L2777" s="300">
        <f t="shared" si="360"/>
        <v>0</v>
      </c>
      <c r="M2777" s="285">
        <f t="shared" si="361"/>
        <v>0</v>
      </c>
      <c r="N2777" s="1076">
        <f t="shared" si="362"/>
        <v>0</v>
      </c>
      <c r="O2777" s="294"/>
      <c r="P2777" s="404"/>
      <c r="Q2777" s="404"/>
      <c r="R2777" s="301"/>
      <c r="S2777" s="301"/>
      <c r="T2777" s="301"/>
      <c r="U2777" s="301"/>
      <c r="V2777" s="301"/>
    </row>
    <row r="2778" spans="1:22" ht="14.4" thickTop="1" thickBot="1" x14ac:dyDescent="0.3">
      <c r="A2778" s="292"/>
      <c r="B2778" s="293"/>
      <c r="C2778" s="294"/>
      <c r="D2778" s="294"/>
      <c r="E2778" s="294"/>
      <c r="F2778" s="310"/>
      <c r="G2778" s="310"/>
      <c r="H2778" s="310"/>
      <c r="I2778" s="295"/>
      <c r="J2778" s="295"/>
      <c r="K2778" s="300">
        <f t="shared" si="400"/>
        <v>1.1000000000000001</v>
      </c>
      <c r="L2778" s="300">
        <f t="shared" si="360"/>
        <v>0</v>
      </c>
      <c r="M2778" s="285">
        <f t="shared" si="361"/>
        <v>0</v>
      </c>
      <c r="N2778" s="1076">
        <f t="shared" si="362"/>
        <v>0</v>
      </c>
      <c r="O2778" s="294"/>
      <c r="P2778" s="404"/>
      <c r="Q2778" s="404"/>
      <c r="R2778" s="301"/>
      <c r="S2778" s="301"/>
      <c r="T2778" s="301"/>
      <c r="U2778" s="301"/>
      <c r="V2778" s="301"/>
    </row>
    <row r="2779" spans="1:22" ht="14.4" thickTop="1" thickBot="1" x14ac:dyDescent="0.3">
      <c r="A2779" s="292"/>
      <c r="B2779" s="293"/>
      <c r="C2779" s="294"/>
      <c r="D2779" s="294"/>
      <c r="E2779" s="294"/>
      <c r="F2779" s="310"/>
      <c r="G2779" s="310"/>
      <c r="H2779" s="310"/>
      <c r="I2779" s="295"/>
      <c r="J2779" s="295"/>
      <c r="K2779" s="300">
        <f t="shared" si="400"/>
        <v>1.1000000000000001</v>
      </c>
      <c r="L2779" s="300">
        <f t="shared" si="360"/>
        <v>0</v>
      </c>
      <c r="M2779" s="285">
        <f t="shared" si="361"/>
        <v>0</v>
      </c>
      <c r="N2779" s="1076">
        <f t="shared" si="362"/>
        <v>0</v>
      </c>
      <c r="O2779" s="294"/>
      <c r="P2779" s="404"/>
      <c r="Q2779" s="404"/>
      <c r="R2779" s="301"/>
      <c r="S2779" s="301"/>
      <c r="T2779" s="301"/>
      <c r="U2779" s="301"/>
      <c r="V2779" s="301"/>
    </row>
    <row r="2780" spans="1:22" ht="14.4" thickTop="1" thickBot="1" x14ac:dyDescent="0.3">
      <c r="A2780" s="292"/>
      <c r="B2780" s="293"/>
      <c r="C2780" s="294"/>
      <c r="D2780" s="294"/>
      <c r="E2780" s="294"/>
      <c r="F2780" s="310"/>
      <c r="G2780" s="310"/>
      <c r="H2780" s="310"/>
      <c r="I2780" s="295"/>
      <c r="J2780" s="295"/>
      <c r="K2780" s="300">
        <f t="shared" si="400"/>
        <v>1.1000000000000001</v>
      </c>
      <c r="L2780" s="300">
        <f t="shared" si="360"/>
        <v>0</v>
      </c>
      <c r="M2780" s="285">
        <f t="shared" si="361"/>
        <v>0</v>
      </c>
      <c r="N2780" s="1076">
        <f t="shared" si="362"/>
        <v>0</v>
      </c>
      <c r="O2780" s="294"/>
      <c r="P2780" s="404"/>
      <c r="Q2780" s="404"/>
      <c r="R2780" s="301"/>
      <c r="S2780" s="301"/>
      <c r="T2780" s="301"/>
      <c r="U2780" s="301"/>
      <c r="V2780" s="301"/>
    </row>
    <row r="2781" spans="1:22" ht="14.4" thickTop="1" thickBot="1" x14ac:dyDescent="0.3">
      <c r="A2781" s="292"/>
      <c r="B2781" s="293"/>
      <c r="C2781" s="294"/>
      <c r="D2781" s="294"/>
      <c r="E2781" s="294"/>
      <c r="F2781" s="310"/>
      <c r="G2781" s="310"/>
      <c r="H2781" s="310"/>
      <c r="I2781" s="295"/>
      <c r="J2781" s="295"/>
      <c r="K2781" s="300">
        <f t="shared" si="400"/>
        <v>1.1000000000000001</v>
      </c>
      <c r="L2781" s="300">
        <f t="shared" si="360"/>
        <v>0</v>
      </c>
      <c r="M2781" s="285">
        <f t="shared" si="361"/>
        <v>0</v>
      </c>
      <c r="N2781" s="1076">
        <f t="shared" si="362"/>
        <v>0</v>
      </c>
      <c r="O2781" s="294"/>
      <c r="P2781" s="404"/>
      <c r="Q2781" s="404"/>
      <c r="R2781" s="301"/>
      <c r="S2781" s="301"/>
      <c r="T2781" s="301"/>
      <c r="U2781" s="301"/>
      <c r="V2781" s="301"/>
    </row>
    <row r="2782" spans="1:22" ht="14.4" thickTop="1" thickBot="1" x14ac:dyDescent="0.3">
      <c r="A2782" s="292"/>
      <c r="B2782" s="293"/>
      <c r="C2782" s="294"/>
      <c r="D2782" s="294"/>
      <c r="E2782" s="294"/>
      <c r="F2782" s="310"/>
      <c r="G2782" s="310"/>
      <c r="H2782" s="310"/>
      <c r="I2782" s="295"/>
      <c r="J2782" s="295"/>
      <c r="K2782" s="300">
        <f t="shared" si="400"/>
        <v>1.1000000000000001</v>
      </c>
      <c r="L2782" s="300">
        <f t="shared" si="360"/>
        <v>0</v>
      </c>
      <c r="M2782" s="285">
        <f t="shared" si="361"/>
        <v>0</v>
      </c>
      <c r="N2782" s="1076">
        <f t="shared" si="362"/>
        <v>0</v>
      </c>
      <c r="O2782" s="294"/>
      <c r="P2782" s="404"/>
      <c r="Q2782" s="404"/>
      <c r="R2782" s="301"/>
      <c r="S2782" s="301"/>
      <c r="T2782" s="301"/>
      <c r="U2782" s="301"/>
      <c r="V2782" s="301"/>
    </row>
    <row r="2783" spans="1:22" ht="14.4" thickTop="1" thickBot="1" x14ac:dyDescent="0.3">
      <c r="A2783" s="292"/>
      <c r="B2783" s="293"/>
      <c r="C2783" s="294"/>
      <c r="D2783" s="294"/>
      <c r="E2783" s="294"/>
      <c r="F2783" s="310"/>
      <c r="G2783" s="310"/>
      <c r="H2783" s="310"/>
      <c r="I2783" s="295"/>
      <c r="J2783" s="295"/>
      <c r="K2783" s="300">
        <f t="shared" si="400"/>
        <v>1.1000000000000001</v>
      </c>
      <c r="L2783" s="300">
        <f t="shared" si="360"/>
        <v>0</v>
      </c>
      <c r="M2783" s="285">
        <f t="shared" si="361"/>
        <v>0</v>
      </c>
      <c r="N2783" s="1076">
        <f t="shared" si="362"/>
        <v>0</v>
      </c>
      <c r="O2783" s="294"/>
      <c r="P2783" s="404"/>
      <c r="Q2783" s="404"/>
      <c r="R2783" s="301"/>
      <c r="S2783" s="301"/>
      <c r="T2783" s="301"/>
      <c r="U2783" s="301"/>
      <c r="V2783" s="301"/>
    </row>
    <row r="2784" spans="1:22" ht="14.4" thickTop="1" thickBot="1" x14ac:dyDescent="0.3">
      <c r="A2784" s="292"/>
      <c r="B2784" s="293"/>
      <c r="C2784" s="294"/>
      <c r="D2784" s="294"/>
      <c r="E2784" s="294"/>
      <c r="F2784" s="310"/>
      <c r="G2784" s="310"/>
      <c r="H2784" s="310"/>
      <c r="I2784" s="295"/>
      <c r="J2784" s="295"/>
      <c r="K2784" s="300">
        <f t="shared" si="400"/>
        <v>1.1000000000000001</v>
      </c>
      <c r="L2784" s="300">
        <f t="shared" si="360"/>
        <v>0</v>
      </c>
      <c r="M2784" s="285">
        <f t="shared" si="361"/>
        <v>0</v>
      </c>
      <c r="N2784" s="1076">
        <f t="shared" si="362"/>
        <v>0</v>
      </c>
      <c r="O2784" s="294"/>
      <c r="P2784" s="404"/>
      <c r="Q2784" s="404"/>
      <c r="R2784" s="301"/>
      <c r="S2784" s="301"/>
      <c r="T2784" s="301"/>
      <c r="U2784" s="301"/>
      <c r="V2784" s="301"/>
    </row>
    <row r="2785" spans="1:22" ht="14.4" thickTop="1" thickBot="1" x14ac:dyDescent="0.3">
      <c r="A2785" s="292"/>
      <c r="B2785" s="293"/>
      <c r="C2785" s="294"/>
      <c r="D2785" s="294"/>
      <c r="E2785" s="294"/>
      <c r="F2785" s="310"/>
      <c r="G2785" s="310"/>
      <c r="H2785" s="310"/>
      <c r="I2785" s="295"/>
      <c r="J2785" s="295"/>
      <c r="K2785" s="300">
        <f t="shared" si="400"/>
        <v>1.1000000000000001</v>
      </c>
      <c r="L2785" s="300">
        <f t="shared" si="360"/>
        <v>0</v>
      </c>
      <c r="M2785" s="285">
        <f t="shared" si="361"/>
        <v>0</v>
      </c>
      <c r="N2785" s="1076">
        <f t="shared" si="362"/>
        <v>0</v>
      </c>
      <c r="O2785" s="294"/>
      <c r="P2785" s="404"/>
      <c r="Q2785" s="404"/>
      <c r="R2785" s="301"/>
      <c r="S2785" s="301"/>
      <c r="T2785" s="301"/>
      <c r="U2785" s="301"/>
      <c r="V2785" s="301"/>
    </row>
    <row r="2786" spans="1:22" ht="14.4" thickTop="1" thickBot="1" x14ac:dyDescent="0.3">
      <c r="A2786" s="292"/>
      <c r="B2786" s="293"/>
      <c r="C2786" s="294"/>
      <c r="D2786" s="294"/>
      <c r="E2786" s="294"/>
      <c r="F2786" s="310"/>
      <c r="G2786" s="310"/>
      <c r="H2786" s="310"/>
      <c r="I2786" s="295"/>
      <c r="J2786" s="295"/>
      <c r="K2786" s="300">
        <f t="shared" si="400"/>
        <v>1.1000000000000001</v>
      </c>
      <c r="L2786" s="300">
        <f t="shared" si="360"/>
        <v>0</v>
      </c>
      <c r="M2786" s="285">
        <f t="shared" si="361"/>
        <v>0</v>
      </c>
      <c r="N2786" s="1076">
        <f t="shared" si="362"/>
        <v>0</v>
      </c>
      <c r="O2786" s="294"/>
      <c r="P2786" s="404"/>
      <c r="Q2786" s="404"/>
      <c r="R2786" s="301"/>
      <c r="S2786" s="301"/>
      <c r="T2786" s="301"/>
      <c r="U2786" s="301"/>
      <c r="V2786" s="301"/>
    </row>
    <row r="2787" spans="1:22" ht="14.4" thickTop="1" thickBot="1" x14ac:dyDescent="0.3">
      <c r="A2787" s="292"/>
      <c r="B2787" s="293"/>
      <c r="C2787" s="294"/>
      <c r="D2787" s="294"/>
      <c r="E2787" s="294"/>
      <c r="F2787" s="310"/>
      <c r="G2787" s="310"/>
      <c r="H2787" s="310"/>
      <c r="I2787" s="295"/>
      <c r="J2787" s="295"/>
      <c r="K2787" s="300">
        <f t="shared" si="400"/>
        <v>1.1000000000000001</v>
      </c>
      <c r="L2787" s="300">
        <f t="shared" si="360"/>
        <v>0</v>
      </c>
      <c r="M2787" s="285">
        <f t="shared" si="361"/>
        <v>0</v>
      </c>
      <c r="N2787" s="1076">
        <f t="shared" si="362"/>
        <v>0</v>
      </c>
      <c r="O2787" s="294"/>
      <c r="P2787" s="404"/>
      <c r="Q2787" s="404"/>
      <c r="R2787" s="301"/>
      <c r="S2787" s="301"/>
      <c r="T2787" s="301"/>
      <c r="U2787" s="301"/>
      <c r="V2787" s="301"/>
    </row>
    <row r="2788" spans="1:22" ht="14.4" thickTop="1" thickBot="1" x14ac:dyDescent="0.3">
      <c r="A2788" s="292"/>
      <c r="B2788" s="293"/>
      <c r="C2788" s="294"/>
      <c r="D2788" s="294"/>
      <c r="E2788" s="294"/>
      <c r="F2788" s="310"/>
      <c r="G2788" s="310"/>
      <c r="H2788" s="310"/>
      <c r="I2788" s="295"/>
      <c r="J2788" s="295"/>
      <c r="K2788" s="300">
        <f t="shared" ref="K2788:K2851" si="402">$K$2</f>
        <v>1.1000000000000001</v>
      </c>
      <c r="L2788" s="300">
        <f t="shared" si="360"/>
        <v>0</v>
      </c>
      <c r="M2788" s="285">
        <f t="shared" si="361"/>
        <v>0</v>
      </c>
      <c r="N2788" s="1076">
        <f t="shared" si="362"/>
        <v>0</v>
      </c>
      <c r="O2788" s="294"/>
      <c r="P2788" s="404"/>
      <c r="Q2788" s="404"/>
      <c r="R2788" s="301"/>
      <c r="S2788" s="301"/>
      <c r="T2788" s="301"/>
      <c r="U2788" s="301"/>
      <c r="V2788" s="301"/>
    </row>
    <row r="2789" spans="1:22" ht="14.4" thickTop="1" thickBot="1" x14ac:dyDescent="0.3">
      <c r="A2789" s="292"/>
      <c r="B2789" s="293"/>
      <c r="C2789" s="294"/>
      <c r="D2789" s="294"/>
      <c r="E2789" s="294"/>
      <c r="F2789" s="310"/>
      <c r="G2789" s="310"/>
      <c r="H2789" s="310"/>
      <c r="I2789" s="295"/>
      <c r="J2789" s="295"/>
      <c r="K2789" s="300">
        <f t="shared" si="402"/>
        <v>1.1000000000000001</v>
      </c>
      <c r="L2789" s="300">
        <f t="shared" si="360"/>
        <v>0</v>
      </c>
      <c r="M2789" s="285">
        <f t="shared" si="361"/>
        <v>0</v>
      </c>
      <c r="N2789" s="1076">
        <f t="shared" si="362"/>
        <v>0</v>
      </c>
      <c r="O2789" s="294"/>
      <c r="P2789" s="404"/>
      <c r="Q2789" s="404"/>
      <c r="R2789" s="301"/>
      <c r="S2789" s="301"/>
      <c r="T2789" s="301"/>
      <c r="U2789" s="301"/>
      <c r="V2789" s="301"/>
    </row>
    <row r="2790" spans="1:22" ht="14.4" thickTop="1" thickBot="1" x14ac:dyDescent="0.3">
      <c r="A2790" s="292"/>
      <c r="B2790" s="293"/>
      <c r="C2790" s="294"/>
      <c r="D2790" s="294"/>
      <c r="E2790" s="294"/>
      <c r="F2790" s="310"/>
      <c r="G2790" s="310"/>
      <c r="H2790" s="310"/>
      <c r="I2790" s="295"/>
      <c r="J2790" s="295"/>
      <c r="K2790" s="300">
        <f t="shared" si="402"/>
        <v>1.1000000000000001</v>
      </c>
      <c r="L2790" s="300">
        <f t="shared" si="360"/>
        <v>0</v>
      </c>
      <c r="M2790" s="285">
        <f t="shared" si="361"/>
        <v>0</v>
      </c>
      <c r="N2790" s="1076">
        <f t="shared" si="362"/>
        <v>0</v>
      </c>
      <c r="O2790" s="294"/>
      <c r="P2790" s="404"/>
      <c r="Q2790" s="404"/>
      <c r="R2790" s="301"/>
      <c r="S2790" s="301"/>
      <c r="T2790" s="301"/>
      <c r="U2790" s="301"/>
      <c r="V2790" s="301"/>
    </row>
    <row r="2791" spans="1:22" ht="14.4" thickTop="1" thickBot="1" x14ac:dyDescent="0.3">
      <c r="A2791" s="292"/>
      <c r="B2791" s="293"/>
      <c r="C2791" s="294"/>
      <c r="D2791" s="294"/>
      <c r="E2791" s="294"/>
      <c r="F2791" s="310"/>
      <c r="G2791" s="310"/>
      <c r="H2791" s="310"/>
      <c r="I2791" s="295"/>
      <c r="J2791" s="295"/>
      <c r="K2791" s="300">
        <f t="shared" si="402"/>
        <v>1.1000000000000001</v>
      </c>
      <c r="L2791" s="300">
        <f t="shared" si="360"/>
        <v>0</v>
      </c>
      <c r="M2791" s="285">
        <f t="shared" si="361"/>
        <v>0</v>
      </c>
      <c r="N2791" s="1076">
        <f t="shared" si="362"/>
        <v>0</v>
      </c>
      <c r="O2791" s="294"/>
      <c r="P2791" s="404"/>
      <c r="Q2791" s="404"/>
      <c r="R2791" s="301"/>
      <c r="S2791" s="301"/>
      <c r="T2791" s="301"/>
      <c r="U2791" s="301"/>
      <c r="V2791" s="301"/>
    </row>
    <row r="2792" spans="1:22" ht="14.4" thickTop="1" thickBot="1" x14ac:dyDescent="0.3">
      <c r="A2792" s="292"/>
      <c r="B2792" s="293"/>
      <c r="C2792" s="294"/>
      <c r="D2792" s="294"/>
      <c r="E2792" s="294"/>
      <c r="F2792" s="310"/>
      <c r="G2792" s="310"/>
      <c r="H2792" s="310"/>
      <c r="I2792" s="295"/>
      <c r="J2792" s="295"/>
      <c r="K2792" s="300">
        <f t="shared" si="402"/>
        <v>1.1000000000000001</v>
      </c>
      <c r="L2792" s="300">
        <f t="shared" si="360"/>
        <v>0</v>
      </c>
      <c r="M2792" s="285">
        <f t="shared" si="361"/>
        <v>0</v>
      </c>
      <c r="N2792" s="1076">
        <f t="shared" si="362"/>
        <v>0</v>
      </c>
      <c r="O2792" s="294"/>
      <c r="P2792" s="404"/>
      <c r="Q2792" s="404"/>
      <c r="R2792" s="301"/>
      <c r="S2792" s="301"/>
      <c r="T2792" s="301"/>
      <c r="U2792" s="301"/>
      <c r="V2792" s="301"/>
    </row>
    <row r="2793" spans="1:22" ht="14.4" thickTop="1" thickBot="1" x14ac:dyDescent="0.3">
      <c r="A2793" s="292"/>
      <c r="B2793" s="293"/>
      <c r="C2793" s="294"/>
      <c r="D2793" s="294"/>
      <c r="E2793" s="294"/>
      <c r="F2793" s="310"/>
      <c r="G2793" s="310"/>
      <c r="H2793" s="310"/>
      <c r="I2793" s="295"/>
      <c r="J2793" s="295"/>
      <c r="K2793" s="300">
        <f t="shared" si="402"/>
        <v>1.1000000000000001</v>
      </c>
      <c r="L2793" s="300">
        <f t="shared" si="360"/>
        <v>0</v>
      </c>
      <c r="M2793" s="285">
        <f t="shared" si="361"/>
        <v>0</v>
      </c>
      <c r="N2793" s="1076">
        <f t="shared" si="362"/>
        <v>0</v>
      </c>
      <c r="O2793" s="294"/>
      <c r="P2793" s="404"/>
      <c r="Q2793" s="404"/>
      <c r="R2793" s="301"/>
      <c r="S2793" s="301"/>
      <c r="T2793" s="301"/>
      <c r="U2793" s="301"/>
      <c r="V2793" s="301"/>
    </row>
    <row r="2794" spans="1:22" ht="14.4" thickTop="1" thickBot="1" x14ac:dyDescent="0.3">
      <c r="A2794" s="292"/>
      <c r="B2794" s="293"/>
      <c r="C2794" s="294"/>
      <c r="D2794" s="294"/>
      <c r="E2794" s="294"/>
      <c r="F2794" s="310"/>
      <c r="G2794" s="310"/>
      <c r="H2794" s="310"/>
      <c r="I2794" s="295"/>
      <c r="J2794" s="295"/>
      <c r="K2794" s="300">
        <f t="shared" si="402"/>
        <v>1.1000000000000001</v>
      </c>
      <c r="L2794" s="300">
        <f t="shared" si="360"/>
        <v>0</v>
      </c>
      <c r="M2794" s="285">
        <f t="shared" si="361"/>
        <v>0</v>
      </c>
      <c r="N2794" s="1076">
        <f t="shared" si="362"/>
        <v>0</v>
      </c>
      <c r="O2794" s="294"/>
      <c r="P2794" s="404"/>
      <c r="Q2794" s="404"/>
      <c r="R2794" s="301"/>
      <c r="S2794" s="301"/>
      <c r="T2794" s="301"/>
      <c r="U2794" s="301"/>
      <c r="V2794" s="301"/>
    </row>
    <row r="2795" spans="1:22" ht="14.4" thickTop="1" thickBot="1" x14ac:dyDescent="0.3">
      <c r="A2795" s="292"/>
      <c r="B2795" s="293"/>
      <c r="C2795" s="294"/>
      <c r="D2795" s="294"/>
      <c r="E2795" s="294"/>
      <c r="F2795" s="310"/>
      <c r="G2795" s="310"/>
      <c r="H2795" s="310"/>
      <c r="I2795" s="295"/>
      <c r="J2795" s="295"/>
      <c r="K2795" s="300">
        <f t="shared" si="402"/>
        <v>1.1000000000000001</v>
      </c>
      <c r="L2795" s="300">
        <f t="shared" si="360"/>
        <v>0</v>
      </c>
      <c r="M2795" s="285">
        <f t="shared" si="361"/>
        <v>0</v>
      </c>
      <c r="N2795" s="1076">
        <f t="shared" si="362"/>
        <v>0</v>
      </c>
      <c r="O2795" s="294"/>
      <c r="P2795" s="404"/>
      <c r="Q2795" s="404"/>
      <c r="R2795" s="301"/>
      <c r="S2795" s="301"/>
      <c r="T2795" s="301"/>
      <c r="U2795" s="301"/>
      <c r="V2795" s="301"/>
    </row>
    <row r="2796" spans="1:22" ht="14.4" thickTop="1" thickBot="1" x14ac:dyDescent="0.3">
      <c r="A2796" s="292"/>
      <c r="B2796" s="293"/>
      <c r="C2796" s="294"/>
      <c r="D2796" s="294"/>
      <c r="E2796" s="294"/>
      <c r="F2796" s="310"/>
      <c r="G2796" s="310"/>
      <c r="H2796" s="310"/>
      <c r="I2796" s="295"/>
      <c r="J2796" s="295"/>
      <c r="K2796" s="300">
        <f t="shared" si="402"/>
        <v>1.1000000000000001</v>
      </c>
      <c r="L2796" s="300">
        <f t="shared" si="360"/>
        <v>0</v>
      </c>
      <c r="M2796" s="285">
        <f t="shared" si="361"/>
        <v>0</v>
      </c>
      <c r="N2796" s="1076">
        <f t="shared" si="362"/>
        <v>0</v>
      </c>
      <c r="O2796" s="294"/>
      <c r="P2796" s="404"/>
      <c r="Q2796" s="404"/>
      <c r="R2796" s="301"/>
      <c r="S2796" s="301"/>
      <c r="T2796" s="301"/>
      <c r="U2796" s="301"/>
      <c r="V2796" s="301"/>
    </row>
    <row r="2797" spans="1:22" ht="14.4" thickTop="1" thickBot="1" x14ac:dyDescent="0.3">
      <c r="A2797" s="292"/>
      <c r="B2797" s="293"/>
      <c r="C2797" s="294"/>
      <c r="D2797" s="294"/>
      <c r="E2797" s="294"/>
      <c r="F2797" s="310"/>
      <c r="G2797" s="310"/>
      <c r="H2797" s="310"/>
      <c r="I2797" s="295"/>
      <c r="J2797" s="295"/>
      <c r="K2797" s="300">
        <f t="shared" si="402"/>
        <v>1.1000000000000001</v>
      </c>
      <c r="L2797" s="300">
        <f t="shared" si="360"/>
        <v>0</v>
      </c>
      <c r="M2797" s="285">
        <f t="shared" si="361"/>
        <v>0</v>
      </c>
      <c r="N2797" s="1076">
        <f t="shared" si="362"/>
        <v>0</v>
      </c>
      <c r="O2797" s="294"/>
      <c r="P2797" s="404"/>
      <c r="Q2797" s="404"/>
      <c r="R2797" s="301"/>
      <c r="S2797" s="301"/>
      <c r="T2797" s="301"/>
      <c r="U2797" s="301"/>
      <c r="V2797" s="301"/>
    </row>
    <row r="2798" spans="1:22" ht="14.4" thickTop="1" thickBot="1" x14ac:dyDescent="0.3">
      <c r="A2798" s="292"/>
      <c r="B2798" s="293"/>
      <c r="C2798" s="294"/>
      <c r="D2798" s="294"/>
      <c r="E2798" s="294"/>
      <c r="F2798" s="310"/>
      <c r="G2798" s="310"/>
      <c r="H2798" s="310"/>
      <c r="I2798" s="295"/>
      <c r="J2798" s="295"/>
      <c r="K2798" s="300">
        <f t="shared" si="402"/>
        <v>1.1000000000000001</v>
      </c>
      <c r="L2798" s="300">
        <f t="shared" ref="L2798:L2861" si="403">K2798*J2798</f>
        <v>0</v>
      </c>
      <c r="M2798" s="285">
        <f t="shared" si="361"/>
        <v>0</v>
      </c>
      <c r="N2798" s="1076">
        <f t="shared" si="362"/>
        <v>0</v>
      </c>
      <c r="O2798" s="294"/>
      <c r="P2798" s="404"/>
      <c r="Q2798" s="404"/>
      <c r="R2798" s="301"/>
      <c r="S2798" s="301"/>
      <c r="T2798" s="301"/>
      <c r="U2798" s="301"/>
      <c r="V2798" s="301"/>
    </row>
    <row r="2799" spans="1:22" ht="14.4" thickTop="1" thickBot="1" x14ac:dyDescent="0.3">
      <c r="A2799" s="292"/>
      <c r="B2799" s="293"/>
      <c r="C2799" s="294"/>
      <c r="D2799" s="294"/>
      <c r="E2799" s="294"/>
      <c r="F2799" s="310"/>
      <c r="G2799" s="310"/>
      <c r="H2799" s="310"/>
      <c r="I2799" s="295"/>
      <c r="J2799" s="295"/>
      <c r="K2799" s="300">
        <f t="shared" si="402"/>
        <v>1.1000000000000001</v>
      </c>
      <c r="L2799" s="300">
        <f t="shared" si="403"/>
        <v>0</v>
      </c>
      <c r="M2799" s="285">
        <f t="shared" si="361"/>
        <v>0</v>
      </c>
      <c r="N2799" s="1076">
        <f t="shared" si="362"/>
        <v>0</v>
      </c>
      <c r="O2799" s="294"/>
      <c r="P2799" s="404"/>
      <c r="Q2799" s="404"/>
      <c r="R2799" s="301"/>
      <c r="S2799" s="301"/>
      <c r="T2799" s="301"/>
      <c r="U2799" s="301"/>
      <c r="V2799" s="301"/>
    </row>
    <row r="2800" spans="1:22" ht="14.4" thickTop="1" thickBot="1" x14ac:dyDescent="0.3">
      <c r="A2800" s="292"/>
      <c r="B2800" s="293"/>
      <c r="C2800" s="294"/>
      <c r="D2800" s="294"/>
      <c r="E2800" s="294"/>
      <c r="F2800" s="310"/>
      <c r="G2800" s="310"/>
      <c r="H2800" s="310"/>
      <c r="I2800" s="295"/>
      <c r="J2800" s="295"/>
      <c r="K2800" s="300">
        <f t="shared" si="402"/>
        <v>1.1000000000000001</v>
      </c>
      <c r="L2800" s="300">
        <f t="shared" si="403"/>
        <v>0</v>
      </c>
      <c r="M2800" s="285">
        <f t="shared" ref="M2800:M2863" si="404">ROUND(L2800,1)</f>
        <v>0</v>
      </c>
      <c r="N2800" s="1076">
        <f t="shared" ref="N2800:N2863" si="405">ROUNDUP(M2800,0)</f>
        <v>0</v>
      </c>
      <c r="O2800" s="294"/>
      <c r="P2800" s="404"/>
      <c r="Q2800" s="404"/>
      <c r="R2800" s="301"/>
      <c r="S2800" s="301"/>
      <c r="T2800" s="301"/>
      <c r="U2800" s="301"/>
      <c r="V2800" s="301"/>
    </row>
    <row r="2801" spans="1:22" ht="14.4" thickTop="1" thickBot="1" x14ac:dyDescent="0.3">
      <c r="A2801" s="292"/>
      <c r="B2801" s="293"/>
      <c r="C2801" s="294"/>
      <c r="D2801" s="294"/>
      <c r="E2801" s="294"/>
      <c r="F2801" s="310"/>
      <c r="G2801" s="310"/>
      <c r="H2801" s="310"/>
      <c r="I2801" s="295"/>
      <c r="J2801" s="295"/>
      <c r="K2801" s="300">
        <f t="shared" si="402"/>
        <v>1.1000000000000001</v>
      </c>
      <c r="L2801" s="300">
        <f t="shared" si="403"/>
        <v>0</v>
      </c>
      <c r="M2801" s="285">
        <f t="shared" si="404"/>
        <v>0</v>
      </c>
      <c r="N2801" s="1076">
        <f t="shared" si="405"/>
        <v>0</v>
      </c>
      <c r="O2801" s="294"/>
      <c r="P2801" s="404"/>
      <c r="Q2801" s="404"/>
      <c r="R2801" s="301"/>
      <c r="S2801" s="301"/>
      <c r="T2801" s="301"/>
      <c r="U2801" s="301"/>
      <c r="V2801" s="301"/>
    </row>
    <row r="2802" spans="1:22" ht="14.4" thickTop="1" thickBot="1" x14ac:dyDescent="0.3">
      <c r="A2802" s="292"/>
      <c r="B2802" s="293"/>
      <c r="C2802" s="294"/>
      <c r="D2802" s="294"/>
      <c r="E2802" s="294"/>
      <c r="F2802" s="310"/>
      <c r="G2802" s="310"/>
      <c r="H2802" s="310"/>
      <c r="I2802" s="295"/>
      <c r="J2802" s="295"/>
      <c r="K2802" s="300">
        <f t="shared" si="402"/>
        <v>1.1000000000000001</v>
      </c>
      <c r="L2802" s="300">
        <f t="shared" si="403"/>
        <v>0</v>
      </c>
      <c r="M2802" s="285">
        <f t="shared" si="404"/>
        <v>0</v>
      </c>
      <c r="N2802" s="1076">
        <f t="shared" si="405"/>
        <v>0</v>
      </c>
      <c r="O2802" s="294"/>
      <c r="P2802" s="404"/>
      <c r="Q2802" s="404"/>
      <c r="R2802" s="301"/>
      <c r="S2802" s="301"/>
      <c r="T2802" s="301"/>
      <c r="U2802" s="301"/>
      <c r="V2802" s="301"/>
    </row>
    <row r="2803" spans="1:22" ht="14.4" thickTop="1" thickBot="1" x14ac:dyDescent="0.3">
      <c r="A2803" s="292"/>
      <c r="B2803" s="293"/>
      <c r="C2803" s="294"/>
      <c r="D2803" s="294"/>
      <c r="E2803" s="294"/>
      <c r="F2803" s="310"/>
      <c r="G2803" s="310"/>
      <c r="H2803" s="310"/>
      <c r="I2803" s="295"/>
      <c r="J2803" s="295"/>
      <c r="K2803" s="300">
        <f t="shared" si="402"/>
        <v>1.1000000000000001</v>
      </c>
      <c r="L2803" s="300">
        <f t="shared" si="403"/>
        <v>0</v>
      </c>
      <c r="M2803" s="285">
        <f t="shared" si="404"/>
        <v>0</v>
      </c>
      <c r="N2803" s="1076">
        <f t="shared" si="405"/>
        <v>0</v>
      </c>
      <c r="O2803" s="294"/>
      <c r="P2803" s="404"/>
      <c r="Q2803" s="404"/>
      <c r="R2803" s="301"/>
      <c r="S2803" s="301"/>
      <c r="T2803" s="301"/>
      <c r="U2803" s="301"/>
      <c r="V2803" s="301"/>
    </row>
    <row r="2804" spans="1:22" ht="14.4" thickTop="1" thickBot="1" x14ac:dyDescent="0.3">
      <c r="A2804" s="292"/>
      <c r="B2804" s="293"/>
      <c r="C2804" s="294"/>
      <c r="D2804" s="294"/>
      <c r="E2804" s="294"/>
      <c r="F2804" s="310"/>
      <c r="G2804" s="310"/>
      <c r="H2804" s="310"/>
      <c r="I2804" s="295"/>
      <c r="J2804" s="295"/>
      <c r="K2804" s="300">
        <f t="shared" si="402"/>
        <v>1.1000000000000001</v>
      </c>
      <c r="L2804" s="300">
        <f t="shared" si="403"/>
        <v>0</v>
      </c>
      <c r="M2804" s="285">
        <f t="shared" si="404"/>
        <v>0</v>
      </c>
      <c r="N2804" s="1076">
        <f t="shared" si="405"/>
        <v>0</v>
      </c>
      <c r="O2804" s="294"/>
      <c r="P2804" s="404"/>
      <c r="Q2804" s="404"/>
      <c r="R2804" s="301"/>
      <c r="S2804" s="301"/>
      <c r="T2804" s="301"/>
      <c r="U2804" s="301"/>
      <c r="V2804" s="301"/>
    </row>
    <row r="2805" spans="1:22" ht="14.4" thickTop="1" thickBot="1" x14ac:dyDescent="0.3">
      <c r="A2805" s="292"/>
      <c r="B2805" s="293"/>
      <c r="C2805" s="294"/>
      <c r="D2805" s="294"/>
      <c r="E2805" s="294"/>
      <c r="F2805" s="310"/>
      <c r="G2805" s="310"/>
      <c r="H2805" s="310"/>
      <c r="I2805" s="295"/>
      <c r="J2805" s="295"/>
      <c r="K2805" s="300">
        <f t="shared" si="402"/>
        <v>1.1000000000000001</v>
      </c>
      <c r="L2805" s="300">
        <f t="shared" si="403"/>
        <v>0</v>
      </c>
      <c r="M2805" s="285">
        <f t="shared" si="404"/>
        <v>0</v>
      </c>
      <c r="N2805" s="1076">
        <f t="shared" si="405"/>
        <v>0</v>
      </c>
      <c r="O2805" s="294"/>
      <c r="P2805" s="404"/>
      <c r="Q2805" s="404"/>
      <c r="R2805" s="301"/>
      <c r="S2805" s="301"/>
      <c r="T2805" s="301"/>
      <c r="U2805" s="301"/>
      <c r="V2805" s="301"/>
    </row>
    <row r="2806" spans="1:22" ht="14.4" thickTop="1" thickBot="1" x14ac:dyDescent="0.3">
      <c r="A2806" s="292"/>
      <c r="B2806" s="293"/>
      <c r="C2806" s="294"/>
      <c r="D2806" s="294"/>
      <c r="E2806" s="294"/>
      <c r="F2806" s="310"/>
      <c r="G2806" s="310"/>
      <c r="H2806" s="310"/>
      <c r="I2806" s="295"/>
      <c r="J2806" s="295"/>
      <c r="K2806" s="300">
        <f t="shared" si="402"/>
        <v>1.1000000000000001</v>
      </c>
      <c r="L2806" s="300">
        <f t="shared" si="403"/>
        <v>0</v>
      </c>
      <c r="M2806" s="285">
        <f t="shared" si="404"/>
        <v>0</v>
      </c>
      <c r="N2806" s="1076">
        <f t="shared" si="405"/>
        <v>0</v>
      </c>
      <c r="O2806" s="294"/>
      <c r="P2806" s="404"/>
      <c r="Q2806" s="404"/>
      <c r="R2806" s="301"/>
      <c r="S2806" s="301"/>
      <c r="T2806" s="301"/>
      <c r="U2806" s="301"/>
      <c r="V2806" s="301"/>
    </row>
    <row r="2807" spans="1:22" ht="14.4" thickTop="1" thickBot="1" x14ac:dyDescent="0.3">
      <c r="A2807" s="292"/>
      <c r="B2807" s="293"/>
      <c r="C2807" s="294"/>
      <c r="D2807" s="294"/>
      <c r="E2807" s="294"/>
      <c r="F2807" s="310"/>
      <c r="G2807" s="310"/>
      <c r="H2807" s="310"/>
      <c r="I2807" s="295"/>
      <c r="J2807" s="295"/>
      <c r="K2807" s="300">
        <f t="shared" si="402"/>
        <v>1.1000000000000001</v>
      </c>
      <c r="L2807" s="300">
        <f t="shared" si="403"/>
        <v>0</v>
      </c>
      <c r="M2807" s="285">
        <f t="shared" si="404"/>
        <v>0</v>
      </c>
      <c r="N2807" s="1076">
        <f t="shared" si="405"/>
        <v>0</v>
      </c>
      <c r="O2807" s="294"/>
      <c r="P2807" s="404"/>
      <c r="Q2807" s="404"/>
      <c r="R2807" s="301"/>
      <c r="S2807" s="301"/>
      <c r="T2807" s="301"/>
      <c r="U2807" s="301"/>
      <c r="V2807" s="301"/>
    </row>
    <row r="2808" spans="1:22" ht="14.4" thickTop="1" thickBot="1" x14ac:dyDescent="0.3">
      <c r="A2808" s="292"/>
      <c r="B2808" s="293"/>
      <c r="C2808" s="294"/>
      <c r="D2808" s="294"/>
      <c r="E2808" s="294"/>
      <c r="F2808" s="310"/>
      <c r="G2808" s="310"/>
      <c r="H2808" s="310"/>
      <c r="I2808" s="295"/>
      <c r="J2808" s="295"/>
      <c r="K2808" s="300">
        <f t="shared" si="402"/>
        <v>1.1000000000000001</v>
      </c>
      <c r="L2808" s="300">
        <f t="shared" si="403"/>
        <v>0</v>
      </c>
      <c r="M2808" s="285">
        <f t="shared" si="404"/>
        <v>0</v>
      </c>
      <c r="N2808" s="1076">
        <f t="shared" si="405"/>
        <v>0</v>
      </c>
      <c r="O2808" s="294"/>
      <c r="P2808" s="404"/>
      <c r="Q2808" s="404"/>
      <c r="R2808" s="301"/>
      <c r="S2808" s="301"/>
      <c r="T2808" s="301"/>
      <c r="U2808" s="301"/>
      <c r="V2808" s="301"/>
    </row>
    <row r="2809" spans="1:22" ht="14.4" thickTop="1" thickBot="1" x14ac:dyDescent="0.3">
      <c r="A2809" s="292"/>
      <c r="B2809" s="293"/>
      <c r="C2809" s="294"/>
      <c r="D2809" s="294"/>
      <c r="E2809" s="294"/>
      <c r="F2809" s="310"/>
      <c r="G2809" s="310"/>
      <c r="H2809" s="310"/>
      <c r="I2809" s="295"/>
      <c r="J2809" s="295"/>
      <c r="K2809" s="300">
        <f t="shared" si="402"/>
        <v>1.1000000000000001</v>
      </c>
      <c r="L2809" s="300">
        <f t="shared" si="403"/>
        <v>0</v>
      </c>
      <c r="M2809" s="285">
        <f t="shared" si="404"/>
        <v>0</v>
      </c>
      <c r="N2809" s="1076">
        <f t="shared" si="405"/>
        <v>0</v>
      </c>
      <c r="O2809" s="294"/>
      <c r="P2809" s="404"/>
      <c r="Q2809" s="404"/>
      <c r="R2809" s="301"/>
      <c r="S2809" s="301"/>
      <c r="T2809" s="301"/>
      <c r="U2809" s="301"/>
      <c r="V2809" s="301"/>
    </row>
    <row r="2810" spans="1:22" ht="14.4" thickTop="1" thickBot="1" x14ac:dyDescent="0.3">
      <c r="A2810" s="292"/>
      <c r="B2810" s="293"/>
      <c r="C2810" s="294"/>
      <c r="D2810" s="294"/>
      <c r="E2810" s="294"/>
      <c r="F2810" s="310"/>
      <c r="G2810" s="310"/>
      <c r="H2810" s="310"/>
      <c r="I2810" s="295"/>
      <c r="J2810" s="295"/>
      <c r="K2810" s="300">
        <f t="shared" si="402"/>
        <v>1.1000000000000001</v>
      </c>
      <c r="L2810" s="300">
        <f t="shared" si="403"/>
        <v>0</v>
      </c>
      <c r="M2810" s="285">
        <f t="shared" si="404"/>
        <v>0</v>
      </c>
      <c r="N2810" s="1076">
        <f t="shared" si="405"/>
        <v>0</v>
      </c>
      <c r="O2810" s="294"/>
      <c r="P2810" s="404"/>
      <c r="Q2810" s="404"/>
      <c r="R2810" s="301"/>
      <c r="S2810" s="301"/>
      <c r="T2810" s="301"/>
      <c r="U2810" s="301"/>
      <c r="V2810" s="301"/>
    </row>
    <row r="2811" spans="1:22" ht="14.4" thickTop="1" thickBot="1" x14ac:dyDescent="0.3">
      <c r="A2811" s="292"/>
      <c r="B2811" s="293"/>
      <c r="C2811" s="294"/>
      <c r="D2811" s="294"/>
      <c r="E2811" s="294"/>
      <c r="F2811" s="310"/>
      <c r="G2811" s="310"/>
      <c r="H2811" s="310"/>
      <c r="I2811" s="295"/>
      <c r="J2811" s="295"/>
      <c r="K2811" s="300">
        <f t="shared" si="402"/>
        <v>1.1000000000000001</v>
      </c>
      <c r="L2811" s="300">
        <f t="shared" si="403"/>
        <v>0</v>
      </c>
      <c r="M2811" s="285">
        <f t="shared" si="404"/>
        <v>0</v>
      </c>
      <c r="N2811" s="1076">
        <f t="shared" si="405"/>
        <v>0</v>
      </c>
      <c r="O2811" s="294"/>
      <c r="P2811" s="404"/>
      <c r="Q2811" s="404"/>
      <c r="R2811" s="301"/>
      <c r="S2811" s="301"/>
      <c r="T2811" s="301"/>
      <c r="U2811" s="301"/>
      <c r="V2811" s="301"/>
    </row>
    <row r="2812" spans="1:22" ht="14.4" thickTop="1" thickBot="1" x14ac:dyDescent="0.3">
      <c r="A2812" s="292"/>
      <c r="B2812" s="293"/>
      <c r="C2812" s="294"/>
      <c r="D2812" s="294"/>
      <c r="E2812" s="294"/>
      <c r="F2812" s="310"/>
      <c r="G2812" s="310"/>
      <c r="H2812" s="310"/>
      <c r="I2812" s="295"/>
      <c r="J2812" s="295"/>
      <c r="K2812" s="300">
        <f t="shared" si="402"/>
        <v>1.1000000000000001</v>
      </c>
      <c r="L2812" s="300">
        <f t="shared" si="403"/>
        <v>0</v>
      </c>
      <c r="M2812" s="285">
        <f t="shared" si="404"/>
        <v>0</v>
      </c>
      <c r="N2812" s="1076">
        <f t="shared" si="405"/>
        <v>0</v>
      </c>
      <c r="O2812" s="294"/>
      <c r="P2812" s="404"/>
      <c r="Q2812" s="404"/>
      <c r="R2812" s="301"/>
      <c r="S2812" s="301"/>
      <c r="T2812" s="301"/>
      <c r="U2812" s="301"/>
      <c r="V2812" s="301"/>
    </row>
    <row r="2813" spans="1:22" ht="14.4" thickTop="1" thickBot="1" x14ac:dyDescent="0.3">
      <c r="A2813" s="292"/>
      <c r="B2813" s="293"/>
      <c r="C2813" s="294"/>
      <c r="D2813" s="294"/>
      <c r="E2813" s="294"/>
      <c r="F2813" s="310"/>
      <c r="G2813" s="310"/>
      <c r="H2813" s="310"/>
      <c r="I2813" s="295"/>
      <c r="J2813" s="295"/>
      <c r="K2813" s="300">
        <f t="shared" si="402"/>
        <v>1.1000000000000001</v>
      </c>
      <c r="L2813" s="300">
        <f t="shared" si="403"/>
        <v>0</v>
      </c>
      <c r="M2813" s="285">
        <f t="shared" si="404"/>
        <v>0</v>
      </c>
      <c r="N2813" s="1076">
        <f t="shared" si="405"/>
        <v>0</v>
      </c>
      <c r="O2813" s="294"/>
      <c r="P2813" s="404"/>
      <c r="Q2813" s="404"/>
      <c r="R2813" s="301"/>
      <c r="S2813" s="301"/>
      <c r="T2813" s="301"/>
      <c r="U2813" s="301"/>
      <c r="V2813" s="301"/>
    </row>
    <row r="2814" spans="1:22" ht="14.4" thickTop="1" thickBot="1" x14ac:dyDescent="0.3">
      <c r="A2814" s="292"/>
      <c r="B2814" s="293"/>
      <c r="C2814" s="294"/>
      <c r="D2814" s="294"/>
      <c r="E2814" s="294"/>
      <c r="F2814" s="310"/>
      <c r="G2814" s="310"/>
      <c r="H2814" s="310"/>
      <c r="I2814" s="295"/>
      <c r="J2814" s="295"/>
      <c r="K2814" s="300">
        <f t="shared" si="402"/>
        <v>1.1000000000000001</v>
      </c>
      <c r="L2814" s="300">
        <f t="shared" si="403"/>
        <v>0</v>
      </c>
      <c r="M2814" s="285">
        <f t="shared" si="404"/>
        <v>0</v>
      </c>
      <c r="N2814" s="1076">
        <f t="shared" si="405"/>
        <v>0</v>
      </c>
      <c r="O2814" s="294"/>
      <c r="P2814" s="404"/>
      <c r="Q2814" s="404"/>
      <c r="R2814" s="301"/>
      <c r="S2814" s="301"/>
      <c r="T2814" s="301"/>
      <c r="U2814" s="301"/>
      <c r="V2814" s="301"/>
    </row>
    <row r="2815" spans="1:22" ht="14.4" thickTop="1" thickBot="1" x14ac:dyDescent="0.3">
      <c r="A2815" s="292"/>
      <c r="B2815" s="293"/>
      <c r="C2815" s="294"/>
      <c r="D2815" s="294"/>
      <c r="E2815" s="294"/>
      <c r="F2815" s="310"/>
      <c r="G2815" s="310"/>
      <c r="H2815" s="310"/>
      <c r="I2815" s="295"/>
      <c r="J2815" s="295"/>
      <c r="K2815" s="300">
        <f t="shared" si="402"/>
        <v>1.1000000000000001</v>
      </c>
      <c r="L2815" s="300">
        <f t="shared" si="403"/>
        <v>0</v>
      </c>
      <c r="M2815" s="285">
        <f t="shared" si="404"/>
        <v>0</v>
      </c>
      <c r="N2815" s="1076">
        <f t="shared" si="405"/>
        <v>0</v>
      </c>
      <c r="O2815" s="294"/>
      <c r="P2815" s="404"/>
      <c r="Q2815" s="404"/>
      <c r="R2815" s="301"/>
      <c r="S2815" s="301"/>
      <c r="T2815" s="301"/>
      <c r="U2815" s="301"/>
      <c r="V2815" s="301"/>
    </row>
    <row r="2816" spans="1:22" ht="14.4" thickTop="1" thickBot="1" x14ac:dyDescent="0.3">
      <c r="A2816" s="292"/>
      <c r="B2816" s="293"/>
      <c r="C2816" s="294"/>
      <c r="D2816" s="294"/>
      <c r="E2816" s="294"/>
      <c r="F2816" s="310"/>
      <c r="G2816" s="310"/>
      <c r="H2816" s="310"/>
      <c r="I2816" s="295"/>
      <c r="J2816" s="295"/>
      <c r="K2816" s="300">
        <f t="shared" si="402"/>
        <v>1.1000000000000001</v>
      </c>
      <c r="L2816" s="300">
        <f t="shared" si="403"/>
        <v>0</v>
      </c>
      <c r="M2816" s="285">
        <f t="shared" si="404"/>
        <v>0</v>
      </c>
      <c r="N2816" s="1076">
        <f t="shared" si="405"/>
        <v>0</v>
      </c>
      <c r="O2816" s="294"/>
      <c r="P2816" s="404"/>
      <c r="Q2816" s="404"/>
      <c r="R2816" s="301"/>
      <c r="S2816" s="301"/>
      <c r="T2816" s="301"/>
      <c r="U2816" s="301"/>
      <c r="V2816" s="301"/>
    </row>
    <row r="2817" spans="1:22" ht="14.4" thickTop="1" thickBot="1" x14ac:dyDescent="0.3">
      <c r="A2817" s="292"/>
      <c r="B2817" s="293"/>
      <c r="C2817" s="294"/>
      <c r="D2817" s="294"/>
      <c r="E2817" s="294"/>
      <c r="F2817" s="310"/>
      <c r="G2817" s="310"/>
      <c r="H2817" s="310"/>
      <c r="I2817" s="295"/>
      <c r="J2817" s="295"/>
      <c r="K2817" s="300">
        <f t="shared" si="402"/>
        <v>1.1000000000000001</v>
      </c>
      <c r="L2817" s="300">
        <f t="shared" si="403"/>
        <v>0</v>
      </c>
      <c r="M2817" s="285">
        <f t="shared" si="404"/>
        <v>0</v>
      </c>
      <c r="N2817" s="1076">
        <f t="shared" si="405"/>
        <v>0</v>
      </c>
      <c r="O2817" s="294"/>
      <c r="P2817" s="404"/>
      <c r="Q2817" s="404"/>
      <c r="R2817" s="301"/>
      <c r="S2817" s="301"/>
      <c r="T2817" s="301"/>
      <c r="U2817" s="301"/>
      <c r="V2817" s="301"/>
    </row>
    <row r="2818" spans="1:22" ht="14.4" thickTop="1" thickBot="1" x14ac:dyDescent="0.3">
      <c r="A2818" s="292"/>
      <c r="B2818" s="293"/>
      <c r="C2818" s="294"/>
      <c r="D2818" s="294"/>
      <c r="E2818" s="294"/>
      <c r="F2818" s="310"/>
      <c r="G2818" s="310"/>
      <c r="H2818" s="310"/>
      <c r="I2818" s="295"/>
      <c r="J2818" s="295"/>
      <c r="K2818" s="300">
        <f t="shared" si="402"/>
        <v>1.1000000000000001</v>
      </c>
      <c r="L2818" s="300">
        <f t="shared" si="403"/>
        <v>0</v>
      </c>
      <c r="M2818" s="285">
        <f t="shared" si="404"/>
        <v>0</v>
      </c>
      <c r="N2818" s="1076">
        <f t="shared" si="405"/>
        <v>0</v>
      </c>
      <c r="O2818" s="294"/>
      <c r="P2818" s="404"/>
      <c r="Q2818" s="404"/>
      <c r="R2818" s="301"/>
      <c r="S2818" s="301"/>
      <c r="T2818" s="301"/>
      <c r="U2818" s="301"/>
      <c r="V2818" s="301"/>
    </row>
    <row r="2819" spans="1:22" ht="14.4" thickTop="1" thickBot="1" x14ac:dyDescent="0.3">
      <c r="A2819" s="292"/>
      <c r="B2819" s="293"/>
      <c r="C2819" s="294"/>
      <c r="D2819" s="294"/>
      <c r="E2819" s="294"/>
      <c r="F2819" s="310"/>
      <c r="G2819" s="310"/>
      <c r="H2819" s="310"/>
      <c r="I2819" s="295"/>
      <c r="J2819" s="295"/>
      <c r="K2819" s="300">
        <f t="shared" si="402"/>
        <v>1.1000000000000001</v>
      </c>
      <c r="L2819" s="300">
        <f t="shared" si="403"/>
        <v>0</v>
      </c>
      <c r="M2819" s="285">
        <f t="shared" si="404"/>
        <v>0</v>
      </c>
      <c r="N2819" s="1076">
        <f t="shared" si="405"/>
        <v>0</v>
      </c>
      <c r="O2819" s="294"/>
      <c r="P2819" s="404"/>
      <c r="Q2819" s="404"/>
      <c r="R2819" s="301"/>
      <c r="S2819" s="301"/>
      <c r="T2819" s="301"/>
      <c r="U2819" s="301"/>
      <c r="V2819" s="301"/>
    </row>
    <row r="2820" spans="1:22" ht="14.4" thickTop="1" thickBot="1" x14ac:dyDescent="0.3">
      <c r="A2820" s="292"/>
      <c r="B2820" s="293"/>
      <c r="C2820" s="294"/>
      <c r="D2820" s="294"/>
      <c r="E2820" s="294"/>
      <c r="F2820" s="310"/>
      <c r="G2820" s="310"/>
      <c r="H2820" s="310"/>
      <c r="I2820" s="295"/>
      <c r="J2820" s="295"/>
      <c r="K2820" s="300">
        <f t="shared" si="402"/>
        <v>1.1000000000000001</v>
      </c>
      <c r="L2820" s="300">
        <f t="shared" si="403"/>
        <v>0</v>
      </c>
      <c r="M2820" s="285">
        <f t="shared" si="404"/>
        <v>0</v>
      </c>
      <c r="N2820" s="1076">
        <f t="shared" si="405"/>
        <v>0</v>
      </c>
      <c r="O2820" s="294"/>
      <c r="P2820" s="404"/>
      <c r="Q2820" s="404"/>
      <c r="R2820" s="301"/>
      <c r="S2820" s="301"/>
      <c r="T2820" s="301"/>
      <c r="U2820" s="301"/>
      <c r="V2820" s="301"/>
    </row>
    <row r="2821" spans="1:22" ht="14.4" thickTop="1" thickBot="1" x14ac:dyDescent="0.3">
      <c r="A2821" s="292"/>
      <c r="B2821" s="293"/>
      <c r="C2821" s="294"/>
      <c r="D2821" s="294"/>
      <c r="E2821" s="294"/>
      <c r="F2821" s="310"/>
      <c r="G2821" s="310"/>
      <c r="H2821" s="310"/>
      <c r="I2821" s="295"/>
      <c r="J2821" s="295"/>
      <c r="K2821" s="300">
        <f t="shared" si="402"/>
        <v>1.1000000000000001</v>
      </c>
      <c r="L2821" s="300">
        <f t="shared" si="403"/>
        <v>0</v>
      </c>
      <c r="M2821" s="285">
        <f t="shared" si="404"/>
        <v>0</v>
      </c>
      <c r="N2821" s="1076">
        <f t="shared" si="405"/>
        <v>0</v>
      </c>
      <c r="O2821" s="294"/>
      <c r="P2821" s="404"/>
      <c r="Q2821" s="404"/>
      <c r="R2821" s="301"/>
      <c r="S2821" s="301"/>
      <c r="T2821" s="301"/>
      <c r="U2821" s="301"/>
      <c r="V2821" s="301"/>
    </row>
    <row r="2822" spans="1:22" ht="14.4" thickTop="1" thickBot="1" x14ac:dyDescent="0.3">
      <c r="A2822" s="292"/>
      <c r="B2822" s="293"/>
      <c r="C2822" s="294"/>
      <c r="D2822" s="294"/>
      <c r="E2822" s="294"/>
      <c r="F2822" s="310"/>
      <c r="G2822" s="310"/>
      <c r="H2822" s="310"/>
      <c r="I2822" s="295"/>
      <c r="J2822" s="295"/>
      <c r="K2822" s="300">
        <f t="shared" si="402"/>
        <v>1.1000000000000001</v>
      </c>
      <c r="L2822" s="300">
        <f t="shared" si="403"/>
        <v>0</v>
      </c>
      <c r="M2822" s="285">
        <f t="shared" si="404"/>
        <v>0</v>
      </c>
      <c r="N2822" s="1076">
        <f t="shared" si="405"/>
        <v>0</v>
      </c>
      <c r="O2822" s="294"/>
      <c r="P2822" s="404"/>
      <c r="Q2822" s="404"/>
      <c r="R2822" s="301"/>
      <c r="S2822" s="301"/>
      <c r="T2822" s="301"/>
      <c r="U2822" s="301"/>
      <c r="V2822" s="301"/>
    </row>
    <row r="2823" spans="1:22" ht="14.4" thickTop="1" thickBot="1" x14ac:dyDescent="0.3">
      <c r="A2823" s="292"/>
      <c r="B2823" s="293"/>
      <c r="C2823" s="294"/>
      <c r="D2823" s="294"/>
      <c r="E2823" s="294"/>
      <c r="F2823" s="310"/>
      <c r="G2823" s="310"/>
      <c r="H2823" s="310"/>
      <c r="I2823" s="295"/>
      <c r="J2823" s="295"/>
      <c r="K2823" s="300">
        <f t="shared" si="402"/>
        <v>1.1000000000000001</v>
      </c>
      <c r="L2823" s="300">
        <f t="shared" si="403"/>
        <v>0</v>
      </c>
      <c r="M2823" s="285">
        <f t="shared" si="404"/>
        <v>0</v>
      </c>
      <c r="N2823" s="1076">
        <f t="shared" si="405"/>
        <v>0</v>
      </c>
      <c r="O2823" s="294"/>
      <c r="P2823" s="404"/>
      <c r="Q2823" s="404"/>
      <c r="R2823" s="301"/>
      <c r="S2823" s="301"/>
      <c r="T2823" s="301"/>
      <c r="U2823" s="301"/>
      <c r="V2823" s="301"/>
    </row>
    <row r="2824" spans="1:22" ht="14.4" thickTop="1" thickBot="1" x14ac:dyDescent="0.3">
      <c r="A2824" s="292"/>
      <c r="B2824" s="293"/>
      <c r="C2824" s="294"/>
      <c r="D2824" s="294"/>
      <c r="E2824" s="294"/>
      <c r="F2824" s="310"/>
      <c r="G2824" s="310"/>
      <c r="H2824" s="310"/>
      <c r="I2824" s="295"/>
      <c r="J2824" s="295"/>
      <c r="K2824" s="300">
        <f t="shared" si="402"/>
        <v>1.1000000000000001</v>
      </c>
      <c r="L2824" s="300">
        <f t="shared" si="403"/>
        <v>0</v>
      </c>
      <c r="M2824" s="285">
        <f t="shared" si="404"/>
        <v>0</v>
      </c>
      <c r="N2824" s="1076">
        <f t="shared" si="405"/>
        <v>0</v>
      </c>
      <c r="O2824" s="294"/>
      <c r="P2824" s="404"/>
      <c r="Q2824" s="404"/>
      <c r="R2824" s="301"/>
      <c r="S2824" s="301"/>
      <c r="T2824" s="301"/>
      <c r="U2824" s="301"/>
      <c r="V2824" s="301"/>
    </row>
    <row r="2825" spans="1:22" ht="14.4" thickTop="1" thickBot="1" x14ac:dyDescent="0.3">
      <c r="A2825" s="292"/>
      <c r="B2825" s="293"/>
      <c r="C2825" s="294"/>
      <c r="D2825" s="294"/>
      <c r="E2825" s="294"/>
      <c r="F2825" s="310"/>
      <c r="G2825" s="310"/>
      <c r="H2825" s="310"/>
      <c r="I2825" s="295"/>
      <c r="J2825" s="295"/>
      <c r="K2825" s="300">
        <f t="shared" si="402"/>
        <v>1.1000000000000001</v>
      </c>
      <c r="L2825" s="300">
        <f t="shared" si="403"/>
        <v>0</v>
      </c>
      <c r="M2825" s="285">
        <f t="shared" si="404"/>
        <v>0</v>
      </c>
      <c r="N2825" s="1076">
        <f t="shared" si="405"/>
        <v>0</v>
      </c>
      <c r="O2825" s="294"/>
      <c r="P2825" s="404"/>
      <c r="Q2825" s="404"/>
      <c r="R2825" s="301"/>
      <c r="S2825" s="301"/>
      <c r="T2825" s="301"/>
      <c r="U2825" s="301"/>
      <c r="V2825" s="301"/>
    </row>
    <row r="2826" spans="1:22" ht="14.4" thickTop="1" thickBot="1" x14ac:dyDescent="0.3">
      <c r="A2826" s="292"/>
      <c r="B2826" s="293"/>
      <c r="C2826" s="294"/>
      <c r="D2826" s="294"/>
      <c r="E2826" s="294"/>
      <c r="F2826" s="310"/>
      <c r="G2826" s="310"/>
      <c r="H2826" s="310"/>
      <c r="I2826" s="295"/>
      <c r="J2826" s="295"/>
      <c r="K2826" s="300">
        <f t="shared" si="402"/>
        <v>1.1000000000000001</v>
      </c>
      <c r="L2826" s="300">
        <f t="shared" si="403"/>
        <v>0</v>
      </c>
      <c r="M2826" s="285">
        <f t="shared" si="404"/>
        <v>0</v>
      </c>
      <c r="N2826" s="1076">
        <f t="shared" si="405"/>
        <v>0</v>
      </c>
      <c r="O2826" s="294"/>
      <c r="P2826" s="404"/>
      <c r="Q2826" s="404"/>
      <c r="R2826" s="301"/>
      <c r="S2826" s="301"/>
      <c r="T2826" s="301"/>
      <c r="U2826" s="301"/>
      <c r="V2826" s="301"/>
    </row>
    <row r="2827" spans="1:22" ht="14.4" thickTop="1" thickBot="1" x14ac:dyDescent="0.3">
      <c r="A2827" s="292"/>
      <c r="B2827" s="293"/>
      <c r="C2827" s="294"/>
      <c r="D2827" s="294"/>
      <c r="E2827" s="294"/>
      <c r="F2827" s="310"/>
      <c r="G2827" s="310"/>
      <c r="H2827" s="310"/>
      <c r="I2827" s="295"/>
      <c r="J2827" s="295"/>
      <c r="K2827" s="300">
        <f t="shared" si="402"/>
        <v>1.1000000000000001</v>
      </c>
      <c r="L2827" s="300">
        <f t="shared" si="403"/>
        <v>0</v>
      </c>
      <c r="M2827" s="285">
        <f t="shared" si="404"/>
        <v>0</v>
      </c>
      <c r="N2827" s="1076">
        <f t="shared" si="405"/>
        <v>0</v>
      </c>
      <c r="O2827" s="294"/>
      <c r="P2827" s="404"/>
      <c r="Q2827" s="404"/>
      <c r="R2827" s="301"/>
      <c r="S2827" s="301"/>
      <c r="T2827" s="301"/>
      <c r="U2827" s="301"/>
      <c r="V2827" s="301"/>
    </row>
    <row r="2828" spans="1:22" ht="14.4" thickTop="1" thickBot="1" x14ac:dyDescent="0.3">
      <c r="A2828" s="292"/>
      <c r="B2828" s="293"/>
      <c r="C2828" s="294"/>
      <c r="D2828" s="294"/>
      <c r="E2828" s="294"/>
      <c r="F2828" s="310"/>
      <c r="G2828" s="310"/>
      <c r="H2828" s="310"/>
      <c r="I2828" s="295"/>
      <c r="J2828" s="295"/>
      <c r="K2828" s="300">
        <f t="shared" si="402"/>
        <v>1.1000000000000001</v>
      </c>
      <c r="L2828" s="300">
        <f t="shared" si="403"/>
        <v>0</v>
      </c>
      <c r="M2828" s="285">
        <f t="shared" si="404"/>
        <v>0</v>
      </c>
      <c r="N2828" s="1076">
        <f t="shared" si="405"/>
        <v>0</v>
      </c>
      <c r="O2828" s="294"/>
      <c r="P2828" s="404"/>
      <c r="Q2828" s="404"/>
      <c r="R2828" s="301"/>
      <c r="S2828" s="301"/>
      <c r="T2828" s="301"/>
      <c r="U2828" s="301"/>
      <c r="V2828" s="301"/>
    </row>
    <row r="2829" spans="1:22" ht="14.4" thickTop="1" thickBot="1" x14ac:dyDescent="0.3">
      <c r="A2829" s="292"/>
      <c r="B2829" s="293"/>
      <c r="C2829" s="294"/>
      <c r="D2829" s="294"/>
      <c r="E2829" s="294"/>
      <c r="F2829" s="310"/>
      <c r="G2829" s="310"/>
      <c r="H2829" s="310"/>
      <c r="I2829" s="295"/>
      <c r="J2829" s="295"/>
      <c r="K2829" s="300">
        <f t="shared" si="402"/>
        <v>1.1000000000000001</v>
      </c>
      <c r="L2829" s="300">
        <f t="shared" si="403"/>
        <v>0</v>
      </c>
      <c r="M2829" s="285">
        <f t="shared" si="404"/>
        <v>0</v>
      </c>
      <c r="N2829" s="1076">
        <f t="shared" si="405"/>
        <v>0</v>
      </c>
      <c r="O2829" s="294"/>
      <c r="P2829" s="404"/>
      <c r="Q2829" s="404"/>
      <c r="R2829" s="301"/>
      <c r="S2829" s="301"/>
      <c r="T2829" s="301"/>
      <c r="U2829" s="301"/>
      <c r="V2829" s="301"/>
    </row>
    <row r="2830" spans="1:22" ht="14.4" thickTop="1" thickBot="1" x14ac:dyDescent="0.3">
      <c r="A2830" s="292"/>
      <c r="B2830" s="293"/>
      <c r="C2830" s="294"/>
      <c r="D2830" s="294"/>
      <c r="E2830" s="294"/>
      <c r="F2830" s="310"/>
      <c r="G2830" s="310"/>
      <c r="H2830" s="310"/>
      <c r="I2830" s="295"/>
      <c r="J2830" s="295"/>
      <c r="K2830" s="300">
        <f t="shared" si="402"/>
        <v>1.1000000000000001</v>
      </c>
      <c r="L2830" s="300">
        <f t="shared" si="403"/>
        <v>0</v>
      </c>
      <c r="M2830" s="285">
        <f t="shared" si="404"/>
        <v>0</v>
      </c>
      <c r="N2830" s="1076">
        <f t="shared" si="405"/>
        <v>0</v>
      </c>
      <c r="O2830" s="294"/>
      <c r="P2830" s="404"/>
      <c r="Q2830" s="404"/>
      <c r="R2830" s="301"/>
      <c r="S2830" s="301"/>
      <c r="T2830" s="301"/>
      <c r="U2830" s="301"/>
      <c r="V2830" s="301"/>
    </row>
    <row r="2831" spans="1:22" ht="14.4" thickTop="1" thickBot="1" x14ac:dyDescent="0.3">
      <c r="A2831" s="292"/>
      <c r="B2831" s="293"/>
      <c r="C2831" s="294"/>
      <c r="D2831" s="294"/>
      <c r="E2831" s="294"/>
      <c r="F2831" s="310"/>
      <c r="G2831" s="310"/>
      <c r="H2831" s="310"/>
      <c r="I2831" s="295"/>
      <c r="J2831" s="295"/>
      <c r="K2831" s="300">
        <f t="shared" si="402"/>
        <v>1.1000000000000001</v>
      </c>
      <c r="L2831" s="300">
        <f t="shared" si="403"/>
        <v>0</v>
      </c>
      <c r="M2831" s="285">
        <f t="shared" si="404"/>
        <v>0</v>
      </c>
      <c r="N2831" s="1076">
        <f t="shared" si="405"/>
        <v>0</v>
      </c>
      <c r="O2831" s="294"/>
      <c r="P2831" s="404"/>
      <c r="Q2831" s="404"/>
      <c r="R2831" s="301"/>
      <c r="S2831" s="301"/>
      <c r="T2831" s="301"/>
      <c r="U2831" s="301"/>
      <c r="V2831" s="301"/>
    </row>
    <row r="2832" spans="1:22" ht="14.4" thickTop="1" thickBot="1" x14ac:dyDescent="0.3">
      <c r="A2832" s="292"/>
      <c r="B2832" s="293"/>
      <c r="C2832" s="294"/>
      <c r="D2832" s="294"/>
      <c r="E2832" s="294"/>
      <c r="F2832" s="310"/>
      <c r="G2832" s="310"/>
      <c r="H2832" s="310"/>
      <c r="I2832" s="295"/>
      <c r="J2832" s="295"/>
      <c r="K2832" s="300">
        <f t="shared" si="402"/>
        <v>1.1000000000000001</v>
      </c>
      <c r="L2832" s="300">
        <f t="shared" si="403"/>
        <v>0</v>
      </c>
      <c r="M2832" s="285">
        <f t="shared" si="404"/>
        <v>0</v>
      </c>
      <c r="N2832" s="1076">
        <f t="shared" si="405"/>
        <v>0</v>
      </c>
      <c r="O2832" s="294"/>
      <c r="P2832" s="404"/>
      <c r="Q2832" s="404"/>
      <c r="R2832" s="301"/>
      <c r="S2832" s="301"/>
      <c r="T2832" s="301"/>
      <c r="U2832" s="301"/>
      <c r="V2832" s="301"/>
    </row>
    <row r="2833" spans="1:22" ht="14.4" thickTop="1" thickBot="1" x14ac:dyDescent="0.3">
      <c r="A2833" s="292"/>
      <c r="B2833" s="293"/>
      <c r="C2833" s="294"/>
      <c r="D2833" s="294"/>
      <c r="E2833" s="294"/>
      <c r="F2833" s="310"/>
      <c r="G2833" s="310"/>
      <c r="H2833" s="310"/>
      <c r="I2833" s="295"/>
      <c r="J2833" s="295"/>
      <c r="K2833" s="300">
        <f t="shared" si="402"/>
        <v>1.1000000000000001</v>
      </c>
      <c r="L2833" s="300">
        <f t="shared" si="403"/>
        <v>0</v>
      </c>
      <c r="M2833" s="285">
        <f t="shared" si="404"/>
        <v>0</v>
      </c>
      <c r="N2833" s="1076">
        <f t="shared" si="405"/>
        <v>0</v>
      </c>
      <c r="O2833" s="294"/>
      <c r="P2833" s="404"/>
      <c r="Q2833" s="404"/>
      <c r="R2833" s="301"/>
      <c r="S2833" s="301"/>
      <c r="T2833" s="301"/>
      <c r="U2833" s="301"/>
      <c r="V2833" s="301"/>
    </row>
    <row r="2834" spans="1:22" ht="14.4" thickTop="1" thickBot="1" x14ac:dyDescent="0.3">
      <c r="A2834" s="292"/>
      <c r="B2834" s="293"/>
      <c r="C2834" s="294"/>
      <c r="D2834" s="294"/>
      <c r="E2834" s="294"/>
      <c r="F2834" s="310"/>
      <c r="G2834" s="310"/>
      <c r="H2834" s="310"/>
      <c r="I2834" s="295"/>
      <c r="J2834" s="295"/>
      <c r="K2834" s="300">
        <f t="shared" si="402"/>
        <v>1.1000000000000001</v>
      </c>
      <c r="L2834" s="300">
        <f t="shared" si="403"/>
        <v>0</v>
      </c>
      <c r="M2834" s="285">
        <f t="shared" si="404"/>
        <v>0</v>
      </c>
      <c r="N2834" s="1076">
        <f t="shared" si="405"/>
        <v>0</v>
      </c>
      <c r="O2834" s="294"/>
      <c r="P2834" s="404"/>
      <c r="Q2834" s="404"/>
      <c r="R2834" s="301"/>
      <c r="S2834" s="301"/>
      <c r="T2834" s="301"/>
      <c r="U2834" s="301"/>
      <c r="V2834" s="301"/>
    </row>
    <row r="2835" spans="1:22" ht="14.4" thickTop="1" thickBot="1" x14ac:dyDescent="0.3">
      <c r="A2835" s="292"/>
      <c r="B2835" s="293"/>
      <c r="C2835" s="294"/>
      <c r="D2835" s="294"/>
      <c r="E2835" s="294"/>
      <c r="F2835" s="310"/>
      <c r="G2835" s="310"/>
      <c r="H2835" s="310"/>
      <c r="I2835" s="295"/>
      <c r="J2835" s="295"/>
      <c r="K2835" s="300">
        <f t="shared" si="402"/>
        <v>1.1000000000000001</v>
      </c>
      <c r="L2835" s="300">
        <f t="shared" si="403"/>
        <v>0</v>
      </c>
      <c r="M2835" s="285">
        <f t="shared" si="404"/>
        <v>0</v>
      </c>
      <c r="N2835" s="1076">
        <f t="shared" si="405"/>
        <v>0</v>
      </c>
      <c r="O2835" s="294"/>
      <c r="P2835" s="404"/>
      <c r="Q2835" s="404"/>
      <c r="R2835" s="301"/>
      <c r="S2835" s="301"/>
      <c r="T2835" s="301"/>
      <c r="U2835" s="301"/>
      <c r="V2835" s="301"/>
    </row>
    <row r="2836" spans="1:22" ht="14.4" thickTop="1" thickBot="1" x14ac:dyDescent="0.3">
      <c r="A2836" s="292"/>
      <c r="B2836" s="293"/>
      <c r="C2836" s="294"/>
      <c r="D2836" s="294"/>
      <c r="E2836" s="294"/>
      <c r="F2836" s="310"/>
      <c r="G2836" s="310"/>
      <c r="H2836" s="310"/>
      <c r="I2836" s="295"/>
      <c r="J2836" s="295"/>
      <c r="K2836" s="300">
        <f t="shared" si="402"/>
        <v>1.1000000000000001</v>
      </c>
      <c r="L2836" s="300">
        <f t="shared" si="403"/>
        <v>0</v>
      </c>
      <c r="M2836" s="285">
        <f t="shared" si="404"/>
        <v>0</v>
      </c>
      <c r="N2836" s="1076">
        <f t="shared" si="405"/>
        <v>0</v>
      </c>
      <c r="O2836" s="294"/>
      <c r="P2836" s="404"/>
      <c r="Q2836" s="404"/>
      <c r="R2836" s="301"/>
      <c r="S2836" s="301"/>
      <c r="T2836" s="301"/>
      <c r="U2836" s="301"/>
      <c r="V2836" s="301"/>
    </row>
    <row r="2837" spans="1:22" ht="14.4" thickTop="1" thickBot="1" x14ac:dyDescent="0.3">
      <c r="A2837" s="292"/>
      <c r="B2837" s="293"/>
      <c r="C2837" s="294"/>
      <c r="D2837" s="294"/>
      <c r="E2837" s="294"/>
      <c r="F2837" s="310"/>
      <c r="G2837" s="310"/>
      <c r="H2837" s="310"/>
      <c r="I2837" s="295"/>
      <c r="J2837" s="295"/>
      <c r="K2837" s="300">
        <f t="shared" si="402"/>
        <v>1.1000000000000001</v>
      </c>
      <c r="L2837" s="300">
        <f t="shared" si="403"/>
        <v>0</v>
      </c>
      <c r="M2837" s="285">
        <f t="shared" si="404"/>
        <v>0</v>
      </c>
      <c r="N2837" s="1076">
        <f t="shared" si="405"/>
        <v>0</v>
      </c>
      <c r="O2837" s="294"/>
      <c r="P2837" s="404"/>
      <c r="Q2837" s="404"/>
      <c r="R2837" s="301"/>
      <c r="S2837" s="301"/>
      <c r="T2837" s="301"/>
      <c r="U2837" s="301"/>
      <c r="V2837" s="301"/>
    </row>
    <row r="2838" spans="1:22" ht="14.4" thickTop="1" thickBot="1" x14ac:dyDescent="0.3">
      <c r="A2838" s="292"/>
      <c r="B2838" s="293"/>
      <c r="C2838" s="294"/>
      <c r="D2838" s="294"/>
      <c r="E2838" s="294"/>
      <c r="F2838" s="310"/>
      <c r="G2838" s="310"/>
      <c r="H2838" s="310"/>
      <c r="I2838" s="295"/>
      <c r="J2838" s="295"/>
      <c r="K2838" s="300">
        <f t="shared" si="402"/>
        <v>1.1000000000000001</v>
      </c>
      <c r="L2838" s="300">
        <f t="shared" si="403"/>
        <v>0</v>
      </c>
      <c r="M2838" s="285">
        <f t="shared" si="404"/>
        <v>0</v>
      </c>
      <c r="N2838" s="1076">
        <f t="shared" si="405"/>
        <v>0</v>
      </c>
      <c r="O2838" s="294"/>
      <c r="P2838" s="404"/>
      <c r="Q2838" s="404"/>
      <c r="R2838" s="301"/>
      <c r="S2838" s="301"/>
      <c r="T2838" s="301"/>
      <c r="U2838" s="301"/>
      <c r="V2838" s="301"/>
    </row>
    <row r="2839" spans="1:22" ht="14.4" thickTop="1" thickBot="1" x14ac:dyDescent="0.3">
      <c r="A2839" s="292"/>
      <c r="B2839" s="293"/>
      <c r="C2839" s="294"/>
      <c r="D2839" s="294"/>
      <c r="E2839" s="294"/>
      <c r="F2839" s="310"/>
      <c r="G2839" s="310"/>
      <c r="H2839" s="310"/>
      <c r="I2839" s="295"/>
      <c r="J2839" s="295"/>
      <c r="K2839" s="300">
        <f t="shared" si="402"/>
        <v>1.1000000000000001</v>
      </c>
      <c r="L2839" s="300">
        <f t="shared" si="403"/>
        <v>0</v>
      </c>
      <c r="M2839" s="285">
        <f t="shared" si="404"/>
        <v>0</v>
      </c>
      <c r="N2839" s="1076">
        <f t="shared" si="405"/>
        <v>0</v>
      </c>
      <c r="O2839" s="294"/>
      <c r="P2839" s="404"/>
      <c r="Q2839" s="404"/>
      <c r="R2839" s="301"/>
      <c r="S2839" s="301"/>
      <c r="T2839" s="301"/>
      <c r="U2839" s="301"/>
      <c r="V2839" s="301"/>
    </row>
    <row r="2840" spans="1:22" ht="14.4" thickTop="1" thickBot="1" x14ac:dyDescent="0.3">
      <c r="A2840" s="292"/>
      <c r="B2840" s="293"/>
      <c r="C2840" s="294"/>
      <c r="D2840" s="294"/>
      <c r="E2840" s="294"/>
      <c r="F2840" s="310"/>
      <c r="G2840" s="310"/>
      <c r="H2840" s="310"/>
      <c r="I2840" s="295"/>
      <c r="J2840" s="295"/>
      <c r="K2840" s="300">
        <f t="shared" si="402"/>
        <v>1.1000000000000001</v>
      </c>
      <c r="L2840" s="300">
        <f t="shared" si="403"/>
        <v>0</v>
      </c>
      <c r="M2840" s="285">
        <f t="shared" si="404"/>
        <v>0</v>
      </c>
      <c r="N2840" s="1076">
        <f t="shared" si="405"/>
        <v>0</v>
      </c>
      <c r="O2840" s="294"/>
      <c r="P2840" s="404"/>
      <c r="Q2840" s="404"/>
      <c r="R2840" s="301"/>
      <c r="S2840" s="301"/>
      <c r="T2840" s="301"/>
      <c r="U2840" s="301"/>
      <c r="V2840" s="301"/>
    </row>
    <row r="2841" spans="1:22" ht="14.4" thickTop="1" thickBot="1" x14ac:dyDescent="0.3">
      <c r="A2841" s="292"/>
      <c r="B2841" s="293"/>
      <c r="C2841" s="294"/>
      <c r="D2841" s="294"/>
      <c r="E2841" s="294"/>
      <c r="F2841" s="310"/>
      <c r="G2841" s="310"/>
      <c r="H2841" s="310"/>
      <c r="I2841" s="295"/>
      <c r="J2841" s="295"/>
      <c r="K2841" s="300">
        <f t="shared" si="402"/>
        <v>1.1000000000000001</v>
      </c>
      <c r="L2841" s="300">
        <f t="shared" si="403"/>
        <v>0</v>
      </c>
      <c r="M2841" s="285">
        <f t="shared" si="404"/>
        <v>0</v>
      </c>
      <c r="N2841" s="1076">
        <f t="shared" si="405"/>
        <v>0</v>
      </c>
      <c r="O2841" s="294"/>
      <c r="P2841" s="404"/>
      <c r="Q2841" s="404"/>
      <c r="R2841" s="301"/>
      <c r="S2841" s="301"/>
      <c r="T2841" s="301"/>
      <c r="U2841" s="301"/>
      <c r="V2841" s="301"/>
    </row>
    <row r="2842" spans="1:22" ht="14.4" thickTop="1" thickBot="1" x14ac:dyDescent="0.3">
      <c r="A2842" s="292"/>
      <c r="B2842" s="293"/>
      <c r="C2842" s="294"/>
      <c r="D2842" s="294"/>
      <c r="E2842" s="294"/>
      <c r="F2842" s="310"/>
      <c r="G2842" s="310"/>
      <c r="H2842" s="310"/>
      <c r="I2842" s="295"/>
      <c r="J2842" s="295"/>
      <c r="K2842" s="300">
        <f t="shared" si="402"/>
        <v>1.1000000000000001</v>
      </c>
      <c r="L2842" s="300">
        <f t="shared" si="403"/>
        <v>0</v>
      </c>
      <c r="M2842" s="285">
        <f t="shared" si="404"/>
        <v>0</v>
      </c>
      <c r="N2842" s="1076">
        <f t="shared" si="405"/>
        <v>0</v>
      </c>
      <c r="O2842" s="294"/>
      <c r="P2842" s="404"/>
      <c r="Q2842" s="404"/>
      <c r="R2842" s="301"/>
      <c r="S2842" s="301"/>
      <c r="T2842" s="301"/>
      <c r="U2842" s="301"/>
      <c r="V2842" s="301"/>
    </row>
    <row r="2843" spans="1:22" ht="14.4" thickTop="1" thickBot="1" x14ac:dyDescent="0.3">
      <c r="A2843" s="292"/>
      <c r="B2843" s="293"/>
      <c r="C2843" s="294"/>
      <c r="D2843" s="294"/>
      <c r="E2843" s="294"/>
      <c r="F2843" s="310"/>
      <c r="G2843" s="310"/>
      <c r="H2843" s="310"/>
      <c r="I2843" s="295"/>
      <c r="J2843" s="295"/>
      <c r="K2843" s="300">
        <f t="shared" si="402"/>
        <v>1.1000000000000001</v>
      </c>
      <c r="L2843" s="300">
        <f t="shared" si="403"/>
        <v>0</v>
      </c>
      <c r="M2843" s="285">
        <f t="shared" si="404"/>
        <v>0</v>
      </c>
      <c r="N2843" s="1076">
        <f t="shared" si="405"/>
        <v>0</v>
      </c>
      <c r="O2843" s="294"/>
      <c r="P2843" s="404"/>
      <c r="Q2843" s="404"/>
      <c r="R2843" s="301"/>
      <c r="S2843" s="301"/>
      <c r="T2843" s="301"/>
      <c r="U2843" s="301"/>
      <c r="V2843" s="301"/>
    </row>
    <row r="2844" spans="1:22" ht="14.4" thickTop="1" thickBot="1" x14ac:dyDescent="0.3">
      <c r="A2844" s="292"/>
      <c r="B2844" s="293"/>
      <c r="C2844" s="294"/>
      <c r="D2844" s="294"/>
      <c r="E2844" s="294"/>
      <c r="F2844" s="310"/>
      <c r="G2844" s="310"/>
      <c r="H2844" s="310"/>
      <c r="I2844" s="295"/>
      <c r="J2844" s="295"/>
      <c r="K2844" s="300">
        <f t="shared" si="402"/>
        <v>1.1000000000000001</v>
      </c>
      <c r="L2844" s="300">
        <f t="shared" si="403"/>
        <v>0</v>
      </c>
      <c r="M2844" s="285">
        <f t="shared" si="404"/>
        <v>0</v>
      </c>
      <c r="N2844" s="1076">
        <f t="shared" si="405"/>
        <v>0</v>
      </c>
      <c r="O2844" s="294"/>
      <c r="P2844" s="404"/>
      <c r="Q2844" s="404"/>
      <c r="R2844" s="301"/>
      <c r="S2844" s="301"/>
      <c r="T2844" s="301"/>
      <c r="U2844" s="301"/>
      <c r="V2844" s="301"/>
    </row>
    <row r="2845" spans="1:22" ht="14.4" thickTop="1" thickBot="1" x14ac:dyDescent="0.3">
      <c r="A2845" s="292"/>
      <c r="B2845" s="293"/>
      <c r="C2845" s="294"/>
      <c r="D2845" s="294"/>
      <c r="E2845" s="294"/>
      <c r="F2845" s="310"/>
      <c r="G2845" s="310"/>
      <c r="H2845" s="310"/>
      <c r="I2845" s="295"/>
      <c r="J2845" s="295"/>
      <c r="K2845" s="300">
        <f t="shared" si="402"/>
        <v>1.1000000000000001</v>
      </c>
      <c r="L2845" s="300">
        <f t="shared" si="403"/>
        <v>0</v>
      </c>
      <c r="M2845" s="285">
        <f t="shared" si="404"/>
        <v>0</v>
      </c>
      <c r="N2845" s="1076">
        <f t="shared" si="405"/>
        <v>0</v>
      </c>
      <c r="O2845" s="294"/>
      <c r="P2845" s="404"/>
      <c r="Q2845" s="404"/>
      <c r="R2845" s="301"/>
      <c r="S2845" s="301"/>
      <c r="T2845" s="301"/>
      <c r="U2845" s="301"/>
      <c r="V2845" s="301"/>
    </row>
    <row r="2846" spans="1:22" ht="14.4" thickTop="1" thickBot="1" x14ac:dyDescent="0.3">
      <c r="A2846" s="292"/>
      <c r="B2846" s="293"/>
      <c r="C2846" s="294"/>
      <c r="D2846" s="294"/>
      <c r="E2846" s="294"/>
      <c r="F2846" s="310"/>
      <c r="G2846" s="310"/>
      <c r="H2846" s="310"/>
      <c r="I2846" s="295"/>
      <c r="J2846" s="295"/>
      <c r="K2846" s="300">
        <f t="shared" si="402"/>
        <v>1.1000000000000001</v>
      </c>
      <c r="L2846" s="300">
        <f t="shared" si="403"/>
        <v>0</v>
      </c>
      <c r="M2846" s="285">
        <f t="shared" si="404"/>
        <v>0</v>
      </c>
      <c r="N2846" s="1076">
        <f t="shared" si="405"/>
        <v>0</v>
      </c>
      <c r="O2846" s="294"/>
      <c r="P2846" s="404"/>
      <c r="Q2846" s="404"/>
      <c r="R2846" s="301"/>
      <c r="S2846" s="301"/>
      <c r="T2846" s="301"/>
      <c r="U2846" s="301"/>
      <c r="V2846" s="301"/>
    </row>
    <row r="2847" spans="1:22" ht="14.4" thickTop="1" thickBot="1" x14ac:dyDescent="0.3">
      <c r="A2847" s="292"/>
      <c r="B2847" s="293"/>
      <c r="C2847" s="294"/>
      <c r="D2847" s="294"/>
      <c r="E2847" s="294"/>
      <c r="F2847" s="310"/>
      <c r="G2847" s="310"/>
      <c r="H2847" s="310"/>
      <c r="I2847" s="295"/>
      <c r="J2847" s="295"/>
      <c r="K2847" s="300">
        <f t="shared" si="402"/>
        <v>1.1000000000000001</v>
      </c>
      <c r="L2847" s="300">
        <f t="shared" si="403"/>
        <v>0</v>
      </c>
      <c r="M2847" s="285">
        <f t="shared" si="404"/>
        <v>0</v>
      </c>
      <c r="N2847" s="1076">
        <f t="shared" si="405"/>
        <v>0</v>
      </c>
      <c r="O2847" s="294"/>
      <c r="P2847" s="404"/>
      <c r="Q2847" s="404"/>
      <c r="R2847" s="301"/>
      <c r="S2847" s="301"/>
      <c r="T2847" s="301"/>
      <c r="U2847" s="301"/>
      <c r="V2847" s="301"/>
    </row>
    <row r="2848" spans="1:22" ht="14.4" thickTop="1" thickBot="1" x14ac:dyDescent="0.3">
      <c r="A2848" s="292"/>
      <c r="B2848" s="293"/>
      <c r="C2848" s="294"/>
      <c r="D2848" s="294"/>
      <c r="E2848" s="294"/>
      <c r="F2848" s="310"/>
      <c r="G2848" s="310"/>
      <c r="H2848" s="310"/>
      <c r="I2848" s="295"/>
      <c r="J2848" s="295"/>
      <c r="K2848" s="300">
        <f t="shared" si="402"/>
        <v>1.1000000000000001</v>
      </c>
      <c r="L2848" s="300">
        <f t="shared" si="403"/>
        <v>0</v>
      </c>
      <c r="M2848" s="285">
        <f t="shared" si="404"/>
        <v>0</v>
      </c>
      <c r="N2848" s="1076">
        <f t="shared" si="405"/>
        <v>0</v>
      </c>
      <c r="O2848" s="294"/>
      <c r="P2848" s="404"/>
      <c r="Q2848" s="404"/>
      <c r="R2848" s="301"/>
      <c r="S2848" s="301"/>
      <c r="T2848" s="301"/>
      <c r="U2848" s="301"/>
      <c r="V2848" s="301"/>
    </row>
    <row r="2849" spans="1:22" ht="14.4" thickTop="1" thickBot="1" x14ac:dyDescent="0.3">
      <c r="A2849" s="292"/>
      <c r="B2849" s="293"/>
      <c r="C2849" s="294"/>
      <c r="D2849" s="294"/>
      <c r="E2849" s="294"/>
      <c r="F2849" s="310"/>
      <c r="G2849" s="310"/>
      <c r="H2849" s="310"/>
      <c r="I2849" s="295"/>
      <c r="J2849" s="295"/>
      <c r="K2849" s="300">
        <f t="shared" si="402"/>
        <v>1.1000000000000001</v>
      </c>
      <c r="L2849" s="300">
        <f t="shared" si="403"/>
        <v>0</v>
      </c>
      <c r="M2849" s="285">
        <f t="shared" si="404"/>
        <v>0</v>
      </c>
      <c r="N2849" s="1076">
        <f t="shared" si="405"/>
        <v>0</v>
      </c>
      <c r="O2849" s="294"/>
      <c r="P2849" s="404"/>
      <c r="Q2849" s="404"/>
      <c r="R2849" s="301"/>
      <c r="S2849" s="301"/>
      <c r="T2849" s="301"/>
      <c r="U2849" s="301"/>
      <c r="V2849" s="301"/>
    </row>
    <row r="2850" spans="1:22" ht="14.4" thickTop="1" thickBot="1" x14ac:dyDescent="0.3">
      <c r="A2850" s="292"/>
      <c r="B2850" s="293"/>
      <c r="C2850" s="294"/>
      <c r="D2850" s="294"/>
      <c r="E2850" s="294"/>
      <c r="F2850" s="310"/>
      <c r="G2850" s="310"/>
      <c r="H2850" s="310"/>
      <c r="I2850" s="295"/>
      <c r="J2850" s="295"/>
      <c r="K2850" s="300">
        <f t="shared" si="402"/>
        <v>1.1000000000000001</v>
      </c>
      <c r="L2850" s="300">
        <f t="shared" si="403"/>
        <v>0</v>
      </c>
      <c r="M2850" s="285">
        <f t="shared" si="404"/>
        <v>0</v>
      </c>
      <c r="N2850" s="1076">
        <f t="shared" si="405"/>
        <v>0</v>
      </c>
      <c r="O2850" s="294"/>
      <c r="P2850" s="404"/>
      <c r="Q2850" s="404"/>
      <c r="R2850" s="301"/>
      <c r="S2850" s="301"/>
      <c r="T2850" s="301"/>
      <c r="U2850" s="301"/>
      <c r="V2850" s="301"/>
    </row>
    <row r="2851" spans="1:22" ht="14.4" thickTop="1" thickBot="1" x14ac:dyDescent="0.3">
      <c r="A2851" s="292"/>
      <c r="B2851" s="293"/>
      <c r="C2851" s="294"/>
      <c r="D2851" s="294"/>
      <c r="E2851" s="294"/>
      <c r="F2851" s="310"/>
      <c r="G2851" s="310"/>
      <c r="H2851" s="310"/>
      <c r="I2851" s="295"/>
      <c r="J2851" s="295"/>
      <c r="K2851" s="300">
        <f t="shared" si="402"/>
        <v>1.1000000000000001</v>
      </c>
      <c r="L2851" s="300">
        <f t="shared" si="403"/>
        <v>0</v>
      </c>
      <c r="M2851" s="285">
        <f t="shared" si="404"/>
        <v>0</v>
      </c>
      <c r="N2851" s="1076">
        <f t="shared" si="405"/>
        <v>0</v>
      </c>
      <c r="O2851" s="294"/>
      <c r="P2851" s="404"/>
      <c r="Q2851" s="404"/>
      <c r="R2851" s="301"/>
      <c r="S2851" s="301"/>
      <c r="T2851" s="301"/>
      <c r="U2851" s="301"/>
      <c r="V2851" s="301"/>
    </row>
    <row r="2852" spans="1:22" ht="14.4" thickTop="1" thickBot="1" x14ac:dyDescent="0.3">
      <c r="A2852" s="292"/>
      <c r="B2852" s="293"/>
      <c r="C2852" s="294"/>
      <c r="D2852" s="294"/>
      <c r="E2852" s="294"/>
      <c r="F2852" s="310"/>
      <c r="G2852" s="310"/>
      <c r="H2852" s="310"/>
      <c r="I2852" s="295"/>
      <c r="J2852" s="295"/>
      <c r="K2852" s="300">
        <f t="shared" ref="K2852:K2915" si="406">$K$2</f>
        <v>1.1000000000000001</v>
      </c>
      <c r="L2852" s="300">
        <f t="shared" si="403"/>
        <v>0</v>
      </c>
      <c r="M2852" s="285">
        <f t="shared" si="404"/>
        <v>0</v>
      </c>
      <c r="N2852" s="1076">
        <f t="shared" si="405"/>
        <v>0</v>
      </c>
      <c r="O2852" s="294"/>
      <c r="P2852" s="404"/>
      <c r="Q2852" s="404"/>
      <c r="R2852" s="301"/>
      <c r="S2852" s="301"/>
      <c r="T2852" s="301"/>
      <c r="U2852" s="301"/>
      <c r="V2852" s="301"/>
    </row>
    <row r="2853" spans="1:22" ht="14.4" thickTop="1" thickBot="1" x14ac:dyDescent="0.3">
      <c r="A2853" s="292"/>
      <c r="B2853" s="293"/>
      <c r="C2853" s="294"/>
      <c r="D2853" s="294"/>
      <c r="E2853" s="294"/>
      <c r="F2853" s="310"/>
      <c r="G2853" s="310"/>
      <c r="H2853" s="310"/>
      <c r="I2853" s="295"/>
      <c r="J2853" s="295"/>
      <c r="K2853" s="300">
        <f t="shared" si="406"/>
        <v>1.1000000000000001</v>
      </c>
      <c r="L2853" s="300">
        <f t="shared" si="403"/>
        <v>0</v>
      </c>
      <c r="M2853" s="285">
        <f t="shared" si="404"/>
        <v>0</v>
      </c>
      <c r="N2853" s="1076">
        <f t="shared" si="405"/>
        <v>0</v>
      </c>
      <c r="O2853" s="294"/>
      <c r="P2853" s="404"/>
      <c r="Q2853" s="404"/>
      <c r="R2853" s="301"/>
      <c r="S2853" s="301"/>
      <c r="T2853" s="301"/>
      <c r="U2853" s="301"/>
      <c r="V2853" s="301"/>
    </row>
    <row r="2854" spans="1:22" ht="14.4" thickTop="1" thickBot="1" x14ac:dyDescent="0.3">
      <c r="A2854" s="292"/>
      <c r="B2854" s="293"/>
      <c r="C2854" s="294"/>
      <c r="D2854" s="294"/>
      <c r="E2854" s="294"/>
      <c r="F2854" s="310"/>
      <c r="G2854" s="310"/>
      <c r="H2854" s="310"/>
      <c r="I2854" s="295"/>
      <c r="J2854" s="295"/>
      <c r="K2854" s="300">
        <f t="shared" si="406"/>
        <v>1.1000000000000001</v>
      </c>
      <c r="L2854" s="300">
        <f t="shared" si="403"/>
        <v>0</v>
      </c>
      <c r="M2854" s="285">
        <f t="shared" si="404"/>
        <v>0</v>
      </c>
      <c r="N2854" s="1076">
        <f t="shared" si="405"/>
        <v>0</v>
      </c>
      <c r="O2854" s="294"/>
      <c r="P2854" s="404"/>
      <c r="Q2854" s="404"/>
      <c r="R2854" s="301"/>
      <c r="S2854" s="301"/>
      <c r="T2854" s="301"/>
      <c r="U2854" s="301"/>
      <c r="V2854" s="301"/>
    </row>
    <row r="2855" spans="1:22" ht="14.4" thickTop="1" thickBot="1" x14ac:dyDescent="0.3">
      <c r="A2855" s="292"/>
      <c r="B2855" s="293"/>
      <c r="C2855" s="294"/>
      <c r="D2855" s="294"/>
      <c r="E2855" s="294"/>
      <c r="F2855" s="310"/>
      <c r="G2855" s="310"/>
      <c r="H2855" s="310"/>
      <c r="I2855" s="295"/>
      <c r="J2855" s="295"/>
      <c r="K2855" s="300">
        <f t="shared" si="406"/>
        <v>1.1000000000000001</v>
      </c>
      <c r="L2855" s="300">
        <f t="shared" si="403"/>
        <v>0</v>
      </c>
      <c r="M2855" s="285">
        <f t="shared" si="404"/>
        <v>0</v>
      </c>
      <c r="N2855" s="1076">
        <f t="shared" si="405"/>
        <v>0</v>
      </c>
      <c r="O2855" s="294"/>
      <c r="P2855" s="404"/>
      <c r="Q2855" s="404"/>
      <c r="R2855" s="301"/>
      <c r="S2855" s="301"/>
      <c r="T2855" s="301"/>
      <c r="U2855" s="301"/>
      <c r="V2855" s="301"/>
    </row>
    <row r="2856" spans="1:22" ht="14.4" thickTop="1" thickBot="1" x14ac:dyDescent="0.3">
      <c r="A2856" s="292"/>
      <c r="B2856" s="293"/>
      <c r="C2856" s="294"/>
      <c r="D2856" s="294"/>
      <c r="E2856" s="294"/>
      <c r="F2856" s="310"/>
      <c r="G2856" s="310"/>
      <c r="H2856" s="310"/>
      <c r="I2856" s="295"/>
      <c r="J2856" s="295"/>
      <c r="K2856" s="300">
        <f t="shared" si="406"/>
        <v>1.1000000000000001</v>
      </c>
      <c r="L2856" s="300">
        <f t="shared" si="403"/>
        <v>0</v>
      </c>
      <c r="M2856" s="285">
        <f t="shared" si="404"/>
        <v>0</v>
      </c>
      <c r="N2856" s="1076">
        <f t="shared" si="405"/>
        <v>0</v>
      </c>
      <c r="O2856" s="294"/>
      <c r="P2856" s="404"/>
      <c r="Q2856" s="404"/>
      <c r="R2856" s="301"/>
      <c r="S2856" s="301"/>
      <c r="T2856" s="301"/>
      <c r="U2856" s="301"/>
      <c r="V2856" s="301"/>
    </row>
    <row r="2857" spans="1:22" ht="14.4" thickTop="1" thickBot="1" x14ac:dyDescent="0.3">
      <c r="A2857" s="292"/>
      <c r="B2857" s="293"/>
      <c r="C2857" s="294"/>
      <c r="D2857" s="294"/>
      <c r="E2857" s="294"/>
      <c r="F2857" s="310"/>
      <c r="G2857" s="310"/>
      <c r="H2857" s="310"/>
      <c r="I2857" s="295"/>
      <c r="J2857" s="295"/>
      <c r="K2857" s="300">
        <f t="shared" si="406"/>
        <v>1.1000000000000001</v>
      </c>
      <c r="L2857" s="300">
        <f t="shared" si="403"/>
        <v>0</v>
      </c>
      <c r="M2857" s="285">
        <f t="shared" si="404"/>
        <v>0</v>
      </c>
      <c r="N2857" s="1076">
        <f t="shared" si="405"/>
        <v>0</v>
      </c>
      <c r="O2857" s="294"/>
      <c r="P2857" s="404"/>
      <c r="Q2857" s="404"/>
      <c r="R2857" s="301"/>
      <c r="S2857" s="301"/>
      <c r="T2857" s="301"/>
      <c r="U2857" s="301"/>
      <c r="V2857" s="301"/>
    </row>
    <row r="2858" spans="1:22" ht="14.4" thickTop="1" thickBot="1" x14ac:dyDescent="0.3">
      <c r="A2858" s="292"/>
      <c r="B2858" s="293"/>
      <c r="C2858" s="294"/>
      <c r="D2858" s="294"/>
      <c r="E2858" s="294"/>
      <c r="F2858" s="310"/>
      <c r="G2858" s="310"/>
      <c r="H2858" s="310"/>
      <c r="I2858" s="295"/>
      <c r="J2858" s="295"/>
      <c r="K2858" s="300">
        <f t="shared" si="406"/>
        <v>1.1000000000000001</v>
      </c>
      <c r="L2858" s="300">
        <f t="shared" si="403"/>
        <v>0</v>
      </c>
      <c r="M2858" s="285">
        <f t="shared" si="404"/>
        <v>0</v>
      </c>
      <c r="N2858" s="1076">
        <f t="shared" si="405"/>
        <v>0</v>
      </c>
      <c r="O2858" s="294"/>
      <c r="P2858" s="404"/>
      <c r="Q2858" s="404"/>
      <c r="R2858" s="301"/>
      <c r="S2858" s="301"/>
      <c r="T2858" s="301"/>
      <c r="U2858" s="301"/>
      <c r="V2858" s="301"/>
    </row>
    <row r="2859" spans="1:22" ht="14.4" thickTop="1" thickBot="1" x14ac:dyDescent="0.3">
      <c r="A2859" s="292"/>
      <c r="B2859" s="293"/>
      <c r="C2859" s="294"/>
      <c r="D2859" s="294"/>
      <c r="E2859" s="294"/>
      <c r="F2859" s="310"/>
      <c r="G2859" s="310"/>
      <c r="H2859" s="310"/>
      <c r="I2859" s="295"/>
      <c r="J2859" s="295"/>
      <c r="K2859" s="300">
        <f t="shared" si="406"/>
        <v>1.1000000000000001</v>
      </c>
      <c r="L2859" s="300">
        <f t="shared" si="403"/>
        <v>0</v>
      </c>
      <c r="M2859" s="285">
        <f t="shared" si="404"/>
        <v>0</v>
      </c>
      <c r="N2859" s="1076">
        <f t="shared" si="405"/>
        <v>0</v>
      </c>
      <c r="O2859" s="294"/>
      <c r="P2859" s="404"/>
      <c r="Q2859" s="404"/>
      <c r="R2859" s="301"/>
      <c r="S2859" s="301"/>
      <c r="T2859" s="301"/>
      <c r="U2859" s="301"/>
      <c r="V2859" s="301"/>
    </row>
    <row r="2860" spans="1:22" ht="14.4" thickTop="1" thickBot="1" x14ac:dyDescent="0.3">
      <c r="A2860" s="292"/>
      <c r="B2860" s="293"/>
      <c r="C2860" s="294"/>
      <c r="D2860" s="294"/>
      <c r="E2860" s="294"/>
      <c r="F2860" s="310"/>
      <c r="G2860" s="310"/>
      <c r="H2860" s="310"/>
      <c r="I2860" s="295"/>
      <c r="J2860" s="295"/>
      <c r="K2860" s="300">
        <f t="shared" si="406"/>
        <v>1.1000000000000001</v>
      </c>
      <c r="L2860" s="300">
        <f t="shared" si="403"/>
        <v>0</v>
      </c>
      <c r="M2860" s="285">
        <f t="shared" si="404"/>
        <v>0</v>
      </c>
      <c r="N2860" s="1076">
        <f t="shared" si="405"/>
        <v>0</v>
      </c>
      <c r="O2860" s="294"/>
      <c r="P2860" s="404"/>
      <c r="Q2860" s="404"/>
      <c r="R2860" s="301"/>
      <c r="S2860" s="301"/>
      <c r="T2860" s="301"/>
      <c r="U2860" s="301"/>
      <c r="V2860" s="301"/>
    </row>
    <row r="2861" spans="1:22" ht="14.4" thickTop="1" thickBot="1" x14ac:dyDescent="0.3">
      <c r="A2861" s="292"/>
      <c r="B2861" s="293"/>
      <c r="C2861" s="294"/>
      <c r="D2861" s="294"/>
      <c r="E2861" s="294"/>
      <c r="F2861" s="310"/>
      <c r="G2861" s="310"/>
      <c r="H2861" s="310"/>
      <c r="I2861" s="295"/>
      <c r="J2861" s="295"/>
      <c r="K2861" s="300">
        <f t="shared" si="406"/>
        <v>1.1000000000000001</v>
      </c>
      <c r="L2861" s="300">
        <f t="shared" si="403"/>
        <v>0</v>
      </c>
      <c r="M2861" s="285">
        <f t="shared" si="404"/>
        <v>0</v>
      </c>
      <c r="N2861" s="1076">
        <f t="shared" si="405"/>
        <v>0</v>
      </c>
      <c r="O2861" s="294"/>
      <c r="P2861" s="404"/>
      <c r="Q2861" s="404"/>
      <c r="R2861" s="301"/>
      <c r="S2861" s="301"/>
      <c r="T2861" s="301"/>
      <c r="U2861" s="301"/>
      <c r="V2861" s="301"/>
    </row>
    <row r="2862" spans="1:22" ht="14.4" thickTop="1" thickBot="1" x14ac:dyDescent="0.3">
      <c r="A2862" s="292"/>
      <c r="B2862" s="293"/>
      <c r="C2862" s="294"/>
      <c r="D2862" s="294"/>
      <c r="E2862" s="294"/>
      <c r="F2862" s="310"/>
      <c r="G2862" s="310"/>
      <c r="H2862" s="310"/>
      <c r="I2862" s="295"/>
      <c r="J2862" s="295"/>
      <c r="K2862" s="300">
        <f t="shared" si="406"/>
        <v>1.1000000000000001</v>
      </c>
      <c r="L2862" s="300">
        <f t="shared" ref="L2862:L2925" si="407">K2862*J2862</f>
        <v>0</v>
      </c>
      <c r="M2862" s="285">
        <f t="shared" si="404"/>
        <v>0</v>
      </c>
      <c r="N2862" s="1076">
        <f t="shared" si="405"/>
        <v>0</v>
      </c>
      <c r="O2862" s="294"/>
      <c r="P2862" s="404"/>
      <c r="Q2862" s="404"/>
      <c r="R2862" s="301"/>
      <c r="S2862" s="301"/>
      <c r="T2862" s="301"/>
      <c r="U2862" s="301"/>
      <c r="V2862" s="301"/>
    </row>
    <row r="2863" spans="1:22" ht="14.4" thickTop="1" thickBot="1" x14ac:dyDescent="0.3">
      <c r="A2863" s="292"/>
      <c r="B2863" s="293"/>
      <c r="C2863" s="294"/>
      <c r="D2863" s="294"/>
      <c r="E2863" s="294"/>
      <c r="F2863" s="310"/>
      <c r="G2863" s="310"/>
      <c r="H2863" s="310"/>
      <c r="I2863" s="295"/>
      <c r="J2863" s="295"/>
      <c r="K2863" s="300">
        <f t="shared" si="406"/>
        <v>1.1000000000000001</v>
      </c>
      <c r="L2863" s="300">
        <f t="shared" si="407"/>
        <v>0</v>
      </c>
      <c r="M2863" s="285">
        <f t="shared" si="404"/>
        <v>0</v>
      </c>
      <c r="N2863" s="1076">
        <f t="shared" si="405"/>
        <v>0</v>
      </c>
      <c r="O2863" s="294"/>
      <c r="P2863" s="404"/>
      <c r="Q2863" s="404"/>
      <c r="R2863" s="301"/>
      <c r="S2863" s="301"/>
      <c r="T2863" s="301"/>
      <c r="U2863" s="301"/>
      <c r="V2863" s="301"/>
    </row>
    <row r="2864" spans="1:22" ht="14.4" thickTop="1" thickBot="1" x14ac:dyDescent="0.3">
      <c r="A2864" s="292"/>
      <c r="B2864" s="293"/>
      <c r="C2864" s="294"/>
      <c r="D2864" s="294"/>
      <c r="E2864" s="294"/>
      <c r="F2864" s="310"/>
      <c r="G2864" s="310"/>
      <c r="H2864" s="310"/>
      <c r="I2864" s="295"/>
      <c r="J2864" s="295"/>
      <c r="K2864" s="300">
        <f t="shared" si="406"/>
        <v>1.1000000000000001</v>
      </c>
      <c r="L2864" s="300">
        <f t="shared" si="407"/>
        <v>0</v>
      </c>
      <c r="M2864" s="285">
        <f t="shared" ref="M2864:M2927" si="408">ROUND(L2864,1)</f>
        <v>0</v>
      </c>
      <c r="N2864" s="1076">
        <f t="shared" ref="N2864:N2927" si="409">ROUNDUP(M2864,0)</f>
        <v>0</v>
      </c>
      <c r="O2864" s="294"/>
      <c r="P2864" s="404"/>
      <c r="Q2864" s="404"/>
      <c r="R2864" s="301"/>
      <c r="S2864" s="301"/>
      <c r="T2864" s="301"/>
      <c r="U2864" s="301"/>
      <c r="V2864" s="301"/>
    </row>
    <row r="2865" spans="1:22" ht="14.4" thickTop="1" thickBot="1" x14ac:dyDescent="0.3">
      <c r="A2865" s="292"/>
      <c r="B2865" s="293"/>
      <c r="C2865" s="294"/>
      <c r="D2865" s="294"/>
      <c r="E2865" s="294"/>
      <c r="F2865" s="310"/>
      <c r="G2865" s="310"/>
      <c r="H2865" s="310"/>
      <c r="I2865" s="295"/>
      <c r="J2865" s="295"/>
      <c r="K2865" s="300">
        <f t="shared" si="406"/>
        <v>1.1000000000000001</v>
      </c>
      <c r="L2865" s="300">
        <f t="shared" si="407"/>
        <v>0</v>
      </c>
      <c r="M2865" s="285">
        <f t="shared" si="408"/>
        <v>0</v>
      </c>
      <c r="N2865" s="1076">
        <f t="shared" si="409"/>
        <v>0</v>
      </c>
      <c r="O2865" s="294"/>
      <c r="P2865" s="404"/>
      <c r="Q2865" s="404"/>
      <c r="R2865" s="301"/>
      <c r="S2865" s="301"/>
      <c r="T2865" s="301"/>
      <c r="U2865" s="301"/>
      <c r="V2865" s="301"/>
    </row>
    <row r="2866" spans="1:22" ht="14.4" thickTop="1" thickBot="1" x14ac:dyDescent="0.3">
      <c r="A2866" s="292"/>
      <c r="B2866" s="293"/>
      <c r="C2866" s="294"/>
      <c r="D2866" s="294"/>
      <c r="E2866" s="294"/>
      <c r="F2866" s="310"/>
      <c r="G2866" s="310"/>
      <c r="H2866" s="310"/>
      <c r="I2866" s="295"/>
      <c r="J2866" s="295"/>
      <c r="K2866" s="300">
        <f t="shared" si="406"/>
        <v>1.1000000000000001</v>
      </c>
      <c r="L2866" s="300">
        <f t="shared" si="407"/>
        <v>0</v>
      </c>
      <c r="M2866" s="285">
        <f t="shared" si="408"/>
        <v>0</v>
      </c>
      <c r="N2866" s="1076">
        <f t="shared" si="409"/>
        <v>0</v>
      </c>
      <c r="O2866" s="294"/>
      <c r="P2866" s="404"/>
      <c r="Q2866" s="404"/>
      <c r="R2866" s="301"/>
      <c r="S2866" s="301"/>
      <c r="T2866" s="301"/>
      <c r="U2866" s="301"/>
      <c r="V2866" s="301"/>
    </row>
    <row r="2867" spans="1:22" ht="14.4" thickTop="1" thickBot="1" x14ac:dyDescent="0.3">
      <c r="A2867" s="292"/>
      <c r="B2867" s="293"/>
      <c r="C2867" s="294"/>
      <c r="D2867" s="294"/>
      <c r="E2867" s="294"/>
      <c r="F2867" s="310"/>
      <c r="G2867" s="310"/>
      <c r="H2867" s="310"/>
      <c r="I2867" s="295"/>
      <c r="J2867" s="295"/>
      <c r="K2867" s="300">
        <f t="shared" si="406"/>
        <v>1.1000000000000001</v>
      </c>
      <c r="L2867" s="300">
        <f t="shared" si="407"/>
        <v>0</v>
      </c>
      <c r="M2867" s="285">
        <f t="shared" si="408"/>
        <v>0</v>
      </c>
      <c r="N2867" s="1076">
        <f t="shared" si="409"/>
        <v>0</v>
      </c>
      <c r="O2867" s="294"/>
      <c r="P2867" s="404"/>
      <c r="Q2867" s="404"/>
      <c r="R2867" s="301"/>
      <c r="S2867" s="301"/>
      <c r="T2867" s="301"/>
      <c r="U2867" s="301"/>
      <c r="V2867" s="301"/>
    </row>
    <row r="2868" spans="1:22" ht="14.4" thickTop="1" thickBot="1" x14ac:dyDescent="0.3">
      <c r="A2868" s="292"/>
      <c r="B2868" s="293"/>
      <c r="C2868" s="294"/>
      <c r="D2868" s="294"/>
      <c r="E2868" s="294"/>
      <c r="F2868" s="310"/>
      <c r="G2868" s="310"/>
      <c r="H2868" s="310"/>
      <c r="I2868" s="295"/>
      <c r="J2868" s="295"/>
      <c r="K2868" s="300">
        <f t="shared" si="406"/>
        <v>1.1000000000000001</v>
      </c>
      <c r="L2868" s="300">
        <f t="shared" si="407"/>
        <v>0</v>
      </c>
      <c r="M2868" s="285">
        <f t="shared" si="408"/>
        <v>0</v>
      </c>
      <c r="N2868" s="1076">
        <f t="shared" si="409"/>
        <v>0</v>
      </c>
      <c r="O2868" s="294"/>
      <c r="P2868" s="404"/>
      <c r="Q2868" s="404"/>
      <c r="R2868" s="301"/>
      <c r="S2868" s="301"/>
      <c r="T2868" s="301"/>
      <c r="U2868" s="301"/>
      <c r="V2868" s="301"/>
    </row>
    <row r="2869" spans="1:22" ht="14.4" thickTop="1" thickBot="1" x14ac:dyDescent="0.3">
      <c r="A2869" s="292"/>
      <c r="B2869" s="293"/>
      <c r="C2869" s="294"/>
      <c r="D2869" s="294"/>
      <c r="E2869" s="294"/>
      <c r="F2869" s="310"/>
      <c r="G2869" s="310"/>
      <c r="H2869" s="310"/>
      <c r="I2869" s="295"/>
      <c r="J2869" s="295"/>
      <c r="K2869" s="300">
        <f t="shared" si="406"/>
        <v>1.1000000000000001</v>
      </c>
      <c r="L2869" s="300">
        <f t="shared" si="407"/>
        <v>0</v>
      </c>
      <c r="M2869" s="285">
        <f t="shared" si="408"/>
        <v>0</v>
      </c>
      <c r="N2869" s="1076">
        <f t="shared" si="409"/>
        <v>0</v>
      </c>
      <c r="O2869" s="294"/>
      <c r="P2869" s="404"/>
      <c r="Q2869" s="404"/>
      <c r="R2869" s="301"/>
      <c r="S2869" s="301"/>
      <c r="T2869" s="301"/>
      <c r="U2869" s="301"/>
      <c r="V2869" s="301"/>
    </row>
    <row r="2870" spans="1:22" ht="14.4" thickTop="1" thickBot="1" x14ac:dyDescent="0.3">
      <c r="A2870" s="292"/>
      <c r="B2870" s="293"/>
      <c r="C2870" s="294"/>
      <c r="D2870" s="294"/>
      <c r="E2870" s="294"/>
      <c r="F2870" s="310"/>
      <c r="G2870" s="310"/>
      <c r="H2870" s="310"/>
      <c r="I2870" s="295"/>
      <c r="J2870" s="295"/>
      <c r="K2870" s="300">
        <f t="shared" si="406"/>
        <v>1.1000000000000001</v>
      </c>
      <c r="L2870" s="300">
        <f t="shared" si="407"/>
        <v>0</v>
      </c>
      <c r="M2870" s="285">
        <f t="shared" si="408"/>
        <v>0</v>
      </c>
      <c r="N2870" s="1076">
        <f t="shared" si="409"/>
        <v>0</v>
      </c>
      <c r="O2870" s="294"/>
      <c r="P2870" s="404"/>
      <c r="Q2870" s="404"/>
      <c r="R2870" s="301"/>
      <c r="S2870" s="301"/>
      <c r="T2870" s="301"/>
      <c r="U2870" s="301"/>
      <c r="V2870" s="301"/>
    </row>
    <row r="2871" spans="1:22" ht="14.4" thickTop="1" thickBot="1" x14ac:dyDescent="0.3">
      <c r="A2871" s="292"/>
      <c r="B2871" s="293"/>
      <c r="C2871" s="294"/>
      <c r="D2871" s="294"/>
      <c r="E2871" s="294"/>
      <c r="F2871" s="310"/>
      <c r="G2871" s="310"/>
      <c r="H2871" s="310"/>
      <c r="I2871" s="295"/>
      <c r="J2871" s="295"/>
      <c r="K2871" s="300">
        <f t="shared" si="406"/>
        <v>1.1000000000000001</v>
      </c>
      <c r="L2871" s="300">
        <f t="shared" si="407"/>
        <v>0</v>
      </c>
      <c r="M2871" s="285">
        <f t="shared" si="408"/>
        <v>0</v>
      </c>
      <c r="N2871" s="1076">
        <f t="shared" si="409"/>
        <v>0</v>
      </c>
      <c r="O2871" s="294"/>
      <c r="P2871" s="404"/>
      <c r="Q2871" s="404"/>
      <c r="R2871" s="301"/>
      <c r="S2871" s="301"/>
      <c r="T2871" s="301"/>
      <c r="U2871" s="301"/>
      <c r="V2871" s="301"/>
    </row>
    <row r="2872" spans="1:22" ht="14.4" thickTop="1" thickBot="1" x14ac:dyDescent="0.3">
      <c r="A2872" s="292"/>
      <c r="B2872" s="293"/>
      <c r="C2872" s="294"/>
      <c r="D2872" s="294"/>
      <c r="E2872" s="294"/>
      <c r="F2872" s="310"/>
      <c r="G2872" s="310"/>
      <c r="H2872" s="310"/>
      <c r="I2872" s="295"/>
      <c r="J2872" s="295"/>
      <c r="K2872" s="300">
        <f t="shared" si="406"/>
        <v>1.1000000000000001</v>
      </c>
      <c r="L2872" s="300">
        <f t="shared" si="407"/>
        <v>0</v>
      </c>
      <c r="M2872" s="285">
        <f t="shared" si="408"/>
        <v>0</v>
      </c>
      <c r="N2872" s="1076">
        <f t="shared" si="409"/>
        <v>0</v>
      </c>
      <c r="O2872" s="294"/>
      <c r="P2872" s="404"/>
      <c r="Q2872" s="404"/>
      <c r="R2872" s="301"/>
      <c r="S2872" s="301"/>
      <c r="T2872" s="301"/>
      <c r="U2872" s="301"/>
      <c r="V2872" s="301"/>
    </row>
    <row r="2873" spans="1:22" ht="14.4" thickTop="1" thickBot="1" x14ac:dyDescent="0.3">
      <c r="A2873" s="292"/>
      <c r="B2873" s="293"/>
      <c r="C2873" s="294"/>
      <c r="D2873" s="294"/>
      <c r="E2873" s="294"/>
      <c r="F2873" s="310"/>
      <c r="G2873" s="310"/>
      <c r="H2873" s="310"/>
      <c r="I2873" s="295"/>
      <c r="J2873" s="295"/>
      <c r="K2873" s="300">
        <f t="shared" si="406"/>
        <v>1.1000000000000001</v>
      </c>
      <c r="L2873" s="300">
        <f t="shared" si="407"/>
        <v>0</v>
      </c>
      <c r="M2873" s="285">
        <f t="shared" si="408"/>
        <v>0</v>
      </c>
      <c r="N2873" s="1076">
        <f t="shared" si="409"/>
        <v>0</v>
      </c>
      <c r="O2873" s="294"/>
      <c r="P2873" s="404"/>
      <c r="Q2873" s="404"/>
      <c r="R2873" s="301"/>
      <c r="S2873" s="301"/>
      <c r="T2873" s="301"/>
      <c r="U2873" s="301"/>
      <c r="V2873" s="301"/>
    </row>
    <row r="2874" spans="1:22" ht="14.4" thickTop="1" thickBot="1" x14ac:dyDescent="0.3">
      <c r="A2874" s="292"/>
      <c r="B2874" s="293"/>
      <c r="C2874" s="294"/>
      <c r="D2874" s="294"/>
      <c r="E2874" s="294"/>
      <c r="F2874" s="310"/>
      <c r="G2874" s="310"/>
      <c r="H2874" s="310"/>
      <c r="I2874" s="295"/>
      <c r="J2874" s="295"/>
      <c r="K2874" s="300">
        <f t="shared" si="406"/>
        <v>1.1000000000000001</v>
      </c>
      <c r="L2874" s="300">
        <f t="shared" si="407"/>
        <v>0</v>
      </c>
      <c r="M2874" s="285">
        <f t="shared" si="408"/>
        <v>0</v>
      </c>
      <c r="N2874" s="1076">
        <f t="shared" si="409"/>
        <v>0</v>
      </c>
      <c r="O2874" s="294"/>
      <c r="P2874" s="404"/>
      <c r="Q2874" s="404"/>
      <c r="R2874" s="301"/>
      <c r="S2874" s="301"/>
      <c r="T2874" s="301"/>
      <c r="U2874" s="301"/>
      <c r="V2874" s="301"/>
    </row>
    <row r="2875" spans="1:22" ht="14.4" thickTop="1" thickBot="1" x14ac:dyDescent="0.3">
      <c r="A2875" s="292"/>
      <c r="B2875" s="293"/>
      <c r="C2875" s="294"/>
      <c r="D2875" s="294"/>
      <c r="E2875" s="294"/>
      <c r="F2875" s="310"/>
      <c r="G2875" s="310"/>
      <c r="H2875" s="310"/>
      <c r="I2875" s="295"/>
      <c r="J2875" s="295"/>
      <c r="K2875" s="300">
        <f t="shared" si="406"/>
        <v>1.1000000000000001</v>
      </c>
      <c r="L2875" s="300">
        <f t="shared" si="407"/>
        <v>0</v>
      </c>
      <c r="M2875" s="285">
        <f t="shared" si="408"/>
        <v>0</v>
      </c>
      <c r="N2875" s="1076">
        <f t="shared" si="409"/>
        <v>0</v>
      </c>
      <c r="O2875" s="294"/>
      <c r="P2875" s="404"/>
      <c r="Q2875" s="404"/>
      <c r="R2875" s="301"/>
      <c r="S2875" s="301"/>
      <c r="T2875" s="301"/>
      <c r="U2875" s="301"/>
      <c r="V2875" s="301"/>
    </row>
    <row r="2876" spans="1:22" ht="14.4" thickTop="1" thickBot="1" x14ac:dyDescent="0.3">
      <c r="A2876" s="292"/>
      <c r="B2876" s="293"/>
      <c r="C2876" s="294"/>
      <c r="D2876" s="294"/>
      <c r="E2876" s="294"/>
      <c r="F2876" s="310"/>
      <c r="G2876" s="310"/>
      <c r="H2876" s="310"/>
      <c r="I2876" s="295"/>
      <c r="J2876" s="295"/>
      <c r="K2876" s="300">
        <f t="shared" si="406"/>
        <v>1.1000000000000001</v>
      </c>
      <c r="L2876" s="300">
        <f t="shared" si="407"/>
        <v>0</v>
      </c>
      <c r="M2876" s="285">
        <f t="shared" si="408"/>
        <v>0</v>
      </c>
      <c r="N2876" s="1076">
        <f t="shared" si="409"/>
        <v>0</v>
      </c>
      <c r="O2876" s="294"/>
      <c r="P2876" s="404"/>
      <c r="Q2876" s="404"/>
      <c r="R2876" s="301"/>
      <c r="S2876" s="301"/>
      <c r="T2876" s="301"/>
      <c r="U2876" s="301"/>
      <c r="V2876" s="301"/>
    </row>
    <row r="2877" spans="1:22" ht="14.4" thickTop="1" thickBot="1" x14ac:dyDescent="0.3">
      <c r="A2877" s="292"/>
      <c r="B2877" s="293"/>
      <c r="C2877" s="294"/>
      <c r="D2877" s="294"/>
      <c r="E2877" s="294"/>
      <c r="F2877" s="310"/>
      <c r="G2877" s="310"/>
      <c r="H2877" s="310"/>
      <c r="I2877" s="295"/>
      <c r="J2877" s="295"/>
      <c r="K2877" s="300">
        <f t="shared" si="406"/>
        <v>1.1000000000000001</v>
      </c>
      <c r="L2877" s="300">
        <f t="shared" si="407"/>
        <v>0</v>
      </c>
      <c r="M2877" s="285">
        <f t="shared" si="408"/>
        <v>0</v>
      </c>
      <c r="N2877" s="1076">
        <f t="shared" si="409"/>
        <v>0</v>
      </c>
      <c r="O2877" s="294"/>
      <c r="P2877" s="404"/>
      <c r="Q2877" s="404"/>
      <c r="R2877" s="301"/>
      <c r="S2877" s="301"/>
      <c r="T2877" s="301"/>
      <c r="U2877" s="301"/>
      <c r="V2877" s="301"/>
    </row>
    <row r="2878" spans="1:22" ht="14.4" thickTop="1" thickBot="1" x14ac:dyDescent="0.3">
      <c r="A2878" s="292"/>
      <c r="B2878" s="293"/>
      <c r="C2878" s="294"/>
      <c r="D2878" s="294"/>
      <c r="E2878" s="294"/>
      <c r="F2878" s="310"/>
      <c r="G2878" s="310"/>
      <c r="H2878" s="310"/>
      <c r="I2878" s="295"/>
      <c r="J2878" s="295"/>
      <c r="K2878" s="300">
        <f t="shared" si="406"/>
        <v>1.1000000000000001</v>
      </c>
      <c r="L2878" s="300">
        <f t="shared" si="407"/>
        <v>0</v>
      </c>
      <c r="M2878" s="285">
        <f t="shared" si="408"/>
        <v>0</v>
      </c>
      <c r="N2878" s="1076">
        <f t="shared" si="409"/>
        <v>0</v>
      </c>
      <c r="O2878" s="294"/>
      <c r="P2878" s="404"/>
      <c r="Q2878" s="404"/>
      <c r="R2878" s="301"/>
      <c r="S2878" s="301"/>
      <c r="T2878" s="301"/>
      <c r="U2878" s="301"/>
      <c r="V2878" s="301"/>
    </row>
    <row r="2879" spans="1:22" ht="14.4" thickTop="1" thickBot="1" x14ac:dyDescent="0.3">
      <c r="A2879" s="292"/>
      <c r="B2879" s="293"/>
      <c r="C2879" s="294"/>
      <c r="D2879" s="294"/>
      <c r="E2879" s="294"/>
      <c r="F2879" s="310"/>
      <c r="G2879" s="310"/>
      <c r="H2879" s="310"/>
      <c r="I2879" s="295"/>
      <c r="J2879" s="295"/>
      <c r="K2879" s="300">
        <f t="shared" si="406"/>
        <v>1.1000000000000001</v>
      </c>
      <c r="L2879" s="300">
        <f t="shared" si="407"/>
        <v>0</v>
      </c>
      <c r="M2879" s="285">
        <f t="shared" si="408"/>
        <v>0</v>
      </c>
      <c r="N2879" s="1076">
        <f t="shared" si="409"/>
        <v>0</v>
      </c>
      <c r="O2879" s="294"/>
      <c r="P2879" s="404"/>
      <c r="Q2879" s="404"/>
      <c r="R2879" s="301"/>
      <c r="S2879" s="301"/>
      <c r="T2879" s="301"/>
      <c r="U2879" s="301"/>
      <c r="V2879" s="301"/>
    </row>
    <row r="2880" spans="1:22" ht="14.4" thickTop="1" thickBot="1" x14ac:dyDescent="0.3">
      <c r="A2880" s="292"/>
      <c r="B2880" s="293"/>
      <c r="C2880" s="294"/>
      <c r="D2880" s="294"/>
      <c r="E2880" s="294"/>
      <c r="F2880" s="310"/>
      <c r="G2880" s="310"/>
      <c r="H2880" s="310"/>
      <c r="I2880" s="295"/>
      <c r="J2880" s="295"/>
      <c r="K2880" s="300">
        <f t="shared" si="406"/>
        <v>1.1000000000000001</v>
      </c>
      <c r="L2880" s="300">
        <f t="shared" si="407"/>
        <v>0</v>
      </c>
      <c r="M2880" s="285">
        <f t="shared" si="408"/>
        <v>0</v>
      </c>
      <c r="N2880" s="1076">
        <f t="shared" si="409"/>
        <v>0</v>
      </c>
      <c r="O2880" s="294"/>
      <c r="P2880" s="404"/>
      <c r="Q2880" s="404"/>
      <c r="R2880" s="301"/>
      <c r="S2880" s="301"/>
      <c r="T2880" s="301"/>
      <c r="U2880" s="301"/>
      <c r="V2880" s="301"/>
    </row>
    <row r="2881" spans="1:22" ht="14.4" thickTop="1" thickBot="1" x14ac:dyDescent="0.3">
      <c r="A2881" s="292"/>
      <c r="B2881" s="293"/>
      <c r="C2881" s="294"/>
      <c r="D2881" s="294"/>
      <c r="E2881" s="294"/>
      <c r="F2881" s="310"/>
      <c r="G2881" s="310"/>
      <c r="H2881" s="310"/>
      <c r="I2881" s="295"/>
      <c r="J2881" s="295"/>
      <c r="K2881" s="300">
        <f t="shared" si="406"/>
        <v>1.1000000000000001</v>
      </c>
      <c r="L2881" s="300">
        <f t="shared" si="407"/>
        <v>0</v>
      </c>
      <c r="M2881" s="285">
        <f t="shared" si="408"/>
        <v>0</v>
      </c>
      <c r="N2881" s="1076">
        <f t="shared" si="409"/>
        <v>0</v>
      </c>
      <c r="O2881" s="294"/>
      <c r="P2881" s="404"/>
      <c r="Q2881" s="404"/>
      <c r="R2881" s="301"/>
      <c r="S2881" s="301"/>
      <c r="T2881" s="301"/>
      <c r="U2881" s="301"/>
      <c r="V2881" s="301"/>
    </row>
    <row r="2882" spans="1:22" ht="14.4" thickTop="1" thickBot="1" x14ac:dyDescent="0.3">
      <c r="A2882" s="292"/>
      <c r="B2882" s="293"/>
      <c r="C2882" s="294"/>
      <c r="D2882" s="294"/>
      <c r="E2882" s="294"/>
      <c r="F2882" s="310"/>
      <c r="G2882" s="310"/>
      <c r="H2882" s="310"/>
      <c r="I2882" s="295"/>
      <c r="J2882" s="295"/>
      <c r="K2882" s="300">
        <f t="shared" si="406"/>
        <v>1.1000000000000001</v>
      </c>
      <c r="L2882" s="300">
        <f t="shared" si="407"/>
        <v>0</v>
      </c>
      <c r="M2882" s="285">
        <f t="shared" si="408"/>
        <v>0</v>
      </c>
      <c r="N2882" s="1076">
        <f t="shared" si="409"/>
        <v>0</v>
      </c>
      <c r="O2882" s="294"/>
      <c r="P2882" s="404"/>
      <c r="Q2882" s="404"/>
      <c r="R2882" s="301"/>
      <c r="S2882" s="301"/>
      <c r="T2882" s="301"/>
      <c r="U2882" s="301"/>
      <c r="V2882" s="301"/>
    </row>
    <row r="2883" spans="1:22" ht="14.4" thickTop="1" thickBot="1" x14ac:dyDescent="0.3">
      <c r="A2883" s="292"/>
      <c r="B2883" s="293"/>
      <c r="C2883" s="294"/>
      <c r="D2883" s="294"/>
      <c r="E2883" s="294"/>
      <c r="F2883" s="310"/>
      <c r="G2883" s="310"/>
      <c r="H2883" s="310"/>
      <c r="I2883" s="295"/>
      <c r="J2883" s="295"/>
      <c r="K2883" s="300">
        <f t="shared" si="406"/>
        <v>1.1000000000000001</v>
      </c>
      <c r="L2883" s="300">
        <f t="shared" si="407"/>
        <v>0</v>
      </c>
      <c r="M2883" s="285">
        <f t="shared" si="408"/>
        <v>0</v>
      </c>
      <c r="N2883" s="1076">
        <f t="shared" si="409"/>
        <v>0</v>
      </c>
      <c r="O2883" s="294"/>
      <c r="P2883" s="404"/>
      <c r="Q2883" s="404"/>
      <c r="R2883" s="301"/>
      <c r="S2883" s="301"/>
      <c r="T2883" s="301"/>
      <c r="U2883" s="301"/>
      <c r="V2883" s="301"/>
    </row>
    <row r="2884" spans="1:22" ht="14.4" thickTop="1" thickBot="1" x14ac:dyDescent="0.3">
      <c r="A2884" s="292"/>
      <c r="B2884" s="293"/>
      <c r="C2884" s="294"/>
      <c r="D2884" s="294"/>
      <c r="E2884" s="294"/>
      <c r="F2884" s="310"/>
      <c r="G2884" s="310"/>
      <c r="H2884" s="310"/>
      <c r="I2884" s="295"/>
      <c r="J2884" s="295"/>
      <c r="K2884" s="300">
        <f t="shared" si="406"/>
        <v>1.1000000000000001</v>
      </c>
      <c r="L2884" s="300">
        <f t="shared" si="407"/>
        <v>0</v>
      </c>
      <c r="M2884" s="285">
        <f t="shared" si="408"/>
        <v>0</v>
      </c>
      <c r="N2884" s="1076">
        <f t="shared" si="409"/>
        <v>0</v>
      </c>
      <c r="O2884" s="294"/>
      <c r="P2884" s="404"/>
      <c r="Q2884" s="404"/>
      <c r="R2884" s="301"/>
      <c r="S2884" s="301"/>
      <c r="T2884" s="301"/>
      <c r="U2884" s="301"/>
      <c r="V2884" s="301"/>
    </row>
    <row r="2885" spans="1:22" ht="14.4" thickTop="1" thickBot="1" x14ac:dyDescent="0.3">
      <c r="A2885" s="292"/>
      <c r="B2885" s="293"/>
      <c r="C2885" s="294"/>
      <c r="D2885" s="294"/>
      <c r="E2885" s="294"/>
      <c r="F2885" s="310"/>
      <c r="G2885" s="310"/>
      <c r="H2885" s="310"/>
      <c r="I2885" s="295"/>
      <c r="J2885" s="295"/>
      <c r="K2885" s="300">
        <f t="shared" si="406"/>
        <v>1.1000000000000001</v>
      </c>
      <c r="L2885" s="300">
        <f t="shared" si="407"/>
        <v>0</v>
      </c>
      <c r="M2885" s="285">
        <f t="shared" si="408"/>
        <v>0</v>
      </c>
      <c r="N2885" s="1076">
        <f t="shared" si="409"/>
        <v>0</v>
      </c>
      <c r="O2885" s="294"/>
      <c r="P2885" s="404"/>
      <c r="Q2885" s="404"/>
      <c r="R2885" s="301"/>
      <c r="S2885" s="301"/>
      <c r="T2885" s="301"/>
      <c r="U2885" s="301"/>
      <c r="V2885" s="301"/>
    </row>
    <row r="2886" spans="1:22" ht="14.4" thickTop="1" thickBot="1" x14ac:dyDescent="0.3">
      <c r="A2886" s="292"/>
      <c r="B2886" s="293"/>
      <c r="C2886" s="294"/>
      <c r="D2886" s="294"/>
      <c r="E2886" s="294"/>
      <c r="F2886" s="310"/>
      <c r="G2886" s="310"/>
      <c r="H2886" s="310"/>
      <c r="I2886" s="295"/>
      <c r="J2886" s="295"/>
      <c r="K2886" s="300">
        <f t="shared" si="406"/>
        <v>1.1000000000000001</v>
      </c>
      <c r="L2886" s="300">
        <f t="shared" si="407"/>
        <v>0</v>
      </c>
      <c r="M2886" s="285">
        <f t="shared" si="408"/>
        <v>0</v>
      </c>
      <c r="N2886" s="1076">
        <f t="shared" si="409"/>
        <v>0</v>
      </c>
      <c r="O2886" s="294"/>
      <c r="P2886" s="404"/>
      <c r="Q2886" s="404"/>
      <c r="R2886" s="301"/>
      <c r="S2886" s="301"/>
      <c r="T2886" s="301"/>
      <c r="U2886" s="301"/>
      <c r="V2886" s="301"/>
    </row>
    <row r="2887" spans="1:22" ht="14.4" thickTop="1" thickBot="1" x14ac:dyDescent="0.3">
      <c r="A2887" s="292"/>
      <c r="B2887" s="293"/>
      <c r="C2887" s="294"/>
      <c r="D2887" s="294"/>
      <c r="E2887" s="294"/>
      <c r="F2887" s="310"/>
      <c r="G2887" s="310"/>
      <c r="H2887" s="310"/>
      <c r="I2887" s="295"/>
      <c r="J2887" s="295"/>
      <c r="K2887" s="300">
        <f t="shared" si="406"/>
        <v>1.1000000000000001</v>
      </c>
      <c r="L2887" s="300">
        <f t="shared" si="407"/>
        <v>0</v>
      </c>
      <c r="M2887" s="285">
        <f t="shared" si="408"/>
        <v>0</v>
      </c>
      <c r="N2887" s="1076">
        <f t="shared" si="409"/>
        <v>0</v>
      </c>
      <c r="O2887" s="294"/>
      <c r="P2887" s="404"/>
      <c r="Q2887" s="404"/>
      <c r="R2887" s="301"/>
      <c r="S2887" s="301"/>
      <c r="T2887" s="301"/>
      <c r="U2887" s="301"/>
      <c r="V2887" s="301"/>
    </row>
    <row r="2888" spans="1:22" ht="14.4" thickTop="1" thickBot="1" x14ac:dyDescent="0.3">
      <c r="A2888" s="292"/>
      <c r="B2888" s="293"/>
      <c r="C2888" s="294"/>
      <c r="D2888" s="294"/>
      <c r="E2888" s="294"/>
      <c r="F2888" s="310"/>
      <c r="G2888" s="310"/>
      <c r="H2888" s="310"/>
      <c r="I2888" s="295"/>
      <c r="J2888" s="295"/>
      <c r="K2888" s="300">
        <f t="shared" si="406"/>
        <v>1.1000000000000001</v>
      </c>
      <c r="L2888" s="300">
        <f t="shared" si="407"/>
        <v>0</v>
      </c>
      <c r="M2888" s="285">
        <f t="shared" si="408"/>
        <v>0</v>
      </c>
      <c r="N2888" s="1076">
        <f t="shared" si="409"/>
        <v>0</v>
      </c>
      <c r="O2888" s="294"/>
      <c r="P2888" s="404"/>
      <c r="Q2888" s="404"/>
      <c r="R2888" s="301"/>
      <c r="S2888" s="301"/>
      <c r="T2888" s="301"/>
      <c r="U2888" s="301"/>
      <c r="V2888" s="301"/>
    </row>
    <row r="2889" spans="1:22" ht="14.4" thickTop="1" thickBot="1" x14ac:dyDescent="0.3">
      <c r="A2889" s="292"/>
      <c r="B2889" s="293"/>
      <c r="C2889" s="294"/>
      <c r="D2889" s="294"/>
      <c r="E2889" s="294"/>
      <c r="F2889" s="310"/>
      <c r="G2889" s="310"/>
      <c r="H2889" s="310"/>
      <c r="I2889" s="295"/>
      <c r="J2889" s="295"/>
      <c r="K2889" s="300">
        <f t="shared" si="406"/>
        <v>1.1000000000000001</v>
      </c>
      <c r="L2889" s="300">
        <f t="shared" si="407"/>
        <v>0</v>
      </c>
      <c r="M2889" s="285">
        <f t="shared" si="408"/>
        <v>0</v>
      </c>
      <c r="N2889" s="1076">
        <f t="shared" si="409"/>
        <v>0</v>
      </c>
      <c r="O2889" s="294"/>
      <c r="P2889" s="404"/>
      <c r="Q2889" s="404"/>
      <c r="R2889" s="301"/>
      <c r="S2889" s="301"/>
      <c r="T2889" s="301"/>
      <c r="U2889" s="301"/>
      <c r="V2889" s="301"/>
    </row>
    <row r="2890" spans="1:22" ht="14.4" thickTop="1" thickBot="1" x14ac:dyDescent="0.3">
      <c r="A2890" s="292"/>
      <c r="B2890" s="293"/>
      <c r="C2890" s="294"/>
      <c r="D2890" s="294"/>
      <c r="E2890" s="294"/>
      <c r="F2890" s="310"/>
      <c r="G2890" s="310"/>
      <c r="H2890" s="310"/>
      <c r="I2890" s="295"/>
      <c r="J2890" s="295"/>
      <c r="K2890" s="300">
        <f t="shared" si="406"/>
        <v>1.1000000000000001</v>
      </c>
      <c r="L2890" s="300">
        <f t="shared" si="407"/>
        <v>0</v>
      </c>
      <c r="M2890" s="285">
        <f t="shared" si="408"/>
        <v>0</v>
      </c>
      <c r="N2890" s="1076">
        <f t="shared" si="409"/>
        <v>0</v>
      </c>
      <c r="O2890" s="294"/>
      <c r="P2890" s="404"/>
      <c r="Q2890" s="404"/>
      <c r="R2890" s="301"/>
      <c r="S2890" s="301"/>
      <c r="T2890" s="301"/>
      <c r="U2890" s="301"/>
      <c r="V2890" s="301"/>
    </row>
    <row r="2891" spans="1:22" ht="14.4" thickTop="1" thickBot="1" x14ac:dyDescent="0.3">
      <c r="A2891" s="292"/>
      <c r="B2891" s="293"/>
      <c r="C2891" s="294"/>
      <c r="D2891" s="294"/>
      <c r="E2891" s="294"/>
      <c r="F2891" s="310"/>
      <c r="G2891" s="310"/>
      <c r="H2891" s="310"/>
      <c r="I2891" s="295"/>
      <c r="J2891" s="295"/>
      <c r="K2891" s="300">
        <f t="shared" si="406"/>
        <v>1.1000000000000001</v>
      </c>
      <c r="L2891" s="300">
        <f t="shared" si="407"/>
        <v>0</v>
      </c>
      <c r="M2891" s="285">
        <f t="shared" si="408"/>
        <v>0</v>
      </c>
      <c r="N2891" s="1076">
        <f t="shared" si="409"/>
        <v>0</v>
      </c>
      <c r="O2891" s="294"/>
      <c r="P2891" s="404"/>
      <c r="Q2891" s="404"/>
      <c r="R2891" s="301"/>
      <c r="S2891" s="301"/>
      <c r="T2891" s="301"/>
      <c r="U2891" s="301"/>
      <c r="V2891" s="301"/>
    </row>
    <row r="2892" spans="1:22" ht="14.4" thickTop="1" thickBot="1" x14ac:dyDescent="0.3">
      <c r="A2892" s="292"/>
      <c r="B2892" s="293"/>
      <c r="C2892" s="294"/>
      <c r="D2892" s="294"/>
      <c r="E2892" s="294"/>
      <c r="F2892" s="310"/>
      <c r="G2892" s="310"/>
      <c r="H2892" s="310"/>
      <c r="I2892" s="295"/>
      <c r="J2892" s="295"/>
      <c r="K2892" s="300">
        <f t="shared" si="406"/>
        <v>1.1000000000000001</v>
      </c>
      <c r="L2892" s="300">
        <f t="shared" si="407"/>
        <v>0</v>
      </c>
      <c r="M2892" s="285">
        <f t="shared" si="408"/>
        <v>0</v>
      </c>
      <c r="N2892" s="1076">
        <f t="shared" si="409"/>
        <v>0</v>
      </c>
      <c r="O2892" s="294"/>
      <c r="P2892" s="404"/>
      <c r="Q2892" s="404"/>
      <c r="R2892" s="301"/>
      <c r="S2892" s="301"/>
      <c r="T2892" s="301"/>
      <c r="U2892" s="301"/>
      <c r="V2892" s="301"/>
    </row>
    <row r="2893" spans="1:22" ht="14.4" thickTop="1" thickBot="1" x14ac:dyDescent="0.3">
      <c r="A2893" s="292"/>
      <c r="B2893" s="293"/>
      <c r="C2893" s="294"/>
      <c r="D2893" s="294"/>
      <c r="E2893" s="294"/>
      <c r="F2893" s="310"/>
      <c r="G2893" s="310"/>
      <c r="H2893" s="310"/>
      <c r="I2893" s="295"/>
      <c r="J2893" s="295"/>
      <c r="K2893" s="300">
        <f t="shared" si="406"/>
        <v>1.1000000000000001</v>
      </c>
      <c r="L2893" s="300">
        <f t="shared" si="407"/>
        <v>0</v>
      </c>
      <c r="M2893" s="285">
        <f t="shared" si="408"/>
        <v>0</v>
      </c>
      <c r="N2893" s="1076">
        <f t="shared" si="409"/>
        <v>0</v>
      </c>
      <c r="O2893" s="294"/>
      <c r="P2893" s="404"/>
      <c r="Q2893" s="404"/>
      <c r="R2893" s="301"/>
      <c r="S2893" s="301"/>
      <c r="T2893" s="301"/>
      <c r="U2893" s="301"/>
      <c r="V2893" s="301"/>
    </row>
    <row r="2894" spans="1:22" ht="14.4" thickTop="1" thickBot="1" x14ac:dyDescent="0.3">
      <c r="A2894" s="292"/>
      <c r="B2894" s="293"/>
      <c r="C2894" s="294"/>
      <c r="D2894" s="294"/>
      <c r="E2894" s="294"/>
      <c r="F2894" s="310"/>
      <c r="G2894" s="310"/>
      <c r="H2894" s="310"/>
      <c r="I2894" s="295"/>
      <c r="J2894" s="295"/>
      <c r="K2894" s="300">
        <f t="shared" si="406"/>
        <v>1.1000000000000001</v>
      </c>
      <c r="L2894" s="300">
        <f t="shared" si="407"/>
        <v>0</v>
      </c>
      <c r="M2894" s="285">
        <f t="shared" si="408"/>
        <v>0</v>
      </c>
      <c r="N2894" s="1076">
        <f t="shared" si="409"/>
        <v>0</v>
      </c>
      <c r="O2894" s="294"/>
      <c r="P2894" s="404"/>
      <c r="Q2894" s="404"/>
      <c r="R2894" s="301"/>
      <c r="S2894" s="301"/>
      <c r="T2894" s="301"/>
      <c r="U2894" s="301"/>
      <c r="V2894" s="301"/>
    </row>
    <row r="2895" spans="1:22" ht="14.4" thickTop="1" thickBot="1" x14ac:dyDescent="0.3">
      <c r="A2895" s="292"/>
      <c r="B2895" s="293"/>
      <c r="C2895" s="294"/>
      <c r="D2895" s="294"/>
      <c r="E2895" s="294"/>
      <c r="F2895" s="310"/>
      <c r="G2895" s="310"/>
      <c r="H2895" s="310"/>
      <c r="I2895" s="295"/>
      <c r="J2895" s="295"/>
      <c r="K2895" s="300">
        <f t="shared" si="406"/>
        <v>1.1000000000000001</v>
      </c>
      <c r="L2895" s="300">
        <f t="shared" si="407"/>
        <v>0</v>
      </c>
      <c r="M2895" s="285">
        <f t="shared" si="408"/>
        <v>0</v>
      </c>
      <c r="N2895" s="1076">
        <f t="shared" si="409"/>
        <v>0</v>
      </c>
      <c r="O2895" s="294"/>
      <c r="P2895" s="404"/>
      <c r="Q2895" s="404"/>
      <c r="R2895" s="301"/>
      <c r="S2895" s="301"/>
      <c r="T2895" s="301"/>
      <c r="U2895" s="301"/>
      <c r="V2895" s="301"/>
    </row>
    <row r="2896" spans="1:22" ht="14.4" thickTop="1" thickBot="1" x14ac:dyDescent="0.3">
      <c r="A2896" s="292"/>
      <c r="B2896" s="293"/>
      <c r="C2896" s="294"/>
      <c r="D2896" s="294"/>
      <c r="E2896" s="294"/>
      <c r="F2896" s="310"/>
      <c r="G2896" s="310"/>
      <c r="H2896" s="310"/>
      <c r="I2896" s="295"/>
      <c r="J2896" s="295"/>
      <c r="K2896" s="300">
        <f t="shared" si="406"/>
        <v>1.1000000000000001</v>
      </c>
      <c r="L2896" s="300">
        <f t="shared" si="407"/>
        <v>0</v>
      </c>
      <c r="M2896" s="285">
        <f t="shared" si="408"/>
        <v>0</v>
      </c>
      <c r="N2896" s="1076">
        <f t="shared" si="409"/>
        <v>0</v>
      </c>
      <c r="O2896" s="294"/>
      <c r="P2896" s="404"/>
      <c r="Q2896" s="404"/>
      <c r="R2896" s="301"/>
      <c r="S2896" s="301"/>
      <c r="T2896" s="301"/>
      <c r="U2896" s="301"/>
      <c r="V2896" s="301"/>
    </row>
    <row r="2897" spans="1:22" ht="14.4" thickTop="1" thickBot="1" x14ac:dyDescent="0.3">
      <c r="A2897" s="292"/>
      <c r="B2897" s="293"/>
      <c r="C2897" s="294"/>
      <c r="D2897" s="294"/>
      <c r="E2897" s="294"/>
      <c r="F2897" s="310"/>
      <c r="G2897" s="310"/>
      <c r="H2897" s="310"/>
      <c r="I2897" s="295"/>
      <c r="J2897" s="295"/>
      <c r="K2897" s="300">
        <f t="shared" si="406"/>
        <v>1.1000000000000001</v>
      </c>
      <c r="L2897" s="300">
        <f t="shared" si="407"/>
        <v>0</v>
      </c>
      <c r="M2897" s="285">
        <f t="shared" si="408"/>
        <v>0</v>
      </c>
      <c r="N2897" s="1076">
        <f t="shared" si="409"/>
        <v>0</v>
      </c>
      <c r="O2897" s="294"/>
      <c r="P2897" s="404"/>
      <c r="Q2897" s="404"/>
      <c r="R2897" s="301"/>
      <c r="S2897" s="301"/>
      <c r="T2897" s="301"/>
      <c r="U2897" s="301"/>
      <c r="V2897" s="301"/>
    </row>
    <row r="2898" spans="1:22" ht="14.4" thickTop="1" thickBot="1" x14ac:dyDescent="0.3">
      <c r="A2898" s="292"/>
      <c r="B2898" s="293"/>
      <c r="C2898" s="294"/>
      <c r="D2898" s="294"/>
      <c r="E2898" s="294"/>
      <c r="F2898" s="310"/>
      <c r="G2898" s="310"/>
      <c r="H2898" s="310"/>
      <c r="I2898" s="295"/>
      <c r="J2898" s="295"/>
      <c r="K2898" s="300">
        <f t="shared" si="406"/>
        <v>1.1000000000000001</v>
      </c>
      <c r="L2898" s="300">
        <f t="shared" si="407"/>
        <v>0</v>
      </c>
      <c r="M2898" s="285">
        <f t="shared" si="408"/>
        <v>0</v>
      </c>
      <c r="N2898" s="1076">
        <f t="shared" si="409"/>
        <v>0</v>
      </c>
      <c r="O2898" s="294"/>
      <c r="P2898" s="404"/>
      <c r="Q2898" s="404"/>
      <c r="R2898" s="301"/>
      <c r="S2898" s="301"/>
      <c r="T2898" s="301"/>
      <c r="U2898" s="301"/>
      <c r="V2898" s="301"/>
    </row>
    <row r="2899" spans="1:22" ht="14.4" thickTop="1" thickBot="1" x14ac:dyDescent="0.3">
      <c r="A2899" s="292"/>
      <c r="B2899" s="293"/>
      <c r="C2899" s="294"/>
      <c r="D2899" s="294"/>
      <c r="E2899" s="294"/>
      <c r="F2899" s="310"/>
      <c r="G2899" s="310"/>
      <c r="H2899" s="310"/>
      <c r="I2899" s="295"/>
      <c r="J2899" s="295"/>
      <c r="K2899" s="300">
        <f t="shared" si="406"/>
        <v>1.1000000000000001</v>
      </c>
      <c r="L2899" s="300">
        <f t="shared" si="407"/>
        <v>0</v>
      </c>
      <c r="M2899" s="285">
        <f t="shared" si="408"/>
        <v>0</v>
      </c>
      <c r="N2899" s="1076">
        <f t="shared" si="409"/>
        <v>0</v>
      </c>
      <c r="O2899" s="294"/>
      <c r="P2899" s="404"/>
      <c r="Q2899" s="404"/>
      <c r="R2899" s="301"/>
      <c r="S2899" s="301"/>
      <c r="T2899" s="301"/>
      <c r="U2899" s="301"/>
      <c r="V2899" s="301"/>
    </row>
    <row r="2900" spans="1:22" ht="14.4" thickTop="1" thickBot="1" x14ac:dyDescent="0.3">
      <c r="A2900" s="292"/>
      <c r="B2900" s="293"/>
      <c r="C2900" s="294"/>
      <c r="D2900" s="294"/>
      <c r="E2900" s="294"/>
      <c r="F2900" s="310"/>
      <c r="G2900" s="310"/>
      <c r="H2900" s="310"/>
      <c r="I2900" s="295"/>
      <c r="J2900" s="295"/>
      <c r="K2900" s="300">
        <f t="shared" si="406"/>
        <v>1.1000000000000001</v>
      </c>
      <c r="L2900" s="300">
        <f t="shared" si="407"/>
        <v>0</v>
      </c>
      <c r="M2900" s="285">
        <f t="shared" si="408"/>
        <v>0</v>
      </c>
      <c r="N2900" s="1076">
        <f t="shared" si="409"/>
        <v>0</v>
      </c>
      <c r="O2900" s="294"/>
      <c r="P2900" s="404"/>
      <c r="Q2900" s="404"/>
      <c r="R2900" s="301"/>
      <c r="S2900" s="301"/>
      <c r="T2900" s="301"/>
      <c r="U2900" s="301"/>
      <c r="V2900" s="301"/>
    </row>
    <row r="2901" spans="1:22" ht="14.4" thickTop="1" thickBot="1" x14ac:dyDescent="0.3">
      <c r="A2901" s="292"/>
      <c r="B2901" s="293"/>
      <c r="C2901" s="294"/>
      <c r="D2901" s="294"/>
      <c r="E2901" s="294"/>
      <c r="F2901" s="310"/>
      <c r="G2901" s="310"/>
      <c r="H2901" s="310"/>
      <c r="I2901" s="295"/>
      <c r="J2901" s="295"/>
      <c r="K2901" s="300">
        <f t="shared" si="406"/>
        <v>1.1000000000000001</v>
      </c>
      <c r="L2901" s="300">
        <f t="shared" si="407"/>
        <v>0</v>
      </c>
      <c r="M2901" s="285">
        <f t="shared" si="408"/>
        <v>0</v>
      </c>
      <c r="N2901" s="1076">
        <f t="shared" si="409"/>
        <v>0</v>
      </c>
      <c r="O2901" s="294"/>
      <c r="P2901" s="404"/>
      <c r="Q2901" s="404"/>
      <c r="R2901" s="301"/>
      <c r="S2901" s="301"/>
      <c r="T2901" s="301"/>
      <c r="U2901" s="301"/>
      <c r="V2901" s="301"/>
    </row>
    <row r="2902" spans="1:22" ht="14.4" thickTop="1" thickBot="1" x14ac:dyDescent="0.3">
      <c r="A2902" s="292"/>
      <c r="B2902" s="293"/>
      <c r="C2902" s="294"/>
      <c r="D2902" s="294"/>
      <c r="E2902" s="294"/>
      <c r="F2902" s="310"/>
      <c r="G2902" s="310"/>
      <c r="H2902" s="310"/>
      <c r="I2902" s="295"/>
      <c r="J2902" s="295"/>
      <c r="K2902" s="300">
        <f t="shared" si="406"/>
        <v>1.1000000000000001</v>
      </c>
      <c r="L2902" s="300">
        <f t="shared" si="407"/>
        <v>0</v>
      </c>
      <c r="M2902" s="285">
        <f t="shared" si="408"/>
        <v>0</v>
      </c>
      <c r="N2902" s="1076">
        <f t="shared" si="409"/>
        <v>0</v>
      </c>
      <c r="O2902" s="294"/>
      <c r="P2902" s="404"/>
      <c r="Q2902" s="404"/>
      <c r="R2902" s="301"/>
      <c r="S2902" s="301"/>
      <c r="T2902" s="301"/>
      <c r="U2902" s="301"/>
      <c r="V2902" s="301"/>
    </row>
    <row r="2903" spans="1:22" ht="14.4" thickTop="1" thickBot="1" x14ac:dyDescent="0.3">
      <c r="A2903" s="292"/>
      <c r="B2903" s="293"/>
      <c r="C2903" s="294"/>
      <c r="D2903" s="294"/>
      <c r="E2903" s="294"/>
      <c r="F2903" s="310"/>
      <c r="G2903" s="310"/>
      <c r="H2903" s="310"/>
      <c r="I2903" s="295"/>
      <c r="J2903" s="295"/>
      <c r="K2903" s="300">
        <f t="shared" si="406"/>
        <v>1.1000000000000001</v>
      </c>
      <c r="L2903" s="300">
        <f t="shared" si="407"/>
        <v>0</v>
      </c>
      <c r="M2903" s="285">
        <f t="shared" si="408"/>
        <v>0</v>
      </c>
      <c r="N2903" s="1076">
        <f t="shared" si="409"/>
        <v>0</v>
      </c>
      <c r="O2903" s="294"/>
      <c r="P2903" s="404"/>
      <c r="Q2903" s="404"/>
      <c r="R2903" s="301"/>
      <c r="S2903" s="301"/>
      <c r="T2903" s="301"/>
      <c r="U2903" s="301"/>
      <c r="V2903" s="301"/>
    </row>
    <row r="2904" spans="1:22" ht="14.4" thickTop="1" thickBot="1" x14ac:dyDescent="0.3">
      <c r="A2904" s="292"/>
      <c r="B2904" s="293"/>
      <c r="C2904" s="294"/>
      <c r="D2904" s="294"/>
      <c r="E2904" s="294"/>
      <c r="F2904" s="310"/>
      <c r="G2904" s="310"/>
      <c r="H2904" s="310"/>
      <c r="I2904" s="295"/>
      <c r="J2904" s="295"/>
      <c r="K2904" s="300">
        <f t="shared" si="406"/>
        <v>1.1000000000000001</v>
      </c>
      <c r="L2904" s="300">
        <f t="shared" si="407"/>
        <v>0</v>
      </c>
      <c r="M2904" s="285">
        <f t="shared" si="408"/>
        <v>0</v>
      </c>
      <c r="N2904" s="1076">
        <f t="shared" si="409"/>
        <v>0</v>
      </c>
      <c r="O2904" s="294"/>
      <c r="P2904" s="404"/>
      <c r="Q2904" s="404"/>
      <c r="R2904" s="301"/>
      <c r="S2904" s="301"/>
      <c r="T2904" s="301"/>
      <c r="U2904" s="301"/>
      <c r="V2904" s="301"/>
    </row>
    <row r="2905" spans="1:22" ht="14.4" thickTop="1" thickBot="1" x14ac:dyDescent="0.3">
      <c r="A2905" s="292"/>
      <c r="B2905" s="293"/>
      <c r="C2905" s="294"/>
      <c r="D2905" s="294"/>
      <c r="E2905" s="294"/>
      <c r="F2905" s="310"/>
      <c r="G2905" s="310"/>
      <c r="H2905" s="310"/>
      <c r="I2905" s="295"/>
      <c r="J2905" s="295"/>
      <c r="K2905" s="300">
        <f t="shared" si="406"/>
        <v>1.1000000000000001</v>
      </c>
      <c r="L2905" s="300">
        <f t="shared" si="407"/>
        <v>0</v>
      </c>
      <c r="M2905" s="285">
        <f t="shared" si="408"/>
        <v>0</v>
      </c>
      <c r="N2905" s="1076">
        <f t="shared" si="409"/>
        <v>0</v>
      </c>
      <c r="O2905" s="294"/>
      <c r="P2905" s="404"/>
      <c r="Q2905" s="404"/>
      <c r="R2905" s="301"/>
      <c r="S2905" s="301"/>
      <c r="T2905" s="301"/>
      <c r="U2905" s="301"/>
      <c r="V2905" s="301"/>
    </row>
    <row r="2906" spans="1:22" ht="14.4" thickTop="1" thickBot="1" x14ac:dyDescent="0.3">
      <c r="A2906" s="292"/>
      <c r="B2906" s="293"/>
      <c r="C2906" s="294"/>
      <c r="D2906" s="294"/>
      <c r="E2906" s="294"/>
      <c r="F2906" s="310"/>
      <c r="G2906" s="310"/>
      <c r="H2906" s="310"/>
      <c r="I2906" s="295"/>
      <c r="J2906" s="295"/>
      <c r="K2906" s="300">
        <f t="shared" si="406"/>
        <v>1.1000000000000001</v>
      </c>
      <c r="L2906" s="300">
        <f t="shared" si="407"/>
        <v>0</v>
      </c>
      <c r="M2906" s="285">
        <f t="shared" si="408"/>
        <v>0</v>
      </c>
      <c r="N2906" s="1076">
        <f t="shared" si="409"/>
        <v>0</v>
      </c>
      <c r="O2906" s="294"/>
      <c r="P2906" s="404"/>
      <c r="Q2906" s="404"/>
      <c r="R2906" s="301"/>
      <c r="S2906" s="301"/>
      <c r="T2906" s="301"/>
      <c r="U2906" s="301"/>
      <c r="V2906" s="301"/>
    </row>
    <row r="2907" spans="1:22" ht="14.4" thickTop="1" thickBot="1" x14ac:dyDescent="0.3">
      <c r="A2907" s="292"/>
      <c r="B2907" s="293"/>
      <c r="C2907" s="294"/>
      <c r="D2907" s="294"/>
      <c r="E2907" s="294"/>
      <c r="F2907" s="310"/>
      <c r="G2907" s="310"/>
      <c r="H2907" s="310"/>
      <c r="I2907" s="295"/>
      <c r="J2907" s="295"/>
      <c r="K2907" s="300">
        <f t="shared" si="406"/>
        <v>1.1000000000000001</v>
      </c>
      <c r="L2907" s="300">
        <f t="shared" si="407"/>
        <v>0</v>
      </c>
      <c r="M2907" s="285">
        <f t="shared" si="408"/>
        <v>0</v>
      </c>
      <c r="N2907" s="1076">
        <f t="shared" si="409"/>
        <v>0</v>
      </c>
      <c r="O2907" s="294"/>
      <c r="P2907" s="404"/>
      <c r="Q2907" s="404"/>
      <c r="R2907" s="301"/>
      <c r="S2907" s="301"/>
      <c r="T2907" s="301"/>
      <c r="U2907" s="301"/>
      <c r="V2907" s="301"/>
    </row>
    <row r="2908" spans="1:22" ht="14.4" thickTop="1" thickBot="1" x14ac:dyDescent="0.3">
      <c r="A2908" s="292"/>
      <c r="B2908" s="293"/>
      <c r="C2908" s="294"/>
      <c r="D2908" s="294"/>
      <c r="E2908" s="294"/>
      <c r="F2908" s="310"/>
      <c r="G2908" s="310"/>
      <c r="H2908" s="310"/>
      <c r="I2908" s="295"/>
      <c r="J2908" s="295"/>
      <c r="K2908" s="300">
        <f t="shared" si="406"/>
        <v>1.1000000000000001</v>
      </c>
      <c r="L2908" s="300">
        <f t="shared" si="407"/>
        <v>0</v>
      </c>
      <c r="M2908" s="285">
        <f t="shared" si="408"/>
        <v>0</v>
      </c>
      <c r="N2908" s="1076">
        <f t="shared" si="409"/>
        <v>0</v>
      </c>
      <c r="O2908" s="294"/>
      <c r="P2908" s="404"/>
      <c r="Q2908" s="404"/>
      <c r="R2908" s="301"/>
      <c r="S2908" s="301"/>
      <c r="T2908" s="301"/>
      <c r="U2908" s="301"/>
      <c r="V2908" s="301"/>
    </row>
    <row r="2909" spans="1:22" ht="14.4" thickTop="1" thickBot="1" x14ac:dyDescent="0.3">
      <c r="A2909" s="292"/>
      <c r="B2909" s="293"/>
      <c r="C2909" s="294"/>
      <c r="D2909" s="294"/>
      <c r="E2909" s="294"/>
      <c r="F2909" s="310"/>
      <c r="G2909" s="310"/>
      <c r="H2909" s="310"/>
      <c r="I2909" s="295"/>
      <c r="J2909" s="295"/>
      <c r="K2909" s="300">
        <f t="shared" si="406"/>
        <v>1.1000000000000001</v>
      </c>
      <c r="L2909" s="300">
        <f t="shared" si="407"/>
        <v>0</v>
      </c>
      <c r="M2909" s="285">
        <f t="shared" si="408"/>
        <v>0</v>
      </c>
      <c r="N2909" s="1076">
        <f t="shared" si="409"/>
        <v>0</v>
      </c>
      <c r="O2909" s="294"/>
      <c r="P2909" s="404"/>
      <c r="Q2909" s="404"/>
      <c r="R2909" s="301"/>
      <c r="S2909" s="301"/>
      <c r="T2909" s="301"/>
      <c r="U2909" s="301"/>
      <c r="V2909" s="301"/>
    </row>
    <row r="2910" spans="1:22" ht="14.4" thickTop="1" thickBot="1" x14ac:dyDescent="0.3">
      <c r="A2910" s="292"/>
      <c r="B2910" s="293"/>
      <c r="C2910" s="294"/>
      <c r="D2910" s="294"/>
      <c r="E2910" s="294"/>
      <c r="F2910" s="310"/>
      <c r="G2910" s="310"/>
      <c r="H2910" s="310"/>
      <c r="I2910" s="295"/>
      <c r="J2910" s="295"/>
      <c r="K2910" s="300">
        <f t="shared" si="406"/>
        <v>1.1000000000000001</v>
      </c>
      <c r="L2910" s="300">
        <f t="shared" si="407"/>
        <v>0</v>
      </c>
      <c r="M2910" s="285">
        <f t="shared" si="408"/>
        <v>0</v>
      </c>
      <c r="N2910" s="1076">
        <f t="shared" si="409"/>
        <v>0</v>
      </c>
      <c r="O2910" s="294"/>
      <c r="P2910" s="404"/>
      <c r="Q2910" s="404"/>
      <c r="R2910" s="301"/>
      <c r="S2910" s="301"/>
      <c r="T2910" s="301"/>
      <c r="U2910" s="301"/>
      <c r="V2910" s="301"/>
    </row>
    <row r="2911" spans="1:22" ht="14.4" thickTop="1" thickBot="1" x14ac:dyDescent="0.3">
      <c r="A2911" s="292"/>
      <c r="B2911" s="293"/>
      <c r="C2911" s="294"/>
      <c r="D2911" s="294"/>
      <c r="E2911" s="294"/>
      <c r="F2911" s="310"/>
      <c r="G2911" s="310"/>
      <c r="H2911" s="310"/>
      <c r="I2911" s="295"/>
      <c r="J2911" s="295"/>
      <c r="K2911" s="300">
        <f t="shared" si="406"/>
        <v>1.1000000000000001</v>
      </c>
      <c r="L2911" s="300">
        <f t="shared" si="407"/>
        <v>0</v>
      </c>
      <c r="M2911" s="285">
        <f t="shared" si="408"/>
        <v>0</v>
      </c>
      <c r="N2911" s="1076">
        <f t="shared" si="409"/>
        <v>0</v>
      </c>
      <c r="O2911" s="294"/>
      <c r="P2911" s="404"/>
      <c r="Q2911" s="404"/>
      <c r="R2911" s="301"/>
      <c r="S2911" s="301"/>
      <c r="T2911" s="301"/>
      <c r="U2911" s="301"/>
      <c r="V2911" s="301"/>
    </row>
    <row r="2912" spans="1:22" ht="14.4" thickTop="1" thickBot="1" x14ac:dyDescent="0.3">
      <c r="A2912" s="292"/>
      <c r="B2912" s="293"/>
      <c r="C2912" s="294"/>
      <c r="D2912" s="294"/>
      <c r="E2912" s="294"/>
      <c r="F2912" s="310"/>
      <c r="G2912" s="310"/>
      <c r="H2912" s="310"/>
      <c r="I2912" s="295"/>
      <c r="J2912" s="295"/>
      <c r="K2912" s="300">
        <f t="shared" si="406"/>
        <v>1.1000000000000001</v>
      </c>
      <c r="L2912" s="300">
        <f t="shared" si="407"/>
        <v>0</v>
      </c>
      <c r="M2912" s="285">
        <f t="shared" si="408"/>
        <v>0</v>
      </c>
      <c r="N2912" s="1076">
        <f t="shared" si="409"/>
        <v>0</v>
      </c>
      <c r="O2912" s="294"/>
      <c r="P2912" s="404"/>
      <c r="Q2912" s="404"/>
      <c r="R2912" s="301"/>
      <c r="S2912" s="301"/>
      <c r="T2912" s="301"/>
      <c r="U2912" s="301"/>
      <c r="V2912" s="301"/>
    </row>
    <row r="2913" spans="1:22" ht="14.4" thickTop="1" thickBot="1" x14ac:dyDescent="0.3">
      <c r="A2913" s="292"/>
      <c r="B2913" s="293"/>
      <c r="C2913" s="294"/>
      <c r="D2913" s="294"/>
      <c r="E2913" s="294"/>
      <c r="F2913" s="310"/>
      <c r="G2913" s="310"/>
      <c r="H2913" s="310"/>
      <c r="I2913" s="295"/>
      <c r="J2913" s="295"/>
      <c r="K2913" s="300">
        <f t="shared" si="406"/>
        <v>1.1000000000000001</v>
      </c>
      <c r="L2913" s="300">
        <f t="shared" si="407"/>
        <v>0</v>
      </c>
      <c r="M2913" s="285">
        <f t="shared" si="408"/>
        <v>0</v>
      </c>
      <c r="N2913" s="1076">
        <f t="shared" si="409"/>
        <v>0</v>
      </c>
      <c r="O2913" s="294"/>
      <c r="P2913" s="404"/>
      <c r="Q2913" s="404"/>
      <c r="R2913" s="301"/>
      <c r="S2913" s="301"/>
      <c r="T2913" s="301"/>
      <c r="U2913" s="301"/>
      <c r="V2913" s="301"/>
    </row>
    <row r="2914" spans="1:22" ht="14.4" thickTop="1" thickBot="1" x14ac:dyDescent="0.3">
      <c r="A2914" s="292"/>
      <c r="B2914" s="293"/>
      <c r="C2914" s="294"/>
      <c r="D2914" s="294"/>
      <c r="E2914" s="294"/>
      <c r="F2914" s="310"/>
      <c r="G2914" s="310"/>
      <c r="H2914" s="310"/>
      <c r="I2914" s="295"/>
      <c r="J2914" s="295"/>
      <c r="K2914" s="300">
        <f t="shared" si="406"/>
        <v>1.1000000000000001</v>
      </c>
      <c r="L2914" s="300">
        <f t="shared" si="407"/>
        <v>0</v>
      </c>
      <c r="M2914" s="285">
        <f t="shared" si="408"/>
        <v>0</v>
      </c>
      <c r="N2914" s="1076">
        <f t="shared" si="409"/>
        <v>0</v>
      </c>
      <c r="O2914" s="294"/>
      <c r="P2914" s="404"/>
      <c r="Q2914" s="404"/>
      <c r="R2914" s="301"/>
      <c r="S2914" s="301"/>
      <c r="T2914" s="301"/>
      <c r="U2914" s="301"/>
      <c r="V2914" s="301"/>
    </row>
    <row r="2915" spans="1:22" ht="14.4" thickTop="1" thickBot="1" x14ac:dyDescent="0.3">
      <c r="A2915" s="292"/>
      <c r="B2915" s="293"/>
      <c r="C2915" s="294"/>
      <c r="D2915" s="294"/>
      <c r="E2915" s="294"/>
      <c r="F2915" s="310"/>
      <c r="G2915" s="310"/>
      <c r="H2915" s="310"/>
      <c r="I2915" s="295"/>
      <c r="J2915" s="295"/>
      <c r="K2915" s="300">
        <f t="shared" si="406"/>
        <v>1.1000000000000001</v>
      </c>
      <c r="L2915" s="300">
        <f t="shared" si="407"/>
        <v>0</v>
      </c>
      <c r="M2915" s="285">
        <f t="shared" si="408"/>
        <v>0</v>
      </c>
      <c r="N2915" s="1076">
        <f t="shared" si="409"/>
        <v>0</v>
      </c>
      <c r="O2915" s="294"/>
      <c r="P2915" s="404"/>
      <c r="Q2915" s="404"/>
      <c r="R2915" s="301"/>
      <c r="S2915" s="301"/>
      <c r="T2915" s="301"/>
      <c r="U2915" s="301"/>
      <c r="V2915" s="301"/>
    </row>
    <row r="2916" spans="1:22" ht="14.4" thickTop="1" thickBot="1" x14ac:dyDescent="0.3">
      <c r="A2916" s="292"/>
      <c r="B2916" s="293"/>
      <c r="C2916" s="294"/>
      <c r="D2916" s="294"/>
      <c r="E2916" s="294"/>
      <c r="F2916" s="310"/>
      <c r="G2916" s="310"/>
      <c r="H2916" s="310"/>
      <c r="I2916" s="295"/>
      <c r="J2916" s="295"/>
      <c r="K2916" s="300">
        <f t="shared" ref="K2916:K2979" si="410">$K$2</f>
        <v>1.1000000000000001</v>
      </c>
      <c r="L2916" s="300">
        <f t="shared" si="407"/>
        <v>0</v>
      </c>
      <c r="M2916" s="285">
        <f t="shared" si="408"/>
        <v>0</v>
      </c>
      <c r="N2916" s="1076">
        <f t="shared" si="409"/>
        <v>0</v>
      </c>
      <c r="O2916" s="294"/>
      <c r="P2916" s="404"/>
      <c r="Q2916" s="404"/>
      <c r="R2916" s="301"/>
      <c r="S2916" s="301"/>
      <c r="T2916" s="301"/>
      <c r="U2916" s="301"/>
      <c r="V2916" s="301"/>
    </row>
    <row r="2917" spans="1:22" ht="14.4" thickTop="1" thickBot="1" x14ac:dyDescent="0.3">
      <c r="A2917" s="292"/>
      <c r="B2917" s="293"/>
      <c r="C2917" s="294"/>
      <c r="D2917" s="294"/>
      <c r="E2917" s="294"/>
      <c r="F2917" s="310"/>
      <c r="G2917" s="310"/>
      <c r="H2917" s="310"/>
      <c r="I2917" s="295"/>
      <c r="J2917" s="295"/>
      <c r="K2917" s="300">
        <f t="shared" si="410"/>
        <v>1.1000000000000001</v>
      </c>
      <c r="L2917" s="300">
        <f t="shared" si="407"/>
        <v>0</v>
      </c>
      <c r="M2917" s="285">
        <f t="shared" si="408"/>
        <v>0</v>
      </c>
      <c r="N2917" s="1076">
        <f t="shared" si="409"/>
        <v>0</v>
      </c>
      <c r="O2917" s="294"/>
      <c r="P2917" s="404"/>
      <c r="Q2917" s="404"/>
      <c r="R2917" s="301"/>
      <c r="S2917" s="301"/>
      <c r="T2917" s="301"/>
      <c r="U2917" s="301"/>
      <c r="V2917" s="301"/>
    </row>
    <row r="2918" spans="1:22" ht="14.4" thickTop="1" thickBot="1" x14ac:dyDescent="0.3">
      <c r="A2918" s="292"/>
      <c r="B2918" s="293"/>
      <c r="C2918" s="294"/>
      <c r="D2918" s="294"/>
      <c r="E2918" s="294"/>
      <c r="F2918" s="310"/>
      <c r="G2918" s="310"/>
      <c r="H2918" s="310"/>
      <c r="I2918" s="295"/>
      <c r="J2918" s="295"/>
      <c r="K2918" s="300">
        <f t="shared" si="410"/>
        <v>1.1000000000000001</v>
      </c>
      <c r="L2918" s="300">
        <f t="shared" si="407"/>
        <v>0</v>
      </c>
      <c r="M2918" s="285">
        <f t="shared" si="408"/>
        <v>0</v>
      </c>
      <c r="N2918" s="1076">
        <f t="shared" si="409"/>
        <v>0</v>
      </c>
      <c r="O2918" s="294"/>
      <c r="P2918" s="404"/>
      <c r="Q2918" s="404"/>
      <c r="R2918" s="301"/>
      <c r="S2918" s="301"/>
      <c r="T2918" s="301"/>
      <c r="U2918" s="301"/>
      <c r="V2918" s="301"/>
    </row>
    <row r="2919" spans="1:22" ht="14.4" thickTop="1" thickBot="1" x14ac:dyDescent="0.3">
      <c r="A2919" s="292"/>
      <c r="B2919" s="293"/>
      <c r="C2919" s="294"/>
      <c r="D2919" s="294"/>
      <c r="E2919" s="294"/>
      <c r="F2919" s="310"/>
      <c r="G2919" s="310"/>
      <c r="H2919" s="310"/>
      <c r="I2919" s="295"/>
      <c r="J2919" s="295"/>
      <c r="K2919" s="300">
        <f t="shared" si="410"/>
        <v>1.1000000000000001</v>
      </c>
      <c r="L2919" s="300">
        <f t="shared" si="407"/>
        <v>0</v>
      </c>
      <c r="M2919" s="285">
        <f t="shared" si="408"/>
        <v>0</v>
      </c>
      <c r="N2919" s="1076">
        <f t="shared" si="409"/>
        <v>0</v>
      </c>
      <c r="O2919" s="294"/>
      <c r="P2919" s="404"/>
      <c r="Q2919" s="404"/>
      <c r="R2919" s="301"/>
      <c r="S2919" s="301"/>
      <c r="T2919" s="301"/>
      <c r="U2919" s="301"/>
      <c r="V2919" s="301"/>
    </row>
    <row r="2920" spans="1:22" ht="14.4" thickTop="1" thickBot="1" x14ac:dyDescent="0.3">
      <c r="A2920" s="292"/>
      <c r="B2920" s="293"/>
      <c r="C2920" s="294"/>
      <c r="D2920" s="294"/>
      <c r="E2920" s="294"/>
      <c r="F2920" s="310"/>
      <c r="G2920" s="310"/>
      <c r="H2920" s="310"/>
      <c r="I2920" s="295"/>
      <c r="J2920" s="295"/>
      <c r="K2920" s="300">
        <f t="shared" si="410"/>
        <v>1.1000000000000001</v>
      </c>
      <c r="L2920" s="300">
        <f t="shared" si="407"/>
        <v>0</v>
      </c>
      <c r="M2920" s="285">
        <f t="shared" si="408"/>
        <v>0</v>
      </c>
      <c r="N2920" s="1076">
        <f t="shared" si="409"/>
        <v>0</v>
      </c>
      <c r="O2920" s="294"/>
      <c r="P2920" s="404"/>
      <c r="Q2920" s="404"/>
      <c r="R2920" s="301"/>
      <c r="S2920" s="301"/>
      <c r="T2920" s="301"/>
      <c r="U2920" s="301"/>
      <c r="V2920" s="301"/>
    </row>
    <row r="2921" spans="1:22" ht="14.4" thickTop="1" thickBot="1" x14ac:dyDescent="0.3">
      <c r="A2921" s="292"/>
      <c r="B2921" s="293"/>
      <c r="C2921" s="294"/>
      <c r="D2921" s="294"/>
      <c r="E2921" s="294"/>
      <c r="F2921" s="310"/>
      <c r="G2921" s="310"/>
      <c r="H2921" s="310"/>
      <c r="I2921" s="295"/>
      <c r="J2921" s="295"/>
      <c r="K2921" s="300">
        <f t="shared" si="410"/>
        <v>1.1000000000000001</v>
      </c>
      <c r="L2921" s="300">
        <f t="shared" si="407"/>
        <v>0</v>
      </c>
      <c r="M2921" s="285">
        <f t="shared" si="408"/>
        <v>0</v>
      </c>
      <c r="N2921" s="1076">
        <f t="shared" si="409"/>
        <v>0</v>
      </c>
      <c r="O2921" s="294"/>
      <c r="P2921" s="404"/>
      <c r="Q2921" s="404"/>
      <c r="R2921" s="301"/>
      <c r="S2921" s="301"/>
      <c r="T2921" s="301"/>
      <c r="U2921" s="301"/>
      <c r="V2921" s="301"/>
    </row>
    <row r="2922" spans="1:22" ht="14.4" thickTop="1" thickBot="1" x14ac:dyDescent="0.3">
      <c r="A2922" s="292"/>
      <c r="B2922" s="293"/>
      <c r="C2922" s="294"/>
      <c r="D2922" s="294"/>
      <c r="E2922" s="294"/>
      <c r="F2922" s="310"/>
      <c r="G2922" s="310"/>
      <c r="H2922" s="310"/>
      <c r="I2922" s="295"/>
      <c r="J2922" s="295"/>
      <c r="K2922" s="300">
        <f t="shared" si="410"/>
        <v>1.1000000000000001</v>
      </c>
      <c r="L2922" s="300">
        <f t="shared" si="407"/>
        <v>0</v>
      </c>
      <c r="M2922" s="285">
        <f t="shared" si="408"/>
        <v>0</v>
      </c>
      <c r="N2922" s="1076">
        <f t="shared" si="409"/>
        <v>0</v>
      </c>
      <c r="O2922" s="294"/>
      <c r="P2922" s="404"/>
      <c r="Q2922" s="404"/>
      <c r="R2922" s="301"/>
      <c r="S2922" s="301"/>
      <c r="T2922" s="301"/>
      <c r="U2922" s="301"/>
      <c r="V2922" s="301"/>
    </row>
    <row r="2923" spans="1:22" ht="14.4" thickTop="1" thickBot="1" x14ac:dyDescent="0.3">
      <c r="A2923" s="292"/>
      <c r="B2923" s="293"/>
      <c r="C2923" s="294"/>
      <c r="D2923" s="294"/>
      <c r="E2923" s="294"/>
      <c r="F2923" s="310"/>
      <c r="G2923" s="310"/>
      <c r="H2923" s="310"/>
      <c r="I2923" s="295"/>
      <c r="J2923" s="295"/>
      <c r="K2923" s="300">
        <f t="shared" si="410"/>
        <v>1.1000000000000001</v>
      </c>
      <c r="L2923" s="300">
        <f t="shared" si="407"/>
        <v>0</v>
      </c>
      <c r="M2923" s="285">
        <f t="shared" si="408"/>
        <v>0</v>
      </c>
      <c r="N2923" s="1076">
        <f t="shared" si="409"/>
        <v>0</v>
      </c>
      <c r="O2923" s="294"/>
      <c r="P2923" s="404"/>
      <c r="Q2923" s="404"/>
      <c r="R2923" s="301"/>
      <c r="S2923" s="301"/>
      <c r="T2923" s="301"/>
      <c r="U2923" s="301"/>
      <c r="V2923" s="301"/>
    </row>
    <row r="2924" spans="1:22" ht="14.4" thickTop="1" thickBot="1" x14ac:dyDescent="0.3">
      <c r="A2924" s="292"/>
      <c r="B2924" s="293"/>
      <c r="C2924" s="294"/>
      <c r="D2924" s="294"/>
      <c r="E2924" s="294"/>
      <c r="F2924" s="310"/>
      <c r="G2924" s="310"/>
      <c r="H2924" s="310"/>
      <c r="I2924" s="295"/>
      <c r="J2924" s="295"/>
      <c r="K2924" s="300">
        <f t="shared" si="410"/>
        <v>1.1000000000000001</v>
      </c>
      <c r="L2924" s="300">
        <f t="shared" si="407"/>
        <v>0</v>
      </c>
      <c r="M2924" s="285">
        <f t="shared" si="408"/>
        <v>0</v>
      </c>
      <c r="N2924" s="1076">
        <f t="shared" si="409"/>
        <v>0</v>
      </c>
      <c r="O2924" s="294"/>
      <c r="P2924" s="404"/>
      <c r="Q2924" s="404"/>
      <c r="R2924" s="301"/>
      <c r="S2924" s="301"/>
      <c r="T2924" s="301"/>
      <c r="U2924" s="301"/>
      <c r="V2924" s="301"/>
    </row>
    <row r="2925" spans="1:22" ht="14.4" thickTop="1" thickBot="1" x14ac:dyDescent="0.3">
      <c r="A2925" s="292"/>
      <c r="B2925" s="293"/>
      <c r="C2925" s="294"/>
      <c r="D2925" s="294"/>
      <c r="E2925" s="294"/>
      <c r="F2925" s="310"/>
      <c r="G2925" s="310"/>
      <c r="H2925" s="310"/>
      <c r="I2925" s="295"/>
      <c r="J2925" s="295"/>
      <c r="K2925" s="300">
        <f t="shared" si="410"/>
        <v>1.1000000000000001</v>
      </c>
      <c r="L2925" s="300">
        <f t="shared" si="407"/>
        <v>0</v>
      </c>
      <c r="M2925" s="285">
        <f t="shared" si="408"/>
        <v>0</v>
      </c>
      <c r="N2925" s="1076">
        <f t="shared" si="409"/>
        <v>0</v>
      </c>
      <c r="O2925" s="294"/>
      <c r="P2925" s="404"/>
      <c r="Q2925" s="404"/>
      <c r="R2925" s="301"/>
      <c r="S2925" s="301"/>
      <c r="T2925" s="301"/>
      <c r="U2925" s="301"/>
      <c r="V2925" s="301"/>
    </row>
    <row r="2926" spans="1:22" ht="14.4" thickTop="1" thickBot="1" x14ac:dyDescent="0.3">
      <c r="A2926" s="292"/>
      <c r="B2926" s="293"/>
      <c r="C2926" s="294"/>
      <c r="D2926" s="294"/>
      <c r="E2926" s="294"/>
      <c r="F2926" s="310"/>
      <c r="G2926" s="310"/>
      <c r="H2926" s="310"/>
      <c r="I2926" s="295"/>
      <c r="J2926" s="295"/>
      <c r="K2926" s="300">
        <f t="shared" si="410"/>
        <v>1.1000000000000001</v>
      </c>
      <c r="L2926" s="300">
        <f t="shared" ref="L2926:L2989" si="411">K2926*J2926</f>
        <v>0</v>
      </c>
      <c r="M2926" s="285">
        <f t="shared" si="408"/>
        <v>0</v>
      </c>
      <c r="N2926" s="1076">
        <f t="shared" si="409"/>
        <v>0</v>
      </c>
      <c r="O2926" s="294"/>
      <c r="P2926" s="404"/>
      <c r="Q2926" s="404"/>
      <c r="R2926" s="301"/>
      <c r="S2926" s="301"/>
      <c r="T2926" s="301"/>
      <c r="U2926" s="301"/>
      <c r="V2926" s="301"/>
    </row>
    <row r="2927" spans="1:22" ht="14.4" thickTop="1" thickBot="1" x14ac:dyDescent="0.3">
      <c r="A2927" s="292"/>
      <c r="B2927" s="293"/>
      <c r="C2927" s="294"/>
      <c r="D2927" s="294"/>
      <c r="E2927" s="294"/>
      <c r="F2927" s="310"/>
      <c r="G2927" s="310"/>
      <c r="H2927" s="310"/>
      <c r="I2927" s="295"/>
      <c r="J2927" s="295"/>
      <c r="K2927" s="300">
        <f t="shared" si="410"/>
        <v>1.1000000000000001</v>
      </c>
      <c r="L2927" s="300">
        <f t="shared" si="411"/>
        <v>0</v>
      </c>
      <c r="M2927" s="285">
        <f t="shared" si="408"/>
        <v>0</v>
      </c>
      <c r="N2927" s="1076">
        <f t="shared" si="409"/>
        <v>0</v>
      </c>
      <c r="O2927" s="294"/>
      <c r="P2927" s="404"/>
      <c r="Q2927" s="404"/>
      <c r="R2927" s="301"/>
      <c r="S2927" s="301"/>
      <c r="T2927" s="301"/>
      <c r="U2927" s="301"/>
      <c r="V2927" s="301"/>
    </row>
    <row r="2928" spans="1:22" ht="14.4" thickTop="1" thickBot="1" x14ac:dyDescent="0.3">
      <c r="A2928" s="292"/>
      <c r="B2928" s="293"/>
      <c r="C2928" s="294"/>
      <c r="D2928" s="294"/>
      <c r="E2928" s="294"/>
      <c r="F2928" s="310"/>
      <c r="G2928" s="310"/>
      <c r="H2928" s="310"/>
      <c r="I2928" s="295"/>
      <c r="J2928" s="295"/>
      <c r="K2928" s="300">
        <f t="shared" si="410"/>
        <v>1.1000000000000001</v>
      </c>
      <c r="L2928" s="300">
        <f t="shared" si="411"/>
        <v>0</v>
      </c>
      <c r="M2928" s="285">
        <f t="shared" ref="M2928:M2991" si="412">ROUND(L2928,1)</f>
        <v>0</v>
      </c>
      <c r="N2928" s="1076">
        <f t="shared" ref="N2928:N2991" si="413">ROUNDUP(M2928,0)</f>
        <v>0</v>
      </c>
      <c r="O2928" s="294"/>
      <c r="P2928" s="404"/>
      <c r="Q2928" s="404"/>
      <c r="R2928" s="301"/>
      <c r="S2928" s="301"/>
      <c r="T2928" s="301"/>
      <c r="U2928" s="301"/>
      <c r="V2928" s="301"/>
    </row>
    <row r="2929" spans="1:22" ht="14.4" thickTop="1" thickBot="1" x14ac:dyDescent="0.3">
      <c r="A2929" s="292"/>
      <c r="B2929" s="293"/>
      <c r="C2929" s="294"/>
      <c r="D2929" s="294"/>
      <c r="E2929" s="294"/>
      <c r="F2929" s="310"/>
      <c r="G2929" s="310"/>
      <c r="H2929" s="310"/>
      <c r="I2929" s="295"/>
      <c r="J2929" s="295"/>
      <c r="K2929" s="300">
        <f t="shared" si="410"/>
        <v>1.1000000000000001</v>
      </c>
      <c r="L2929" s="300">
        <f t="shared" si="411"/>
        <v>0</v>
      </c>
      <c r="M2929" s="285">
        <f t="shared" si="412"/>
        <v>0</v>
      </c>
      <c r="N2929" s="1076">
        <f t="shared" si="413"/>
        <v>0</v>
      </c>
      <c r="O2929" s="294"/>
      <c r="P2929" s="404"/>
      <c r="Q2929" s="404"/>
      <c r="R2929" s="301"/>
      <c r="S2929" s="301"/>
      <c r="T2929" s="301"/>
      <c r="U2929" s="301"/>
      <c r="V2929" s="301"/>
    </row>
    <row r="2930" spans="1:22" ht="14.4" thickTop="1" thickBot="1" x14ac:dyDescent="0.3">
      <c r="A2930" s="292"/>
      <c r="B2930" s="293"/>
      <c r="C2930" s="294"/>
      <c r="D2930" s="294"/>
      <c r="E2930" s="294"/>
      <c r="F2930" s="310"/>
      <c r="G2930" s="310"/>
      <c r="H2930" s="310"/>
      <c r="I2930" s="295"/>
      <c r="J2930" s="295"/>
      <c r="K2930" s="300">
        <f t="shared" si="410"/>
        <v>1.1000000000000001</v>
      </c>
      <c r="L2930" s="300">
        <f t="shared" si="411"/>
        <v>0</v>
      </c>
      <c r="M2930" s="285">
        <f t="shared" si="412"/>
        <v>0</v>
      </c>
      <c r="N2930" s="1076">
        <f t="shared" si="413"/>
        <v>0</v>
      </c>
      <c r="O2930" s="294"/>
      <c r="P2930" s="404"/>
      <c r="Q2930" s="404"/>
      <c r="R2930" s="301"/>
      <c r="S2930" s="301"/>
      <c r="T2930" s="301"/>
      <c r="U2930" s="301"/>
      <c r="V2930" s="301"/>
    </row>
    <row r="2931" spans="1:22" ht="14.4" thickTop="1" thickBot="1" x14ac:dyDescent="0.3">
      <c r="A2931" s="292"/>
      <c r="B2931" s="293"/>
      <c r="C2931" s="294"/>
      <c r="D2931" s="294"/>
      <c r="E2931" s="294"/>
      <c r="F2931" s="310"/>
      <c r="G2931" s="310"/>
      <c r="H2931" s="310"/>
      <c r="I2931" s="295"/>
      <c r="J2931" s="295"/>
      <c r="K2931" s="300">
        <f t="shared" si="410"/>
        <v>1.1000000000000001</v>
      </c>
      <c r="L2931" s="300">
        <f t="shared" si="411"/>
        <v>0</v>
      </c>
      <c r="M2931" s="285">
        <f t="shared" si="412"/>
        <v>0</v>
      </c>
      <c r="N2931" s="1076">
        <f t="shared" si="413"/>
        <v>0</v>
      </c>
      <c r="O2931" s="294"/>
      <c r="P2931" s="404"/>
      <c r="Q2931" s="404"/>
      <c r="R2931" s="301"/>
      <c r="S2931" s="301"/>
      <c r="T2931" s="301"/>
      <c r="U2931" s="301"/>
      <c r="V2931" s="301"/>
    </row>
    <row r="2932" spans="1:22" ht="14.4" thickTop="1" thickBot="1" x14ac:dyDescent="0.3">
      <c r="A2932" s="292"/>
      <c r="B2932" s="293"/>
      <c r="C2932" s="294"/>
      <c r="D2932" s="294"/>
      <c r="E2932" s="294"/>
      <c r="F2932" s="310"/>
      <c r="G2932" s="310"/>
      <c r="H2932" s="310"/>
      <c r="I2932" s="295"/>
      <c r="J2932" s="295"/>
      <c r="K2932" s="300">
        <f t="shared" si="410"/>
        <v>1.1000000000000001</v>
      </c>
      <c r="L2932" s="300">
        <f t="shared" si="411"/>
        <v>0</v>
      </c>
      <c r="M2932" s="285">
        <f t="shared" si="412"/>
        <v>0</v>
      </c>
      <c r="N2932" s="1076">
        <f t="shared" si="413"/>
        <v>0</v>
      </c>
      <c r="O2932" s="294"/>
      <c r="P2932" s="404"/>
      <c r="Q2932" s="404"/>
      <c r="R2932" s="301"/>
      <c r="S2932" s="301"/>
      <c r="T2932" s="301"/>
      <c r="U2932" s="301"/>
      <c r="V2932" s="301"/>
    </row>
    <row r="2933" spans="1:22" ht="14.4" thickTop="1" thickBot="1" x14ac:dyDescent="0.3">
      <c r="A2933" s="292"/>
      <c r="B2933" s="293"/>
      <c r="C2933" s="294"/>
      <c r="D2933" s="294"/>
      <c r="E2933" s="294"/>
      <c r="F2933" s="310"/>
      <c r="G2933" s="310"/>
      <c r="H2933" s="310"/>
      <c r="I2933" s="295"/>
      <c r="J2933" s="295"/>
      <c r="K2933" s="300">
        <f t="shared" si="410"/>
        <v>1.1000000000000001</v>
      </c>
      <c r="L2933" s="300">
        <f t="shared" si="411"/>
        <v>0</v>
      </c>
      <c r="M2933" s="285">
        <f t="shared" si="412"/>
        <v>0</v>
      </c>
      <c r="N2933" s="1076">
        <f t="shared" si="413"/>
        <v>0</v>
      </c>
      <c r="O2933" s="294"/>
      <c r="P2933" s="404"/>
      <c r="Q2933" s="404"/>
      <c r="R2933" s="301"/>
      <c r="S2933" s="301"/>
      <c r="T2933" s="301"/>
      <c r="U2933" s="301"/>
      <c r="V2933" s="301"/>
    </row>
    <row r="2934" spans="1:22" ht="14.4" thickTop="1" thickBot="1" x14ac:dyDescent="0.3">
      <c r="A2934" s="292"/>
      <c r="B2934" s="293"/>
      <c r="C2934" s="294"/>
      <c r="D2934" s="294"/>
      <c r="E2934" s="294"/>
      <c r="F2934" s="310"/>
      <c r="G2934" s="310"/>
      <c r="H2934" s="310"/>
      <c r="I2934" s="295"/>
      <c r="J2934" s="295"/>
      <c r="K2934" s="300">
        <f t="shared" si="410"/>
        <v>1.1000000000000001</v>
      </c>
      <c r="L2934" s="300">
        <f t="shared" si="411"/>
        <v>0</v>
      </c>
      <c r="M2934" s="285">
        <f t="shared" si="412"/>
        <v>0</v>
      </c>
      <c r="N2934" s="1076">
        <f t="shared" si="413"/>
        <v>0</v>
      </c>
      <c r="O2934" s="294"/>
      <c r="P2934" s="404"/>
      <c r="Q2934" s="404"/>
      <c r="R2934" s="301"/>
      <c r="S2934" s="301"/>
      <c r="T2934" s="301"/>
      <c r="U2934" s="301"/>
      <c r="V2934" s="301"/>
    </row>
    <row r="2935" spans="1:22" ht="14.4" thickTop="1" thickBot="1" x14ac:dyDescent="0.3">
      <c r="A2935" s="292"/>
      <c r="B2935" s="293"/>
      <c r="C2935" s="294"/>
      <c r="D2935" s="294"/>
      <c r="E2935" s="294"/>
      <c r="F2935" s="310"/>
      <c r="G2935" s="310"/>
      <c r="H2935" s="310"/>
      <c r="I2935" s="295"/>
      <c r="J2935" s="295"/>
      <c r="K2935" s="300">
        <f t="shared" si="410"/>
        <v>1.1000000000000001</v>
      </c>
      <c r="L2935" s="300">
        <f t="shared" si="411"/>
        <v>0</v>
      </c>
      <c r="M2935" s="285">
        <f t="shared" si="412"/>
        <v>0</v>
      </c>
      <c r="N2935" s="1076">
        <f t="shared" si="413"/>
        <v>0</v>
      </c>
      <c r="O2935" s="294"/>
      <c r="P2935" s="404"/>
      <c r="Q2935" s="404"/>
      <c r="R2935" s="301"/>
      <c r="S2935" s="301"/>
      <c r="T2935" s="301"/>
      <c r="U2935" s="301"/>
      <c r="V2935" s="301"/>
    </row>
    <row r="2936" spans="1:22" ht="14.4" thickTop="1" thickBot="1" x14ac:dyDescent="0.3">
      <c r="A2936" s="292"/>
      <c r="B2936" s="293"/>
      <c r="C2936" s="294"/>
      <c r="D2936" s="294"/>
      <c r="E2936" s="294"/>
      <c r="F2936" s="310"/>
      <c r="G2936" s="310"/>
      <c r="H2936" s="310"/>
      <c r="I2936" s="295"/>
      <c r="J2936" s="295"/>
      <c r="K2936" s="300">
        <f t="shared" si="410"/>
        <v>1.1000000000000001</v>
      </c>
      <c r="L2936" s="300">
        <f t="shared" si="411"/>
        <v>0</v>
      </c>
      <c r="M2936" s="285">
        <f t="shared" si="412"/>
        <v>0</v>
      </c>
      <c r="N2936" s="1076">
        <f t="shared" si="413"/>
        <v>0</v>
      </c>
      <c r="O2936" s="294"/>
      <c r="P2936" s="404"/>
      <c r="Q2936" s="404"/>
      <c r="R2936" s="301"/>
      <c r="S2936" s="301"/>
      <c r="T2936" s="301"/>
      <c r="U2936" s="301"/>
      <c r="V2936" s="301"/>
    </row>
    <row r="2937" spans="1:22" ht="14.4" thickTop="1" thickBot="1" x14ac:dyDescent="0.3">
      <c r="A2937" s="292"/>
      <c r="B2937" s="293"/>
      <c r="C2937" s="294"/>
      <c r="D2937" s="294"/>
      <c r="E2937" s="294"/>
      <c r="F2937" s="310"/>
      <c r="G2937" s="310"/>
      <c r="H2937" s="310"/>
      <c r="I2937" s="295"/>
      <c r="J2937" s="295"/>
      <c r="K2937" s="300">
        <f t="shared" si="410"/>
        <v>1.1000000000000001</v>
      </c>
      <c r="L2937" s="300">
        <f t="shared" si="411"/>
        <v>0</v>
      </c>
      <c r="M2937" s="285">
        <f t="shared" si="412"/>
        <v>0</v>
      </c>
      <c r="N2937" s="1076">
        <f t="shared" si="413"/>
        <v>0</v>
      </c>
      <c r="O2937" s="294"/>
      <c r="P2937" s="404"/>
      <c r="Q2937" s="404"/>
      <c r="R2937" s="301"/>
      <c r="S2937" s="301"/>
      <c r="T2937" s="301"/>
      <c r="U2937" s="301"/>
      <c r="V2937" s="301"/>
    </row>
    <row r="2938" spans="1:22" ht="14.4" thickTop="1" thickBot="1" x14ac:dyDescent="0.3">
      <c r="A2938" s="292"/>
      <c r="B2938" s="293"/>
      <c r="C2938" s="294"/>
      <c r="D2938" s="294"/>
      <c r="E2938" s="294"/>
      <c r="F2938" s="310"/>
      <c r="G2938" s="310"/>
      <c r="H2938" s="310"/>
      <c r="I2938" s="295"/>
      <c r="J2938" s="295"/>
      <c r="K2938" s="300">
        <f t="shared" si="410"/>
        <v>1.1000000000000001</v>
      </c>
      <c r="L2938" s="300">
        <f t="shared" si="411"/>
        <v>0</v>
      </c>
      <c r="M2938" s="285">
        <f t="shared" si="412"/>
        <v>0</v>
      </c>
      <c r="N2938" s="1076">
        <f t="shared" si="413"/>
        <v>0</v>
      </c>
      <c r="O2938" s="294"/>
      <c r="P2938" s="404"/>
      <c r="Q2938" s="404"/>
      <c r="R2938" s="301"/>
      <c r="S2938" s="301"/>
      <c r="T2938" s="301"/>
      <c r="U2938" s="301"/>
      <c r="V2938" s="301"/>
    </row>
    <row r="2939" spans="1:22" ht="14.4" thickTop="1" thickBot="1" x14ac:dyDescent="0.3">
      <c r="A2939" s="292"/>
      <c r="B2939" s="293"/>
      <c r="C2939" s="294"/>
      <c r="D2939" s="294"/>
      <c r="E2939" s="294"/>
      <c r="F2939" s="310"/>
      <c r="G2939" s="310"/>
      <c r="H2939" s="310"/>
      <c r="I2939" s="295"/>
      <c r="J2939" s="295"/>
      <c r="K2939" s="300">
        <f t="shared" si="410"/>
        <v>1.1000000000000001</v>
      </c>
      <c r="L2939" s="300">
        <f t="shared" si="411"/>
        <v>0</v>
      </c>
      <c r="M2939" s="285">
        <f t="shared" si="412"/>
        <v>0</v>
      </c>
      <c r="N2939" s="1076">
        <f t="shared" si="413"/>
        <v>0</v>
      </c>
      <c r="O2939" s="294"/>
      <c r="P2939" s="404"/>
      <c r="Q2939" s="404"/>
      <c r="R2939" s="301"/>
      <c r="S2939" s="301"/>
      <c r="T2939" s="301"/>
      <c r="U2939" s="301"/>
      <c r="V2939" s="301"/>
    </row>
    <row r="2940" spans="1:22" ht="14.4" thickTop="1" thickBot="1" x14ac:dyDescent="0.3">
      <c r="A2940" s="292"/>
      <c r="B2940" s="293"/>
      <c r="C2940" s="294"/>
      <c r="D2940" s="294"/>
      <c r="E2940" s="294"/>
      <c r="F2940" s="310"/>
      <c r="G2940" s="310"/>
      <c r="H2940" s="310"/>
      <c r="I2940" s="295"/>
      <c r="J2940" s="295"/>
      <c r="K2940" s="300">
        <f t="shared" si="410"/>
        <v>1.1000000000000001</v>
      </c>
      <c r="L2940" s="300">
        <f t="shared" si="411"/>
        <v>0</v>
      </c>
      <c r="M2940" s="285">
        <f t="shared" si="412"/>
        <v>0</v>
      </c>
      <c r="N2940" s="1076">
        <f t="shared" si="413"/>
        <v>0</v>
      </c>
      <c r="O2940" s="294"/>
      <c r="P2940" s="404"/>
      <c r="Q2940" s="404"/>
      <c r="R2940" s="301"/>
      <c r="S2940" s="301"/>
      <c r="T2940" s="301"/>
      <c r="U2940" s="301"/>
      <c r="V2940" s="301"/>
    </row>
    <row r="2941" spans="1:22" ht="14.4" thickTop="1" thickBot="1" x14ac:dyDescent="0.3">
      <c r="A2941" s="292"/>
      <c r="B2941" s="293"/>
      <c r="C2941" s="294"/>
      <c r="D2941" s="294"/>
      <c r="E2941" s="294"/>
      <c r="F2941" s="310"/>
      <c r="G2941" s="310"/>
      <c r="H2941" s="310"/>
      <c r="I2941" s="295"/>
      <c r="J2941" s="295"/>
      <c r="K2941" s="300">
        <f t="shared" si="410"/>
        <v>1.1000000000000001</v>
      </c>
      <c r="L2941" s="300">
        <f t="shared" si="411"/>
        <v>0</v>
      </c>
      <c r="M2941" s="285">
        <f t="shared" si="412"/>
        <v>0</v>
      </c>
      <c r="N2941" s="1076">
        <f t="shared" si="413"/>
        <v>0</v>
      </c>
      <c r="O2941" s="294"/>
      <c r="P2941" s="404"/>
      <c r="Q2941" s="404"/>
      <c r="R2941" s="301"/>
      <c r="S2941" s="301"/>
      <c r="T2941" s="301"/>
      <c r="U2941" s="301"/>
      <c r="V2941" s="301"/>
    </row>
    <row r="2942" spans="1:22" ht="14.4" thickTop="1" thickBot="1" x14ac:dyDescent="0.3">
      <c r="A2942" s="292"/>
      <c r="B2942" s="293"/>
      <c r="C2942" s="294"/>
      <c r="D2942" s="294"/>
      <c r="E2942" s="294"/>
      <c r="F2942" s="310"/>
      <c r="G2942" s="310"/>
      <c r="H2942" s="310"/>
      <c r="I2942" s="295"/>
      <c r="J2942" s="295"/>
      <c r="K2942" s="300">
        <f t="shared" si="410"/>
        <v>1.1000000000000001</v>
      </c>
      <c r="L2942" s="300">
        <f t="shared" si="411"/>
        <v>0</v>
      </c>
      <c r="M2942" s="285">
        <f t="shared" si="412"/>
        <v>0</v>
      </c>
      <c r="N2942" s="1076">
        <f t="shared" si="413"/>
        <v>0</v>
      </c>
      <c r="O2942" s="294"/>
      <c r="P2942" s="404"/>
      <c r="Q2942" s="404"/>
      <c r="R2942" s="301"/>
      <c r="S2942" s="301"/>
      <c r="T2942" s="301"/>
      <c r="U2942" s="301"/>
      <c r="V2942" s="301"/>
    </row>
    <row r="2943" spans="1:22" ht="14.4" thickTop="1" thickBot="1" x14ac:dyDescent="0.3">
      <c r="A2943" s="292"/>
      <c r="B2943" s="293"/>
      <c r="C2943" s="294"/>
      <c r="D2943" s="294"/>
      <c r="E2943" s="294"/>
      <c r="F2943" s="310"/>
      <c r="G2943" s="310"/>
      <c r="H2943" s="310"/>
      <c r="I2943" s="295"/>
      <c r="J2943" s="295"/>
      <c r="K2943" s="300">
        <f t="shared" si="410"/>
        <v>1.1000000000000001</v>
      </c>
      <c r="L2943" s="300">
        <f t="shared" si="411"/>
        <v>0</v>
      </c>
      <c r="M2943" s="285">
        <f t="shared" si="412"/>
        <v>0</v>
      </c>
      <c r="N2943" s="1076">
        <f t="shared" si="413"/>
        <v>0</v>
      </c>
      <c r="O2943" s="294"/>
      <c r="P2943" s="404"/>
      <c r="Q2943" s="404"/>
      <c r="R2943" s="301"/>
      <c r="S2943" s="301"/>
      <c r="T2943" s="301"/>
      <c r="U2943" s="301"/>
      <c r="V2943" s="301"/>
    </row>
    <row r="2944" spans="1:22" ht="14.4" thickTop="1" thickBot="1" x14ac:dyDescent="0.3">
      <c r="A2944" s="292"/>
      <c r="B2944" s="293"/>
      <c r="C2944" s="294"/>
      <c r="D2944" s="294"/>
      <c r="E2944" s="294"/>
      <c r="F2944" s="310"/>
      <c r="G2944" s="310"/>
      <c r="H2944" s="310"/>
      <c r="I2944" s="295"/>
      <c r="J2944" s="295"/>
      <c r="K2944" s="300">
        <f t="shared" si="410"/>
        <v>1.1000000000000001</v>
      </c>
      <c r="L2944" s="300">
        <f t="shared" si="411"/>
        <v>0</v>
      </c>
      <c r="M2944" s="285">
        <f t="shared" si="412"/>
        <v>0</v>
      </c>
      <c r="N2944" s="1076">
        <f t="shared" si="413"/>
        <v>0</v>
      </c>
      <c r="O2944" s="294"/>
      <c r="P2944" s="404"/>
      <c r="Q2944" s="404"/>
      <c r="R2944" s="301"/>
      <c r="S2944" s="301"/>
      <c r="T2944" s="301"/>
      <c r="U2944" s="301"/>
      <c r="V2944" s="301"/>
    </row>
    <row r="2945" spans="1:22" ht="14.4" thickTop="1" thickBot="1" x14ac:dyDescent="0.3">
      <c r="A2945" s="292"/>
      <c r="B2945" s="293"/>
      <c r="C2945" s="294"/>
      <c r="D2945" s="294"/>
      <c r="E2945" s="294"/>
      <c r="F2945" s="310"/>
      <c r="G2945" s="310"/>
      <c r="H2945" s="310"/>
      <c r="I2945" s="295"/>
      <c r="J2945" s="295"/>
      <c r="K2945" s="300">
        <f t="shared" si="410"/>
        <v>1.1000000000000001</v>
      </c>
      <c r="L2945" s="300">
        <f t="shared" si="411"/>
        <v>0</v>
      </c>
      <c r="M2945" s="285">
        <f t="shared" si="412"/>
        <v>0</v>
      </c>
      <c r="N2945" s="1076">
        <f t="shared" si="413"/>
        <v>0</v>
      </c>
      <c r="O2945" s="294"/>
      <c r="P2945" s="404"/>
      <c r="Q2945" s="404"/>
      <c r="R2945" s="301"/>
      <c r="S2945" s="301"/>
      <c r="T2945" s="301"/>
      <c r="U2945" s="301"/>
      <c r="V2945" s="301"/>
    </row>
    <row r="2946" spans="1:22" ht="14.4" thickTop="1" thickBot="1" x14ac:dyDescent="0.3">
      <c r="A2946" s="292"/>
      <c r="B2946" s="293"/>
      <c r="C2946" s="294"/>
      <c r="D2946" s="294"/>
      <c r="E2946" s="294"/>
      <c r="F2946" s="310"/>
      <c r="G2946" s="310"/>
      <c r="H2946" s="310"/>
      <c r="I2946" s="295"/>
      <c r="J2946" s="295"/>
      <c r="K2946" s="300">
        <f t="shared" si="410"/>
        <v>1.1000000000000001</v>
      </c>
      <c r="L2946" s="300">
        <f t="shared" si="411"/>
        <v>0</v>
      </c>
      <c r="M2946" s="285">
        <f t="shared" si="412"/>
        <v>0</v>
      </c>
      <c r="N2946" s="1076">
        <f t="shared" si="413"/>
        <v>0</v>
      </c>
      <c r="O2946" s="294"/>
      <c r="P2946" s="404"/>
      <c r="Q2946" s="404"/>
      <c r="R2946" s="301"/>
      <c r="S2946" s="301"/>
      <c r="T2946" s="301"/>
      <c r="U2946" s="301"/>
      <c r="V2946" s="301"/>
    </row>
    <row r="2947" spans="1:22" ht="14.4" thickTop="1" thickBot="1" x14ac:dyDescent="0.3">
      <c r="A2947" s="292"/>
      <c r="B2947" s="293"/>
      <c r="C2947" s="294"/>
      <c r="D2947" s="294"/>
      <c r="E2947" s="294"/>
      <c r="F2947" s="310"/>
      <c r="G2947" s="310"/>
      <c r="H2947" s="310"/>
      <c r="I2947" s="295"/>
      <c r="J2947" s="295"/>
      <c r="K2947" s="300">
        <f t="shared" si="410"/>
        <v>1.1000000000000001</v>
      </c>
      <c r="L2947" s="300">
        <f t="shared" si="411"/>
        <v>0</v>
      </c>
      <c r="M2947" s="285">
        <f t="shared" si="412"/>
        <v>0</v>
      </c>
      <c r="N2947" s="1076">
        <f t="shared" si="413"/>
        <v>0</v>
      </c>
      <c r="O2947" s="294"/>
      <c r="P2947" s="404"/>
      <c r="Q2947" s="404"/>
      <c r="R2947" s="301"/>
      <c r="S2947" s="301"/>
      <c r="T2947" s="301"/>
      <c r="U2947" s="301"/>
      <c r="V2947" s="301"/>
    </row>
    <row r="2948" spans="1:22" ht="14.4" thickTop="1" thickBot="1" x14ac:dyDescent="0.3">
      <c r="A2948" s="292"/>
      <c r="B2948" s="293"/>
      <c r="C2948" s="294"/>
      <c r="D2948" s="294"/>
      <c r="E2948" s="294"/>
      <c r="F2948" s="310"/>
      <c r="G2948" s="310"/>
      <c r="H2948" s="310"/>
      <c r="I2948" s="295"/>
      <c r="J2948" s="295"/>
      <c r="K2948" s="300">
        <f t="shared" si="410"/>
        <v>1.1000000000000001</v>
      </c>
      <c r="L2948" s="300">
        <f t="shared" si="411"/>
        <v>0</v>
      </c>
      <c r="M2948" s="285">
        <f t="shared" si="412"/>
        <v>0</v>
      </c>
      <c r="N2948" s="1076">
        <f t="shared" si="413"/>
        <v>0</v>
      </c>
      <c r="O2948" s="294"/>
      <c r="P2948" s="404"/>
      <c r="Q2948" s="404"/>
      <c r="R2948" s="301"/>
      <c r="S2948" s="301"/>
      <c r="T2948" s="301"/>
      <c r="U2948" s="301"/>
      <c r="V2948" s="301"/>
    </row>
    <row r="2949" spans="1:22" ht="14.4" thickTop="1" thickBot="1" x14ac:dyDescent="0.3">
      <c r="A2949" s="292"/>
      <c r="B2949" s="293"/>
      <c r="C2949" s="294"/>
      <c r="D2949" s="294"/>
      <c r="E2949" s="294"/>
      <c r="F2949" s="310"/>
      <c r="G2949" s="310"/>
      <c r="H2949" s="310"/>
      <c r="I2949" s="295"/>
      <c r="J2949" s="295"/>
      <c r="K2949" s="300">
        <f t="shared" si="410"/>
        <v>1.1000000000000001</v>
      </c>
      <c r="L2949" s="300">
        <f t="shared" si="411"/>
        <v>0</v>
      </c>
      <c r="M2949" s="285">
        <f t="shared" si="412"/>
        <v>0</v>
      </c>
      <c r="N2949" s="1076">
        <f t="shared" si="413"/>
        <v>0</v>
      </c>
      <c r="O2949" s="294"/>
      <c r="P2949" s="404"/>
      <c r="Q2949" s="404"/>
      <c r="R2949" s="301"/>
      <c r="S2949" s="301"/>
      <c r="T2949" s="301"/>
      <c r="U2949" s="301"/>
      <c r="V2949" s="301"/>
    </row>
    <row r="2950" spans="1:22" ht="14.4" thickTop="1" thickBot="1" x14ac:dyDescent="0.3">
      <c r="A2950" s="292"/>
      <c r="B2950" s="293"/>
      <c r="C2950" s="294"/>
      <c r="D2950" s="294"/>
      <c r="E2950" s="294"/>
      <c r="F2950" s="310"/>
      <c r="G2950" s="310"/>
      <c r="H2950" s="310"/>
      <c r="I2950" s="295"/>
      <c r="J2950" s="295"/>
      <c r="K2950" s="300">
        <f t="shared" si="410"/>
        <v>1.1000000000000001</v>
      </c>
      <c r="L2950" s="300">
        <f t="shared" si="411"/>
        <v>0</v>
      </c>
      <c r="M2950" s="285">
        <f t="shared" si="412"/>
        <v>0</v>
      </c>
      <c r="N2950" s="1076">
        <f t="shared" si="413"/>
        <v>0</v>
      </c>
      <c r="O2950" s="294"/>
      <c r="P2950" s="404"/>
      <c r="Q2950" s="404"/>
      <c r="R2950" s="301"/>
      <c r="S2950" s="301"/>
      <c r="T2950" s="301"/>
      <c r="U2950" s="301"/>
      <c r="V2950" s="301"/>
    </row>
    <row r="2951" spans="1:22" ht="14.4" thickTop="1" thickBot="1" x14ac:dyDescent="0.3">
      <c r="A2951" s="292"/>
      <c r="B2951" s="293"/>
      <c r="C2951" s="294"/>
      <c r="D2951" s="294"/>
      <c r="E2951" s="294"/>
      <c r="F2951" s="310"/>
      <c r="G2951" s="310"/>
      <c r="H2951" s="310"/>
      <c r="I2951" s="295"/>
      <c r="J2951" s="295"/>
      <c r="K2951" s="300">
        <f t="shared" si="410"/>
        <v>1.1000000000000001</v>
      </c>
      <c r="L2951" s="300">
        <f t="shared" si="411"/>
        <v>0</v>
      </c>
      <c r="M2951" s="285">
        <f t="shared" si="412"/>
        <v>0</v>
      </c>
      <c r="N2951" s="1076">
        <f t="shared" si="413"/>
        <v>0</v>
      </c>
      <c r="O2951" s="294"/>
      <c r="P2951" s="404"/>
      <c r="Q2951" s="404"/>
      <c r="R2951" s="301"/>
      <c r="S2951" s="301"/>
      <c r="T2951" s="301"/>
      <c r="U2951" s="301"/>
      <c r="V2951" s="301"/>
    </row>
    <row r="2952" spans="1:22" ht="14.4" thickTop="1" thickBot="1" x14ac:dyDescent="0.3">
      <c r="A2952" s="292"/>
      <c r="B2952" s="293"/>
      <c r="C2952" s="294"/>
      <c r="D2952" s="294"/>
      <c r="E2952" s="294"/>
      <c r="F2952" s="310"/>
      <c r="G2952" s="310"/>
      <c r="H2952" s="310"/>
      <c r="I2952" s="295"/>
      <c r="J2952" s="295"/>
      <c r="K2952" s="300">
        <f t="shared" si="410"/>
        <v>1.1000000000000001</v>
      </c>
      <c r="L2952" s="300">
        <f t="shared" si="411"/>
        <v>0</v>
      </c>
      <c r="M2952" s="285">
        <f t="shared" si="412"/>
        <v>0</v>
      </c>
      <c r="N2952" s="1076">
        <f t="shared" si="413"/>
        <v>0</v>
      </c>
      <c r="O2952" s="294"/>
      <c r="P2952" s="404"/>
      <c r="Q2952" s="404"/>
      <c r="R2952" s="301"/>
      <c r="S2952" s="301"/>
      <c r="T2952" s="301"/>
      <c r="U2952" s="301"/>
      <c r="V2952" s="301"/>
    </row>
    <row r="2953" spans="1:22" ht="14.4" thickTop="1" thickBot="1" x14ac:dyDescent="0.3">
      <c r="A2953" s="292"/>
      <c r="B2953" s="293"/>
      <c r="C2953" s="294"/>
      <c r="D2953" s="294"/>
      <c r="E2953" s="294"/>
      <c r="F2953" s="310"/>
      <c r="G2953" s="310"/>
      <c r="H2953" s="310"/>
      <c r="I2953" s="295"/>
      <c r="J2953" s="295"/>
      <c r="K2953" s="300">
        <f t="shared" si="410"/>
        <v>1.1000000000000001</v>
      </c>
      <c r="L2953" s="300">
        <f t="shared" si="411"/>
        <v>0</v>
      </c>
      <c r="M2953" s="285">
        <f t="shared" si="412"/>
        <v>0</v>
      </c>
      <c r="N2953" s="1076">
        <f t="shared" si="413"/>
        <v>0</v>
      </c>
      <c r="O2953" s="294"/>
      <c r="P2953" s="404"/>
      <c r="Q2953" s="404"/>
      <c r="R2953" s="301"/>
      <c r="S2953" s="301"/>
      <c r="T2953" s="301"/>
      <c r="U2953" s="301"/>
      <c r="V2953" s="301"/>
    </row>
    <row r="2954" spans="1:22" ht="14.4" thickTop="1" thickBot="1" x14ac:dyDescent="0.3">
      <c r="A2954" s="292"/>
      <c r="B2954" s="293"/>
      <c r="C2954" s="294"/>
      <c r="D2954" s="294"/>
      <c r="E2954" s="294"/>
      <c r="F2954" s="310"/>
      <c r="G2954" s="310"/>
      <c r="H2954" s="310"/>
      <c r="I2954" s="295"/>
      <c r="J2954" s="295"/>
      <c r="K2954" s="300">
        <f t="shared" si="410"/>
        <v>1.1000000000000001</v>
      </c>
      <c r="L2954" s="300">
        <f t="shared" si="411"/>
        <v>0</v>
      </c>
      <c r="M2954" s="285">
        <f t="shared" si="412"/>
        <v>0</v>
      </c>
      <c r="N2954" s="1076">
        <f t="shared" si="413"/>
        <v>0</v>
      </c>
      <c r="O2954" s="294"/>
      <c r="P2954" s="404"/>
      <c r="Q2954" s="404"/>
      <c r="R2954" s="301"/>
      <c r="S2954" s="301"/>
      <c r="T2954" s="301"/>
      <c r="U2954" s="301"/>
      <c r="V2954" s="301"/>
    </row>
    <row r="2955" spans="1:22" ht="14.4" thickTop="1" thickBot="1" x14ac:dyDescent="0.3">
      <c r="A2955" s="292"/>
      <c r="B2955" s="293"/>
      <c r="C2955" s="294"/>
      <c r="D2955" s="294"/>
      <c r="E2955" s="294"/>
      <c r="F2955" s="310"/>
      <c r="G2955" s="310"/>
      <c r="H2955" s="310"/>
      <c r="I2955" s="295"/>
      <c r="J2955" s="295"/>
      <c r="K2955" s="300">
        <f t="shared" si="410"/>
        <v>1.1000000000000001</v>
      </c>
      <c r="L2955" s="300">
        <f t="shared" si="411"/>
        <v>0</v>
      </c>
      <c r="M2955" s="285">
        <f t="shared" si="412"/>
        <v>0</v>
      </c>
      <c r="N2955" s="1076">
        <f t="shared" si="413"/>
        <v>0</v>
      </c>
      <c r="O2955" s="294"/>
      <c r="P2955" s="404"/>
      <c r="Q2955" s="404"/>
      <c r="R2955" s="301"/>
      <c r="S2955" s="301"/>
      <c r="T2955" s="301"/>
      <c r="U2955" s="301"/>
      <c r="V2955" s="301"/>
    </row>
    <row r="2956" spans="1:22" ht="14.4" thickTop="1" thickBot="1" x14ac:dyDescent="0.3">
      <c r="A2956" s="292"/>
      <c r="B2956" s="293"/>
      <c r="C2956" s="294"/>
      <c r="D2956" s="294"/>
      <c r="E2956" s="294"/>
      <c r="F2956" s="310"/>
      <c r="G2956" s="310"/>
      <c r="H2956" s="310"/>
      <c r="I2956" s="295"/>
      <c r="J2956" s="295"/>
      <c r="K2956" s="300">
        <f t="shared" si="410"/>
        <v>1.1000000000000001</v>
      </c>
      <c r="L2956" s="300">
        <f t="shared" si="411"/>
        <v>0</v>
      </c>
      <c r="M2956" s="285">
        <f t="shared" si="412"/>
        <v>0</v>
      </c>
      <c r="N2956" s="1076">
        <f t="shared" si="413"/>
        <v>0</v>
      </c>
      <c r="O2956" s="294"/>
      <c r="P2956" s="404"/>
      <c r="Q2956" s="404"/>
      <c r="R2956" s="301"/>
      <c r="S2956" s="301"/>
      <c r="T2956" s="301"/>
      <c r="U2956" s="301"/>
      <c r="V2956" s="301"/>
    </row>
    <row r="2957" spans="1:22" ht="14.4" thickTop="1" thickBot="1" x14ac:dyDescent="0.3">
      <c r="A2957" s="292"/>
      <c r="B2957" s="293"/>
      <c r="C2957" s="294"/>
      <c r="D2957" s="294"/>
      <c r="E2957" s="294"/>
      <c r="F2957" s="310"/>
      <c r="G2957" s="310"/>
      <c r="H2957" s="310"/>
      <c r="I2957" s="295"/>
      <c r="J2957" s="295"/>
      <c r="K2957" s="300">
        <f t="shared" si="410"/>
        <v>1.1000000000000001</v>
      </c>
      <c r="L2957" s="300">
        <f t="shared" si="411"/>
        <v>0</v>
      </c>
      <c r="M2957" s="285">
        <f t="shared" si="412"/>
        <v>0</v>
      </c>
      <c r="N2957" s="1076">
        <f t="shared" si="413"/>
        <v>0</v>
      </c>
      <c r="O2957" s="294"/>
      <c r="P2957" s="404"/>
      <c r="Q2957" s="404"/>
      <c r="R2957" s="301"/>
      <c r="S2957" s="301"/>
      <c r="T2957" s="301"/>
      <c r="U2957" s="301"/>
      <c r="V2957" s="301"/>
    </row>
    <row r="2958" spans="1:22" ht="14.4" thickTop="1" thickBot="1" x14ac:dyDescent="0.3">
      <c r="A2958" s="292"/>
      <c r="B2958" s="293"/>
      <c r="C2958" s="294"/>
      <c r="D2958" s="294"/>
      <c r="E2958" s="294"/>
      <c r="F2958" s="310"/>
      <c r="G2958" s="310"/>
      <c r="H2958" s="310"/>
      <c r="I2958" s="295"/>
      <c r="J2958" s="295"/>
      <c r="K2958" s="300">
        <f t="shared" si="410"/>
        <v>1.1000000000000001</v>
      </c>
      <c r="L2958" s="300">
        <f t="shared" si="411"/>
        <v>0</v>
      </c>
      <c r="M2958" s="285">
        <f t="shared" si="412"/>
        <v>0</v>
      </c>
      <c r="N2958" s="1076">
        <f t="shared" si="413"/>
        <v>0</v>
      </c>
      <c r="O2958" s="294"/>
      <c r="P2958" s="404"/>
      <c r="Q2958" s="404"/>
      <c r="R2958" s="301"/>
      <c r="S2958" s="301"/>
      <c r="T2958" s="301"/>
      <c r="U2958" s="301"/>
      <c r="V2958" s="301"/>
    </row>
    <row r="2959" spans="1:22" ht="14.4" thickTop="1" thickBot="1" x14ac:dyDescent="0.3">
      <c r="A2959" s="292"/>
      <c r="B2959" s="293"/>
      <c r="C2959" s="294"/>
      <c r="D2959" s="294"/>
      <c r="E2959" s="294"/>
      <c r="F2959" s="310"/>
      <c r="G2959" s="310"/>
      <c r="H2959" s="310"/>
      <c r="I2959" s="295"/>
      <c r="J2959" s="295"/>
      <c r="K2959" s="300">
        <f t="shared" si="410"/>
        <v>1.1000000000000001</v>
      </c>
      <c r="L2959" s="300">
        <f t="shared" si="411"/>
        <v>0</v>
      </c>
      <c r="M2959" s="285">
        <f t="shared" si="412"/>
        <v>0</v>
      </c>
      <c r="N2959" s="1076">
        <f t="shared" si="413"/>
        <v>0</v>
      </c>
      <c r="O2959" s="294"/>
      <c r="P2959" s="404"/>
      <c r="Q2959" s="404"/>
      <c r="R2959" s="301"/>
      <c r="S2959" s="301"/>
      <c r="T2959" s="301"/>
      <c r="U2959" s="301"/>
      <c r="V2959" s="301"/>
    </row>
    <row r="2960" spans="1:22" ht="14.4" thickTop="1" thickBot="1" x14ac:dyDescent="0.3">
      <c r="A2960" s="292"/>
      <c r="B2960" s="293"/>
      <c r="C2960" s="294"/>
      <c r="D2960" s="294"/>
      <c r="E2960" s="294"/>
      <c r="F2960" s="310"/>
      <c r="G2960" s="310"/>
      <c r="H2960" s="310"/>
      <c r="I2960" s="295"/>
      <c r="J2960" s="295"/>
      <c r="K2960" s="300">
        <f t="shared" si="410"/>
        <v>1.1000000000000001</v>
      </c>
      <c r="L2960" s="300">
        <f t="shared" si="411"/>
        <v>0</v>
      </c>
      <c r="M2960" s="285">
        <f t="shared" si="412"/>
        <v>0</v>
      </c>
      <c r="N2960" s="1076">
        <f t="shared" si="413"/>
        <v>0</v>
      </c>
      <c r="O2960" s="294"/>
      <c r="P2960" s="404"/>
      <c r="Q2960" s="404"/>
      <c r="R2960" s="301"/>
      <c r="S2960" s="301"/>
      <c r="T2960" s="301"/>
      <c r="U2960" s="301"/>
      <c r="V2960" s="301"/>
    </row>
    <row r="2961" spans="1:22" ht="14.4" thickTop="1" thickBot="1" x14ac:dyDescent="0.3">
      <c r="A2961" s="292"/>
      <c r="B2961" s="293"/>
      <c r="C2961" s="294"/>
      <c r="D2961" s="294"/>
      <c r="E2961" s="294"/>
      <c r="F2961" s="310"/>
      <c r="G2961" s="310"/>
      <c r="H2961" s="310"/>
      <c r="I2961" s="295"/>
      <c r="J2961" s="295"/>
      <c r="K2961" s="300">
        <f t="shared" si="410"/>
        <v>1.1000000000000001</v>
      </c>
      <c r="L2961" s="300">
        <f t="shared" si="411"/>
        <v>0</v>
      </c>
      <c r="M2961" s="285">
        <f t="shared" si="412"/>
        <v>0</v>
      </c>
      <c r="N2961" s="1076">
        <f t="shared" si="413"/>
        <v>0</v>
      </c>
      <c r="O2961" s="294"/>
      <c r="P2961" s="404"/>
      <c r="Q2961" s="404"/>
      <c r="R2961" s="301"/>
      <c r="S2961" s="301"/>
      <c r="T2961" s="301"/>
      <c r="U2961" s="301"/>
      <c r="V2961" s="301"/>
    </row>
    <row r="2962" spans="1:22" ht="14.4" thickTop="1" thickBot="1" x14ac:dyDescent="0.3">
      <c r="A2962" s="292"/>
      <c r="B2962" s="293"/>
      <c r="C2962" s="294"/>
      <c r="D2962" s="294"/>
      <c r="E2962" s="294"/>
      <c r="F2962" s="310"/>
      <c r="G2962" s="310"/>
      <c r="H2962" s="310"/>
      <c r="I2962" s="295"/>
      <c r="J2962" s="295"/>
      <c r="K2962" s="300">
        <f t="shared" si="410"/>
        <v>1.1000000000000001</v>
      </c>
      <c r="L2962" s="300">
        <f t="shared" si="411"/>
        <v>0</v>
      </c>
      <c r="M2962" s="285">
        <f t="shared" si="412"/>
        <v>0</v>
      </c>
      <c r="N2962" s="1076">
        <f t="shared" si="413"/>
        <v>0</v>
      </c>
      <c r="O2962" s="294"/>
      <c r="P2962" s="404"/>
      <c r="Q2962" s="404"/>
      <c r="R2962" s="301"/>
      <c r="S2962" s="301"/>
      <c r="T2962" s="301"/>
      <c r="U2962" s="301"/>
      <c r="V2962" s="301"/>
    </row>
    <row r="2963" spans="1:22" ht="14.4" thickTop="1" thickBot="1" x14ac:dyDescent="0.3">
      <c r="A2963" s="292"/>
      <c r="B2963" s="293"/>
      <c r="C2963" s="294"/>
      <c r="D2963" s="294"/>
      <c r="E2963" s="294"/>
      <c r="F2963" s="310"/>
      <c r="G2963" s="310"/>
      <c r="H2963" s="310"/>
      <c r="I2963" s="295"/>
      <c r="J2963" s="295"/>
      <c r="K2963" s="300">
        <f t="shared" si="410"/>
        <v>1.1000000000000001</v>
      </c>
      <c r="L2963" s="300">
        <f t="shared" si="411"/>
        <v>0</v>
      </c>
      <c r="M2963" s="285">
        <f t="shared" si="412"/>
        <v>0</v>
      </c>
      <c r="N2963" s="1076">
        <f t="shared" si="413"/>
        <v>0</v>
      </c>
      <c r="O2963" s="294"/>
      <c r="P2963" s="404"/>
      <c r="Q2963" s="404"/>
      <c r="R2963" s="301"/>
      <c r="S2963" s="301"/>
      <c r="T2963" s="301"/>
      <c r="U2963" s="301"/>
      <c r="V2963" s="301"/>
    </row>
    <row r="2964" spans="1:22" ht="14.4" thickTop="1" thickBot="1" x14ac:dyDescent="0.3">
      <c r="A2964" s="292"/>
      <c r="B2964" s="293"/>
      <c r="C2964" s="294"/>
      <c r="D2964" s="294"/>
      <c r="E2964" s="294"/>
      <c r="F2964" s="310"/>
      <c r="G2964" s="310"/>
      <c r="H2964" s="310"/>
      <c r="I2964" s="295"/>
      <c r="J2964" s="295"/>
      <c r="K2964" s="300">
        <f t="shared" si="410"/>
        <v>1.1000000000000001</v>
      </c>
      <c r="L2964" s="300">
        <f t="shared" si="411"/>
        <v>0</v>
      </c>
      <c r="M2964" s="285">
        <f t="shared" si="412"/>
        <v>0</v>
      </c>
      <c r="N2964" s="1076">
        <f t="shared" si="413"/>
        <v>0</v>
      </c>
      <c r="O2964" s="294"/>
      <c r="P2964" s="404"/>
      <c r="Q2964" s="404"/>
      <c r="R2964" s="301"/>
      <c r="S2964" s="301"/>
      <c r="T2964" s="301"/>
      <c r="U2964" s="301"/>
      <c r="V2964" s="301"/>
    </row>
    <row r="2965" spans="1:22" ht="14.4" thickTop="1" thickBot="1" x14ac:dyDescent="0.3">
      <c r="A2965" s="292"/>
      <c r="B2965" s="293"/>
      <c r="C2965" s="294"/>
      <c r="D2965" s="294"/>
      <c r="E2965" s="294"/>
      <c r="F2965" s="310"/>
      <c r="G2965" s="310"/>
      <c r="H2965" s="310"/>
      <c r="I2965" s="295"/>
      <c r="J2965" s="295"/>
      <c r="K2965" s="300">
        <f t="shared" si="410"/>
        <v>1.1000000000000001</v>
      </c>
      <c r="L2965" s="300">
        <f t="shared" si="411"/>
        <v>0</v>
      </c>
      <c r="M2965" s="285">
        <f t="shared" si="412"/>
        <v>0</v>
      </c>
      <c r="N2965" s="1076">
        <f t="shared" si="413"/>
        <v>0</v>
      </c>
      <c r="O2965" s="294"/>
      <c r="P2965" s="404"/>
      <c r="Q2965" s="404"/>
      <c r="R2965" s="301"/>
      <c r="S2965" s="301"/>
      <c r="T2965" s="301"/>
      <c r="U2965" s="301"/>
      <c r="V2965" s="301"/>
    </row>
    <row r="2966" spans="1:22" ht="14.4" thickTop="1" thickBot="1" x14ac:dyDescent="0.3">
      <c r="A2966" s="292"/>
      <c r="B2966" s="293"/>
      <c r="C2966" s="294"/>
      <c r="D2966" s="294"/>
      <c r="E2966" s="294"/>
      <c r="F2966" s="310"/>
      <c r="G2966" s="310"/>
      <c r="H2966" s="310"/>
      <c r="I2966" s="295"/>
      <c r="J2966" s="295"/>
      <c r="K2966" s="300">
        <f t="shared" si="410"/>
        <v>1.1000000000000001</v>
      </c>
      <c r="L2966" s="300">
        <f t="shared" si="411"/>
        <v>0</v>
      </c>
      <c r="M2966" s="285">
        <f t="shared" si="412"/>
        <v>0</v>
      </c>
      <c r="N2966" s="1076">
        <f t="shared" si="413"/>
        <v>0</v>
      </c>
      <c r="O2966" s="294"/>
      <c r="P2966" s="404"/>
      <c r="Q2966" s="404"/>
      <c r="R2966" s="301"/>
      <c r="S2966" s="301"/>
      <c r="T2966" s="301"/>
      <c r="U2966" s="301"/>
      <c r="V2966" s="301"/>
    </row>
    <row r="2967" spans="1:22" ht="14.4" thickTop="1" thickBot="1" x14ac:dyDescent="0.3">
      <c r="A2967" s="292"/>
      <c r="B2967" s="293"/>
      <c r="C2967" s="294"/>
      <c r="D2967" s="294"/>
      <c r="E2967" s="294"/>
      <c r="F2967" s="310"/>
      <c r="G2967" s="310"/>
      <c r="H2967" s="310"/>
      <c r="I2967" s="295"/>
      <c r="J2967" s="295"/>
      <c r="K2967" s="300">
        <f t="shared" si="410"/>
        <v>1.1000000000000001</v>
      </c>
      <c r="L2967" s="300">
        <f t="shared" si="411"/>
        <v>0</v>
      </c>
      <c r="M2967" s="285">
        <f t="shared" si="412"/>
        <v>0</v>
      </c>
      <c r="N2967" s="1076">
        <f t="shared" si="413"/>
        <v>0</v>
      </c>
      <c r="O2967" s="294"/>
      <c r="P2967" s="404"/>
      <c r="Q2967" s="404"/>
      <c r="R2967" s="301"/>
      <c r="S2967" s="301"/>
      <c r="T2967" s="301"/>
      <c r="U2967" s="301"/>
      <c r="V2967" s="301"/>
    </row>
    <row r="2968" spans="1:22" ht="14.4" thickTop="1" thickBot="1" x14ac:dyDescent="0.3">
      <c r="A2968" s="292"/>
      <c r="B2968" s="293"/>
      <c r="C2968" s="294"/>
      <c r="D2968" s="294"/>
      <c r="E2968" s="294"/>
      <c r="F2968" s="310"/>
      <c r="G2968" s="310"/>
      <c r="H2968" s="310"/>
      <c r="I2968" s="295"/>
      <c r="J2968" s="295"/>
      <c r="K2968" s="300">
        <f t="shared" si="410"/>
        <v>1.1000000000000001</v>
      </c>
      <c r="L2968" s="300">
        <f t="shared" si="411"/>
        <v>0</v>
      </c>
      <c r="M2968" s="285">
        <f t="shared" si="412"/>
        <v>0</v>
      </c>
      <c r="N2968" s="1076">
        <f t="shared" si="413"/>
        <v>0</v>
      </c>
      <c r="O2968" s="294"/>
      <c r="P2968" s="404"/>
      <c r="Q2968" s="404"/>
      <c r="R2968" s="301"/>
      <c r="S2968" s="301"/>
      <c r="T2968" s="301"/>
      <c r="U2968" s="301"/>
      <c r="V2968" s="301"/>
    </row>
    <row r="2969" spans="1:22" ht="14.4" thickTop="1" thickBot="1" x14ac:dyDescent="0.3">
      <c r="A2969" s="292"/>
      <c r="B2969" s="293"/>
      <c r="C2969" s="294"/>
      <c r="D2969" s="294"/>
      <c r="E2969" s="294"/>
      <c r="F2969" s="310"/>
      <c r="G2969" s="310"/>
      <c r="H2969" s="310"/>
      <c r="I2969" s="295"/>
      <c r="J2969" s="295"/>
      <c r="K2969" s="300">
        <f t="shared" si="410"/>
        <v>1.1000000000000001</v>
      </c>
      <c r="L2969" s="300">
        <f t="shared" si="411"/>
        <v>0</v>
      </c>
      <c r="M2969" s="285">
        <f t="shared" si="412"/>
        <v>0</v>
      </c>
      <c r="N2969" s="1076">
        <f t="shared" si="413"/>
        <v>0</v>
      </c>
      <c r="O2969" s="294"/>
      <c r="P2969" s="404"/>
      <c r="Q2969" s="404"/>
      <c r="R2969" s="301"/>
      <c r="S2969" s="301"/>
      <c r="T2969" s="301"/>
      <c r="U2969" s="301"/>
      <c r="V2969" s="301"/>
    </row>
    <row r="2970" spans="1:22" ht="14.4" thickTop="1" thickBot="1" x14ac:dyDescent="0.3">
      <c r="A2970" s="292"/>
      <c r="B2970" s="293"/>
      <c r="C2970" s="294"/>
      <c r="D2970" s="294"/>
      <c r="E2970" s="294"/>
      <c r="F2970" s="310"/>
      <c r="G2970" s="310"/>
      <c r="H2970" s="310"/>
      <c r="I2970" s="295"/>
      <c r="J2970" s="295"/>
      <c r="K2970" s="300">
        <f t="shared" si="410"/>
        <v>1.1000000000000001</v>
      </c>
      <c r="L2970" s="300">
        <f t="shared" si="411"/>
        <v>0</v>
      </c>
      <c r="M2970" s="285">
        <f t="shared" si="412"/>
        <v>0</v>
      </c>
      <c r="N2970" s="1076">
        <f t="shared" si="413"/>
        <v>0</v>
      </c>
      <c r="O2970" s="294"/>
      <c r="P2970" s="404"/>
      <c r="Q2970" s="404"/>
      <c r="R2970" s="301"/>
      <c r="S2970" s="301"/>
      <c r="T2970" s="301"/>
      <c r="U2970" s="301"/>
      <c r="V2970" s="301"/>
    </row>
    <row r="2971" spans="1:22" ht="14.4" thickTop="1" thickBot="1" x14ac:dyDescent="0.3">
      <c r="A2971" s="292"/>
      <c r="B2971" s="293"/>
      <c r="C2971" s="294"/>
      <c r="D2971" s="294"/>
      <c r="E2971" s="294"/>
      <c r="F2971" s="310"/>
      <c r="G2971" s="310"/>
      <c r="H2971" s="310"/>
      <c r="I2971" s="295"/>
      <c r="J2971" s="295"/>
      <c r="K2971" s="300">
        <f t="shared" si="410"/>
        <v>1.1000000000000001</v>
      </c>
      <c r="L2971" s="300">
        <f t="shared" si="411"/>
        <v>0</v>
      </c>
      <c r="M2971" s="285">
        <f t="shared" si="412"/>
        <v>0</v>
      </c>
      <c r="N2971" s="1076">
        <f t="shared" si="413"/>
        <v>0</v>
      </c>
      <c r="O2971" s="294"/>
      <c r="P2971" s="404"/>
      <c r="Q2971" s="404"/>
      <c r="R2971" s="301"/>
      <c r="S2971" s="301"/>
      <c r="T2971" s="301"/>
      <c r="U2971" s="301"/>
      <c r="V2971" s="301"/>
    </row>
    <row r="2972" spans="1:22" ht="14.4" thickTop="1" thickBot="1" x14ac:dyDescent="0.3">
      <c r="A2972" s="292"/>
      <c r="B2972" s="293"/>
      <c r="C2972" s="294"/>
      <c r="D2972" s="294"/>
      <c r="E2972" s="294"/>
      <c r="F2972" s="310"/>
      <c r="G2972" s="310"/>
      <c r="H2972" s="310"/>
      <c r="I2972" s="295"/>
      <c r="J2972" s="295"/>
      <c r="K2972" s="300">
        <f t="shared" si="410"/>
        <v>1.1000000000000001</v>
      </c>
      <c r="L2972" s="300">
        <f t="shared" si="411"/>
        <v>0</v>
      </c>
      <c r="M2972" s="285">
        <f t="shared" si="412"/>
        <v>0</v>
      </c>
      <c r="N2972" s="1076">
        <f t="shared" si="413"/>
        <v>0</v>
      </c>
      <c r="O2972" s="294"/>
      <c r="P2972" s="404"/>
      <c r="Q2972" s="404"/>
      <c r="R2972" s="301"/>
      <c r="S2972" s="301"/>
      <c r="T2972" s="301"/>
      <c r="U2972" s="301"/>
      <c r="V2972" s="301"/>
    </row>
    <row r="2973" spans="1:22" ht="14.4" thickTop="1" thickBot="1" x14ac:dyDescent="0.3">
      <c r="A2973" s="292"/>
      <c r="B2973" s="293"/>
      <c r="C2973" s="294"/>
      <c r="D2973" s="294"/>
      <c r="E2973" s="294"/>
      <c r="F2973" s="310"/>
      <c r="G2973" s="310"/>
      <c r="H2973" s="310"/>
      <c r="I2973" s="295"/>
      <c r="J2973" s="295"/>
      <c r="K2973" s="300">
        <f t="shared" si="410"/>
        <v>1.1000000000000001</v>
      </c>
      <c r="L2973" s="300">
        <f t="shared" si="411"/>
        <v>0</v>
      </c>
      <c r="M2973" s="285">
        <f t="shared" si="412"/>
        <v>0</v>
      </c>
      <c r="N2973" s="1076">
        <f t="shared" si="413"/>
        <v>0</v>
      </c>
      <c r="O2973" s="294"/>
      <c r="P2973" s="404"/>
      <c r="Q2973" s="404"/>
      <c r="R2973" s="301"/>
      <c r="S2973" s="301"/>
      <c r="T2973" s="301"/>
      <c r="U2973" s="301"/>
      <c r="V2973" s="301"/>
    </row>
    <row r="2974" spans="1:22" ht="14.4" thickTop="1" thickBot="1" x14ac:dyDescent="0.3">
      <c r="A2974" s="292"/>
      <c r="B2974" s="293"/>
      <c r="C2974" s="294"/>
      <c r="D2974" s="294"/>
      <c r="E2974" s="294"/>
      <c r="F2974" s="310"/>
      <c r="G2974" s="310"/>
      <c r="H2974" s="310"/>
      <c r="I2974" s="295"/>
      <c r="J2974" s="295"/>
      <c r="K2974" s="300">
        <f t="shared" si="410"/>
        <v>1.1000000000000001</v>
      </c>
      <c r="L2974" s="300">
        <f t="shared" si="411"/>
        <v>0</v>
      </c>
      <c r="M2974" s="285">
        <f t="shared" si="412"/>
        <v>0</v>
      </c>
      <c r="N2974" s="1076">
        <f t="shared" si="413"/>
        <v>0</v>
      </c>
      <c r="O2974" s="294"/>
      <c r="P2974" s="404"/>
      <c r="Q2974" s="404"/>
      <c r="R2974" s="301"/>
      <c r="S2974" s="301"/>
      <c r="T2974" s="301"/>
      <c r="U2974" s="301"/>
      <c r="V2974" s="301"/>
    </row>
    <row r="2975" spans="1:22" ht="14.4" thickTop="1" thickBot="1" x14ac:dyDescent="0.3">
      <c r="A2975" s="292"/>
      <c r="B2975" s="293"/>
      <c r="C2975" s="294"/>
      <c r="D2975" s="294"/>
      <c r="E2975" s="294"/>
      <c r="F2975" s="310"/>
      <c r="G2975" s="310"/>
      <c r="H2975" s="310"/>
      <c r="I2975" s="295"/>
      <c r="J2975" s="295"/>
      <c r="K2975" s="300">
        <f t="shared" si="410"/>
        <v>1.1000000000000001</v>
      </c>
      <c r="L2975" s="300">
        <f t="shared" si="411"/>
        <v>0</v>
      </c>
      <c r="M2975" s="285">
        <f t="shared" si="412"/>
        <v>0</v>
      </c>
      <c r="N2975" s="1076">
        <f t="shared" si="413"/>
        <v>0</v>
      </c>
      <c r="O2975" s="294"/>
      <c r="P2975" s="404"/>
      <c r="Q2975" s="404"/>
      <c r="R2975" s="301"/>
      <c r="S2975" s="301"/>
      <c r="T2975" s="301"/>
      <c r="U2975" s="301"/>
      <c r="V2975" s="301"/>
    </row>
    <row r="2976" spans="1:22" ht="14.4" thickTop="1" thickBot="1" x14ac:dyDescent="0.3">
      <c r="A2976" s="292"/>
      <c r="B2976" s="293"/>
      <c r="C2976" s="294"/>
      <c r="D2976" s="294"/>
      <c r="E2976" s="294"/>
      <c r="F2976" s="310"/>
      <c r="G2976" s="310"/>
      <c r="H2976" s="310"/>
      <c r="I2976" s="295"/>
      <c r="J2976" s="295"/>
      <c r="K2976" s="300">
        <f t="shared" si="410"/>
        <v>1.1000000000000001</v>
      </c>
      <c r="L2976" s="300">
        <f t="shared" si="411"/>
        <v>0</v>
      </c>
      <c r="M2976" s="285">
        <f t="shared" si="412"/>
        <v>0</v>
      </c>
      <c r="N2976" s="1076">
        <f t="shared" si="413"/>
        <v>0</v>
      </c>
      <c r="O2976" s="294"/>
      <c r="P2976" s="404"/>
      <c r="Q2976" s="404"/>
      <c r="R2976" s="301"/>
      <c r="S2976" s="301"/>
      <c r="T2976" s="301"/>
      <c r="U2976" s="301"/>
      <c r="V2976" s="301"/>
    </row>
    <row r="2977" spans="1:22" ht="14.4" thickTop="1" thickBot="1" x14ac:dyDescent="0.3">
      <c r="A2977" s="292"/>
      <c r="B2977" s="293"/>
      <c r="C2977" s="294"/>
      <c r="D2977" s="294"/>
      <c r="E2977" s="294"/>
      <c r="F2977" s="310"/>
      <c r="G2977" s="310"/>
      <c r="H2977" s="310"/>
      <c r="I2977" s="295"/>
      <c r="J2977" s="295"/>
      <c r="K2977" s="300">
        <f t="shared" si="410"/>
        <v>1.1000000000000001</v>
      </c>
      <c r="L2977" s="300">
        <f t="shared" si="411"/>
        <v>0</v>
      </c>
      <c r="M2977" s="285">
        <f t="shared" si="412"/>
        <v>0</v>
      </c>
      <c r="N2977" s="1076">
        <f t="shared" si="413"/>
        <v>0</v>
      </c>
      <c r="O2977" s="294"/>
      <c r="P2977" s="404"/>
      <c r="Q2977" s="404"/>
      <c r="R2977" s="301"/>
      <c r="S2977" s="301"/>
      <c r="T2977" s="301"/>
      <c r="U2977" s="301"/>
      <c r="V2977" s="301"/>
    </row>
    <row r="2978" spans="1:22" ht="14.4" thickTop="1" thickBot="1" x14ac:dyDescent="0.3">
      <c r="A2978" s="292"/>
      <c r="B2978" s="293"/>
      <c r="C2978" s="294"/>
      <c r="D2978" s="294"/>
      <c r="E2978" s="294"/>
      <c r="F2978" s="310"/>
      <c r="G2978" s="310"/>
      <c r="H2978" s="310"/>
      <c r="I2978" s="295"/>
      <c r="J2978" s="295"/>
      <c r="K2978" s="300">
        <f t="shared" si="410"/>
        <v>1.1000000000000001</v>
      </c>
      <c r="L2978" s="300">
        <f t="shared" si="411"/>
        <v>0</v>
      </c>
      <c r="M2978" s="285">
        <f t="shared" si="412"/>
        <v>0</v>
      </c>
      <c r="N2978" s="1076">
        <f t="shared" si="413"/>
        <v>0</v>
      </c>
      <c r="O2978" s="294"/>
      <c r="P2978" s="404"/>
      <c r="Q2978" s="404"/>
      <c r="R2978" s="301"/>
      <c r="S2978" s="301"/>
      <c r="T2978" s="301"/>
      <c r="U2978" s="301"/>
      <c r="V2978" s="301"/>
    </row>
    <row r="2979" spans="1:22" ht="14.4" thickTop="1" thickBot="1" x14ac:dyDescent="0.3">
      <c r="A2979" s="292"/>
      <c r="B2979" s="293"/>
      <c r="C2979" s="294"/>
      <c r="D2979" s="294"/>
      <c r="E2979" s="294"/>
      <c r="F2979" s="310"/>
      <c r="G2979" s="310"/>
      <c r="H2979" s="310"/>
      <c r="I2979" s="295"/>
      <c r="J2979" s="295"/>
      <c r="K2979" s="300">
        <f t="shared" si="410"/>
        <v>1.1000000000000001</v>
      </c>
      <c r="L2979" s="300">
        <f t="shared" si="411"/>
        <v>0</v>
      </c>
      <c r="M2979" s="285">
        <f t="shared" si="412"/>
        <v>0</v>
      </c>
      <c r="N2979" s="1076">
        <f t="shared" si="413"/>
        <v>0</v>
      </c>
      <c r="O2979" s="294"/>
      <c r="P2979" s="404"/>
      <c r="Q2979" s="404"/>
      <c r="R2979" s="301"/>
      <c r="S2979" s="301"/>
      <c r="T2979" s="301"/>
      <c r="U2979" s="301"/>
      <c r="V2979" s="301"/>
    </row>
    <row r="2980" spans="1:22" ht="14.4" thickTop="1" thickBot="1" x14ac:dyDescent="0.3">
      <c r="A2980" s="292"/>
      <c r="B2980" s="293"/>
      <c r="C2980" s="294"/>
      <c r="D2980" s="294"/>
      <c r="E2980" s="294"/>
      <c r="F2980" s="310"/>
      <c r="G2980" s="310"/>
      <c r="H2980" s="310"/>
      <c r="I2980" s="295"/>
      <c r="J2980" s="295"/>
      <c r="K2980" s="300">
        <f t="shared" ref="K2980:K3043" si="414">$K$2</f>
        <v>1.1000000000000001</v>
      </c>
      <c r="L2980" s="300">
        <f t="shared" si="411"/>
        <v>0</v>
      </c>
      <c r="M2980" s="285">
        <f t="shared" si="412"/>
        <v>0</v>
      </c>
      <c r="N2980" s="1076">
        <f t="shared" si="413"/>
        <v>0</v>
      </c>
      <c r="O2980" s="294"/>
      <c r="P2980" s="404"/>
      <c r="Q2980" s="404"/>
      <c r="R2980" s="301"/>
      <c r="S2980" s="301"/>
      <c r="T2980" s="301"/>
      <c r="U2980" s="301"/>
      <c r="V2980" s="301"/>
    </row>
    <row r="2981" spans="1:22" ht="14.4" thickTop="1" thickBot="1" x14ac:dyDescent="0.3">
      <c r="A2981" s="292"/>
      <c r="B2981" s="293"/>
      <c r="C2981" s="294"/>
      <c r="D2981" s="294"/>
      <c r="E2981" s="294"/>
      <c r="F2981" s="310"/>
      <c r="G2981" s="310"/>
      <c r="H2981" s="310"/>
      <c r="I2981" s="295"/>
      <c r="J2981" s="295"/>
      <c r="K2981" s="300">
        <f t="shared" si="414"/>
        <v>1.1000000000000001</v>
      </c>
      <c r="L2981" s="300">
        <f t="shared" si="411"/>
        <v>0</v>
      </c>
      <c r="M2981" s="285">
        <f t="shared" si="412"/>
        <v>0</v>
      </c>
      <c r="N2981" s="1076">
        <f t="shared" si="413"/>
        <v>0</v>
      </c>
      <c r="O2981" s="294"/>
      <c r="P2981" s="404"/>
      <c r="Q2981" s="404"/>
      <c r="R2981" s="301"/>
      <c r="S2981" s="301"/>
      <c r="T2981" s="301"/>
      <c r="U2981" s="301"/>
      <c r="V2981" s="301"/>
    </row>
    <row r="2982" spans="1:22" ht="14.4" thickTop="1" thickBot="1" x14ac:dyDescent="0.3">
      <c r="A2982" s="292"/>
      <c r="B2982" s="293"/>
      <c r="C2982" s="294"/>
      <c r="D2982" s="294"/>
      <c r="E2982" s="294"/>
      <c r="F2982" s="310"/>
      <c r="G2982" s="310"/>
      <c r="H2982" s="310"/>
      <c r="I2982" s="295"/>
      <c r="J2982" s="295"/>
      <c r="K2982" s="300">
        <f t="shared" si="414"/>
        <v>1.1000000000000001</v>
      </c>
      <c r="L2982" s="300">
        <f t="shared" si="411"/>
        <v>0</v>
      </c>
      <c r="M2982" s="285">
        <f t="shared" si="412"/>
        <v>0</v>
      </c>
      <c r="N2982" s="1076">
        <f t="shared" si="413"/>
        <v>0</v>
      </c>
      <c r="O2982" s="294"/>
      <c r="P2982" s="404"/>
      <c r="Q2982" s="404"/>
      <c r="R2982" s="301"/>
      <c r="S2982" s="301"/>
      <c r="T2982" s="301"/>
      <c r="U2982" s="301"/>
      <c r="V2982" s="301"/>
    </row>
    <row r="2983" spans="1:22" ht="14.4" thickTop="1" thickBot="1" x14ac:dyDescent="0.3">
      <c r="A2983" s="292"/>
      <c r="B2983" s="293"/>
      <c r="C2983" s="294"/>
      <c r="D2983" s="294"/>
      <c r="E2983" s="294"/>
      <c r="F2983" s="310"/>
      <c r="G2983" s="310"/>
      <c r="H2983" s="310"/>
      <c r="I2983" s="295"/>
      <c r="J2983" s="295"/>
      <c r="K2983" s="300">
        <f t="shared" si="414"/>
        <v>1.1000000000000001</v>
      </c>
      <c r="L2983" s="300">
        <f t="shared" si="411"/>
        <v>0</v>
      </c>
      <c r="M2983" s="285">
        <f t="shared" si="412"/>
        <v>0</v>
      </c>
      <c r="N2983" s="1076">
        <f t="shared" si="413"/>
        <v>0</v>
      </c>
      <c r="O2983" s="294"/>
      <c r="P2983" s="404"/>
      <c r="Q2983" s="404"/>
      <c r="R2983" s="301"/>
      <c r="S2983" s="301"/>
      <c r="T2983" s="301"/>
      <c r="U2983" s="301"/>
      <c r="V2983" s="301"/>
    </row>
    <row r="2984" spans="1:22" ht="14.4" thickTop="1" thickBot="1" x14ac:dyDescent="0.3">
      <c r="A2984" s="292"/>
      <c r="B2984" s="293"/>
      <c r="C2984" s="294"/>
      <c r="D2984" s="294"/>
      <c r="E2984" s="294"/>
      <c r="F2984" s="310"/>
      <c r="G2984" s="310"/>
      <c r="H2984" s="310"/>
      <c r="I2984" s="295"/>
      <c r="J2984" s="295"/>
      <c r="K2984" s="300">
        <f t="shared" si="414"/>
        <v>1.1000000000000001</v>
      </c>
      <c r="L2984" s="300">
        <f t="shared" si="411"/>
        <v>0</v>
      </c>
      <c r="M2984" s="285">
        <f t="shared" si="412"/>
        <v>0</v>
      </c>
      <c r="N2984" s="1076">
        <f t="shared" si="413"/>
        <v>0</v>
      </c>
      <c r="O2984" s="294"/>
      <c r="P2984" s="404"/>
      <c r="Q2984" s="404"/>
      <c r="R2984" s="301"/>
      <c r="S2984" s="301"/>
      <c r="T2984" s="301"/>
      <c r="U2984" s="301"/>
      <c r="V2984" s="301"/>
    </row>
    <row r="2985" spans="1:22" ht="14.4" thickTop="1" thickBot="1" x14ac:dyDescent="0.3">
      <c r="A2985" s="292"/>
      <c r="B2985" s="293"/>
      <c r="C2985" s="294"/>
      <c r="D2985" s="294"/>
      <c r="E2985" s="294"/>
      <c r="F2985" s="310"/>
      <c r="G2985" s="310"/>
      <c r="H2985" s="310"/>
      <c r="I2985" s="295"/>
      <c r="J2985" s="295"/>
      <c r="K2985" s="300">
        <f t="shared" si="414"/>
        <v>1.1000000000000001</v>
      </c>
      <c r="L2985" s="300">
        <f t="shared" si="411"/>
        <v>0</v>
      </c>
      <c r="M2985" s="285">
        <f t="shared" si="412"/>
        <v>0</v>
      </c>
      <c r="N2985" s="1076">
        <f t="shared" si="413"/>
        <v>0</v>
      </c>
      <c r="O2985" s="294"/>
      <c r="P2985" s="404"/>
      <c r="Q2985" s="404"/>
      <c r="R2985" s="301"/>
      <c r="S2985" s="301"/>
      <c r="T2985" s="301"/>
      <c r="U2985" s="301"/>
      <c r="V2985" s="301"/>
    </row>
    <row r="2986" spans="1:22" ht="14.4" thickTop="1" thickBot="1" x14ac:dyDescent="0.3">
      <c r="A2986" s="292"/>
      <c r="B2986" s="293"/>
      <c r="C2986" s="294"/>
      <c r="D2986" s="294"/>
      <c r="E2986" s="294"/>
      <c r="F2986" s="310"/>
      <c r="G2986" s="310"/>
      <c r="H2986" s="310"/>
      <c r="I2986" s="295"/>
      <c r="J2986" s="295"/>
      <c r="K2986" s="300">
        <f t="shared" si="414"/>
        <v>1.1000000000000001</v>
      </c>
      <c r="L2986" s="300">
        <f t="shared" si="411"/>
        <v>0</v>
      </c>
      <c r="M2986" s="285">
        <f t="shared" si="412"/>
        <v>0</v>
      </c>
      <c r="N2986" s="1076">
        <f t="shared" si="413"/>
        <v>0</v>
      </c>
      <c r="O2986" s="294"/>
      <c r="P2986" s="404"/>
      <c r="Q2986" s="404"/>
      <c r="R2986" s="301"/>
      <c r="S2986" s="301"/>
      <c r="T2986" s="301"/>
      <c r="U2986" s="301"/>
      <c r="V2986" s="301"/>
    </row>
    <row r="2987" spans="1:22" ht="14.4" thickTop="1" thickBot="1" x14ac:dyDescent="0.3">
      <c r="A2987" s="292"/>
      <c r="B2987" s="293"/>
      <c r="C2987" s="294"/>
      <c r="D2987" s="294"/>
      <c r="E2987" s="294"/>
      <c r="F2987" s="310"/>
      <c r="G2987" s="310"/>
      <c r="H2987" s="310"/>
      <c r="I2987" s="295"/>
      <c r="J2987" s="295"/>
      <c r="K2987" s="300">
        <f t="shared" si="414"/>
        <v>1.1000000000000001</v>
      </c>
      <c r="L2987" s="300">
        <f t="shared" si="411"/>
        <v>0</v>
      </c>
      <c r="M2987" s="285">
        <f t="shared" si="412"/>
        <v>0</v>
      </c>
      <c r="N2987" s="1076">
        <f t="shared" si="413"/>
        <v>0</v>
      </c>
      <c r="O2987" s="294"/>
      <c r="P2987" s="404"/>
      <c r="Q2987" s="404"/>
      <c r="R2987" s="301"/>
      <c r="S2987" s="301"/>
      <c r="T2987" s="301"/>
      <c r="U2987" s="301"/>
      <c r="V2987" s="301"/>
    </row>
    <row r="2988" spans="1:22" ht="14.4" thickTop="1" thickBot="1" x14ac:dyDescent="0.3">
      <c r="A2988" s="292"/>
      <c r="B2988" s="293"/>
      <c r="C2988" s="294"/>
      <c r="D2988" s="294"/>
      <c r="E2988" s="294"/>
      <c r="F2988" s="310"/>
      <c r="G2988" s="310"/>
      <c r="H2988" s="310"/>
      <c r="I2988" s="295"/>
      <c r="J2988" s="295"/>
      <c r="K2988" s="300">
        <f t="shared" si="414"/>
        <v>1.1000000000000001</v>
      </c>
      <c r="L2988" s="300">
        <f t="shared" si="411"/>
        <v>0</v>
      </c>
      <c r="M2988" s="285">
        <f t="shared" si="412"/>
        <v>0</v>
      </c>
      <c r="N2988" s="1076">
        <f t="shared" si="413"/>
        <v>0</v>
      </c>
      <c r="O2988" s="294"/>
      <c r="P2988" s="404"/>
      <c r="Q2988" s="404"/>
      <c r="R2988" s="301"/>
      <c r="S2988" s="301"/>
      <c r="T2988" s="301"/>
      <c r="U2988" s="301"/>
      <c r="V2988" s="301"/>
    </row>
    <row r="2989" spans="1:22" ht="14.4" thickTop="1" thickBot="1" x14ac:dyDescent="0.3">
      <c r="A2989" s="292"/>
      <c r="B2989" s="293"/>
      <c r="C2989" s="294"/>
      <c r="D2989" s="294"/>
      <c r="E2989" s="294"/>
      <c r="F2989" s="310"/>
      <c r="G2989" s="310"/>
      <c r="H2989" s="310"/>
      <c r="I2989" s="295"/>
      <c r="J2989" s="295"/>
      <c r="K2989" s="300">
        <f t="shared" si="414"/>
        <v>1.1000000000000001</v>
      </c>
      <c r="L2989" s="300">
        <f t="shared" si="411"/>
        <v>0</v>
      </c>
      <c r="M2989" s="285">
        <f t="shared" si="412"/>
        <v>0</v>
      </c>
      <c r="N2989" s="1076">
        <f t="shared" si="413"/>
        <v>0</v>
      </c>
      <c r="O2989" s="294"/>
      <c r="P2989" s="404"/>
      <c r="Q2989" s="404"/>
      <c r="R2989" s="301"/>
      <c r="S2989" s="301"/>
      <c r="T2989" s="301"/>
      <c r="U2989" s="301"/>
      <c r="V2989" s="301"/>
    </row>
    <row r="2990" spans="1:22" ht="14.4" thickTop="1" thickBot="1" x14ac:dyDescent="0.3">
      <c r="A2990" s="292"/>
      <c r="B2990" s="293"/>
      <c r="C2990" s="294"/>
      <c r="D2990" s="294"/>
      <c r="E2990" s="294"/>
      <c r="F2990" s="310"/>
      <c r="G2990" s="310"/>
      <c r="H2990" s="310"/>
      <c r="I2990" s="295"/>
      <c r="J2990" s="295"/>
      <c r="K2990" s="300">
        <f t="shared" si="414"/>
        <v>1.1000000000000001</v>
      </c>
      <c r="L2990" s="300">
        <f t="shared" ref="L2990:L3053" si="415">K2990*J2990</f>
        <v>0</v>
      </c>
      <c r="M2990" s="285">
        <f t="shared" si="412"/>
        <v>0</v>
      </c>
      <c r="N2990" s="1076">
        <f t="shared" si="413"/>
        <v>0</v>
      </c>
      <c r="O2990" s="294"/>
      <c r="P2990" s="404"/>
      <c r="Q2990" s="404"/>
      <c r="R2990" s="301"/>
      <c r="S2990" s="301"/>
      <c r="T2990" s="301"/>
      <c r="U2990" s="301"/>
      <c r="V2990" s="301"/>
    </row>
    <row r="2991" spans="1:22" ht="14.4" thickTop="1" thickBot="1" x14ac:dyDescent="0.3">
      <c r="A2991" s="292"/>
      <c r="B2991" s="293"/>
      <c r="C2991" s="294"/>
      <c r="D2991" s="294"/>
      <c r="E2991" s="294"/>
      <c r="F2991" s="310"/>
      <c r="G2991" s="310"/>
      <c r="H2991" s="310"/>
      <c r="I2991" s="295"/>
      <c r="J2991" s="295"/>
      <c r="K2991" s="300">
        <f t="shared" si="414"/>
        <v>1.1000000000000001</v>
      </c>
      <c r="L2991" s="300">
        <f t="shared" si="415"/>
        <v>0</v>
      </c>
      <c r="M2991" s="285">
        <f t="shared" si="412"/>
        <v>0</v>
      </c>
      <c r="N2991" s="1076">
        <f t="shared" si="413"/>
        <v>0</v>
      </c>
      <c r="O2991" s="294"/>
      <c r="P2991" s="404"/>
      <c r="Q2991" s="404"/>
      <c r="R2991" s="301"/>
      <c r="S2991" s="301"/>
      <c r="T2991" s="301"/>
      <c r="U2991" s="301"/>
      <c r="V2991" s="301"/>
    </row>
    <row r="2992" spans="1:22" ht="14.4" thickTop="1" thickBot="1" x14ac:dyDescent="0.3">
      <c r="A2992" s="292"/>
      <c r="B2992" s="293"/>
      <c r="C2992" s="294"/>
      <c r="D2992" s="294"/>
      <c r="E2992" s="294"/>
      <c r="F2992" s="310"/>
      <c r="G2992" s="310"/>
      <c r="H2992" s="310"/>
      <c r="I2992" s="295"/>
      <c r="J2992" s="295"/>
      <c r="K2992" s="300">
        <f t="shared" si="414"/>
        <v>1.1000000000000001</v>
      </c>
      <c r="L2992" s="300">
        <f t="shared" si="415"/>
        <v>0</v>
      </c>
      <c r="M2992" s="285">
        <f t="shared" ref="M2992:M3055" si="416">ROUND(L2992,1)</f>
        <v>0</v>
      </c>
      <c r="N2992" s="1076">
        <f t="shared" ref="N2992:N3055" si="417">ROUNDUP(M2992,0)</f>
        <v>0</v>
      </c>
      <c r="O2992" s="294"/>
      <c r="P2992" s="404"/>
      <c r="Q2992" s="404"/>
      <c r="R2992" s="301"/>
      <c r="S2992" s="301"/>
      <c r="T2992" s="301"/>
      <c r="U2992" s="301"/>
      <c r="V2992" s="301"/>
    </row>
    <row r="2993" spans="1:22" ht="14.4" thickTop="1" thickBot="1" x14ac:dyDescent="0.3">
      <c r="A2993" s="292"/>
      <c r="B2993" s="293"/>
      <c r="C2993" s="294"/>
      <c r="D2993" s="294"/>
      <c r="E2993" s="294"/>
      <c r="F2993" s="310"/>
      <c r="G2993" s="310"/>
      <c r="H2993" s="310"/>
      <c r="I2993" s="295"/>
      <c r="J2993" s="295"/>
      <c r="K2993" s="300">
        <f t="shared" si="414"/>
        <v>1.1000000000000001</v>
      </c>
      <c r="L2993" s="300">
        <f t="shared" si="415"/>
        <v>0</v>
      </c>
      <c r="M2993" s="285">
        <f t="shared" si="416"/>
        <v>0</v>
      </c>
      <c r="N2993" s="1076">
        <f t="shared" si="417"/>
        <v>0</v>
      </c>
      <c r="O2993" s="294"/>
      <c r="P2993" s="404"/>
      <c r="Q2993" s="404"/>
      <c r="R2993" s="301"/>
      <c r="S2993" s="301"/>
      <c r="T2993" s="301"/>
      <c r="U2993" s="301"/>
      <c r="V2993" s="301"/>
    </row>
    <row r="2994" spans="1:22" ht="14.4" thickTop="1" thickBot="1" x14ac:dyDescent="0.3">
      <c r="A2994" s="292"/>
      <c r="B2994" s="293"/>
      <c r="C2994" s="294"/>
      <c r="D2994" s="294"/>
      <c r="E2994" s="294"/>
      <c r="F2994" s="310"/>
      <c r="G2994" s="310"/>
      <c r="H2994" s="310"/>
      <c r="I2994" s="295"/>
      <c r="J2994" s="295"/>
      <c r="K2994" s="300">
        <f t="shared" si="414"/>
        <v>1.1000000000000001</v>
      </c>
      <c r="L2994" s="300">
        <f t="shared" si="415"/>
        <v>0</v>
      </c>
      <c r="M2994" s="285">
        <f t="shared" si="416"/>
        <v>0</v>
      </c>
      <c r="N2994" s="1076">
        <f t="shared" si="417"/>
        <v>0</v>
      </c>
      <c r="O2994" s="294"/>
      <c r="P2994" s="404"/>
      <c r="Q2994" s="404"/>
      <c r="R2994" s="301"/>
      <c r="S2994" s="301"/>
      <c r="T2994" s="301"/>
      <c r="U2994" s="301"/>
      <c r="V2994" s="301"/>
    </row>
    <row r="2995" spans="1:22" ht="14.4" thickTop="1" thickBot="1" x14ac:dyDescent="0.3">
      <c r="A2995" s="292"/>
      <c r="B2995" s="293"/>
      <c r="C2995" s="294"/>
      <c r="D2995" s="294"/>
      <c r="E2995" s="294"/>
      <c r="F2995" s="310"/>
      <c r="G2995" s="310"/>
      <c r="H2995" s="310"/>
      <c r="I2995" s="295"/>
      <c r="J2995" s="295"/>
      <c r="K2995" s="300">
        <f t="shared" si="414"/>
        <v>1.1000000000000001</v>
      </c>
      <c r="L2995" s="300">
        <f t="shared" si="415"/>
        <v>0</v>
      </c>
      <c r="M2995" s="285">
        <f t="shared" si="416"/>
        <v>0</v>
      </c>
      <c r="N2995" s="1076">
        <f t="shared" si="417"/>
        <v>0</v>
      </c>
      <c r="O2995" s="294"/>
      <c r="P2995" s="404"/>
      <c r="Q2995" s="404"/>
      <c r="R2995" s="301"/>
      <c r="S2995" s="301"/>
      <c r="T2995" s="301"/>
      <c r="U2995" s="301"/>
      <c r="V2995" s="301"/>
    </row>
    <row r="2996" spans="1:22" ht="14.4" thickTop="1" thickBot="1" x14ac:dyDescent="0.3">
      <c r="A2996" s="292"/>
      <c r="B2996" s="293"/>
      <c r="C2996" s="294"/>
      <c r="D2996" s="294"/>
      <c r="E2996" s="294"/>
      <c r="F2996" s="310"/>
      <c r="G2996" s="310"/>
      <c r="H2996" s="310"/>
      <c r="I2996" s="295"/>
      <c r="J2996" s="295"/>
      <c r="K2996" s="300">
        <f t="shared" si="414"/>
        <v>1.1000000000000001</v>
      </c>
      <c r="L2996" s="300">
        <f t="shared" si="415"/>
        <v>0</v>
      </c>
      <c r="M2996" s="285">
        <f t="shared" si="416"/>
        <v>0</v>
      </c>
      <c r="N2996" s="1076">
        <f t="shared" si="417"/>
        <v>0</v>
      </c>
      <c r="O2996" s="294"/>
      <c r="P2996" s="404"/>
      <c r="Q2996" s="404"/>
      <c r="R2996" s="301"/>
      <c r="S2996" s="301"/>
      <c r="T2996" s="301"/>
      <c r="U2996" s="301"/>
      <c r="V2996" s="301"/>
    </row>
    <row r="2997" spans="1:22" ht="14.4" thickTop="1" thickBot="1" x14ac:dyDescent="0.3">
      <c r="A2997" s="292"/>
      <c r="B2997" s="293"/>
      <c r="C2997" s="294"/>
      <c r="D2997" s="294"/>
      <c r="E2997" s="294"/>
      <c r="F2997" s="310"/>
      <c r="G2997" s="310"/>
      <c r="H2997" s="310"/>
      <c r="I2997" s="295"/>
      <c r="J2997" s="295"/>
      <c r="K2997" s="300">
        <f t="shared" si="414"/>
        <v>1.1000000000000001</v>
      </c>
      <c r="L2997" s="300">
        <f t="shared" si="415"/>
        <v>0</v>
      </c>
      <c r="M2997" s="285">
        <f t="shared" si="416"/>
        <v>0</v>
      </c>
      <c r="N2997" s="1076">
        <f t="shared" si="417"/>
        <v>0</v>
      </c>
      <c r="O2997" s="294"/>
      <c r="P2997" s="404"/>
      <c r="Q2997" s="404"/>
      <c r="R2997" s="301"/>
      <c r="S2997" s="301"/>
      <c r="T2997" s="301"/>
      <c r="U2997" s="301"/>
      <c r="V2997" s="301"/>
    </row>
    <row r="2998" spans="1:22" ht="14.4" thickTop="1" thickBot="1" x14ac:dyDescent="0.3">
      <c r="A2998" s="292"/>
      <c r="B2998" s="293"/>
      <c r="C2998" s="294"/>
      <c r="D2998" s="294"/>
      <c r="E2998" s="294"/>
      <c r="F2998" s="310"/>
      <c r="G2998" s="310"/>
      <c r="H2998" s="310"/>
      <c r="I2998" s="295"/>
      <c r="J2998" s="295"/>
      <c r="K2998" s="300">
        <f t="shared" si="414"/>
        <v>1.1000000000000001</v>
      </c>
      <c r="L2998" s="300">
        <f t="shared" si="415"/>
        <v>0</v>
      </c>
      <c r="M2998" s="285">
        <f t="shared" si="416"/>
        <v>0</v>
      </c>
      <c r="N2998" s="1076">
        <f t="shared" si="417"/>
        <v>0</v>
      </c>
      <c r="O2998" s="294"/>
      <c r="P2998" s="404"/>
      <c r="Q2998" s="404"/>
      <c r="R2998" s="301"/>
      <c r="S2998" s="301"/>
      <c r="T2998" s="301"/>
      <c r="U2998" s="301"/>
      <c r="V2998" s="301"/>
    </row>
    <row r="2999" spans="1:22" ht="14.4" thickTop="1" thickBot="1" x14ac:dyDescent="0.3">
      <c r="A2999" s="292"/>
      <c r="B2999" s="293"/>
      <c r="C2999" s="294"/>
      <c r="D2999" s="294"/>
      <c r="E2999" s="294"/>
      <c r="F2999" s="310"/>
      <c r="G2999" s="310"/>
      <c r="H2999" s="310"/>
      <c r="I2999" s="295"/>
      <c r="J2999" s="295"/>
      <c r="K2999" s="300">
        <f t="shared" si="414"/>
        <v>1.1000000000000001</v>
      </c>
      <c r="L2999" s="300">
        <f t="shared" si="415"/>
        <v>0</v>
      </c>
      <c r="M2999" s="285">
        <f t="shared" si="416"/>
        <v>0</v>
      </c>
      <c r="N2999" s="1076">
        <f t="shared" si="417"/>
        <v>0</v>
      </c>
      <c r="O2999" s="294"/>
      <c r="P2999" s="404"/>
      <c r="Q2999" s="404"/>
      <c r="R2999" s="301"/>
      <c r="S2999" s="301"/>
      <c r="T2999" s="301"/>
      <c r="U2999" s="301"/>
      <c r="V2999" s="301"/>
    </row>
    <row r="3000" spans="1:22" ht="14.4" thickTop="1" thickBot="1" x14ac:dyDescent="0.3">
      <c r="A3000" s="292"/>
      <c r="B3000" s="293"/>
      <c r="C3000" s="294"/>
      <c r="D3000" s="294"/>
      <c r="E3000" s="294"/>
      <c r="F3000" s="310"/>
      <c r="G3000" s="310"/>
      <c r="H3000" s="310"/>
      <c r="I3000" s="295"/>
      <c r="J3000" s="295"/>
      <c r="K3000" s="300">
        <f t="shared" si="414"/>
        <v>1.1000000000000001</v>
      </c>
      <c r="L3000" s="300">
        <f t="shared" si="415"/>
        <v>0</v>
      </c>
      <c r="M3000" s="285">
        <f t="shared" si="416"/>
        <v>0</v>
      </c>
      <c r="N3000" s="1076">
        <f t="shared" si="417"/>
        <v>0</v>
      </c>
      <c r="O3000" s="294"/>
      <c r="P3000" s="404"/>
      <c r="Q3000" s="404"/>
      <c r="R3000" s="301"/>
      <c r="S3000" s="301"/>
      <c r="T3000" s="301"/>
      <c r="U3000" s="301"/>
      <c r="V3000" s="301"/>
    </row>
    <row r="3001" spans="1:22" ht="14.4" thickTop="1" thickBot="1" x14ac:dyDescent="0.3">
      <c r="A3001" s="292"/>
      <c r="B3001" s="293"/>
      <c r="C3001" s="294"/>
      <c r="D3001" s="294"/>
      <c r="E3001" s="294"/>
      <c r="F3001" s="310"/>
      <c r="G3001" s="310"/>
      <c r="H3001" s="310"/>
      <c r="I3001" s="295"/>
      <c r="J3001" s="295"/>
      <c r="K3001" s="300">
        <f t="shared" si="414"/>
        <v>1.1000000000000001</v>
      </c>
      <c r="L3001" s="300">
        <f t="shared" si="415"/>
        <v>0</v>
      </c>
      <c r="M3001" s="285">
        <f t="shared" si="416"/>
        <v>0</v>
      </c>
      <c r="N3001" s="1076">
        <f t="shared" si="417"/>
        <v>0</v>
      </c>
      <c r="O3001" s="294"/>
      <c r="P3001" s="404"/>
      <c r="Q3001" s="404"/>
      <c r="R3001" s="301"/>
      <c r="S3001" s="301"/>
      <c r="T3001" s="301"/>
      <c r="U3001" s="301"/>
      <c r="V3001" s="301"/>
    </row>
    <row r="3002" spans="1:22" ht="14.4" thickTop="1" thickBot="1" x14ac:dyDescent="0.3">
      <c r="A3002" s="292"/>
      <c r="B3002" s="293"/>
      <c r="C3002" s="294"/>
      <c r="D3002" s="294"/>
      <c r="E3002" s="294"/>
      <c r="F3002" s="310"/>
      <c r="G3002" s="310"/>
      <c r="H3002" s="310"/>
      <c r="I3002" s="295"/>
      <c r="J3002" s="295"/>
      <c r="K3002" s="300">
        <f t="shared" si="414"/>
        <v>1.1000000000000001</v>
      </c>
      <c r="L3002" s="300">
        <f t="shared" si="415"/>
        <v>0</v>
      </c>
      <c r="M3002" s="285">
        <f t="shared" si="416"/>
        <v>0</v>
      </c>
      <c r="N3002" s="1076">
        <f t="shared" si="417"/>
        <v>0</v>
      </c>
      <c r="O3002" s="294"/>
      <c r="P3002" s="404"/>
      <c r="Q3002" s="404"/>
      <c r="R3002" s="301"/>
      <c r="S3002" s="301"/>
      <c r="T3002" s="301"/>
      <c r="U3002" s="301"/>
      <c r="V3002" s="301"/>
    </row>
    <row r="3003" spans="1:22" ht="14.4" thickTop="1" thickBot="1" x14ac:dyDescent="0.3">
      <c r="A3003" s="292"/>
      <c r="B3003" s="293"/>
      <c r="C3003" s="294"/>
      <c r="D3003" s="294"/>
      <c r="E3003" s="294"/>
      <c r="F3003" s="310"/>
      <c r="G3003" s="310"/>
      <c r="H3003" s="310"/>
      <c r="I3003" s="295"/>
      <c r="J3003" s="295"/>
      <c r="K3003" s="300">
        <f t="shared" si="414"/>
        <v>1.1000000000000001</v>
      </c>
      <c r="L3003" s="300">
        <f t="shared" si="415"/>
        <v>0</v>
      </c>
      <c r="M3003" s="285">
        <f t="shared" si="416"/>
        <v>0</v>
      </c>
      <c r="N3003" s="1076">
        <f t="shared" si="417"/>
        <v>0</v>
      </c>
      <c r="O3003" s="294"/>
      <c r="P3003" s="404"/>
      <c r="Q3003" s="404"/>
      <c r="R3003" s="301"/>
      <c r="S3003" s="301"/>
      <c r="T3003" s="301"/>
      <c r="U3003" s="301"/>
      <c r="V3003" s="301"/>
    </row>
    <row r="3004" spans="1:22" ht="14.4" thickTop="1" thickBot="1" x14ac:dyDescent="0.3">
      <c r="A3004" s="292"/>
      <c r="B3004" s="293"/>
      <c r="C3004" s="294"/>
      <c r="D3004" s="294"/>
      <c r="E3004" s="294"/>
      <c r="F3004" s="310"/>
      <c r="G3004" s="310"/>
      <c r="H3004" s="310"/>
      <c r="I3004" s="295"/>
      <c r="J3004" s="295"/>
      <c r="K3004" s="300">
        <f t="shared" si="414"/>
        <v>1.1000000000000001</v>
      </c>
      <c r="L3004" s="300">
        <f t="shared" si="415"/>
        <v>0</v>
      </c>
      <c r="M3004" s="285">
        <f t="shared" si="416"/>
        <v>0</v>
      </c>
      <c r="N3004" s="1076">
        <f t="shared" si="417"/>
        <v>0</v>
      </c>
      <c r="O3004" s="294"/>
      <c r="P3004" s="404"/>
      <c r="Q3004" s="404"/>
      <c r="R3004" s="301"/>
      <c r="S3004" s="301"/>
      <c r="T3004" s="301"/>
      <c r="U3004" s="301"/>
      <c r="V3004" s="301"/>
    </row>
    <row r="3005" spans="1:22" ht="14.4" thickTop="1" thickBot="1" x14ac:dyDescent="0.3">
      <c r="A3005" s="292"/>
      <c r="B3005" s="293"/>
      <c r="C3005" s="294"/>
      <c r="D3005" s="294"/>
      <c r="E3005" s="294"/>
      <c r="F3005" s="310"/>
      <c r="G3005" s="310"/>
      <c r="H3005" s="310"/>
      <c r="I3005" s="295"/>
      <c r="J3005" s="295"/>
      <c r="K3005" s="300">
        <f t="shared" si="414"/>
        <v>1.1000000000000001</v>
      </c>
      <c r="L3005" s="300">
        <f t="shared" si="415"/>
        <v>0</v>
      </c>
      <c r="M3005" s="285">
        <f t="shared" si="416"/>
        <v>0</v>
      </c>
      <c r="N3005" s="1076">
        <f t="shared" si="417"/>
        <v>0</v>
      </c>
      <c r="O3005" s="294"/>
      <c r="P3005" s="404"/>
      <c r="Q3005" s="404"/>
      <c r="R3005" s="301"/>
      <c r="S3005" s="301"/>
      <c r="T3005" s="301"/>
      <c r="U3005" s="301"/>
      <c r="V3005" s="301"/>
    </row>
    <row r="3006" spans="1:22" ht="14.4" thickTop="1" thickBot="1" x14ac:dyDescent="0.3">
      <c r="A3006" s="292"/>
      <c r="B3006" s="293"/>
      <c r="C3006" s="294"/>
      <c r="D3006" s="294"/>
      <c r="E3006" s="294"/>
      <c r="F3006" s="310"/>
      <c r="G3006" s="310"/>
      <c r="H3006" s="310"/>
      <c r="I3006" s="295"/>
      <c r="J3006" s="295"/>
      <c r="K3006" s="300">
        <f t="shared" si="414"/>
        <v>1.1000000000000001</v>
      </c>
      <c r="L3006" s="300">
        <f t="shared" si="415"/>
        <v>0</v>
      </c>
      <c r="M3006" s="285">
        <f t="shared" si="416"/>
        <v>0</v>
      </c>
      <c r="N3006" s="1076">
        <f t="shared" si="417"/>
        <v>0</v>
      </c>
      <c r="O3006" s="294"/>
      <c r="P3006" s="404"/>
      <c r="Q3006" s="404"/>
      <c r="R3006" s="301"/>
      <c r="S3006" s="301"/>
      <c r="T3006" s="301"/>
      <c r="U3006" s="301"/>
      <c r="V3006" s="301"/>
    </row>
    <row r="3007" spans="1:22" ht="14.4" thickTop="1" thickBot="1" x14ac:dyDescent="0.3">
      <c r="A3007" s="292"/>
      <c r="B3007" s="293"/>
      <c r="C3007" s="294"/>
      <c r="D3007" s="294"/>
      <c r="E3007" s="294"/>
      <c r="F3007" s="310"/>
      <c r="G3007" s="310"/>
      <c r="H3007" s="310"/>
      <c r="I3007" s="295"/>
      <c r="J3007" s="295"/>
      <c r="K3007" s="300">
        <f t="shared" si="414"/>
        <v>1.1000000000000001</v>
      </c>
      <c r="L3007" s="300">
        <f t="shared" si="415"/>
        <v>0</v>
      </c>
      <c r="M3007" s="285">
        <f t="shared" si="416"/>
        <v>0</v>
      </c>
      <c r="N3007" s="1076">
        <f t="shared" si="417"/>
        <v>0</v>
      </c>
      <c r="O3007" s="294"/>
      <c r="P3007" s="404"/>
      <c r="Q3007" s="404"/>
      <c r="R3007" s="301"/>
      <c r="S3007" s="301"/>
      <c r="T3007" s="301"/>
      <c r="U3007" s="301"/>
      <c r="V3007" s="301"/>
    </row>
    <row r="3008" spans="1:22" ht="14.4" thickTop="1" thickBot="1" x14ac:dyDescent="0.3">
      <c r="A3008" s="292"/>
      <c r="B3008" s="293"/>
      <c r="C3008" s="294"/>
      <c r="D3008" s="294"/>
      <c r="E3008" s="294"/>
      <c r="F3008" s="310"/>
      <c r="G3008" s="310"/>
      <c r="H3008" s="310"/>
      <c r="I3008" s="295"/>
      <c r="J3008" s="295"/>
      <c r="K3008" s="300">
        <f t="shared" si="414"/>
        <v>1.1000000000000001</v>
      </c>
      <c r="L3008" s="300">
        <f t="shared" si="415"/>
        <v>0</v>
      </c>
      <c r="M3008" s="285">
        <f t="shared" si="416"/>
        <v>0</v>
      </c>
      <c r="N3008" s="1076">
        <f t="shared" si="417"/>
        <v>0</v>
      </c>
      <c r="O3008" s="294"/>
      <c r="P3008" s="404"/>
      <c r="Q3008" s="404"/>
      <c r="R3008" s="301"/>
      <c r="S3008" s="301"/>
      <c r="T3008" s="301"/>
      <c r="U3008" s="301"/>
      <c r="V3008" s="301"/>
    </row>
    <row r="3009" spans="1:22" ht="14.4" thickTop="1" thickBot="1" x14ac:dyDescent="0.3">
      <c r="A3009" s="292"/>
      <c r="B3009" s="293"/>
      <c r="C3009" s="294"/>
      <c r="D3009" s="294"/>
      <c r="E3009" s="294"/>
      <c r="F3009" s="310"/>
      <c r="G3009" s="310"/>
      <c r="H3009" s="310"/>
      <c r="I3009" s="295"/>
      <c r="J3009" s="295"/>
      <c r="K3009" s="300">
        <f t="shared" si="414"/>
        <v>1.1000000000000001</v>
      </c>
      <c r="L3009" s="300">
        <f t="shared" si="415"/>
        <v>0</v>
      </c>
      <c r="M3009" s="285">
        <f t="shared" si="416"/>
        <v>0</v>
      </c>
      <c r="N3009" s="1076">
        <f t="shared" si="417"/>
        <v>0</v>
      </c>
      <c r="O3009" s="294"/>
      <c r="P3009" s="404"/>
      <c r="Q3009" s="404"/>
      <c r="R3009" s="301"/>
      <c r="S3009" s="301"/>
      <c r="T3009" s="301"/>
      <c r="U3009" s="301"/>
      <c r="V3009" s="301"/>
    </row>
    <row r="3010" spans="1:22" ht="14.4" thickTop="1" thickBot="1" x14ac:dyDescent="0.3">
      <c r="A3010" s="292"/>
      <c r="B3010" s="293"/>
      <c r="C3010" s="294"/>
      <c r="D3010" s="294"/>
      <c r="E3010" s="294"/>
      <c r="F3010" s="310"/>
      <c r="G3010" s="310"/>
      <c r="H3010" s="310"/>
      <c r="I3010" s="295"/>
      <c r="J3010" s="295"/>
      <c r="K3010" s="300">
        <f t="shared" si="414"/>
        <v>1.1000000000000001</v>
      </c>
      <c r="L3010" s="300">
        <f t="shared" si="415"/>
        <v>0</v>
      </c>
      <c r="M3010" s="285">
        <f t="shared" si="416"/>
        <v>0</v>
      </c>
      <c r="N3010" s="1076">
        <f t="shared" si="417"/>
        <v>0</v>
      </c>
      <c r="O3010" s="294"/>
      <c r="P3010" s="404"/>
      <c r="Q3010" s="404"/>
      <c r="R3010" s="301"/>
      <c r="S3010" s="301"/>
      <c r="T3010" s="301"/>
      <c r="U3010" s="301"/>
      <c r="V3010" s="301"/>
    </row>
    <row r="3011" spans="1:22" ht="14.4" thickTop="1" thickBot="1" x14ac:dyDescent="0.3">
      <c r="A3011" s="292"/>
      <c r="B3011" s="293"/>
      <c r="C3011" s="294"/>
      <c r="D3011" s="294"/>
      <c r="E3011" s="294"/>
      <c r="F3011" s="310"/>
      <c r="G3011" s="310"/>
      <c r="H3011" s="310"/>
      <c r="I3011" s="295"/>
      <c r="J3011" s="295"/>
      <c r="K3011" s="300">
        <f t="shared" si="414"/>
        <v>1.1000000000000001</v>
      </c>
      <c r="L3011" s="300">
        <f t="shared" si="415"/>
        <v>0</v>
      </c>
      <c r="M3011" s="285">
        <f t="shared" si="416"/>
        <v>0</v>
      </c>
      <c r="N3011" s="1076">
        <f t="shared" si="417"/>
        <v>0</v>
      </c>
      <c r="O3011" s="294"/>
      <c r="P3011" s="404"/>
      <c r="Q3011" s="404"/>
      <c r="R3011" s="301"/>
      <c r="S3011" s="301"/>
      <c r="T3011" s="301"/>
      <c r="U3011" s="301"/>
      <c r="V3011" s="301"/>
    </row>
    <row r="3012" spans="1:22" ht="14.4" thickTop="1" thickBot="1" x14ac:dyDescent="0.3">
      <c r="A3012" s="292"/>
      <c r="B3012" s="293"/>
      <c r="C3012" s="294"/>
      <c r="D3012" s="294"/>
      <c r="E3012" s="294"/>
      <c r="F3012" s="310"/>
      <c r="G3012" s="310"/>
      <c r="H3012" s="310"/>
      <c r="I3012" s="295"/>
      <c r="J3012" s="295"/>
      <c r="K3012" s="300">
        <f t="shared" si="414"/>
        <v>1.1000000000000001</v>
      </c>
      <c r="L3012" s="300">
        <f t="shared" si="415"/>
        <v>0</v>
      </c>
      <c r="M3012" s="285">
        <f t="shared" si="416"/>
        <v>0</v>
      </c>
      <c r="N3012" s="1076">
        <f t="shared" si="417"/>
        <v>0</v>
      </c>
      <c r="O3012" s="294"/>
      <c r="P3012" s="404"/>
      <c r="Q3012" s="404"/>
      <c r="R3012" s="301"/>
      <c r="S3012" s="301"/>
      <c r="T3012" s="301"/>
      <c r="U3012" s="301"/>
      <c r="V3012" s="301"/>
    </row>
    <row r="3013" spans="1:22" ht="14.4" thickTop="1" thickBot="1" x14ac:dyDescent="0.3">
      <c r="A3013" s="292"/>
      <c r="B3013" s="293"/>
      <c r="C3013" s="294"/>
      <c r="D3013" s="294"/>
      <c r="E3013" s="294"/>
      <c r="F3013" s="310"/>
      <c r="G3013" s="310"/>
      <c r="H3013" s="310"/>
      <c r="I3013" s="295"/>
      <c r="J3013" s="295"/>
      <c r="K3013" s="300">
        <f t="shared" si="414"/>
        <v>1.1000000000000001</v>
      </c>
      <c r="L3013" s="300">
        <f t="shared" si="415"/>
        <v>0</v>
      </c>
      <c r="M3013" s="285">
        <f t="shared" si="416"/>
        <v>0</v>
      </c>
      <c r="N3013" s="1076">
        <f t="shared" si="417"/>
        <v>0</v>
      </c>
      <c r="O3013" s="294"/>
      <c r="P3013" s="404"/>
      <c r="Q3013" s="404"/>
      <c r="R3013" s="301"/>
      <c r="S3013" s="301"/>
      <c r="T3013" s="301"/>
      <c r="U3013" s="301"/>
      <c r="V3013" s="301"/>
    </row>
    <row r="3014" spans="1:22" ht="14.4" thickTop="1" thickBot="1" x14ac:dyDescent="0.3">
      <c r="A3014" s="292"/>
      <c r="B3014" s="293"/>
      <c r="C3014" s="294"/>
      <c r="D3014" s="294"/>
      <c r="E3014" s="294"/>
      <c r="F3014" s="310"/>
      <c r="G3014" s="310"/>
      <c r="H3014" s="310"/>
      <c r="I3014" s="295"/>
      <c r="J3014" s="295"/>
      <c r="K3014" s="300">
        <f t="shared" si="414"/>
        <v>1.1000000000000001</v>
      </c>
      <c r="L3014" s="300">
        <f t="shared" si="415"/>
        <v>0</v>
      </c>
      <c r="M3014" s="285">
        <f t="shared" si="416"/>
        <v>0</v>
      </c>
      <c r="N3014" s="1076">
        <f t="shared" si="417"/>
        <v>0</v>
      </c>
      <c r="O3014" s="294"/>
      <c r="P3014" s="404"/>
      <c r="Q3014" s="404"/>
      <c r="R3014" s="301"/>
      <c r="S3014" s="301"/>
      <c r="T3014" s="301"/>
      <c r="U3014" s="301"/>
      <c r="V3014" s="301"/>
    </row>
    <row r="3015" spans="1:22" ht="14.4" thickTop="1" thickBot="1" x14ac:dyDescent="0.3">
      <c r="A3015" s="292"/>
      <c r="B3015" s="293"/>
      <c r="C3015" s="294"/>
      <c r="D3015" s="294"/>
      <c r="E3015" s="294"/>
      <c r="F3015" s="310"/>
      <c r="G3015" s="310"/>
      <c r="H3015" s="310"/>
      <c r="I3015" s="295"/>
      <c r="J3015" s="295"/>
      <c r="K3015" s="300">
        <f t="shared" si="414"/>
        <v>1.1000000000000001</v>
      </c>
      <c r="L3015" s="300">
        <f t="shared" si="415"/>
        <v>0</v>
      </c>
      <c r="M3015" s="285">
        <f t="shared" si="416"/>
        <v>0</v>
      </c>
      <c r="N3015" s="1076">
        <f t="shared" si="417"/>
        <v>0</v>
      </c>
      <c r="O3015" s="294"/>
      <c r="P3015" s="404"/>
      <c r="Q3015" s="404"/>
      <c r="R3015" s="301"/>
      <c r="S3015" s="301"/>
      <c r="T3015" s="301"/>
      <c r="U3015" s="301"/>
      <c r="V3015" s="301"/>
    </row>
    <row r="3016" spans="1:22" ht="14.4" thickTop="1" thickBot="1" x14ac:dyDescent="0.3">
      <c r="A3016" s="292"/>
      <c r="B3016" s="293"/>
      <c r="C3016" s="294"/>
      <c r="D3016" s="294"/>
      <c r="E3016" s="294"/>
      <c r="F3016" s="310"/>
      <c r="G3016" s="310"/>
      <c r="H3016" s="310"/>
      <c r="I3016" s="295"/>
      <c r="J3016" s="295"/>
      <c r="K3016" s="300">
        <f t="shared" si="414"/>
        <v>1.1000000000000001</v>
      </c>
      <c r="L3016" s="300">
        <f t="shared" si="415"/>
        <v>0</v>
      </c>
      <c r="M3016" s="285">
        <f t="shared" si="416"/>
        <v>0</v>
      </c>
      <c r="N3016" s="1076">
        <f t="shared" si="417"/>
        <v>0</v>
      </c>
      <c r="O3016" s="294"/>
      <c r="P3016" s="404"/>
      <c r="Q3016" s="404"/>
      <c r="R3016" s="301"/>
      <c r="S3016" s="301"/>
      <c r="T3016" s="301"/>
      <c r="U3016" s="301"/>
      <c r="V3016" s="301"/>
    </row>
    <row r="3017" spans="1:22" ht="14.4" thickTop="1" thickBot="1" x14ac:dyDescent="0.3">
      <c r="A3017" s="292"/>
      <c r="B3017" s="293"/>
      <c r="C3017" s="294"/>
      <c r="D3017" s="294"/>
      <c r="E3017" s="294"/>
      <c r="F3017" s="310"/>
      <c r="G3017" s="310"/>
      <c r="H3017" s="310"/>
      <c r="I3017" s="295"/>
      <c r="J3017" s="295"/>
      <c r="K3017" s="300">
        <f t="shared" si="414"/>
        <v>1.1000000000000001</v>
      </c>
      <c r="L3017" s="300">
        <f t="shared" si="415"/>
        <v>0</v>
      </c>
      <c r="M3017" s="285">
        <f t="shared" si="416"/>
        <v>0</v>
      </c>
      <c r="N3017" s="1076">
        <f t="shared" si="417"/>
        <v>0</v>
      </c>
      <c r="O3017" s="294"/>
      <c r="P3017" s="404"/>
      <c r="Q3017" s="404"/>
      <c r="R3017" s="301"/>
      <c r="S3017" s="301"/>
      <c r="T3017" s="301"/>
      <c r="U3017" s="301"/>
      <c r="V3017" s="301"/>
    </row>
    <row r="3018" spans="1:22" ht="14.4" thickTop="1" thickBot="1" x14ac:dyDescent="0.3">
      <c r="A3018" s="292"/>
      <c r="B3018" s="293"/>
      <c r="C3018" s="294"/>
      <c r="D3018" s="294"/>
      <c r="E3018" s="294"/>
      <c r="F3018" s="310"/>
      <c r="G3018" s="310"/>
      <c r="H3018" s="310"/>
      <c r="I3018" s="295"/>
      <c r="J3018" s="295"/>
      <c r="K3018" s="300">
        <f t="shared" si="414"/>
        <v>1.1000000000000001</v>
      </c>
      <c r="L3018" s="300">
        <f t="shared" si="415"/>
        <v>0</v>
      </c>
      <c r="M3018" s="285">
        <f t="shared" si="416"/>
        <v>0</v>
      </c>
      <c r="N3018" s="1076">
        <f t="shared" si="417"/>
        <v>0</v>
      </c>
      <c r="O3018" s="294"/>
      <c r="P3018" s="404"/>
      <c r="Q3018" s="404"/>
      <c r="R3018" s="301"/>
      <c r="S3018" s="301"/>
      <c r="T3018" s="301"/>
      <c r="U3018" s="301"/>
      <c r="V3018" s="301"/>
    </row>
    <row r="3019" spans="1:22" ht="14.4" thickTop="1" thickBot="1" x14ac:dyDescent="0.3">
      <c r="A3019" s="292"/>
      <c r="B3019" s="293"/>
      <c r="C3019" s="294"/>
      <c r="D3019" s="294"/>
      <c r="E3019" s="294"/>
      <c r="F3019" s="310"/>
      <c r="G3019" s="310"/>
      <c r="H3019" s="310"/>
      <c r="I3019" s="295"/>
      <c r="J3019" s="295"/>
      <c r="K3019" s="300">
        <f t="shared" si="414"/>
        <v>1.1000000000000001</v>
      </c>
      <c r="L3019" s="300">
        <f t="shared" si="415"/>
        <v>0</v>
      </c>
      <c r="M3019" s="285">
        <f t="shared" si="416"/>
        <v>0</v>
      </c>
      <c r="N3019" s="1076">
        <f t="shared" si="417"/>
        <v>0</v>
      </c>
      <c r="O3019" s="294"/>
      <c r="P3019" s="404"/>
      <c r="Q3019" s="404"/>
      <c r="R3019" s="301"/>
      <c r="S3019" s="301"/>
      <c r="T3019" s="301"/>
      <c r="U3019" s="301"/>
      <c r="V3019" s="301"/>
    </row>
    <row r="3020" spans="1:22" ht="14.4" thickTop="1" thickBot="1" x14ac:dyDescent="0.3">
      <c r="A3020" s="292"/>
      <c r="B3020" s="293"/>
      <c r="C3020" s="294"/>
      <c r="D3020" s="294"/>
      <c r="E3020" s="294"/>
      <c r="F3020" s="310"/>
      <c r="G3020" s="310"/>
      <c r="H3020" s="310"/>
      <c r="I3020" s="295"/>
      <c r="J3020" s="295"/>
      <c r="K3020" s="300">
        <f t="shared" si="414"/>
        <v>1.1000000000000001</v>
      </c>
      <c r="L3020" s="300">
        <f t="shared" si="415"/>
        <v>0</v>
      </c>
      <c r="M3020" s="285">
        <f t="shared" si="416"/>
        <v>0</v>
      </c>
      <c r="N3020" s="1076">
        <f t="shared" si="417"/>
        <v>0</v>
      </c>
      <c r="O3020" s="294"/>
      <c r="P3020" s="404"/>
      <c r="Q3020" s="404"/>
      <c r="R3020" s="301"/>
      <c r="S3020" s="301"/>
      <c r="T3020" s="301"/>
      <c r="U3020" s="301"/>
      <c r="V3020" s="301"/>
    </row>
    <row r="3021" spans="1:22" ht="14.4" thickTop="1" thickBot="1" x14ac:dyDescent="0.3">
      <c r="A3021" s="292"/>
      <c r="B3021" s="293"/>
      <c r="C3021" s="294"/>
      <c r="D3021" s="294"/>
      <c r="E3021" s="294"/>
      <c r="F3021" s="310"/>
      <c r="G3021" s="310"/>
      <c r="H3021" s="310"/>
      <c r="I3021" s="295"/>
      <c r="J3021" s="295"/>
      <c r="K3021" s="300">
        <f t="shared" si="414"/>
        <v>1.1000000000000001</v>
      </c>
      <c r="L3021" s="300">
        <f t="shared" si="415"/>
        <v>0</v>
      </c>
      <c r="M3021" s="285">
        <f t="shared" si="416"/>
        <v>0</v>
      </c>
      <c r="N3021" s="1076">
        <f t="shared" si="417"/>
        <v>0</v>
      </c>
      <c r="O3021" s="294"/>
      <c r="P3021" s="404"/>
      <c r="Q3021" s="404"/>
      <c r="R3021" s="301"/>
      <c r="S3021" s="301"/>
      <c r="T3021" s="301"/>
      <c r="U3021" s="301"/>
      <c r="V3021" s="301"/>
    </row>
    <row r="3022" spans="1:22" ht="14.4" thickTop="1" thickBot="1" x14ac:dyDescent="0.3">
      <c r="A3022" s="292"/>
      <c r="B3022" s="293"/>
      <c r="C3022" s="294"/>
      <c r="D3022" s="294"/>
      <c r="E3022" s="294"/>
      <c r="F3022" s="310"/>
      <c r="G3022" s="310"/>
      <c r="H3022" s="310"/>
      <c r="I3022" s="295"/>
      <c r="J3022" s="295"/>
      <c r="K3022" s="300">
        <f t="shared" si="414"/>
        <v>1.1000000000000001</v>
      </c>
      <c r="L3022" s="300">
        <f t="shared" si="415"/>
        <v>0</v>
      </c>
      <c r="M3022" s="285">
        <f t="shared" si="416"/>
        <v>0</v>
      </c>
      <c r="N3022" s="1076">
        <f t="shared" si="417"/>
        <v>0</v>
      </c>
      <c r="O3022" s="294"/>
      <c r="P3022" s="404"/>
      <c r="Q3022" s="404"/>
      <c r="R3022" s="301"/>
      <c r="S3022" s="301"/>
      <c r="T3022" s="301"/>
      <c r="U3022" s="301"/>
      <c r="V3022" s="301"/>
    </row>
    <row r="3023" spans="1:22" ht="14.4" thickTop="1" thickBot="1" x14ac:dyDescent="0.3">
      <c r="A3023" s="292"/>
      <c r="B3023" s="293"/>
      <c r="C3023" s="294"/>
      <c r="D3023" s="294"/>
      <c r="E3023" s="294"/>
      <c r="F3023" s="310"/>
      <c r="G3023" s="310"/>
      <c r="H3023" s="310"/>
      <c r="I3023" s="295"/>
      <c r="J3023" s="295"/>
      <c r="K3023" s="300">
        <f t="shared" si="414"/>
        <v>1.1000000000000001</v>
      </c>
      <c r="L3023" s="300">
        <f t="shared" si="415"/>
        <v>0</v>
      </c>
      <c r="M3023" s="285">
        <f t="shared" si="416"/>
        <v>0</v>
      </c>
      <c r="N3023" s="1076">
        <f t="shared" si="417"/>
        <v>0</v>
      </c>
      <c r="O3023" s="294"/>
      <c r="P3023" s="404"/>
      <c r="Q3023" s="404"/>
      <c r="R3023" s="301"/>
      <c r="S3023" s="301"/>
      <c r="T3023" s="301"/>
      <c r="U3023" s="301"/>
      <c r="V3023" s="301"/>
    </row>
    <row r="3024" spans="1:22" ht="14.4" thickTop="1" thickBot="1" x14ac:dyDescent="0.3">
      <c r="A3024" s="292"/>
      <c r="B3024" s="293"/>
      <c r="C3024" s="294"/>
      <c r="D3024" s="294"/>
      <c r="E3024" s="294"/>
      <c r="F3024" s="310"/>
      <c r="G3024" s="310"/>
      <c r="H3024" s="310"/>
      <c r="I3024" s="295"/>
      <c r="J3024" s="295"/>
      <c r="K3024" s="300">
        <f t="shared" si="414"/>
        <v>1.1000000000000001</v>
      </c>
      <c r="L3024" s="300">
        <f t="shared" si="415"/>
        <v>0</v>
      </c>
      <c r="M3024" s="285">
        <f t="shared" si="416"/>
        <v>0</v>
      </c>
      <c r="N3024" s="1076">
        <f t="shared" si="417"/>
        <v>0</v>
      </c>
      <c r="O3024" s="294"/>
      <c r="P3024" s="404"/>
      <c r="Q3024" s="404"/>
      <c r="R3024" s="301"/>
      <c r="S3024" s="301"/>
      <c r="T3024" s="301"/>
      <c r="U3024" s="301"/>
      <c r="V3024" s="301"/>
    </row>
    <row r="3025" spans="1:22" ht="14.4" thickTop="1" thickBot="1" x14ac:dyDescent="0.3">
      <c r="A3025" s="292"/>
      <c r="B3025" s="293"/>
      <c r="C3025" s="294"/>
      <c r="D3025" s="294"/>
      <c r="E3025" s="294"/>
      <c r="F3025" s="310"/>
      <c r="G3025" s="310"/>
      <c r="H3025" s="310"/>
      <c r="I3025" s="295"/>
      <c r="J3025" s="295"/>
      <c r="K3025" s="300">
        <f t="shared" si="414"/>
        <v>1.1000000000000001</v>
      </c>
      <c r="L3025" s="300">
        <f t="shared" si="415"/>
        <v>0</v>
      </c>
      <c r="M3025" s="285">
        <f t="shared" si="416"/>
        <v>0</v>
      </c>
      <c r="N3025" s="1076">
        <f t="shared" si="417"/>
        <v>0</v>
      </c>
      <c r="O3025" s="294"/>
      <c r="P3025" s="404"/>
      <c r="Q3025" s="404"/>
      <c r="R3025" s="301"/>
      <c r="S3025" s="301"/>
      <c r="T3025" s="301"/>
      <c r="U3025" s="301"/>
      <c r="V3025" s="301"/>
    </row>
    <row r="3026" spans="1:22" ht="14.4" thickTop="1" thickBot="1" x14ac:dyDescent="0.3">
      <c r="A3026" s="292"/>
      <c r="B3026" s="293"/>
      <c r="C3026" s="294"/>
      <c r="D3026" s="294"/>
      <c r="E3026" s="294"/>
      <c r="F3026" s="310"/>
      <c r="G3026" s="310"/>
      <c r="H3026" s="310"/>
      <c r="I3026" s="295"/>
      <c r="J3026" s="295"/>
      <c r="K3026" s="300">
        <f t="shared" si="414"/>
        <v>1.1000000000000001</v>
      </c>
      <c r="L3026" s="300">
        <f t="shared" si="415"/>
        <v>0</v>
      </c>
      <c r="M3026" s="285">
        <f t="shared" si="416"/>
        <v>0</v>
      </c>
      <c r="N3026" s="1076">
        <f t="shared" si="417"/>
        <v>0</v>
      </c>
      <c r="O3026" s="294"/>
      <c r="P3026" s="404"/>
      <c r="Q3026" s="404"/>
      <c r="R3026" s="301"/>
      <c r="S3026" s="301"/>
      <c r="T3026" s="301"/>
      <c r="U3026" s="301"/>
      <c r="V3026" s="301"/>
    </row>
    <row r="3027" spans="1:22" ht="14.4" thickTop="1" thickBot="1" x14ac:dyDescent="0.3">
      <c r="A3027" s="292"/>
      <c r="B3027" s="293"/>
      <c r="C3027" s="294"/>
      <c r="D3027" s="294"/>
      <c r="E3027" s="294"/>
      <c r="F3027" s="310"/>
      <c r="G3027" s="310"/>
      <c r="H3027" s="310"/>
      <c r="I3027" s="295"/>
      <c r="J3027" s="295"/>
      <c r="K3027" s="300">
        <f t="shared" si="414"/>
        <v>1.1000000000000001</v>
      </c>
      <c r="L3027" s="300">
        <f t="shared" si="415"/>
        <v>0</v>
      </c>
      <c r="M3027" s="285">
        <f t="shared" si="416"/>
        <v>0</v>
      </c>
      <c r="N3027" s="1076">
        <f t="shared" si="417"/>
        <v>0</v>
      </c>
      <c r="O3027" s="294"/>
      <c r="P3027" s="404"/>
      <c r="Q3027" s="404"/>
      <c r="R3027" s="301"/>
      <c r="S3027" s="301"/>
      <c r="T3027" s="301"/>
      <c r="U3027" s="301"/>
      <c r="V3027" s="301"/>
    </row>
    <row r="3028" spans="1:22" ht="14.4" thickTop="1" thickBot="1" x14ac:dyDescent="0.3">
      <c r="A3028" s="292"/>
      <c r="B3028" s="293"/>
      <c r="C3028" s="294"/>
      <c r="D3028" s="294"/>
      <c r="E3028" s="294"/>
      <c r="F3028" s="310"/>
      <c r="G3028" s="310"/>
      <c r="H3028" s="310"/>
      <c r="I3028" s="295"/>
      <c r="J3028" s="295"/>
      <c r="K3028" s="300">
        <f t="shared" si="414"/>
        <v>1.1000000000000001</v>
      </c>
      <c r="L3028" s="300">
        <f t="shared" si="415"/>
        <v>0</v>
      </c>
      <c r="M3028" s="285">
        <f t="shared" si="416"/>
        <v>0</v>
      </c>
      <c r="N3028" s="1076">
        <f t="shared" si="417"/>
        <v>0</v>
      </c>
      <c r="O3028" s="294"/>
      <c r="P3028" s="404"/>
      <c r="Q3028" s="404"/>
      <c r="R3028" s="301"/>
      <c r="S3028" s="301"/>
      <c r="T3028" s="301"/>
      <c r="U3028" s="301"/>
      <c r="V3028" s="301"/>
    </row>
    <row r="3029" spans="1:22" ht="14.4" thickTop="1" thickBot="1" x14ac:dyDescent="0.3">
      <c r="A3029" s="292"/>
      <c r="B3029" s="293"/>
      <c r="C3029" s="294"/>
      <c r="D3029" s="294"/>
      <c r="E3029" s="294"/>
      <c r="F3029" s="310"/>
      <c r="G3029" s="310"/>
      <c r="H3029" s="310"/>
      <c r="I3029" s="295"/>
      <c r="J3029" s="295"/>
      <c r="K3029" s="300">
        <f t="shared" si="414"/>
        <v>1.1000000000000001</v>
      </c>
      <c r="L3029" s="300">
        <f t="shared" si="415"/>
        <v>0</v>
      </c>
      <c r="M3029" s="285">
        <f t="shared" si="416"/>
        <v>0</v>
      </c>
      <c r="N3029" s="1076">
        <f t="shared" si="417"/>
        <v>0</v>
      </c>
      <c r="O3029" s="294"/>
      <c r="P3029" s="404"/>
      <c r="Q3029" s="404"/>
      <c r="R3029" s="301"/>
      <c r="S3029" s="301"/>
      <c r="T3029" s="301"/>
      <c r="U3029" s="301"/>
      <c r="V3029" s="301"/>
    </row>
    <row r="3030" spans="1:22" ht="14.4" thickTop="1" thickBot="1" x14ac:dyDescent="0.3">
      <c r="A3030" s="292"/>
      <c r="B3030" s="293"/>
      <c r="C3030" s="294"/>
      <c r="D3030" s="294"/>
      <c r="E3030" s="294"/>
      <c r="F3030" s="310"/>
      <c r="G3030" s="310"/>
      <c r="H3030" s="310"/>
      <c r="I3030" s="295"/>
      <c r="J3030" s="295"/>
      <c r="K3030" s="300">
        <f t="shared" si="414"/>
        <v>1.1000000000000001</v>
      </c>
      <c r="L3030" s="300">
        <f t="shared" si="415"/>
        <v>0</v>
      </c>
      <c r="M3030" s="285">
        <f t="shared" si="416"/>
        <v>0</v>
      </c>
      <c r="N3030" s="1076">
        <f t="shared" si="417"/>
        <v>0</v>
      </c>
      <c r="O3030" s="294"/>
      <c r="P3030" s="404"/>
      <c r="Q3030" s="404"/>
      <c r="R3030" s="301"/>
      <c r="S3030" s="301"/>
      <c r="T3030" s="301"/>
      <c r="U3030" s="301"/>
      <c r="V3030" s="301"/>
    </row>
    <row r="3031" spans="1:22" ht="14.4" thickTop="1" thickBot="1" x14ac:dyDescent="0.3">
      <c r="A3031" s="292"/>
      <c r="B3031" s="293"/>
      <c r="C3031" s="294"/>
      <c r="D3031" s="294"/>
      <c r="E3031" s="294"/>
      <c r="F3031" s="310"/>
      <c r="G3031" s="310"/>
      <c r="H3031" s="310"/>
      <c r="I3031" s="295"/>
      <c r="J3031" s="295"/>
      <c r="K3031" s="300">
        <f t="shared" si="414"/>
        <v>1.1000000000000001</v>
      </c>
      <c r="L3031" s="300">
        <f t="shared" si="415"/>
        <v>0</v>
      </c>
      <c r="M3031" s="285">
        <f t="shared" si="416"/>
        <v>0</v>
      </c>
      <c r="N3031" s="1076">
        <f t="shared" si="417"/>
        <v>0</v>
      </c>
      <c r="O3031" s="294"/>
      <c r="P3031" s="404"/>
      <c r="Q3031" s="404"/>
      <c r="R3031" s="301"/>
      <c r="S3031" s="301"/>
      <c r="T3031" s="301"/>
      <c r="U3031" s="301"/>
      <c r="V3031" s="301"/>
    </row>
    <row r="3032" spans="1:22" ht="14.4" thickTop="1" thickBot="1" x14ac:dyDescent="0.3">
      <c r="A3032" s="292"/>
      <c r="B3032" s="293"/>
      <c r="C3032" s="294"/>
      <c r="D3032" s="294"/>
      <c r="E3032" s="294"/>
      <c r="F3032" s="310"/>
      <c r="G3032" s="310"/>
      <c r="H3032" s="310"/>
      <c r="I3032" s="295"/>
      <c r="J3032" s="295"/>
      <c r="K3032" s="300">
        <f t="shared" si="414"/>
        <v>1.1000000000000001</v>
      </c>
      <c r="L3032" s="300">
        <f t="shared" si="415"/>
        <v>0</v>
      </c>
      <c r="M3032" s="285">
        <f t="shared" si="416"/>
        <v>0</v>
      </c>
      <c r="N3032" s="1076">
        <f t="shared" si="417"/>
        <v>0</v>
      </c>
      <c r="O3032" s="294"/>
      <c r="P3032" s="404"/>
      <c r="Q3032" s="404"/>
      <c r="R3032" s="301"/>
      <c r="S3032" s="301"/>
      <c r="T3032" s="301"/>
      <c r="U3032" s="301"/>
      <c r="V3032" s="301"/>
    </row>
    <row r="3033" spans="1:22" ht="14.4" thickTop="1" thickBot="1" x14ac:dyDescent="0.3">
      <c r="A3033" s="292"/>
      <c r="B3033" s="293"/>
      <c r="C3033" s="294"/>
      <c r="D3033" s="294"/>
      <c r="E3033" s="294"/>
      <c r="F3033" s="310"/>
      <c r="G3033" s="310"/>
      <c r="H3033" s="310"/>
      <c r="I3033" s="295"/>
      <c r="J3033" s="295"/>
      <c r="K3033" s="300">
        <f t="shared" si="414"/>
        <v>1.1000000000000001</v>
      </c>
      <c r="L3033" s="300">
        <f t="shared" si="415"/>
        <v>0</v>
      </c>
      <c r="M3033" s="285">
        <f t="shared" si="416"/>
        <v>0</v>
      </c>
      <c r="N3033" s="1076">
        <f t="shared" si="417"/>
        <v>0</v>
      </c>
      <c r="O3033" s="294"/>
      <c r="P3033" s="404"/>
      <c r="Q3033" s="404"/>
      <c r="R3033" s="301"/>
      <c r="S3033" s="301"/>
      <c r="T3033" s="301"/>
      <c r="U3033" s="301"/>
      <c r="V3033" s="301"/>
    </row>
    <row r="3034" spans="1:22" ht="14.4" thickTop="1" thickBot="1" x14ac:dyDescent="0.3">
      <c r="A3034" s="292"/>
      <c r="B3034" s="293"/>
      <c r="C3034" s="294"/>
      <c r="D3034" s="294"/>
      <c r="E3034" s="294"/>
      <c r="F3034" s="310"/>
      <c r="G3034" s="310"/>
      <c r="H3034" s="310"/>
      <c r="I3034" s="295"/>
      <c r="J3034" s="295"/>
      <c r="K3034" s="300">
        <f t="shared" si="414"/>
        <v>1.1000000000000001</v>
      </c>
      <c r="L3034" s="300">
        <f t="shared" si="415"/>
        <v>0</v>
      </c>
      <c r="M3034" s="285">
        <f t="shared" si="416"/>
        <v>0</v>
      </c>
      <c r="N3034" s="1076">
        <f t="shared" si="417"/>
        <v>0</v>
      </c>
      <c r="O3034" s="294"/>
      <c r="P3034" s="404"/>
      <c r="Q3034" s="404"/>
      <c r="R3034" s="301"/>
      <c r="S3034" s="301"/>
      <c r="T3034" s="301"/>
      <c r="U3034" s="301"/>
      <c r="V3034" s="301"/>
    </row>
    <row r="3035" spans="1:22" ht="14.4" thickTop="1" thickBot="1" x14ac:dyDescent="0.3">
      <c r="A3035" s="292"/>
      <c r="B3035" s="293"/>
      <c r="C3035" s="294"/>
      <c r="D3035" s="294"/>
      <c r="E3035" s="294"/>
      <c r="F3035" s="310"/>
      <c r="G3035" s="310"/>
      <c r="H3035" s="310"/>
      <c r="I3035" s="295"/>
      <c r="J3035" s="295"/>
      <c r="K3035" s="300">
        <f t="shared" si="414"/>
        <v>1.1000000000000001</v>
      </c>
      <c r="L3035" s="300">
        <f t="shared" si="415"/>
        <v>0</v>
      </c>
      <c r="M3035" s="285">
        <f t="shared" si="416"/>
        <v>0</v>
      </c>
      <c r="N3035" s="1076">
        <f t="shared" si="417"/>
        <v>0</v>
      </c>
      <c r="O3035" s="294"/>
      <c r="P3035" s="404"/>
      <c r="Q3035" s="404"/>
      <c r="R3035" s="301"/>
      <c r="S3035" s="301"/>
      <c r="T3035" s="301"/>
      <c r="U3035" s="301"/>
      <c r="V3035" s="301"/>
    </row>
    <row r="3036" spans="1:22" ht="14.4" thickTop="1" thickBot="1" x14ac:dyDescent="0.3">
      <c r="A3036" s="292"/>
      <c r="B3036" s="293"/>
      <c r="C3036" s="294"/>
      <c r="D3036" s="294"/>
      <c r="E3036" s="294"/>
      <c r="F3036" s="310"/>
      <c r="G3036" s="310"/>
      <c r="H3036" s="310"/>
      <c r="I3036" s="295"/>
      <c r="J3036" s="295"/>
      <c r="K3036" s="300">
        <f t="shared" si="414"/>
        <v>1.1000000000000001</v>
      </c>
      <c r="L3036" s="300">
        <f t="shared" si="415"/>
        <v>0</v>
      </c>
      <c r="M3036" s="285">
        <f t="shared" si="416"/>
        <v>0</v>
      </c>
      <c r="N3036" s="1076">
        <f t="shared" si="417"/>
        <v>0</v>
      </c>
      <c r="O3036" s="294"/>
      <c r="P3036" s="404"/>
      <c r="Q3036" s="404"/>
      <c r="R3036" s="301"/>
      <c r="S3036" s="301"/>
      <c r="T3036" s="301"/>
      <c r="U3036" s="301"/>
      <c r="V3036" s="301"/>
    </row>
    <row r="3037" spans="1:22" ht="14.4" thickTop="1" thickBot="1" x14ac:dyDescent="0.3">
      <c r="A3037" s="292"/>
      <c r="B3037" s="293"/>
      <c r="C3037" s="294"/>
      <c r="D3037" s="294"/>
      <c r="E3037" s="294"/>
      <c r="F3037" s="310"/>
      <c r="G3037" s="310"/>
      <c r="H3037" s="310"/>
      <c r="I3037" s="295"/>
      <c r="J3037" s="295"/>
      <c r="K3037" s="300">
        <f t="shared" si="414"/>
        <v>1.1000000000000001</v>
      </c>
      <c r="L3037" s="300">
        <f t="shared" si="415"/>
        <v>0</v>
      </c>
      <c r="M3037" s="285">
        <f t="shared" si="416"/>
        <v>0</v>
      </c>
      <c r="N3037" s="1076">
        <f t="shared" si="417"/>
        <v>0</v>
      </c>
      <c r="O3037" s="294"/>
      <c r="P3037" s="404"/>
      <c r="Q3037" s="404"/>
      <c r="R3037" s="301"/>
      <c r="S3037" s="301"/>
      <c r="T3037" s="301"/>
      <c r="U3037" s="301"/>
      <c r="V3037" s="301"/>
    </row>
    <row r="3038" spans="1:22" ht="14.4" thickTop="1" thickBot="1" x14ac:dyDescent="0.3">
      <c r="A3038" s="292"/>
      <c r="B3038" s="293"/>
      <c r="C3038" s="294"/>
      <c r="D3038" s="294"/>
      <c r="E3038" s="294"/>
      <c r="F3038" s="310"/>
      <c r="G3038" s="310"/>
      <c r="H3038" s="310"/>
      <c r="I3038" s="295"/>
      <c r="J3038" s="295"/>
      <c r="K3038" s="300">
        <f t="shared" si="414"/>
        <v>1.1000000000000001</v>
      </c>
      <c r="L3038" s="300">
        <f t="shared" si="415"/>
        <v>0</v>
      </c>
      <c r="M3038" s="285">
        <f t="shared" si="416"/>
        <v>0</v>
      </c>
      <c r="N3038" s="1076">
        <f t="shared" si="417"/>
        <v>0</v>
      </c>
      <c r="O3038" s="294"/>
      <c r="P3038" s="404"/>
      <c r="Q3038" s="404"/>
      <c r="R3038" s="301"/>
      <c r="S3038" s="301"/>
      <c r="T3038" s="301"/>
      <c r="U3038" s="301"/>
      <c r="V3038" s="301"/>
    </row>
    <row r="3039" spans="1:22" ht="14.4" thickTop="1" thickBot="1" x14ac:dyDescent="0.3">
      <c r="A3039" s="292"/>
      <c r="B3039" s="293"/>
      <c r="C3039" s="294"/>
      <c r="D3039" s="294"/>
      <c r="E3039" s="294"/>
      <c r="F3039" s="310"/>
      <c r="G3039" s="310"/>
      <c r="H3039" s="310"/>
      <c r="I3039" s="295"/>
      <c r="J3039" s="295"/>
      <c r="K3039" s="300">
        <f t="shared" si="414"/>
        <v>1.1000000000000001</v>
      </c>
      <c r="L3039" s="300">
        <f t="shared" si="415"/>
        <v>0</v>
      </c>
      <c r="M3039" s="285">
        <f t="shared" si="416"/>
        <v>0</v>
      </c>
      <c r="N3039" s="1076">
        <f t="shared" si="417"/>
        <v>0</v>
      </c>
      <c r="O3039" s="294"/>
      <c r="P3039" s="404"/>
      <c r="Q3039" s="404"/>
      <c r="R3039" s="301"/>
      <c r="S3039" s="301"/>
      <c r="T3039" s="301"/>
      <c r="U3039" s="301"/>
      <c r="V3039" s="301"/>
    </row>
    <row r="3040" spans="1:22" ht="14.4" thickTop="1" thickBot="1" x14ac:dyDescent="0.3">
      <c r="A3040" s="292"/>
      <c r="B3040" s="293"/>
      <c r="C3040" s="294"/>
      <c r="D3040" s="294"/>
      <c r="E3040" s="294"/>
      <c r="F3040" s="310"/>
      <c r="G3040" s="310"/>
      <c r="H3040" s="310"/>
      <c r="I3040" s="295"/>
      <c r="J3040" s="295"/>
      <c r="K3040" s="300">
        <f t="shared" si="414"/>
        <v>1.1000000000000001</v>
      </c>
      <c r="L3040" s="300">
        <f t="shared" si="415"/>
        <v>0</v>
      </c>
      <c r="M3040" s="285">
        <f t="shared" si="416"/>
        <v>0</v>
      </c>
      <c r="N3040" s="1076">
        <f t="shared" si="417"/>
        <v>0</v>
      </c>
      <c r="O3040" s="294"/>
      <c r="P3040" s="404"/>
      <c r="Q3040" s="404"/>
      <c r="R3040" s="301"/>
      <c r="S3040" s="301"/>
      <c r="T3040" s="301"/>
      <c r="U3040" s="301"/>
      <c r="V3040" s="301"/>
    </row>
    <row r="3041" spans="1:22" ht="14.4" thickTop="1" thickBot="1" x14ac:dyDescent="0.3">
      <c r="A3041" s="292"/>
      <c r="B3041" s="293"/>
      <c r="C3041" s="294"/>
      <c r="D3041" s="294"/>
      <c r="E3041" s="294"/>
      <c r="F3041" s="310"/>
      <c r="G3041" s="310"/>
      <c r="H3041" s="310"/>
      <c r="I3041" s="295"/>
      <c r="J3041" s="295"/>
      <c r="K3041" s="300">
        <f t="shared" si="414"/>
        <v>1.1000000000000001</v>
      </c>
      <c r="L3041" s="300">
        <f t="shared" si="415"/>
        <v>0</v>
      </c>
      <c r="M3041" s="285">
        <f t="shared" si="416"/>
        <v>0</v>
      </c>
      <c r="N3041" s="1076">
        <f t="shared" si="417"/>
        <v>0</v>
      </c>
      <c r="O3041" s="294"/>
      <c r="P3041" s="404"/>
      <c r="Q3041" s="404"/>
      <c r="R3041" s="301"/>
      <c r="S3041" s="301"/>
      <c r="T3041" s="301"/>
      <c r="U3041" s="301"/>
      <c r="V3041" s="301"/>
    </row>
    <row r="3042" spans="1:22" ht="14.4" thickTop="1" thickBot="1" x14ac:dyDescent="0.3">
      <c r="A3042" s="292"/>
      <c r="B3042" s="293"/>
      <c r="C3042" s="294"/>
      <c r="D3042" s="294"/>
      <c r="E3042" s="294"/>
      <c r="F3042" s="310"/>
      <c r="G3042" s="310"/>
      <c r="H3042" s="310"/>
      <c r="I3042" s="295"/>
      <c r="J3042" s="295"/>
      <c r="K3042" s="300">
        <f t="shared" si="414"/>
        <v>1.1000000000000001</v>
      </c>
      <c r="L3042" s="300">
        <f t="shared" si="415"/>
        <v>0</v>
      </c>
      <c r="M3042" s="285">
        <f t="shared" si="416"/>
        <v>0</v>
      </c>
      <c r="N3042" s="1076">
        <f t="shared" si="417"/>
        <v>0</v>
      </c>
      <c r="O3042" s="294"/>
      <c r="P3042" s="404"/>
      <c r="Q3042" s="404"/>
      <c r="R3042" s="301"/>
      <c r="S3042" s="301"/>
      <c r="T3042" s="301"/>
      <c r="U3042" s="301"/>
      <c r="V3042" s="301"/>
    </row>
    <row r="3043" spans="1:22" ht="14.4" thickTop="1" thickBot="1" x14ac:dyDescent="0.3">
      <c r="A3043" s="292"/>
      <c r="B3043" s="293"/>
      <c r="C3043" s="294"/>
      <c r="D3043" s="294"/>
      <c r="E3043" s="294"/>
      <c r="F3043" s="310"/>
      <c r="G3043" s="310"/>
      <c r="H3043" s="310"/>
      <c r="I3043" s="295"/>
      <c r="J3043" s="295"/>
      <c r="K3043" s="300">
        <f t="shared" si="414"/>
        <v>1.1000000000000001</v>
      </c>
      <c r="L3043" s="300">
        <f t="shared" si="415"/>
        <v>0</v>
      </c>
      <c r="M3043" s="285">
        <f t="shared" si="416"/>
        <v>0</v>
      </c>
      <c r="N3043" s="1076">
        <f t="shared" si="417"/>
        <v>0</v>
      </c>
      <c r="O3043" s="294"/>
      <c r="P3043" s="404"/>
      <c r="Q3043" s="404"/>
      <c r="R3043" s="301"/>
      <c r="S3043" s="301"/>
      <c r="T3043" s="301"/>
      <c r="U3043" s="301"/>
      <c r="V3043" s="301"/>
    </row>
    <row r="3044" spans="1:22" ht="14.4" thickTop="1" thickBot="1" x14ac:dyDescent="0.3">
      <c r="A3044" s="292"/>
      <c r="B3044" s="293"/>
      <c r="C3044" s="294"/>
      <c r="D3044" s="294"/>
      <c r="E3044" s="294"/>
      <c r="F3044" s="310"/>
      <c r="G3044" s="310"/>
      <c r="H3044" s="310"/>
      <c r="I3044" s="295"/>
      <c r="J3044" s="295"/>
      <c r="K3044" s="300">
        <f t="shared" ref="K3044:K3107" si="418">$K$2</f>
        <v>1.1000000000000001</v>
      </c>
      <c r="L3044" s="300">
        <f t="shared" si="415"/>
        <v>0</v>
      </c>
      <c r="M3044" s="285">
        <f t="shared" si="416"/>
        <v>0</v>
      </c>
      <c r="N3044" s="1076">
        <f t="shared" si="417"/>
        <v>0</v>
      </c>
      <c r="O3044" s="294"/>
      <c r="P3044" s="404"/>
      <c r="Q3044" s="404"/>
      <c r="R3044" s="301"/>
      <c r="S3044" s="301"/>
      <c r="T3044" s="301"/>
      <c r="U3044" s="301"/>
      <c r="V3044" s="301"/>
    </row>
    <row r="3045" spans="1:22" ht="14.4" thickTop="1" thickBot="1" x14ac:dyDescent="0.3">
      <c r="A3045" s="292"/>
      <c r="B3045" s="293"/>
      <c r="C3045" s="294"/>
      <c r="D3045" s="294"/>
      <c r="E3045" s="294"/>
      <c r="F3045" s="310"/>
      <c r="G3045" s="310"/>
      <c r="H3045" s="310"/>
      <c r="I3045" s="295"/>
      <c r="J3045" s="295"/>
      <c r="K3045" s="300">
        <f t="shared" si="418"/>
        <v>1.1000000000000001</v>
      </c>
      <c r="L3045" s="300">
        <f t="shared" si="415"/>
        <v>0</v>
      </c>
      <c r="M3045" s="285">
        <f t="shared" si="416"/>
        <v>0</v>
      </c>
      <c r="N3045" s="1076">
        <f t="shared" si="417"/>
        <v>0</v>
      </c>
      <c r="O3045" s="294"/>
      <c r="P3045" s="404"/>
      <c r="Q3045" s="404"/>
      <c r="R3045" s="301"/>
      <c r="S3045" s="301"/>
      <c r="T3045" s="301"/>
      <c r="U3045" s="301"/>
      <c r="V3045" s="301"/>
    </row>
    <row r="3046" spans="1:22" ht="14.4" thickTop="1" thickBot="1" x14ac:dyDescent="0.3">
      <c r="A3046" s="292"/>
      <c r="B3046" s="293"/>
      <c r="C3046" s="294"/>
      <c r="D3046" s="294"/>
      <c r="E3046" s="294"/>
      <c r="F3046" s="310"/>
      <c r="G3046" s="310"/>
      <c r="H3046" s="310"/>
      <c r="I3046" s="295"/>
      <c r="J3046" s="295"/>
      <c r="K3046" s="300">
        <f t="shared" si="418"/>
        <v>1.1000000000000001</v>
      </c>
      <c r="L3046" s="300">
        <f t="shared" si="415"/>
        <v>0</v>
      </c>
      <c r="M3046" s="285">
        <f t="shared" si="416"/>
        <v>0</v>
      </c>
      <c r="N3046" s="1076">
        <f t="shared" si="417"/>
        <v>0</v>
      </c>
      <c r="O3046" s="294"/>
      <c r="P3046" s="404"/>
      <c r="Q3046" s="404"/>
      <c r="R3046" s="301"/>
      <c r="S3046" s="301"/>
      <c r="T3046" s="301"/>
      <c r="U3046" s="301"/>
      <c r="V3046" s="301"/>
    </row>
    <row r="3047" spans="1:22" ht="14.4" thickTop="1" thickBot="1" x14ac:dyDescent="0.3">
      <c r="A3047" s="292"/>
      <c r="B3047" s="293"/>
      <c r="C3047" s="294"/>
      <c r="D3047" s="294"/>
      <c r="E3047" s="294"/>
      <c r="F3047" s="310"/>
      <c r="G3047" s="310"/>
      <c r="H3047" s="310"/>
      <c r="I3047" s="295"/>
      <c r="J3047" s="295"/>
      <c r="K3047" s="300">
        <f t="shared" si="418"/>
        <v>1.1000000000000001</v>
      </c>
      <c r="L3047" s="300">
        <f t="shared" si="415"/>
        <v>0</v>
      </c>
      <c r="M3047" s="285">
        <f t="shared" si="416"/>
        <v>0</v>
      </c>
      <c r="N3047" s="1076">
        <f t="shared" si="417"/>
        <v>0</v>
      </c>
      <c r="O3047" s="294"/>
      <c r="P3047" s="404"/>
      <c r="Q3047" s="404"/>
      <c r="R3047" s="301"/>
      <c r="S3047" s="301"/>
      <c r="T3047" s="301"/>
      <c r="U3047" s="301"/>
      <c r="V3047" s="301"/>
    </row>
    <row r="3048" spans="1:22" ht="14.4" thickTop="1" thickBot="1" x14ac:dyDescent="0.3">
      <c r="A3048" s="292"/>
      <c r="B3048" s="293"/>
      <c r="C3048" s="294"/>
      <c r="D3048" s="294"/>
      <c r="E3048" s="294"/>
      <c r="F3048" s="310"/>
      <c r="G3048" s="310"/>
      <c r="H3048" s="310"/>
      <c r="I3048" s="295"/>
      <c r="J3048" s="295"/>
      <c r="K3048" s="300">
        <f t="shared" si="418"/>
        <v>1.1000000000000001</v>
      </c>
      <c r="L3048" s="300">
        <f t="shared" si="415"/>
        <v>0</v>
      </c>
      <c r="M3048" s="285">
        <f t="shared" si="416"/>
        <v>0</v>
      </c>
      <c r="N3048" s="1076">
        <f t="shared" si="417"/>
        <v>0</v>
      </c>
      <c r="O3048" s="294"/>
      <c r="P3048" s="404"/>
      <c r="Q3048" s="404"/>
      <c r="R3048" s="301"/>
      <c r="S3048" s="301"/>
      <c r="T3048" s="301"/>
      <c r="U3048" s="301"/>
      <c r="V3048" s="301"/>
    </row>
    <row r="3049" spans="1:22" ht="14.4" thickTop="1" thickBot="1" x14ac:dyDescent="0.3">
      <c r="A3049" s="292"/>
      <c r="B3049" s="293"/>
      <c r="C3049" s="294"/>
      <c r="D3049" s="294"/>
      <c r="E3049" s="294"/>
      <c r="F3049" s="310"/>
      <c r="G3049" s="310"/>
      <c r="H3049" s="310"/>
      <c r="I3049" s="295"/>
      <c r="J3049" s="295"/>
      <c r="K3049" s="300">
        <f t="shared" si="418"/>
        <v>1.1000000000000001</v>
      </c>
      <c r="L3049" s="300">
        <f t="shared" si="415"/>
        <v>0</v>
      </c>
      <c r="M3049" s="285">
        <f t="shared" si="416"/>
        <v>0</v>
      </c>
      <c r="N3049" s="1076">
        <f t="shared" si="417"/>
        <v>0</v>
      </c>
      <c r="O3049" s="294"/>
      <c r="P3049" s="404"/>
      <c r="Q3049" s="404"/>
      <c r="R3049" s="301"/>
      <c r="S3049" s="301"/>
      <c r="T3049" s="301"/>
      <c r="U3049" s="301"/>
      <c r="V3049" s="301"/>
    </row>
    <row r="3050" spans="1:22" ht="14.4" thickTop="1" thickBot="1" x14ac:dyDescent="0.3">
      <c r="A3050" s="292"/>
      <c r="B3050" s="293"/>
      <c r="C3050" s="294"/>
      <c r="D3050" s="294"/>
      <c r="E3050" s="294"/>
      <c r="F3050" s="310"/>
      <c r="G3050" s="310"/>
      <c r="H3050" s="310"/>
      <c r="I3050" s="295"/>
      <c r="J3050" s="295"/>
      <c r="K3050" s="300">
        <f t="shared" si="418"/>
        <v>1.1000000000000001</v>
      </c>
      <c r="L3050" s="300">
        <f t="shared" si="415"/>
        <v>0</v>
      </c>
      <c r="M3050" s="285">
        <f t="shared" si="416"/>
        <v>0</v>
      </c>
      <c r="N3050" s="1076">
        <f t="shared" si="417"/>
        <v>0</v>
      </c>
      <c r="O3050" s="294"/>
      <c r="P3050" s="404"/>
      <c r="Q3050" s="404"/>
      <c r="R3050" s="301"/>
      <c r="S3050" s="301"/>
      <c r="T3050" s="301"/>
      <c r="U3050" s="301"/>
      <c r="V3050" s="301"/>
    </row>
    <row r="3051" spans="1:22" ht="14.4" thickTop="1" thickBot="1" x14ac:dyDescent="0.3">
      <c r="A3051" s="292"/>
      <c r="B3051" s="293"/>
      <c r="C3051" s="294"/>
      <c r="D3051" s="294"/>
      <c r="E3051" s="294"/>
      <c r="F3051" s="310"/>
      <c r="G3051" s="310"/>
      <c r="H3051" s="310"/>
      <c r="I3051" s="295"/>
      <c r="J3051" s="295"/>
      <c r="K3051" s="300">
        <f t="shared" si="418"/>
        <v>1.1000000000000001</v>
      </c>
      <c r="L3051" s="300">
        <f t="shared" si="415"/>
        <v>0</v>
      </c>
      <c r="M3051" s="285">
        <f t="shared" si="416"/>
        <v>0</v>
      </c>
      <c r="N3051" s="1076">
        <f t="shared" si="417"/>
        <v>0</v>
      </c>
      <c r="O3051" s="294"/>
      <c r="P3051" s="404"/>
      <c r="Q3051" s="404"/>
      <c r="R3051" s="301"/>
      <c r="S3051" s="301"/>
      <c r="T3051" s="301"/>
      <c r="U3051" s="301"/>
      <c r="V3051" s="301"/>
    </row>
    <row r="3052" spans="1:22" ht="14.4" thickTop="1" thickBot="1" x14ac:dyDescent="0.3">
      <c r="A3052" s="292"/>
      <c r="B3052" s="293"/>
      <c r="C3052" s="294"/>
      <c r="D3052" s="294"/>
      <c r="E3052" s="294"/>
      <c r="F3052" s="310"/>
      <c r="G3052" s="310"/>
      <c r="H3052" s="310"/>
      <c r="I3052" s="295"/>
      <c r="J3052" s="295"/>
      <c r="K3052" s="300">
        <f t="shared" si="418"/>
        <v>1.1000000000000001</v>
      </c>
      <c r="L3052" s="300">
        <f t="shared" si="415"/>
        <v>0</v>
      </c>
      <c r="M3052" s="285">
        <f t="shared" si="416"/>
        <v>0</v>
      </c>
      <c r="N3052" s="1076">
        <f t="shared" si="417"/>
        <v>0</v>
      </c>
      <c r="O3052" s="294"/>
      <c r="P3052" s="404"/>
      <c r="Q3052" s="404"/>
      <c r="R3052" s="301"/>
      <c r="S3052" s="301"/>
      <c r="T3052" s="301"/>
      <c r="U3052" s="301"/>
      <c r="V3052" s="301"/>
    </row>
    <row r="3053" spans="1:22" ht="14.4" thickTop="1" thickBot="1" x14ac:dyDescent="0.3">
      <c r="A3053" s="292"/>
      <c r="B3053" s="293"/>
      <c r="C3053" s="294"/>
      <c r="D3053" s="294"/>
      <c r="E3053" s="294"/>
      <c r="F3053" s="310"/>
      <c r="G3053" s="310"/>
      <c r="H3053" s="310"/>
      <c r="I3053" s="295"/>
      <c r="J3053" s="295"/>
      <c r="K3053" s="300">
        <f t="shared" si="418"/>
        <v>1.1000000000000001</v>
      </c>
      <c r="L3053" s="300">
        <f t="shared" si="415"/>
        <v>0</v>
      </c>
      <c r="M3053" s="285">
        <f t="shared" si="416"/>
        <v>0</v>
      </c>
      <c r="N3053" s="1076">
        <f t="shared" si="417"/>
        <v>0</v>
      </c>
      <c r="O3053" s="294"/>
      <c r="P3053" s="404"/>
      <c r="Q3053" s="404"/>
      <c r="R3053" s="301"/>
      <c r="S3053" s="301"/>
      <c r="T3053" s="301"/>
      <c r="U3053" s="301"/>
      <c r="V3053" s="301"/>
    </row>
    <row r="3054" spans="1:22" ht="14.4" thickTop="1" thickBot="1" x14ac:dyDescent="0.3">
      <c r="A3054" s="292"/>
      <c r="B3054" s="293"/>
      <c r="C3054" s="294"/>
      <c r="D3054" s="294"/>
      <c r="E3054" s="294"/>
      <c r="F3054" s="310"/>
      <c r="G3054" s="310"/>
      <c r="H3054" s="310"/>
      <c r="I3054" s="295"/>
      <c r="J3054" s="295"/>
      <c r="K3054" s="300">
        <f t="shared" si="418"/>
        <v>1.1000000000000001</v>
      </c>
      <c r="L3054" s="300">
        <f t="shared" ref="L3054:L3117" si="419">K3054*J3054</f>
        <v>0</v>
      </c>
      <c r="M3054" s="285">
        <f t="shared" si="416"/>
        <v>0</v>
      </c>
      <c r="N3054" s="1076">
        <f t="shared" si="417"/>
        <v>0</v>
      </c>
      <c r="O3054" s="294"/>
      <c r="P3054" s="404"/>
      <c r="Q3054" s="404"/>
      <c r="R3054" s="301"/>
      <c r="S3054" s="301"/>
      <c r="T3054" s="301"/>
      <c r="U3054" s="301"/>
      <c r="V3054" s="301"/>
    </row>
    <row r="3055" spans="1:22" ht="14.4" thickTop="1" thickBot="1" x14ac:dyDescent="0.3">
      <c r="A3055" s="292"/>
      <c r="B3055" s="293"/>
      <c r="C3055" s="294"/>
      <c r="D3055" s="294"/>
      <c r="E3055" s="294"/>
      <c r="F3055" s="310"/>
      <c r="G3055" s="310"/>
      <c r="H3055" s="310"/>
      <c r="I3055" s="295"/>
      <c r="J3055" s="295"/>
      <c r="K3055" s="300">
        <f t="shared" si="418"/>
        <v>1.1000000000000001</v>
      </c>
      <c r="L3055" s="300">
        <f t="shared" si="419"/>
        <v>0</v>
      </c>
      <c r="M3055" s="285">
        <f t="shared" si="416"/>
        <v>0</v>
      </c>
      <c r="N3055" s="1076">
        <f t="shared" si="417"/>
        <v>0</v>
      </c>
      <c r="O3055" s="294"/>
      <c r="P3055" s="404"/>
      <c r="Q3055" s="404"/>
      <c r="R3055" s="301"/>
      <c r="S3055" s="301"/>
      <c r="T3055" s="301"/>
      <c r="U3055" s="301"/>
      <c r="V3055" s="301"/>
    </row>
    <row r="3056" spans="1:22" ht="14.4" thickTop="1" thickBot="1" x14ac:dyDescent="0.3">
      <c r="A3056" s="292"/>
      <c r="B3056" s="293"/>
      <c r="C3056" s="294"/>
      <c r="D3056" s="294"/>
      <c r="E3056" s="294"/>
      <c r="F3056" s="310"/>
      <c r="G3056" s="310"/>
      <c r="H3056" s="310"/>
      <c r="I3056" s="295"/>
      <c r="J3056" s="295"/>
      <c r="K3056" s="300">
        <f t="shared" si="418"/>
        <v>1.1000000000000001</v>
      </c>
      <c r="L3056" s="300">
        <f t="shared" si="419"/>
        <v>0</v>
      </c>
      <c r="M3056" s="285">
        <f t="shared" ref="M3056:M3119" si="420">ROUND(L3056,1)</f>
        <v>0</v>
      </c>
      <c r="N3056" s="1076">
        <f t="shared" ref="N3056:N3119" si="421">ROUNDUP(M3056,0)</f>
        <v>0</v>
      </c>
      <c r="O3056" s="294"/>
      <c r="P3056" s="404"/>
      <c r="Q3056" s="404"/>
      <c r="R3056" s="301"/>
      <c r="S3056" s="301"/>
      <c r="T3056" s="301"/>
      <c r="U3056" s="301"/>
      <c r="V3056" s="301"/>
    </row>
    <row r="3057" spans="1:22" ht="14.4" thickTop="1" thickBot="1" x14ac:dyDescent="0.3">
      <c r="A3057" s="292"/>
      <c r="B3057" s="293"/>
      <c r="C3057" s="294"/>
      <c r="D3057" s="294"/>
      <c r="E3057" s="294"/>
      <c r="F3057" s="310"/>
      <c r="G3057" s="310"/>
      <c r="H3057" s="310"/>
      <c r="I3057" s="295"/>
      <c r="J3057" s="295"/>
      <c r="K3057" s="300">
        <f t="shared" si="418"/>
        <v>1.1000000000000001</v>
      </c>
      <c r="L3057" s="300">
        <f t="shared" si="419"/>
        <v>0</v>
      </c>
      <c r="M3057" s="285">
        <f t="shared" si="420"/>
        <v>0</v>
      </c>
      <c r="N3057" s="1076">
        <f t="shared" si="421"/>
        <v>0</v>
      </c>
      <c r="O3057" s="294"/>
      <c r="P3057" s="404"/>
      <c r="Q3057" s="404"/>
      <c r="R3057" s="301"/>
      <c r="S3057" s="301"/>
      <c r="T3057" s="301"/>
      <c r="U3057" s="301"/>
      <c r="V3057" s="301"/>
    </row>
    <row r="3058" spans="1:22" ht="14.4" thickTop="1" thickBot="1" x14ac:dyDescent="0.3">
      <c r="A3058" s="292"/>
      <c r="B3058" s="293"/>
      <c r="C3058" s="294"/>
      <c r="D3058" s="294"/>
      <c r="E3058" s="294"/>
      <c r="F3058" s="310"/>
      <c r="G3058" s="310"/>
      <c r="H3058" s="310"/>
      <c r="I3058" s="295"/>
      <c r="J3058" s="295"/>
      <c r="K3058" s="300">
        <f t="shared" si="418"/>
        <v>1.1000000000000001</v>
      </c>
      <c r="L3058" s="300">
        <f t="shared" si="419"/>
        <v>0</v>
      </c>
      <c r="M3058" s="285">
        <f t="shared" si="420"/>
        <v>0</v>
      </c>
      <c r="N3058" s="1076">
        <f t="shared" si="421"/>
        <v>0</v>
      </c>
      <c r="O3058" s="294"/>
      <c r="P3058" s="404"/>
      <c r="Q3058" s="404"/>
      <c r="R3058" s="301"/>
      <c r="S3058" s="301"/>
      <c r="T3058" s="301"/>
      <c r="U3058" s="301"/>
      <c r="V3058" s="301"/>
    </row>
    <row r="3059" spans="1:22" ht="14.4" thickTop="1" thickBot="1" x14ac:dyDescent="0.3">
      <c r="A3059" s="292"/>
      <c r="B3059" s="293"/>
      <c r="C3059" s="294"/>
      <c r="D3059" s="294"/>
      <c r="E3059" s="294"/>
      <c r="F3059" s="310"/>
      <c r="G3059" s="310"/>
      <c r="H3059" s="310"/>
      <c r="I3059" s="295"/>
      <c r="J3059" s="295"/>
      <c r="K3059" s="300">
        <f t="shared" si="418"/>
        <v>1.1000000000000001</v>
      </c>
      <c r="L3059" s="300">
        <f t="shared" si="419"/>
        <v>0</v>
      </c>
      <c r="M3059" s="285">
        <f t="shared" si="420"/>
        <v>0</v>
      </c>
      <c r="N3059" s="1076">
        <f t="shared" si="421"/>
        <v>0</v>
      </c>
      <c r="O3059" s="294"/>
      <c r="P3059" s="404"/>
      <c r="Q3059" s="404"/>
      <c r="R3059" s="301"/>
      <c r="S3059" s="301"/>
      <c r="T3059" s="301"/>
      <c r="U3059" s="301"/>
      <c r="V3059" s="301"/>
    </row>
    <row r="3060" spans="1:22" ht="14.4" thickTop="1" thickBot="1" x14ac:dyDescent="0.3">
      <c r="A3060" s="292"/>
      <c r="B3060" s="293"/>
      <c r="C3060" s="294"/>
      <c r="D3060" s="294"/>
      <c r="E3060" s="294"/>
      <c r="F3060" s="310"/>
      <c r="G3060" s="310"/>
      <c r="H3060" s="310"/>
      <c r="I3060" s="295"/>
      <c r="J3060" s="295"/>
      <c r="K3060" s="300">
        <f t="shared" si="418"/>
        <v>1.1000000000000001</v>
      </c>
      <c r="L3060" s="300">
        <f t="shared" si="419"/>
        <v>0</v>
      </c>
      <c r="M3060" s="285">
        <f t="shared" si="420"/>
        <v>0</v>
      </c>
      <c r="N3060" s="1076">
        <f t="shared" si="421"/>
        <v>0</v>
      </c>
      <c r="O3060" s="294"/>
      <c r="P3060" s="404"/>
      <c r="Q3060" s="404"/>
      <c r="R3060" s="301"/>
      <c r="S3060" s="301"/>
      <c r="T3060" s="301"/>
      <c r="U3060" s="301"/>
      <c r="V3060" s="301"/>
    </row>
    <row r="3061" spans="1:22" ht="14.4" thickTop="1" thickBot="1" x14ac:dyDescent="0.3">
      <c r="A3061" s="292"/>
      <c r="B3061" s="293"/>
      <c r="C3061" s="294"/>
      <c r="D3061" s="294"/>
      <c r="E3061" s="294"/>
      <c r="F3061" s="310"/>
      <c r="G3061" s="310"/>
      <c r="H3061" s="310"/>
      <c r="I3061" s="295"/>
      <c r="J3061" s="295"/>
      <c r="K3061" s="300">
        <f t="shared" si="418"/>
        <v>1.1000000000000001</v>
      </c>
      <c r="L3061" s="300">
        <f t="shared" si="419"/>
        <v>0</v>
      </c>
      <c r="M3061" s="285">
        <f t="shared" si="420"/>
        <v>0</v>
      </c>
      <c r="N3061" s="1076">
        <f t="shared" si="421"/>
        <v>0</v>
      </c>
      <c r="O3061" s="294"/>
      <c r="P3061" s="404"/>
      <c r="Q3061" s="404"/>
      <c r="R3061" s="301"/>
      <c r="S3061" s="301"/>
      <c r="T3061" s="301"/>
      <c r="U3061" s="301"/>
      <c r="V3061" s="301"/>
    </row>
    <row r="3062" spans="1:22" ht="14.4" thickTop="1" thickBot="1" x14ac:dyDescent="0.3">
      <c r="A3062" s="292"/>
      <c r="B3062" s="293"/>
      <c r="C3062" s="294"/>
      <c r="D3062" s="294"/>
      <c r="E3062" s="294"/>
      <c r="F3062" s="310"/>
      <c r="G3062" s="310"/>
      <c r="H3062" s="310"/>
      <c r="I3062" s="295"/>
      <c r="J3062" s="295"/>
      <c r="K3062" s="300">
        <f t="shared" si="418"/>
        <v>1.1000000000000001</v>
      </c>
      <c r="L3062" s="300">
        <f t="shared" si="419"/>
        <v>0</v>
      </c>
      <c r="M3062" s="285">
        <f t="shared" si="420"/>
        <v>0</v>
      </c>
      <c r="N3062" s="1076">
        <f t="shared" si="421"/>
        <v>0</v>
      </c>
      <c r="O3062" s="294"/>
      <c r="P3062" s="404"/>
      <c r="Q3062" s="404"/>
      <c r="R3062" s="301"/>
      <c r="S3062" s="301"/>
      <c r="T3062" s="301"/>
      <c r="U3062" s="301"/>
      <c r="V3062" s="301"/>
    </row>
    <row r="3063" spans="1:22" ht="14.4" thickTop="1" thickBot="1" x14ac:dyDescent="0.3">
      <c r="A3063" s="292"/>
      <c r="B3063" s="293"/>
      <c r="C3063" s="294"/>
      <c r="D3063" s="294"/>
      <c r="E3063" s="294"/>
      <c r="F3063" s="310"/>
      <c r="G3063" s="310"/>
      <c r="H3063" s="310"/>
      <c r="I3063" s="295"/>
      <c r="J3063" s="295"/>
      <c r="K3063" s="300">
        <f t="shared" si="418"/>
        <v>1.1000000000000001</v>
      </c>
      <c r="L3063" s="300">
        <f t="shared" si="419"/>
        <v>0</v>
      </c>
      <c r="M3063" s="285">
        <f t="shared" si="420"/>
        <v>0</v>
      </c>
      <c r="N3063" s="1076">
        <f t="shared" si="421"/>
        <v>0</v>
      </c>
      <c r="O3063" s="294"/>
      <c r="P3063" s="404"/>
      <c r="Q3063" s="404"/>
      <c r="R3063" s="301"/>
      <c r="S3063" s="301"/>
      <c r="T3063" s="301"/>
      <c r="U3063" s="301"/>
      <c r="V3063" s="301"/>
    </row>
    <row r="3064" spans="1:22" ht="14.4" thickTop="1" thickBot="1" x14ac:dyDescent="0.3">
      <c r="A3064" s="292"/>
      <c r="B3064" s="293"/>
      <c r="C3064" s="294"/>
      <c r="D3064" s="294"/>
      <c r="E3064" s="294"/>
      <c r="F3064" s="310"/>
      <c r="G3064" s="310"/>
      <c r="H3064" s="310"/>
      <c r="I3064" s="295"/>
      <c r="J3064" s="295"/>
      <c r="K3064" s="300">
        <f t="shared" si="418"/>
        <v>1.1000000000000001</v>
      </c>
      <c r="L3064" s="300">
        <f t="shared" si="419"/>
        <v>0</v>
      </c>
      <c r="M3064" s="285">
        <f t="shared" si="420"/>
        <v>0</v>
      </c>
      <c r="N3064" s="1076">
        <f t="shared" si="421"/>
        <v>0</v>
      </c>
      <c r="O3064" s="294"/>
      <c r="P3064" s="404"/>
      <c r="Q3064" s="404"/>
      <c r="R3064" s="301"/>
      <c r="S3064" s="301"/>
      <c r="T3064" s="301"/>
      <c r="U3064" s="301"/>
      <c r="V3064" s="301"/>
    </row>
    <row r="3065" spans="1:22" ht="14.4" thickTop="1" thickBot="1" x14ac:dyDescent="0.3">
      <c r="A3065" s="292"/>
      <c r="B3065" s="293"/>
      <c r="C3065" s="294"/>
      <c r="D3065" s="294"/>
      <c r="E3065" s="294"/>
      <c r="F3065" s="310"/>
      <c r="G3065" s="310"/>
      <c r="H3065" s="310"/>
      <c r="I3065" s="295"/>
      <c r="J3065" s="295"/>
      <c r="K3065" s="300">
        <f t="shared" si="418"/>
        <v>1.1000000000000001</v>
      </c>
      <c r="L3065" s="300">
        <f t="shared" si="419"/>
        <v>0</v>
      </c>
      <c r="M3065" s="285">
        <f t="shared" si="420"/>
        <v>0</v>
      </c>
      <c r="N3065" s="1076">
        <f t="shared" si="421"/>
        <v>0</v>
      </c>
      <c r="O3065" s="294"/>
      <c r="P3065" s="404"/>
      <c r="Q3065" s="404"/>
      <c r="R3065" s="301"/>
      <c r="S3065" s="301"/>
      <c r="T3065" s="301"/>
      <c r="U3065" s="301"/>
      <c r="V3065" s="301"/>
    </row>
    <row r="3066" spans="1:22" ht="14.4" thickTop="1" thickBot="1" x14ac:dyDescent="0.3">
      <c r="A3066" s="292"/>
      <c r="B3066" s="293"/>
      <c r="C3066" s="294"/>
      <c r="D3066" s="294"/>
      <c r="E3066" s="294"/>
      <c r="F3066" s="310"/>
      <c r="G3066" s="310"/>
      <c r="H3066" s="310"/>
      <c r="I3066" s="295"/>
      <c r="J3066" s="295"/>
      <c r="K3066" s="300">
        <f t="shared" si="418"/>
        <v>1.1000000000000001</v>
      </c>
      <c r="L3066" s="300">
        <f t="shared" si="419"/>
        <v>0</v>
      </c>
      <c r="M3066" s="285">
        <f t="shared" si="420"/>
        <v>0</v>
      </c>
      <c r="N3066" s="1076">
        <f t="shared" si="421"/>
        <v>0</v>
      </c>
      <c r="O3066" s="294"/>
      <c r="P3066" s="404"/>
      <c r="Q3066" s="404"/>
      <c r="R3066" s="301"/>
      <c r="S3066" s="301"/>
      <c r="T3066" s="301"/>
      <c r="U3066" s="301"/>
      <c r="V3066" s="301"/>
    </row>
    <row r="3067" spans="1:22" ht="14.4" thickTop="1" thickBot="1" x14ac:dyDescent="0.3">
      <c r="A3067" s="292"/>
      <c r="B3067" s="293"/>
      <c r="C3067" s="294"/>
      <c r="D3067" s="294"/>
      <c r="E3067" s="294"/>
      <c r="F3067" s="310"/>
      <c r="G3067" s="310"/>
      <c r="H3067" s="310"/>
      <c r="I3067" s="295"/>
      <c r="J3067" s="295"/>
      <c r="K3067" s="300">
        <f t="shared" si="418"/>
        <v>1.1000000000000001</v>
      </c>
      <c r="L3067" s="300">
        <f t="shared" si="419"/>
        <v>0</v>
      </c>
      <c r="M3067" s="285">
        <f t="shared" si="420"/>
        <v>0</v>
      </c>
      <c r="N3067" s="1076">
        <f t="shared" si="421"/>
        <v>0</v>
      </c>
      <c r="O3067" s="294"/>
      <c r="P3067" s="404"/>
      <c r="Q3067" s="404"/>
      <c r="R3067" s="301"/>
      <c r="S3067" s="301"/>
      <c r="T3067" s="301"/>
      <c r="U3067" s="301"/>
      <c r="V3067" s="301"/>
    </row>
    <row r="3068" spans="1:22" ht="14.4" thickTop="1" thickBot="1" x14ac:dyDescent="0.3">
      <c r="A3068" s="292"/>
      <c r="B3068" s="293"/>
      <c r="C3068" s="294"/>
      <c r="D3068" s="294"/>
      <c r="E3068" s="294"/>
      <c r="F3068" s="310"/>
      <c r="G3068" s="310"/>
      <c r="H3068" s="310"/>
      <c r="I3068" s="295"/>
      <c r="J3068" s="295"/>
      <c r="K3068" s="300">
        <f t="shared" si="418"/>
        <v>1.1000000000000001</v>
      </c>
      <c r="L3068" s="300">
        <f t="shared" si="419"/>
        <v>0</v>
      </c>
      <c r="M3068" s="285">
        <f t="shared" si="420"/>
        <v>0</v>
      </c>
      <c r="N3068" s="1076">
        <f t="shared" si="421"/>
        <v>0</v>
      </c>
      <c r="O3068" s="294"/>
      <c r="P3068" s="404"/>
      <c r="Q3068" s="404"/>
      <c r="R3068" s="301"/>
      <c r="S3068" s="301"/>
      <c r="T3068" s="301"/>
      <c r="U3068" s="301"/>
      <c r="V3068" s="301"/>
    </row>
    <row r="3069" spans="1:22" ht="14.4" thickTop="1" thickBot="1" x14ac:dyDescent="0.3">
      <c r="A3069" s="292"/>
      <c r="B3069" s="293"/>
      <c r="C3069" s="294"/>
      <c r="D3069" s="294"/>
      <c r="E3069" s="294"/>
      <c r="F3069" s="310"/>
      <c r="G3069" s="310"/>
      <c r="H3069" s="310"/>
      <c r="I3069" s="295"/>
      <c r="J3069" s="295"/>
      <c r="K3069" s="300">
        <f t="shared" si="418"/>
        <v>1.1000000000000001</v>
      </c>
      <c r="L3069" s="300">
        <f t="shared" si="419"/>
        <v>0</v>
      </c>
      <c r="M3069" s="285">
        <f t="shared" si="420"/>
        <v>0</v>
      </c>
      <c r="N3069" s="1076">
        <f t="shared" si="421"/>
        <v>0</v>
      </c>
      <c r="O3069" s="294"/>
      <c r="P3069" s="404"/>
      <c r="Q3069" s="404"/>
      <c r="R3069" s="301"/>
      <c r="S3069" s="301"/>
      <c r="T3069" s="301"/>
      <c r="U3069" s="301"/>
      <c r="V3069" s="301"/>
    </row>
    <row r="3070" spans="1:22" ht="14.4" thickTop="1" thickBot="1" x14ac:dyDescent="0.3">
      <c r="A3070" s="292"/>
      <c r="B3070" s="293"/>
      <c r="C3070" s="294"/>
      <c r="D3070" s="294"/>
      <c r="E3070" s="294"/>
      <c r="F3070" s="310"/>
      <c r="G3070" s="310"/>
      <c r="H3070" s="310"/>
      <c r="I3070" s="295"/>
      <c r="J3070" s="295"/>
      <c r="K3070" s="300">
        <f t="shared" si="418"/>
        <v>1.1000000000000001</v>
      </c>
      <c r="L3070" s="300">
        <f t="shared" si="419"/>
        <v>0</v>
      </c>
      <c r="M3070" s="285">
        <f t="shared" si="420"/>
        <v>0</v>
      </c>
      <c r="N3070" s="1076">
        <f t="shared" si="421"/>
        <v>0</v>
      </c>
      <c r="O3070" s="294"/>
      <c r="P3070" s="404"/>
      <c r="Q3070" s="404"/>
      <c r="R3070" s="301"/>
      <c r="S3070" s="301"/>
      <c r="T3070" s="301"/>
      <c r="U3070" s="301"/>
      <c r="V3070" s="301"/>
    </row>
    <row r="3071" spans="1:22" ht="14.4" thickTop="1" thickBot="1" x14ac:dyDescent="0.3">
      <c r="A3071" s="292"/>
      <c r="B3071" s="293"/>
      <c r="C3071" s="294"/>
      <c r="D3071" s="294"/>
      <c r="E3071" s="294"/>
      <c r="F3071" s="310"/>
      <c r="G3071" s="310"/>
      <c r="H3071" s="310"/>
      <c r="I3071" s="295"/>
      <c r="J3071" s="295"/>
      <c r="K3071" s="300">
        <f t="shared" si="418"/>
        <v>1.1000000000000001</v>
      </c>
      <c r="L3071" s="300">
        <f t="shared" si="419"/>
        <v>0</v>
      </c>
      <c r="M3071" s="285">
        <f t="shared" si="420"/>
        <v>0</v>
      </c>
      <c r="N3071" s="1076">
        <f t="shared" si="421"/>
        <v>0</v>
      </c>
      <c r="O3071" s="294"/>
      <c r="P3071" s="404"/>
      <c r="Q3071" s="404"/>
      <c r="R3071" s="301"/>
      <c r="S3071" s="301"/>
      <c r="T3071" s="301"/>
      <c r="U3071" s="301"/>
      <c r="V3071" s="301"/>
    </row>
    <row r="3072" spans="1:22" ht="14.4" thickTop="1" thickBot="1" x14ac:dyDescent="0.3">
      <c r="A3072" s="292"/>
      <c r="B3072" s="293"/>
      <c r="C3072" s="294"/>
      <c r="D3072" s="294"/>
      <c r="E3072" s="294"/>
      <c r="F3072" s="310"/>
      <c r="G3072" s="310"/>
      <c r="H3072" s="310"/>
      <c r="I3072" s="295"/>
      <c r="J3072" s="295"/>
      <c r="K3072" s="300">
        <f t="shared" si="418"/>
        <v>1.1000000000000001</v>
      </c>
      <c r="L3072" s="300">
        <f t="shared" si="419"/>
        <v>0</v>
      </c>
      <c r="M3072" s="285">
        <f t="shared" si="420"/>
        <v>0</v>
      </c>
      <c r="N3072" s="1076">
        <f t="shared" si="421"/>
        <v>0</v>
      </c>
      <c r="O3072" s="294"/>
      <c r="P3072" s="404"/>
      <c r="Q3072" s="404"/>
      <c r="R3072" s="301"/>
      <c r="S3072" s="301"/>
      <c r="T3072" s="301"/>
      <c r="U3072" s="301"/>
      <c r="V3072" s="301"/>
    </row>
    <row r="3073" spans="1:22" ht="14.4" thickTop="1" thickBot="1" x14ac:dyDescent="0.3">
      <c r="A3073" s="292"/>
      <c r="B3073" s="293"/>
      <c r="C3073" s="294"/>
      <c r="D3073" s="294"/>
      <c r="E3073" s="294"/>
      <c r="F3073" s="310"/>
      <c r="G3073" s="310"/>
      <c r="H3073" s="310"/>
      <c r="I3073" s="295"/>
      <c r="J3073" s="295"/>
      <c r="K3073" s="300">
        <f t="shared" si="418"/>
        <v>1.1000000000000001</v>
      </c>
      <c r="L3073" s="300">
        <f t="shared" si="419"/>
        <v>0</v>
      </c>
      <c r="M3073" s="285">
        <f t="shared" si="420"/>
        <v>0</v>
      </c>
      <c r="N3073" s="1076">
        <f t="shared" si="421"/>
        <v>0</v>
      </c>
      <c r="O3073" s="294"/>
      <c r="P3073" s="404"/>
      <c r="Q3073" s="404"/>
      <c r="R3073" s="301"/>
      <c r="S3073" s="301"/>
      <c r="T3073" s="301"/>
      <c r="U3073" s="301"/>
      <c r="V3073" s="301"/>
    </row>
    <row r="3074" spans="1:22" ht="14.4" thickTop="1" thickBot="1" x14ac:dyDescent="0.3">
      <c r="A3074" s="292"/>
      <c r="B3074" s="293"/>
      <c r="C3074" s="294"/>
      <c r="D3074" s="294"/>
      <c r="E3074" s="294"/>
      <c r="F3074" s="310"/>
      <c r="G3074" s="310"/>
      <c r="H3074" s="310"/>
      <c r="I3074" s="295"/>
      <c r="J3074" s="295"/>
      <c r="K3074" s="300">
        <f t="shared" si="418"/>
        <v>1.1000000000000001</v>
      </c>
      <c r="L3074" s="300">
        <f t="shared" si="419"/>
        <v>0</v>
      </c>
      <c r="M3074" s="285">
        <f t="shared" si="420"/>
        <v>0</v>
      </c>
      <c r="N3074" s="1076">
        <f t="shared" si="421"/>
        <v>0</v>
      </c>
      <c r="O3074" s="294"/>
      <c r="P3074" s="404"/>
      <c r="Q3074" s="404"/>
      <c r="R3074" s="301"/>
      <c r="S3074" s="301"/>
      <c r="T3074" s="301"/>
      <c r="U3074" s="301"/>
      <c r="V3074" s="301"/>
    </row>
    <row r="3075" spans="1:22" ht="14.4" thickTop="1" thickBot="1" x14ac:dyDescent="0.3">
      <c r="A3075" s="292"/>
      <c r="B3075" s="293"/>
      <c r="C3075" s="294"/>
      <c r="D3075" s="294"/>
      <c r="E3075" s="294"/>
      <c r="F3075" s="310"/>
      <c r="G3075" s="310"/>
      <c r="H3075" s="310"/>
      <c r="I3075" s="295"/>
      <c r="J3075" s="295"/>
      <c r="K3075" s="300">
        <f t="shared" si="418"/>
        <v>1.1000000000000001</v>
      </c>
      <c r="L3075" s="300">
        <f t="shared" si="419"/>
        <v>0</v>
      </c>
      <c r="M3075" s="285">
        <f t="shared" si="420"/>
        <v>0</v>
      </c>
      <c r="N3075" s="1076">
        <f t="shared" si="421"/>
        <v>0</v>
      </c>
      <c r="O3075" s="294"/>
      <c r="P3075" s="404"/>
      <c r="Q3075" s="404"/>
      <c r="R3075" s="301"/>
      <c r="S3075" s="301"/>
      <c r="T3075" s="301"/>
      <c r="U3075" s="301"/>
      <c r="V3075" s="301"/>
    </row>
    <row r="3076" spans="1:22" ht="14.4" thickTop="1" thickBot="1" x14ac:dyDescent="0.3">
      <c r="A3076" s="292"/>
      <c r="B3076" s="293"/>
      <c r="C3076" s="294"/>
      <c r="D3076" s="294"/>
      <c r="E3076" s="294"/>
      <c r="F3076" s="310"/>
      <c r="G3076" s="310"/>
      <c r="H3076" s="310"/>
      <c r="I3076" s="295"/>
      <c r="J3076" s="295"/>
      <c r="K3076" s="300">
        <f t="shared" si="418"/>
        <v>1.1000000000000001</v>
      </c>
      <c r="L3076" s="300">
        <f t="shared" si="419"/>
        <v>0</v>
      </c>
      <c r="M3076" s="285">
        <f t="shared" si="420"/>
        <v>0</v>
      </c>
      <c r="N3076" s="1076">
        <f t="shared" si="421"/>
        <v>0</v>
      </c>
      <c r="O3076" s="294"/>
      <c r="P3076" s="404"/>
      <c r="Q3076" s="404"/>
      <c r="R3076" s="301"/>
      <c r="S3076" s="301"/>
      <c r="T3076" s="301"/>
      <c r="U3076" s="301"/>
      <c r="V3076" s="301"/>
    </row>
    <row r="3077" spans="1:22" ht="14.4" thickTop="1" thickBot="1" x14ac:dyDescent="0.3">
      <c r="A3077" s="292"/>
      <c r="B3077" s="293"/>
      <c r="C3077" s="294"/>
      <c r="D3077" s="294"/>
      <c r="E3077" s="294"/>
      <c r="F3077" s="310"/>
      <c r="G3077" s="310"/>
      <c r="H3077" s="310"/>
      <c r="I3077" s="295"/>
      <c r="J3077" s="295"/>
      <c r="K3077" s="300">
        <f t="shared" si="418"/>
        <v>1.1000000000000001</v>
      </c>
      <c r="L3077" s="300">
        <f t="shared" si="419"/>
        <v>0</v>
      </c>
      <c r="M3077" s="285">
        <f t="shared" si="420"/>
        <v>0</v>
      </c>
      <c r="N3077" s="1076">
        <f t="shared" si="421"/>
        <v>0</v>
      </c>
      <c r="O3077" s="294"/>
      <c r="P3077" s="404"/>
      <c r="Q3077" s="404"/>
      <c r="R3077" s="301"/>
      <c r="S3077" s="301"/>
      <c r="T3077" s="301"/>
      <c r="U3077" s="301"/>
      <c r="V3077" s="301"/>
    </row>
    <row r="3078" spans="1:22" ht="14.4" thickTop="1" thickBot="1" x14ac:dyDescent="0.3">
      <c r="A3078" s="292"/>
      <c r="B3078" s="293"/>
      <c r="C3078" s="294"/>
      <c r="D3078" s="294"/>
      <c r="E3078" s="294"/>
      <c r="F3078" s="310"/>
      <c r="G3078" s="310"/>
      <c r="H3078" s="310"/>
      <c r="I3078" s="295"/>
      <c r="J3078" s="295"/>
      <c r="K3078" s="300">
        <f t="shared" si="418"/>
        <v>1.1000000000000001</v>
      </c>
      <c r="L3078" s="300">
        <f t="shared" si="419"/>
        <v>0</v>
      </c>
      <c r="M3078" s="285">
        <f t="shared" si="420"/>
        <v>0</v>
      </c>
      <c r="N3078" s="1076">
        <f t="shared" si="421"/>
        <v>0</v>
      </c>
      <c r="O3078" s="294"/>
      <c r="P3078" s="404"/>
      <c r="Q3078" s="404"/>
      <c r="R3078" s="301"/>
      <c r="S3078" s="301"/>
      <c r="T3078" s="301"/>
      <c r="U3078" s="301"/>
      <c r="V3078" s="301"/>
    </row>
    <row r="3079" spans="1:22" ht="14.4" thickTop="1" thickBot="1" x14ac:dyDescent="0.3">
      <c r="A3079" s="292"/>
      <c r="B3079" s="293"/>
      <c r="C3079" s="294"/>
      <c r="D3079" s="294"/>
      <c r="E3079" s="294"/>
      <c r="F3079" s="310"/>
      <c r="G3079" s="310"/>
      <c r="H3079" s="310"/>
      <c r="I3079" s="295"/>
      <c r="J3079" s="295"/>
      <c r="K3079" s="300">
        <f t="shared" si="418"/>
        <v>1.1000000000000001</v>
      </c>
      <c r="L3079" s="300">
        <f t="shared" si="419"/>
        <v>0</v>
      </c>
      <c r="M3079" s="285">
        <f t="shared" si="420"/>
        <v>0</v>
      </c>
      <c r="N3079" s="1076">
        <f t="shared" si="421"/>
        <v>0</v>
      </c>
      <c r="O3079" s="294"/>
      <c r="P3079" s="404"/>
      <c r="Q3079" s="404"/>
      <c r="R3079" s="301"/>
      <c r="S3079" s="301"/>
      <c r="T3079" s="301"/>
      <c r="U3079" s="301"/>
      <c r="V3079" s="301"/>
    </row>
    <row r="3080" spans="1:22" ht="14.4" thickTop="1" thickBot="1" x14ac:dyDescent="0.3">
      <c r="A3080" s="292"/>
      <c r="B3080" s="293"/>
      <c r="C3080" s="294"/>
      <c r="D3080" s="294"/>
      <c r="E3080" s="294"/>
      <c r="F3080" s="310"/>
      <c r="G3080" s="310"/>
      <c r="H3080" s="310"/>
      <c r="I3080" s="295"/>
      <c r="J3080" s="295"/>
      <c r="K3080" s="300">
        <f t="shared" si="418"/>
        <v>1.1000000000000001</v>
      </c>
      <c r="L3080" s="300">
        <f t="shared" si="419"/>
        <v>0</v>
      </c>
      <c r="M3080" s="285">
        <f t="shared" si="420"/>
        <v>0</v>
      </c>
      <c r="N3080" s="1076">
        <f t="shared" si="421"/>
        <v>0</v>
      </c>
      <c r="O3080" s="294"/>
      <c r="P3080" s="404"/>
      <c r="Q3080" s="404"/>
      <c r="R3080" s="301"/>
      <c r="S3080" s="301"/>
      <c r="T3080" s="301"/>
      <c r="U3080" s="301"/>
      <c r="V3080" s="301"/>
    </row>
    <row r="3081" spans="1:22" ht="14.4" thickTop="1" thickBot="1" x14ac:dyDescent="0.3">
      <c r="A3081" s="292"/>
      <c r="B3081" s="293"/>
      <c r="C3081" s="294"/>
      <c r="D3081" s="294"/>
      <c r="E3081" s="294"/>
      <c r="F3081" s="310"/>
      <c r="G3081" s="310"/>
      <c r="H3081" s="310"/>
      <c r="I3081" s="295"/>
      <c r="J3081" s="295"/>
      <c r="K3081" s="300">
        <f t="shared" si="418"/>
        <v>1.1000000000000001</v>
      </c>
      <c r="L3081" s="300">
        <f t="shared" si="419"/>
        <v>0</v>
      </c>
      <c r="M3081" s="285">
        <f t="shared" si="420"/>
        <v>0</v>
      </c>
      <c r="N3081" s="1076">
        <f t="shared" si="421"/>
        <v>0</v>
      </c>
      <c r="O3081" s="294"/>
      <c r="P3081" s="404"/>
      <c r="Q3081" s="404"/>
      <c r="R3081" s="301"/>
      <c r="S3081" s="301"/>
      <c r="T3081" s="301"/>
      <c r="U3081" s="301"/>
      <c r="V3081" s="301"/>
    </row>
    <row r="3082" spans="1:22" ht="14.4" thickTop="1" thickBot="1" x14ac:dyDescent="0.3">
      <c r="A3082" s="292"/>
      <c r="B3082" s="293"/>
      <c r="C3082" s="294"/>
      <c r="D3082" s="294"/>
      <c r="E3082" s="294"/>
      <c r="F3082" s="310"/>
      <c r="G3082" s="310"/>
      <c r="H3082" s="310"/>
      <c r="I3082" s="295"/>
      <c r="J3082" s="295"/>
      <c r="K3082" s="300">
        <f t="shared" si="418"/>
        <v>1.1000000000000001</v>
      </c>
      <c r="L3082" s="300">
        <f t="shared" si="419"/>
        <v>0</v>
      </c>
      <c r="M3082" s="285">
        <f t="shared" si="420"/>
        <v>0</v>
      </c>
      <c r="N3082" s="1076">
        <f t="shared" si="421"/>
        <v>0</v>
      </c>
      <c r="O3082" s="294"/>
      <c r="P3082" s="404"/>
      <c r="Q3082" s="404"/>
      <c r="R3082" s="301"/>
      <c r="S3082" s="301"/>
      <c r="T3082" s="301"/>
      <c r="U3082" s="301"/>
      <c r="V3082" s="301"/>
    </row>
    <row r="3083" spans="1:22" ht="14.4" thickTop="1" thickBot="1" x14ac:dyDescent="0.3">
      <c r="A3083" s="292"/>
      <c r="B3083" s="293"/>
      <c r="C3083" s="294"/>
      <c r="D3083" s="294"/>
      <c r="E3083" s="294"/>
      <c r="F3083" s="310"/>
      <c r="G3083" s="310"/>
      <c r="H3083" s="310"/>
      <c r="I3083" s="295"/>
      <c r="J3083" s="295"/>
      <c r="K3083" s="300">
        <f t="shared" si="418"/>
        <v>1.1000000000000001</v>
      </c>
      <c r="L3083" s="300">
        <f t="shared" si="419"/>
        <v>0</v>
      </c>
      <c r="M3083" s="285">
        <f t="shared" si="420"/>
        <v>0</v>
      </c>
      <c r="N3083" s="1076">
        <f t="shared" si="421"/>
        <v>0</v>
      </c>
      <c r="O3083" s="294"/>
      <c r="P3083" s="404"/>
      <c r="Q3083" s="404"/>
      <c r="R3083" s="301"/>
      <c r="S3083" s="301"/>
      <c r="T3083" s="301"/>
      <c r="U3083" s="301"/>
      <c r="V3083" s="301"/>
    </row>
    <row r="3084" spans="1:22" ht="14.4" thickTop="1" thickBot="1" x14ac:dyDescent="0.3">
      <c r="A3084" s="292"/>
      <c r="B3084" s="293"/>
      <c r="C3084" s="294"/>
      <c r="D3084" s="294"/>
      <c r="E3084" s="294"/>
      <c r="F3084" s="310"/>
      <c r="G3084" s="310"/>
      <c r="H3084" s="310"/>
      <c r="I3084" s="295"/>
      <c r="J3084" s="295"/>
      <c r="K3084" s="300">
        <f t="shared" si="418"/>
        <v>1.1000000000000001</v>
      </c>
      <c r="L3084" s="300">
        <f t="shared" si="419"/>
        <v>0</v>
      </c>
      <c r="M3084" s="285">
        <f t="shared" si="420"/>
        <v>0</v>
      </c>
      <c r="N3084" s="1076">
        <f t="shared" si="421"/>
        <v>0</v>
      </c>
      <c r="O3084" s="294"/>
      <c r="P3084" s="404"/>
      <c r="Q3084" s="404"/>
      <c r="R3084" s="301"/>
      <c r="S3084" s="301"/>
      <c r="T3084" s="301"/>
      <c r="U3084" s="301"/>
      <c r="V3084" s="301"/>
    </row>
    <row r="3085" spans="1:22" ht="14.4" thickTop="1" thickBot="1" x14ac:dyDescent="0.3">
      <c r="A3085" s="292"/>
      <c r="B3085" s="293"/>
      <c r="C3085" s="294"/>
      <c r="D3085" s="294"/>
      <c r="E3085" s="294"/>
      <c r="F3085" s="310"/>
      <c r="G3085" s="310"/>
      <c r="H3085" s="310"/>
      <c r="I3085" s="295"/>
      <c r="J3085" s="295"/>
      <c r="K3085" s="300">
        <f t="shared" si="418"/>
        <v>1.1000000000000001</v>
      </c>
      <c r="L3085" s="300">
        <f t="shared" si="419"/>
        <v>0</v>
      </c>
      <c r="M3085" s="285">
        <f t="shared" si="420"/>
        <v>0</v>
      </c>
      <c r="N3085" s="1076">
        <f t="shared" si="421"/>
        <v>0</v>
      </c>
      <c r="O3085" s="294"/>
      <c r="P3085" s="404"/>
      <c r="Q3085" s="404"/>
      <c r="R3085" s="301"/>
      <c r="S3085" s="301"/>
      <c r="T3085" s="301"/>
      <c r="U3085" s="301"/>
      <c r="V3085" s="301"/>
    </row>
    <row r="3086" spans="1:22" ht="14.4" thickTop="1" thickBot="1" x14ac:dyDescent="0.3">
      <c r="A3086" s="292"/>
      <c r="B3086" s="293"/>
      <c r="C3086" s="294"/>
      <c r="D3086" s="294"/>
      <c r="E3086" s="294"/>
      <c r="F3086" s="310"/>
      <c r="G3086" s="310"/>
      <c r="H3086" s="310"/>
      <c r="I3086" s="295"/>
      <c r="J3086" s="295"/>
      <c r="K3086" s="300">
        <f t="shared" si="418"/>
        <v>1.1000000000000001</v>
      </c>
      <c r="L3086" s="300">
        <f t="shared" si="419"/>
        <v>0</v>
      </c>
      <c r="M3086" s="285">
        <f t="shared" si="420"/>
        <v>0</v>
      </c>
      <c r="N3086" s="1076">
        <f t="shared" si="421"/>
        <v>0</v>
      </c>
      <c r="O3086" s="294"/>
      <c r="P3086" s="404"/>
      <c r="Q3086" s="404"/>
      <c r="R3086" s="301"/>
      <c r="S3086" s="301"/>
      <c r="T3086" s="301"/>
      <c r="U3086" s="301"/>
      <c r="V3086" s="301"/>
    </row>
    <row r="3087" spans="1:22" ht="14.4" thickTop="1" thickBot="1" x14ac:dyDescent="0.3">
      <c r="A3087" s="292"/>
      <c r="B3087" s="293"/>
      <c r="C3087" s="294"/>
      <c r="D3087" s="294"/>
      <c r="E3087" s="294"/>
      <c r="F3087" s="310"/>
      <c r="G3087" s="310"/>
      <c r="H3087" s="310"/>
      <c r="I3087" s="295"/>
      <c r="J3087" s="295"/>
      <c r="K3087" s="300">
        <f t="shared" si="418"/>
        <v>1.1000000000000001</v>
      </c>
      <c r="L3087" s="300">
        <f t="shared" si="419"/>
        <v>0</v>
      </c>
      <c r="M3087" s="285">
        <f t="shared" si="420"/>
        <v>0</v>
      </c>
      <c r="N3087" s="1076">
        <f t="shared" si="421"/>
        <v>0</v>
      </c>
      <c r="O3087" s="294"/>
      <c r="P3087" s="404"/>
      <c r="Q3087" s="404"/>
      <c r="R3087" s="301"/>
      <c r="S3087" s="301"/>
      <c r="T3087" s="301"/>
      <c r="U3087" s="301"/>
      <c r="V3087" s="301"/>
    </row>
    <row r="3088" spans="1:22" ht="14.4" thickTop="1" thickBot="1" x14ac:dyDescent="0.3">
      <c r="A3088" s="292"/>
      <c r="B3088" s="293"/>
      <c r="C3088" s="294"/>
      <c r="D3088" s="294"/>
      <c r="E3088" s="294"/>
      <c r="F3088" s="310"/>
      <c r="G3088" s="310"/>
      <c r="H3088" s="310"/>
      <c r="I3088" s="295"/>
      <c r="J3088" s="295"/>
      <c r="K3088" s="300">
        <f t="shared" si="418"/>
        <v>1.1000000000000001</v>
      </c>
      <c r="L3088" s="300">
        <f t="shared" si="419"/>
        <v>0</v>
      </c>
      <c r="M3088" s="285">
        <f t="shared" si="420"/>
        <v>0</v>
      </c>
      <c r="N3088" s="1076">
        <f t="shared" si="421"/>
        <v>0</v>
      </c>
      <c r="O3088" s="294"/>
      <c r="P3088" s="404"/>
      <c r="Q3088" s="404"/>
      <c r="R3088" s="301"/>
      <c r="S3088" s="301"/>
      <c r="T3088" s="301"/>
      <c r="U3088" s="301"/>
      <c r="V3088" s="301"/>
    </row>
    <row r="3089" spans="1:22" ht="14.4" thickTop="1" thickBot="1" x14ac:dyDescent="0.3">
      <c r="A3089" s="292"/>
      <c r="B3089" s="293"/>
      <c r="C3089" s="294"/>
      <c r="D3089" s="294"/>
      <c r="E3089" s="294"/>
      <c r="F3089" s="310"/>
      <c r="G3089" s="310"/>
      <c r="H3089" s="310"/>
      <c r="I3089" s="295"/>
      <c r="J3089" s="295"/>
      <c r="K3089" s="300">
        <f t="shared" si="418"/>
        <v>1.1000000000000001</v>
      </c>
      <c r="L3089" s="300">
        <f t="shared" si="419"/>
        <v>0</v>
      </c>
      <c r="M3089" s="285">
        <f t="shared" si="420"/>
        <v>0</v>
      </c>
      <c r="N3089" s="1076">
        <f t="shared" si="421"/>
        <v>0</v>
      </c>
      <c r="O3089" s="294"/>
      <c r="P3089" s="404"/>
      <c r="Q3089" s="404"/>
      <c r="R3089" s="301"/>
      <c r="S3089" s="301"/>
      <c r="T3089" s="301"/>
      <c r="U3089" s="301"/>
      <c r="V3089" s="301"/>
    </row>
    <row r="3090" spans="1:22" ht="14.4" thickTop="1" thickBot="1" x14ac:dyDescent="0.3">
      <c r="A3090" s="292"/>
      <c r="B3090" s="293"/>
      <c r="C3090" s="294"/>
      <c r="D3090" s="294"/>
      <c r="E3090" s="294"/>
      <c r="F3090" s="310"/>
      <c r="G3090" s="310"/>
      <c r="H3090" s="310"/>
      <c r="I3090" s="295"/>
      <c r="J3090" s="295"/>
      <c r="K3090" s="300">
        <f t="shared" si="418"/>
        <v>1.1000000000000001</v>
      </c>
      <c r="L3090" s="300">
        <f t="shared" si="419"/>
        <v>0</v>
      </c>
      <c r="M3090" s="285">
        <f t="shared" si="420"/>
        <v>0</v>
      </c>
      <c r="N3090" s="1076">
        <f t="shared" si="421"/>
        <v>0</v>
      </c>
      <c r="O3090" s="294"/>
      <c r="P3090" s="404"/>
      <c r="Q3090" s="404"/>
      <c r="R3090" s="301"/>
      <c r="S3090" s="301"/>
      <c r="T3090" s="301"/>
      <c r="U3090" s="301"/>
      <c r="V3090" s="301"/>
    </row>
    <row r="3091" spans="1:22" ht="14.4" thickTop="1" thickBot="1" x14ac:dyDescent="0.3">
      <c r="A3091" s="292"/>
      <c r="B3091" s="293"/>
      <c r="C3091" s="294"/>
      <c r="D3091" s="294"/>
      <c r="E3091" s="294"/>
      <c r="F3091" s="310"/>
      <c r="G3091" s="310"/>
      <c r="H3091" s="310"/>
      <c r="I3091" s="295"/>
      <c r="J3091" s="295"/>
      <c r="K3091" s="300">
        <f t="shared" si="418"/>
        <v>1.1000000000000001</v>
      </c>
      <c r="L3091" s="300">
        <f t="shared" si="419"/>
        <v>0</v>
      </c>
      <c r="M3091" s="285">
        <f t="shared" si="420"/>
        <v>0</v>
      </c>
      <c r="N3091" s="1076">
        <f t="shared" si="421"/>
        <v>0</v>
      </c>
      <c r="O3091" s="294"/>
      <c r="P3091" s="404"/>
      <c r="Q3091" s="404"/>
      <c r="R3091" s="301"/>
      <c r="S3091" s="301"/>
      <c r="T3091" s="301"/>
      <c r="U3091" s="301"/>
      <c r="V3091" s="301"/>
    </row>
    <row r="3092" spans="1:22" ht="14.4" thickTop="1" thickBot="1" x14ac:dyDescent="0.3">
      <c r="A3092" s="292"/>
      <c r="B3092" s="293"/>
      <c r="C3092" s="294"/>
      <c r="D3092" s="294"/>
      <c r="E3092" s="294"/>
      <c r="F3092" s="310"/>
      <c r="G3092" s="310"/>
      <c r="H3092" s="310"/>
      <c r="I3092" s="295"/>
      <c r="J3092" s="295"/>
      <c r="K3092" s="300">
        <f t="shared" si="418"/>
        <v>1.1000000000000001</v>
      </c>
      <c r="L3092" s="300">
        <f t="shared" si="419"/>
        <v>0</v>
      </c>
      <c r="M3092" s="285">
        <f t="shared" si="420"/>
        <v>0</v>
      </c>
      <c r="N3092" s="1076">
        <f t="shared" si="421"/>
        <v>0</v>
      </c>
      <c r="O3092" s="294"/>
      <c r="P3092" s="404"/>
      <c r="Q3092" s="404"/>
      <c r="R3092" s="301"/>
      <c r="S3092" s="301"/>
      <c r="T3092" s="301"/>
      <c r="U3092" s="301"/>
      <c r="V3092" s="301"/>
    </row>
    <row r="3093" spans="1:22" ht="14.4" thickTop="1" thickBot="1" x14ac:dyDescent="0.3">
      <c r="A3093" s="292"/>
      <c r="B3093" s="293"/>
      <c r="C3093" s="294"/>
      <c r="D3093" s="294"/>
      <c r="E3093" s="294"/>
      <c r="F3093" s="310"/>
      <c r="G3093" s="310"/>
      <c r="H3093" s="310"/>
      <c r="I3093" s="295"/>
      <c r="J3093" s="295"/>
      <c r="K3093" s="300">
        <f t="shared" si="418"/>
        <v>1.1000000000000001</v>
      </c>
      <c r="L3093" s="300">
        <f t="shared" si="419"/>
        <v>0</v>
      </c>
      <c r="M3093" s="285">
        <f t="shared" si="420"/>
        <v>0</v>
      </c>
      <c r="N3093" s="1076">
        <f t="shared" si="421"/>
        <v>0</v>
      </c>
      <c r="O3093" s="294"/>
      <c r="P3093" s="404"/>
      <c r="Q3093" s="404"/>
      <c r="R3093" s="301"/>
      <c r="S3093" s="301"/>
      <c r="T3093" s="301"/>
      <c r="U3093" s="301"/>
      <c r="V3093" s="301"/>
    </row>
    <row r="3094" spans="1:22" ht="14.4" thickTop="1" thickBot="1" x14ac:dyDescent="0.3">
      <c r="A3094" s="292"/>
      <c r="B3094" s="293"/>
      <c r="C3094" s="294"/>
      <c r="D3094" s="294"/>
      <c r="E3094" s="294"/>
      <c r="F3094" s="310"/>
      <c r="G3094" s="310"/>
      <c r="H3094" s="310"/>
      <c r="I3094" s="295"/>
      <c r="J3094" s="295"/>
      <c r="K3094" s="300">
        <f t="shared" si="418"/>
        <v>1.1000000000000001</v>
      </c>
      <c r="L3094" s="300">
        <f t="shared" si="419"/>
        <v>0</v>
      </c>
      <c r="M3094" s="285">
        <f t="shared" si="420"/>
        <v>0</v>
      </c>
      <c r="N3094" s="1076">
        <f t="shared" si="421"/>
        <v>0</v>
      </c>
      <c r="O3094" s="294"/>
      <c r="P3094" s="404"/>
      <c r="Q3094" s="404"/>
      <c r="R3094" s="301"/>
      <c r="S3094" s="301"/>
      <c r="T3094" s="301"/>
      <c r="U3094" s="301"/>
      <c r="V3094" s="301"/>
    </row>
    <row r="3095" spans="1:22" ht="14.4" thickTop="1" thickBot="1" x14ac:dyDescent="0.3">
      <c r="A3095" s="292"/>
      <c r="B3095" s="293"/>
      <c r="C3095" s="294"/>
      <c r="D3095" s="294"/>
      <c r="E3095" s="294"/>
      <c r="F3095" s="310"/>
      <c r="G3095" s="310"/>
      <c r="H3095" s="310"/>
      <c r="I3095" s="295"/>
      <c r="J3095" s="295"/>
      <c r="K3095" s="300">
        <f t="shared" si="418"/>
        <v>1.1000000000000001</v>
      </c>
      <c r="L3095" s="300">
        <f t="shared" si="419"/>
        <v>0</v>
      </c>
      <c r="M3095" s="285">
        <f t="shared" si="420"/>
        <v>0</v>
      </c>
      <c r="N3095" s="1076">
        <f t="shared" si="421"/>
        <v>0</v>
      </c>
      <c r="O3095" s="294"/>
      <c r="P3095" s="404"/>
      <c r="Q3095" s="404"/>
      <c r="R3095" s="301"/>
      <c r="S3095" s="301"/>
      <c r="T3095" s="301"/>
      <c r="U3095" s="301"/>
      <c r="V3095" s="301"/>
    </row>
    <row r="3096" spans="1:22" ht="14.4" thickTop="1" thickBot="1" x14ac:dyDescent="0.3">
      <c r="A3096" s="292"/>
      <c r="B3096" s="293"/>
      <c r="C3096" s="294"/>
      <c r="D3096" s="294"/>
      <c r="E3096" s="294"/>
      <c r="F3096" s="310"/>
      <c r="G3096" s="310"/>
      <c r="H3096" s="310"/>
      <c r="I3096" s="295"/>
      <c r="J3096" s="295"/>
      <c r="K3096" s="300">
        <f t="shared" si="418"/>
        <v>1.1000000000000001</v>
      </c>
      <c r="L3096" s="300">
        <f t="shared" si="419"/>
        <v>0</v>
      </c>
      <c r="M3096" s="285">
        <f t="shared" si="420"/>
        <v>0</v>
      </c>
      <c r="N3096" s="1076">
        <f t="shared" si="421"/>
        <v>0</v>
      </c>
      <c r="O3096" s="294"/>
      <c r="P3096" s="404"/>
      <c r="Q3096" s="404"/>
      <c r="R3096" s="301"/>
      <c r="S3096" s="301"/>
      <c r="T3096" s="301"/>
      <c r="U3096" s="301"/>
      <c r="V3096" s="301"/>
    </row>
    <row r="3097" spans="1:22" ht="14.4" thickTop="1" thickBot="1" x14ac:dyDescent="0.3">
      <c r="A3097" s="292"/>
      <c r="B3097" s="293"/>
      <c r="C3097" s="294"/>
      <c r="D3097" s="294"/>
      <c r="E3097" s="294"/>
      <c r="F3097" s="310"/>
      <c r="G3097" s="310"/>
      <c r="H3097" s="310"/>
      <c r="I3097" s="295"/>
      <c r="J3097" s="295"/>
      <c r="K3097" s="300">
        <f t="shared" si="418"/>
        <v>1.1000000000000001</v>
      </c>
      <c r="L3097" s="300">
        <f t="shared" si="419"/>
        <v>0</v>
      </c>
      <c r="M3097" s="285">
        <f t="shared" si="420"/>
        <v>0</v>
      </c>
      <c r="N3097" s="1076">
        <f t="shared" si="421"/>
        <v>0</v>
      </c>
      <c r="O3097" s="294"/>
      <c r="P3097" s="404"/>
      <c r="Q3097" s="404"/>
      <c r="R3097" s="301"/>
      <c r="S3097" s="301"/>
      <c r="T3097" s="301"/>
      <c r="U3097" s="301"/>
      <c r="V3097" s="301"/>
    </row>
    <row r="3098" spans="1:22" ht="14.4" thickTop="1" thickBot="1" x14ac:dyDescent="0.3">
      <c r="A3098" s="292"/>
      <c r="B3098" s="293"/>
      <c r="C3098" s="294"/>
      <c r="D3098" s="294"/>
      <c r="E3098" s="294"/>
      <c r="F3098" s="310"/>
      <c r="G3098" s="310"/>
      <c r="H3098" s="310"/>
      <c r="I3098" s="295"/>
      <c r="J3098" s="295"/>
      <c r="K3098" s="300">
        <f t="shared" si="418"/>
        <v>1.1000000000000001</v>
      </c>
      <c r="L3098" s="300">
        <f t="shared" si="419"/>
        <v>0</v>
      </c>
      <c r="M3098" s="285">
        <f t="shared" si="420"/>
        <v>0</v>
      </c>
      <c r="N3098" s="1076">
        <f t="shared" si="421"/>
        <v>0</v>
      </c>
      <c r="O3098" s="294"/>
      <c r="P3098" s="404"/>
      <c r="Q3098" s="404"/>
      <c r="R3098" s="301"/>
      <c r="S3098" s="301"/>
      <c r="T3098" s="301"/>
      <c r="U3098" s="301"/>
      <c r="V3098" s="301"/>
    </row>
    <row r="3099" spans="1:22" ht="14.4" thickTop="1" thickBot="1" x14ac:dyDescent="0.3">
      <c r="A3099" s="292"/>
      <c r="B3099" s="293"/>
      <c r="C3099" s="294"/>
      <c r="D3099" s="294"/>
      <c r="E3099" s="294"/>
      <c r="F3099" s="310"/>
      <c r="G3099" s="310"/>
      <c r="H3099" s="310"/>
      <c r="I3099" s="295"/>
      <c r="J3099" s="295"/>
      <c r="K3099" s="300">
        <f t="shared" si="418"/>
        <v>1.1000000000000001</v>
      </c>
      <c r="L3099" s="300">
        <f t="shared" si="419"/>
        <v>0</v>
      </c>
      <c r="M3099" s="285">
        <f t="shared" si="420"/>
        <v>0</v>
      </c>
      <c r="N3099" s="1076">
        <f t="shared" si="421"/>
        <v>0</v>
      </c>
      <c r="O3099" s="294"/>
      <c r="P3099" s="404"/>
      <c r="Q3099" s="404"/>
      <c r="R3099" s="301"/>
      <c r="S3099" s="301"/>
      <c r="T3099" s="301"/>
      <c r="U3099" s="301"/>
      <c r="V3099" s="301"/>
    </row>
    <row r="3100" spans="1:22" ht="14.4" thickTop="1" thickBot="1" x14ac:dyDescent="0.3">
      <c r="A3100" s="292"/>
      <c r="B3100" s="293"/>
      <c r="C3100" s="294"/>
      <c r="D3100" s="294"/>
      <c r="E3100" s="294"/>
      <c r="F3100" s="310"/>
      <c r="G3100" s="310"/>
      <c r="H3100" s="310"/>
      <c r="I3100" s="295"/>
      <c r="J3100" s="295"/>
      <c r="K3100" s="300">
        <f t="shared" si="418"/>
        <v>1.1000000000000001</v>
      </c>
      <c r="L3100" s="300">
        <f t="shared" si="419"/>
        <v>0</v>
      </c>
      <c r="M3100" s="285">
        <f t="shared" si="420"/>
        <v>0</v>
      </c>
      <c r="N3100" s="1076">
        <f t="shared" si="421"/>
        <v>0</v>
      </c>
      <c r="O3100" s="294"/>
      <c r="P3100" s="404"/>
      <c r="Q3100" s="404"/>
      <c r="R3100" s="301"/>
      <c r="S3100" s="301"/>
      <c r="T3100" s="301"/>
      <c r="U3100" s="301"/>
      <c r="V3100" s="301"/>
    </row>
    <row r="3101" spans="1:22" ht="14.4" thickTop="1" thickBot="1" x14ac:dyDescent="0.3">
      <c r="A3101" s="292"/>
      <c r="B3101" s="293"/>
      <c r="C3101" s="294"/>
      <c r="D3101" s="294"/>
      <c r="E3101" s="294"/>
      <c r="F3101" s="310"/>
      <c r="G3101" s="310"/>
      <c r="H3101" s="310"/>
      <c r="I3101" s="295"/>
      <c r="J3101" s="295"/>
      <c r="K3101" s="300">
        <f t="shared" si="418"/>
        <v>1.1000000000000001</v>
      </c>
      <c r="L3101" s="300">
        <f t="shared" si="419"/>
        <v>0</v>
      </c>
      <c r="M3101" s="285">
        <f t="shared" si="420"/>
        <v>0</v>
      </c>
      <c r="N3101" s="1076">
        <f t="shared" si="421"/>
        <v>0</v>
      </c>
      <c r="O3101" s="294"/>
      <c r="P3101" s="404"/>
      <c r="Q3101" s="404"/>
      <c r="R3101" s="301"/>
      <c r="S3101" s="301"/>
      <c r="T3101" s="301"/>
      <c r="U3101" s="301"/>
      <c r="V3101" s="301"/>
    </row>
    <row r="3102" spans="1:22" ht="14.4" thickTop="1" thickBot="1" x14ac:dyDescent="0.3">
      <c r="A3102" s="292"/>
      <c r="B3102" s="293"/>
      <c r="C3102" s="294"/>
      <c r="D3102" s="294"/>
      <c r="E3102" s="294"/>
      <c r="F3102" s="310"/>
      <c r="G3102" s="310"/>
      <c r="H3102" s="310"/>
      <c r="I3102" s="295"/>
      <c r="J3102" s="295"/>
      <c r="K3102" s="300">
        <f t="shared" si="418"/>
        <v>1.1000000000000001</v>
      </c>
      <c r="L3102" s="300">
        <f t="shared" si="419"/>
        <v>0</v>
      </c>
      <c r="M3102" s="285">
        <f t="shared" si="420"/>
        <v>0</v>
      </c>
      <c r="N3102" s="1076">
        <f t="shared" si="421"/>
        <v>0</v>
      </c>
      <c r="O3102" s="294"/>
      <c r="P3102" s="404"/>
      <c r="Q3102" s="404"/>
      <c r="R3102" s="301"/>
      <c r="S3102" s="301"/>
      <c r="T3102" s="301"/>
      <c r="U3102" s="301"/>
      <c r="V3102" s="301"/>
    </row>
    <row r="3103" spans="1:22" ht="14.4" thickTop="1" thickBot="1" x14ac:dyDescent="0.3">
      <c r="A3103" s="292"/>
      <c r="B3103" s="293"/>
      <c r="C3103" s="294"/>
      <c r="D3103" s="294"/>
      <c r="E3103" s="294"/>
      <c r="F3103" s="310"/>
      <c r="G3103" s="310"/>
      <c r="H3103" s="310"/>
      <c r="I3103" s="295"/>
      <c r="J3103" s="295"/>
      <c r="K3103" s="300">
        <f t="shared" si="418"/>
        <v>1.1000000000000001</v>
      </c>
      <c r="L3103" s="300">
        <f t="shared" si="419"/>
        <v>0</v>
      </c>
      <c r="M3103" s="285">
        <f t="shared" si="420"/>
        <v>0</v>
      </c>
      <c r="N3103" s="1076">
        <f t="shared" si="421"/>
        <v>0</v>
      </c>
      <c r="O3103" s="294"/>
      <c r="P3103" s="404"/>
      <c r="Q3103" s="404"/>
      <c r="R3103" s="301"/>
      <c r="S3103" s="301"/>
      <c r="T3103" s="301"/>
      <c r="U3103" s="301"/>
      <c r="V3103" s="301"/>
    </row>
    <row r="3104" spans="1:22" ht="14.4" thickTop="1" thickBot="1" x14ac:dyDescent="0.3">
      <c r="A3104" s="292"/>
      <c r="B3104" s="293"/>
      <c r="C3104" s="294"/>
      <c r="D3104" s="294"/>
      <c r="E3104" s="294"/>
      <c r="F3104" s="310"/>
      <c r="G3104" s="310"/>
      <c r="H3104" s="310"/>
      <c r="I3104" s="295"/>
      <c r="J3104" s="295"/>
      <c r="K3104" s="300">
        <f t="shared" si="418"/>
        <v>1.1000000000000001</v>
      </c>
      <c r="L3104" s="300">
        <f t="shared" si="419"/>
        <v>0</v>
      </c>
      <c r="M3104" s="285">
        <f t="shared" si="420"/>
        <v>0</v>
      </c>
      <c r="N3104" s="1076">
        <f t="shared" si="421"/>
        <v>0</v>
      </c>
      <c r="O3104" s="294"/>
      <c r="P3104" s="404"/>
      <c r="Q3104" s="404"/>
      <c r="R3104" s="301"/>
      <c r="S3104" s="301"/>
      <c r="T3104" s="301"/>
      <c r="U3104" s="301"/>
      <c r="V3104" s="301"/>
    </row>
    <row r="3105" spans="1:22" ht="14.4" thickTop="1" thickBot="1" x14ac:dyDescent="0.3">
      <c r="A3105" s="292"/>
      <c r="B3105" s="293"/>
      <c r="C3105" s="294"/>
      <c r="D3105" s="294"/>
      <c r="E3105" s="294"/>
      <c r="F3105" s="310"/>
      <c r="G3105" s="310"/>
      <c r="H3105" s="310"/>
      <c r="I3105" s="295"/>
      <c r="J3105" s="295"/>
      <c r="K3105" s="300">
        <f t="shared" si="418"/>
        <v>1.1000000000000001</v>
      </c>
      <c r="L3105" s="300">
        <f t="shared" si="419"/>
        <v>0</v>
      </c>
      <c r="M3105" s="285">
        <f t="shared" si="420"/>
        <v>0</v>
      </c>
      <c r="N3105" s="1076">
        <f t="shared" si="421"/>
        <v>0</v>
      </c>
      <c r="O3105" s="294"/>
      <c r="P3105" s="404"/>
      <c r="Q3105" s="404"/>
      <c r="R3105" s="301"/>
      <c r="S3105" s="301"/>
      <c r="T3105" s="301"/>
      <c r="U3105" s="301"/>
      <c r="V3105" s="301"/>
    </row>
    <row r="3106" spans="1:22" ht="14.4" thickTop="1" thickBot="1" x14ac:dyDescent="0.3">
      <c r="A3106" s="292"/>
      <c r="B3106" s="293"/>
      <c r="C3106" s="294"/>
      <c r="D3106" s="294"/>
      <c r="E3106" s="294"/>
      <c r="F3106" s="310"/>
      <c r="G3106" s="310"/>
      <c r="H3106" s="310"/>
      <c r="I3106" s="295"/>
      <c r="J3106" s="295"/>
      <c r="K3106" s="300">
        <f t="shared" si="418"/>
        <v>1.1000000000000001</v>
      </c>
      <c r="L3106" s="300">
        <f t="shared" si="419"/>
        <v>0</v>
      </c>
      <c r="M3106" s="285">
        <f t="shared" si="420"/>
        <v>0</v>
      </c>
      <c r="N3106" s="1076">
        <f t="shared" si="421"/>
        <v>0</v>
      </c>
      <c r="O3106" s="294"/>
      <c r="P3106" s="404"/>
      <c r="Q3106" s="404"/>
      <c r="R3106" s="301"/>
      <c r="S3106" s="301"/>
      <c r="T3106" s="301"/>
      <c r="U3106" s="301"/>
      <c r="V3106" s="301"/>
    </row>
    <row r="3107" spans="1:22" ht="14.4" thickTop="1" thickBot="1" x14ac:dyDescent="0.3">
      <c r="A3107" s="292"/>
      <c r="B3107" s="293"/>
      <c r="C3107" s="294"/>
      <c r="D3107" s="294"/>
      <c r="E3107" s="294"/>
      <c r="F3107" s="310"/>
      <c r="G3107" s="310"/>
      <c r="H3107" s="310"/>
      <c r="I3107" s="295"/>
      <c r="J3107" s="295"/>
      <c r="K3107" s="300">
        <f t="shared" si="418"/>
        <v>1.1000000000000001</v>
      </c>
      <c r="L3107" s="300">
        <f t="shared" si="419"/>
        <v>0</v>
      </c>
      <c r="M3107" s="285">
        <f t="shared" si="420"/>
        <v>0</v>
      </c>
      <c r="N3107" s="1076">
        <f t="shared" si="421"/>
        <v>0</v>
      </c>
      <c r="O3107" s="294"/>
      <c r="P3107" s="404"/>
      <c r="Q3107" s="404"/>
      <c r="R3107" s="301"/>
      <c r="S3107" s="301"/>
      <c r="T3107" s="301"/>
      <c r="U3107" s="301"/>
      <c r="V3107" s="301"/>
    </row>
    <row r="3108" spans="1:22" ht="14.4" thickTop="1" thickBot="1" x14ac:dyDescent="0.3">
      <c r="A3108" s="292"/>
      <c r="B3108" s="293"/>
      <c r="C3108" s="294"/>
      <c r="D3108" s="294"/>
      <c r="E3108" s="294"/>
      <c r="F3108" s="310"/>
      <c r="G3108" s="310"/>
      <c r="H3108" s="310"/>
      <c r="I3108" s="295"/>
      <c r="J3108" s="295"/>
      <c r="K3108" s="300">
        <f t="shared" ref="K3108:K3331" si="422">$K$2</f>
        <v>1.1000000000000001</v>
      </c>
      <c r="L3108" s="300">
        <f t="shared" si="419"/>
        <v>0</v>
      </c>
      <c r="M3108" s="285">
        <f t="shared" si="420"/>
        <v>0</v>
      </c>
      <c r="N3108" s="1076">
        <f t="shared" si="421"/>
        <v>0</v>
      </c>
      <c r="O3108" s="294"/>
      <c r="P3108" s="404"/>
      <c r="Q3108" s="404"/>
      <c r="R3108" s="301"/>
      <c r="S3108" s="301"/>
      <c r="T3108" s="301"/>
      <c r="U3108" s="301"/>
      <c r="V3108" s="301"/>
    </row>
    <row r="3109" spans="1:22" ht="14.4" thickTop="1" thickBot="1" x14ac:dyDescent="0.3">
      <c r="A3109" s="292"/>
      <c r="B3109" s="293"/>
      <c r="C3109" s="294"/>
      <c r="D3109" s="294"/>
      <c r="E3109" s="294"/>
      <c r="F3109" s="310"/>
      <c r="G3109" s="310"/>
      <c r="H3109" s="310"/>
      <c r="I3109" s="295"/>
      <c r="J3109" s="295"/>
      <c r="K3109" s="300">
        <f t="shared" si="422"/>
        <v>1.1000000000000001</v>
      </c>
      <c r="L3109" s="300">
        <f t="shared" si="419"/>
        <v>0</v>
      </c>
      <c r="M3109" s="285">
        <f t="shared" si="420"/>
        <v>0</v>
      </c>
      <c r="N3109" s="1076">
        <f t="shared" si="421"/>
        <v>0</v>
      </c>
      <c r="O3109" s="294"/>
      <c r="P3109" s="404"/>
      <c r="Q3109" s="404"/>
      <c r="R3109" s="301"/>
      <c r="S3109" s="301"/>
      <c r="T3109" s="301"/>
      <c r="U3109" s="301"/>
      <c r="V3109" s="301"/>
    </row>
    <row r="3110" spans="1:22" ht="14.4" thickTop="1" thickBot="1" x14ac:dyDescent="0.3">
      <c r="A3110" s="292"/>
      <c r="B3110" s="293"/>
      <c r="C3110" s="294"/>
      <c r="D3110" s="294"/>
      <c r="E3110" s="294"/>
      <c r="F3110" s="310"/>
      <c r="G3110" s="310"/>
      <c r="H3110" s="310"/>
      <c r="I3110" s="295"/>
      <c r="J3110" s="295"/>
      <c r="K3110" s="300">
        <f t="shared" si="422"/>
        <v>1.1000000000000001</v>
      </c>
      <c r="L3110" s="300">
        <f t="shared" si="419"/>
        <v>0</v>
      </c>
      <c r="M3110" s="285">
        <f t="shared" si="420"/>
        <v>0</v>
      </c>
      <c r="N3110" s="1076">
        <f t="shared" si="421"/>
        <v>0</v>
      </c>
      <c r="O3110" s="294"/>
      <c r="P3110" s="404"/>
      <c r="Q3110" s="404"/>
      <c r="R3110" s="301"/>
      <c r="S3110" s="301"/>
      <c r="T3110" s="301"/>
      <c r="U3110" s="301"/>
      <c r="V3110" s="301"/>
    </row>
    <row r="3111" spans="1:22" ht="14.4" thickTop="1" thickBot="1" x14ac:dyDescent="0.3">
      <c r="A3111" s="292"/>
      <c r="B3111" s="293"/>
      <c r="C3111" s="294"/>
      <c r="D3111" s="294"/>
      <c r="E3111" s="294"/>
      <c r="F3111" s="310"/>
      <c r="G3111" s="310"/>
      <c r="H3111" s="310"/>
      <c r="I3111" s="295"/>
      <c r="J3111" s="295"/>
      <c r="K3111" s="300">
        <f t="shared" si="422"/>
        <v>1.1000000000000001</v>
      </c>
      <c r="L3111" s="300">
        <f t="shared" si="419"/>
        <v>0</v>
      </c>
      <c r="M3111" s="285">
        <f t="shared" si="420"/>
        <v>0</v>
      </c>
      <c r="N3111" s="1076">
        <f t="shared" si="421"/>
        <v>0</v>
      </c>
      <c r="O3111" s="294"/>
      <c r="P3111" s="404"/>
      <c r="Q3111" s="404"/>
      <c r="R3111" s="301"/>
      <c r="S3111" s="301"/>
      <c r="T3111" s="301"/>
      <c r="U3111" s="301"/>
      <c r="V3111" s="301"/>
    </row>
    <row r="3112" spans="1:22" ht="14.4" thickTop="1" thickBot="1" x14ac:dyDescent="0.3">
      <c r="A3112" s="292"/>
      <c r="B3112" s="293"/>
      <c r="C3112" s="294"/>
      <c r="D3112" s="294"/>
      <c r="E3112" s="294"/>
      <c r="F3112" s="310"/>
      <c r="G3112" s="310"/>
      <c r="H3112" s="310"/>
      <c r="I3112" s="295"/>
      <c r="J3112" s="295"/>
      <c r="K3112" s="300">
        <f t="shared" si="422"/>
        <v>1.1000000000000001</v>
      </c>
      <c r="L3112" s="300">
        <f t="shared" si="419"/>
        <v>0</v>
      </c>
      <c r="M3112" s="285">
        <f t="shared" si="420"/>
        <v>0</v>
      </c>
      <c r="N3112" s="1076">
        <f t="shared" si="421"/>
        <v>0</v>
      </c>
      <c r="O3112" s="294"/>
      <c r="P3112" s="404"/>
      <c r="Q3112" s="404"/>
      <c r="R3112" s="301"/>
      <c r="S3112" s="301"/>
      <c r="T3112" s="301"/>
      <c r="U3112" s="301"/>
      <c r="V3112" s="301"/>
    </row>
    <row r="3113" spans="1:22" ht="14.4" thickTop="1" thickBot="1" x14ac:dyDescent="0.3">
      <c r="A3113" s="292"/>
      <c r="B3113" s="293"/>
      <c r="C3113" s="294"/>
      <c r="D3113" s="294"/>
      <c r="E3113" s="294"/>
      <c r="F3113" s="310"/>
      <c r="G3113" s="310"/>
      <c r="H3113" s="310"/>
      <c r="I3113" s="295"/>
      <c r="J3113" s="295"/>
      <c r="K3113" s="300">
        <f t="shared" si="422"/>
        <v>1.1000000000000001</v>
      </c>
      <c r="L3113" s="300">
        <f t="shared" si="419"/>
        <v>0</v>
      </c>
      <c r="M3113" s="285">
        <f t="shared" si="420"/>
        <v>0</v>
      </c>
      <c r="N3113" s="1076">
        <f t="shared" si="421"/>
        <v>0</v>
      </c>
      <c r="O3113" s="294"/>
      <c r="P3113" s="404"/>
      <c r="Q3113" s="404"/>
      <c r="R3113" s="301"/>
      <c r="S3113" s="301"/>
      <c r="T3113" s="301"/>
      <c r="U3113" s="301"/>
      <c r="V3113" s="301"/>
    </row>
    <row r="3114" spans="1:22" ht="14.4" thickTop="1" thickBot="1" x14ac:dyDescent="0.3">
      <c r="A3114" s="292"/>
      <c r="B3114" s="293"/>
      <c r="C3114" s="294"/>
      <c r="D3114" s="294"/>
      <c r="E3114" s="294"/>
      <c r="F3114" s="310"/>
      <c r="G3114" s="310"/>
      <c r="H3114" s="310"/>
      <c r="I3114" s="295"/>
      <c r="J3114" s="295"/>
      <c r="K3114" s="300">
        <f t="shared" si="422"/>
        <v>1.1000000000000001</v>
      </c>
      <c r="L3114" s="300">
        <f t="shared" si="419"/>
        <v>0</v>
      </c>
      <c r="M3114" s="285">
        <f t="shared" si="420"/>
        <v>0</v>
      </c>
      <c r="N3114" s="1076">
        <f t="shared" si="421"/>
        <v>0</v>
      </c>
      <c r="O3114" s="294"/>
      <c r="P3114" s="404"/>
      <c r="Q3114" s="404"/>
      <c r="R3114" s="301"/>
      <c r="S3114" s="301"/>
      <c r="T3114" s="301"/>
      <c r="U3114" s="301"/>
      <c r="V3114" s="301"/>
    </row>
    <row r="3115" spans="1:22" ht="14.4" thickTop="1" thickBot="1" x14ac:dyDescent="0.3">
      <c r="A3115" s="292"/>
      <c r="B3115" s="293"/>
      <c r="C3115" s="294"/>
      <c r="D3115" s="294"/>
      <c r="E3115" s="294"/>
      <c r="F3115" s="310"/>
      <c r="G3115" s="310"/>
      <c r="H3115" s="310"/>
      <c r="I3115" s="295"/>
      <c r="J3115" s="295"/>
      <c r="K3115" s="300">
        <f t="shared" si="422"/>
        <v>1.1000000000000001</v>
      </c>
      <c r="L3115" s="300">
        <f t="shared" si="419"/>
        <v>0</v>
      </c>
      <c r="M3115" s="285">
        <f t="shared" si="420"/>
        <v>0</v>
      </c>
      <c r="N3115" s="1076">
        <f t="shared" si="421"/>
        <v>0</v>
      </c>
      <c r="O3115" s="294"/>
      <c r="P3115" s="404"/>
      <c r="Q3115" s="404"/>
      <c r="R3115" s="301"/>
      <c r="S3115" s="301"/>
      <c r="T3115" s="301"/>
      <c r="U3115" s="301"/>
      <c r="V3115" s="301"/>
    </row>
    <row r="3116" spans="1:22" ht="14.4" thickTop="1" thickBot="1" x14ac:dyDescent="0.3">
      <c r="A3116" s="292"/>
      <c r="B3116" s="293"/>
      <c r="C3116" s="294"/>
      <c r="D3116" s="294"/>
      <c r="E3116" s="294"/>
      <c r="F3116" s="310"/>
      <c r="G3116" s="310"/>
      <c r="H3116" s="310"/>
      <c r="I3116" s="295"/>
      <c r="J3116" s="295"/>
      <c r="K3116" s="300">
        <f t="shared" si="422"/>
        <v>1.1000000000000001</v>
      </c>
      <c r="L3116" s="300">
        <f t="shared" si="419"/>
        <v>0</v>
      </c>
      <c r="M3116" s="285">
        <f t="shared" si="420"/>
        <v>0</v>
      </c>
      <c r="N3116" s="1076">
        <f t="shared" si="421"/>
        <v>0</v>
      </c>
      <c r="O3116" s="294"/>
      <c r="P3116" s="404"/>
      <c r="Q3116" s="404"/>
      <c r="R3116" s="301"/>
      <c r="S3116" s="301"/>
      <c r="T3116" s="301"/>
      <c r="U3116" s="301"/>
      <c r="V3116" s="301"/>
    </row>
    <row r="3117" spans="1:22" ht="14.4" thickTop="1" thickBot="1" x14ac:dyDescent="0.3">
      <c r="A3117" s="292"/>
      <c r="B3117" s="293"/>
      <c r="C3117" s="294"/>
      <c r="D3117" s="294"/>
      <c r="E3117" s="294"/>
      <c r="F3117" s="310"/>
      <c r="G3117" s="310"/>
      <c r="H3117" s="310"/>
      <c r="I3117" s="295"/>
      <c r="J3117" s="295"/>
      <c r="K3117" s="300">
        <f t="shared" si="422"/>
        <v>1.1000000000000001</v>
      </c>
      <c r="L3117" s="300">
        <f t="shared" si="419"/>
        <v>0</v>
      </c>
      <c r="M3117" s="285">
        <f t="shared" si="420"/>
        <v>0</v>
      </c>
      <c r="N3117" s="1076">
        <f t="shared" si="421"/>
        <v>0</v>
      </c>
      <c r="O3117" s="294"/>
      <c r="P3117" s="404"/>
      <c r="Q3117" s="404"/>
      <c r="R3117" s="301"/>
      <c r="S3117" s="301"/>
      <c r="T3117" s="301"/>
      <c r="U3117" s="301"/>
      <c r="V3117" s="301"/>
    </row>
    <row r="3118" spans="1:22" ht="14.4" thickTop="1" thickBot="1" x14ac:dyDescent="0.3">
      <c r="A3118" s="292"/>
      <c r="B3118" s="293"/>
      <c r="C3118" s="294"/>
      <c r="D3118" s="294"/>
      <c r="E3118" s="294"/>
      <c r="F3118" s="310"/>
      <c r="G3118" s="310"/>
      <c r="H3118" s="310"/>
      <c r="I3118" s="295"/>
      <c r="J3118" s="295"/>
      <c r="K3118" s="300">
        <f t="shared" si="422"/>
        <v>1.1000000000000001</v>
      </c>
      <c r="L3118" s="300">
        <f t="shared" ref="L3118:L3337" si="423">K3118*J3118</f>
        <v>0</v>
      </c>
      <c r="M3118" s="285">
        <f t="shared" si="420"/>
        <v>0</v>
      </c>
      <c r="N3118" s="1076">
        <f t="shared" si="421"/>
        <v>0</v>
      </c>
      <c r="O3118" s="294"/>
      <c r="P3118" s="404"/>
      <c r="Q3118" s="404"/>
      <c r="R3118" s="301"/>
      <c r="S3118" s="301"/>
      <c r="T3118" s="301"/>
      <c r="U3118" s="301"/>
      <c r="V3118" s="301"/>
    </row>
    <row r="3119" spans="1:22" ht="14.4" thickTop="1" thickBot="1" x14ac:dyDescent="0.3">
      <c r="A3119" s="292"/>
      <c r="B3119" s="293"/>
      <c r="C3119" s="294"/>
      <c r="D3119" s="294"/>
      <c r="E3119" s="294"/>
      <c r="F3119" s="310"/>
      <c r="G3119" s="310"/>
      <c r="H3119" s="310"/>
      <c r="I3119" s="295"/>
      <c r="J3119" s="295"/>
      <c r="K3119" s="300">
        <f t="shared" si="422"/>
        <v>1.1000000000000001</v>
      </c>
      <c r="L3119" s="300">
        <f t="shared" si="423"/>
        <v>0</v>
      </c>
      <c r="M3119" s="285">
        <f t="shared" si="420"/>
        <v>0</v>
      </c>
      <c r="N3119" s="1076">
        <f t="shared" si="421"/>
        <v>0</v>
      </c>
      <c r="O3119" s="294"/>
      <c r="P3119" s="404"/>
      <c r="Q3119" s="404"/>
      <c r="R3119" s="301"/>
      <c r="S3119" s="301"/>
      <c r="T3119" s="301"/>
      <c r="U3119" s="301"/>
      <c r="V3119" s="301"/>
    </row>
    <row r="3120" spans="1:22" ht="14.4" thickTop="1" thickBot="1" x14ac:dyDescent="0.3">
      <c r="A3120" s="292"/>
      <c r="B3120" s="293"/>
      <c r="C3120" s="294"/>
      <c r="D3120" s="294"/>
      <c r="E3120" s="294"/>
      <c r="F3120" s="310"/>
      <c r="G3120" s="310"/>
      <c r="H3120" s="310"/>
      <c r="I3120" s="295"/>
      <c r="J3120" s="295"/>
      <c r="K3120" s="300">
        <f t="shared" si="422"/>
        <v>1.1000000000000001</v>
      </c>
      <c r="L3120" s="300">
        <f t="shared" si="423"/>
        <v>0</v>
      </c>
      <c r="M3120" s="285">
        <f t="shared" ref="M3120:M3337" si="424">ROUND(L3120,1)</f>
        <v>0</v>
      </c>
      <c r="N3120" s="1076">
        <f t="shared" ref="N3120:N3337" si="425">ROUNDUP(M3120,0)</f>
        <v>0</v>
      </c>
      <c r="O3120" s="294"/>
      <c r="P3120" s="404"/>
      <c r="Q3120" s="404"/>
      <c r="R3120" s="301"/>
      <c r="S3120" s="301"/>
      <c r="T3120" s="301"/>
      <c r="U3120" s="301"/>
      <c r="V3120" s="301"/>
    </row>
    <row r="3121" spans="1:22" ht="14.4" thickTop="1" thickBot="1" x14ac:dyDescent="0.3">
      <c r="A3121" s="292"/>
      <c r="B3121" s="293"/>
      <c r="C3121" s="294"/>
      <c r="D3121" s="294"/>
      <c r="E3121" s="294"/>
      <c r="F3121" s="310"/>
      <c r="G3121" s="310"/>
      <c r="H3121" s="310"/>
      <c r="I3121" s="295"/>
      <c r="J3121" s="295"/>
      <c r="K3121" s="300">
        <f t="shared" si="422"/>
        <v>1.1000000000000001</v>
      </c>
      <c r="L3121" s="300">
        <f t="shared" si="423"/>
        <v>0</v>
      </c>
      <c r="M3121" s="285">
        <f t="shared" si="424"/>
        <v>0</v>
      </c>
      <c r="N3121" s="1076">
        <f t="shared" si="425"/>
        <v>0</v>
      </c>
      <c r="O3121" s="294"/>
      <c r="P3121" s="404"/>
      <c r="Q3121" s="404"/>
      <c r="R3121" s="301"/>
      <c r="S3121" s="301"/>
      <c r="T3121" s="301"/>
      <c r="U3121" s="301"/>
      <c r="V3121" s="301"/>
    </row>
    <row r="3122" spans="1:22" ht="14.4" thickTop="1" thickBot="1" x14ac:dyDescent="0.3">
      <c r="A3122" s="292"/>
      <c r="B3122" s="293"/>
      <c r="C3122" s="294"/>
      <c r="D3122" s="294"/>
      <c r="E3122" s="294"/>
      <c r="F3122" s="310"/>
      <c r="G3122" s="310"/>
      <c r="H3122" s="310"/>
      <c r="I3122" s="295"/>
      <c r="J3122" s="295"/>
      <c r="K3122" s="300">
        <f t="shared" si="422"/>
        <v>1.1000000000000001</v>
      </c>
      <c r="L3122" s="300">
        <f t="shared" si="423"/>
        <v>0</v>
      </c>
      <c r="M3122" s="285">
        <f t="shared" si="424"/>
        <v>0</v>
      </c>
      <c r="N3122" s="1076">
        <f t="shared" si="425"/>
        <v>0</v>
      </c>
      <c r="O3122" s="294"/>
      <c r="P3122" s="404"/>
      <c r="Q3122" s="404"/>
      <c r="R3122" s="301"/>
      <c r="S3122" s="301"/>
      <c r="T3122" s="301"/>
      <c r="U3122" s="301"/>
      <c r="V3122" s="301"/>
    </row>
    <row r="3123" spans="1:22" ht="14.4" thickTop="1" thickBot="1" x14ac:dyDescent="0.3">
      <c r="A3123" s="292"/>
      <c r="B3123" s="293"/>
      <c r="C3123" s="294"/>
      <c r="D3123" s="294"/>
      <c r="E3123" s="294"/>
      <c r="F3123" s="310"/>
      <c r="G3123" s="310"/>
      <c r="H3123" s="310"/>
      <c r="I3123" s="295"/>
      <c r="J3123" s="295"/>
      <c r="K3123" s="300">
        <f t="shared" si="422"/>
        <v>1.1000000000000001</v>
      </c>
      <c r="L3123" s="300">
        <f t="shared" si="423"/>
        <v>0</v>
      </c>
      <c r="M3123" s="285">
        <f t="shared" si="424"/>
        <v>0</v>
      </c>
      <c r="N3123" s="1076">
        <f t="shared" si="425"/>
        <v>0</v>
      </c>
      <c r="O3123" s="294"/>
      <c r="P3123" s="404"/>
      <c r="Q3123" s="404"/>
      <c r="R3123" s="301"/>
      <c r="S3123" s="301"/>
      <c r="T3123" s="301"/>
      <c r="U3123" s="301"/>
      <c r="V3123" s="301"/>
    </row>
    <row r="3124" spans="1:22" ht="14.4" thickTop="1" thickBot="1" x14ac:dyDescent="0.3">
      <c r="A3124" s="292"/>
      <c r="B3124" s="293"/>
      <c r="C3124" s="294"/>
      <c r="D3124" s="294"/>
      <c r="E3124" s="294"/>
      <c r="F3124" s="310"/>
      <c r="G3124" s="310"/>
      <c r="H3124" s="310"/>
      <c r="I3124" s="295"/>
      <c r="J3124" s="295"/>
      <c r="K3124" s="300">
        <f t="shared" si="422"/>
        <v>1.1000000000000001</v>
      </c>
      <c r="L3124" s="300">
        <f t="shared" si="423"/>
        <v>0</v>
      </c>
      <c r="M3124" s="285">
        <f t="shared" si="424"/>
        <v>0</v>
      </c>
      <c r="N3124" s="1076">
        <f t="shared" si="425"/>
        <v>0</v>
      </c>
      <c r="O3124" s="294"/>
      <c r="P3124" s="404"/>
      <c r="Q3124" s="404"/>
      <c r="R3124" s="301"/>
      <c r="S3124" s="301"/>
      <c r="T3124" s="301"/>
      <c r="U3124" s="301"/>
      <c r="V3124" s="301"/>
    </row>
    <row r="3125" spans="1:22" ht="14.4" thickTop="1" thickBot="1" x14ac:dyDescent="0.3">
      <c r="A3125" s="292"/>
      <c r="B3125" s="293"/>
      <c r="C3125" s="294"/>
      <c r="D3125" s="294"/>
      <c r="E3125" s="294"/>
      <c r="F3125" s="310"/>
      <c r="G3125" s="310"/>
      <c r="H3125" s="310"/>
      <c r="I3125" s="295"/>
      <c r="J3125" s="295"/>
      <c r="K3125" s="300">
        <f t="shared" si="422"/>
        <v>1.1000000000000001</v>
      </c>
      <c r="L3125" s="300">
        <f t="shared" si="423"/>
        <v>0</v>
      </c>
      <c r="M3125" s="285">
        <f t="shared" si="424"/>
        <v>0</v>
      </c>
      <c r="N3125" s="1076">
        <f t="shared" si="425"/>
        <v>0</v>
      </c>
      <c r="O3125" s="294"/>
      <c r="P3125" s="404"/>
      <c r="Q3125" s="404"/>
      <c r="R3125" s="301"/>
      <c r="S3125" s="301"/>
      <c r="T3125" s="301"/>
      <c r="U3125" s="301"/>
      <c r="V3125" s="301"/>
    </row>
    <row r="3126" spans="1:22" ht="14.4" thickTop="1" thickBot="1" x14ac:dyDescent="0.3">
      <c r="A3126" s="292"/>
      <c r="B3126" s="293"/>
      <c r="C3126" s="294"/>
      <c r="D3126" s="294"/>
      <c r="E3126" s="294"/>
      <c r="F3126" s="310"/>
      <c r="G3126" s="310"/>
      <c r="H3126" s="310"/>
      <c r="I3126" s="295"/>
      <c r="J3126" s="295"/>
      <c r="K3126" s="300">
        <f t="shared" si="422"/>
        <v>1.1000000000000001</v>
      </c>
      <c r="L3126" s="300">
        <f t="shared" si="423"/>
        <v>0</v>
      </c>
      <c r="M3126" s="285">
        <f t="shared" si="424"/>
        <v>0</v>
      </c>
      <c r="N3126" s="1076">
        <f t="shared" si="425"/>
        <v>0</v>
      </c>
      <c r="O3126" s="294"/>
      <c r="P3126" s="404"/>
      <c r="Q3126" s="404"/>
      <c r="R3126" s="301"/>
      <c r="S3126" s="301"/>
      <c r="T3126" s="301"/>
      <c r="U3126" s="301"/>
      <c r="V3126" s="301"/>
    </row>
    <row r="3127" spans="1:22" ht="14.4" thickTop="1" thickBot="1" x14ac:dyDescent="0.3">
      <c r="A3127" s="292"/>
      <c r="B3127" s="293"/>
      <c r="C3127" s="294"/>
      <c r="D3127" s="294"/>
      <c r="E3127" s="294"/>
      <c r="F3127" s="310"/>
      <c r="G3127" s="310"/>
      <c r="H3127" s="310"/>
      <c r="I3127" s="295"/>
      <c r="J3127" s="295"/>
      <c r="K3127" s="300">
        <f t="shared" si="422"/>
        <v>1.1000000000000001</v>
      </c>
      <c r="L3127" s="300">
        <f t="shared" si="423"/>
        <v>0</v>
      </c>
      <c r="M3127" s="285">
        <f t="shared" si="424"/>
        <v>0</v>
      </c>
      <c r="N3127" s="1076">
        <f t="shared" si="425"/>
        <v>0</v>
      </c>
      <c r="O3127" s="294"/>
      <c r="P3127" s="404"/>
      <c r="Q3127" s="404"/>
      <c r="R3127" s="301"/>
      <c r="S3127" s="301"/>
      <c r="T3127" s="301"/>
      <c r="U3127" s="301"/>
      <c r="V3127" s="301"/>
    </row>
    <row r="3128" spans="1:22" ht="14.4" thickTop="1" thickBot="1" x14ac:dyDescent="0.3">
      <c r="A3128" s="292"/>
      <c r="B3128" s="293"/>
      <c r="C3128" s="294"/>
      <c r="D3128" s="294"/>
      <c r="E3128" s="294"/>
      <c r="F3128" s="310"/>
      <c r="G3128" s="310"/>
      <c r="H3128" s="310"/>
      <c r="I3128" s="295"/>
      <c r="J3128" s="295"/>
      <c r="K3128" s="300">
        <f t="shared" si="422"/>
        <v>1.1000000000000001</v>
      </c>
      <c r="L3128" s="300">
        <f t="shared" si="423"/>
        <v>0</v>
      </c>
      <c r="M3128" s="285">
        <f t="shared" si="424"/>
        <v>0</v>
      </c>
      <c r="N3128" s="1076">
        <f t="shared" si="425"/>
        <v>0</v>
      </c>
      <c r="O3128" s="294"/>
      <c r="P3128" s="404"/>
      <c r="Q3128" s="404"/>
      <c r="R3128" s="301"/>
      <c r="S3128" s="301"/>
      <c r="T3128" s="301"/>
      <c r="U3128" s="301"/>
      <c r="V3128" s="301"/>
    </row>
    <row r="3129" spans="1:22" ht="14.4" thickTop="1" thickBot="1" x14ac:dyDescent="0.3">
      <c r="A3129" s="292"/>
      <c r="B3129" s="293"/>
      <c r="C3129" s="294"/>
      <c r="D3129" s="294"/>
      <c r="E3129" s="294"/>
      <c r="F3129" s="310"/>
      <c r="G3129" s="310"/>
      <c r="H3129" s="310"/>
      <c r="I3129" s="295"/>
      <c r="J3129" s="295"/>
      <c r="K3129" s="300">
        <f t="shared" si="422"/>
        <v>1.1000000000000001</v>
      </c>
      <c r="L3129" s="300">
        <f t="shared" si="423"/>
        <v>0</v>
      </c>
      <c r="M3129" s="285">
        <f t="shared" si="424"/>
        <v>0</v>
      </c>
      <c r="N3129" s="1076">
        <f t="shared" si="425"/>
        <v>0</v>
      </c>
      <c r="O3129" s="294"/>
      <c r="P3129" s="404"/>
      <c r="Q3129" s="404"/>
      <c r="R3129" s="301"/>
      <c r="S3129" s="301"/>
      <c r="T3129" s="301"/>
      <c r="U3129" s="301"/>
      <c r="V3129" s="301"/>
    </row>
    <row r="3130" spans="1:22" ht="14.4" thickTop="1" thickBot="1" x14ac:dyDescent="0.3">
      <c r="A3130" s="292"/>
      <c r="B3130" s="293"/>
      <c r="C3130" s="294"/>
      <c r="D3130" s="294"/>
      <c r="E3130" s="294"/>
      <c r="F3130" s="310"/>
      <c r="G3130" s="310"/>
      <c r="H3130" s="310"/>
      <c r="I3130" s="295"/>
      <c r="J3130" s="295"/>
      <c r="K3130" s="300">
        <f t="shared" si="422"/>
        <v>1.1000000000000001</v>
      </c>
      <c r="L3130" s="300">
        <f t="shared" si="423"/>
        <v>0</v>
      </c>
      <c r="M3130" s="285">
        <f t="shared" si="424"/>
        <v>0</v>
      </c>
      <c r="N3130" s="1076">
        <f t="shared" si="425"/>
        <v>0</v>
      </c>
      <c r="O3130" s="294"/>
      <c r="P3130" s="404"/>
      <c r="Q3130" s="404"/>
      <c r="R3130" s="301"/>
      <c r="S3130" s="301"/>
      <c r="T3130" s="301"/>
      <c r="U3130" s="301"/>
      <c r="V3130" s="301"/>
    </row>
    <row r="3131" spans="1:22" ht="14.4" thickTop="1" thickBot="1" x14ac:dyDescent="0.3">
      <c r="A3131" s="292"/>
      <c r="B3131" s="293"/>
      <c r="C3131" s="294"/>
      <c r="D3131" s="294"/>
      <c r="E3131" s="294"/>
      <c r="F3131" s="310"/>
      <c r="G3131" s="310"/>
      <c r="H3131" s="310"/>
      <c r="I3131" s="295"/>
      <c r="J3131" s="295"/>
      <c r="K3131" s="300">
        <f t="shared" si="422"/>
        <v>1.1000000000000001</v>
      </c>
      <c r="L3131" s="300">
        <f t="shared" si="423"/>
        <v>0</v>
      </c>
      <c r="M3131" s="285">
        <f t="shared" si="424"/>
        <v>0</v>
      </c>
      <c r="N3131" s="1076">
        <f t="shared" si="425"/>
        <v>0</v>
      </c>
      <c r="O3131" s="294"/>
      <c r="P3131" s="404"/>
      <c r="Q3131" s="404"/>
      <c r="R3131" s="301"/>
      <c r="S3131" s="301"/>
      <c r="T3131" s="301"/>
      <c r="U3131" s="301"/>
      <c r="V3131" s="301"/>
    </row>
    <row r="3132" spans="1:22" ht="14.4" thickTop="1" thickBot="1" x14ac:dyDescent="0.3">
      <c r="A3132" s="292"/>
      <c r="B3132" s="293"/>
      <c r="C3132" s="294"/>
      <c r="D3132" s="294"/>
      <c r="E3132" s="294"/>
      <c r="F3132" s="310"/>
      <c r="G3132" s="310"/>
      <c r="H3132" s="310"/>
      <c r="I3132" s="295"/>
      <c r="J3132" s="295"/>
      <c r="K3132" s="300">
        <f t="shared" si="422"/>
        <v>1.1000000000000001</v>
      </c>
      <c r="L3132" s="300">
        <f t="shared" si="423"/>
        <v>0</v>
      </c>
      <c r="M3132" s="285">
        <f t="shared" si="424"/>
        <v>0</v>
      </c>
      <c r="N3132" s="1076">
        <f t="shared" si="425"/>
        <v>0</v>
      </c>
      <c r="O3132" s="294"/>
      <c r="P3132" s="404"/>
      <c r="Q3132" s="404"/>
      <c r="R3132" s="301"/>
      <c r="S3132" s="301"/>
      <c r="T3132" s="301"/>
      <c r="U3132" s="301"/>
      <c r="V3132" s="301"/>
    </row>
    <row r="3133" spans="1:22" ht="14.4" thickTop="1" thickBot="1" x14ac:dyDescent="0.3">
      <c r="A3133" s="292"/>
      <c r="B3133" s="293"/>
      <c r="C3133" s="294"/>
      <c r="D3133" s="294"/>
      <c r="E3133" s="294"/>
      <c r="F3133" s="310"/>
      <c r="G3133" s="310"/>
      <c r="H3133" s="310"/>
      <c r="I3133" s="295"/>
      <c r="J3133" s="295"/>
      <c r="K3133" s="300">
        <f t="shared" si="422"/>
        <v>1.1000000000000001</v>
      </c>
      <c r="L3133" s="300">
        <f t="shared" si="423"/>
        <v>0</v>
      </c>
      <c r="M3133" s="285">
        <f t="shared" si="424"/>
        <v>0</v>
      </c>
      <c r="N3133" s="1076">
        <f t="shared" si="425"/>
        <v>0</v>
      </c>
      <c r="O3133" s="294"/>
      <c r="P3133" s="404"/>
      <c r="Q3133" s="404"/>
      <c r="R3133" s="301"/>
      <c r="S3133" s="301"/>
      <c r="T3133" s="301"/>
      <c r="U3133" s="301"/>
      <c r="V3133" s="301"/>
    </row>
    <row r="3134" spans="1:22" ht="14.4" thickTop="1" thickBot="1" x14ac:dyDescent="0.3">
      <c r="A3134" s="292"/>
      <c r="B3134" s="293"/>
      <c r="C3134" s="294"/>
      <c r="D3134" s="294"/>
      <c r="E3134" s="294"/>
      <c r="F3134" s="310"/>
      <c r="G3134" s="310"/>
      <c r="H3134" s="310"/>
      <c r="I3134" s="295"/>
      <c r="J3134" s="295"/>
      <c r="K3134" s="300">
        <f t="shared" si="422"/>
        <v>1.1000000000000001</v>
      </c>
      <c r="L3134" s="300">
        <f t="shared" si="423"/>
        <v>0</v>
      </c>
      <c r="M3134" s="285">
        <f t="shared" si="424"/>
        <v>0</v>
      </c>
      <c r="N3134" s="1076">
        <f t="shared" si="425"/>
        <v>0</v>
      </c>
      <c r="O3134" s="294"/>
      <c r="P3134" s="404"/>
      <c r="Q3134" s="404"/>
      <c r="R3134" s="301"/>
      <c r="S3134" s="301"/>
      <c r="T3134" s="301"/>
      <c r="U3134" s="301"/>
      <c r="V3134" s="301"/>
    </row>
    <row r="3135" spans="1:22" ht="14.4" thickTop="1" thickBot="1" x14ac:dyDescent="0.3">
      <c r="A3135" s="292"/>
      <c r="B3135" s="293"/>
      <c r="C3135" s="294"/>
      <c r="D3135" s="294"/>
      <c r="E3135" s="294"/>
      <c r="F3135" s="310"/>
      <c r="G3135" s="310"/>
      <c r="H3135" s="310"/>
      <c r="I3135" s="295"/>
      <c r="J3135" s="295"/>
      <c r="K3135" s="300">
        <f t="shared" si="422"/>
        <v>1.1000000000000001</v>
      </c>
      <c r="L3135" s="300">
        <f t="shared" si="423"/>
        <v>0</v>
      </c>
      <c r="M3135" s="285">
        <f t="shared" si="424"/>
        <v>0</v>
      </c>
      <c r="N3135" s="1076">
        <f t="shared" si="425"/>
        <v>0</v>
      </c>
      <c r="O3135" s="294"/>
      <c r="P3135" s="404"/>
      <c r="Q3135" s="404"/>
      <c r="R3135" s="301"/>
      <c r="S3135" s="301"/>
      <c r="T3135" s="301"/>
      <c r="U3135" s="301"/>
      <c r="V3135" s="301"/>
    </row>
    <row r="3136" spans="1:22" ht="14.4" thickTop="1" thickBot="1" x14ac:dyDescent="0.3">
      <c r="A3136" s="292"/>
      <c r="B3136" s="293"/>
      <c r="C3136" s="294"/>
      <c r="D3136" s="294"/>
      <c r="E3136" s="294"/>
      <c r="F3136" s="310"/>
      <c r="G3136" s="310"/>
      <c r="H3136" s="310"/>
      <c r="I3136" s="295"/>
      <c r="J3136" s="295"/>
      <c r="K3136" s="300"/>
      <c r="L3136" s="300"/>
      <c r="M3136" s="285"/>
      <c r="N3136" s="1076"/>
      <c r="O3136" s="294"/>
      <c r="P3136" s="404"/>
      <c r="Q3136" s="404"/>
      <c r="R3136" s="301"/>
      <c r="S3136" s="301"/>
      <c r="T3136" s="301"/>
      <c r="U3136" s="301"/>
      <c r="V3136" s="301"/>
    </row>
    <row r="3137" spans="1:22" ht="14.4" thickTop="1" thickBot="1" x14ac:dyDescent="0.3">
      <c r="A3137" s="292"/>
      <c r="B3137" s="293"/>
      <c r="C3137" s="294"/>
      <c r="D3137" s="294"/>
      <c r="E3137" s="294"/>
      <c r="F3137" s="310"/>
      <c r="G3137" s="310"/>
      <c r="H3137" s="310"/>
      <c r="I3137" s="295"/>
      <c r="J3137" s="295"/>
      <c r="K3137" s="300"/>
      <c r="L3137" s="300"/>
      <c r="M3137" s="285"/>
      <c r="N3137" s="1076"/>
      <c r="O3137" s="294"/>
      <c r="P3137" s="404"/>
      <c r="Q3137" s="404"/>
      <c r="R3137" s="301"/>
      <c r="S3137" s="301"/>
      <c r="T3137" s="301"/>
      <c r="U3137" s="301"/>
      <c r="V3137" s="301"/>
    </row>
    <row r="3138" spans="1:22" ht="14.4" thickTop="1" thickBot="1" x14ac:dyDescent="0.3">
      <c r="A3138" s="292"/>
      <c r="B3138" s="293"/>
      <c r="C3138" s="294"/>
      <c r="D3138" s="294"/>
      <c r="E3138" s="294"/>
      <c r="F3138" s="310"/>
      <c r="G3138" s="310"/>
      <c r="H3138" s="310"/>
      <c r="I3138" s="295"/>
      <c r="J3138" s="295"/>
      <c r="K3138" s="300"/>
      <c r="L3138" s="300"/>
      <c r="M3138" s="285"/>
      <c r="N3138" s="1076"/>
      <c r="O3138" s="294"/>
      <c r="P3138" s="404"/>
      <c r="Q3138" s="404"/>
      <c r="R3138" s="301"/>
      <c r="S3138" s="301"/>
      <c r="T3138" s="301"/>
      <c r="U3138" s="301"/>
      <c r="V3138" s="301"/>
    </row>
    <row r="3139" spans="1:22" ht="14.4" thickTop="1" thickBot="1" x14ac:dyDescent="0.3">
      <c r="A3139" s="292"/>
      <c r="B3139" s="293"/>
      <c r="C3139" s="294"/>
      <c r="D3139" s="294"/>
      <c r="E3139" s="294"/>
      <c r="F3139" s="310"/>
      <c r="G3139" s="310"/>
      <c r="H3139" s="310"/>
      <c r="I3139" s="295"/>
      <c r="J3139" s="295"/>
      <c r="K3139" s="300"/>
      <c r="L3139" s="300"/>
      <c r="M3139" s="285"/>
      <c r="N3139" s="1076"/>
      <c r="O3139" s="294"/>
      <c r="P3139" s="404"/>
      <c r="Q3139" s="404"/>
      <c r="R3139" s="301"/>
      <c r="S3139" s="301"/>
      <c r="T3139" s="301"/>
      <c r="U3139" s="301"/>
      <c r="V3139" s="301"/>
    </row>
    <row r="3140" spans="1:22" ht="14.4" thickTop="1" thickBot="1" x14ac:dyDescent="0.3">
      <c r="A3140" s="292"/>
      <c r="B3140" s="293"/>
      <c r="C3140" s="294"/>
      <c r="D3140" s="294"/>
      <c r="E3140" s="294"/>
      <c r="F3140" s="310"/>
      <c r="G3140" s="310"/>
      <c r="H3140" s="310"/>
      <c r="I3140" s="295"/>
      <c r="J3140" s="295"/>
      <c r="K3140" s="300"/>
      <c r="L3140" s="300"/>
      <c r="M3140" s="285"/>
      <c r="N3140" s="1076"/>
      <c r="O3140" s="294"/>
      <c r="P3140" s="404"/>
      <c r="Q3140" s="404"/>
      <c r="R3140" s="301"/>
      <c r="S3140" s="301"/>
      <c r="T3140" s="301"/>
      <c r="U3140" s="301"/>
      <c r="V3140" s="301"/>
    </row>
    <row r="3141" spans="1:22" ht="14.4" thickTop="1" thickBot="1" x14ac:dyDescent="0.3">
      <c r="A3141" s="292"/>
      <c r="B3141" s="293"/>
      <c r="C3141" s="294"/>
      <c r="D3141" s="294"/>
      <c r="E3141" s="294"/>
      <c r="F3141" s="310"/>
      <c r="G3141" s="310"/>
      <c r="H3141" s="310"/>
      <c r="I3141" s="295"/>
      <c r="J3141" s="295"/>
      <c r="K3141" s="300"/>
      <c r="L3141" s="300"/>
      <c r="M3141" s="285"/>
      <c r="N3141" s="1076"/>
      <c r="O3141" s="294"/>
      <c r="P3141" s="404"/>
      <c r="Q3141" s="404"/>
      <c r="R3141" s="301"/>
      <c r="S3141" s="301"/>
      <c r="T3141" s="301"/>
      <c r="U3141" s="301"/>
      <c r="V3141" s="301"/>
    </row>
    <row r="3142" spans="1:22" ht="14.4" thickTop="1" thickBot="1" x14ac:dyDescent="0.3">
      <c r="A3142" s="292"/>
      <c r="B3142" s="293"/>
      <c r="C3142" s="294"/>
      <c r="D3142" s="294"/>
      <c r="E3142" s="294"/>
      <c r="F3142" s="310"/>
      <c r="G3142" s="310"/>
      <c r="H3142" s="310"/>
      <c r="I3142" s="295"/>
      <c r="J3142" s="295"/>
      <c r="K3142" s="300"/>
      <c r="L3142" s="300"/>
      <c r="M3142" s="285"/>
      <c r="N3142" s="1076"/>
      <c r="O3142" s="294"/>
      <c r="P3142" s="404"/>
      <c r="Q3142" s="404"/>
      <c r="R3142" s="301"/>
      <c r="S3142" s="301"/>
      <c r="T3142" s="301"/>
      <c r="U3142" s="301"/>
      <c r="V3142" s="301"/>
    </row>
    <row r="3143" spans="1:22" ht="14.4" thickTop="1" thickBot="1" x14ac:dyDescent="0.3">
      <c r="A3143" s="292"/>
      <c r="B3143" s="293"/>
      <c r="C3143" s="294"/>
      <c r="D3143" s="294"/>
      <c r="E3143" s="294"/>
      <c r="F3143" s="310"/>
      <c r="G3143" s="310"/>
      <c r="H3143" s="310"/>
      <c r="I3143" s="295"/>
      <c r="J3143" s="295"/>
      <c r="K3143" s="300"/>
      <c r="L3143" s="300"/>
      <c r="M3143" s="285"/>
      <c r="N3143" s="1076"/>
      <c r="O3143" s="294"/>
      <c r="P3143" s="404"/>
      <c r="Q3143" s="404"/>
      <c r="R3143" s="301"/>
      <c r="S3143" s="301"/>
      <c r="T3143" s="301"/>
      <c r="U3143" s="301"/>
      <c r="V3143" s="301"/>
    </row>
    <row r="3144" spans="1:22" ht="14.4" thickTop="1" thickBot="1" x14ac:dyDescent="0.3">
      <c r="A3144" s="292"/>
      <c r="B3144" s="293"/>
      <c r="C3144" s="294"/>
      <c r="D3144" s="294"/>
      <c r="E3144" s="294"/>
      <c r="F3144" s="310"/>
      <c r="G3144" s="310"/>
      <c r="H3144" s="310"/>
      <c r="I3144" s="295"/>
      <c r="J3144" s="295"/>
      <c r="K3144" s="300"/>
      <c r="L3144" s="300"/>
      <c r="M3144" s="285"/>
      <c r="N3144" s="1076"/>
      <c r="O3144" s="294"/>
      <c r="P3144" s="404"/>
      <c r="Q3144" s="404"/>
      <c r="R3144" s="301"/>
      <c r="S3144" s="301"/>
      <c r="T3144" s="301"/>
      <c r="U3144" s="301"/>
      <c r="V3144" s="301"/>
    </row>
    <row r="3145" spans="1:22" ht="14.4" thickTop="1" thickBot="1" x14ac:dyDescent="0.3">
      <c r="A3145" s="292"/>
      <c r="B3145" s="293"/>
      <c r="C3145" s="294"/>
      <c r="D3145" s="294"/>
      <c r="E3145" s="294"/>
      <c r="F3145" s="310"/>
      <c r="G3145" s="310"/>
      <c r="H3145" s="310"/>
      <c r="I3145" s="295"/>
      <c r="J3145" s="295"/>
      <c r="K3145" s="300"/>
      <c r="L3145" s="300"/>
      <c r="M3145" s="285"/>
      <c r="N3145" s="1076"/>
      <c r="O3145" s="294"/>
      <c r="P3145" s="404"/>
      <c r="Q3145" s="404"/>
      <c r="R3145" s="301"/>
      <c r="S3145" s="301"/>
      <c r="T3145" s="301"/>
      <c r="U3145" s="301"/>
      <c r="V3145" s="301"/>
    </row>
    <row r="3146" spans="1:22" ht="14.4" thickTop="1" thickBot="1" x14ac:dyDescent="0.3">
      <c r="A3146" s="292"/>
      <c r="B3146" s="293"/>
      <c r="C3146" s="294"/>
      <c r="D3146" s="294"/>
      <c r="E3146" s="294"/>
      <c r="F3146" s="310"/>
      <c r="G3146" s="310"/>
      <c r="H3146" s="310"/>
      <c r="I3146" s="295"/>
      <c r="J3146" s="295"/>
      <c r="K3146" s="300"/>
      <c r="L3146" s="300"/>
      <c r="M3146" s="285"/>
      <c r="N3146" s="1076"/>
      <c r="O3146" s="294"/>
      <c r="P3146" s="404"/>
      <c r="Q3146" s="404"/>
      <c r="R3146" s="301"/>
      <c r="S3146" s="301"/>
      <c r="T3146" s="301"/>
      <c r="U3146" s="301"/>
      <c r="V3146" s="301"/>
    </row>
    <row r="3147" spans="1:22" ht="14.4" thickTop="1" thickBot="1" x14ac:dyDescent="0.3">
      <c r="A3147" s="292"/>
      <c r="B3147" s="293"/>
      <c r="C3147" s="294"/>
      <c r="D3147" s="294"/>
      <c r="E3147" s="294"/>
      <c r="F3147" s="310"/>
      <c r="G3147" s="310"/>
      <c r="H3147" s="310"/>
      <c r="I3147" s="295"/>
      <c r="J3147" s="295"/>
      <c r="K3147" s="300"/>
      <c r="L3147" s="300"/>
      <c r="M3147" s="285"/>
      <c r="N3147" s="1076"/>
      <c r="O3147" s="294"/>
      <c r="P3147" s="404"/>
      <c r="Q3147" s="404"/>
      <c r="R3147" s="301"/>
      <c r="S3147" s="301"/>
      <c r="T3147" s="301"/>
      <c r="U3147" s="301"/>
      <c r="V3147" s="301"/>
    </row>
    <row r="3148" spans="1:22" ht="14.4" thickTop="1" thickBot="1" x14ac:dyDescent="0.3">
      <c r="A3148" s="292"/>
      <c r="B3148" s="293"/>
      <c r="C3148" s="294"/>
      <c r="D3148" s="294"/>
      <c r="E3148" s="294"/>
      <c r="F3148" s="310"/>
      <c r="G3148" s="310"/>
      <c r="H3148" s="310"/>
      <c r="I3148" s="295"/>
      <c r="J3148" s="295"/>
      <c r="K3148" s="300"/>
      <c r="L3148" s="300"/>
      <c r="M3148" s="285"/>
      <c r="N3148" s="1076"/>
      <c r="O3148" s="294"/>
      <c r="P3148" s="404"/>
      <c r="Q3148" s="404"/>
      <c r="R3148" s="301"/>
      <c r="S3148" s="301"/>
      <c r="T3148" s="301"/>
      <c r="U3148" s="301"/>
      <c r="V3148" s="301"/>
    </row>
    <row r="3149" spans="1:22" ht="14.4" thickTop="1" thickBot="1" x14ac:dyDescent="0.3">
      <c r="A3149" s="292"/>
      <c r="B3149" s="293"/>
      <c r="C3149" s="294"/>
      <c r="D3149" s="294"/>
      <c r="E3149" s="294"/>
      <c r="F3149" s="310"/>
      <c r="G3149" s="310"/>
      <c r="H3149" s="310"/>
      <c r="I3149" s="295"/>
      <c r="J3149" s="295"/>
      <c r="K3149" s="300"/>
      <c r="L3149" s="300"/>
      <c r="M3149" s="285"/>
      <c r="N3149" s="1076"/>
      <c r="O3149" s="294"/>
      <c r="P3149" s="404"/>
      <c r="Q3149" s="404"/>
      <c r="R3149" s="301"/>
      <c r="S3149" s="301"/>
      <c r="T3149" s="301"/>
      <c r="U3149" s="301"/>
      <c r="V3149" s="301"/>
    </row>
    <row r="3150" spans="1:22" ht="14.4" thickTop="1" thickBot="1" x14ac:dyDescent="0.3">
      <c r="A3150" s="292"/>
      <c r="B3150" s="293"/>
      <c r="C3150" s="294"/>
      <c r="D3150" s="294"/>
      <c r="E3150" s="294"/>
      <c r="F3150" s="310"/>
      <c r="G3150" s="310"/>
      <c r="H3150" s="310"/>
      <c r="I3150" s="295"/>
      <c r="J3150" s="295"/>
      <c r="K3150" s="300"/>
      <c r="L3150" s="300"/>
      <c r="M3150" s="285"/>
      <c r="N3150" s="1076"/>
      <c r="O3150" s="294"/>
      <c r="P3150" s="404"/>
      <c r="Q3150" s="404"/>
      <c r="R3150" s="301"/>
      <c r="S3150" s="301"/>
      <c r="T3150" s="301"/>
      <c r="U3150" s="301"/>
      <c r="V3150" s="301"/>
    </row>
    <row r="3151" spans="1:22" ht="14.4" thickTop="1" thickBot="1" x14ac:dyDescent="0.3">
      <c r="A3151" s="292"/>
      <c r="B3151" s="293"/>
      <c r="C3151" s="294"/>
      <c r="D3151" s="294"/>
      <c r="E3151" s="294"/>
      <c r="F3151" s="310"/>
      <c r="G3151" s="310"/>
      <c r="H3151" s="310"/>
      <c r="I3151" s="295"/>
      <c r="J3151" s="295"/>
      <c r="K3151" s="300"/>
      <c r="L3151" s="300"/>
      <c r="M3151" s="285"/>
      <c r="N3151" s="1076"/>
      <c r="O3151" s="294"/>
      <c r="P3151" s="404"/>
      <c r="Q3151" s="404"/>
      <c r="R3151" s="301"/>
      <c r="S3151" s="301"/>
      <c r="T3151" s="301"/>
      <c r="U3151" s="301"/>
      <c r="V3151" s="301"/>
    </row>
    <row r="3152" spans="1:22" ht="14.4" thickTop="1" thickBot="1" x14ac:dyDescent="0.3">
      <c r="A3152" s="292"/>
      <c r="B3152" s="293"/>
      <c r="C3152" s="294"/>
      <c r="D3152" s="294"/>
      <c r="E3152" s="294"/>
      <c r="F3152" s="310"/>
      <c r="G3152" s="310"/>
      <c r="H3152" s="310"/>
      <c r="I3152" s="295"/>
      <c r="J3152" s="295"/>
      <c r="K3152" s="300"/>
      <c r="L3152" s="300"/>
      <c r="M3152" s="285"/>
      <c r="N3152" s="1076"/>
      <c r="O3152" s="294"/>
      <c r="P3152" s="404"/>
      <c r="Q3152" s="404"/>
      <c r="R3152" s="301"/>
      <c r="S3152" s="301"/>
      <c r="T3152" s="301"/>
      <c r="U3152" s="301"/>
      <c r="V3152" s="301"/>
    </row>
    <row r="3153" spans="1:22" ht="14.4" thickTop="1" thickBot="1" x14ac:dyDescent="0.3">
      <c r="A3153" s="292"/>
      <c r="B3153" s="293"/>
      <c r="C3153" s="294"/>
      <c r="D3153" s="294"/>
      <c r="E3153" s="294"/>
      <c r="F3153" s="310"/>
      <c r="G3153" s="310"/>
      <c r="H3153" s="310"/>
      <c r="I3153" s="295"/>
      <c r="J3153" s="295"/>
      <c r="K3153" s="300"/>
      <c r="L3153" s="300"/>
      <c r="M3153" s="285"/>
      <c r="N3153" s="1076"/>
      <c r="O3153" s="294"/>
      <c r="P3153" s="404"/>
      <c r="Q3153" s="404"/>
      <c r="R3153" s="301"/>
      <c r="S3153" s="301"/>
      <c r="T3153" s="301"/>
      <c r="U3153" s="301"/>
      <c r="V3153" s="301"/>
    </row>
    <row r="3154" spans="1:22" ht="14.4" thickTop="1" thickBot="1" x14ac:dyDescent="0.3">
      <c r="A3154" s="292"/>
      <c r="B3154" s="293"/>
      <c r="C3154" s="294"/>
      <c r="D3154" s="294"/>
      <c r="E3154" s="294"/>
      <c r="F3154" s="310"/>
      <c r="G3154" s="310"/>
      <c r="H3154" s="310"/>
      <c r="I3154" s="295"/>
      <c r="J3154" s="295"/>
      <c r="K3154" s="300"/>
      <c r="L3154" s="300"/>
      <c r="M3154" s="285"/>
      <c r="N3154" s="1076"/>
      <c r="O3154" s="294"/>
      <c r="P3154" s="404"/>
      <c r="Q3154" s="404"/>
      <c r="R3154" s="301"/>
      <c r="S3154" s="301"/>
      <c r="T3154" s="301"/>
      <c r="U3154" s="301"/>
      <c r="V3154" s="301"/>
    </row>
    <row r="3155" spans="1:22" ht="14.4" thickTop="1" thickBot="1" x14ac:dyDescent="0.3">
      <c r="A3155" s="292"/>
      <c r="B3155" s="293"/>
      <c r="C3155" s="294"/>
      <c r="D3155" s="294"/>
      <c r="E3155" s="294"/>
      <c r="F3155" s="310"/>
      <c r="G3155" s="310"/>
      <c r="H3155" s="310"/>
      <c r="I3155" s="295"/>
      <c r="J3155" s="295"/>
      <c r="K3155" s="300"/>
      <c r="L3155" s="300"/>
      <c r="M3155" s="285"/>
      <c r="N3155" s="1076"/>
      <c r="O3155" s="294"/>
      <c r="P3155" s="404"/>
      <c r="Q3155" s="404"/>
      <c r="R3155" s="301"/>
      <c r="S3155" s="301"/>
      <c r="T3155" s="301"/>
      <c r="U3155" s="301"/>
      <c r="V3155" s="301"/>
    </row>
    <row r="3156" spans="1:22" ht="14.4" thickTop="1" thickBot="1" x14ac:dyDescent="0.3">
      <c r="A3156" s="292"/>
      <c r="B3156" s="293"/>
      <c r="C3156" s="294"/>
      <c r="D3156" s="294"/>
      <c r="E3156" s="294"/>
      <c r="F3156" s="310"/>
      <c r="G3156" s="310"/>
      <c r="H3156" s="310"/>
      <c r="I3156" s="295"/>
      <c r="J3156" s="295"/>
      <c r="K3156" s="300"/>
      <c r="L3156" s="300"/>
      <c r="M3156" s="285"/>
      <c r="N3156" s="1076"/>
      <c r="O3156" s="294"/>
      <c r="P3156" s="404"/>
      <c r="Q3156" s="404"/>
      <c r="R3156" s="301"/>
      <c r="S3156" s="301"/>
      <c r="T3156" s="301"/>
      <c r="U3156" s="301"/>
      <c r="V3156" s="301"/>
    </row>
    <row r="3157" spans="1:22" ht="14.4" thickTop="1" thickBot="1" x14ac:dyDescent="0.3">
      <c r="A3157" s="292"/>
      <c r="B3157" s="293"/>
      <c r="C3157" s="294"/>
      <c r="D3157" s="294"/>
      <c r="E3157" s="294"/>
      <c r="F3157" s="310"/>
      <c r="G3157" s="310"/>
      <c r="H3157" s="310"/>
      <c r="I3157" s="295"/>
      <c r="J3157" s="295"/>
      <c r="K3157" s="300"/>
      <c r="L3157" s="300"/>
      <c r="M3157" s="285"/>
      <c r="N3157" s="1076"/>
      <c r="O3157" s="294"/>
      <c r="P3157" s="404"/>
      <c r="Q3157" s="404"/>
      <c r="R3157" s="301"/>
      <c r="S3157" s="301"/>
      <c r="T3157" s="301"/>
      <c r="U3157" s="301"/>
      <c r="V3157" s="301"/>
    </row>
    <row r="3158" spans="1:22" ht="14.4" thickTop="1" thickBot="1" x14ac:dyDescent="0.3">
      <c r="A3158" s="292"/>
      <c r="B3158" s="293"/>
      <c r="C3158" s="294"/>
      <c r="D3158" s="294"/>
      <c r="E3158" s="294"/>
      <c r="F3158" s="310"/>
      <c r="G3158" s="310"/>
      <c r="H3158" s="310"/>
      <c r="I3158" s="295"/>
      <c r="J3158" s="295"/>
      <c r="K3158" s="300"/>
      <c r="L3158" s="300"/>
      <c r="M3158" s="285"/>
      <c r="N3158" s="1076"/>
      <c r="O3158" s="294"/>
      <c r="P3158" s="404"/>
      <c r="Q3158" s="404"/>
      <c r="R3158" s="301"/>
      <c r="S3158" s="301"/>
      <c r="T3158" s="301"/>
      <c r="U3158" s="301"/>
      <c r="V3158" s="301"/>
    </row>
    <row r="3159" spans="1:22" ht="14.4" thickTop="1" thickBot="1" x14ac:dyDescent="0.3">
      <c r="A3159" s="292"/>
      <c r="B3159" s="293"/>
      <c r="C3159" s="294"/>
      <c r="D3159" s="294"/>
      <c r="E3159" s="294"/>
      <c r="F3159" s="310"/>
      <c r="G3159" s="310"/>
      <c r="H3159" s="310"/>
      <c r="I3159" s="295"/>
      <c r="J3159" s="295"/>
      <c r="K3159" s="300"/>
      <c r="L3159" s="300"/>
      <c r="M3159" s="285"/>
      <c r="N3159" s="1076"/>
      <c r="O3159" s="294"/>
      <c r="P3159" s="404"/>
      <c r="Q3159" s="404"/>
      <c r="R3159" s="301"/>
      <c r="S3159" s="301"/>
      <c r="T3159" s="301"/>
      <c r="U3159" s="301"/>
      <c r="V3159" s="301"/>
    </row>
    <row r="3160" spans="1:22" ht="14.4" thickTop="1" thickBot="1" x14ac:dyDescent="0.3">
      <c r="A3160" s="292"/>
      <c r="B3160" s="293"/>
      <c r="C3160" s="294"/>
      <c r="D3160" s="294"/>
      <c r="E3160" s="294"/>
      <c r="F3160" s="310"/>
      <c r="G3160" s="310"/>
      <c r="H3160" s="310"/>
      <c r="I3160" s="295"/>
      <c r="J3160" s="295"/>
      <c r="K3160" s="300"/>
      <c r="L3160" s="300"/>
      <c r="M3160" s="285"/>
      <c r="N3160" s="1076"/>
      <c r="O3160" s="294"/>
      <c r="P3160" s="404"/>
      <c r="Q3160" s="404"/>
      <c r="R3160" s="301"/>
      <c r="S3160" s="301"/>
      <c r="T3160" s="301"/>
      <c r="U3160" s="301"/>
      <c r="V3160" s="301"/>
    </row>
    <row r="3161" spans="1:22" ht="14.4" thickTop="1" thickBot="1" x14ac:dyDescent="0.3">
      <c r="A3161" s="292"/>
      <c r="B3161" s="293"/>
      <c r="C3161" s="294"/>
      <c r="D3161" s="294"/>
      <c r="E3161" s="294"/>
      <c r="F3161" s="310"/>
      <c r="G3161" s="310"/>
      <c r="H3161" s="310"/>
      <c r="I3161" s="295"/>
      <c r="J3161" s="295"/>
      <c r="K3161" s="300"/>
      <c r="L3161" s="300"/>
      <c r="M3161" s="285"/>
      <c r="N3161" s="1076"/>
      <c r="O3161" s="294"/>
      <c r="P3161" s="404"/>
      <c r="Q3161" s="404"/>
      <c r="R3161" s="301"/>
      <c r="S3161" s="301"/>
      <c r="T3161" s="301"/>
      <c r="U3161" s="301"/>
      <c r="V3161" s="301"/>
    </row>
    <row r="3162" spans="1:22" ht="14.4" thickTop="1" thickBot="1" x14ac:dyDescent="0.3">
      <c r="A3162" s="292"/>
      <c r="B3162" s="293"/>
      <c r="C3162" s="294"/>
      <c r="D3162" s="294"/>
      <c r="E3162" s="294"/>
      <c r="F3162" s="310"/>
      <c r="G3162" s="310"/>
      <c r="H3162" s="310"/>
      <c r="I3162" s="295"/>
      <c r="J3162" s="295"/>
      <c r="K3162" s="300"/>
      <c r="L3162" s="300"/>
      <c r="M3162" s="285"/>
      <c r="N3162" s="1076"/>
      <c r="O3162" s="294"/>
      <c r="P3162" s="404"/>
      <c r="Q3162" s="404"/>
      <c r="R3162" s="301"/>
      <c r="S3162" s="301"/>
      <c r="T3162" s="301"/>
      <c r="U3162" s="301"/>
      <c r="V3162" s="301"/>
    </row>
    <row r="3163" spans="1:22" ht="14.4" thickTop="1" thickBot="1" x14ac:dyDescent="0.3">
      <c r="A3163" s="292"/>
      <c r="B3163" s="293"/>
      <c r="C3163" s="294"/>
      <c r="D3163" s="294"/>
      <c r="E3163" s="294"/>
      <c r="F3163" s="310"/>
      <c r="G3163" s="310"/>
      <c r="H3163" s="310"/>
      <c r="I3163" s="295"/>
      <c r="J3163" s="295"/>
      <c r="K3163" s="300"/>
      <c r="L3163" s="300"/>
      <c r="M3163" s="285"/>
      <c r="N3163" s="1076"/>
      <c r="O3163" s="294"/>
      <c r="P3163" s="404"/>
      <c r="Q3163" s="404"/>
      <c r="R3163" s="301"/>
      <c r="S3163" s="301"/>
      <c r="T3163" s="301"/>
      <c r="U3163" s="301"/>
      <c r="V3163" s="301"/>
    </row>
    <row r="3164" spans="1:22" ht="14.4" thickTop="1" thickBot="1" x14ac:dyDescent="0.3">
      <c r="A3164" s="292"/>
      <c r="B3164" s="293"/>
      <c r="C3164" s="294"/>
      <c r="D3164" s="294"/>
      <c r="E3164" s="294"/>
      <c r="F3164" s="310"/>
      <c r="G3164" s="310"/>
      <c r="H3164" s="310"/>
      <c r="I3164" s="295"/>
      <c r="J3164" s="295"/>
      <c r="K3164" s="300"/>
      <c r="L3164" s="300"/>
      <c r="M3164" s="285"/>
      <c r="N3164" s="1076"/>
      <c r="O3164" s="294"/>
      <c r="P3164" s="404"/>
      <c r="Q3164" s="404"/>
      <c r="R3164" s="301"/>
      <c r="S3164" s="301"/>
      <c r="T3164" s="301"/>
      <c r="U3164" s="301"/>
      <c r="V3164" s="301"/>
    </row>
    <row r="3165" spans="1:22" ht="14.4" thickTop="1" thickBot="1" x14ac:dyDescent="0.3">
      <c r="A3165" s="292"/>
      <c r="B3165" s="293"/>
      <c r="C3165" s="294"/>
      <c r="D3165" s="294"/>
      <c r="E3165" s="294"/>
      <c r="F3165" s="310"/>
      <c r="G3165" s="310"/>
      <c r="H3165" s="310"/>
      <c r="I3165" s="295"/>
      <c r="J3165" s="295"/>
      <c r="K3165" s="300"/>
      <c r="L3165" s="300"/>
      <c r="M3165" s="285"/>
      <c r="N3165" s="1076"/>
      <c r="O3165" s="294"/>
      <c r="P3165" s="404"/>
      <c r="Q3165" s="404"/>
      <c r="R3165" s="301"/>
      <c r="S3165" s="301"/>
      <c r="T3165" s="301"/>
      <c r="U3165" s="301"/>
      <c r="V3165" s="301"/>
    </row>
    <row r="3166" spans="1:22" ht="14.4" thickTop="1" thickBot="1" x14ac:dyDescent="0.3">
      <c r="A3166" s="292"/>
      <c r="B3166" s="293"/>
      <c r="C3166" s="294"/>
      <c r="D3166" s="294"/>
      <c r="E3166" s="294"/>
      <c r="F3166" s="310"/>
      <c r="G3166" s="310"/>
      <c r="H3166" s="310"/>
      <c r="I3166" s="295"/>
      <c r="J3166" s="295"/>
      <c r="K3166" s="300"/>
      <c r="L3166" s="300"/>
      <c r="M3166" s="285"/>
      <c r="N3166" s="1076"/>
      <c r="O3166" s="294"/>
      <c r="P3166" s="404"/>
      <c r="Q3166" s="404"/>
      <c r="R3166" s="301"/>
      <c r="S3166" s="301"/>
      <c r="T3166" s="301"/>
      <c r="U3166" s="301"/>
      <c r="V3166" s="301"/>
    </row>
    <row r="3167" spans="1:22" ht="14.4" thickTop="1" thickBot="1" x14ac:dyDescent="0.3">
      <c r="A3167" s="292"/>
      <c r="B3167" s="293"/>
      <c r="C3167" s="294"/>
      <c r="D3167" s="294"/>
      <c r="E3167" s="294"/>
      <c r="F3167" s="310"/>
      <c r="G3167" s="310"/>
      <c r="H3167" s="310"/>
      <c r="I3167" s="295"/>
      <c r="J3167" s="295"/>
      <c r="K3167" s="300"/>
      <c r="L3167" s="300"/>
      <c r="M3167" s="285"/>
      <c r="N3167" s="1076"/>
      <c r="O3167" s="294"/>
      <c r="P3167" s="404"/>
      <c r="Q3167" s="404"/>
      <c r="R3167" s="301"/>
      <c r="S3167" s="301"/>
      <c r="T3167" s="301"/>
      <c r="U3167" s="301"/>
      <c r="V3167" s="301"/>
    </row>
    <row r="3168" spans="1:22" ht="14.4" thickTop="1" thickBot="1" x14ac:dyDescent="0.3">
      <c r="A3168" s="292"/>
      <c r="B3168" s="293"/>
      <c r="C3168" s="294"/>
      <c r="D3168" s="294"/>
      <c r="E3168" s="294"/>
      <c r="F3168" s="310"/>
      <c r="G3168" s="310"/>
      <c r="H3168" s="310"/>
      <c r="I3168" s="295"/>
      <c r="J3168" s="295"/>
      <c r="K3168" s="300"/>
      <c r="L3168" s="300"/>
      <c r="M3168" s="285"/>
      <c r="N3168" s="1076"/>
      <c r="O3168" s="294"/>
      <c r="P3168" s="404"/>
      <c r="Q3168" s="404"/>
      <c r="R3168" s="301"/>
      <c r="S3168" s="301"/>
      <c r="T3168" s="301"/>
      <c r="U3168" s="301"/>
      <c r="V3168" s="301"/>
    </row>
    <row r="3169" spans="1:22" ht="14.4" thickTop="1" thickBot="1" x14ac:dyDescent="0.3">
      <c r="A3169" s="292"/>
      <c r="B3169" s="293"/>
      <c r="C3169" s="294"/>
      <c r="D3169" s="294"/>
      <c r="E3169" s="294"/>
      <c r="F3169" s="310"/>
      <c r="G3169" s="310"/>
      <c r="H3169" s="310"/>
      <c r="I3169" s="295"/>
      <c r="J3169" s="295"/>
      <c r="K3169" s="300"/>
      <c r="L3169" s="300"/>
      <c r="M3169" s="285"/>
      <c r="N3169" s="1076"/>
      <c r="O3169" s="294"/>
      <c r="P3169" s="404"/>
      <c r="Q3169" s="404"/>
      <c r="R3169" s="301"/>
      <c r="S3169" s="301"/>
      <c r="T3169" s="301"/>
      <c r="U3169" s="301"/>
      <c r="V3169" s="301"/>
    </row>
    <row r="3170" spans="1:22" ht="14.4" thickTop="1" thickBot="1" x14ac:dyDescent="0.3">
      <c r="A3170" s="292"/>
      <c r="B3170" s="293"/>
      <c r="C3170" s="294"/>
      <c r="D3170" s="294"/>
      <c r="E3170" s="294"/>
      <c r="F3170" s="310"/>
      <c r="G3170" s="310"/>
      <c r="H3170" s="310"/>
      <c r="I3170" s="295"/>
      <c r="J3170" s="295"/>
      <c r="K3170" s="300"/>
      <c r="L3170" s="300"/>
      <c r="M3170" s="285"/>
      <c r="N3170" s="1076"/>
      <c r="O3170" s="294"/>
      <c r="P3170" s="404"/>
      <c r="Q3170" s="404"/>
      <c r="R3170" s="301"/>
      <c r="S3170" s="301"/>
      <c r="T3170" s="301"/>
      <c r="U3170" s="301"/>
      <c r="V3170" s="301"/>
    </row>
    <row r="3171" spans="1:22" ht="14.4" thickTop="1" thickBot="1" x14ac:dyDescent="0.3">
      <c r="A3171" s="292"/>
      <c r="B3171" s="293"/>
      <c r="C3171" s="294"/>
      <c r="D3171" s="294"/>
      <c r="E3171" s="294"/>
      <c r="F3171" s="310"/>
      <c r="G3171" s="310"/>
      <c r="H3171" s="310"/>
      <c r="I3171" s="295"/>
      <c r="J3171" s="295"/>
      <c r="K3171" s="300"/>
      <c r="L3171" s="300"/>
      <c r="M3171" s="285"/>
      <c r="N3171" s="1076"/>
      <c r="O3171" s="294"/>
      <c r="P3171" s="404"/>
      <c r="Q3171" s="404"/>
      <c r="R3171" s="301"/>
      <c r="S3171" s="301"/>
      <c r="T3171" s="301"/>
      <c r="U3171" s="301"/>
      <c r="V3171" s="301"/>
    </row>
    <row r="3172" spans="1:22" ht="14.4" thickTop="1" thickBot="1" x14ac:dyDescent="0.3">
      <c r="A3172" s="292"/>
      <c r="B3172" s="293"/>
      <c r="C3172" s="294"/>
      <c r="D3172" s="294"/>
      <c r="E3172" s="294"/>
      <c r="F3172" s="310"/>
      <c r="G3172" s="310"/>
      <c r="H3172" s="310"/>
      <c r="I3172" s="295"/>
      <c r="J3172" s="295"/>
      <c r="K3172" s="300"/>
      <c r="L3172" s="300"/>
      <c r="M3172" s="285"/>
      <c r="N3172" s="1076"/>
      <c r="O3172" s="294"/>
      <c r="P3172" s="404"/>
      <c r="Q3172" s="404"/>
      <c r="R3172" s="301"/>
      <c r="S3172" s="301"/>
      <c r="T3172" s="301"/>
      <c r="U3172" s="301"/>
      <c r="V3172" s="301"/>
    </row>
    <row r="3173" spans="1:22" ht="14.4" thickTop="1" thickBot="1" x14ac:dyDescent="0.3">
      <c r="A3173" s="292"/>
      <c r="B3173" s="293"/>
      <c r="C3173" s="294"/>
      <c r="D3173" s="294"/>
      <c r="E3173" s="294"/>
      <c r="F3173" s="310"/>
      <c r="G3173" s="310"/>
      <c r="H3173" s="310"/>
      <c r="I3173" s="295"/>
      <c r="J3173" s="295"/>
      <c r="K3173" s="300"/>
      <c r="L3173" s="300"/>
      <c r="M3173" s="285"/>
      <c r="N3173" s="1076"/>
      <c r="O3173" s="294"/>
      <c r="P3173" s="404"/>
      <c r="Q3173" s="404"/>
      <c r="R3173" s="301"/>
      <c r="S3173" s="301"/>
      <c r="T3173" s="301"/>
      <c r="U3173" s="301"/>
      <c r="V3173" s="301"/>
    </row>
    <row r="3174" spans="1:22" ht="14.4" thickTop="1" thickBot="1" x14ac:dyDescent="0.3">
      <c r="A3174" s="292"/>
      <c r="B3174" s="293"/>
      <c r="C3174" s="294"/>
      <c r="D3174" s="294"/>
      <c r="E3174" s="294"/>
      <c r="F3174" s="310"/>
      <c r="G3174" s="310"/>
      <c r="H3174" s="310"/>
      <c r="I3174" s="295"/>
      <c r="J3174" s="295"/>
      <c r="K3174" s="300"/>
      <c r="L3174" s="300"/>
      <c r="M3174" s="285"/>
      <c r="N3174" s="1076"/>
      <c r="O3174" s="294"/>
      <c r="P3174" s="404"/>
      <c r="Q3174" s="404"/>
      <c r="R3174" s="301"/>
      <c r="S3174" s="301"/>
      <c r="T3174" s="301"/>
      <c r="U3174" s="301"/>
      <c r="V3174" s="301"/>
    </row>
    <row r="3175" spans="1:22" ht="14.4" thickTop="1" thickBot="1" x14ac:dyDescent="0.3">
      <c r="A3175" s="292"/>
      <c r="B3175" s="293"/>
      <c r="C3175" s="294"/>
      <c r="D3175" s="294"/>
      <c r="E3175" s="294"/>
      <c r="F3175" s="310"/>
      <c r="G3175" s="310"/>
      <c r="H3175" s="310"/>
      <c r="I3175" s="295"/>
      <c r="J3175" s="295"/>
      <c r="K3175" s="300"/>
      <c r="L3175" s="300"/>
      <c r="M3175" s="285"/>
      <c r="N3175" s="1076"/>
      <c r="O3175" s="294"/>
      <c r="P3175" s="404"/>
      <c r="Q3175" s="404"/>
      <c r="R3175" s="301"/>
      <c r="S3175" s="301"/>
      <c r="T3175" s="301"/>
      <c r="U3175" s="301"/>
      <c r="V3175" s="301"/>
    </row>
    <row r="3176" spans="1:22" ht="14.4" thickTop="1" thickBot="1" x14ac:dyDescent="0.3">
      <c r="A3176" s="292"/>
      <c r="B3176" s="293"/>
      <c r="C3176" s="294"/>
      <c r="D3176" s="294"/>
      <c r="E3176" s="294"/>
      <c r="F3176" s="310"/>
      <c r="G3176" s="310"/>
      <c r="H3176" s="310"/>
      <c r="I3176" s="295"/>
      <c r="J3176" s="295"/>
      <c r="K3176" s="300"/>
      <c r="L3176" s="300"/>
      <c r="M3176" s="285"/>
      <c r="N3176" s="1076"/>
      <c r="O3176" s="294"/>
      <c r="P3176" s="404"/>
      <c r="Q3176" s="404"/>
      <c r="R3176" s="301"/>
      <c r="S3176" s="301"/>
      <c r="T3176" s="301"/>
      <c r="U3176" s="301"/>
      <c r="V3176" s="301"/>
    </row>
    <row r="3177" spans="1:22" ht="14.4" thickTop="1" thickBot="1" x14ac:dyDescent="0.3">
      <c r="A3177" s="292"/>
      <c r="B3177" s="293"/>
      <c r="C3177" s="294"/>
      <c r="D3177" s="294"/>
      <c r="E3177" s="294"/>
      <c r="F3177" s="310"/>
      <c r="G3177" s="310"/>
      <c r="H3177" s="310"/>
      <c r="I3177" s="295"/>
      <c r="J3177" s="295"/>
      <c r="K3177" s="300"/>
      <c r="L3177" s="300"/>
      <c r="M3177" s="285"/>
      <c r="N3177" s="1076"/>
      <c r="O3177" s="294"/>
      <c r="P3177" s="404"/>
      <c r="Q3177" s="404"/>
      <c r="R3177" s="301"/>
      <c r="S3177" s="301"/>
      <c r="T3177" s="301"/>
      <c r="U3177" s="301"/>
      <c r="V3177" s="301"/>
    </row>
    <row r="3178" spans="1:22" ht="14.4" thickTop="1" thickBot="1" x14ac:dyDescent="0.3">
      <c r="A3178" s="292"/>
      <c r="B3178" s="293"/>
      <c r="C3178" s="294"/>
      <c r="D3178" s="294"/>
      <c r="E3178" s="294"/>
      <c r="F3178" s="310"/>
      <c r="G3178" s="310"/>
      <c r="H3178" s="310"/>
      <c r="I3178" s="295"/>
      <c r="J3178" s="295"/>
      <c r="K3178" s="300"/>
      <c r="L3178" s="300"/>
      <c r="M3178" s="285"/>
      <c r="N3178" s="1076"/>
      <c r="O3178" s="294"/>
      <c r="P3178" s="404"/>
      <c r="Q3178" s="404"/>
      <c r="R3178" s="301"/>
      <c r="S3178" s="301"/>
      <c r="T3178" s="301"/>
      <c r="U3178" s="301"/>
      <c r="V3178" s="301"/>
    </row>
    <row r="3179" spans="1:22" ht="14.4" thickTop="1" thickBot="1" x14ac:dyDescent="0.3">
      <c r="A3179" s="292"/>
      <c r="B3179" s="293"/>
      <c r="C3179" s="294"/>
      <c r="D3179" s="294"/>
      <c r="E3179" s="294"/>
      <c r="F3179" s="310"/>
      <c r="G3179" s="310"/>
      <c r="H3179" s="310"/>
      <c r="I3179" s="295"/>
      <c r="J3179" s="295"/>
      <c r="K3179" s="300"/>
      <c r="L3179" s="300"/>
      <c r="M3179" s="285"/>
      <c r="N3179" s="1076"/>
      <c r="O3179" s="294"/>
      <c r="P3179" s="404"/>
      <c r="Q3179" s="404"/>
      <c r="R3179" s="301"/>
      <c r="S3179" s="301"/>
      <c r="T3179" s="301"/>
      <c r="U3179" s="301"/>
      <c r="V3179" s="301"/>
    </row>
    <row r="3180" spans="1:22" ht="14.4" thickTop="1" thickBot="1" x14ac:dyDescent="0.3">
      <c r="A3180" s="292"/>
      <c r="B3180" s="293"/>
      <c r="C3180" s="294"/>
      <c r="D3180" s="294"/>
      <c r="E3180" s="294"/>
      <c r="F3180" s="310"/>
      <c r="G3180" s="310"/>
      <c r="H3180" s="310"/>
      <c r="I3180" s="295"/>
      <c r="J3180" s="295"/>
      <c r="K3180" s="300"/>
      <c r="L3180" s="300"/>
      <c r="M3180" s="285"/>
      <c r="N3180" s="1076"/>
      <c r="O3180" s="294"/>
      <c r="P3180" s="404"/>
      <c r="Q3180" s="404"/>
      <c r="R3180" s="301"/>
      <c r="S3180" s="301"/>
      <c r="T3180" s="301"/>
      <c r="U3180" s="301"/>
      <c r="V3180" s="301"/>
    </row>
    <row r="3181" spans="1:22" ht="14.4" thickTop="1" thickBot="1" x14ac:dyDescent="0.3">
      <c r="A3181" s="292"/>
      <c r="B3181" s="293"/>
      <c r="C3181" s="294"/>
      <c r="D3181" s="294"/>
      <c r="E3181" s="294"/>
      <c r="F3181" s="310"/>
      <c r="G3181" s="310"/>
      <c r="H3181" s="310"/>
      <c r="I3181" s="295"/>
      <c r="J3181" s="295"/>
      <c r="K3181" s="300"/>
      <c r="L3181" s="300"/>
      <c r="M3181" s="285"/>
      <c r="N3181" s="1076"/>
      <c r="O3181" s="294"/>
      <c r="P3181" s="404"/>
      <c r="Q3181" s="404"/>
      <c r="R3181" s="301"/>
      <c r="S3181" s="301"/>
      <c r="T3181" s="301"/>
      <c r="U3181" s="301"/>
      <c r="V3181" s="301"/>
    </row>
    <row r="3182" spans="1:22" ht="14.4" thickTop="1" thickBot="1" x14ac:dyDescent="0.3">
      <c r="A3182" s="292"/>
      <c r="B3182" s="293"/>
      <c r="C3182" s="294"/>
      <c r="D3182" s="294"/>
      <c r="E3182" s="294"/>
      <c r="F3182" s="310"/>
      <c r="G3182" s="310"/>
      <c r="H3182" s="310"/>
      <c r="I3182" s="295"/>
      <c r="J3182" s="295"/>
      <c r="K3182" s="300"/>
      <c r="L3182" s="300"/>
      <c r="M3182" s="285"/>
      <c r="N3182" s="1076"/>
      <c r="O3182" s="294"/>
      <c r="P3182" s="404"/>
      <c r="Q3182" s="404"/>
      <c r="R3182" s="301"/>
      <c r="S3182" s="301"/>
      <c r="T3182" s="301"/>
      <c r="U3182" s="301"/>
      <c r="V3182" s="301"/>
    </row>
    <row r="3183" spans="1:22" ht="14.4" thickTop="1" thickBot="1" x14ac:dyDescent="0.3">
      <c r="A3183" s="292"/>
      <c r="B3183" s="293"/>
      <c r="C3183" s="294"/>
      <c r="D3183" s="294"/>
      <c r="E3183" s="294"/>
      <c r="F3183" s="310"/>
      <c r="G3183" s="310"/>
      <c r="H3183" s="310"/>
      <c r="I3183" s="295"/>
      <c r="J3183" s="295"/>
      <c r="K3183" s="300"/>
      <c r="L3183" s="300"/>
      <c r="M3183" s="285"/>
      <c r="N3183" s="1076"/>
      <c r="O3183" s="294"/>
      <c r="P3183" s="404"/>
      <c r="Q3183" s="404"/>
      <c r="R3183" s="301"/>
      <c r="S3183" s="301"/>
      <c r="T3183" s="301"/>
      <c r="U3183" s="301"/>
      <c r="V3183" s="301"/>
    </row>
    <row r="3184" spans="1:22" ht="14.4" thickTop="1" thickBot="1" x14ac:dyDescent="0.3">
      <c r="A3184" s="292"/>
      <c r="B3184" s="293"/>
      <c r="C3184" s="294"/>
      <c r="D3184" s="294"/>
      <c r="E3184" s="294"/>
      <c r="F3184" s="310"/>
      <c r="G3184" s="310"/>
      <c r="H3184" s="310"/>
      <c r="I3184" s="295"/>
      <c r="J3184" s="295"/>
      <c r="K3184" s="300"/>
      <c r="L3184" s="300"/>
      <c r="M3184" s="285"/>
      <c r="N3184" s="1076"/>
      <c r="O3184" s="294"/>
      <c r="P3184" s="404"/>
      <c r="Q3184" s="404"/>
      <c r="R3184" s="301"/>
      <c r="S3184" s="301"/>
      <c r="T3184" s="301"/>
      <c r="U3184" s="301"/>
      <c r="V3184" s="301"/>
    </row>
    <row r="3185" spans="1:22" ht="14.4" thickTop="1" thickBot="1" x14ac:dyDescent="0.3">
      <c r="A3185" s="292"/>
      <c r="B3185" s="293"/>
      <c r="C3185" s="294"/>
      <c r="D3185" s="294"/>
      <c r="E3185" s="294"/>
      <c r="F3185" s="310"/>
      <c r="G3185" s="310"/>
      <c r="H3185" s="310"/>
      <c r="I3185" s="295"/>
      <c r="J3185" s="295"/>
      <c r="K3185" s="300"/>
      <c r="L3185" s="300"/>
      <c r="M3185" s="285"/>
      <c r="N3185" s="1076"/>
      <c r="O3185" s="294"/>
      <c r="P3185" s="404"/>
      <c r="Q3185" s="404"/>
      <c r="R3185" s="301"/>
      <c r="S3185" s="301"/>
      <c r="T3185" s="301"/>
      <c r="U3185" s="301"/>
      <c r="V3185" s="301"/>
    </row>
    <row r="3186" spans="1:22" ht="14.4" thickTop="1" thickBot="1" x14ac:dyDescent="0.3">
      <c r="A3186" s="292"/>
      <c r="B3186" s="293"/>
      <c r="C3186" s="294"/>
      <c r="D3186" s="294"/>
      <c r="E3186" s="294"/>
      <c r="F3186" s="310"/>
      <c r="G3186" s="310"/>
      <c r="H3186" s="310"/>
      <c r="I3186" s="295"/>
      <c r="J3186" s="295"/>
      <c r="K3186" s="300"/>
      <c r="L3186" s="300"/>
      <c r="M3186" s="285"/>
      <c r="N3186" s="1076"/>
      <c r="O3186" s="294"/>
      <c r="P3186" s="404"/>
      <c r="Q3186" s="404"/>
      <c r="R3186" s="301"/>
      <c r="S3186" s="301"/>
      <c r="T3186" s="301"/>
      <c r="U3186" s="301"/>
      <c r="V3186" s="301"/>
    </row>
    <row r="3187" spans="1:22" ht="14.4" thickTop="1" thickBot="1" x14ac:dyDescent="0.3">
      <c r="A3187" s="292"/>
      <c r="B3187" s="293"/>
      <c r="C3187" s="294"/>
      <c r="D3187" s="294"/>
      <c r="E3187" s="294"/>
      <c r="F3187" s="310"/>
      <c r="G3187" s="310"/>
      <c r="H3187" s="310"/>
      <c r="I3187" s="295"/>
      <c r="J3187" s="295"/>
      <c r="K3187" s="300"/>
      <c r="L3187" s="300"/>
      <c r="M3187" s="285"/>
      <c r="N3187" s="1076"/>
      <c r="O3187" s="294"/>
      <c r="P3187" s="404"/>
      <c r="Q3187" s="404"/>
      <c r="R3187" s="301"/>
      <c r="S3187" s="301"/>
      <c r="T3187" s="301"/>
      <c r="U3187" s="301"/>
      <c r="V3187" s="301"/>
    </row>
    <row r="3188" spans="1:22" ht="14.4" thickTop="1" thickBot="1" x14ac:dyDescent="0.3">
      <c r="A3188" s="292"/>
      <c r="B3188" s="293"/>
      <c r="C3188" s="294"/>
      <c r="D3188" s="294"/>
      <c r="E3188" s="294"/>
      <c r="F3188" s="310"/>
      <c r="G3188" s="310"/>
      <c r="H3188" s="310"/>
      <c r="I3188" s="295"/>
      <c r="J3188" s="295"/>
      <c r="K3188" s="300"/>
      <c r="L3188" s="300"/>
      <c r="M3188" s="285"/>
      <c r="N3188" s="1076"/>
      <c r="O3188" s="294"/>
      <c r="P3188" s="404"/>
      <c r="Q3188" s="404"/>
      <c r="R3188" s="301"/>
      <c r="S3188" s="301"/>
      <c r="T3188" s="301"/>
      <c r="U3188" s="301"/>
      <c r="V3188" s="301"/>
    </row>
    <row r="3189" spans="1:22" ht="14.4" thickTop="1" thickBot="1" x14ac:dyDescent="0.3">
      <c r="A3189" s="292"/>
      <c r="B3189" s="293"/>
      <c r="C3189" s="294"/>
      <c r="D3189" s="294"/>
      <c r="E3189" s="294"/>
      <c r="F3189" s="310"/>
      <c r="G3189" s="310"/>
      <c r="H3189" s="310"/>
      <c r="I3189" s="295"/>
      <c r="J3189" s="295"/>
      <c r="K3189" s="300"/>
      <c r="L3189" s="300"/>
      <c r="M3189" s="285"/>
      <c r="N3189" s="1076"/>
      <c r="O3189" s="294"/>
      <c r="P3189" s="404"/>
      <c r="Q3189" s="404"/>
      <c r="R3189" s="301"/>
      <c r="S3189" s="301"/>
      <c r="T3189" s="301"/>
      <c r="U3189" s="301"/>
      <c r="V3189" s="301"/>
    </row>
    <row r="3190" spans="1:22" ht="14.4" thickTop="1" thickBot="1" x14ac:dyDescent="0.3">
      <c r="A3190" s="292"/>
      <c r="B3190" s="293"/>
      <c r="C3190" s="294"/>
      <c r="D3190" s="294"/>
      <c r="E3190" s="294"/>
      <c r="F3190" s="310"/>
      <c r="G3190" s="310"/>
      <c r="H3190" s="310"/>
      <c r="I3190" s="295"/>
      <c r="J3190" s="295"/>
      <c r="K3190" s="300"/>
      <c r="L3190" s="300"/>
      <c r="M3190" s="285"/>
      <c r="N3190" s="1076"/>
      <c r="O3190" s="294"/>
      <c r="P3190" s="404"/>
      <c r="Q3190" s="404"/>
      <c r="R3190" s="301"/>
      <c r="S3190" s="301"/>
      <c r="T3190" s="301"/>
      <c r="U3190" s="301"/>
      <c r="V3190" s="301"/>
    </row>
    <row r="3191" spans="1:22" ht="14.4" thickTop="1" thickBot="1" x14ac:dyDescent="0.3">
      <c r="A3191" s="292"/>
      <c r="B3191" s="293"/>
      <c r="C3191" s="294"/>
      <c r="D3191" s="294"/>
      <c r="E3191" s="294"/>
      <c r="F3191" s="310"/>
      <c r="G3191" s="310"/>
      <c r="H3191" s="310"/>
      <c r="I3191" s="295"/>
      <c r="J3191" s="295"/>
      <c r="K3191" s="300"/>
      <c r="L3191" s="300"/>
      <c r="M3191" s="285"/>
      <c r="N3191" s="1076"/>
      <c r="O3191" s="294"/>
      <c r="P3191" s="404"/>
      <c r="Q3191" s="404"/>
      <c r="R3191" s="301"/>
      <c r="S3191" s="301"/>
      <c r="T3191" s="301"/>
      <c r="U3191" s="301"/>
      <c r="V3191" s="301"/>
    </row>
    <row r="3192" spans="1:22" ht="14.4" thickTop="1" thickBot="1" x14ac:dyDescent="0.3">
      <c r="A3192" s="292"/>
      <c r="B3192" s="293"/>
      <c r="C3192" s="294"/>
      <c r="D3192" s="294"/>
      <c r="E3192" s="294"/>
      <c r="F3192" s="310"/>
      <c r="G3192" s="310"/>
      <c r="H3192" s="310"/>
      <c r="I3192" s="295"/>
      <c r="J3192" s="295"/>
      <c r="K3192" s="300"/>
      <c r="L3192" s="300"/>
      <c r="M3192" s="285"/>
      <c r="N3192" s="1076"/>
      <c r="O3192" s="294"/>
      <c r="P3192" s="404"/>
      <c r="Q3192" s="404"/>
      <c r="R3192" s="301"/>
      <c r="S3192" s="301"/>
      <c r="T3192" s="301"/>
      <c r="U3192" s="301"/>
      <c r="V3192" s="301"/>
    </row>
    <row r="3193" spans="1:22" ht="14.4" thickTop="1" thickBot="1" x14ac:dyDescent="0.3">
      <c r="A3193" s="292"/>
      <c r="B3193" s="293"/>
      <c r="C3193" s="294"/>
      <c r="D3193" s="294"/>
      <c r="E3193" s="294"/>
      <c r="F3193" s="310"/>
      <c r="G3193" s="310"/>
      <c r="H3193" s="310"/>
      <c r="I3193" s="295"/>
      <c r="J3193" s="295"/>
      <c r="K3193" s="300"/>
      <c r="L3193" s="300"/>
      <c r="M3193" s="285"/>
      <c r="N3193" s="1076"/>
      <c r="O3193" s="294"/>
      <c r="P3193" s="404"/>
      <c r="Q3193" s="404"/>
      <c r="R3193" s="301"/>
      <c r="S3193" s="301"/>
      <c r="T3193" s="301"/>
      <c r="U3193" s="301"/>
      <c r="V3193" s="301"/>
    </row>
    <row r="3194" spans="1:22" ht="14.4" thickTop="1" thickBot="1" x14ac:dyDescent="0.3">
      <c r="A3194" s="292"/>
      <c r="B3194" s="293"/>
      <c r="C3194" s="294"/>
      <c r="D3194" s="294"/>
      <c r="E3194" s="294"/>
      <c r="F3194" s="310"/>
      <c r="G3194" s="310"/>
      <c r="H3194" s="310"/>
      <c r="I3194" s="295"/>
      <c r="J3194" s="295"/>
      <c r="K3194" s="300"/>
      <c r="L3194" s="300"/>
      <c r="M3194" s="285"/>
      <c r="N3194" s="1076"/>
      <c r="O3194" s="294"/>
      <c r="P3194" s="404"/>
      <c r="Q3194" s="404"/>
      <c r="R3194" s="301"/>
      <c r="S3194" s="301"/>
      <c r="T3194" s="301"/>
      <c r="U3194" s="301"/>
      <c r="V3194" s="301"/>
    </row>
    <row r="3195" spans="1:22" ht="14.4" thickTop="1" thickBot="1" x14ac:dyDescent="0.3">
      <c r="A3195" s="292"/>
      <c r="B3195" s="293"/>
      <c r="C3195" s="294"/>
      <c r="D3195" s="294"/>
      <c r="E3195" s="294"/>
      <c r="F3195" s="310"/>
      <c r="G3195" s="310"/>
      <c r="H3195" s="310"/>
      <c r="I3195" s="295"/>
      <c r="J3195" s="295"/>
      <c r="K3195" s="300"/>
      <c r="L3195" s="300"/>
      <c r="M3195" s="285"/>
      <c r="N3195" s="1076"/>
      <c r="O3195" s="294"/>
      <c r="P3195" s="404"/>
      <c r="Q3195" s="404"/>
      <c r="R3195" s="301"/>
      <c r="S3195" s="301"/>
      <c r="T3195" s="301"/>
      <c r="U3195" s="301"/>
      <c r="V3195" s="301"/>
    </row>
    <row r="3196" spans="1:22" ht="14.4" thickTop="1" thickBot="1" x14ac:dyDescent="0.3">
      <c r="A3196" s="292"/>
      <c r="B3196" s="293"/>
      <c r="C3196" s="294"/>
      <c r="D3196" s="294"/>
      <c r="E3196" s="294"/>
      <c r="F3196" s="310"/>
      <c r="G3196" s="310"/>
      <c r="H3196" s="310"/>
      <c r="I3196" s="295"/>
      <c r="J3196" s="295"/>
      <c r="K3196" s="300"/>
      <c r="L3196" s="300"/>
      <c r="M3196" s="285"/>
      <c r="N3196" s="1076"/>
      <c r="O3196" s="294"/>
      <c r="P3196" s="404"/>
      <c r="Q3196" s="404"/>
      <c r="R3196" s="301"/>
      <c r="S3196" s="301"/>
      <c r="T3196" s="301"/>
      <c r="U3196" s="301"/>
      <c r="V3196" s="301"/>
    </row>
    <row r="3197" spans="1:22" ht="14.4" thickTop="1" thickBot="1" x14ac:dyDescent="0.3">
      <c r="A3197" s="292"/>
      <c r="B3197" s="293"/>
      <c r="C3197" s="294"/>
      <c r="D3197" s="294"/>
      <c r="E3197" s="294"/>
      <c r="F3197" s="310"/>
      <c r="G3197" s="310"/>
      <c r="H3197" s="310"/>
      <c r="I3197" s="295"/>
      <c r="J3197" s="295"/>
      <c r="K3197" s="300"/>
      <c r="L3197" s="300"/>
      <c r="M3197" s="285"/>
      <c r="N3197" s="1076"/>
      <c r="O3197" s="294"/>
      <c r="P3197" s="404"/>
      <c r="Q3197" s="404"/>
      <c r="R3197" s="301"/>
      <c r="S3197" s="301"/>
      <c r="T3197" s="301"/>
      <c r="U3197" s="301"/>
      <c r="V3197" s="301"/>
    </row>
    <row r="3198" spans="1:22" ht="14.4" thickTop="1" thickBot="1" x14ac:dyDescent="0.3">
      <c r="A3198" s="292"/>
      <c r="B3198" s="293"/>
      <c r="C3198" s="294"/>
      <c r="D3198" s="294"/>
      <c r="E3198" s="294"/>
      <c r="F3198" s="310"/>
      <c r="G3198" s="310"/>
      <c r="H3198" s="310"/>
      <c r="I3198" s="295"/>
      <c r="J3198" s="295"/>
      <c r="K3198" s="300"/>
      <c r="L3198" s="300"/>
      <c r="M3198" s="285"/>
      <c r="N3198" s="1076"/>
      <c r="O3198" s="294"/>
      <c r="P3198" s="404"/>
      <c r="Q3198" s="404"/>
      <c r="R3198" s="301"/>
      <c r="S3198" s="301"/>
      <c r="T3198" s="301"/>
      <c r="U3198" s="301"/>
      <c r="V3198" s="301"/>
    </row>
    <row r="3199" spans="1:22" ht="14.4" thickTop="1" thickBot="1" x14ac:dyDescent="0.3">
      <c r="A3199" s="292"/>
      <c r="B3199" s="293"/>
      <c r="C3199" s="294"/>
      <c r="D3199" s="294"/>
      <c r="E3199" s="294"/>
      <c r="F3199" s="310"/>
      <c r="G3199" s="310"/>
      <c r="H3199" s="310"/>
      <c r="I3199" s="295"/>
      <c r="J3199" s="295"/>
      <c r="K3199" s="300"/>
      <c r="L3199" s="300"/>
      <c r="M3199" s="285"/>
      <c r="N3199" s="1076"/>
      <c r="O3199" s="294"/>
      <c r="P3199" s="404"/>
      <c r="Q3199" s="404"/>
      <c r="R3199" s="301"/>
      <c r="S3199" s="301"/>
      <c r="T3199" s="301"/>
      <c r="U3199" s="301"/>
      <c r="V3199" s="301"/>
    </row>
    <row r="3200" spans="1:22" ht="14.4" thickTop="1" thickBot="1" x14ac:dyDescent="0.3">
      <c r="A3200" s="292"/>
      <c r="B3200" s="293"/>
      <c r="C3200" s="294"/>
      <c r="D3200" s="294"/>
      <c r="E3200" s="294"/>
      <c r="F3200" s="310"/>
      <c r="G3200" s="310"/>
      <c r="H3200" s="310"/>
      <c r="I3200" s="295"/>
      <c r="J3200" s="295"/>
      <c r="K3200" s="300"/>
      <c r="L3200" s="300"/>
      <c r="M3200" s="285"/>
      <c r="N3200" s="1076"/>
      <c r="O3200" s="294"/>
      <c r="P3200" s="404"/>
      <c r="Q3200" s="404"/>
      <c r="R3200" s="301"/>
      <c r="S3200" s="301"/>
      <c r="T3200" s="301"/>
      <c r="U3200" s="301"/>
      <c r="V3200" s="301"/>
    </row>
    <row r="3201" spans="1:22" ht="14.4" thickTop="1" thickBot="1" x14ac:dyDescent="0.3">
      <c r="A3201" s="292"/>
      <c r="B3201" s="293"/>
      <c r="C3201" s="294"/>
      <c r="D3201" s="294"/>
      <c r="E3201" s="294"/>
      <c r="F3201" s="310"/>
      <c r="G3201" s="310"/>
      <c r="H3201" s="310"/>
      <c r="I3201" s="295"/>
      <c r="J3201" s="295"/>
      <c r="K3201" s="300"/>
      <c r="L3201" s="300"/>
      <c r="M3201" s="285"/>
      <c r="N3201" s="1076"/>
      <c r="O3201" s="294"/>
      <c r="P3201" s="404"/>
      <c r="Q3201" s="404"/>
      <c r="R3201" s="301"/>
      <c r="S3201" s="301"/>
      <c r="T3201" s="301"/>
      <c r="U3201" s="301"/>
      <c r="V3201" s="301"/>
    </row>
    <row r="3202" spans="1:22" ht="14.4" thickTop="1" thickBot="1" x14ac:dyDescent="0.3">
      <c r="A3202" s="292"/>
      <c r="B3202" s="293"/>
      <c r="C3202" s="294"/>
      <c r="D3202" s="294"/>
      <c r="E3202" s="294"/>
      <c r="F3202" s="310"/>
      <c r="G3202" s="310"/>
      <c r="H3202" s="310"/>
      <c r="I3202" s="295"/>
      <c r="J3202" s="295"/>
      <c r="K3202" s="300"/>
      <c r="L3202" s="300"/>
      <c r="M3202" s="285"/>
      <c r="N3202" s="1076"/>
      <c r="O3202" s="294"/>
      <c r="P3202" s="404"/>
      <c r="Q3202" s="404"/>
      <c r="R3202" s="301"/>
      <c r="S3202" s="301"/>
      <c r="T3202" s="301"/>
      <c r="U3202" s="301"/>
      <c r="V3202" s="301"/>
    </row>
    <row r="3203" spans="1:22" ht="14.4" thickTop="1" thickBot="1" x14ac:dyDescent="0.3">
      <c r="A3203" s="292"/>
      <c r="B3203" s="293"/>
      <c r="C3203" s="294"/>
      <c r="D3203" s="294"/>
      <c r="E3203" s="294"/>
      <c r="F3203" s="310"/>
      <c r="G3203" s="310"/>
      <c r="H3203" s="310"/>
      <c r="I3203" s="295"/>
      <c r="J3203" s="295"/>
      <c r="K3203" s="300"/>
      <c r="L3203" s="300"/>
      <c r="M3203" s="285"/>
      <c r="N3203" s="1076"/>
      <c r="O3203" s="294"/>
      <c r="P3203" s="404"/>
      <c r="Q3203" s="404"/>
      <c r="R3203" s="301"/>
      <c r="S3203" s="301"/>
      <c r="T3203" s="301"/>
      <c r="U3203" s="301"/>
      <c r="V3203" s="301"/>
    </row>
    <row r="3204" spans="1:22" ht="14.4" thickTop="1" thickBot="1" x14ac:dyDescent="0.3">
      <c r="A3204" s="292"/>
      <c r="B3204" s="293"/>
      <c r="C3204" s="294"/>
      <c r="D3204" s="294"/>
      <c r="E3204" s="294"/>
      <c r="F3204" s="310"/>
      <c r="G3204" s="310"/>
      <c r="H3204" s="310"/>
      <c r="I3204" s="295"/>
      <c r="J3204" s="295"/>
      <c r="K3204" s="300"/>
      <c r="L3204" s="300"/>
      <c r="M3204" s="285"/>
      <c r="N3204" s="1076"/>
      <c r="O3204" s="294"/>
      <c r="P3204" s="404"/>
      <c r="Q3204" s="404"/>
      <c r="R3204" s="301"/>
      <c r="S3204" s="301"/>
      <c r="T3204" s="301"/>
      <c r="U3204" s="301"/>
      <c r="V3204" s="301"/>
    </row>
    <row r="3205" spans="1:22" ht="14.4" thickTop="1" thickBot="1" x14ac:dyDescent="0.3">
      <c r="A3205" s="292"/>
      <c r="B3205" s="293"/>
      <c r="C3205" s="294"/>
      <c r="D3205" s="294"/>
      <c r="E3205" s="294"/>
      <c r="F3205" s="310"/>
      <c r="G3205" s="310"/>
      <c r="H3205" s="310"/>
      <c r="I3205" s="295"/>
      <c r="J3205" s="295"/>
      <c r="K3205" s="300"/>
      <c r="L3205" s="300"/>
      <c r="M3205" s="285"/>
      <c r="N3205" s="1076"/>
      <c r="O3205" s="294"/>
      <c r="P3205" s="404"/>
      <c r="Q3205" s="404"/>
      <c r="R3205" s="301"/>
      <c r="S3205" s="301"/>
      <c r="T3205" s="301"/>
      <c r="U3205" s="301"/>
      <c r="V3205" s="301"/>
    </row>
    <row r="3206" spans="1:22" ht="14.4" thickTop="1" thickBot="1" x14ac:dyDescent="0.3">
      <c r="A3206" s="292"/>
      <c r="B3206" s="293"/>
      <c r="C3206" s="294"/>
      <c r="D3206" s="294"/>
      <c r="E3206" s="294"/>
      <c r="F3206" s="310"/>
      <c r="G3206" s="310"/>
      <c r="H3206" s="310"/>
      <c r="I3206" s="295"/>
      <c r="J3206" s="295"/>
      <c r="K3206" s="300"/>
      <c r="L3206" s="300"/>
      <c r="M3206" s="285"/>
      <c r="N3206" s="1076"/>
      <c r="O3206" s="294"/>
      <c r="P3206" s="404"/>
      <c r="Q3206" s="404"/>
      <c r="R3206" s="301"/>
      <c r="S3206" s="301"/>
      <c r="T3206" s="301"/>
      <c r="U3206" s="301"/>
      <c r="V3206" s="301"/>
    </row>
    <row r="3207" spans="1:22" ht="14.4" thickTop="1" thickBot="1" x14ac:dyDescent="0.3">
      <c r="A3207" s="292"/>
      <c r="B3207" s="293"/>
      <c r="C3207" s="294"/>
      <c r="D3207" s="294"/>
      <c r="E3207" s="294"/>
      <c r="F3207" s="310"/>
      <c r="G3207" s="310"/>
      <c r="H3207" s="310"/>
      <c r="I3207" s="295"/>
      <c r="J3207" s="295"/>
      <c r="K3207" s="300"/>
      <c r="L3207" s="300"/>
      <c r="M3207" s="285"/>
      <c r="N3207" s="1076"/>
      <c r="O3207" s="294"/>
      <c r="P3207" s="404"/>
      <c r="Q3207" s="404"/>
      <c r="R3207" s="301"/>
      <c r="S3207" s="301"/>
      <c r="T3207" s="301"/>
      <c r="U3207" s="301"/>
      <c r="V3207" s="301"/>
    </row>
    <row r="3208" spans="1:22" ht="14.4" thickTop="1" thickBot="1" x14ac:dyDescent="0.3">
      <c r="A3208" s="292"/>
      <c r="B3208" s="293"/>
      <c r="C3208" s="294"/>
      <c r="D3208" s="294"/>
      <c r="E3208" s="294"/>
      <c r="F3208" s="310"/>
      <c r="G3208" s="310"/>
      <c r="H3208" s="310"/>
      <c r="I3208" s="295"/>
      <c r="J3208" s="295"/>
      <c r="K3208" s="300"/>
      <c r="L3208" s="300"/>
      <c r="M3208" s="285"/>
      <c r="N3208" s="1076"/>
      <c r="O3208" s="294"/>
      <c r="P3208" s="404"/>
      <c r="Q3208" s="404"/>
      <c r="R3208" s="301"/>
      <c r="S3208" s="301"/>
      <c r="T3208" s="301"/>
      <c r="U3208" s="301"/>
      <c r="V3208" s="301"/>
    </row>
    <row r="3209" spans="1:22" ht="14.4" thickTop="1" thickBot="1" x14ac:dyDescent="0.3">
      <c r="A3209" s="292"/>
      <c r="B3209" s="293"/>
      <c r="C3209" s="294"/>
      <c r="D3209" s="294"/>
      <c r="E3209" s="294"/>
      <c r="F3209" s="310"/>
      <c r="G3209" s="310"/>
      <c r="H3209" s="310"/>
      <c r="I3209" s="295"/>
      <c r="J3209" s="295"/>
      <c r="K3209" s="300"/>
      <c r="L3209" s="300"/>
      <c r="M3209" s="285"/>
      <c r="N3209" s="1076"/>
      <c r="O3209" s="294"/>
      <c r="P3209" s="404"/>
      <c r="Q3209" s="404"/>
      <c r="R3209" s="301"/>
      <c r="S3209" s="301"/>
      <c r="T3209" s="301"/>
      <c r="U3209" s="301"/>
      <c r="V3209" s="301"/>
    </row>
    <row r="3210" spans="1:22" ht="14.4" thickTop="1" thickBot="1" x14ac:dyDescent="0.3">
      <c r="A3210" s="292"/>
      <c r="B3210" s="293"/>
      <c r="C3210" s="294"/>
      <c r="D3210" s="294"/>
      <c r="E3210" s="294"/>
      <c r="F3210" s="310"/>
      <c r="G3210" s="310"/>
      <c r="H3210" s="310"/>
      <c r="I3210" s="295"/>
      <c r="J3210" s="295"/>
      <c r="K3210" s="300"/>
      <c r="L3210" s="300"/>
      <c r="M3210" s="285"/>
      <c r="N3210" s="1076"/>
      <c r="O3210" s="294"/>
      <c r="P3210" s="404"/>
      <c r="Q3210" s="404"/>
      <c r="R3210" s="301"/>
      <c r="S3210" s="301"/>
      <c r="T3210" s="301"/>
      <c r="U3210" s="301"/>
      <c r="V3210" s="301"/>
    </row>
    <row r="3211" spans="1:22" ht="14.4" thickTop="1" thickBot="1" x14ac:dyDescent="0.3">
      <c r="A3211" s="292"/>
      <c r="B3211" s="293"/>
      <c r="C3211" s="294"/>
      <c r="D3211" s="294"/>
      <c r="E3211" s="294"/>
      <c r="F3211" s="310"/>
      <c r="G3211" s="310"/>
      <c r="H3211" s="310"/>
      <c r="I3211" s="295"/>
      <c r="J3211" s="295"/>
      <c r="K3211" s="300"/>
      <c r="L3211" s="300"/>
      <c r="M3211" s="285"/>
      <c r="N3211" s="1076"/>
      <c r="O3211" s="294"/>
      <c r="P3211" s="404"/>
      <c r="Q3211" s="404"/>
      <c r="R3211" s="301"/>
      <c r="S3211" s="301"/>
      <c r="T3211" s="301"/>
      <c r="U3211" s="301"/>
      <c r="V3211" s="301"/>
    </row>
    <row r="3212" spans="1:22" ht="14.4" thickTop="1" thickBot="1" x14ac:dyDescent="0.3">
      <c r="A3212" s="292"/>
      <c r="B3212" s="293"/>
      <c r="C3212" s="294"/>
      <c r="D3212" s="294"/>
      <c r="E3212" s="294"/>
      <c r="F3212" s="310"/>
      <c r="G3212" s="310"/>
      <c r="H3212" s="310"/>
      <c r="I3212" s="295"/>
      <c r="J3212" s="295"/>
      <c r="K3212" s="300"/>
      <c r="L3212" s="300"/>
      <c r="M3212" s="285"/>
      <c r="N3212" s="1076"/>
      <c r="O3212" s="294"/>
      <c r="P3212" s="404"/>
      <c r="Q3212" s="404"/>
      <c r="R3212" s="301"/>
      <c r="S3212" s="301"/>
      <c r="T3212" s="301"/>
      <c r="U3212" s="301"/>
      <c r="V3212" s="301"/>
    </row>
    <row r="3213" spans="1:22" ht="14.4" thickTop="1" thickBot="1" x14ac:dyDescent="0.3">
      <c r="A3213" s="292"/>
      <c r="B3213" s="293"/>
      <c r="C3213" s="294"/>
      <c r="D3213" s="294"/>
      <c r="E3213" s="294"/>
      <c r="F3213" s="310"/>
      <c r="G3213" s="310"/>
      <c r="H3213" s="310"/>
      <c r="I3213" s="295"/>
      <c r="J3213" s="295"/>
      <c r="K3213" s="300"/>
      <c r="L3213" s="300"/>
      <c r="M3213" s="285"/>
      <c r="N3213" s="1076"/>
      <c r="O3213" s="294"/>
      <c r="P3213" s="404"/>
      <c r="Q3213" s="404"/>
      <c r="R3213" s="301"/>
      <c r="S3213" s="301"/>
      <c r="T3213" s="301"/>
      <c r="U3213" s="301"/>
      <c r="V3213" s="301"/>
    </row>
    <row r="3214" spans="1:22" ht="14.4" thickTop="1" thickBot="1" x14ac:dyDescent="0.3">
      <c r="A3214" s="292"/>
      <c r="B3214" s="293"/>
      <c r="C3214" s="294"/>
      <c r="D3214" s="294"/>
      <c r="E3214" s="294"/>
      <c r="F3214" s="310"/>
      <c r="G3214" s="310"/>
      <c r="H3214" s="310"/>
      <c r="I3214" s="295"/>
      <c r="J3214" s="295"/>
      <c r="K3214" s="300"/>
      <c r="L3214" s="300"/>
      <c r="M3214" s="285"/>
      <c r="N3214" s="1076"/>
      <c r="O3214" s="294"/>
      <c r="P3214" s="404"/>
      <c r="Q3214" s="404"/>
      <c r="R3214" s="301"/>
      <c r="S3214" s="301"/>
      <c r="T3214" s="301"/>
      <c r="U3214" s="301"/>
      <c r="V3214" s="301"/>
    </row>
    <row r="3215" spans="1:22" ht="14.4" thickTop="1" thickBot="1" x14ac:dyDescent="0.3">
      <c r="A3215" s="292"/>
      <c r="B3215" s="293"/>
      <c r="C3215" s="294"/>
      <c r="D3215" s="294"/>
      <c r="E3215" s="294"/>
      <c r="F3215" s="310"/>
      <c r="G3215" s="310"/>
      <c r="H3215" s="310"/>
      <c r="I3215" s="295"/>
      <c r="J3215" s="295"/>
      <c r="K3215" s="300"/>
      <c r="L3215" s="300"/>
      <c r="M3215" s="285"/>
      <c r="N3215" s="1076"/>
      <c r="O3215" s="294"/>
      <c r="P3215" s="404"/>
      <c r="Q3215" s="404"/>
      <c r="R3215" s="301"/>
      <c r="S3215" s="301"/>
      <c r="T3215" s="301"/>
      <c r="U3215" s="301"/>
      <c r="V3215" s="301"/>
    </row>
    <row r="3216" spans="1:22" ht="14.4" thickTop="1" thickBot="1" x14ac:dyDescent="0.3">
      <c r="A3216" s="292"/>
      <c r="B3216" s="293"/>
      <c r="C3216" s="294"/>
      <c r="D3216" s="294"/>
      <c r="E3216" s="294"/>
      <c r="F3216" s="310"/>
      <c r="G3216" s="310"/>
      <c r="H3216" s="310"/>
      <c r="I3216" s="295"/>
      <c r="J3216" s="295"/>
      <c r="K3216" s="300"/>
      <c r="L3216" s="300"/>
      <c r="M3216" s="285"/>
      <c r="N3216" s="1076"/>
      <c r="O3216" s="294"/>
      <c r="P3216" s="404"/>
      <c r="Q3216" s="404"/>
      <c r="R3216" s="301"/>
      <c r="S3216" s="301"/>
      <c r="T3216" s="301"/>
      <c r="U3216" s="301"/>
      <c r="V3216" s="301"/>
    </row>
    <row r="3217" spans="1:22" ht="14.4" thickTop="1" thickBot="1" x14ac:dyDescent="0.3">
      <c r="A3217" s="292"/>
      <c r="B3217" s="293"/>
      <c r="C3217" s="294"/>
      <c r="D3217" s="294"/>
      <c r="E3217" s="294"/>
      <c r="F3217" s="310"/>
      <c r="G3217" s="310"/>
      <c r="H3217" s="310"/>
      <c r="I3217" s="295"/>
      <c r="J3217" s="295"/>
      <c r="K3217" s="300"/>
      <c r="L3217" s="300"/>
      <c r="M3217" s="285"/>
      <c r="N3217" s="1076"/>
      <c r="O3217" s="294"/>
      <c r="P3217" s="404"/>
      <c r="Q3217" s="404"/>
      <c r="R3217" s="301"/>
      <c r="S3217" s="301"/>
      <c r="T3217" s="301"/>
      <c r="U3217" s="301"/>
      <c r="V3217" s="301"/>
    </row>
    <row r="3218" spans="1:22" ht="14.4" thickTop="1" thickBot="1" x14ac:dyDescent="0.3">
      <c r="A3218" s="292"/>
      <c r="B3218" s="293"/>
      <c r="C3218" s="294"/>
      <c r="D3218" s="294"/>
      <c r="E3218" s="294"/>
      <c r="F3218" s="310"/>
      <c r="G3218" s="310"/>
      <c r="H3218" s="310"/>
      <c r="I3218" s="295"/>
      <c r="J3218" s="295"/>
      <c r="K3218" s="300"/>
      <c r="L3218" s="300"/>
      <c r="M3218" s="285"/>
      <c r="N3218" s="1076"/>
      <c r="O3218" s="294"/>
      <c r="P3218" s="404"/>
      <c r="Q3218" s="404"/>
      <c r="R3218" s="301"/>
      <c r="S3218" s="301"/>
      <c r="T3218" s="301"/>
      <c r="U3218" s="301"/>
      <c r="V3218" s="301"/>
    </row>
    <row r="3219" spans="1:22" ht="14.4" thickTop="1" thickBot="1" x14ac:dyDescent="0.3">
      <c r="A3219" s="292"/>
      <c r="B3219" s="293"/>
      <c r="C3219" s="294"/>
      <c r="D3219" s="294"/>
      <c r="E3219" s="294"/>
      <c r="F3219" s="310"/>
      <c r="G3219" s="310"/>
      <c r="H3219" s="310"/>
      <c r="I3219" s="295"/>
      <c r="J3219" s="295"/>
      <c r="K3219" s="300"/>
      <c r="L3219" s="300"/>
      <c r="M3219" s="285"/>
      <c r="N3219" s="1076"/>
      <c r="O3219" s="294"/>
      <c r="P3219" s="404"/>
      <c r="Q3219" s="404"/>
      <c r="R3219" s="301"/>
      <c r="S3219" s="301"/>
      <c r="T3219" s="301"/>
      <c r="U3219" s="301"/>
      <c r="V3219" s="301"/>
    </row>
    <row r="3220" spans="1:22" ht="14.4" thickTop="1" thickBot="1" x14ac:dyDescent="0.3">
      <c r="A3220" s="292"/>
      <c r="B3220" s="293"/>
      <c r="C3220" s="294"/>
      <c r="D3220" s="294"/>
      <c r="E3220" s="294"/>
      <c r="F3220" s="310"/>
      <c r="G3220" s="310"/>
      <c r="H3220" s="310"/>
      <c r="I3220" s="295"/>
      <c r="J3220" s="295"/>
      <c r="K3220" s="300"/>
      <c r="L3220" s="300"/>
      <c r="M3220" s="285"/>
      <c r="N3220" s="1076"/>
      <c r="O3220" s="294"/>
      <c r="P3220" s="404"/>
      <c r="Q3220" s="404"/>
      <c r="R3220" s="301"/>
      <c r="S3220" s="301"/>
      <c r="T3220" s="301"/>
      <c r="U3220" s="301"/>
      <c r="V3220" s="301"/>
    </row>
    <row r="3221" spans="1:22" ht="14.4" thickTop="1" thickBot="1" x14ac:dyDescent="0.3">
      <c r="A3221" s="292"/>
      <c r="B3221" s="293"/>
      <c r="C3221" s="294"/>
      <c r="D3221" s="294"/>
      <c r="E3221" s="294"/>
      <c r="F3221" s="310"/>
      <c r="G3221" s="310"/>
      <c r="H3221" s="310"/>
      <c r="I3221" s="295"/>
      <c r="J3221" s="295"/>
      <c r="K3221" s="300"/>
      <c r="L3221" s="300"/>
      <c r="M3221" s="285"/>
      <c r="N3221" s="1076"/>
      <c r="O3221" s="294"/>
      <c r="P3221" s="404"/>
      <c r="Q3221" s="404"/>
      <c r="R3221" s="301"/>
      <c r="S3221" s="301"/>
      <c r="T3221" s="301"/>
      <c r="U3221" s="301"/>
      <c r="V3221" s="301"/>
    </row>
    <row r="3222" spans="1:22" ht="14.4" thickTop="1" thickBot="1" x14ac:dyDescent="0.3">
      <c r="A3222" s="292"/>
      <c r="B3222" s="293"/>
      <c r="C3222" s="294"/>
      <c r="D3222" s="294"/>
      <c r="E3222" s="294"/>
      <c r="F3222" s="310"/>
      <c r="G3222" s="310"/>
      <c r="H3222" s="310"/>
      <c r="I3222" s="295"/>
      <c r="J3222" s="295"/>
      <c r="K3222" s="300"/>
      <c r="L3222" s="300"/>
      <c r="M3222" s="285"/>
      <c r="N3222" s="1076"/>
      <c r="O3222" s="294"/>
      <c r="P3222" s="404"/>
      <c r="Q3222" s="404"/>
      <c r="R3222" s="301"/>
      <c r="S3222" s="301"/>
      <c r="T3222" s="301"/>
      <c r="U3222" s="301"/>
      <c r="V3222" s="301"/>
    </row>
    <row r="3223" spans="1:22" ht="14.4" thickTop="1" thickBot="1" x14ac:dyDescent="0.3">
      <c r="A3223" s="292"/>
      <c r="B3223" s="293"/>
      <c r="C3223" s="294"/>
      <c r="D3223" s="294"/>
      <c r="E3223" s="294"/>
      <c r="F3223" s="310"/>
      <c r="G3223" s="310"/>
      <c r="H3223" s="310"/>
      <c r="I3223" s="295"/>
      <c r="J3223" s="295"/>
      <c r="K3223" s="300"/>
      <c r="L3223" s="300"/>
      <c r="M3223" s="285"/>
      <c r="N3223" s="1076"/>
      <c r="O3223" s="294"/>
      <c r="P3223" s="404"/>
      <c r="Q3223" s="404"/>
      <c r="R3223" s="301"/>
      <c r="S3223" s="301"/>
      <c r="T3223" s="301"/>
      <c r="U3223" s="301"/>
      <c r="V3223" s="301"/>
    </row>
    <row r="3224" spans="1:22" ht="14.4" thickTop="1" thickBot="1" x14ac:dyDescent="0.3">
      <c r="A3224" s="292"/>
      <c r="B3224" s="293"/>
      <c r="C3224" s="294"/>
      <c r="D3224" s="294"/>
      <c r="E3224" s="294"/>
      <c r="F3224" s="310"/>
      <c r="G3224" s="310"/>
      <c r="H3224" s="310"/>
      <c r="I3224" s="295"/>
      <c r="J3224" s="295"/>
      <c r="K3224" s="300"/>
      <c r="L3224" s="300"/>
      <c r="M3224" s="285"/>
      <c r="N3224" s="1076"/>
      <c r="O3224" s="294"/>
      <c r="P3224" s="404"/>
      <c r="Q3224" s="404"/>
      <c r="R3224" s="301"/>
      <c r="S3224" s="301"/>
      <c r="T3224" s="301"/>
      <c r="U3224" s="301"/>
      <c r="V3224" s="301"/>
    </row>
    <row r="3225" spans="1:22" ht="14.4" thickTop="1" thickBot="1" x14ac:dyDescent="0.3">
      <c r="A3225" s="292"/>
      <c r="B3225" s="293"/>
      <c r="C3225" s="294"/>
      <c r="D3225" s="294"/>
      <c r="E3225" s="294"/>
      <c r="F3225" s="310"/>
      <c r="G3225" s="310"/>
      <c r="H3225" s="310"/>
      <c r="I3225" s="295"/>
      <c r="J3225" s="295"/>
      <c r="K3225" s="300"/>
      <c r="L3225" s="300"/>
      <c r="M3225" s="285"/>
      <c r="N3225" s="1076"/>
      <c r="O3225" s="294"/>
      <c r="P3225" s="404"/>
      <c r="Q3225" s="404"/>
      <c r="R3225" s="301"/>
      <c r="S3225" s="301"/>
      <c r="T3225" s="301"/>
      <c r="U3225" s="301"/>
      <c r="V3225" s="301"/>
    </row>
    <row r="3226" spans="1:22" ht="14.4" thickTop="1" thickBot="1" x14ac:dyDescent="0.3">
      <c r="A3226" s="292"/>
      <c r="B3226" s="293"/>
      <c r="C3226" s="294"/>
      <c r="D3226" s="294"/>
      <c r="E3226" s="294"/>
      <c r="F3226" s="310"/>
      <c r="G3226" s="310"/>
      <c r="H3226" s="310"/>
      <c r="I3226" s="295"/>
      <c r="J3226" s="295"/>
      <c r="K3226" s="300"/>
      <c r="L3226" s="300"/>
      <c r="M3226" s="285"/>
      <c r="N3226" s="1076"/>
      <c r="O3226" s="294"/>
      <c r="P3226" s="404"/>
      <c r="Q3226" s="404"/>
      <c r="R3226" s="301"/>
      <c r="S3226" s="301"/>
      <c r="T3226" s="301"/>
      <c r="U3226" s="301"/>
      <c r="V3226" s="301"/>
    </row>
    <row r="3227" spans="1:22" ht="14.4" thickTop="1" thickBot="1" x14ac:dyDescent="0.3">
      <c r="A3227" s="292"/>
      <c r="B3227" s="293"/>
      <c r="C3227" s="294"/>
      <c r="D3227" s="294"/>
      <c r="E3227" s="294"/>
      <c r="F3227" s="310"/>
      <c r="G3227" s="310"/>
      <c r="H3227" s="310"/>
      <c r="I3227" s="295"/>
      <c r="J3227" s="295"/>
      <c r="K3227" s="300"/>
      <c r="L3227" s="300"/>
      <c r="M3227" s="285"/>
      <c r="N3227" s="1076"/>
      <c r="O3227" s="294"/>
      <c r="P3227" s="404"/>
      <c r="Q3227" s="404"/>
      <c r="R3227" s="301"/>
      <c r="S3227" s="301"/>
      <c r="T3227" s="301"/>
      <c r="U3227" s="301"/>
      <c r="V3227" s="301"/>
    </row>
    <row r="3228" spans="1:22" ht="14.4" thickTop="1" thickBot="1" x14ac:dyDescent="0.3">
      <c r="A3228" s="292"/>
      <c r="B3228" s="293"/>
      <c r="C3228" s="294"/>
      <c r="D3228" s="294"/>
      <c r="E3228" s="294"/>
      <c r="F3228" s="310"/>
      <c r="G3228" s="310"/>
      <c r="H3228" s="310"/>
      <c r="I3228" s="295"/>
      <c r="J3228" s="295"/>
      <c r="K3228" s="300"/>
      <c r="L3228" s="300"/>
      <c r="M3228" s="285"/>
      <c r="N3228" s="1076"/>
      <c r="O3228" s="294"/>
      <c r="P3228" s="404"/>
      <c r="Q3228" s="404"/>
      <c r="R3228" s="301"/>
      <c r="S3228" s="301"/>
      <c r="T3228" s="301"/>
      <c r="U3228" s="301"/>
      <c r="V3228" s="301"/>
    </row>
    <row r="3229" spans="1:22" ht="14.4" thickTop="1" thickBot="1" x14ac:dyDescent="0.3">
      <c r="A3229" s="292"/>
      <c r="B3229" s="293"/>
      <c r="C3229" s="294"/>
      <c r="D3229" s="294"/>
      <c r="E3229" s="294"/>
      <c r="F3229" s="310"/>
      <c r="G3229" s="310"/>
      <c r="H3229" s="310"/>
      <c r="I3229" s="295"/>
      <c r="J3229" s="295"/>
      <c r="K3229" s="300"/>
      <c r="L3229" s="300"/>
      <c r="M3229" s="285"/>
      <c r="N3229" s="1076"/>
      <c r="O3229" s="294"/>
      <c r="P3229" s="404"/>
      <c r="Q3229" s="404"/>
      <c r="R3229" s="301"/>
      <c r="S3229" s="301"/>
      <c r="T3229" s="301"/>
      <c r="U3229" s="301"/>
      <c r="V3229" s="301"/>
    </row>
    <row r="3230" spans="1:22" ht="14.4" thickTop="1" thickBot="1" x14ac:dyDescent="0.3">
      <c r="A3230" s="292"/>
      <c r="B3230" s="293"/>
      <c r="C3230" s="294"/>
      <c r="D3230" s="294"/>
      <c r="E3230" s="294"/>
      <c r="F3230" s="310"/>
      <c r="G3230" s="310"/>
      <c r="H3230" s="310"/>
      <c r="I3230" s="295"/>
      <c r="J3230" s="295"/>
      <c r="K3230" s="300"/>
      <c r="L3230" s="300"/>
      <c r="M3230" s="285"/>
      <c r="N3230" s="1076"/>
      <c r="O3230" s="294"/>
      <c r="P3230" s="404"/>
      <c r="Q3230" s="404"/>
      <c r="R3230" s="301"/>
      <c r="S3230" s="301"/>
      <c r="T3230" s="301"/>
      <c r="U3230" s="301"/>
      <c r="V3230" s="301"/>
    </row>
    <row r="3231" spans="1:22" ht="14.4" thickTop="1" thickBot="1" x14ac:dyDescent="0.3">
      <c r="A3231" s="292"/>
      <c r="B3231" s="293"/>
      <c r="C3231" s="294"/>
      <c r="D3231" s="294"/>
      <c r="E3231" s="294"/>
      <c r="F3231" s="310"/>
      <c r="G3231" s="310"/>
      <c r="H3231" s="310"/>
      <c r="I3231" s="295"/>
      <c r="J3231" s="295"/>
      <c r="K3231" s="300"/>
      <c r="L3231" s="300"/>
      <c r="M3231" s="285"/>
      <c r="N3231" s="1076"/>
      <c r="O3231" s="294"/>
      <c r="P3231" s="404"/>
      <c r="Q3231" s="404"/>
      <c r="R3231" s="301"/>
      <c r="S3231" s="301"/>
      <c r="T3231" s="301"/>
      <c r="U3231" s="301"/>
      <c r="V3231" s="301"/>
    </row>
    <row r="3232" spans="1:22" ht="14.4" thickTop="1" thickBot="1" x14ac:dyDescent="0.3">
      <c r="A3232" s="292"/>
      <c r="B3232" s="293"/>
      <c r="C3232" s="294"/>
      <c r="D3232" s="294"/>
      <c r="E3232" s="294"/>
      <c r="F3232" s="310"/>
      <c r="G3232" s="310"/>
      <c r="H3232" s="310"/>
      <c r="I3232" s="295"/>
      <c r="J3232" s="295"/>
      <c r="K3232" s="300"/>
      <c r="L3232" s="300"/>
      <c r="M3232" s="285"/>
      <c r="N3232" s="1076"/>
      <c r="O3232" s="294"/>
      <c r="P3232" s="404"/>
      <c r="Q3232" s="404"/>
      <c r="R3232" s="301"/>
      <c r="S3232" s="301"/>
      <c r="T3232" s="301"/>
      <c r="U3232" s="301"/>
      <c r="V3232" s="301"/>
    </row>
    <row r="3233" spans="1:22" ht="14.4" thickTop="1" thickBot="1" x14ac:dyDescent="0.3">
      <c r="A3233" s="292"/>
      <c r="B3233" s="293"/>
      <c r="C3233" s="294"/>
      <c r="D3233" s="294"/>
      <c r="E3233" s="294"/>
      <c r="F3233" s="310"/>
      <c r="G3233" s="310"/>
      <c r="H3233" s="310"/>
      <c r="I3233" s="295"/>
      <c r="J3233" s="295"/>
      <c r="K3233" s="300"/>
      <c r="L3233" s="300"/>
      <c r="M3233" s="285"/>
      <c r="N3233" s="1076"/>
      <c r="O3233" s="294"/>
      <c r="P3233" s="404"/>
      <c r="Q3233" s="404"/>
      <c r="R3233" s="301"/>
      <c r="S3233" s="301"/>
      <c r="T3233" s="301"/>
      <c r="U3233" s="301"/>
      <c r="V3233" s="301"/>
    </row>
    <row r="3234" spans="1:22" ht="14.4" thickTop="1" thickBot="1" x14ac:dyDescent="0.3">
      <c r="A3234" s="292"/>
      <c r="B3234" s="293"/>
      <c r="C3234" s="294"/>
      <c r="D3234" s="294"/>
      <c r="E3234" s="294"/>
      <c r="F3234" s="310"/>
      <c r="G3234" s="310"/>
      <c r="H3234" s="310"/>
      <c r="I3234" s="295"/>
      <c r="J3234" s="295"/>
      <c r="K3234" s="300"/>
      <c r="L3234" s="300"/>
      <c r="M3234" s="285"/>
      <c r="N3234" s="1076"/>
      <c r="O3234" s="294"/>
      <c r="P3234" s="404"/>
      <c r="Q3234" s="404"/>
      <c r="R3234" s="301"/>
      <c r="S3234" s="301"/>
      <c r="T3234" s="301"/>
      <c r="U3234" s="301"/>
      <c r="V3234" s="301"/>
    </row>
    <row r="3235" spans="1:22" ht="14.4" thickTop="1" thickBot="1" x14ac:dyDescent="0.3">
      <c r="A3235" s="292"/>
      <c r="B3235" s="293"/>
      <c r="C3235" s="294"/>
      <c r="D3235" s="294"/>
      <c r="E3235" s="294"/>
      <c r="F3235" s="310"/>
      <c r="G3235" s="310"/>
      <c r="H3235" s="310"/>
      <c r="I3235" s="295"/>
      <c r="J3235" s="295"/>
      <c r="K3235" s="300"/>
      <c r="L3235" s="300"/>
      <c r="M3235" s="285"/>
      <c r="N3235" s="1076"/>
      <c r="O3235" s="294"/>
      <c r="P3235" s="404"/>
      <c r="Q3235" s="404"/>
      <c r="R3235" s="301"/>
      <c r="S3235" s="301"/>
      <c r="T3235" s="301"/>
      <c r="U3235" s="301"/>
      <c r="V3235" s="301"/>
    </row>
    <row r="3236" spans="1:22" ht="14.4" thickTop="1" thickBot="1" x14ac:dyDescent="0.3">
      <c r="A3236" s="292"/>
      <c r="B3236" s="293"/>
      <c r="C3236" s="294"/>
      <c r="D3236" s="294"/>
      <c r="E3236" s="294"/>
      <c r="F3236" s="310"/>
      <c r="G3236" s="310"/>
      <c r="H3236" s="310"/>
      <c r="I3236" s="295"/>
      <c r="J3236" s="295"/>
      <c r="K3236" s="300"/>
      <c r="L3236" s="300"/>
      <c r="M3236" s="285"/>
      <c r="N3236" s="1076"/>
      <c r="O3236" s="294"/>
      <c r="P3236" s="404"/>
      <c r="Q3236" s="404"/>
      <c r="R3236" s="301"/>
      <c r="S3236" s="301"/>
      <c r="T3236" s="301"/>
      <c r="U3236" s="301"/>
      <c r="V3236" s="301"/>
    </row>
    <row r="3237" spans="1:22" ht="14.4" thickTop="1" thickBot="1" x14ac:dyDescent="0.3">
      <c r="A3237" s="292"/>
      <c r="B3237" s="293"/>
      <c r="C3237" s="294"/>
      <c r="D3237" s="294"/>
      <c r="E3237" s="294"/>
      <c r="F3237" s="310"/>
      <c r="G3237" s="310"/>
      <c r="H3237" s="310"/>
      <c r="I3237" s="295"/>
      <c r="J3237" s="295"/>
      <c r="K3237" s="300"/>
      <c r="L3237" s="300"/>
      <c r="M3237" s="285"/>
      <c r="N3237" s="1076"/>
      <c r="O3237" s="294"/>
      <c r="P3237" s="404"/>
      <c r="Q3237" s="404"/>
      <c r="R3237" s="301"/>
      <c r="S3237" s="301"/>
      <c r="T3237" s="301"/>
      <c r="U3237" s="301"/>
      <c r="V3237" s="301"/>
    </row>
    <row r="3238" spans="1:22" ht="14.4" thickTop="1" thickBot="1" x14ac:dyDescent="0.3">
      <c r="A3238" s="292"/>
      <c r="B3238" s="293"/>
      <c r="C3238" s="294"/>
      <c r="D3238" s="294"/>
      <c r="E3238" s="294"/>
      <c r="F3238" s="310"/>
      <c r="G3238" s="310"/>
      <c r="H3238" s="310"/>
      <c r="I3238" s="295"/>
      <c r="J3238" s="295"/>
      <c r="K3238" s="300"/>
      <c r="L3238" s="300"/>
      <c r="M3238" s="285"/>
      <c r="N3238" s="1076"/>
      <c r="O3238" s="294"/>
      <c r="P3238" s="404"/>
      <c r="Q3238" s="404"/>
      <c r="R3238" s="301"/>
      <c r="S3238" s="301"/>
      <c r="T3238" s="301"/>
      <c r="U3238" s="301"/>
      <c r="V3238" s="301"/>
    </row>
    <row r="3239" spans="1:22" ht="14.4" thickTop="1" thickBot="1" x14ac:dyDescent="0.3">
      <c r="A3239" s="292"/>
      <c r="B3239" s="293"/>
      <c r="C3239" s="294"/>
      <c r="D3239" s="294"/>
      <c r="E3239" s="294"/>
      <c r="F3239" s="310"/>
      <c r="G3239" s="310"/>
      <c r="H3239" s="310"/>
      <c r="I3239" s="295"/>
      <c r="J3239" s="295"/>
      <c r="K3239" s="300"/>
      <c r="L3239" s="300"/>
      <c r="M3239" s="285"/>
      <c r="N3239" s="1076"/>
      <c r="O3239" s="294"/>
      <c r="P3239" s="404"/>
      <c r="Q3239" s="404"/>
      <c r="R3239" s="301"/>
      <c r="S3239" s="301"/>
      <c r="T3239" s="301"/>
      <c r="U3239" s="301"/>
      <c r="V3239" s="301"/>
    </row>
    <row r="3240" spans="1:22" ht="14.4" thickTop="1" thickBot="1" x14ac:dyDescent="0.3">
      <c r="A3240" s="292"/>
      <c r="B3240" s="293"/>
      <c r="C3240" s="294"/>
      <c r="D3240" s="294"/>
      <c r="E3240" s="294"/>
      <c r="F3240" s="310"/>
      <c r="G3240" s="310"/>
      <c r="H3240" s="310"/>
      <c r="I3240" s="295"/>
      <c r="J3240" s="295"/>
      <c r="K3240" s="300"/>
      <c r="L3240" s="300"/>
      <c r="M3240" s="285"/>
      <c r="N3240" s="1076"/>
      <c r="O3240" s="294"/>
      <c r="P3240" s="404"/>
      <c r="Q3240" s="404"/>
      <c r="R3240" s="301"/>
      <c r="S3240" s="301"/>
      <c r="T3240" s="301"/>
      <c r="U3240" s="301"/>
      <c r="V3240" s="301"/>
    </row>
    <row r="3241" spans="1:22" ht="14.4" thickTop="1" thickBot="1" x14ac:dyDescent="0.3">
      <c r="A3241" s="292"/>
      <c r="B3241" s="293"/>
      <c r="C3241" s="294"/>
      <c r="D3241" s="294"/>
      <c r="E3241" s="294"/>
      <c r="F3241" s="310"/>
      <c r="G3241" s="310"/>
      <c r="H3241" s="310"/>
      <c r="I3241" s="295"/>
      <c r="J3241" s="295"/>
      <c r="K3241" s="300"/>
      <c r="L3241" s="300"/>
      <c r="M3241" s="285"/>
      <c r="N3241" s="1076"/>
      <c r="O3241" s="294"/>
      <c r="P3241" s="404"/>
      <c r="Q3241" s="404"/>
      <c r="R3241" s="301"/>
      <c r="S3241" s="301"/>
      <c r="T3241" s="301"/>
      <c r="U3241" s="301"/>
      <c r="V3241" s="301"/>
    </row>
    <row r="3242" spans="1:22" ht="14.4" thickTop="1" thickBot="1" x14ac:dyDescent="0.3">
      <c r="A3242" s="292"/>
      <c r="B3242" s="293"/>
      <c r="C3242" s="294"/>
      <c r="D3242" s="294"/>
      <c r="E3242" s="294"/>
      <c r="F3242" s="310"/>
      <c r="G3242" s="310"/>
      <c r="H3242" s="310"/>
      <c r="I3242" s="295"/>
      <c r="J3242" s="295"/>
      <c r="K3242" s="300"/>
      <c r="L3242" s="300"/>
      <c r="M3242" s="285"/>
      <c r="N3242" s="1076"/>
      <c r="O3242" s="294"/>
      <c r="P3242" s="404"/>
      <c r="Q3242" s="404"/>
      <c r="R3242" s="301"/>
      <c r="S3242" s="301"/>
      <c r="T3242" s="301"/>
      <c r="U3242" s="301"/>
      <c r="V3242" s="301"/>
    </row>
    <row r="3243" spans="1:22" ht="14.4" thickTop="1" thickBot="1" x14ac:dyDescent="0.3">
      <c r="A3243" s="292"/>
      <c r="B3243" s="293"/>
      <c r="C3243" s="294"/>
      <c r="D3243" s="294"/>
      <c r="E3243" s="294"/>
      <c r="F3243" s="310"/>
      <c r="G3243" s="310"/>
      <c r="H3243" s="310"/>
      <c r="I3243" s="295"/>
      <c r="J3243" s="295"/>
      <c r="K3243" s="300"/>
      <c r="L3243" s="300"/>
      <c r="M3243" s="285"/>
      <c r="N3243" s="1076"/>
      <c r="O3243" s="294"/>
      <c r="P3243" s="404"/>
      <c r="Q3243" s="404"/>
      <c r="R3243" s="301"/>
      <c r="S3243" s="301"/>
      <c r="T3243" s="301"/>
      <c r="U3243" s="301"/>
      <c r="V3243" s="301"/>
    </row>
    <row r="3244" spans="1:22" ht="14.4" thickTop="1" thickBot="1" x14ac:dyDescent="0.3">
      <c r="A3244" s="292"/>
      <c r="B3244" s="293"/>
      <c r="C3244" s="294"/>
      <c r="D3244" s="294"/>
      <c r="E3244" s="294"/>
      <c r="F3244" s="310"/>
      <c r="G3244" s="310"/>
      <c r="H3244" s="310"/>
      <c r="I3244" s="295"/>
      <c r="J3244" s="295"/>
      <c r="K3244" s="300"/>
      <c r="L3244" s="300"/>
      <c r="M3244" s="285"/>
      <c r="N3244" s="1076"/>
      <c r="O3244" s="294"/>
      <c r="P3244" s="404"/>
      <c r="Q3244" s="404"/>
      <c r="R3244" s="301"/>
      <c r="S3244" s="301"/>
      <c r="T3244" s="301"/>
      <c r="U3244" s="301"/>
      <c r="V3244" s="301"/>
    </row>
    <row r="3245" spans="1:22" ht="14.4" thickTop="1" thickBot="1" x14ac:dyDescent="0.3">
      <c r="A3245" s="292"/>
      <c r="B3245" s="293"/>
      <c r="C3245" s="294"/>
      <c r="D3245" s="294"/>
      <c r="E3245" s="294"/>
      <c r="F3245" s="310"/>
      <c r="G3245" s="310"/>
      <c r="H3245" s="310"/>
      <c r="I3245" s="295"/>
      <c r="J3245" s="295"/>
      <c r="K3245" s="300"/>
      <c r="L3245" s="300"/>
      <c r="M3245" s="285"/>
      <c r="N3245" s="1076"/>
      <c r="O3245" s="294"/>
      <c r="P3245" s="404"/>
      <c r="Q3245" s="404"/>
      <c r="R3245" s="301"/>
      <c r="S3245" s="301"/>
      <c r="T3245" s="301"/>
      <c r="U3245" s="301"/>
      <c r="V3245" s="301"/>
    </row>
    <row r="3246" spans="1:22" ht="14.4" thickTop="1" thickBot="1" x14ac:dyDescent="0.3">
      <c r="A3246" s="292"/>
      <c r="B3246" s="293"/>
      <c r="C3246" s="294"/>
      <c r="D3246" s="294"/>
      <c r="E3246" s="294"/>
      <c r="F3246" s="310"/>
      <c r="G3246" s="310"/>
      <c r="H3246" s="310"/>
      <c r="I3246" s="295"/>
      <c r="J3246" s="295"/>
      <c r="K3246" s="300"/>
      <c r="L3246" s="300"/>
      <c r="M3246" s="285"/>
      <c r="N3246" s="1076"/>
      <c r="O3246" s="294"/>
      <c r="P3246" s="404"/>
      <c r="Q3246" s="404"/>
      <c r="R3246" s="301"/>
      <c r="S3246" s="301"/>
      <c r="T3246" s="301"/>
      <c r="U3246" s="301"/>
      <c r="V3246" s="301"/>
    </row>
    <row r="3247" spans="1:22" ht="14.4" thickTop="1" thickBot="1" x14ac:dyDescent="0.3">
      <c r="A3247" s="292"/>
      <c r="B3247" s="293"/>
      <c r="C3247" s="294"/>
      <c r="D3247" s="294"/>
      <c r="E3247" s="294"/>
      <c r="F3247" s="310"/>
      <c r="G3247" s="310"/>
      <c r="H3247" s="310"/>
      <c r="I3247" s="295"/>
      <c r="J3247" s="295"/>
      <c r="K3247" s="300"/>
      <c r="L3247" s="300"/>
      <c r="M3247" s="285"/>
      <c r="N3247" s="1076"/>
      <c r="O3247" s="294"/>
      <c r="P3247" s="404"/>
      <c r="Q3247" s="404"/>
      <c r="R3247" s="301"/>
      <c r="S3247" s="301"/>
      <c r="T3247" s="301"/>
      <c r="U3247" s="301"/>
      <c r="V3247" s="301"/>
    </row>
    <row r="3248" spans="1:22" ht="14.4" thickTop="1" thickBot="1" x14ac:dyDescent="0.3">
      <c r="A3248" s="292"/>
      <c r="B3248" s="293"/>
      <c r="C3248" s="294"/>
      <c r="D3248" s="294"/>
      <c r="E3248" s="294"/>
      <c r="F3248" s="310"/>
      <c r="G3248" s="310"/>
      <c r="H3248" s="310"/>
      <c r="I3248" s="295"/>
      <c r="J3248" s="295"/>
      <c r="K3248" s="300"/>
      <c r="L3248" s="300"/>
      <c r="M3248" s="285"/>
      <c r="N3248" s="1076"/>
      <c r="O3248" s="294"/>
      <c r="P3248" s="404"/>
      <c r="Q3248" s="404"/>
      <c r="R3248" s="301"/>
      <c r="S3248" s="301"/>
      <c r="T3248" s="301"/>
      <c r="U3248" s="301"/>
      <c r="V3248" s="301"/>
    </row>
    <row r="3249" spans="1:22" ht="14.4" thickTop="1" thickBot="1" x14ac:dyDescent="0.3">
      <c r="A3249" s="292"/>
      <c r="B3249" s="293"/>
      <c r="C3249" s="294"/>
      <c r="D3249" s="294"/>
      <c r="E3249" s="294"/>
      <c r="F3249" s="310"/>
      <c r="G3249" s="310"/>
      <c r="H3249" s="310"/>
      <c r="I3249" s="295"/>
      <c r="J3249" s="295"/>
      <c r="K3249" s="300"/>
      <c r="L3249" s="300"/>
      <c r="M3249" s="285"/>
      <c r="N3249" s="1076"/>
      <c r="O3249" s="294"/>
      <c r="P3249" s="404"/>
      <c r="Q3249" s="404"/>
      <c r="R3249" s="301"/>
      <c r="S3249" s="301"/>
      <c r="T3249" s="301"/>
      <c r="U3249" s="301"/>
      <c r="V3249" s="301"/>
    </row>
    <row r="3250" spans="1:22" ht="14.4" thickTop="1" thickBot="1" x14ac:dyDescent="0.3">
      <c r="A3250" s="292"/>
      <c r="B3250" s="293"/>
      <c r="C3250" s="294"/>
      <c r="D3250" s="294"/>
      <c r="E3250" s="294"/>
      <c r="F3250" s="310"/>
      <c r="G3250" s="310"/>
      <c r="H3250" s="310"/>
      <c r="I3250" s="295"/>
      <c r="J3250" s="295"/>
      <c r="K3250" s="300"/>
      <c r="L3250" s="300"/>
      <c r="M3250" s="285"/>
      <c r="N3250" s="1076"/>
      <c r="O3250" s="294"/>
      <c r="P3250" s="404"/>
      <c r="Q3250" s="404"/>
      <c r="R3250" s="301"/>
      <c r="S3250" s="301"/>
      <c r="T3250" s="301"/>
      <c r="U3250" s="301"/>
      <c r="V3250" s="301"/>
    </row>
    <row r="3251" spans="1:22" ht="14.4" thickTop="1" thickBot="1" x14ac:dyDescent="0.3">
      <c r="A3251" s="292"/>
      <c r="B3251" s="293"/>
      <c r="C3251" s="294"/>
      <c r="D3251" s="294"/>
      <c r="E3251" s="294"/>
      <c r="F3251" s="310"/>
      <c r="G3251" s="310"/>
      <c r="H3251" s="310"/>
      <c r="I3251" s="295"/>
      <c r="J3251" s="295"/>
      <c r="K3251" s="300"/>
      <c r="L3251" s="300"/>
      <c r="M3251" s="285"/>
      <c r="N3251" s="1076"/>
      <c r="O3251" s="294"/>
      <c r="P3251" s="404"/>
      <c r="Q3251" s="404"/>
      <c r="R3251" s="301"/>
      <c r="S3251" s="301"/>
      <c r="T3251" s="301"/>
      <c r="U3251" s="301"/>
      <c r="V3251" s="301"/>
    </row>
    <row r="3252" spans="1:22" ht="14.4" thickTop="1" thickBot="1" x14ac:dyDescent="0.3">
      <c r="A3252" s="292"/>
      <c r="B3252" s="293"/>
      <c r="C3252" s="294"/>
      <c r="D3252" s="294"/>
      <c r="E3252" s="294"/>
      <c r="F3252" s="310"/>
      <c r="G3252" s="310"/>
      <c r="H3252" s="310"/>
      <c r="I3252" s="295"/>
      <c r="J3252" s="295"/>
      <c r="K3252" s="300"/>
      <c r="L3252" s="300"/>
      <c r="M3252" s="285"/>
      <c r="N3252" s="1076"/>
      <c r="O3252" s="294"/>
      <c r="P3252" s="404"/>
      <c r="Q3252" s="404"/>
      <c r="R3252" s="301"/>
      <c r="S3252" s="301"/>
      <c r="T3252" s="301"/>
      <c r="U3252" s="301"/>
      <c r="V3252" s="301"/>
    </row>
    <row r="3253" spans="1:22" ht="14.4" thickTop="1" thickBot="1" x14ac:dyDescent="0.3">
      <c r="A3253" s="292"/>
      <c r="B3253" s="293"/>
      <c r="C3253" s="294"/>
      <c r="D3253" s="294"/>
      <c r="E3253" s="294"/>
      <c r="F3253" s="310"/>
      <c r="G3253" s="310"/>
      <c r="H3253" s="310"/>
      <c r="I3253" s="295"/>
      <c r="J3253" s="295"/>
      <c r="K3253" s="300"/>
      <c r="L3253" s="300"/>
      <c r="M3253" s="285"/>
      <c r="N3253" s="1076"/>
      <c r="O3253" s="294"/>
      <c r="P3253" s="404"/>
      <c r="Q3253" s="404"/>
      <c r="R3253" s="301"/>
      <c r="S3253" s="301"/>
      <c r="T3253" s="301"/>
      <c r="U3253" s="301"/>
      <c r="V3253" s="301"/>
    </row>
    <row r="3254" spans="1:22" ht="14.4" thickTop="1" thickBot="1" x14ac:dyDescent="0.3">
      <c r="A3254" s="292"/>
      <c r="B3254" s="293"/>
      <c r="C3254" s="294"/>
      <c r="D3254" s="294"/>
      <c r="E3254" s="294"/>
      <c r="F3254" s="310"/>
      <c r="G3254" s="310"/>
      <c r="H3254" s="310"/>
      <c r="I3254" s="295"/>
      <c r="J3254" s="295"/>
      <c r="K3254" s="300"/>
      <c r="L3254" s="300"/>
      <c r="M3254" s="285"/>
      <c r="N3254" s="1076"/>
      <c r="O3254" s="294"/>
      <c r="P3254" s="404"/>
      <c r="Q3254" s="404"/>
      <c r="R3254" s="301"/>
      <c r="S3254" s="301"/>
      <c r="T3254" s="301"/>
      <c r="U3254" s="301"/>
      <c r="V3254" s="301"/>
    </row>
    <row r="3255" spans="1:22" ht="14.4" thickTop="1" thickBot="1" x14ac:dyDescent="0.3">
      <c r="A3255" s="292"/>
      <c r="B3255" s="293"/>
      <c r="C3255" s="294"/>
      <c r="D3255" s="294"/>
      <c r="E3255" s="294"/>
      <c r="F3255" s="310"/>
      <c r="G3255" s="310"/>
      <c r="H3255" s="310"/>
      <c r="I3255" s="295"/>
      <c r="J3255" s="295"/>
      <c r="K3255" s="300"/>
      <c r="L3255" s="300"/>
      <c r="M3255" s="285"/>
      <c r="N3255" s="1076"/>
      <c r="O3255" s="294"/>
      <c r="P3255" s="404"/>
      <c r="Q3255" s="404"/>
      <c r="R3255" s="301"/>
      <c r="S3255" s="301"/>
      <c r="T3255" s="301"/>
      <c r="U3255" s="301"/>
      <c r="V3255" s="301"/>
    </row>
    <row r="3256" spans="1:22" ht="14.4" thickTop="1" thickBot="1" x14ac:dyDescent="0.3">
      <c r="A3256" s="292"/>
      <c r="B3256" s="293"/>
      <c r="C3256" s="294"/>
      <c r="D3256" s="294"/>
      <c r="E3256" s="294"/>
      <c r="F3256" s="310"/>
      <c r="G3256" s="310"/>
      <c r="H3256" s="310"/>
      <c r="I3256" s="295"/>
      <c r="J3256" s="295"/>
      <c r="K3256" s="300"/>
      <c r="L3256" s="300"/>
      <c r="M3256" s="285"/>
      <c r="N3256" s="1076"/>
      <c r="O3256" s="294"/>
      <c r="P3256" s="404"/>
      <c r="Q3256" s="404"/>
      <c r="R3256" s="301"/>
      <c r="S3256" s="301"/>
      <c r="T3256" s="301"/>
      <c r="U3256" s="301"/>
      <c r="V3256" s="301"/>
    </row>
    <row r="3257" spans="1:22" ht="14.4" thickTop="1" thickBot="1" x14ac:dyDescent="0.3">
      <c r="A3257" s="292"/>
      <c r="B3257" s="293"/>
      <c r="C3257" s="294"/>
      <c r="D3257" s="294"/>
      <c r="E3257" s="294"/>
      <c r="F3257" s="310"/>
      <c r="G3257" s="310"/>
      <c r="H3257" s="310"/>
      <c r="I3257" s="295"/>
      <c r="J3257" s="295"/>
      <c r="K3257" s="300"/>
      <c r="L3257" s="300"/>
      <c r="M3257" s="285"/>
      <c r="N3257" s="1076"/>
      <c r="O3257" s="294"/>
      <c r="P3257" s="404"/>
      <c r="Q3257" s="404"/>
      <c r="R3257" s="301"/>
      <c r="S3257" s="301"/>
      <c r="T3257" s="301"/>
      <c r="U3257" s="301"/>
      <c r="V3257" s="301"/>
    </row>
    <row r="3258" spans="1:22" ht="14.4" thickTop="1" thickBot="1" x14ac:dyDescent="0.3">
      <c r="A3258" s="292"/>
      <c r="B3258" s="293"/>
      <c r="C3258" s="294"/>
      <c r="D3258" s="294"/>
      <c r="E3258" s="294"/>
      <c r="F3258" s="310"/>
      <c r="G3258" s="310"/>
      <c r="H3258" s="310"/>
      <c r="I3258" s="295"/>
      <c r="J3258" s="295"/>
      <c r="K3258" s="300"/>
      <c r="L3258" s="300"/>
      <c r="M3258" s="285"/>
      <c r="N3258" s="1076"/>
      <c r="O3258" s="294"/>
      <c r="P3258" s="404"/>
      <c r="Q3258" s="404"/>
      <c r="R3258" s="301"/>
      <c r="S3258" s="301"/>
      <c r="T3258" s="301"/>
      <c r="U3258" s="301"/>
      <c r="V3258" s="301"/>
    </row>
    <row r="3259" spans="1:22" ht="14.4" thickTop="1" thickBot="1" x14ac:dyDescent="0.3">
      <c r="A3259" s="292"/>
      <c r="B3259" s="293"/>
      <c r="C3259" s="294"/>
      <c r="D3259" s="294"/>
      <c r="E3259" s="294"/>
      <c r="F3259" s="310"/>
      <c r="G3259" s="310"/>
      <c r="H3259" s="310"/>
      <c r="I3259" s="295"/>
      <c r="J3259" s="295"/>
      <c r="K3259" s="300"/>
      <c r="L3259" s="300"/>
      <c r="M3259" s="285"/>
      <c r="N3259" s="1076"/>
      <c r="O3259" s="294"/>
      <c r="P3259" s="404"/>
      <c r="Q3259" s="404"/>
      <c r="R3259" s="301"/>
      <c r="S3259" s="301"/>
      <c r="T3259" s="301"/>
      <c r="U3259" s="301"/>
      <c r="V3259" s="301"/>
    </row>
    <row r="3260" spans="1:22" ht="14.4" thickTop="1" thickBot="1" x14ac:dyDescent="0.3">
      <c r="A3260" s="292"/>
      <c r="B3260" s="293"/>
      <c r="C3260" s="294"/>
      <c r="D3260" s="294"/>
      <c r="E3260" s="294"/>
      <c r="F3260" s="310"/>
      <c r="G3260" s="310"/>
      <c r="H3260" s="310"/>
      <c r="I3260" s="295"/>
      <c r="J3260" s="295"/>
      <c r="K3260" s="300"/>
      <c r="L3260" s="300"/>
      <c r="M3260" s="285"/>
      <c r="N3260" s="1076"/>
      <c r="O3260" s="294"/>
      <c r="P3260" s="404"/>
      <c r="Q3260" s="404"/>
      <c r="R3260" s="301"/>
      <c r="S3260" s="301"/>
      <c r="T3260" s="301"/>
      <c r="U3260" s="301"/>
      <c r="V3260" s="301"/>
    </row>
    <row r="3261" spans="1:22" ht="14.4" thickTop="1" thickBot="1" x14ac:dyDescent="0.3">
      <c r="A3261" s="292"/>
      <c r="B3261" s="293"/>
      <c r="C3261" s="294"/>
      <c r="D3261" s="294"/>
      <c r="E3261" s="294"/>
      <c r="F3261" s="310"/>
      <c r="G3261" s="310"/>
      <c r="H3261" s="310"/>
      <c r="I3261" s="295"/>
      <c r="J3261" s="295"/>
      <c r="K3261" s="300"/>
      <c r="L3261" s="300"/>
      <c r="M3261" s="285"/>
      <c r="N3261" s="1076"/>
      <c r="O3261" s="294"/>
      <c r="P3261" s="404"/>
      <c r="Q3261" s="404"/>
      <c r="R3261" s="301"/>
      <c r="S3261" s="301"/>
      <c r="T3261" s="301"/>
      <c r="U3261" s="301"/>
      <c r="V3261" s="301"/>
    </row>
    <row r="3262" spans="1:22" ht="14.4" thickTop="1" thickBot="1" x14ac:dyDescent="0.3">
      <c r="A3262" s="292"/>
      <c r="B3262" s="293"/>
      <c r="C3262" s="294"/>
      <c r="D3262" s="294"/>
      <c r="E3262" s="294"/>
      <c r="F3262" s="310"/>
      <c r="G3262" s="310"/>
      <c r="H3262" s="310"/>
      <c r="I3262" s="295"/>
      <c r="J3262" s="295"/>
      <c r="K3262" s="300"/>
      <c r="L3262" s="300"/>
      <c r="M3262" s="285"/>
      <c r="N3262" s="1076"/>
      <c r="O3262" s="294"/>
      <c r="P3262" s="404"/>
      <c r="Q3262" s="404"/>
      <c r="R3262" s="301"/>
      <c r="S3262" s="301"/>
      <c r="T3262" s="301"/>
      <c r="U3262" s="301"/>
      <c r="V3262" s="301"/>
    </row>
    <row r="3263" spans="1:22" ht="14.4" thickTop="1" thickBot="1" x14ac:dyDescent="0.3">
      <c r="A3263" s="292"/>
      <c r="B3263" s="293"/>
      <c r="C3263" s="294"/>
      <c r="D3263" s="294"/>
      <c r="E3263" s="294"/>
      <c r="F3263" s="310"/>
      <c r="G3263" s="310"/>
      <c r="H3263" s="310"/>
      <c r="I3263" s="295"/>
      <c r="J3263" s="295"/>
      <c r="K3263" s="300"/>
      <c r="L3263" s="300"/>
      <c r="M3263" s="285"/>
      <c r="N3263" s="1076"/>
      <c r="O3263" s="294"/>
      <c r="P3263" s="404"/>
      <c r="Q3263" s="404"/>
      <c r="R3263" s="301"/>
      <c r="S3263" s="301"/>
      <c r="T3263" s="301"/>
      <c r="U3263" s="301"/>
      <c r="V3263" s="301"/>
    </row>
    <row r="3264" spans="1:22" ht="14.4" thickTop="1" thickBot="1" x14ac:dyDescent="0.3">
      <c r="A3264" s="292"/>
      <c r="B3264" s="293"/>
      <c r="C3264" s="294"/>
      <c r="D3264" s="294"/>
      <c r="E3264" s="294"/>
      <c r="F3264" s="310"/>
      <c r="G3264" s="310"/>
      <c r="H3264" s="310"/>
      <c r="I3264" s="295"/>
      <c r="J3264" s="295"/>
      <c r="K3264" s="300"/>
      <c r="L3264" s="300"/>
      <c r="M3264" s="285"/>
      <c r="N3264" s="1076"/>
      <c r="O3264" s="294"/>
      <c r="P3264" s="404"/>
      <c r="Q3264" s="404"/>
      <c r="R3264" s="301"/>
      <c r="S3264" s="301"/>
      <c r="T3264" s="301"/>
      <c r="U3264" s="301"/>
      <c r="V3264" s="301"/>
    </row>
    <row r="3265" spans="1:22" ht="14.4" thickTop="1" thickBot="1" x14ac:dyDescent="0.3">
      <c r="A3265" s="292"/>
      <c r="B3265" s="293"/>
      <c r="C3265" s="294"/>
      <c r="D3265" s="294"/>
      <c r="E3265" s="294"/>
      <c r="F3265" s="310"/>
      <c r="G3265" s="310"/>
      <c r="H3265" s="310"/>
      <c r="I3265" s="295"/>
      <c r="J3265" s="295"/>
      <c r="K3265" s="300"/>
      <c r="L3265" s="300"/>
      <c r="M3265" s="285"/>
      <c r="N3265" s="1076"/>
      <c r="O3265" s="294"/>
      <c r="P3265" s="404"/>
      <c r="Q3265" s="404"/>
      <c r="R3265" s="301"/>
      <c r="S3265" s="301"/>
      <c r="T3265" s="301"/>
      <c r="U3265" s="301"/>
      <c r="V3265" s="301"/>
    </row>
    <row r="3266" spans="1:22" ht="14.4" thickTop="1" thickBot="1" x14ac:dyDescent="0.3">
      <c r="A3266" s="292"/>
      <c r="B3266" s="293"/>
      <c r="C3266" s="294"/>
      <c r="D3266" s="294"/>
      <c r="E3266" s="294"/>
      <c r="F3266" s="310"/>
      <c r="G3266" s="310"/>
      <c r="H3266" s="310"/>
      <c r="I3266" s="295"/>
      <c r="J3266" s="295"/>
      <c r="K3266" s="300"/>
      <c r="L3266" s="300"/>
      <c r="M3266" s="285"/>
      <c r="N3266" s="1076"/>
      <c r="O3266" s="294"/>
      <c r="P3266" s="404"/>
      <c r="Q3266" s="404"/>
      <c r="R3266" s="301"/>
      <c r="S3266" s="301"/>
      <c r="T3266" s="301"/>
      <c r="U3266" s="301"/>
      <c r="V3266" s="301"/>
    </row>
    <row r="3267" spans="1:22" ht="14.4" thickTop="1" thickBot="1" x14ac:dyDescent="0.3">
      <c r="A3267" s="292"/>
      <c r="B3267" s="293"/>
      <c r="C3267" s="294"/>
      <c r="D3267" s="294"/>
      <c r="E3267" s="294"/>
      <c r="F3267" s="310"/>
      <c r="G3267" s="310"/>
      <c r="H3267" s="310"/>
      <c r="I3267" s="295"/>
      <c r="J3267" s="295"/>
      <c r="K3267" s="300"/>
      <c r="L3267" s="300"/>
      <c r="M3267" s="285"/>
      <c r="N3267" s="1076"/>
      <c r="O3267" s="294"/>
      <c r="P3267" s="404"/>
      <c r="Q3267" s="404"/>
      <c r="R3267" s="301"/>
      <c r="S3267" s="301"/>
      <c r="T3267" s="301"/>
      <c r="U3267" s="301"/>
      <c r="V3267" s="301"/>
    </row>
    <row r="3268" spans="1:22" ht="14.4" thickTop="1" thickBot="1" x14ac:dyDescent="0.3">
      <c r="A3268" s="292"/>
      <c r="B3268" s="293"/>
      <c r="C3268" s="294"/>
      <c r="D3268" s="294"/>
      <c r="E3268" s="294"/>
      <c r="F3268" s="310"/>
      <c r="G3268" s="310"/>
      <c r="H3268" s="310"/>
      <c r="I3268" s="295"/>
      <c r="J3268" s="295"/>
      <c r="K3268" s="300"/>
      <c r="L3268" s="300"/>
      <c r="M3268" s="285"/>
      <c r="N3268" s="1076"/>
      <c r="O3268" s="294"/>
      <c r="P3268" s="404"/>
      <c r="Q3268" s="404"/>
      <c r="R3268" s="301"/>
      <c r="S3268" s="301"/>
      <c r="T3268" s="301"/>
      <c r="U3268" s="301"/>
      <c r="V3268" s="301"/>
    </row>
    <row r="3269" spans="1:22" ht="14.4" thickTop="1" thickBot="1" x14ac:dyDescent="0.3">
      <c r="A3269" s="292"/>
      <c r="B3269" s="293"/>
      <c r="C3269" s="294"/>
      <c r="D3269" s="294"/>
      <c r="E3269" s="294"/>
      <c r="F3269" s="310"/>
      <c r="G3269" s="310"/>
      <c r="H3269" s="310"/>
      <c r="I3269" s="295"/>
      <c r="J3269" s="295"/>
      <c r="K3269" s="300"/>
      <c r="L3269" s="300"/>
      <c r="M3269" s="285"/>
      <c r="N3269" s="1076"/>
      <c r="O3269" s="294"/>
      <c r="P3269" s="404"/>
      <c r="Q3269" s="404"/>
      <c r="R3269" s="301"/>
      <c r="S3269" s="301"/>
      <c r="T3269" s="301"/>
      <c r="U3269" s="301"/>
      <c r="V3269" s="301"/>
    </row>
    <row r="3270" spans="1:22" ht="14.4" thickTop="1" thickBot="1" x14ac:dyDescent="0.3">
      <c r="A3270" s="292"/>
      <c r="B3270" s="293"/>
      <c r="C3270" s="294"/>
      <c r="D3270" s="294"/>
      <c r="E3270" s="294"/>
      <c r="F3270" s="310"/>
      <c r="G3270" s="310"/>
      <c r="H3270" s="310"/>
      <c r="I3270" s="295"/>
      <c r="J3270" s="295"/>
      <c r="K3270" s="300"/>
      <c r="L3270" s="300"/>
      <c r="M3270" s="285"/>
      <c r="N3270" s="1076"/>
      <c r="O3270" s="294"/>
      <c r="P3270" s="404"/>
      <c r="Q3270" s="404"/>
      <c r="R3270" s="301"/>
      <c r="S3270" s="301"/>
      <c r="T3270" s="301"/>
      <c r="U3270" s="301"/>
      <c r="V3270" s="301"/>
    </row>
    <row r="3271" spans="1:22" ht="14.4" thickTop="1" thickBot="1" x14ac:dyDescent="0.3">
      <c r="A3271" s="292"/>
      <c r="B3271" s="293"/>
      <c r="C3271" s="294"/>
      <c r="D3271" s="294"/>
      <c r="E3271" s="294"/>
      <c r="F3271" s="310"/>
      <c r="G3271" s="310"/>
      <c r="H3271" s="310"/>
      <c r="I3271" s="295"/>
      <c r="J3271" s="295"/>
      <c r="K3271" s="300"/>
      <c r="L3271" s="300"/>
      <c r="M3271" s="285"/>
      <c r="N3271" s="1076"/>
      <c r="O3271" s="294"/>
      <c r="P3271" s="404"/>
      <c r="Q3271" s="404"/>
      <c r="R3271" s="301"/>
      <c r="S3271" s="301"/>
      <c r="T3271" s="301"/>
      <c r="U3271" s="301"/>
      <c r="V3271" s="301"/>
    </row>
    <row r="3272" spans="1:22" ht="14.4" thickTop="1" thickBot="1" x14ac:dyDescent="0.3">
      <c r="A3272" s="292"/>
      <c r="B3272" s="293"/>
      <c r="C3272" s="294"/>
      <c r="D3272" s="294"/>
      <c r="E3272" s="294"/>
      <c r="F3272" s="310"/>
      <c r="G3272" s="310"/>
      <c r="H3272" s="310"/>
      <c r="I3272" s="295"/>
      <c r="J3272" s="295"/>
      <c r="K3272" s="300"/>
      <c r="L3272" s="300"/>
      <c r="M3272" s="285"/>
      <c r="N3272" s="1076"/>
      <c r="O3272" s="294"/>
      <c r="P3272" s="404"/>
      <c r="Q3272" s="404"/>
      <c r="R3272" s="301"/>
      <c r="S3272" s="301"/>
      <c r="T3272" s="301"/>
      <c r="U3272" s="301"/>
      <c r="V3272" s="301"/>
    </row>
    <row r="3273" spans="1:22" ht="14.4" thickTop="1" thickBot="1" x14ac:dyDescent="0.3">
      <c r="A3273" s="292"/>
      <c r="B3273" s="293"/>
      <c r="C3273" s="294"/>
      <c r="D3273" s="294"/>
      <c r="E3273" s="294"/>
      <c r="F3273" s="310"/>
      <c r="G3273" s="310"/>
      <c r="H3273" s="310"/>
      <c r="I3273" s="295"/>
      <c r="J3273" s="295"/>
      <c r="K3273" s="300"/>
      <c r="L3273" s="300"/>
      <c r="M3273" s="285"/>
      <c r="N3273" s="1076"/>
      <c r="O3273" s="294"/>
      <c r="P3273" s="404"/>
      <c r="Q3273" s="404"/>
      <c r="R3273" s="301"/>
      <c r="S3273" s="301"/>
      <c r="T3273" s="301"/>
      <c r="U3273" s="301"/>
      <c r="V3273" s="301"/>
    </row>
    <row r="3274" spans="1:22" ht="14.4" thickTop="1" thickBot="1" x14ac:dyDescent="0.3">
      <c r="A3274" s="292"/>
      <c r="B3274" s="293"/>
      <c r="C3274" s="294"/>
      <c r="D3274" s="294"/>
      <c r="E3274" s="294"/>
      <c r="F3274" s="310"/>
      <c r="G3274" s="310"/>
      <c r="H3274" s="310"/>
      <c r="I3274" s="295"/>
      <c r="J3274" s="295"/>
      <c r="K3274" s="300"/>
      <c r="L3274" s="300"/>
      <c r="M3274" s="285"/>
      <c r="N3274" s="1076"/>
      <c r="O3274" s="294"/>
      <c r="P3274" s="404"/>
      <c r="Q3274" s="404"/>
      <c r="R3274" s="301"/>
      <c r="S3274" s="301"/>
      <c r="T3274" s="301"/>
      <c r="U3274" s="301"/>
      <c r="V3274" s="301"/>
    </row>
    <row r="3275" spans="1:22" ht="14.4" thickTop="1" thickBot="1" x14ac:dyDescent="0.3">
      <c r="A3275" s="292"/>
      <c r="B3275" s="293"/>
      <c r="C3275" s="294"/>
      <c r="D3275" s="294"/>
      <c r="E3275" s="294"/>
      <c r="F3275" s="310"/>
      <c r="G3275" s="310"/>
      <c r="H3275" s="310"/>
      <c r="I3275" s="295"/>
      <c r="J3275" s="295"/>
      <c r="K3275" s="300"/>
      <c r="L3275" s="300"/>
      <c r="M3275" s="285"/>
      <c r="N3275" s="1076"/>
      <c r="O3275" s="294"/>
      <c r="P3275" s="404"/>
      <c r="Q3275" s="404"/>
      <c r="R3275" s="301"/>
      <c r="S3275" s="301"/>
      <c r="T3275" s="301"/>
      <c r="U3275" s="301"/>
      <c r="V3275" s="301"/>
    </row>
    <row r="3276" spans="1:22" ht="14.4" thickTop="1" thickBot="1" x14ac:dyDescent="0.3">
      <c r="A3276" s="292"/>
      <c r="B3276" s="293"/>
      <c r="C3276" s="294"/>
      <c r="D3276" s="294"/>
      <c r="E3276" s="294"/>
      <c r="F3276" s="310"/>
      <c r="G3276" s="310"/>
      <c r="H3276" s="310"/>
      <c r="I3276" s="295"/>
      <c r="J3276" s="295"/>
      <c r="K3276" s="300"/>
      <c r="L3276" s="300"/>
      <c r="M3276" s="285"/>
      <c r="N3276" s="1076"/>
      <c r="O3276" s="294"/>
      <c r="P3276" s="404"/>
      <c r="Q3276" s="404"/>
      <c r="R3276" s="301"/>
      <c r="S3276" s="301"/>
      <c r="T3276" s="301"/>
      <c r="U3276" s="301"/>
      <c r="V3276" s="301"/>
    </row>
    <row r="3277" spans="1:22" ht="14.4" thickTop="1" thickBot="1" x14ac:dyDescent="0.3">
      <c r="A3277" s="292"/>
      <c r="B3277" s="293"/>
      <c r="C3277" s="294"/>
      <c r="D3277" s="294"/>
      <c r="E3277" s="294"/>
      <c r="F3277" s="310"/>
      <c r="G3277" s="310"/>
      <c r="H3277" s="310"/>
      <c r="I3277" s="295"/>
      <c r="J3277" s="295"/>
      <c r="K3277" s="300"/>
      <c r="L3277" s="300"/>
      <c r="M3277" s="285"/>
      <c r="N3277" s="1076"/>
      <c r="O3277" s="294"/>
      <c r="P3277" s="404"/>
      <c r="Q3277" s="404"/>
      <c r="R3277" s="301"/>
      <c r="S3277" s="301"/>
      <c r="T3277" s="301"/>
      <c r="U3277" s="301"/>
      <c r="V3277" s="301"/>
    </row>
    <row r="3278" spans="1:22" ht="14.4" thickTop="1" thickBot="1" x14ac:dyDescent="0.3">
      <c r="A3278" s="292"/>
      <c r="B3278" s="293"/>
      <c r="C3278" s="294"/>
      <c r="D3278" s="294"/>
      <c r="E3278" s="294"/>
      <c r="F3278" s="310"/>
      <c r="G3278" s="310"/>
      <c r="H3278" s="310"/>
      <c r="I3278" s="295"/>
      <c r="J3278" s="295"/>
      <c r="K3278" s="300"/>
      <c r="L3278" s="300"/>
      <c r="M3278" s="285"/>
      <c r="N3278" s="1076"/>
      <c r="O3278" s="294"/>
      <c r="P3278" s="404"/>
      <c r="Q3278" s="404"/>
      <c r="R3278" s="301"/>
      <c r="S3278" s="301"/>
      <c r="T3278" s="301"/>
      <c r="U3278" s="301"/>
      <c r="V3278" s="301"/>
    </row>
    <row r="3279" spans="1:22" ht="14.4" thickTop="1" thickBot="1" x14ac:dyDescent="0.3">
      <c r="A3279" s="292"/>
      <c r="B3279" s="293"/>
      <c r="C3279" s="294"/>
      <c r="D3279" s="294"/>
      <c r="E3279" s="294"/>
      <c r="F3279" s="310"/>
      <c r="G3279" s="310"/>
      <c r="H3279" s="310"/>
      <c r="I3279" s="295"/>
      <c r="J3279" s="295"/>
      <c r="K3279" s="300"/>
      <c r="L3279" s="300"/>
      <c r="M3279" s="285"/>
      <c r="N3279" s="1076"/>
      <c r="O3279" s="294"/>
      <c r="P3279" s="404"/>
      <c r="Q3279" s="404"/>
      <c r="R3279" s="301"/>
      <c r="S3279" s="301"/>
      <c r="T3279" s="301"/>
      <c r="U3279" s="301"/>
      <c r="V3279" s="301"/>
    </row>
    <row r="3280" spans="1:22" ht="14.4" thickTop="1" thickBot="1" x14ac:dyDescent="0.3">
      <c r="A3280" s="292"/>
      <c r="B3280" s="293"/>
      <c r="C3280" s="294"/>
      <c r="D3280" s="294"/>
      <c r="E3280" s="294"/>
      <c r="F3280" s="310"/>
      <c r="G3280" s="310"/>
      <c r="H3280" s="310"/>
      <c r="I3280" s="295"/>
      <c r="J3280" s="295"/>
      <c r="K3280" s="300"/>
      <c r="L3280" s="300"/>
      <c r="M3280" s="285"/>
      <c r="N3280" s="1076"/>
      <c r="O3280" s="294"/>
      <c r="P3280" s="404"/>
      <c r="Q3280" s="404"/>
      <c r="R3280" s="301"/>
      <c r="S3280" s="301"/>
      <c r="T3280" s="301"/>
      <c r="U3280" s="301"/>
      <c r="V3280" s="301"/>
    </row>
    <row r="3281" spans="1:22" ht="14.4" thickTop="1" thickBot="1" x14ac:dyDescent="0.3">
      <c r="A3281" s="292"/>
      <c r="B3281" s="293"/>
      <c r="C3281" s="294"/>
      <c r="D3281" s="294"/>
      <c r="E3281" s="294"/>
      <c r="F3281" s="310"/>
      <c r="G3281" s="310"/>
      <c r="H3281" s="310"/>
      <c r="I3281" s="295"/>
      <c r="J3281" s="295"/>
      <c r="K3281" s="300"/>
      <c r="L3281" s="300"/>
      <c r="M3281" s="285"/>
      <c r="N3281" s="1076"/>
      <c r="O3281" s="294"/>
      <c r="P3281" s="404"/>
      <c r="Q3281" s="404"/>
      <c r="R3281" s="301"/>
      <c r="S3281" s="301"/>
      <c r="T3281" s="301"/>
      <c r="U3281" s="301"/>
      <c r="V3281" s="301"/>
    </row>
    <row r="3282" spans="1:22" ht="14.4" thickTop="1" thickBot="1" x14ac:dyDescent="0.3">
      <c r="A3282" s="292"/>
      <c r="B3282" s="293"/>
      <c r="C3282" s="294"/>
      <c r="D3282" s="294"/>
      <c r="E3282" s="294"/>
      <c r="F3282" s="310"/>
      <c r="G3282" s="310"/>
      <c r="H3282" s="310"/>
      <c r="I3282" s="295"/>
      <c r="J3282" s="295"/>
      <c r="K3282" s="300"/>
      <c r="L3282" s="300"/>
      <c r="M3282" s="285"/>
      <c r="N3282" s="1076"/>
      <c r="O3282" s="294"/>
      <c r="P3282" s="404"/>
      <c r="Q3282" s="404"/>
      <c r="R3282" s="301"/>
      <c r="S3282" s="301"/>
      <c r="T3282" s="301"/>
      <c r="U3282" s="301"/>
      <c r="V3282" s="301"/>
    </row>
    <row r="3283" spans="1:22" ht="14.4" thickTop="1" thickBot="1" x14ac:dyDescent="0.3">
      <c r="A3283" s="292"/>
      <c r="B3283" s="293"/>
      <c r="C3283" s="294"/>
      <c r="D3283" s="294"/>
      <c r="E3283" s="294"/>
      <c r="F3283" s="310"/>
      <c r="G3283" s="310"/>
      <c r="H3283" s="310"/>
      <c r="I3283" s="295"/>
      <c r="J3283" s="295"/>
      <c r="K3283" s="300"/>
      <c r="L3283" s="300"/>
      <c r="M3283" s="285"/>
      <c r="N3283" s="1076"/>
      <c r="O3283" s="294"/>
      <c r="P3283" s="404"/>
      <c r="Q3283" s="404"/>
      <c r="R3283" s="301"/>
      <c r="S3283" s="301"/>
      <c r="T3283" s="301"/>
      <c r="U3283" s="301"/>
      <c r="V3283" s="301"/>
    </row>
    <row r="3284" spans="1:22" ht="14.4" thickTop="1" thickBot="1" x14ac:dyDescent="0.3">
      <c r="A3284" s="292"/>
      <c r="B3284" s="293"/>
      <c r="C3284" s="294"/>
      <c r="D3284" s="294"/>
      <c r="E3284" s="294"/>
      <c r="F3284" s="310"/>
      <c r="G3284" s="310"/>
      <c r="H3284" s="310"/>
      <c r="I3284" s="295"/>
      <c r="J3284" s="295"/>
      <c r="K3284" s="300"/>
      <c r="L3284" s="300"/>
      <c r="M3284" s="285"/>
      <c r="N3284" s="1076"/>
      <c r="O3284" s="294"/>
      <c r="P3284" s="404"/>
      <c r="Q3284" s="404"/>
      <c r="R3284" s="301"/>
      <c r="S3284" s="301"/>
      <c r="T3284" s="301"/>
      <c r="U3284" s="301"/>
      <c r="V3284" s="301"/>
    </row>
    <row r="3285" spans="1:22" ht="14.4" thickTop="1" thickBot="1" x14ac:dyDescent="0.3">
      <c r="A3285" s="292"/>
      <c r="B3285" s="293"/>
      <c r="C3285" s="294"/>
      <c r="D3285" s="294"/>
      <c r="E3285" s="294"/>
      <c r="F3285" s="310"/>
      <c r="G3285" s="310"/>
      <c r="H3285" s="310"/>
      <c r="I3285" s="295"/>
      <c r="J3285" s="295"/>
      <c r="K3285" s="300"/>
      <c r="L3285" s="300"/>
      <c r="M3285" s="285"/>
      <c r="N3285" s="1076"/>
      <c r="O3285" s="294"/>
      <c r="P3285" s="404"/>
      <c r="Q3285" s="404"/>
      <c r="R3285" s="301"/>
      <c r="S3285" s="301"/>
      <c r="T3285" s="301"/>
      <c r="U3285" s="301"/>
      <c r="V3285" s="301"/>
    </row>
    <row r="3286" spans="1:22" ht="14.4" thickTop="1" thickBot="1" x14ac:dyDescent="0.3">
      <c r="A3286" s="292"/>
      <c r="B3286" s="293"/>
      <c r="C3286" s="294"/>
      <c r="D3286" s="294"/>
      <c r="E3286" s="294"/>
      <c r="F3286" s="310"/>
      <c r="G3286" s="310"/>
      <c r="H3286" s="310"/>
      <c r="I3286" s="295"/>
      <c r="J3286" s="295"/>
      <c r="K3286" s="300"/>
      <c r="L3286" s="300"/>
      <c r="M3286" s="285"/>
      <c r="N3286" s="1076"/>
      <c r="O3286" s="294"/>
      <c r="P3286" s="404"/>
      <c r="Q3286" s="404"/>
      <c r="R3286" s="301"/>
      <c r="S3286" s="301"/>
      <c r="T3286" s="301"/>
      <c r="U3286" s="301"/>
      <c r="V3286" s="301"/>
    </row>
    <row r="3287" spans="1:22" ht="14.4" thickTop="1" thickBot="1" x14ac:dyDescent="0.3">
      <c r="A3287" s="292"/>
      <c r="B3287" s="293"/>
      <c r="C3287" s="294"/>
      <c r="D3287" s="294"/>
      <c r="E3287" s="294"/>
      <c r="F3287" s="310"/>
      <c r="G3287" s="310"/>
      <c r="H3287" s="310"/>
      <c r="I3287" s="295"/>
      <c r="J3287" s="295"/>
      <c r="K3287" s="300"/>
      <c r="L3287" s="300"/>
      <c r="M3287" s="285"/>
      <c r="N3287" s="1076"/>
      <c r="O3287" s="294"/>
      <c r="P3287" s="404"/>
      <c r="Q3287" s="404"/>
      <c r="R3287" s="301"/>
      <c r="S3287" s="301"/>
      <c r="T3287" s="301"/>
      <c r="U3287" s="301"/>
      <c r="V3287" s="301"/>
    </row>
    <row r="3288" spans="1:22" ht="14.4" thickTop="1" thickBot="1" x14ac:dyDescent="0.3">
      <c r="A3288" s="292"/>
      <c r="B3288" s="293"/>
      <c r="C3288" s="294"/>
      <c r="D3288" s="294"/>
      <c r="E3288" s="294"/>
      <c r="F3288" s="310"/>
      <c r="G3288" s="310"/>
      <c r="H3288" s="310"/>
      <c r="I3288" s="295"/>
      <c r="J3288" s="295"/>
      <c r="K3288" s="300"/>
      <c r="L3288" s="300"/>
      <c r="M3288" s="285"/>
      <c r="N3288" s="1076"/>
      <c r="O3288" s="294"/>
      <c r="P3288" s="404"/>
      <c r="Q3288" s="404"/>
      <c r="R3288" s="301"/>
      <c r="S3288" s="301"/>
      <c r="T3288" s="301"/>
      <c r="U3288" s="301"/>
      <c r="V3288" s="301"/>
    </row>
    <row r="3289" spans="1:22" ht="14.4" thickTop="1" thickBot="1" x14ac:dyDescent="0.3">
      <c r="A3289" s="292"/>
      <c r="B3289" s="293"/>
      <c r="C3289" s="294"/>
      <c r="D3289" s="294"/>
      <c r="E3289" s="294"/>
      <c r="F3289" s="310"/>
      <c r="G3289" s="310"/>
      <c r="H3289" s="310"/>
      <c r="I3289" s="295"/>
      <c r="J3289" s="295"/>
      <c r="K3289" s="300"/>
      <c r="L3289" s="300"/>
      <c r="M3289" s="285"/>
      <c r="N3289" s="1076"/>
      <c r="O3289" s="294"/>
      <c r="P3289" s="404"/>
      <c r="Q3289" s="404"/>
      <c r="R3289" s="301"/>
      <c r="S3289" s="301"/>
      <c r="T3289" s="301"/>
      <c r="U3289" s="301"/>
      <c r="V3289" s="301"/>
    </row>
    <row r="3290" spans="1:22" ht="14.4" thickTop="1" thickBot="1" x14ac:dyDescent="0.3">
      <c r="A3290" s="292"/>
      <c r="B3290" s="293"/>
      <c r="C3290" s="294"/>
      <c r="D3290" s="294"/>
      <c r="E3290" s="294"/>
      <c r="F3290" s="310"/>
      <c r="G3290" s="310"/>
      <c r="H3290" s="310"/>
      <c r="I3290" s="295"/>
      <c r="J3290" s="295"/>
      <c r="K3290" s="300"/>
      <c r="L3290" s="300"/>
      <c r="M3290" s="285"/>
      <c r="N3290" s="1076"/>
      <c r="O3290" s="294"/>
      <c r="P3290" s="404"/>
      <c r="Q3290" s="404"/>
      <c r="R3290" s="301"/>
      <c r="S3290" s="301"/>
      <c r="T3290" s="301"/>
      <c r="U3290" s="301"/>
      <c r="V3290" s="301"/>
    </row>
    <row r="3291" spans="1:22" ht="14.4" thickTop="1" thickBot="1" x14ac:dyDescent="0.3">
      <c r="A3291" s="292"/>
      <c r="B3291" s="293"/>
      <c r="C3291" s="294"/>
      <c r="D3291" s="294"/>
      <c r="E3291" s="294"/>
      <c r="F3291" s="310"/>
      <c r="G3291" s="310"/>
      <c r="H3291" s="310"/>
      <c r="I3291" s="295"/>
      <c r="J3291" s="295"/>
      <c r="K3291" s="300"/>
      <c r="L3291" s="300"/>
      <c r="M3291" s="285"/>
      <c r="N3291" s="1076"/>
      <c r="O3291" s="294"/>
      <c r="P3291" s="404"/>
      <c r="Q3291" s="404"/>
      <c r="R3291" s="301"/>
      <c r="S3291" s="301"/>
      <c r="T3291" s="301"/>
      <c r="U3291" s="301"/>
      <c r="V3291" s="301"/>
    </row>
    <row r="3292" spans="1:22" ht="14.4" thickTop="1" thickBot="1" x14ac:dyDescent="0.3">
      <c r="A3292" s="292"/>
      <c r="B3292" s="293"/>
      <c r="C3292" s="294"/>
      <c r="D3292" s="294"/>
      <c r="E3292" s="294"/>
      <c r="F3292" s="310"/>
      <c r="G3292" s="310"/>
      <c r="H3292" s="310"/>
      <c r="I3292" s="295"/>
      <c r="J3292" s="295"/>
      <c r="K3292" s="300"/>
      <c r="L3292" s="300"/>
      <c r="M3292" s="285"/>
      <c r="N3292" s="1076"/>
      <c r="O3292" s="294"/>
      <c r="P3292" s="404"/>
      <c r="Q3292" s="404"/>
      <c r="R3292" s="301"/>
      <c r="S3292" s="301"/>
      <c r="T3292" s="301"/>
      <c r="U3292" s="301"/>
      <c r="V3292" s="301"/>
    </row>
    <row r="3293" spans="1:22" ht="14.4" thickTop="1" thickBot="1" x14ac:dyDescent="0.3">
      <c r="A3293" s="292"/>
      <c r="B3293" s="293"/>
      <c r="C3293" s="294"/>
      <c r="D3293" s="294"/>
      <c r="E3293" s="294"/>
      <c r="F3293" s="310"/>
      <c r="G3293" s="310"/>
      <c r="H3293" s="310"/>
      <c r="I3293" s="295"/>
      <c r="J3293" s="295"/>
      <c r="K3293" s="300"/>
      <c r="L3293" s="300"/>
      <c r="M3293" s="285"/>
      <c r="N3293" s="1076"/>
      <c r="O3293" s="294"/>
      <c r="P3293" s="404"/>
      <c r="Q3293" s="404"/>
      <c r="R3293" s="301"/>
      <c r="S3293" s="301"/>
      <c r="T3293" s="301"/>
      <c r="U3293" s="301"/>
      <c r="V3293" s="301"/>
    </row>
    <row r="3294" spans="1:22" ht="14.4" thickTop="1" thickBot="1" x14ac:dyDescent="0.3">
      <c r="A3294" s="292"/>
      <c r="B3294" s="293"/>
      <c r="C3294" s="294"/>
      <c r="D3294" s="294"/>
      <c r="E3294" s="294"/>
      <c r="F3294" s="310"/>
      <c r="G3294" s="310"/>
      <c r="H3294" s="310"/>
      <c r="I3294" s="295"/>
      <c r="J3294" s="295"/>
      <c r="K3294" s="300"/>
      <c r="L3294" s="300"/>
      <c r="M3294" s="285"/>
      <c r="N3294" s="1076"/>
      <c r="O3294" s="294"/>
      <c r="P3294" s="404"/>
      <c r="Q3294" s="404"/>
      <c r="R3294" s="301"/>
      <c r="S3294" s="301"/>
      <c r="T3294" s="301"/>
      <c r="U3294" s="301"/>
      <c r="V3294" s="301"/>
    </row>
    <row r="3295" spans="1:22" ht="14.4" thickTop="1" thickBot="1" x14ac:dyDescent="0.3">
      <c r="A3295" s="292"/>
      <c r="B3295" s="293"/>
      <c r="C3295" s="294"/>
      <c r="D3295" s="294"/>
      <c r="E3295" s="294"/>
      <c r="F3295" s="310"/>
      <c r="G3295" s="310"/>
      <c r="H3295" s="310"/>
      <c r="I3295" s="295"/>
      <c r="J3295" s="295"/>
      <c r="K3295" s="300"/>
      <c r="L3295" s="300"/>
      <c r="M3295" s="285"/>
      <c r="N3295" s="1076"/>
      <c r="O3295" s="294"/>
      <c r="P3295" s="404"/>
      <c r="Q3295" s="404"/>
      <c r="R3295" s="301"/>
      <c r="S3295" s="301"/>
      <c r="T3295" s="301"/>
      <c r="U3295" s="301"/>
      <c r="V3295" s="301"/>
    </row>
    <row r="3296" spans="1:22" ht="14.4" thickTop="1" thickBot="1" x14ac:dyDescent="0.3">
      <c r="A3296" s="292"/>
      <c r="B3296" s="293"/>
      <c r="C3296" s="294"/>
      <c r="D3296" s="294"/>
      <c r="E3296" s="294"/>
      <c r="F3296" s="310"/>
      <c r="G3296" s="310"/>
      <c r="H3296" s="310"/>
      <c r="I3296" s="295"/>
      <c r="J3296" s="295"/>
      <c r="K3296" s="300">
        <f t="shared" si="422"/>
        <v>1.1000000000000001</v>
      </c>
      <c r="L3296" s="300">
        <f t="shared" si="423"/>
        <v>0</v>
      </c>
      <c r="M3296" s="285">
        <f t="shared" si="424"/>
        <v>0</v>
      </c>
      <c r="N3296" s="1076">
        <f t="shared" si="425"/>
        <v>0</v>
      </c>
      <c r="O3296" s="294"/>
      <c r="P3296" s="404"/>
      <c r="Q3296" s="404"/>
      <c r="R3296" s="301"/>
      <c r="S3296" s="301"/>
      <c r="T3296" s="301"/>
      <c r="U3296" s="301"/>
      <c r="V3296" s="301"/>
    </row>
    <row r="3297" spans="1:22" ht="14.4" thickTop="1" thickBot="1" x14ac:dyDescent="0.3">
      <c r="A3297" s="292"/>
      <c r="B3297" s="293"/>
      <c r="C3297" s="294"/>
      <c r="D3297" s="294"/>
      <c r="E3297" s="294"/>
      <c r="F3297" s="310"/>
      <c r="G3297" s="310"/>
      <c r="H3297" s="310"/>
      <c r="I3297" s="295"/>
      <c r="J3297" s="295"/>
      <c r="K3297" s="300">
        <f t="shared" si="422"/>
        <v>1.1000000000000001</v>
      </c>
      <c r="L3297" s="300">
        <f t="shared" si="423"/>
        <v>0</v>
      </c>
      <c r="M3297" s="285">
        <f t="shared" si="424"/>
        <v>0</v>
      </c>
      <c r="N3297" s="1076">
        <f t="shared" si="425"/>
        <v>0</v>
      </c>
      <c r="O3297" s="294"/>
      <c r="P3297" s="404"/>
      <c r="Q3297" s="404"/>
      <c r="R3297" s="301"/>
      <c r="S3297" s="301"/>
      <c r="T3297" s="301"/>
      <c r="U3297" s="301"/>
      <c r="V3297" s="301"/>
    </row>
    <row r="3298" spans="1:22" ht="14.4" thickTop="1" thickBot="1" x14ac:dyDescent="0.3">
      <c r="A3298" s="292"/>
      <c r="B3298" s="293"/>
      <c r="C3298" s="294"/>
      <c r="D3298" s="294"/>
      <c r="E3298" s="294"/>
      <c r="F3298" s="310"/>
      <c r="G3298" s="310"/>
      <c r="H3298" s="310"/>
      <c r="I3298" s="295"/>
      <c r="J3298" s="295"/>
      <c r="K3298" s="300">
        <f t="shared" si="422"/>
        <v>1.1000000000000001</v>
      </c>
      <c r="L3298" s="300">
        <f t="shared" si="423"/>
        <v>0</v>
      </c>
      <c r="M3298" s="285">
        <f t="shared" si="424"/>
        <v>0</v>
      </c>
      <c r="N3298" s="1076">
        <f t="shared" si="425"/>
        <v>0</v>
      </c>
      <c r="O3298" s="294"/>
      <c r="P3298" s="404"/>
      <c r="Q3298" s="404"/>
      <c r="R3298" s="301"/>
      <c r="S3298" s="301"/>
      <c r="T3298" s="301"/>
      <c r="U3298" s="301"/>
      <c r="V3298" s="301"/>
    </row>
    <row r="3299" spans="1:22" ht="14.4" thickTop="1" thickBot="1" x14ac:dyDescent="0.3">
      <c r="A3299" s="292"/>
      <c r="B3299" s="293"/>
      <c r="C3299" s="294"/>
      <c r="D3299" s="294"/>
      <c r="E3299" s="294"/>
      <c r="F3299" s="310"/>
      <c r="G3299" s="310"/>
      <c r="H3299" s="310"/>
      <c r="I3299" s="295"/>
      <c r="J3299" s="295"/>
      <c r="K3299" s="300">
        <f t="shared" si="422"/>
        <v>1.1000000000000001</v>
      </c>
      <c r="L3299" s="300">
        <f t="shared" si="423"/>
        <v>0</v>
      </c>
      <c r="M3299" s="285">
        <f t="shared" si="424"/>
        <v>0</v>
      </c>
      <c r="N3299" s="1076">
        <f t="shared" si="425"/>
        <v>0</v>
      </c>
      <c r="O3299" s="294"/>
      <c r="P3299" s="404"/>
      <c r="Q3299" s="404"/>
      <c r="R3299" s="301"/>
      <c r="S3299" s="301"/>
      <c r="T3299" s="301"/>
      <c r="U3299" s="301"/>
      <c r="V3299" s="301"/>
    </row>
    <row r="3300" spans="1:22" ht="14.4" thickTop="1" thickBot="1" x14ac:dyDescent="0.3">
      <c r="A3300" s="292"/>
      <c r="B3300" s="293"/>
      <c r="C3300" s="294"/>
      <c r="D3300" s="294"/>
      <c r="E3300" s="294"/>
      <c r="F3300" s="310"/>
      <c r="G3300" s="310"/>
      <c r="H3300" s="310"/>
      <c r="I3300" s="295"/>
      <c r="J3300" s="295"/>
      <c r="K3300" s="300">
        <f t="shared" si="422"/>
        <v>1.1000000000000001</v>
      </c>
      <c r="L3300" s="300">
        <f t="shared" si="423"/>
        <v>0</v>
      </c>
      <c r="M3300" s="285">
        <f t="shared" si="424"/>
        <v>0</v>
      </c>
      <c r="N3300" s="1076">
        <f t="shared" si="425"/>
        <v>0</v>
      </c>
      <c r="O3300" s="294"/>
      <c r="P3300" s="404"/>
      <c r="Q3300" s="404"/>
      <c r="R3300" s="301"/>
      <c r="S3300" s="301"/>
      <c r="T3300" s="301"/>
      <c r="U3300" s="301"/>
      <c r="V3300" s="301"/>
    </row>
    <row r="3301" spans="1:22" ht="14.4" thickTop="1" thickBot="1" x14ac:dyDescent="0.3">
      <c r="A3301" s="292"/>
      <c r="B3301" s="293"/>
      <c r="C3301" s="294"/>
      <c r="D3301" s="294"/>
      <c r="E3301" s="294"/>
      <c r="F3301" s="310"/>
      <c r="G3301" s="310"/>
      <c r="H3301" s="310"/>
      <c r="I3301" s="295"/>
      <c r="J3301" s="295"/>
      <c r="K3301" s="300">
        <f t="shared" si="422"/>
        <v>1.1000000000000001</v>
      </c>
      <c r="L3301" s="300">
        <f t="shared" si="423"/>
        <v>0</v>
      </c>
      <c r="M3301" s="285">
        <f t="shared" si="424"/>
        <v>0</v>
      </c>
      <c r="N3301" s="1076">
        <f t="shared" si="425"/>
        <v>0</v>
      </c>
      <c r="O3301" s="294"/>
      <c r="P3301" s="404"/>
      <c r="Q3301" s="404"/>
      <c r="R3301" s="301"/>
      <c r="S3301" s="301"/>
      <c r="T3301" s="301"/>
      <c r="U3301" s="301"/>
      <c r="V3301" s="301"/>
    </row>
    <row r="3302" spans="1:22" ht="14.4" thickTop="1" thickBot="1" x14ac:dyDescent="0.3">
      <c r="A3302" s="292"/>
      <c r="B3302" s="293"/>
      <c r="C3302" s="294"/>
      <c r="D3302" s="294"/>
      <c r="E3302" s="294"/>
      <c r="F3302" s="310"/>
      <c r="G3302" s="310"/>
      <c r="H3302" s="310"/>
      <c r="I3302" s="295"/>
      <c r="J3302" s="295"/>
      <c r="K3302" s="300">
        <f t="shared" si="422"/>
        <v>1.1000000000000001</v>
      </c>
      <c r="L3302" s="300">
        <f t="shared" si="423"/>
        <v>0</v>
      </c>
      <c r="M3302" s="285">
        <f t="shared" si="424"/>
        <v>0</v>
      </c>
      <c r="N3302" s="1076">
        <f t="shared" si="425"/>
        <v>0</v>
      </c>
      <c r="O3302" s="294"/>
      <c r="P3302" s="404"/>
      <c r="Q3302" s="404"/>
      <c r="R3302" s="301"/>
      <c r="S3302" s="301"/>
      <c r="T3302" s="301"/>
      <c r="U3302" s="301"/>
      <c r="V3302" s="301"/>
    </row>
    <row r="3303" spans="1:22" ht="14.4" thickTop="1" thickBot="1" x14ac:dyDescent="0.3">
      <c r="A3303" s="292"/>
      <c r="B3303" s="293"/>
      <c r="C3303" s="294"/>
      <c r="D3303" s="294"/>
      <c r="E3303" s="294"/>
      <c r="F3303" s="310"/>
      <c r="G3303" s="310"/>
      <c r="H3303" s="310"/>
      <c r="I3303" s="295"/>
      <c r="J3303" s="295"/>
      <c r="K3303" s="300">
        <f t="shared" si="422"/>
        <v>1.1000000000000001</v>
      </c>
      <c r="L3303" s="300">
        <f t="shared" si="423"/>
        <v>0</v>
      </c>
      <c r="M3303" s="285">
        <f t="shared" si="424"/>
        <v>0</v>
      </c>
      <c r="N3303" s="1076">
        <f t="shared" si="425"/>
        <v>0</v>
      </c>
      <c r="O3303" s="294"/>
      <c r="P3303" s="404"/>
      <c r="Q3303" s="404"/>
      <c r="R3303" s="301"/>
      <c r="S3303" s="301"/>
      <c r="T3303" s="301"/>
      <c r="U3303" s="301"/>
      <c r="V3303" s="301"/>
    </row>
    <row r="3304" spans="1:22" ht="14.4" thickTop="1" thickBot="1" x14ac:dyDescent="0.3">
      <c r="A3304" s="292"/>
      <c r="B3304" s="293"/>
      <c r="C3304" s="294"/>
      <c r="D3304" s="294"/>
      <c r="E3304" s="294"/>
      <c r="F3304" s="310"/>
      <c r="G3304" s="310"/>
      <c r="H3304" s="310"/>
      <c r="I3304" s="295"/>
      <c r="J3304" s="295"/>
      <c r="K3304" s="300">
        <f t="shared" si="422"/>
        <v>1.1000000000000001</v>
      </c>
      <c r="L3304" s="300">
        <f t="shared" si="423"/>
        <v>0</v>
      </c>
      <c r="M3304" s="285">
        <f t="shared" si="424"/>
        <v>0</v>
      </c>
      <c r="N3304" s="1076">
        <f t="shared" si="425"/>
        <v>0</v>
      </c>
      <c r="O3304" s="294"/>
      <c r="P3304" s="404"/>
      <c r="Q3304" s="404"/>
      <c r="R3304" s="301"/>
      <c r="S3304" s="301"/>
      <c r="T3304" s="301"/>
      <c r="U3304" s="301"/>
      <c r="V3304" s="301"/>
    </row>
    <row r="3305" spans="1:22" ht="14.4" thickTop="1" thickBot="1" x14ac:dyDescent="0.3">
      <c r="A3305" s="292"/>
      <c r="B3305" s="293"/>
      <c r="C3305" s="294"/>
      <c r="D3305" s="294"/>
      <c r="E3305" s="294"/>
      <c r="F3305" s="310"/>
      <c r="G3305" s="310"/>
      <c r="H3305" s="310"/>
      <c r="I3305" s="295"/>
      <c r="J3305" s="295"/>
      <c r="K3305" s="300">
        <f t="shared" si="422"/>
        <v>1.1000000000000001</v>
      </c>
      <c r="L3305" s="300">
        <f t="shared" si="423"/>
        <v>0</v>
      </c>
      <c r="M3305" s="285">
        <f t="shared" si="424"/>
        <v>0</v>
      </c>
      <c r="N3305" s="1076">
        <f t="shared" si="425"/>
        <v>0</v>
      </c>
      <c r="O3305" s="294"/>
      <c r="P3305" s="404"/>
      <c r="Q3305" s="404"/>
      <c r="R3305" s="301"/>
      <c r="S3305" s="301"/>
      <c r="T3305" s="301"/>
      <c r="U3305" s="301"/>
      <c r="V3305" s="301"/>
    </row>
    <row r="3306" spans="1:22" ht="14.4" thickTop="1" thickBot="1" x14ac:dyDescent="0.3">
      <c r="A3306" s="292"/>
      <c r="B3306" s="293"/>
      <c r="C3306" s="294"/>
      <c r="D3306" s="294"/>
      <c r="E3306" s="294"/>
      <c r="F3306" s="310"/>
      <c r="G3306" s="310"/>
      <c r="H3306" s="310"/>
      <c r="I3306" s="295"/>
      <c r="J3306" s="295"/>
      <c r="K3306" s="300">
        <f t="shared" si="422"/>
        <v>1.1000000000000001</v>
      </c>
      <c r="L3306" s="300">
        <f t="shared" si="423"/>
        <v>0</v>
      </c>
      <c r="M3306" s="285">
        <f t="shared" si="424"/>
        <v>0</v>
      </c>
      <c r="N3306" s="1076">
        <f t="shared" si="425"/>
        <v>0</v>
      </c>
      <c r="O3306" s="294"/>
      <c r="P3306" s="404"/>
      <c r="Q3306" s="404"/>
      <c r="R3306" s="301"/>
      <c r="S3306" s="301"/>
      <c r="T3306" s="301"/>
      <c r="U3306" s="301"/>
      <c r="V3306" s="301"/>
    </row>
    <row r="3307" spans="1:22" ht="14.4" thickTop="1" thickBot="1" x14ac:dyDescent="0.3">
      <c r="A3307" s="292"/>
      <c r="B3307" s="293"/>
      <c r="C3307" s="294"/>
      <c r="D3307" s="294"/>
      <c r="E3307" s="294"/>
      <c r="F3307" s="310"/>
      <c r="G3307" s="310"/>
      <c r="H3307" s="310"/>
      <c r="I3307" s="295"/>
      <c r="J3307" s="295"/>
      <c r="K3307" s="300">
        <f t="shared" si="422"/>
        <v>1.1000000000000001</v>
      </c>
      <c r="L3307" s="300">
        <f t="shared" si="423"/>
        <v>0</v>
      </c>
      <c r="M3307" s="285">
        <f t="shared" si="424"/>
        <v>0</v>
      </c>
      <c r="N3307" s="1076">
        <f t="shared" si="425"/>
        <v>0</v>
      </c>
      <c r="O3307" s="294"/>
      <c r="P3307" s="404"/>
      <c r="Q3307" s="404"/>
      <c r="R3307" s="301"/>
      <c r="S3307" s="301"/>
      <c r="T3307" s="301"/>
      <c r="U3307" s="301"/>
      <c r="V3307" s="301"/>
    </row>
    <row r="3308" spans="1:22" ht="14.4" thickTop="1" thickBot="1" x14ac:dyDescent="0.3">
      <c r="A3308" s="292"/>
      <c r="B3308" s="293"/>
      <c r="C3308" s="294"/>
      <c r="D3308" s="294"/>
      <c r="E3308" s="294"/>
      <c r="F3308" s="310"/>
      <c r="G3308" s="310"/>
      <c r="H3308" s="310"/>
      <c r="I3308" s="295"/>
      <c r="J3308" s="295"/>
      <c r="K3308" s="300">
        <f t="shared" si="422"/>
        <v>1.1000000000000001</v>
      </c>
      <c r="L3308" s="300">
        <f t="shared" si="423"/>
        <v>0</v>
      </c>
      <c r="M3308" s="285">
        <f t="shared" si="424"/>
        <v>0</v>
      </c>
      <c r="N3308" s="1076">
        <f t="shared" si="425"/>
        <v>0</v>
      </c>
      <c r="O3308" s="294"/>
      <c r="P3308" s="404"/>
      <c r="Q3308" s="404"/>
      <c r="R3308" s="301"/>
      <c r="S3308" s="301"/>
      <c r="T3308" s="301"/>
      <c r="U3308" s="301"/>
      <c r="V3308" s="301"/>
    </row>
    <row r="3309" spans="1:22" ht="14.4" thickTop="1" thickBot="1" x14ac:dyDescent="0.3">
      <c r="A3309" s="292"/>
      <c r="B3309" s="293"/>
      <c r="C3309" s="294"/>
      <c r="D3309" s="294"/>
      <c r="E3309" s="294"/>
      <c r="F3309" s="310"/>
      <c r="G3309" s="310"/>
      <c r="H3309" s="310"/>
      <c r="I3309" s="295"/>
      <c r="J3309" s="295"/>
      <c r="K3309" s="300">
        <f t="shared" si="422"/>
        <v>1.1000000000000001</v>
      </c>
      <c r="L3309" s="300">
        <f t="shared" si="423"/>
        <v>0</v>
      </c>
      <c r="M3309" s="285">
        <f t="shared" si="424"/>
        <v>0</v>
      </c>
      <c r="N3309" s="1076">
        <f t="shared" si="425"/>
        <v>0</v>
      </c>
      <c r="O3309" s="294"/>
      <c r="P3309" s="404"/>
      <c r="Q3309" s="404"/>
      <c r="R3309" s="301"/>
      <c r="S3309" s="301"/>
      <c r="T3309" s="301"/>
      <c r="U3309" s="301"/>
      <c r="V3309" s="301"/>
    </row>
    <row r="3310" spans="1:22" ht="14.4" thickTop="1" thickBot="1" x14ac:dyDescent="0.3">
      <c r="A3310" s="292"/>
      <c r="B3310" s="293"/>
      <c r="C3310" s="294"/>
      <c r="D3310" s="294"/>
      <c r="E3310" s="294"/>
      <c r="F3310" s="310"/>
      <c r="G3310" s="310"/>
      <c r="H3310" s="310"/>
      <c r="I3310" s="295"/>
      <c r="J3310" s="295"/>
      <c r="K3310" s="300">
        <f t="shared" si="422"/>
        <v>1.1000000000000001</v>
      </c>
      <c r="L3310" s="300">
        <f t="shared" si="423"/>
        <v>0</v>
      </c>
      <c r="M3310" s="285">
        <f t="shared" si="424"/>
        <v>0</v>
      </c>
      <c r="N3310" s="1076">
        <f t="shared" si="425"/>
        <v>0</v>
      </c>
      <c r="O3310" s="294"/>
      <c r="P3310" s="404"/>
      <c r="Q3310" s="404"/>
      <c r="R3310" s="301"/>
      <c r="S3310" s="301"/>
      <c r="T3310" s="301"/>
      <c r="U3310" s="301"/>
      <c r="V3310" s="301"/>
    </row>
    <row r="3311" spans="1:22" ht="14.4" thickTop="1" thickBot="1" x14ac:dyDescent="0.3">
      <c r="A3311" s="292"/>
      <c r="B3311" s="293"/>
      <c r="C3311" s="294"/>
      <c r="D3311" s="294"/>
      <c r="E3311" s="294"/>
      <c r="F3311" s="310"/>
      <c r="G3311" s="310"/>
      <c r="H3311" s="310"/>
      <c r="I3311" s="295"/>
      <c r="J3311" s="295"/>
      <c r="K3311" s="300">
        <f t="shared" si="422"/>
        <v>1.1000000000000001</v>
      </c>
      <c r="L3311" s="300">
        <f t="shared" si="423"/>
        <v>0</v>
      </c>
      <c r="M3311" s="285">
        <f t="shared" si="424"/>
        <v>0</v>
      </c>
      <c r="N3311" s="1076">
        <f t="shared" si="425"/>
        <v>0</v>
      </c>
      <c r="O3311" s="294"/>
      <c r="P3311" s="404"/>
      <c r="Q3311" s="404"/>
      <c r="R3311" s="301"/>
      <c r="S3311" s="301"/>
      <c r="T3311" s="301"/>
      <c r="U3311" s="301"/>
      <c r="V3311" s="301"/>
    </row>
    <row r="3312" spans="1:22" ht="14.4" thickTop="1" thickBot="1" x14ac:dyDescent="0.3">
      <c r="A3312" s="292"/>
      <c r="B3312" s="293"/>
      <c r="C3312" s="294"/>
      <c r="D3312" s="294"/>
      <c r="E3312" s="294"/>
      <c r="F3312" s="310"/>
      <c r="G3312" s="310"/>
      <c r="H3312" s="310"/>
      <c r="I3312" s="295"/>
      <c r="J3312" s="295"/>
      <c r="K3312" s="300">
        <f t="shared" si="422"/>
        <v>1.1000000000000001</v>
      </c>
      <c r="L3312" s="300">
        <f t="shared" si="423"/>
        <v>0</v>
      </c>
      <c r="M3312" s="285">
        <f t="shared" si="424"/>
        <v>0</v>
      </c>
      <c r="N3312" s="1076">
        <f t="shared" si="425"/>
        <v>0</v>
      </c>
      <c r="O3312" s="294"/>
      <c r="P3312" s="404"/>
      <c r="Q3312" s="404"/>
      <c r="R3312" s="301"/>
      <c r="S3312" s="301"/>
      <c r="T3312" s="301"/>
      <c r="U3312" s="301"/>
      <c r="V3312" s="301"/>
    </row>
    <row r="3313" spans="1:22" ht="14.4" thickTop="1" thickBot="1" x14ac:dyDescent="0.3">
      <c r="A3313" s="292"/>
      <c r="B3313" s="293"/>
      <c r="C3313" s="294"/>
      <c r="D3313" s="294"/>
      <c r="E3313" s="294"/>
      <c r="F3313" s="310"/>
      <c r="G3313" s="310"/>
      <c r="H3313" s="310"/>
      <c r="I3313" s="295"/>
      <c r="J3313" s="295"/>
      <c r="K3313" s="300">
        <f t="shared" si="422"/>
        <v>1.1000000000000001</v>
      </c>
      <c r="L3313" s="300">
        <f t="shared" si="423"/>
        <v>0</v>
      </c>
      <c r="M3313" s="285">
        <f t="shared" si="424"/>
        <v>0</v>
      </c>
      <c r="N3313" s="1076">
        <f t="shared" si="425"/>
        <v>0</v>
      </c>
      <c r="O3313" s="294"/>
      <c r="P3313" s="404"/>
      <c r="Q3313" s="404"/>
      <c r="R3313" s="301"/>
      <c r="S3313" s="301"/>
      <c r="T3313" s="301"/>
      <c r="U3313" s="301"/>
      <c r="V3313" s="301"/>
    </row>
    <row r="3314" spans="1:22" ht="14.4" thickTop="1" thickBot="1" x14ac:dyDescent="0.3">
      <c r="A3314" s="292"/>
      <c r="B3314" s="293"/>
      <c r="C3314" s="294"/>
      <c r="D3314" s="294"/>
      <c r="E3314" s="294"/>
      <c r="F3314" s="310"/>
      <c r="G3314" s="310"/>
      <c r="H3314" s="310"/>
      <c r="I3314" s="295"/>
      <c r="J3314" s="295"/>
      <c r="K3314" s="300">
        <f t="shared" si="422"/>
        <v>1.1000000000000001</v>
      </c>
      <c r="L3314" s="300">
        <f t="shared" si="423"/>
        <v>0</v>
      </c>
      <c r="M3314" s="285">
        <f t="shared" si="424"/>
        <v>0</v>
      </c>
      <c r="N3314" s="1076">
        <f t="shared" si="425"/>
        <v>0</v>
      </c>
      <c r="O3314" s="294"/>
      <c r="P3314" s="404"/>
      <c r="Q3314" s="404"/>
      <c r="R3314" s="301"/>
      <c r="S3314" s="301"/>
      <c r="T3314" s="301"/>
      <c r="U3314" s="301"/>
      <c r="V3314" s="301"/>
    </row>
    <row r="3315" spans="1:22" ht="14.4" thickTop="1" thickBot="1" x14ac:dyDescent="0.3">
      <c r="A3315" s="292"/>
      <c r="B3315" s="293"/>
      <c r="C3315" s="294"/>
      <c r="D3315" s="294"/>
      <c r="E3315" s="294"/>
      <c r="F3315" s="310"/>
      <c r="G3315" s="310"/>
      <c r="H3315" s="310"/>
      <c r="I3315" s="295"/>
      <c r="J3315" s="295"/>
      <c r="K3315" s="300">
        <f t="shared" si="422"/>
        <v>1.1000000000000001</v>
      </c>
      <c r="L3315" s="300">
        <f t="shared" si="423"/>
        <v>0</v>
      </c>
      <c r="M3315" s="285">
        <f t="shared" si="424"/>
        <v>0</v>
      </c>
      <c r="N3315" s="1076">
        <f t="shared" si="425"/>
        <v>0</v>
      </c>
      <c r="O3315" s="294"/>
      <c r="P3315" s="404"/>
      <c r="Q3315" s="404"/>
      <c r="R3315" s="301"/>
      <c r="S3315" s="301"/>
      <c r="T3315" s="301"/>
      <c r="U3315" s="301"/>
      <c r="V3315" s="301"/>
    </row>
    <row r="3316" spans="1:22" ht="14.4" thickTop="1" thickBot="1" x14ac:dyDescent="0.3">
      <c r="A3316" s="292"/>
      <c r="B3316" s="293"/>
      <c r="C3316" s="294"/>
      <c r="D3316" s="294"/>
      <c r="E3316" s="294"/>
      <c r="F3316" s="310"/>
      <c r="G3316" s="310"/>
      <c r="H3316" s="310"/>
      <c r="I3316" s="295"/>
      <c r="J3316" s="295"/>
      <c r="K3316" s="300">
        <f t="shared" si="422"/>
        <v>1.1000000000000001</v>
      </c>
      <c r="L3316" s="300">
        <f t="shared" si="423"/>
        <v>0</v>
      </c>
      <c r="M3316" s="285">
        <f t="shared" si="424"/>
        <v>0</v>
      </c>
      <c r="N3316" s="1076">
        <f t="shared" si="425"/>
        <v>0</v>
      </c>
      <c r="O3316" s="294"/>
      <c r="P3316" s="404"/>
      <c r="Q3316" s="404"/>
      <c r="R3316" s="301"/>
      <c r="S3316" s="301"/>
      <c r="T3316" s="301"/>
      <c r="U3316" s="301"/>
      <c r="V3316" s="301"/>
    </row>
    <row r="3317" spans="1:22" ht="14.4" thickTop="1" thickBot="1" x14ac:dyDescent="0.3">
      <c r="A3317" s="292"/>
      <c r="B3317" s="293"/>
      <c r="C3317" s="294"/>
      <c r="D3317" s="294"/>
      <c r="E3317" s="294"/>
      <c r="F3317" s="310"/>
      <c r="G3317" s="310"/>
      <c r="H3317" s="310"/>
      <c r="I3317" s="295"/>
      <c r="J3317" s="295"/>
      <c r="K3317" s="300">
        <f t="shared" si="422"/>
        <v>1.1000000000000001</v>
      </c>
      <c r="L3317" s="300">
        <f t="shared" si="423"/>
        <v>0</v>
      </c>
      <c r="M3317" s="285">
        <f t="shared" si="424"/>
        <v>0</v>
      </c>
      <c r="N3317" s="1076">
        <f t="shared" si="425"/>
        <v>0</v>
      </c>
      <c r="O3317" s="294"/>
      <c r="P3317" s="404"/>
      <c r="Q3317" s="404"/>
      <c r="R3317" s="301"/>
      <c r="S3317" s="301"/>
      <c r="T3317" s="301"/>
      <c r="U3317" s="301"/>
      <c r="V3317" s="301"/>
    </row>
    <row r="3318" spans="1:22" ht="14.4" thickTop="1" thickBot="1" x14ac:dyDescent="0.3">
      <c r="A3318" s="292"/>
      <c r="B3318" s="293"/>
      <c r="C3318" s="294"/>
      <c r="D3318" s="294"/>
      <c r="E3318" s="294"/>
      <c r="F3318" s="310"/>
      <c r="G3318" s="310"/>
      <c r="H3318" s="310"/>
      <c r="I3318" s="295"/>
      <c r="J3318" s="295"/>
      <c r="K3318" s="300">
        <f t="shared" si="422"/>
        <v>1.1000000000000001</v>
      </c>
      <c r="L3318" s="300">
        <f t="shared" si="423"/>
        <v>0</v>
      </c>
      <c r="M3318" s="285">
        <f t="shared" si="424"/>
        <v>0</v>
      </c>
      <c r="N3318" s="1076">
        <f t="shared" si="425"/>
        <v>0</v>
      </c>
      <c r="O3318" s="294"/>
      <c r="P3318" s="404"/>
      <c r="Q3318" s="404"/>
      <c r="R3318" s="301"/>
      <c r="S3318" s="301"/>
      <c r="T3318" s="301"/>
      <c r="U3318" s="301"/>
      <c r="V3318" s="301"/>
    </row>
    <row r="3319" spans="1:22" ht="14.4" thickTop="1" thickBot="1" x14ac:dyDescent="0.3">
      <c r="A3319" s="292"/>
      <c r="B3319" s="293"/>
      <c r="C3319" s="294"/>
      <c r="D3319" s="294"/>
      <c r="E3319" s="294"/>
      <c r="F3319" s="310"/>
      <c r="G3319" s="310"/>
      <c r="H3319" s="310"/>
      <c r="I3319" s="295"/>
      <c r="J3319" s="295"/>
      <c r="K3319" s="300">
        <f t="shared" si="422"/>
        <v>1.1000000000000001</v>
      </c>
      <c r="L3319" s="300">
        <f t="shared" si="423"/>
        <v>0</v>
      </c>
      <c r="M3319" s="285">
        <f t="shared" si="424"/>
        <v>0</v>
      </c>
      <c r="N3319" s="1076">
        <f t="shared" si="425"/>
        <v>0</v>
      </c>
      <c r="O3319" s="294"/>
      <c r="P3319" s="404"/>
      <c r="Q3319" s="404"/>
      <c r="R3319" s="301"/>
      <c r="S3319" s="301"/>
      <c r="T3319" s="301"/>
      <c r="U3319" s="301"/>
      <c r="V3319" s="301"/>
    </row>
    <row r="3320" spans="1:22" ht="14.4" thickTop="1" thickBot="1" x14ac:dyDescent="0.3">
      <c r="A3320" s="292"/>
      <c r="B3320" s="293"/>
      <c r="C3320" s="294"/>
      <c r="D3320" s="294"/>
      <c r="E3320" s="294"/>
      <c r="F3320" s="310"/>
      <c r="G3320" s="310"/>
      <c r="H3320" s="310"/>
      <c r="I3320" s="295"/>
      <c r="J3320" s="295"/>
      <c r="K3320" s="300">
        <f t="shared" si="422"/>
        <v>1.1000000000000001</v>
      </c>
      <c r="L3320" s="300">
        <f t="shared" si="423"/>
        <v>0</v>
      </c>
      <c r="M3320" s="285">
        <f t="shared" si="424"/>
        <v>0</v>
      </c>
      <c r="N3320" s="1076">
        <f t="shared" si="425"/>
        <v>0</v>
      </c>
      <c r="O3320" s="294"/>
      <c r="P3320" s="404"/>
      <c r="Q3320" s="404"/>
      <c r="R3320" s="301"/>
      <c r="S3320" s="301"/>
      <c r="T3320" s="301"/>
      <c r="U3320" s="301"/>
      <c r="V3320" s="301"/>
    </row>
    <row r="3321" spans="1:22" ht="14.4" thickTop="1" thickBot="1" x14ac:dyDescent="0.3">
      <c r="A3321" s="292"/>
      <c r="B3321" s="293"/>
      <c r="C3321" s="294"/>
      <c r="D3321" s="294"/>
      <c r="E3321" s="294"/>
      <c r="F3321" s="310"/>
      <c r="G3321" s="310"/>
      <c r="H3321" s="310"/>
      <c r="I3321" s="295"/>
      <c r="J3321" s="295"/>
      <c r="K3321" s="300">
        <f t="shared" si="422"/>
        <v>1.1000000000000001</v>
      </c>
      <c r="L3321" s="300">
        <f t="shared" si="423"/>
        <v>0</v>
      </c>
      <c r="M3321" s="285">
        <f t="shared" si="424"/>
        <v>0</v>
      </c>
      <c r="N3321" s="1076">
        <f t="shared" si="425"/>
        <v>0</v>
      </c>
      <c r="O3321" s="294"/>
      <c r="P3321" s="404"/>
      <c r="Q3321" s="404"/>
      <c r="R3321" s="301"/>
      <c r="S3321" s="301"/>
      <c r="T3321" s="301"/>
      <c r="U3321" s="301"/>
      <c r="V3321" s="301"/>
    </row>
    <row r="3322" spans="1:22" ht="14.4" thickTop="1" thickBot="1" x14ac:dyDescent="0.3">
      <c r="A3322" s="292"/>
      <c r="B3322" s="293"/>
      <c r="C3322" s="294"/>
      <c r="D3322" s="294"/>
      <c r="E3322" s="294"/>
      <c r="F3322" s="310"/>
      <c r="G3322" s="310"/>
      <c r="H3322" s="310"/>
      <c r="I3322" s="295"/>
      <c r="J3322" s="295"/>
      <c r="K3322" s="300">
        <f t="shared" si="422"/>
        <v>1.1000000000000001</v>
      </c>
      <c r="L3322" s="300">
        <f t="shared" si="423"/>
        <v>0</v>
      </c>
      <c r="M3322" s="285">
        <f t="shared" si="424"/>
        <v>0</v>
      </c>
      <c r="N3322" s="1076">
        <f t="shared" si="425"/>
        <v>0</v>
      </c>
      <c r="O3322" s="294"/>
      <c r="P3322" s="404"/>
      <c r="Q3322" s="404"/>
      <c r="R3322" s="301"/>
      <c r="S3322" s="301"/>
      <c r="T3322" s="301"/>
      <c r="U3322" s="301"/>
      <c r="V3322" s="301"/>
    </row>
    <row r="3323" spans="1:22" ht="14.4" thickTop="1" thickBot="1" x14ac:dyDescent="0.3">
      <c r="A3323" s="292"/>
      <c r="B3323" s="293"/>
      <c r="C3323" s="294"/>
      <c r="D3323" s="294"/>
      <c r="E3323" s="294"/>
      <c r="F3323" s="310"/>
      <c r="G3323" s="310"/>
      <c r="H3323" s="310"/>
      <c r="I3323" s="295"/>
      <c r="J3323" s="295"/>
      <c r="K3323" s="300">
        <f t="shared" si="422"/>
        <v>1.1000000000000001</v>
      </c>
      <c r="L3323" s="300">
        <f t="shared" si="423"/>
        <v>0</v>
      </c>
      <c r="M3323" s="285">
        <f t="shared" si="424"/>
        <v>0</v>
      </c>
      <c r="N3323" s="1076">
        <f t="shared" si="425"/>
        <v>0</v>
      </c>
      <c r="O3323" s="294"/>
      <c r="P3323" s="404"/>
      <c r="Q3323" s="404"/>
      <c r="R3323" s="301"/>
      <c r="S3323" s="301"/>
      <c r="T3323" s="301"/>
      <c r="U3323" s="301"/>
      <c r="V3323" s="301"/>
    </row>
    <row r="3324" spans="1:22" ht="14.4" thickTop="1" thickBot="1" x14ac:dyDescent="0.3">
      <c r="A3324" s="292"/>
      <c r="B3324" s="293"/>
      <c r="C3324" s="294"/>
      <c r="D3324" s="294"/>
      <c r="E3324" s="294"/>
      <c r="F3324" s="310"/>
      <c r="G3324" s="310"/>
      <c r="H3324" s="310"/>
      <c r="I3324" s="295"/>
      <c r="J3324" s="295"/>
      <c r="K3324" s="300">
        <f t="shared" si="422"/>
        <v>1.1000000000000001</v>
      </c>
      <c r="L3324" s="300">
        <f t="shared" si="423"/>
        <v>0</v>
      </c>
      <c r="M3324" s="285">
        <f t="shared" si="424"/>
        <v>0</v>
      </c>
      <c r="N3324" s="1076">
        <f t="shared" si="425"/>
        <v>0</v>
      </c>
      <c r="O3324" s="294"/>
      <c r="P3324" s="404"/>
      <c r="Q3324" s="404"/>
      <c r="R3324" s="301"/>
      <c r="S3324" s="301"/>
      <c r="T3324" s="301"/>
      <c r="U3324" s="301"/>
      <c r="V3324" s="301"/>
    </row>
    <row r="3325" spans="1:22" ht="14.4" thickTop="1" thickBot="1" x14ac:dyDescent="0.3">
      <c r="A3325" s="292"/>
      <c r="B3325" s="293"/>
      <c r="C3325" s="294"/>
      <c r="D3325" s="294"/>
      <c r="E3325" s="294"/>
      <c r="F3325" s="310"/>
      <c r="G3325" s="310"/>
      <c r="H3325" s="310"/>
      <c r="I3325" s="295"/>
      <c r="J3325" s="295"/>
      <c r="K3325" s="300">
        <f t="shared" si="422"/>
        <v>1.1000000000000001</v>
      </c>
      <c r="L3325" s="300">
        <f t="shared" si="423"/>
        <v>0</v>
      </c>
      <c r="M3325" s="285">
        <f t="shared" si="424"/>
        <v>0</v>
      </c>
      <c r="N3325" s="1076">
        <f t="shared" si="425"/>
        <v>0</v>
      </c>
      <c r="O3325" s="294"/>
      <c r="P3325" s="404"/>
      <c r="Q3325" s="404"/>
      <c r="R3325" s="301"/>
      <c r="S3325" s="301"/>
      <c r="T3325" s="301"/>
      <c r="U3325" s="301"/>
      <c r="V3325" s="301"/>
    </row>
    <row r="3326" spans="1:22" ht="14.4" thickTop="1" thickBot="1" x14ac:dyDescent="0.3">
      <c r="A3326" s="292"/>
      <c r="B3326" s="293"/>
      <c r="C3326" s="294"/>
      <c r="D3326" s="294"/>
      <c r="E3326" s="294"/>
      <c r="F3326" s="310"/>
      <c r="G3326" s="310"/>
      <c r="H3326" s="310"/>
      <c r="I3326" s="295"/>
      <c r="J3326" s="295"/>
      <c r="K3326" s="300">
        <f t="shared" si="422"/>
        <v>1.1000000000000001</v>
      </c>
      <c r="L3326" s="300">
        <f t="shared" si="423"/>
        <v>0</v>
      </c>
      <c r="M3326" s="285">
        <f t="shared" si="424"/>
        <v>0</v>
      </c>
      <c r="N3326" s="1076">
        <f t="shared" si="425"/>
        <v>0</v>
      </c>
      <c r="O3326" s="294"/>
      <c r="P3326" s="404"/>
      <c r="Q3326" s="404"/>
      <c r="R3326" s="301"/>
      <c r="S3326" s="301"/>
      <c r="T3326" s="301"/>
      <c r="U3326" s="301"/>
      <c r="V3326" s="301"/>
    </row>
    <row r="3327" spans="1:22" ht="14.4" thickTop="1" thickBot="1" x14ac:dyDescent="0.3">
      <c r="A3327" s="292"/>
      <c r="B3327" s="293"/>
      <c r="C3327" s="294"/>
      <c r="D3327" s="294"/>
      <c r="E3327" s="294"/>
      <c r="F3327" s="310"/>
      <c r="G3327" s="310"/>
      <c r="H3327" s="310"/>
      <c r="I3327" s="295"/>
      <c r="J3327" s="295"/>
      <c r="K3327" s="300">
        <f t="shared" si="422"/>
        <v>1.1000000000000001</v>
      </c>
      <c r="L3327" s="300">
        <f t="shared" si="423"/>
        <v>0</v>
      </c>
      <c r="M3327" s="285">
        <f t="shared" si="424"/>
        <v>0</v>
      </c>
      <c r="N3327" s="1076">
        <f t="shared" si="425"/>
        <v>0</v>
      </c>
      <c r="O3327" s="294"/>
      <c r="P3327" s="404"/>
      <c r="Q3327" s="404"/>
      <c r="R3327" s="301"/>
      <c r="S3327" s="301"/>
      <c r="T3327" s="301"/>
      <c r="U3327" s="301"/>
      <c r="V3327" s="301"/>
    </row>
    <row r="3328" spans="1:22" ht="14.4" thickTop="1" thickBot="1" x14ac:dyDescent="0.3">
      <c r="A3328" s="292"/>
      <c r="B3328" s="293"/>
      <c r="C3328" s="294"/>
      <c r="D3328" s="294"/>
      <c r="E3328" s="294"/>
      <c r="F3328" s="310"/>
      <c r="G3328" s="310"/>
      <c r="H3328" s="310"/>
      <c r="I3328" s="295"/>
      <c r="J3328" s="295"/>
      <c r="K3328" s="300">
        <f t="shared" si="422"/>
        <v>1.1000000000000001</v>
      </c>
      <c r="L3328" s="300">
        <f t="shared" si="423"/>
        <v>0</v>
      </c>
      <c r="M3328" s="285">
        <f t="shared" si="424"/>
        <v>0</v>
      </c>
      <c r="N3328" s="1076">
        <f t="shared" si="425"/>
        <v>0</v>
      </c>
      <c r="O3328" s="294"/>
      <c r="P3328" s="404"/>
      <c r="Q3328" s="404"/>
      <c r="R3328" s="301"/>
      <c r="S3328" s="301"/>
      <c r="T3328" s="301"/>
      <c r="U3328" s="301"/>
      <c r="V3328" s="301"/>
    </row>
    <row r="3329" spans="1:22" ht="14.4" thickTop="1" thickBot="1" x14ac:dyDescent="0.3">
      <c r="A3329" s="292"/>
      <c r="B3329" s="293"/>
      <c r="C3329" s="294"/>
      <c r="D3329" s="294"/>
      <c r="E3329" s="294"/>
      <c r="F3329" s="310"/>
      <c r="G3329" s="310"/>
      <c r="H3329" s="310"/>
      <c r="I3329" s="295"/>
      <c r="J3329" s="295"/>
      <c r="K3329" s="300">
        <f t="shared" si="422"/>
        <v>1.1000000000000001</v>
      </c>
      <c r="L3329" s="300">
        <f t="shared" si="423"/>
        <v>0</v>
      </c>
      <c r="M3329" s="285">
        <f t="shared" si="424"/>
        <v>0</v>
      </c>
      <c r="N3329" s="1076">
        <f t="shared" si="425"/>
        <v>0</v>
      </c>
      <c r="O3329" s="294"/>
      <c r="P3329" s="404"/>
      <c r="Q3329" s="404"/>
      <c r="R3329" s="301"/>
      <c r="S3329" s="301"/>
      <c r="T3329" s="301"/>
      <c r="U3329" s="301"/>
      <c r="V3329" s="301"/>
    </row>
    <row r="3330" spans="1:22" ht="14.4" thickTop="1" thickBot="1" x14ac:dyDescent="0.3">
      <c r="A3330" s="292"/>
      <c r="B3330" s="293"/>
      <c r="C3330" s="294"/>
      <c r="D3330" s="294"/>
      <c r="E3330" s="294"/>
      <c r="F3330" s="310"/>
      <c r="G3330" s="310"/>
      <c r="H3330" s="310"/>
      <c r="I3330" s="295"/>
      <c r="J3330" s="295"/>
      <c r="K3330" s="300">
        <f t="shared" si="422"/>
        <v>1.1000000000000001</v>
      </c>
      <c r="L3330" s="300">
        <f t="shared" si="423"/>
        <v>0</v>
      </c>
      <c r="M3330" s="285">
        <f t="shared" si="424"/>
        <v>0</v>
      </c>
      <c r="N3330" s="1076">
        <f t="shared" si="425"/>
        <v>0</v>
      </c>
      <c r="O3330" s="294"/>
      <c r="P3330" s="404"/>
      <c r="Q3330" s="404"/>
      <c r="R3330" s="301"/>
      <c r="S3330" s="301"/>
      <c r="T3330" s="301"/>
      <c r="U3330" s="301"/>
      <c r="V3330" s="301"/>
    </row>
    <row r="3331" spans="1:22" ht="14.4" thickTop="1" thickBot="1" x14ac:dyDescent="0.3">
      <c r="A3331" s="292"/>
      <c r="B3331" s="293"/>
      <c r="C3331" s="294"/>
      <c r="D3331" s="294"/>
      <c r="E3331" s="294"/>
      <c r="F3331" s="310"/>
      <c r="G3331" s="310"/>
      <c r="H3331" s="310"/>
      <c r="I3331" s="295"/>
      <c r="J3331" s="295"/>
      <c r="K3331" s="300">
        <f t="shared" si="422"/>
        <v>1.1000000000000001</v>
      </c>
      <c r="L3331" s="300">
        <f t="shared" si="423"/>
        <v>0</v>
      </c>
      <c r="M3331" s="285">
        <f t="shared" si="424"/>
        <v>0</v>
      </c>
      <c r="N3331" s="1076">
        <f t="shared" si="425"/>
        <v>0</v>
      </c>
      <c r="O3331" s="294"/>
      <c r="P3331" s="404"/>
      <c r="Q3331" s="404"/>
      <c r="R3331" s="301"/>
      <c r="S3331" s="301"/>
      <c r="T3331" s="301"/>
      <c r="U3331" s="301"/>
      <c r="V3331" s="301"/>
    </row>
    <row r="3332" spans="1:22" ht="14.4" thickTop="1" thickBot="1" x14ac:dyDescent="0.3">
      <c r="A3332" s="292"/>
      <c r="B3332" s="293"/>
      <c r="C3332" s="294"/>
      <c r="D3332" s="294"/>
      <c r="E3332" s="294"/>
      <c r="F3332" s="310"/>
      <c r="G3332" s="310"/>
      <c r="H3332" s="310"/>
      <c r="I3332" s="295"/>
      <c r="J3332" s="295"/>
      <c r="K3332" s="300">
        <f t="shared" ref="K3332:K3337" si="426">$K$2</f>
        <v>1.1000000000000001</v>
      </c>
      <c r="L3332" s="300">
        <f t="shared" si="423"/>
        <v>0</v>
      </c>
      <c r="M3332" s="285">
        <f t="shared" si="424"/>
        <v>0</v>
      </c>
      <c r="N3332" s="1076">
        <f t="shared" si="425"/>
        <v>0</v>
      </c>
      <c r="O3332" s="294"/>
      <c r="P3332" s="404"/>
      <c r="Q3332" s="404"/>
      <c r="R3332" s="301"/>
      <c r="S3332" s="301"/>
      <c r="T3332" s="301"/>
      <c r="U3332" s="301"/>
      <c r="V3332" s="301"/>
    </row>
    <row r="3333" spans="1:22" ht="14.4" thickTop="1" thickBot="1" x14ac:dyDescent="0.3">
      <c r="A3333" s="292"/>
      <c r="B3333" s="293"/>
      <c r="C3333" s="294"/>
      <c r="D3333" s="294"/>
      <c r="E3333" s="294"/>
      <c r="F3333" s="310"/>
      <c r="G3333" s="310"/>
      <c r="H3333" s="310"/>
      <c r="I3333" s="295"/>
      <c r="J3333" s="295"/>
      <c r="K3333" s="300">
        <f t="shared" si="426"/>
        <v>1.1000000000000001</v>
      </c>
      <c r="L3333" s="300">
        <f t="shared" si="423"/>
        <v>0</v>
      </c>
      <c r="M3333" s="285">
        <f t="shared" si="424"/>
        <v>0</v>
      </c>
      <c r="N3333" s="1076">
        <f t="shared" si="425"/>
        <v>0</v>
      </c>
      <c r="O3333" s="294"/>
      <c r="P3333" s="404"/>
      <c r="Q3333" s="404"/>
      <c r="R3333" s="301"/>
      <c r="S3333" s="301"/>
      <c r="T3333" s="301"/>
      <c r="U3333" s="301"/>
      <c r="V3333" s="301"/>
    </row>
    <row r="3334" spans="1:22" ht="14.4" thickTop="1" thickBot="1" x14ac:dyDescent="0.3">
      <c r="A3334" s="292"/>
      <c r="B3334" s="293"/>
      <c r="C3334" s="294"/>
      <c r="D3334" s="294"/>
      <c r="E3334" s="294"/>
      <c r="F3334" s="310"/>
      <c r="G3334" s="310"/>
      <c r="H3334" s="310"/>
      <c r="I3334" s="295"/>
      <c r="J3334" s="295"/>
      <c r="K3334" s="300">
        <f t="shared" si="426"/>
        <v>1.1000000000000001</v>
      </c>
      <c r="L3334" s="300">
        <f t="shared" si="423"/>
        <v>0</v>
      </c>
      <c r="M3334" s="285">
        <f t="shared" si="424"/>
        <v>0</v>
      </c>
      <c r="N3334" s="1076">
        <f t="shared" si="425"/>
        <v>0</v>
      </c>
      <c r="O3334" s="294"/>
      <c r="P3334" s="404"/>
      <c r="Q3334" s="404"/>
      <c r="R3334" s="301"/>
      <c r="S3334" s="301"/>
      <c r="T3334" s="301"/>
      <c r="U3334" s="301"/>
      <c r="V3334" s="301"/>
    </row>
    <row r="3335" spans="1:22" ht="14.4" thickTop="1" thickBot="1" x14ac:dyDescent="0.3">
      <c r="A3335" s="292"/>
      <c r="B3335" s="293"/>
      <c r="C3335" s="294"/>
      <c r="D3335" s="294"/>
      <c r="E3335" s="294"/>
      <c r="F3335" s="310"/>
      <c r="G3335" s="310"/>
      <c r="H3335" s="310"/>
      <c r="I3335" s="295"/>
      <c r="J3335" s="295"/>
      <c r="K3335" s="300">
        <f t="shared" si="426"/>
        <v>1.1000000000000001</v>
      </c>
      <c r="L3335" s="300">
        <f t="shared" si="423"/>
        <v>0</v>
      </c>
      <c r="M3335" s="285">
        <f t="shared" si="424"/>
        <v>0</v>
      </c>
      <c r="N3335" s="1076">
        <f t="shared" si="425"/>
        <v>0</v>
      </c>
      <c r="O3335" s="294"/>
      <c r="P3335" s="404"/>
      <c r="Q3335" s="404"/>
      <c r="R3335" s="301"/>
      <c r="S3335" s="301"/>
      <c r="T3335" s="301"/>
      <c r="U3335" s="301"/>
      <c r="V3335" s="301"/>
    </row>
    <row r="3336" spans="1:22" ht="14.4" thickTop="1" thickBot="1" x14ac:dyDescent="0.3">
      <c r="A3336" s="292"/>
      <c r="B3336" s="293"/>
      <c r="C3336" s="294"/>
      <c r="D3336" s="294"/>
      <c r="E3336" s="294"/>
      <c r="F3336" s="310"/>
      <c r="G3336" s="310"/>
      <c r="H3336" s="310"/>
      <c r="I3336" s="295"/>
      <c r="J3336" s="295"/>
      <c r="K3336" s="300">
        <f t="shared" si="426"/>
        <v>1.1000000000000001</v>
      </c>
      <c r="L3336" s="300">
        <f t="shared" si="423"/>
        <v>0</v>
      </c>
      <c r="M3336" s="285">
        <f t="shared" si="424"/>
        <v>0</v>
      </c>
      <c r="N3336" s="1076">
        <f t="shared" si="425"/>
        <v>0</v>
      </c>
      <c r="O3336" s="294"/>
      <c r="P3336" s="404"/>
      <c r="Q3336" s="404"/>
      <c r="R3336" s="301"/>
      <c r="S3336" s="301"/>
      <c r="T3336" s="301"/>
      <c r="U3336" s="301"/>
      <c r="V3336" s="301"/>
    </row>
    <row r="3337" spans="1:22" ht="12.6" customHeight="1" thickTop="1" thickBot="1" x14ac:dyDescent="0.3">
      <c r="A3337" s="292"/>
      <c r="B3337" s="293"/>
      <c r="C3337" s="294"/>
      <c r="D3337" s="294"/>
      <c r="E3337" s="294"/>
      <c r="F3337" s="310"/>
      <c r="G3337" s="310"/>
      <c r="H3337" s="310"/>
      <c r="I3337" s="295"/>
      <c r="J3337" s="295"/>
      <c r="K3337" s="300">
        <f t="shared" si="426"/>
        <v>1.1000000000000001</v>
      </c>
      <c r="L3337" s="300">
        <f t="shared" si="423"/>
        <v>0</v>
      </c>
      <c r="M3337" s="285">
        <f t="shared" si="424"/>
        <v>0</v>
      </c>
      <c r="N3337" s="1076">
        <f t="shared" si="425"/>
        <v>0</v>
      </c>
      <c r="O3337" s="294"/>
      <c r="P3337" s="404"/>
      <c r="Q3337" s="404"/>
      <c r="R3337" s="301"/>
      <c r="S3337" s="301"/>
      <c r="T3337" s="301"/>
      <c r="U3337" s="301"/>
      <c r="V3337" s="301"/>
    </row>
    <row r="3338" spans="1:22" ht="12.6" customHeight="1" thickTop="1" thickBot="1" x14ac:dyDescent="0.3">
      <c r="A3338" s="292"/>
      <c r="B3338" s="293"/>
      <c r="C3338" s="294"/>
      <c r="D3338" s="294"/>
      <c r="E3338" s="294"/>
      <c r="F3338" s="310"/>
      <c r="G3338" s="310"/>
      <c r="H3338" s="310"/>
      <c r="I3338" s="295"/>
      <c r="J3338" s="295">
        <f>J5/9.29</f>
        <v>0</v>
      </c>
      <c r="K3338" s="300">
        <v>1.05</v>
      </c>
      <c r="L3338" s="300">
        <f>K3338*J3338</f>
        <v>0</v>
      </c>
      <c r="M3338" s="285">
        <f t="shared" ref="M3338:M3398" si="427">ROUND(L3338,0)</f>
        <v>0</v>
      </c>
      <c r="N3338" s="1076"/>
      <c r="O3338" s="294"/>
      <c r="P3338" s="404">
        <f t="shared" ref="P3338:P3341" si="428">$P$3</f>
        <v>1.1000000000000001</v>
      </c>
      <c r="Q3338" s="404"/>
    </row>
    <row r="3339" spans="1:22" ht="14.4" thickTop="1" thickBot="1" x14ac:dyDescent="0.3">
      <c r="A3339" s="292">
        <v>2</v>
      </c>
      <c r="B3339" s="294" t="s">
        <v>692</v>
      </c>
      <c r="C3339" s="294"/>
      <c r="D3339" s="294"/>
      <c r="E3339" s="294"/>
      <c r="F3339" s="310"/>
      <c r="G3339" s="310"/>
      <c r="H3339" s="310"/>
      <c r="I3339" s="295"/>
      <c r="J3339" s="295"/>
      <c r="K3339" s="300">
        <f t="shared" ref="K3339:K3487" si="429">$K$2</f>
        <v>1.1000000000000001</v>
      </c>
      <c r="L3339" s="300">
        <f>K3339*J3339</f>
        <v>0</v>
      </c>
      <c r="M3339" s="285">
        <f>ROUND(L3339,0)</f>
        <v>0</v>
      </c>
      <c r="N3339" s="1076"/>
      <c r="O3339" s="294"/>
      <c r="P3339" s="404">
        <f t="shared" si="428"/>
        <v>1.1000000000000001</v>
      </c>
      <c r="Q3339" s="404"/>
    </row>
    <row r="3340" spans="1:22" ht="14.4" thickTop="1" thickBot="1" x14ac:dyDescent="0.3">
      <c r="A3340" s="292"/>
      <c r="B3340" s="294" t="s">
        <v>698</v>
      </c>
      <c r="C3340" s="294"/>
      <c r="D3340" s="294"/>
      <c r="E3340" s="294"/>
      <c r="F3340" s="310"/>
      <c r="G3340" s="310"/>
      <c r="H3340" s="310"/>
      <c r="I3340" s="295"/>
      <c r="J3340" s="295"/>
      <c r="K3340" s="300">
        <f t="shared" si="429"/>
        <v>1.1000000000000001</v>
      </c>
      <c r="L3340" s="300">
        <f t="shared" ref="L3340:L3448" si="430">K3340*J3340</f>
        <v>0</v>
      </c>
      <c r="M3340" s="285">
        <f t="shared" si="427"/>
        <v>0</v>
      </c>
      <c r="N3340" s="1076"/>
      <c r="O3340" s="294"/>
      <c r="P3340" s="404">
        <f t="shared" si="428"/>
        <v>1.1000000000000001</v>
      </c>
      <c r="Q3340" s="404"/>
    </row>
    <row r="3341" spans="1:22" ht="14.4" thickTop="1" thickBot="1" x14ac:dyDescent="0.3">
      <c r="A3341" s="292"/>
      <c r="B3341" s="294" t="s">
        <v>700</v>
      </c>
      <c r="C3341" s="294"/>
      <c r="D3341" s="294"/>
      <c r="E3341" s="294">
        <v>2</v>
      </c>
      <c r="F3341" s="310">
        <v>12.225</v>
      </c>
      <c r="G3341" s="310">
        <v>0.45</v>
      </c>
      <c r="H3341" s="310">
        <v>0.45</v>
      </c>
      <c r="I3341" s="295">
        <f>H3341*G3341*F3341*E3341</f>
        <v>4.9511250000000002</v>
      </c>
      <c r="J3341" s="295"/>
      <c r="K3341" s="300">
        <f t="shared" si="429"/>
        <v>1.1000000000000001</v>
      </c>
      <c r="L3341" s="300">
        <f t="shared" si="430"/>
        <v>0</v>
      </c>
      <c r="M3341" s="285">
        <f t="shared" si="427"/>
        <v>0</v>
      </c>
      <c r="N3341" s="1076"/>
      <c r="O3341" s="294"/>
      <c r="P3341" s="404">
        <f t="shared" si="428"/>
        <v>1.1000000000000001</v>
      </c>
      <c r="Q3341" s="404"/>
    </row>
    <row r="3342" spans="1:22" ht="14.4" thickTop="1" thickBot="1" x14ac:dyDescent="0.3">
      <c r="A3342" s="292"/>
      <c r="B3342" s="294" t="s">
        <v>699</v>
      </c>
      <c r="C3342" s="294"/>
      <c r="D3342" s="294"/>
      <c r="E3342" s="294">
        <v>3</v>
      </c>
      <c r="F3342" s="310">
        <v>26.024999999999999</v>
      </c>
      <c r="G3342" s="310">
        <v>0.45</v>
      </c>
      <c r="H3342" s="310">
        <v>0.45</v>
      </c>
      <c r="I3342" s="295">
        <f t="shared" ref="I3342:I3353" si="431">H3342*G3342*F3342*E3342</f>
        <v>15.8101875</v>
      </c>
      <c r="J3342" s="295"/>
      <c r="K3342" s="300">
        <f t="shared" si="429"/>
        <v>1.1000000000000001</v>
      </c>
      <c r="L3342" s="300">
        <f t="shared" si="430"/>
        <v>0</v>
      </c>
      <c r="M3342" s="285">
        <f t="shared" si="427"/>
        <v>0</v>
      </c>
      <c r="N3342" s="1076"/>
      <c r="O3342" s="294"/>
      <c r="P3342" s="404"/>
      <c r="Q3342" s="404"/>
    </row>
    <row r="3343" spans="1:22" ht="14.4" thickTop="1" thickBot="1" x14ac:dyDescent="0.3">
      <c r="A3343" s="292"/>
      <c r="B3343" s="294" t="s">
        <v>701</v>
      </c>
      <c r="C3343" s="294"/>
      <c r="D3343" s="294"/>
      <c r="E3343" s="294">
        <v>3</v>
      </c>
      <c r="F3343" s="310">
        <v>10.5</v>
      </c>
      <c r="G3343" s="310">
        <v>0.45</v>
      </c>
      <c r="H3343" s="310">
        <v>0.45</v>
      </c>
      <c r="I3343" s="295">
        <f t="shared" si="431"/>
        <v>6.3787500000000001</v>
      </c>
      <c r="J3343" s="295"/>
      <c r="K3343" s="300">
        <f t="shared" si="429"/>
        <v>1.1000000000000001</v>
      </c>
      <c r="L3343" s="300">
        <f t="shared" si="430"/>
        <v>0</v>
      </c>
      <c r="M3343" s="285">
        <f t="shared" si="427"/>
        <v>0</v>
      </c>
      <c r="N3343" s="1076"/>
      <c r="O3343" s="294"/>
      <c r="P3343" s="404"/>
      <c r="Q3343" s="404"/>
    </row>
    <row r="3344" spans="1:22" ht="14.4" thickTop="1" thickBot="1" x14ac:dyDescent="0.3">
      <c r="A3344" s="292"/>
      <c r="B3344" s="294" t="s">
        <v>702</v>
      </c>
      <c r="C3344" s="294"/>
      <c r="D3344" s="294"/>
      <c r="E3344" s="294">
        <v>1</v>
      </c>
      <c r="F3344" s="310">
        <v>6.3</v>
      </c>
      <c r="G3344" s="310">
        <v>0.45</v>
      </c>
      <c r="H3344" s="310">
        <v>0.45</v>
      </c>
      <c r="I3344" s="295">
        <f t="shared" si="431"/>
        <v>1.2757499999999999</v>
      </c>
      <c r="J3344" s="295"/>
      <c r="K3344" s="300">
        <f t="shared" si="429"/>
        <v>1.1000000000000001</v>
      </c>
      <c r="L3344" s="300">
        <f t="shared" si="430"/>
        <v>0</v>
      </c>
      <c r="M3344" s="285">
        <f t="shared" si="427"/>
        <v>0</v>
      </c>
      <c r="N3344" s="1076"/>
      <c r="O3344" s="294"/>
      <c r="P3344" s="404"/>
      <c r="Q3344" s="404"/>
    </row>
    <row r="3345" spans="1:17" ht="14.4" thickTop="1" thickBot="1" x14ac:dyDescent="0.3">
      <c r="A3345" s="292"/>
      <c r="B3345" s="294" t="s">
        <v>703</v>
      </c>
      <c r="C3345" s="294"/>
      <c r="D3345" s="294"/>
      <c r="E3345" s="294">
        <v>1</v>
      </c>
      <c r="F3345" s="310">
        <v>21.17</v>
      </c>
      <c r="G3345" s="310">
        <v>0.45</v>
      </c>
      <c r="H3345" s="310">
        <v>0.45</v>
      </c>
      <c r="I3345" s="295">
        <f t="shared" si="431"/>
        <v>4.286925000000001</v>
      </c>
      <c r="J3345" s="295"/>
      <c r="K3345" s="300">
        <f t="shared" si="429"/>
        <v>1.1000000000000001</v>
      </c>
      <c r="L3345" s="300">
        <f t="shared" si="430"/>
        <v>0</v>
      </c>
      <c r="M3345" s="285">
        <f t="shared" si="427"/>
        <v>0</v>
      </c>
      <c r="N3345" s="1076"/>
      <c r="O3345" s="294"/>
      <c r="P3345" s="404"/>
      <c r="Q3345" s="404"/>
    </row>
    <row r="3346" spans="1:17" ht="14.4" thickTop="1" thickBot="1" x14ac:dyDescent="0.3">
      <c r="A3346" s="292"/>
      <c r="B3346" s="294" t="s">
        <v>704</v>
      </c>
      <c r="C3346" s="294"/>
      <c r="D3346" s="294"/>
      <c r="E3346" s="294">
        <v>2</v>
      </c>
      <c r="F3346" s="310">
        <v>9.375</v>
      </c>
      <c r="G3346" s="310">
        <v>0.45</v>
      </c>
      <c r="H3346" s="310">
        <v>0.45</v>
      </c>
      <c r="I3346" s="295">
        <f t="shared" si="431"/>
        <v>3.7968750000000004</v>
      </c>
      <c r="J3346" s="295"/>
      <c r="K3346" s="300">
        <f t="shared" si="429"/>
        <v>1.1000000000000001</v>
      </c>
      <c r="L3346" s="300">
        <f t="shared" si="430"/>
        <v>0</v>
      </c>
      <c r="M3346" s="285">
        <f t="shared" si="427"/>
        <v>0</v>
      </c>
      <c r="N3346" s="1076"/>
      <c r="O3346" s="294"/>
      <c r="P3346" s="404"/>
      <c r="Q3346" s="404"/>
    </row>
    <row r="3347" spans="1:17" ht="14.4" thickTop="1" thickBot="1" x14ac:dyDescent="0.3">
      <c r="A3347" s="292"/>
      <c r="B3347" s="294" t="s">
        <v>705</v>
      </c>
      <c r="C3347" s="294"/>
      <c r="D3347" s="294"/>
      <c r="E3347" s="294">
        <v>1</v>
      </c>
      <c r="F3347" s="310">
        <v>4.5</v>
      </c>
      <c r="G3347" s="310">
        <v>0.45</v>
      </c>
      <c r="H3347" s="310">
        <v>0.45</v>
      </c>
      <c r="I3347" s="295">
        <f t="shared" si="431"/>
        <v>0.91125000000000012</v>
      </c>
      <c r="J3347" s="295"/>
      <c r="K3347" s="300">
        <f t="shared" si="429"/>
        <v>1.1000000000000001</v>
      </c>
      <c r="L3347" s="300">
        <f t="shared" si="430"/>
        <v>0</v>
      </c>
      <c r="M3347" s="285">
        <f t="shared" si="427"/>
        <v>0</v>
      </c>
      <c r="N3347" s="1076"/>
      <c r="O3347" s="294"/>
      <c r="P3347" s="404"/>
      <c r="Q3347" s="404"/>
    </row>
    <row r="3348" spans="1:17" ht="14.4" thickTop="1" thickBot="1" x14ac:dyDescent="0.3">
      <c r="A3348" s="292"/>
      <c r="B3348" s="294" t="s">
        <v>706</v>
      </c>
      <c r="C3348" s="294"/>
      <c r="D3348" s="294"/>
      <c r="E3348" s="294">
        <v>1</v>
      </c>
      <c r="F3348" s="310">
        <v>4.0620000000000003</v>
      </c>
      <c r="G3348" s="310">
        <v>0.45</v>
      </c>
      <c r="H3348" s="310">
        <v>0.45</v>
      </c>
      <c r="I3348" s="295">
        <f t="shared" si="431"/>
        <v>0.82255500000000015</v>
      </c>
      <c r="J3348" s="295"/>
      <c r="K3348" s="300">
        <f t="shared" si="429"/>
        <v>1.1000000000000001</v>
      </c>
      <c r="L3348" s="300">
        <f t="shared" si="430"/>
        <v>0</v>
      </c>
      <c r="M3348" s="285">
        <f t="shared" si="427"/>
        <v>0</v>
      </c>
      <c r="N3348" s="1076"/>
      <c r="O3348" s="294"/>
      <c r="P3348" s="404"/>
      <c r="Q3348" s="404"/>
    </row>
    <row r="3349" spans="1:17" ht="14.4" thickTop="1" thickBot="1" x14ac:dyDescent="0.3">
      <c r="A3349" s="292"/>
      <c r="B3349" s="294" t="s">
        <v>707</v>
      </c>
      <c r="C3349" s="294"/>
      <c r="D3349" s="294"/>
      <c r="E3349" s="294">
        <v>2</v>
      </c>
      <c r="F3349" s="310">
        <v>4.6879999999999997</v>
      </c>
      <c r="G3349" s="310">
        <v>0.45</v>
      </c>
      <c r="H3349" s="310">
        <v>0.45</v>
      </c>
      <c r="I3349" s="295">
        <f t="shared" si="431"/>
        <v>1.8986400000000001</v>
      </c>
      <c r="J3349" s="295"/>
      <c r="K3349" s="300">
        <f t="shared" si="429"/>
        <v>1.1000000000000001</v>
      </c>
      <c r="L3349" s="300">
        <f t="shared" si="430"/>
        <v>0</v>
      </c>
      <c r="M3349" s="285">
        <f t="shared" si="427"/>
        <v>0</v>
      </c>
      <c r="N3349" s="1076"/>
      <c r="O3349" s="294"/>
      <c r="P3349" s="404"/>
      <c r="Q3349" s="404"/>
    </row>
    <row r="3350" spans="1:17" ht="14.4" thickTop="1" thickBot="1" x14ac:dyDescent="0.3">
      <c r="A3350" s="292"/>
      <c r="B3350" s="294"/>
      <c r="C3350" s="294"/>
      <c r="D3350" s="294"/>
      <c r="E3350" s="294">
        <v>1</v>
      </c>
      <c r="F3350" s="310">
        <v>4.7249999999999996</v>
      </c>
      <c r="G3350" s="310">
        <v>0.45</v>
      </c>
      <c r="H3350" s="310">
        <v>0.45</v>
      </c>
      <c r="I3350" s="295">
        <f t="shared" si="431"/>
        <v>0.95681249999999995</v>
      </c>
      <c r="J3350" s="295"/>
      <c r="K3350" s="300">
        <f t="shared" si="429"/>
        <v>1.1000000000000001</v>
      </c>
      <c r="L3350" s="300">
        <f t="shared" si="430"/>
        <v>0</v>
      </c>
      <c r="M3350" s="285">
        <f t="shared" si="427"/>
        <v>0</v>
      </c>
      <c r="N3350" s="1076"/>
      <c r="O3350" s="294"/>
      <c r="P3350" s="404"/>
      <c r="Q3350" s="404"/>
    </row>
    <row r="3351" spans="1:17" ht="14.4" thickTop="1" thickBot="1" x14ac:dyDescent="0.3">
      <c r="A3351" s="292"/>
      <c r="B3351" s="294" t="s">
        <v>708</v>
      </c>
      <c r="C3351" s="294"/>
      <c r="D3351" s="294"/>
      <c r="E3351" s="294">
        <v>1</v>
      </c>
      <c r="F3351" s="310">
        <v>3.5249999999999999</v>
      </c>
      <c r="G3351" s="310">
        <v>0.45</v>
      </c>
      <c r="H3351" s="310">
        <v>0.45</v>
      </c>
      <c r="I3351" s="295">
        <f t="shared" si="431"/>
        <v>0.71381250000000007</v>
      </c>
      <c r="J3351" s="295"/>
      <c r="K3351" s="300">
        <f t="shared" si="429"/>
        <v>1.1000000000000001</v>
      </c>
      <c r="L3351" s="300">
        <f t="shared" si="430"/>
        <v>0</v>
      </c>
      <c r="M3351" s="285">
        <f t="shared" si="427"/>
        <v>0</v>
      </c>
      <c r="N3351" s="1076"/>
      <c r="O3351" s="294"/>
      <c r="P3351" s="404"/>
      <c r="Q3351" s="404"/>
    </row>
    <row r="3352" spans="1:17" ht="14.4" thickTop="1" thickBot="1" x14ac:dyDescent="0.3">
      <c r="A3352" s="292"/>
      <c r="B3352" s="294"/>
      <c r="C3352" s="294"/>
      <c r="D3352" s="294"/>
      <c r="E3352" s="294">
        <v>1</v>
      </c>
      <c r="F3352" s="310">
        <v>2.343</v>
      </c>
      <c r="G3352" s="310">
        <v>0.45</v>
      </c>
      <c r="H3352" s="310">
        <v>0.45</v>
      </c>
      <c r="I3352" s="295">
        <f t="shared" si="431"/>
        <v>0.47445750000000003</v>
      </c>
      <c r="J3352" s="295"/>
      <c r="K3352" s="300">
        <f t="shared" si="429"/>
        <v>1.1000000000000001</v>
      </c>
      <c r="L3352" s="300">
        <f t="shared" si="430"/>
        <v>0</v>
      </c>
      <c r="M3352" s="285">
        <f t="shared" si="427"/>
        <v>0</v>
      </c>
      <c r="N3352" s="1076"/>
      <c r="O3352" s="294"/>
      <c r="P3352" s="404"/>
      <c r="Q3352" s="404"/>
    </row>
    <row r="3353" spans="1:17" ht="14.4" thickTop="1" thickBot="1" x14ac:dyDescent="0.3">
      <c r="A3353" s="292"/>
      <c r="B3353" s="294"/>
      <c r="C3353" s="294"/>
      <c r="D3353" s="294"/>
      <c r="E3353" s="294">
        <v>2</v>
      </c>
      <c r="F3353" s="310">
        <v>1.3</v>
      </c>
      <c r="G3353" s="310">
        <v>0.45</v>
      </c>
      <c r="H3353" s="310">
        <v>0.45</v>
      </c>
      <c r="I3353" s="295">
        <f t="shared" si="431"/>
        <v>0.52650000000000008</v>
      </c>
      <c r="J3353" s="295"/>
      <c r="K3353" s="300">
        <f t="shared" si="429"/>
        <v>1.1000000000000001</v>
      </c>
      <c r="L3353" s="300">
        <f t="shared" si="430"/>
        <v>0</v>
      </c>
      <c r="M3353" s="285">
        <f t="shared" si="427"/>
        <v>0</v>
      </c>
      <c r="N3353" s="1076"/>
      <c r="O3353" s="294"/>
      <c r="P3353" s="404"/>
      <c r="Q3353" s="404"/>
    </row>
    <row r="3354" spans="1:17" ht="14.4" thickTop="1" thickBot="1" x14ac:dyDescent="0.3">
      <c r="A3354" s="292"/>
      <c r="B3354" s="294"/>
      <c r="C3354" s="294"/>
      <c r="D3354" s="294"/>
      <c r="E3354" s="294"/>
      <c r="F3354" s="310"/>
      <c r="G3354" s="310"/>
      <c r="H3354" s="310"/>
      <c r="I3354" s="295"/>
      <c r="J3354" s="295"/>
      <c r="K3354" s="300">
        <f t="shared" si="429"/>
        <v>1.1000000000000001</v>
      </c>
      <c r="L3354" s="300">
        <f t="shared" si="430"/>
        <v>0</v>
      </c>
      <c r="M3354" s="285">
        <f t="shared" si="427"/>
        <v>0</v>
      </c>
      <c r="N3354" s="1076"/>
      <c r="O3354" s="294"/>
      <c r="P3354" s="404"/>
      <c r="Q3354" s="404"/>
    </row>
    <row r="3355" spans="1:17" ht="14.4" thickTop="1" thickBot="1" x14ac:dyDescent="0.3">
      <c r="A3355" s="292"/>
      <c r="B3355" s="294" t="s">
        <v>709</v>
      </c>
      <c r="C3355" s="294"/>
      <c r="D3355" s="294"/>
      <c r="E3355" s="294"/>
      <c r="F3355" s="310"/>
      <c r="G3355" s="310"/>
      <c r="H3355" s="310"/>
      <c r="I3355" s="295"/>
      <c r="J3355" s="295"/>
      <c r="K3355" s="300">
        <f t="shared" si="429"/>
        <v>1.1000000000000001</v>
      </c>
      <c r="L3355" s="300">
        <f t="shared" si="430"/>
        <v>0</v>
      </c>
      <c r="M3355" s="285">
        <f t="shared" si="427"/>
        <v>0</v>
      </c>
      <c r="N3355" s="1076"/>
      <c r="O3355" s="294"/>
      <c r="P3355" s="404">
        <v>23</v>
      </c>
      <c r="Q3355" s="404"/>
    </row>
    <row r="3356" spans="1:17" ht="14.4" thickTop="1" thickBot="1" x14ac:dyDescent="0.3">
      <c r="A3356" s="292"/>
      <c r="B3356" s="294" t="s">
        <v>1622</v>
      </c>
      <c r="C3356" s="294"/>
      <c r="D3356" s="294"/>
      <c r="E3356" s="294">
        <v>10</v>
      </c>
      <c r="F3356" s="310">
        <v>1.8</v>
      </c>
      <c r="G3356" s="310">
        <v>1.8</v>
      </c>
      <c r="H3356" s="310">
        <v>1</v>
      </c>
      <c r="I3356" s="295">
        <f>H3356*G3356*F3356*E3356</f>
        <v>32.400000000000006</v>
      </c>
      <c r="J3356" s="295"/>
      <c r="K3356" s="300">
        <f t="shared" si="429"/>
        <v>1.1000000000000001</v>
      </c>
      <c r="L3356" s="300">
        <f t="shared" si="430"/>
        <v>0</v>
      </c>
      <c r="M3356" s="285">
        <f t="shared" si="427"/>
        <v>0</v>
      </c>
      <c r="N3356" s="1076"/>
      <c r="O3356" s="294"/>
      <c r="P3356" s="404">
        <f>SUM(E3356:E3362)</f>
        <v>31</v>
      </c>
      <c r="Q3356" s="404"/>
    </row>
    <row r="3357" spans="1:17" ht="14.4" thickTop="1" thickBot="1" x14ac:dyDescent="0.3">
      <c r="A3357" s="292"/>
      <c r="B3357" s="294" t="s">
        <v>1623</v>
      </c>
      <c r="C3357" s="294"/>
      <c r="D3357" s="294"/>
      <c r="E3357" s="294">
        <v>14</v>
      </c>
      <c r="F3357" s="310">
        <v>1.5</v>
      </c>
      <c r="G3357" s="310">
        <v>1.5</v>
      </c>
      <c r="H3357" s="310">
        <v>1</v>
      </c>
      <c r="I3357" s="295">
        <f t="shared" ref="I3357:I3359" si="432">H3357*G3357*F3357*E3357</f>
        <v>31.5</v>
      </c>
      <c r="J3357" s="295"/>
      <c r="K3357" s="300">
        <f t="shared" si="429"/>
        <v>1.1000000000000001</v>
      </c>
      <c r="L3357" s="300">
        <f t="shared" si="430"/>
        <v>0</v>
      </c>
      <c r="M3357" s="285">
        <f t="shared" si="427"/>
        <v>0</v>
      </c>
      <c r="N3357" s="1076"/>
      <c r="O3357" s="294"/>
      <c r="P3357" s="404"/>
      <c r="Q3357" s="404"/>
    </row>
    <row r="3358" spans="1:17" ht="14.4" thickTop="1" thickBot="1" x14ac:dyDescent="0.3">
      <c r="A3358" s="292"/>
      <c r="B3358" s="294" t="s">
        <v>1624</v>
      </c>
      <c r="C3358" s="294"/>
      <c r="D3358" s="294"/>
      <c r="E3358" s="294">
        <v>4</v>
      </c>
      <c r="F3358" s="310">
        <v>1.2</v>
      </c>
      <c r="G3358" s="310">
        <v>1.2</v>
      </c>
      <c r="H3358" s="310">
        <v>1</v>
      </c>
      <c r="I3358" s="295">
        <f t="shared" si="432"/>
        <v>5.76</v>
      </c>
      <c r="J3358" s="295"/>
      <c r="K3358" s="300">
        <f t="shared" si="429"/>
        <v>1.1000000000000001</v>
      </c>
      <c r="L3358" s="300">
        <f t="shared" si="430"/>
        <v>0</v>
      </c>
      <c r="M3358" s="285">
        <f t="shared" si="427"/>
        <v>0</v>
      </c>
      <c r="N3358" s="1076"/>
      <c r="O3358" s="294"/>
      <c r="P3358" s="404"/>
      <c r="Q3358" s="404"/>
    </row>
    <row r="3359" spans="1:17" ht="14.4" thickTop="1" thickBot="1" x14ac:dyDescent="0.3">
      <c r="A3359" s="292"/>
      <c r="B3359" s="294" t="s">
        <v>1625</v>
      </c>
      <c r="C3359" s="294"/>
      <c r="D3359" s="294"/>
      <c r="E3359" s="294">
        <v>2</v>
      </c>
      <c r="F3359" s="310">
        <v>1.8</v>
      </c>
      <c r="G3359" s="310">
        <v>2.7</v>
      </c>
      <c r="H3359" s="310">
        <v>1</v>
      </c>
      <c r="I3359" s="295">
        <f t="shared" si="432"/>
        <v>9.7200000000000006</v>
      </c>
      <c r="J3359" s="295"/>
      <c r="K3359" s="300">
        <f t="shared" si="429"/>
        <v>1.1000000000000001</v>
      </c>
      <c r="L3359" s="300">
        <f t="shared" si="430"/>
        <v>0</v>
      </c>
      <c r="M3359" s="285">
        <f t="shared" si="427"/>
        <v>0</v>
      </c>
      <c r="N3359" s="1076"/>
      <c r="O3359" s="294"/>
      <c r="P3359" s="404"/>
      <c r="Q3359" s="404"/>
    </row>
    <row r="3360" spans="1:17" s="422" customFormat="1" ht="14.4" thickTop="1" thickBot="1" x14ac:dyDescent="0.3">
      <c r="A3360" s="417"/>
      <c r="B3360" s="418"/>
      <c r="C3360" s="418"/>
      <c r="D3360" s="418"/>
      <c r="E3360" s="418"/>
      <c r="F3360" s="420"/>
      <c r="G3360" s="420"/>
      <c r="H3360" s="310"/>
      <c r="I3360" s="295"/>
      <c r="J3360" s="419"/>
      <c r="K3360" s="300">
        <f t="shared" si="429"/>
        <v>1.1000000000000001</v>
      </c>
      <c r="L3360" s="300">
        <f t="shared" si="430"/>
        <v>0</v>
      </c>
      <c r="M3360" s="285">
        <f t="shared" si="427"/>
        <v>0</v>
      </c>
      <c r="N3360" s="1076"/>
      <c r="O3360" s="294"/>
      <c r="P3360" s="421"/>
      <c r="Q3360" s="421"/>
    </row>
    <row r="3361" spans="1:17" ht="14.4" thickTop="1" thickBot="1" x14ac:dyDescent="0.3">
      <c r="A3361" s="292"/>
      <c r="B3361" s="294" t="s">
        <v>756</v>
      </c>
      <c r="C3361" s="294"/>
      <c r="D3361" s="294"/>
      <c r="E3361" s="294">
        <v>1</v>
      </c>
      <c r="F3361" s="310">
        <v>3.25</v>
      </c>
      <c r="G3361" s="310">
        <v>3.25</v>
      </c>
      <c r="H3361" s="310">
        <v>2.2000000000000002</v>
      </c>
      <c r="I3361" s="295">
        <f>H3361*G3361*F3361*E3361</f>
        <v>23.237500000000001</v>
      </c>
      <c r="J3361" s="295"/>
      <c r="K3361" s="300">
        <f t="shared" si="429"/>
        <v>1.1000000000000001</v>
      </c>
      <c r="L3361" s="300">
        <f t="shared" si="430"/>
        <v>0</v>
      </c>
      <c r="M3361" s="285">
        <f t="shared" si="427"/>
        <v>0</v>
      </c>
      <c r="N3361" s="1076"/>
      <c r="O3361" s="294"/>
      <c r="P3361" s="404"/>
      <c r="Q3361" s="404"/>
    </row>
    <row r="3362" spans="1:17" ht="14.4" thickTop="1" thickBot="1" x14ac:dyDescent="0.3">
      <c r="A3362" s="292"/>
      <c r="B3362" s="294"/>
      <c r="C3362" s="294"/>
      <c r="D3362" s="294"/>
      <c r="E3362" s="294"/>
      <c r="F3362" s="310"/>
      <c r="G3362" s="310"/>
      <c r="H3362" s="310"/>
      <c r="I3362" s="295"/>
      <c r="J3362" s="295">
        <f>SUM(I3341:I3362)</f>
        <v>145.42114000000001</v>
      </c>
      <c r="K3362" s="300">
        <f t="shared" si="429"/>
        <v>1.1000000000000001</v>
      </c>
      <c r="L3362" s="300">
        <f t="shared" si="430"/>
        <v>159.96325400000003</v>
      </c>
      <c r="M3362" s="285">
        <f t="shared" si="427"/>
        <v>160</v>
      </c>
      <c r="N3362" s="1076"/>
      <c r="O3362" s="294"/>
      <c r="P3362" s="404"/>
      <c r="Q3362" s="404"/>
    </row>
    <row r="3363" spans="1:17" ht="14.4" thickTop="1" thickBot="1" x14ac:dyDescent="0.3">
      <c r="A3363" s="292"/>
      <c r="B3363" s="294"/>
      <c r="C3363" s="294"/>
      <c r="D3363" s="294"/>
      <c r="E3363" s="294"/>
      <c r="F3363" s="310"/>
      <c r="G3363" s="310"/>
      <c r="H3363" s="310"/>
      <c r="I3363" s="295"/>
      <c r="J3363" s="295">
        <f>J3362/2.83</f>
        <v>51.385561837455832</v>
      </c>
      <c r="K3363" s="300">
        <v>1.08</v>
      </c>
      <c r="L3363" s="300">
        <f t="shared" si="430"/>
        <v>55.496406784452304</v>
      </c>
      <c r="M3363" s="285">
        <f t="shared" si="427"/>
        <v>55</v>
      </c>
      <c r="N3363" s="1076"/>
      <c r="O3363" s="294"/>
      <c r="P3363" s="404"/>
      <c r="Q3363" s="404"/>
    </row>
    <row r="3364" spans="1:17" ht="14.4" thickTop="1" thickBot="1" x14ac:dyDescent="0.3">
      <c r="A3364" s="292"/>
      <c r="B3364" s="294"/>
      <c r="C3364" s="294"/>
      <c r="D3364" s="294"/>
      <c r="E3364" s="294"/>
      <c r="F3364" s="310"/>
      <c r="G3364" s="310"/>
      <c r="H3364" s="310"/>
      <c r="I3364" s="295"/>
      <c r="J3364" s="295"/>
      <c r="K3364" s="300">
        <f t="shared" si="429"/>
        <v>1.1000000000000001</v>
      </c>
      <c r="L3364" s="300">
        <f t="shared" si="430"/>
        <v>0</v>
      </c>
      <c r="M3364" s="285">
        <f t="shared" si="427"/>
        <v>0</v>
      </c>
      <c r="N3364" s="1076"/>
      <c r="O3364" s="294"/>
      <c r="P3364" s="404"/>
      <c r="Q3364" s="404"/>
    </row>
    <row r="3365" spans="1:17" ht="14.4" thickTop="1" thickBot="1" x14ac:dyDescent="0.3">
      <c r="A3365" s="292"/>
      <c r="B3365" s="294" t="s">
        <v>1630</v>
      </c>
      <c r="C3365" s="294"/>
      <c r="D3365" s="294"/>
      <c r="E3365" s="294"/>
      <c r="F3365" s="310"/>
      <c r="G3365" s="310"/>
      <c r="H3365" s="310"/>
      <c r="I3365" s="295"/>
      <c r="J3365" s="295"/>
      <c r="K3365" s="300">
        <f t="shared" si="429"/>
        <v>1.1000000000000001</v>
      </c>
      <c r="L3365" s="300">
        <f t="shared" si="430"/>
        <v>0</v>
      </c>
      <c r="M3365" s="285">
        <f t="shared" si="427"/>
        <v>0</v>
      </c>
      <c r="N3365" s="1076"/>
      <c r="O3365" s="294"/>
      <c r="P3365" s="404"/>
      <c r="Q3365" s="404"/>
    </row>
    <row r="3366" spans="1:17" ht="14.4" thickTop="1" thickBot="1" x14ac:dyDescent="0.3">
      <c r="A3366" s="292"/>
      <c r="B3366" s="294" t="s">
        <v>1622</v>
      </c>
      <c r="C3366" s="294"/>
      <c r="D3366" s="294">
        <v>4</v>
      </c>
      <c r="E3366" s="294">
        <v>10</v>
      </c>
      <c r="F3366" s="310">
        <v>1.8</v>
      </c>
      <c r="G3366" s="310"/>
      <c r="H3366" s="310">
        <v>0.3</v>
      </c>
      <c r="I3366" s="295">
        <f>H3366*F3366*E3366*D3366</f>
        <v>21.6</v>
      </c>
      <c r="J3366" s="295"/>
      <c r="K3366" s="300">
        <f t="shared" si="429"/>
        <v>1.1000000000000001</v>
      </c>
      <c r="L3366" s="300">
        <f t="shared" si="430"/>
        <v>0</v>
      </c>
      <c r="M3366" s="285">
        <f t="shared" si="427"/>
        <v>0</v>
      </c>
      <c r="N3366" s="1076"/>
      <c r="O3366" s="294"/>
      <c r="P3366" s="404"/>
      <c r="Q3366" s="404"/>
    </row>
    <row r="3367" spans="1:17" ht="14.4" thickTop="1" thickBot="1" x14ac:dyDescent="0.3">
      <c r="A3367" s="292"/>
      <c r="B3367" s="294" t="s">
        <v>1623</v>
      </c>
      <c r="C3367" s="294"/>
      <c r="D3367" s="294">
        <v>4</v>
      </c>
      <c r="E3367" s="294">
        <v>14</v>
      </c>
      <c r="F3367" s="310">
        <v>1.5</v>
      </c>
      <c r="G3367" s="310"/>
      <c r="H3367" s="310">
        <v>0.3</v>
      </c>
      <c r="I3367" s="295">
        <f t="shared" ref="I3367:I3376" si="433">H3367*F3367*E3367*D3367</f>
        <v>25.199999999999996</v>
      </c>
      <c r="J3367" s="295"/>
      <c r="K3367" s="300">
        <f t="shared" si="429"/>
        <v>1.1000000000000001</v>
      </c>
      <c r="L3367" s="300">
        <f t="shared" si="430"/>
        <v>0</v>
      </c>
      <c r="M3367" s="285">
        <f t="shared" si="427"/>
        <v>0</v>
      </c>
      <c r="N3367" s="1076"/>
      <c r="O3367" s="294"/>
      <c r="P3367" s="404"/>
      <c r="Q3367" s="404"/>
    </row>
    <row r="3368" spans="1:17" ht="14.4" thickTop="1" thickBot="1" x14ac:dyDescent="0.3">
      <c r="A3368" s="292"/>
      <c r="B3368" s="294" t="s">
        <v>1624</v>
      </c>
      <c r="C3368" s="294"/>
      <c r="D3368" s="294">
        <v>4</v>
      </c>
      <c r="E3368" s="294">
        <v>4</v>
      </c>
      <c r="F3368" s="310">
        <v>1.2</v>
      </c>
      <c r="G3368" s="310"/>
      <c r="H3368" s="310">
        <v>0.3</v>
      </c>
      <c r="I3368" s="295">
        <f t="shared" si="433"/>
        <v>5.76</v>
      </c>
      <c r="J3368" s="295"/>
      <c r="K3368" s="300">
        <f t="shared" si="429"/>
        <v>1.1000000000000001</v>
      </c>
      <c r="L3368" s="300">
        <f t="shared" si="430"/>
        <v>0</v>
      </c>
      <c r="M3368" s="285">
        <f t="shared" si="427"/>
        <v>0</v>
      </c>
      <c r="N3368" s="1076"/>
      <c r="O3368" s="294"/>
      <c r="P3368" s="404"/>
      <c r="Q3368" s="404"/>
    </row>
    <row r="3369" spans="1:17" ht="14.4" thickTop="1" thickBot="1" x14ac:dyDescent="0.3">
      <c r="A3369" s="292"/>
      <c r="B3369" s="294" t="s">
        <v>1625</v>
      </c>
      <c r="C3369" s="294"/>
      <c r="D3369" s="294">
        <v>2</v>
      </c>
      <c r="E3369" s="294">
        <v>2</v>
      </c>
      <c r="F3369" s="310">
        <f>F3359</f>
        <v>1.8</v>
      </c>
      <c r="G3369" s="310"/>
      <c r="H3369" s="310">
        <v>0.3</v>
      </c>
      <c r="I3369" s="295">
        <f t="shared" si="433"/>
        <v>2.16</v>
      </c>
      <c r="J3369" s="295"/>
      <c r="K3369" s="300">
        <f t="shared" si="429"/>
        <v>1.1000000000000001</v>
      </c>
      <c r="L3369" s="300">
        <f t="shared" si="430"/>
        <v>0</v>
      </c>
      <c r="M3369" s="285">
        <f t="shared" si="427"/>
        <v>0</v>
      </c>
      <c r="N3369" s="1076"/>
      <c r="O3369" s="294"/>
      <c r="P3369" s="404"/>
      <c r="Q3369" s="404"/>
    </row>
    <row r="3370" spans="1:17" ht="14.4" thickTop="1" thickBot="1" x14ac:dyDescent="0.3">
      <c r="A3370" s="292"/>
      <c r="B3370" s="294"/>
      <c r="C3370" s="294"/>
      <c r="D3370" s="294">
        <v>2</v>
      </c>
      <c r="E3370" s="294">
        <v>2</v>
      </c>
      <c r="F3370" s="310">
        <v>2.7</v>
      </c>
      <c r="G3370" s="310"/>
      <c r="H3370" s="310">
        <v>0.3</v>
      </c>
      <c r="I3370" s="295">
        <f t="shared" si="433"/>
        <v>3.24</v>
      </c>
      <c r="J3370" s="295"/>
      <c r="K3370" s="300">
        <f t="shared" si="429"/>
        <v>1.1000000000000001</v>
      </c>
      <c r="L3370" s="300">
        <f t="shared" si="430"/>
        <v>0</v>
      </c>
      <c r="M3370" s="285">
        <f t="shared" si="427"/>
        <v>0</v>
      </c>
      <c r="N3370" s="1076"/>
      <c r="O3370" s="294"/>
      <c r="P3370" s="404"/>
      <c r="Q3370" s="404"/>
    </row>
    <row r="3371" spans="1:17" ht="14.4" thickTop="1" thickBot="1" x14ac:dyDescent="0.3">
      <c r="A3371" s="292"/>
      <c r="B3371" s="294" t="s">
        <v>1085</v>
      </c>
      <c r="C3371" s="294"/>
      <c r="D3371" s="294"/>
      <c r="E3371" s="294">
        <v>4</v>
      </c>
      <c r="F3371" s="310">
        <v>3.25</v>
      </c>
      <c r="G3371" s="310"/>
      <c r="H3371" s="310">
        <v>0.3</v>
      </c>
      <c r="I3371" s="295">
        <f>H3371*F3371*E3371</f>
        <v>3.9</v>
      </c>
      <c r="J3371" s="295"/>
      <c r="K3371" s="300"/>
      <c r="L3371" s="300"/>
      <c r="M3371" s="285"/>
      <c r="N3371" s="1076"/>
      <c r="O3371" s="294"/>
      <c r="P3371" s="404"/>
      <c r="Q3371" s="404"/>
    </row>
    <row r="3372" spans="1:17" ht="14.4" thickTop="1" thickBot="1" x14ac:dyDescent="0.3">
      <c r="A3372" s="292"/>
      <c r="B3372" s="294" t="s">
        <v>822</v>
      </c>
      <c r="C3372" s="294"/>
      <c r="D3372" s="294">
        <v>2</v>
      </c>
      <c r="E3372" s="294">
        <v>4</v>
      </c>
      <c r="F3372" s="310">
        <v>2.2250000000000001</v>
      </c>
      <c r="G3372" s="310"/>
      <c r="H3372" s="310">
        <v>2</v>
      </c>
      <c r="I3372" s="295">
        <f>H3372*F3372*E3372*D3372</f>
        <v>35.6</v>
      </c>
      <c r="J3372" s="295"/>
      <c r="K3372" s="300"/>
      <c r="L3372" s="300"/>
      <c r="M3372" s="285"/>
      <c r="N3372" s="1076"/>
      <c r="O3372" s="294"/>
      <c r="P3372" s="404"/>
      <c r="Q3372" s="404"/>
    </row>
    <row r="3373" spans="1:17" ht="14.4" thickTop="1" thickBot="1" x14ac:dyDescent="0.3">
      <c r="A3373" s="292"/>
      <c r="B3373" s="294"/>
      <c r="C3373" s="294"/>
      <c r="D3373" s="294"/>
      <c r="E3373" s="294"/>
      <c r="F3373" s="310"/>
      <c r="G3373" s="310"/>
      <c r="H3373" s="310"/>
      <c r="I3373" s="295"/>
      <c r="J3373" s="295"/>
      <c r="K3373" s="300"/>
      <c r="L3373" s="300"/>
      <c r="M3373" s="285"/>
      <c r="N3373" s="1076"/>
      <c r="O3373" s="294"/>
      <c r="P3373" s="404"/>
      <c r="Q3373" s="404"/>
    </row>
    <row r="3374" spans="1:17" ht="14.4" thickTop="1" thickBot="1" x14ac:dyDescent="0.3">
      <c r="A3374" s="292"/>
      <c r="B3374" s="294" t="s">
        <v>1534</v>
      </c>
      <c r="C3374" s="294"/>
      <c r="D3374" s="294">
        <v>4</v>
      </c>
      <c r="E3374" s="294">
        <v>32</v>
      </c>
      <c r="F3374" s="310">
        <v>0.3</v>
      </c>
      <c r="G3374" s="310"/>
      <c r="H3374" s="310">
        <v>1</v>
      </c>
      <c r="I3374" s="295">
        <f t="shared" si="433"/>
        <v>38.4</v>
      </c>
      <c r="J3374" s="295"/>
      <c r="K3374" s="300">
        <f t="shared" si="429"/>
        <v>1.1000000000000001</v>
      </c>
      <c r="L3374" s="300">
        <f t="shared" ref="L3374:L3379" si="434">K3374*J3374</f>
        <v>0</v>
      </c>
      <c r="M3374" s="285">
        <f t="shared" ref="M3374:M3379" si="435">ROUND(L3374,0)</f>
        <v>0</v>
      </c>
      <c r="N3374" s="1076"/>
      <c r="O3374" s="294"/>
      <c r="P3374" s="404"/>
      <c r="Q3374" s="404"/>
    </row>
    <row r="3375" spans="1:17" ht="14.4" thickTop="1" thickBot="1" x14ac:dyDescent="0.3">
      <c r="A3375" s="292"/>
      <c r="B3375" s="294"/>
      <c r="C3375" s="294"/>
      <c r="D3375" s="294">
        <v>4</v>
      </c>
      <c r="E3375" s="294">
        <v>4</v>
      </c>
      <c r="F3375" s="310">
        <v>0.22500000000000001</v>
      </c>
      <c r="G3375" s="310"/>
      <c r="H3375" s="310">
        <v>1</v>
      </c>
      <c r="I3375" s="295">
        <f t="shared" si="433"/>
        <v>3.6</v>
      </c>
      <c r="J3375" s="295"/>
      <c r="K3375" s="300">
        <f t="shared" si="429"/>
        <v>1.1000000000000001</v>
      </c>
      <c r="L3375" s="300">
        <f t="shared" si="434"/>
        <v>0</v>
      </c>
      <c r="M3375" s="285">
        <f t="shared" si="435"/>
        <v>0</v>
      </c>
      <c r="N3375" s="1076"/>
      <c r="O3375" s="294"/>
      <c r="P3375" s="404"/>
      <c r="Q3375" s="404"/>
    </row>
    <row r="3376" spans="1:17" ht="14.4" thickTop="1" thickBot="1" x14ac:dyDescent="0.3">
      <c r="A3376" s="292"/>
      <c r="B3376" s="294" t="s">
        <v>860</v>
      </c>
      <c r="C3376" s="294"/>
      <c r="D3376" s="294">
        <v>1</v>
      </c>
      <c r="E3376" s="294">
        <v>2</v>
      </c>
      <c r="F3376" s="310">
        <v>1.2</v>
      </c>
      <c r="G3376" s="310"/>
      <c r="H3376" s="310">
        <v>1</v>
      </c>
      <c r="I3376" s="295">
        <f t="shared" si="433"/>
        <v>2.4</v>
      </c>
      <c r="J3376" s="295">
        <f>SUM(I3366:I3376)</f>
        <v>141.86000000000001</v>
      </c>
      <c r="K3376" s="300">
        <f t="shared" si="429"/>
        <v>1.1000000000000001</v>
      </c>
      <c r="L3376" s="300">
        <f t="shared" si="434"/>
        <v>156.04600000000002</v>
      </c>
      <c r="M3376" s="285">
        <f t="shared" si="435"/>
        <v>156</v>
      </c>
      <c r="N3376" s="1076"/>
      <c r="O3376" s="294"/>
      <c r="P3376" s="413">
        <f>J3376*10.76</f>
        <v>1526.4136000000001</v>
      </c>
      <c r="Q3376" s="404"/>
    </row>
    <row r="3377" spans="1:18" ht="14.4" thickTop="1" thickBot="1" x14ac:dyDescent="0.3">
      <c r="A3377" s="292"/>
      <c r="B3377" s="294"/>
      <c r="C3377" s="294"/>
      <c r="D3377" s="294"/>
      <c r="E3377" s="294"/>
      <c r="F3377" s="310"/>
      <c r="G3377" s="310"/>
      <c r="H3377" s="310"/>
      <c r="I3377" s="295"/>
      <c r="J3377" s="295">
        <f>J3376/9.29</f>
        <v>15.270182992465019</v>
      </c>
      <c r="K3377" s="300">
        <f t="shared" si="429"/>
        <v>1.1000000000000001</v>
      </c>
      <c r="L3377" s="300">
        <f t="shared" si="434"/>
        <v>16.797201291711524</v>
      </c>
      <c r="M3377" s="285">
        <f t="shared" si="435"/>
        <v>17</v>
      </c>
      <c r="N3377" s="1076"/>
      <c r="O3377" s="294"/>
      <c r="P3377" s="413">
        <f>J3377*100</f>
        <v>1527.0182992465018</v>
      </c>
      <c r="Q3377" s="404">
        <f>3.28*3.28</f>
        <v>10.758399999999998</v>
      </c>
      <c r="R3377" s="287">
        <f>100/Q3377</f>
        <v>9.295062462819752</v>
      </c>
    </row>
    <row r="3378" spans="1:18" ht="14.4" thickTop="1" thickBot="1" x14ac:dyDescent="0.3">
      <c r="A3378" s="292"/>
      <c r="B3378" s="294"/>
      <c r="C3378" s="294"/>
      <c r="D3378" s="294"/>
      <c r="E3378" s="294"/>
      <c r="F3378" s="310"/>
      <c r="G3378" s="310"/>
      <c r="H3378" s="310"/>
      <c r="I3378" s="295"/>
      <c r="J3378" s="295"/>
      <c r="K3378" s="300">
        <f t="shared" si="429"/>
        <v>1.1000000000000001</v>
      </c>
      <c r="L3378" s="300">
        <f t="shared" si="434"/>
        <v>0</v>
      </c>
      <c r="M3378" s="285">
        <f t="shared" si="435"/>
        <v>0</v>
      </c>
      <c r="N3378" s="1076"/>
      <c r="O3378" s="294"/>
      <c r="P3378" s="404"/>
      <c r="Q3378" s="404"/>
    </row>
    <row r="3379" spans="1:18" ht="14.4" thickTop="1" thickBot="1" x14ac:dyDescent="0.3">
      <c r="A3379" s="292"/>
      <c r="B3379" s="294"/>
      <c r="C3379" s="294"/>
      <c r="D3379" s="294"/>
      <c r="E3379" s="294"/>
      <c r="F3379" s="310"/>
      <c r="G3379" s="310"/>
      <c r="H3379" s="310"/>
      <c r="I3379" s="295"/>
      <c r="J3379" s="295"/>
      <c r="K3379" s="300">
        <f t="shared" si="429"/>
        <v>1.1000000000000001</v>
      </c>
      <c r="L3379" s="300">
        <f t="shared" si="434"/>
        <v>0</v>
      </c>
      <c r="M3379" s="285">
        <f t="shared" si="435"/>
        <v>0</v>
      </c>
      <c r="N3379" s="1076"/>
      <c r="O3379" s="294"/>
      <c r="P3379" s="404"/>
      <c r="Q3379" s="404"/>
    </row>
    <row r="3380" spans="1:18" ht="14.4" thickTop="1" thickBot="1" x14ac:dyDescent="0.3">
      <c r="A3380" s="292"/>
      <c r="B3380" s="294" t="s">
        <v>1061</v>
      </c>
      <c r="C3380" s="294"/>
      <c r="D3380" s="294"/>
      <c r="E3380" s="294"/>
      <c r="F3380" s="310"/>
      <c r="G3380" s="310"/>
      <c r="H3380" s="310"/>
      <c r="I3380" s="295"/>
      <c r="J3380" s="295"/>
      <c r="K3380" s="300">
        <f t="shared" si="429"/>
        <v>1.1000000000000001</v>
      </c>
      <c r="L3380" s="300">
        <f t="shared" si="430"/>
        <v>0</v>
      </c>
      <c r="M3380" s="285">
        <f t="shared" si="427"/>
        <v>0</v>
      </c>
      <c r="N3380" s="1076"/>
      <c r="O3380" s="294"/>
      <c r="P3380" s="404"/>
      <c r="Q3380" s="404"/>
    </row>
    <row r="3381" spans="1:18" ht="14.4" thickTop="1" thickBot="1" x14ac:dyDescent="0.3">
      <c r="A3381" s="292"/>
      <c r="B3381" s="294" t="s">
        <v>709</v>
      </c>
      <c r="C3381" s="294"/>
      <c r="D3381" s="294"/>
      <c r="E3381" s="294"/>
      <c r="F3381" s="310"/>
      <c r="G3381" s="310"/>
      <c r="H3381" s="310"/>
      <c r="I3381" s="295"/>
      <c r="J3381" s="295"/>
      <c r="K3381" s="300">
        <f t="shared" si="429"/>
        <v>1.1000000000000001</v>
      </c>
      <c r="L3381" s="300">
        <f t="shared" si="430"/>
        <v>0</v>
      </c>
      <c r="M3381" s="285">
        <f t="shared" si="427"/>
        <v>0</v>
      </c>
      <c r="N3381" s="1076"/>
      <c r="O3381" s="294"/>
      <c r="P3381" s="404"/>
      <c r="Q3381" s="404"/>
    </row>
    <row r="3382" spans="1:18" ht="14.4" thickTop="1" thickBot="1" x14ac:dyDescent="0.3">
      <c r="A3382" s="292"/>
      <c r="B3382" s="294" t="s">
        <v>1622</v>
      </c>
      <c r="C3382" s="294"/>
      <c r="D3382" s="294"/>
      <c r="E3382" s="294">
        <v>10</v>
      </c>
      <c r="F3382" s="310">
        <v>1.8</v>
      </c>
      <c r="G3382" s="310">
        <v>1.8</v>
      </c>
      <c r="H3382" s="310"/>
      <c r="I3382" s="295">
        <f>G3382*F3382*E3382</f>
        <v>32.400000000000006</v>
      </c>
      <c r="J3382" s="295"/>
      <c r="K3382" s="300">
        <f t="shared" si="429"/>
        <v>1.1000000000000001</v>
      </c>
      <c r="L3382" s="300">
        <f t="shared" si="430"/>
        <v>0</v>
      </c>
      <c r="M3382" s="285">
        <f t="shared" si="427"/>
        <v>0</v>
      </c>
      <c r="N3382" s="1076"/>
      <c r="O3382" s="294"/>
      <c r="P3382" s="404">
        <f>SUM(E3382:E3385)</f>
        <v>30</v>
      </c>
      <c r="Q3382" s="404"/>
    </row>
    <row r="3383" spans="1:18" ht="14.4" thickTop="1" thickBot="1" x14ac:dyDescent="0.3">
      <c r="A3383" s="292"/>
      <c r="B3383" s="294" t="s">
        <v>1623</v>
      </c>
      <c r="C3383" s="294"/>
      <c r="D3383" s="294"/>
      <c r="E3383" s="294">
        <v>14</v>
      </c>
      <c r="F3383" s="310">
        <v>1.5</v>
      </c>
      <c r="G3383" s="310">
        <v>1.5</v>
      </c>
      <c r="H3383" s="310"/>
      <c r="I3383" s="295">
        <f t="shared" ref="I3383:I3387" si="436">G3383*F3383*E3383</f>
        <v>31.5</v>
      </c>
      <c r="J3383" s="295"/>
      <c r="K3383" s="300">
        <f t="shared" si="429"/>
        <v>1.1000000000000001</v>
      </c>
      <c r="L3383" s="300">
        <f t="shared" si="430"/>
        <v>0</v>
      </c>
      <c r="M3383" s="285">
        <f t="shared" si="427"/>
        <v>0</v>
      </c>
      <c r="N3383" s="1076"/>
      <c r="O3383" s="294"/>
      <c r="P3383" s="404"/>
      <c r="Q3383" s="404"/>
    </row>
    <row r="3384" spans="1:18" ht="14.4" thickTop="1" thickBot="1" x14ac:dyDescent="0.3">
      <c r="A3384" s="292"/>
      <c r="B3384" s="294" t="s">
        <v>1624</v>
      </c>
      <c r="C3384" s="294"/>
      <c r="D3384" s="294"/>
      <c r="E3384" s="294">
        <v>4</v>
      </c>
      <c r="F3384" s="310">
        <v>1.2</v>
      </c>
      <c r="G3384" s="310">
        <v>1.2</v>
      </c>
      <c r="H3384" s="310"/>
      <c r="I3384" s="295">
        <f t="shared" si="436"/>
        <v>5.76</v>
      </c>
      <c r="J3384" s="295"/>
      <c r="K3384" s="300">
        <f t="shared" si="429"/>
        <v>1.1000000000000001</v>
      </c>
      <c r="L3384" s="300">
        <f t="shared" si="430"/>
        <v>0</v>
      </c>
      <c r="M3384" s="285">
        <f t="shared" si="427"/>
        <v>0</v>
      </c>
      <c r="N3384" s="1076"/>
      <c r="O3384" s="294"/>
      <c r="P3384" s="404"/>
      <c r="Q3384" s="404"/>
    </row>
    <row r="3385" spans="1:18" ht="14.4" thickTop="1" thickBot="1" x14ac:dyDescent="0.3">
      <c r="A3385" s="292"/>
      <c r="B3385" s="294" t="s">
        <v>1625</v>
      </c>
      <c r="C3385" s="294"/>
      <c r="D3385" s="294"/>
      <c r="E3385" s="294">
        <v>2</v>
      </c>
      <c r="F3385" s="310">
        <v>1.8</v>
      </c>
      <c r="G3385" s="310">
        <v>2.7</v>
      </c>
      <c r="H3385" s="310"/>
      <c r="I3385" s="295">
        <f t="shared" si="436"/>
        <v>9.7200000000000006</v>
      </c>
      <c r="J3385" s="295"/>
      <c r="K3385" s="300">
        <f t="shared" si="429"/>
        <v>1.1000000000000001</v>
      </c>
      <c r="L3385" s="300">
        <f t="shared" si="430"/>
        <v>0</v>
      </c>
      <c r="M3385" s="285">
        <f t="shared" si="427"/>
        <v>0</v>
      </c>
      <c r="N3385" s="1076"/>
      <c r="O3385" s="294"/>
      <c r="P3385" s="404"/>
      <c r="Q3385" s="404"/>
    </row>
    <row r="3386" spans="1:18" ht="14.4" thickTop="1" thickBot="1" x14ac:dyDescent="0.3">
      <c r="A3386" s="292"/>
      <c r="B3386" s="418"/>
      <c r="C3386" s="418"/>
      <c r="D3386" s="418"/>
      <c r="E3386" s="418"/>
      <c r="F3386" s="420"/>
      <c r="G3386" s="420"/>
      <c r="H3386" s="310"/>
      <c r="I3386" s="295">
        <f t="shared" si="436"/>
        <v>0</v>
      </c>
      <c r="J3386" s="295"/>
      <c r="K3386" s="300">
        <f t="shared" si="429"/>
        <v>1.1000000000000001</v>
      </c>
      <c r="L3386" s="300">
        <f t="shared" si="430"/>
        <v>0</v>
      </c>
      <c r="M3386" s="285">
        <f t="shared" si="427"/>
        <v>0</v>
      </c>
      <c r="N3386" s="1076"/>
      <c r="O3386" s="294"/>
      <c r="P3386" s="404"/>
      <c r="Q3386" s="404"/>
    </row>
    <row r="3387" spans="1:18" ht="14.4" thickTop="1" thickBot="1" x14ac:dyDescent="0.3">
      <c r="A3387" s="292"/>
      <c r="B3387" s="294" t="s">
        <v>756</v>
      </c>
      <c r="C3387" s="294"/>
      <c r="D3387" s="294"/>
      <c r="E3387" s="294">
        <v>1</v>
      </c>
      <c r="F3387" s="310">
        <v>3.25</v>
      </c>
      <c r="G3387" s="310">
        <v>3.25</v>
      </c>
      <c r="H3387" s="310"/>
      <c r="I3387" s="295">
        <f t="shared" si="436"/>
        <v>10.5625</v>
      </c>
      <c r="J3387" s="295"/>
      <c r="K3387" s="300">
        <f t="shared" si="429"/>
        <v>1.1000000000000001</v>
      </c>
      <c r="L3387" s="300">
        <f t="shared" si="430"/>
        <v>0</v>
      </c>
      <c r="M3387" s="285">
        <f t="shared" si="427"/>
        <v>0</v>
      </c>
      <c r="N3387" s="1076"/>
      <c r="O3387" s="294"/>
      <c r="P3387" s="404"/>
      <c r="Q3387" s="404"/>
    </row>
    <row r="3388" spans="1:18" ht="14.4" thickTop="1" thickBot="1" x14ac:dyDescent="0.3">
      <c r="A3388" s="292"/>
      <c r="B3388" s="294"/>
      <c r="C3388" s="294"/>
      <c r="D3388" s="294"/>
      <c r="E3388" s="294"/>
      <c r="F3388" s="310"/>
      <c r="G3388" s="310"/>
      <c r="H3388" s="310"/>
      <c r="I3388" s="295">
        <f>G3388*F3388*E3388</f>
        <v>0</v>
      </c>
      <c r="J3388" s="295"/>
      <c r="K3388" s="300">
        <f t="shared" si="429"/>
        <v>1.1000000000000001</v>
      </c>
      <c r="L3388" s="300">
        <f t="shared" si="430"/>
        <v>0</v>
      </c>
      <c r="M3388" s="285">
        <f t="shared" si="427"/>
        <v>0</v>
      </c>
      <c r="N3388" s="1076"/>
      <c r="O3388" s="294"/>
      <c r="P3388" s="404"/>
      <c r="Q3388" s="404"/>
    </row>
    <row r="3389" spans="1:18" ht="14.4" thickTop="1" thickBot="1" x14ac:dyDescent="0.3">
      <c r="A3389" s="292"/>
      <c r="B3389" s="294" t="s">
        <v>698</v>
      </c>
      <c r="C3389" s="294"/>
      <c r="D3389" s="294"/>
      <c r="E3389" s="294"/>
      <c r="F3389" s="310"/>
      <c r="G3389" s="310"/>
      <c r="H3389" s="310"/>
      <c r="I3389" s="295">
        <f t="shared" ref="I3389:I3402" si="437">G3389*F3389*E3389</f>
        <v>0</v>
      </c>
      <c r="J3389" s="295"/>
      <c r="K3389" s="300">
        <f t="shared" si="429"/>
        <v>1.1000000000000001</v>
      </c>
      <c r="L3389" s="300">
        <f t="shared" si="430"/>
        <v>0</v>
      </c>
      <c r="M3389" s="285">
        <f t="shared" si="427"/>
        <v>0</v>
      </c>
      <c r="N3389" s="1076"/>
      <c r="O3389" s="294"/>
      <c r="P3389" s="404"/>
      <c r="Q3389" s="404"/>
    </row>
    <row r="3390" spans="1:18" ht="14.4" thickTop="1" thickBot="1" x14ac:dyDescent="0.3">
      <c r="A3390" s="292"/>
      <c r="B3390" s="294" t="s">
        <v>700</v>
      </c>
      <c r="C3390" s="294"/>
      <c r="D3390" s="294"/>
      <c r="E3390" s="294">
        <v>2</v>
      </c>
      <c r="F3390" s="310">
        <v>12.225</v>
      </c>
      <c r="G3390" s="310">
        <v>0.45</v>
      </c>
      <c r="H3390" s="310"/>
      <c r="I3390" s="295">
        <f t="shared" si="437"/>
        <v>11.0025</v>
      </c>
      <c r="J3390" s="295"/>
      <c r="K3390" s="300">
        <f t="shared" si="429"/>
        <v>1.1000000000000001</v>
      </c>
      <c r="L3390" s="300">
        <f t="shared" si="430"/>
        <v>0</v>
      </c>
      <c r="M3390" s="285">
        <f t="shared" si="427"/>
        <v>0</v>
      </c>
      <c r="N3390" s="1076"/>
      <c r="O3390" s="294"/>
      <c r="P3390" s="404"/>
      <c r="Q3390" s="404"/>
    </row>
    <row r="3391" spans="1:18" ht="14.4" thickTop="1" thickBot="1" x14ac:dyDescent="0.3">
      <c r="A3391" s="292"/>
      <c r="B3391" s="294" t="s">
        <v>699</v>
      </c>
      <c r="C3391" s="294"/>
      <c r="D3391" s="294"/>
      <c r="E3391" s="294">
        <v>3</v>
      </c>
      <c r="F3391" s="310">
        <v>26.024999999999999</v>
      </c>
      <c r="G3391" s="310">
        <v>0.45</v>
      </c>
      <c r="H3391" s="310"/>
      <c r="I3391" s="295">
        <f t="shared" si="437"/>
        <v>35.133749999999999</v>
      </c>
      <c r="J3391" s="295"/>
      <c r="K3391" s="300">
        <f t="shared" si="429"/>
        <v>1.1000000000000001</v>
      </c>
      <c r="L3391" s="300">
        <f t="shared" si="430"/>
        <v>0</v>
      </c>
      <c r="M3391" s="285">
        <f t="shared" si="427"/>
        <v>0</v>
      </c>
      <c r="N3391" s="1076"/>
      <c r="O3391" s="294"/>
      <c r="P3391" s="404"/>
      <c r="Q3391" s="404"/>
    </row>
    <row r="3392" spans="1:18" ht="14.4" thickTop="1" thickBot="1" x14ac:dyDescent="0.3">
      <c r="A3392" s="292"/>
      <c r="B3392" s="294" t="s">
        <v>701</v>
      </c>
      <c r="C3392" s="294"/>
      <c r="D3392" s="294"/>
      <c r="E3392" s="294">
        <v>3</v>
      </c>
      <c r="F3392" s="310">
        <v>10.5</v>
      </c>
      <c r="G3392" s="310">
        <v>0.45</v>
      </c>
      <c r="H3392" s="310"/>
      <c r="I3392" s="295">
        <f t="shared" si="437"/>
        <v>14.175000000000001</v>
      </c>
      <c r="J3392" s="295"/>
      <c r="K3392" s="300">
        <f t="shared" si="429"/>
        <v>1.1000000000000001</v>
      </c>
      <c r="L3392" s="300">
        <f t="shared" si="430"/>
        <v>0</v>
      </c>
      <c r="M3392" s="285">
        <f t="shared" si="427"/>
        <v>0</v>
      </c>
      <c r="N3392" s="1076"/>
      <c r="O3392" s="294"/>
      <c r="P3392" s="404"/>
      <c r="Q3392" s="404"/>
    </row>
    <row r="3393" spans="1:17" ht="14.4" thickTop="1" thickBot="1" x14ac:dyDescent="0.3">
      <c r="A3393" s="292"/>
      <c r="B3393" s="294" t="s">
        <v>702</v>
      </c>
      <c r="C3393" s="294"/>
      <c r="D3393" s="294"/>
      <c r="E3393" s="294">
        <v>1</v>
      </c>
      <c r="F3393" s="310">
        <v>6.3</v>
      </c>
      <c r="G3393" s="310">
        <v>0.45</v>
      </c>
      <c r="H3393" s="310"/>
      <c r="I3393" s="295">
        <f t="shared" si="437"/>
        <v>2.835</v>
      </c>
      <c r="J3393" s="295"/>
      <c r="K3393" s="300">
        <f t="shared" si="429"/>
        <v>1.1000000000000001</v>
      </c>
      <c r="L3393" s="300">
        <f t="shared" si="430"/>
        <v>0</v>
      </c>
      <c r="M3393" s="285">
        <f t="shared" si="427"/>
        <v>0</v>
      </c>
      <c r="N3393" s="1076"/>
      <c r="O3393" s="294"/>
      <c r="P3393" s="404"/>
      <c r="Q3393" s="404"/>
    </row>
    <row r="3394" spans="1:17" ht="14.4" thickTop="1" thickBot="1" x14ac:dyDescent="0.3">
      <c r="A3394" s="292"/>
      <c r="B3394" s="294" t="s">
        <v>703</v>
      </c>
      <c r="C3394" s="294"/>
      <c r="D3394" s="294"/>
      <c r="E3394" s="294">
        <v>1</v>
      </c>
      <c r="F3394" s="310">
        <v>21.17</v>
      </c>
      <c r="G3394" s="310">
        <v>0.45</v>
      </c>
      <c r="H3394" s="310"/>
      <c r="I3394" s="295">
        <f t="shared" si="437"/>
        <v>9.5265000000000004</v>
      </c>
      <c r="J3394" s="295"/>
      <c r="K3394" s="300">
        <f t="shared" si="429"/>
        <v>1.1000000000000001</v>
      </c>
      <c r="L3394" s="300">
        <f t="shared" si="430"/>
        <v>0</v>
      </c>
      <c r="M3394" s="285">
        <f t="shared" si="427"/>
        <v>0</v>
      </c>
      <c r="N3394" s="1076"/>
      <c r="O3394" s="294"/>
      <c r="P3394" s="404"/>
      <c r="Q3394" s="404"/>
    </row>
    <row r="3395" spans="1:17" ht="14.4" thickTop="1" thickBot="1" x14ac:dyDescent="0.3">
      <c r="A3395" s="292"/>
      <c r="B3395" s="294" t="s">
        <v>704</v>
      </c>
      <c r="C3395" s="294"/>
      <c r="D3395" s="294"/>
      <c r="E3395" s="294">
        <v>2</v>
      </c>
      <c r="F3395" s="310">
        <v>9.375</v>
      </c>
      <c r="G3395" s="310">
        <v>0.45</v>
      </c>
      <c r="H3395" s="310"/>
      <c r="I3395" s="295">
        <f t="shared" si="437"/>
        <v>8.4375</v>
      </c>
      <c r="J3395" s="295"/>
      <c r="K3395" s="300">
        <f t="shared" si="429"/>
        <v>1.1000000000000001</v>
      </c>
      <c r="L3395" s="300">
        <f t="shared" si="430"/>
        <v>0</v>
      </c>
      <c r="M3395" s="285">
        <f t="shared" si="427"/>
        <v>0</v>
      </c>
      <c r="N3395" s="1076"/>
      <c r="O3395" s="294"/>
      <c r="P3395" s="404"/>
      <c r="Q3395" s="404"/>
    </row>
    <row r="3396" spans="1:17" ht="14.4" thickTop="1" thickBot="1" x14ac:dyDescent="0.3">
      <c r="A3396" s="292"/>
      <c r="B3396" s="294" t="s">
        <v>705</v>
      </c>
      <c r="C3396" s="294"/>
      <c r="D3396" s="294"/>
      <c r="E3396" s="294">
        <v>1</v>
      </c>
      <c r="F3396" s="310">
        <v>4.5</v>
      </c>
      <c r="G3396" s="310">
        <v>0.45</v>
      </c>
      <c r="H3396" s="310"/>
      <c r="I3396" s="295">
        <f t="shared" si="437"/>
        <v>2.0249999999999999</v>
      </c>
      <c r="J3396" s="295"/>
      <c r="K3396" s="300">
        <f t="shared" si="429"/>
        <v>1.1000000000000001</v>
      </c>
      <c r="L3396" s="300">
        <f t="shared" si="430"/>
        <v>0</v>
      </c>
      <c r="M3396" s="285">
        <f t="shared" si="427"/>
        <v>0</v>
      </c>
      <c r="N3396" s="1076"/>
      <c r="O3396" s="294"/>
      <c r="P3396" s="404"/>
      <c r="Q3396" s="404"/>
    </row>
    <row r="3397" spans="1:17" ht="14.4" thickTop="1" thickBot="1" x14ac:dyDescent="0.3">
      <c r="A3397" s="292"/>
      <c r="B3397" s="294" t="s">
        <v>706</v>
      </c>
      <c r="C3397" s="294"/>
      <c r="D3397" s="294"/>
      <c r="E3397" s="294">
        <v>1</v>
      </c>
      <c r="F3397" s="310">
        <v>4.0620000000000003</v>
      </c>
      <c r="G3397" s="310">
        <v>0.45</v>
      </c>
      <c r="H3397" s="310"/>
      <c r="I3397" s="295">
        <f t="shared" si="437"/>
        <v>1.8279000000000001</v>
      </c>
      <c r="J3397" s="295"/>
      <c r="K3397" s="300">
        <f t="shared" si="429"/>
        <v>1.1000000000000001</v>
      </c>
      <c r="L3397" s="300">
        <f t="shared" si="430"/>
        <v>0</v>
      </c>
      <c r="M3397" s="285">
        <f t="shared" si="427"/>
        <v>0</v>
      </c>
      <c r="N3397" s="1076"/>
      <c r="O3397" s="294"/>
      <c r="P3397" s="404"/>
      <c r="Q3397" s="404"/>
    </row>
    <row r="3398" spans="1:17" ht="14.4" thickTop="1" thickBot="1" x14ac:dyDescent="0.3">
      <c r="A3398" s="292"/>
      <c r="B3398" s="294" t="s">
        <v>707</v>
      </c>
      <c r="C3398" s="294"/>
      <c r="D3398" s="294"/>
      <c r="E3398" s="294">
        <v>2</v>
      </c>
      <c r="F3398" s="310">
        <v>4.6879999999999997</v>
      </c>
      <c r="G3398" s="310">
        <v>0.45</v>
      </c>
      <c r="H3398" s="310"/>
      <c r="I3398" s="295">
        <f t="shared" si="437"/>
        <v>4.2191999999999998</v>
      </c>
      <c r="J3398" s="295"/>
      <c r="K3398" s="300">
        <f t="shared" si="429"/>
        <v>1.1000000000000001</v>
      </c>
      <c r="L3398" s="300">
        <f t="shared" si="430"/>
        <v>0</v>
      </c>
      <c r="M3398" s="285">
        <f t="shared" si="427"/>
        <v>0</v>
      </c>
      <c r="N3398" s="1076"/>
      <c r="O3398" s="294"/>
      <c r="P3398" s="404"/>
      <c r="Q3398" s="404"/>
    </row>
    <row r="3399" spans="1:17" ht="14.4" thickTop="1" thickBot="1" x14ac:dyDescent="0.3">
      <c r="A3399" s="292"/>
      <c r="B3399" s="294"/>
      <c r="C3399" s="294"/>
      <c r="D3399" s="294"/>
      <c r="E3399" s="294">
        <v>1</v>
      </c>
      <c r="F3399" s="310">
        <v>4.7249999999999996</v>
      </c>
      <c r="G3399" s="310">
        <v>0.45</v>
      </c>
      <c r="H3399" s="310"/>
      <c r="I3399" s="295">
        <f t="shared" si="437"/>
        <v>2.1262499999999998</v>
      </c>
      <c r="J3399" s="295"/>
      <c r="K3399" s="300">
        <f t="shared" si="429"/>
        <v>1.1000000000000001</v>
      </c>
      <c r="L3399" s="300"/>
      <c r="M3399" s="285"/>
      <c r="N3399" s="1076"/>
      <c r="O3399" s="294"/>
      <c r="P3399" s="404"/>
      <c r="Q3399" s="404"/>
    </row>
    <row r="3400" spans="1:17" ht="14.4" thickTop="1" thickBot="1" x14ac:dyDescent="0.3">
      <c r="A3400" s="292"/>
      <c r="B3400" s="294" t="s">
        <v>708</v>
      </c>
      <c r="C3400" s="294"/>
      <c r="D3400" s="294"/>
      <c r="E3400" s="294">
        <v>1</v>
      </c>
      <c r="F3400" s="310">
        <v>3.5249999999999999</v>
      </c>
      <c r="G3400" s="310">
        <v>0.45</v>
      </c>
      <c r="H3400" s="310"/>
      <c r="I3400" s="295">
        <f t="shared" si="437"/>
        <v>1.5862499999999999</v>
      </c>
      <c r="J3400" s="295"/>
      <c r="K3400" s="300">
        <f t="shared" si="429"/>
        <v>1.1000000000000001</v>
      </c>
      <c r="L3400" s="300">
        <f t="shared" ref="L3400" si="438">K3400*J3400</f>
        <v>0</v>
      </c>
      <c r="M3400" s="285">
        <f t="shared" ref="M3400" si="439">ROUND(L3400,0)</f>
        <v>0</v>
      </c>
      <c r="N3400" s="1076"/>
      <c r="O3400" s="294"/>
      <c r="P3400" s="404"/>
      <c r="Q3400" s="404"/>
    </row>
    <row r="3401" spans="1:17" ht="14.4" thickTop="1" thickBot="1" x14ac:dyDescent="0.3">
      <c r="A3401" s="292"/>
      <c r="B3401" s="294"/>
      <c r="C3401" s="294"/>
      <c r="D3401" s="294"/>
      <c r="E3401" s="294">
        <v>1</v>
      </c>
      <c r="F3401" s="310">
        <v>2.343</v>
      </c>
      <c r="G3401" s="310">
        <v>0.45</v>
      </c>
      <c r="H3401" s="310"/>
      <c r="I3401" s="295">
        <f t="shared" si="437"/>
        <v>1.0543500000000001</v>
      </c>
      <c r="J3401" s="295"/>
      <c r="K3401" s="300">
        <f t="shared" si="429"/>
        <v>1.1000000000000001</v>
      </c>
      <c r="L3401" s="300"/>
      <c r="M3401" s="285"/>
      <c r="N3401" s="1076"/>
      <c r="O3401" s="294"/>
      <c r="P3401" s="404"/>
      <c r="Q3401" s="404"/>
    </row>
    <row r="3402" spans="1:17" ht="14.4" thickTop="1" thickBot="1" x14ac:dyDescent="0.3">
      <c r="A3402" s="292"/>
      <c r="B3402" s="294"/>
      <c r="C3402" s="294"/>
      <c r="D3402" s="294"/>
      <c r="E3402" s="294">
        <v>2</v>
      </c>
      <c r="F3402" s="310">
        <v>1.3</v>
      </c>
      <c r="G3402" s="310">
        <v>0.45</v>
      </c>
      <c r="H3402" s="310"/>
      <c r="I3402" s="295">
        <f t="shared" si="437"/>
        <v>1.1700000000000002</v>
      </c>
      <c r="J3402" s="295">
        <f>SUM(I3382:I3402)</f>
        <v>185.06170000000003</v>
      </c>
      <c r="K3402" s="300">
        <f t="shared" si="429"/>
        <v>1.1000000000000001</v>
      </c>
      <c r="L3402" s="300">
        <f t="shared" ref="L3402:L3424" si="440">K3402*J3402</f>
        <v>203.56787000000006</v>
      </c>
      <c r="M3402" s="285">
        <f t="shared" ref="M3402:M3425" si="441">ROUND(L3402,0)</f>
        <v>204</v>
      </c>
      <c r="N3402" s="1076"/>
      <c r="O3402" s="294"/>
      <c r="P3402" s="404"/>
      <c r="Q3402" s="404"/>
    </row>
    <row r="3403" spans="1:17" ht="14.4" thickTop="1" thickBot="1" x14ac:dyDescent="0.3">
      <c r="A3403" s="292"/>
      <c r="B3403" s="294"/>
      <c r="C3403" s="294"/>
      <c r="D3403" s="294"/>
      <c r="E3403" s="294"/>
      <c r="F3403" s="310"/>
      <c r="G3403" s="310"/>
      <c r="H3403" s="310"/>
      <c r="I3403" s="295"/>
      <c r="J3403" s="295">
        <f>J3402/9.29</f>
        <v>19.920527448869759</v>
      </c>
      <c r="K3403" s="300">
        <v>1.05</v>
      </c>
      <c r="L3403" s="300">
        <f t="shared" si="440"/>
        <v>20.916553821313247</v>
      </c>
      <c r="M3403" s="285">
        <f t="shared" si="441"/>
        <v>21</v>
      </c>
      <c r="N3403" s="1076"/>
      <c r="O3403" s="294"/>
      <c r="P3403" s="413">
        <f>J3402*10.76</f>
        <v>1991.2638920000004</v>
      </c>
      <c r="Q3403" s="404"/>
    </row>
    <row r="3404" spans="1:17" ht="14.4" thickTop="1" thickBot="1" x14ac:dyDescent="0.3">
      <c r="A3404" s="292"/>
      <c r="B3404" s="294"/>
      <c r="C3404" s="294"/>
      <c r="D3404" s="294"/>
      <c r="E3404" s="294"/>
      <c r="F3404" s="310"/>
      <c r="G3404" s="310"/>
      <c r="H3404" s="310"/>
      <c r="I3404" s="295"/>
      <c r="J3404" s="295"/>
      <c r="K3404" s="300">
        <f t="shared" si="429"/>
        <v>1.1000000000000001</v>
      </c>
      <c r="L3404" s="300">
        <f t="shared" si="440"/>
        <v>0</v>
      </c>
      <c r="M3404" s="285">
        <f t="shared" si="441"/>
        <v>0</v>
      </c>
      <c r="N3404" s="1076"/>
      <c r="O3404" s="294"/>
      <c r="P3404" s="413"/>
      <c r="Q3404" s="404"/>
    </row>
    <row r="3405" spans="1:17" ht="14.4" thickTop="1" thickBot="1" x14ac:dyDescent="0.3">
      <c r="A3405" s="292"/>
      <c r="B3405" s="294" t="s">
        <v>1631</v>
      </c>
      <c r="C3405" s="294"/>
      <c r="D3405" s="294"/>
      <c r="E3405" s="294"/>
      <c r="F3405" s="310"/>
      <c r="G3405" s="310"/>
      <c r="H3405" s="310"/>
      <c r="I3405" s="295"/>
      <c r="J3405" s="295"/>
      <c r="K3405" s="300">
        <f t="shared" si="429"/>
        <v>1.1000000000000001</v>
      </c>
      <c r="L3405" s="300">
        <f t="shared" si="440"/>
        <v>0</v>
      </c>
      <c r="M3405" s="285">
        <f t="shared" si="441"/>
        <v>0</v>
      </c>
      <c r="N3405" s="1076"/>
      <c r="O3405" s="294"/>
      <c r="P3405" s="413"/>
      <c r="Q3405" s="404"/>
    </row>
    <row r="3406" spans="1:17" ht="14.4" thickTop="1" thickBot="1" x14ac:dyDescent="0.3">
      <c r="A3406" s="292"/>
      <c r="B3406" s="294" t="s">
        <v>756</v>
      </c>
      <c r="C3406" s="294"/>
      <c r="D3406" s="294"/>
      <c r="E3406" s="294">
        <v>1</v>
      </c>
      <c r="F3406" s="310">
        <v>3.25</v>
      </c>
      <c r="G3406" s="310">
        <v>3.25</v>
      </c>
      <c r="H3406" s="310">
        <v>7.4999999999999997E-2</v>
      </c>
      <c r="I3406" s="295">
        <f>H3406*G3406*F3406*E3406</f>
        <v>0.79218749999999993</v>
      </c>
      <c r="J3406" s="295">
        <f>I3406</f>
        <v>0.79218749999999993</v>
      </c>
      <c r="K3406" s="300">
        <f t="shared" si="429"/>
        <v>1.1000000000000001</v>
      </c>
      <c r="L3406" s="300">
        <f t="shared" si="440"/>
        <v>0.87140625000000005</v>
      </c>
      <c r="M3406" s="285">
        <f t="shared" si="441"/>
        <v>1</v>
      </c>
      <c r="N3406" s="1076"/>
      <c r="O3406" s="294"/>
      <c r="P3406" s="413"/>
      <c r="Q3406" s="404"/>
    </row>
    <row r="3407" spans="1:17" ht="14.4" thickTop="1" thickBot="1" x14ac:dyDescent="0.3">
      <c r="A3407" s="292"/>
      <c r="B3407" s="294"/>
      <c r="C3407" s="294"/>
      <c r="D3407" s="294"/>
      <c r="E3407" s="294"/>
      <c r="F3407" s="310"/>
      <c r="G3407" s="310"/>
      <c r="H3407" s="310"/>
      <c r="I3407" s="295"/>
      <c r="J3407" s="295">
        <f>J3406/2.83</f>
        <v>0.27992491166077738</v>
      </c>
      <c r="K3407" s="300">
        <f t="shared" si="429"/>
        <v>1.1000000000000001</v>
      </c>
      <c r="L3407" s="300">
        <f t="shared" si="440"/>
        <v>0.30791740282685515</v>
      </c>
      <c r="M3407" s="285">
        <f t="shared" si="441"/>
        <v>0</v>
      </c>
      <c r="N3407" s="1076"/>
      <c r="O3407" s="294"/>
      <c r="P3407" s="413"/>
      <c r="Q3407" s="404"/>
    </row>
    <row r="3408" spans="1:17" ht="14.4" thickTop="1" thickBot="1" x14ac:dyDescent="0.3">
      <c r="A3408" s="292"/>
      <c r="B3408" s="294"/>
      <c r="C3408" s="294"/>
      <c r="D3408" s="294"/>
      <c r="E3408" s="294"/>
      <c r="F3408" s="310"/>
      <c r="G3408" s="310"/>
      <c r="H3408" s="310"/>
      <c r="I3408" s="295"/>
      <c r="J3408" s="295"/>
      <c r="K3408" s="300">
        <f t="shared" si="429"/>
        <v>1.1000000000000001</v>
      </c>
      <c r="L3408" s="300">
        <f t="shared" si="440"/>
        <v>0</v>
      </c>
      <c r="M3408" s="285">
        <f t="shared" si="441"/>
        <v>0</v>
      </c>
      <c r="N3408" s="1076"/>
      <c r="O3408" s="294"/>
      <c r="P3408" s="413"/>
      <c r="Q3408" s="404"/>
    </row>
    <row r="3409" spans="1:17" ht="14.4" thickTop="1" thickBot="1" x14ac:dyDescent="0.3">
      <c r="A3409" s="292"/>
      <c r="B3409" s="294"/>
      <c r="C3409" s="294"/>
      <c r="D3409" s="294"/>
      <c r="E3409" s="294"/>
      <c r="F3409" s="310"/>
      <c r="G3409" s="310"/>
      <c r="H3409" s="310"/>
      <c r="I3409" s="295"/>
      <c r="J3409" s="295"/>
      <c r="K3409" s="300">
        <f t="shared" si="429"/>
        <v>1.1000000000000001</v>
      </c>
      <c r="L3409" s="300">
        <f t="shared" si="440"/>
        <v>0</v>
      </c>
      <c r="M3409" s="285">
        <f t="shared" si="441"/>
        <v>0</v>
      </c>
      <c r="N3409" s="1076"/>
      <c r="O3409" s="294"/>
      <c r="P3409" s="413"/>
      <c r="Q3409" s="404"/>
    </row>
    <row r="3410" spans="1:17" ht="14.4" thickTop="1" thickBot="1" x14ac:dyDescent="0.3">
      <c r="A3410" s="292"/>
      <c r="B3410" s="294" t="s">
        <v>1098</v>
      </c>
      <c r="C3410" s="294"/>
      <c r="D3410" s="294"/>
      <c r="E3410" s="294"/>
      <c r="F3410" s="310"/>
      <c r="G3410" s="310"/>
      <c r="H3410" s="310"/>
      <c r="I3410" s="295"/>
      <c r="J3410" s="295"/>
      <c r="K3410" s="300">
        <f t="shared" si="429"/>
        <v>1.1000000000000001</v>
      </c>
      <c r="L3410" s="300">
        <f t="shared" si="440"/>
        <v>0</v>
      </c>
      <c r="M3410" s="285">
        <f t="shared" si="441"/>
        <v>0</v>
      </c>
      <c r="N3410" s="1076"/>
      <c r="O3410" s="294"/>
      <c r="P3410" s="413"/>
      <c r="Q3410" s="404"/>
    </row>
    <row r="3411" spans="1:17" ht="14.4" thickTop="1" thickBot="1" x14ac:dyDescent="0.3">
      <c r="A3411" s="292"/>
      <c r="B3411" s="294" t="s">
        <v>700</v>
      </c>
      <c r="C3411" s="294"/>
      <c r="D3411" s="294"/>
      <c r="E3411" s="294">
        <v>2</v>
      </c>
      <c r="F3411" s="310">
        <v>12.225</v>
      </c>
      <c r="G3411" s="310">
        <v>0.45</v>
      </c>
      <c r="H3411" s="310">
        <v>0.8</v>
      </c>
      <c r="I3411" s="295">
        <f>H3411*G3411*F3411*E3411</f>
        <v>8.8020000000000014</v>
      </c>
      <c r="J3411" s="295"/>
      <c r="K3411" s="300">
        <f t="shared" si="429"/>
        <v>1.1000000000000001</v>
      </c>
      <c r="L3411" s="300">
        <f t="shared" si="440"/>
        <v>0</v>
      </c>
      <c r="M3411" s="285">
        <f t="shared" si="441"/>
        <v>0</v>
      </c>
      <c r="N3411" s="1076"/>
      <c r="O3411" s="294"/>
      <c r="P3411" s="413"/>
      <c r="Q3411" s="404"/>
    </row>
    <row r="3412" spans="1:17" ht="14.4" thickTop="1" thickBot="1" x14ac:dyDescent="0.3">
      <c r="A3412" s="292"/>
      <c r="B3412" s="294" t="s">
        <v>699</v>
      </c>
      <c r="C3412" s="294"/>
      <c r="D3412" s="294"/>
      <c r="E3412" s="294">
        <v>3</v>
      </c>
      <c r="F3412" s="310">
        <v>26.024999999999999</v>
      </c>
      <c r="G3412" s="310">
        <v>0.45</v>
      </c>
      <c r="H3412" s="310">
        <v>0.8</v>
      </c>
      <c r="I3412" s="295">
        <f t="shared" ref="I3412:I3423" si="442">H3412*G3412*F3412*E3412</f>
        <v>28.106999999999999</v>
      </c>
      <c r="J3412" s="295"/>
      <c r="K3412" s="300">
        <f t="shared" si="429"/>
        <v>1.1000000000000001</v>
      </c>
      <c r="L3412" s="300">
        <f t="shared" si="440"/>
        <v>0</v>
      </c>
      <c r="M3412" s="285">
        <f t="shared" si="441"/>
        <v>0</v>
      </c>
      <c r="N3412" s="1076"/>
      <c r="O3412" s="294"/>
      <c r="P3412" s="413"/>
      <c r="Q3412" s="404"/>
    </row>
    <row r="3413" spans="1:17" ht="14.4" thickTop="1" thickBot="1" x14ac:dyDescent="0.3">
      <c r="A3413" s="292"/>
      <c r="B3413" s="294" t="s">
        <v>701</v>
      </c>
      <c r="C3413" s="294"/>
      <c r="D3413" s="294"/>
      <c r="E3413" s="294">
        <v>3</v>
      </c>
      <c r="F3413" s="310">
        <v>10.5</v>
      </c>
      <c r="G3413" s="310">
        <v>0.45</v>
      </c>
      <c r="H3413" s="310">
        <v>0.8</v>
      </c>
      <c r="I3413" s="295">
        <f t="shared" si="442"/>
        <v>11.34</v>
      </c>
      <c r="J3413" s="295"/>
      <c r="K3413" s="300">
        <f t="shared" si="429"/>
        <v>1.1000000000000001</v>
      </c>
      <c r="L3413" s="300">
        <f t="shared" si="440"/>
        <v>0</v>
      </c>
      <c r="M3413" s="285">
        <f t="shared" si="441"/>
        <v>0</v>
      </c>
      <c r="N3413" s="1076"/>
      <c r="O3413" s="294"/>
      <c r="P3413" s="413"/>
      <c r="Q3413" s="404"/>
    </row>
    <row r="3414" spans="1:17" ht="14.4" thickTop="1" thickBot="1" x14ac:dyDescent="0.3">
      <c r="A3414" s="292"/>
      <c r="B3414" s="294" t="s">
        <v>702</v>
      </c>
      <c r="C3414" s="294"/>
      <c r="D3414" s="294"/>
      <c r="E3414" s="294">
        <v>1</v>
      </c>
      <c r="F3414" s="310">
        <v>6.3</v>
      </c>
      <c r="G3414" s="310">
        <v>0.45</v>
      </c>
      <c r="H3414" s="310">
        <v>0.8</v>
      </c>
      <c r="I3414" s="295">
        <f t="shared" si="442"/>
        <v>2.2680000000000002</v>
      </c>
      <c r="J3414" s="295"/>
      <c r="K3414" s="300">
        <f t="shared" si="429"/>
        <v>1.1000000000000001</v>
      </c>
      <c r="L3414" s="300">
        <f t="shared" si="440"/>
        <v>0</v>
      </c>
      <c r="M3414" s="285">
        <f t="shared" si="441"/>
        <v>0</v>
      </c>
      <c r="N3414" s="1076"/>
      <c r="O3414" s="294"/>
      <c r="P3414" s="413"/>
      <c r="Q3414" s="404"/>
    </row>
    <row r="3415" spans="1:17" ht="14.4" thickTop="1" thickBot="1" x14ac:dyDescent="0.3">
      <c r="A3415" s="292"/>
      <c r="B3415" s="294" t="s">
        <v>703</v>
      </c>
      <c r="C3415" s="294"/>
      <c r="D3415" s="294"/>
      <c r="E3415" s="294">
        <v>1</v>
      </c>
      <c r="F3415" s="310">
        <v>21.17</v>
      </c>
      <c r="G3415" s="310">
        <v>0.45</v>
      </c>
      <c r="H3415" s="310">
        <v>0.8</v>
      </c>
      <c r="I3415" s="295">
        <f t="shared" si="442"/>
        <v>7.6212000000000018</v>
      </c>
      <c r="J3415" s="295"/>
      <c r="K3415" s="300">
        <f t="shared" si="429"/>
        <v>1.1000000000000001</v>
      </c>
      <c r="L3415" s="300">
        <f t="shared" si="440"/>
        <v>0</v>
      </c>
      <c r="M3415" s="285">
        <f t="shared" si="441"/>
        <v>0</v>
      </c>
      <c r="N3415" s="1076"/>
      <c r="O3415" s="294"/>
      <c r="P3415" s="413"/>
      <c r="Q3415" s="404"/>
    </row>
    <row r="3416" spans="1:17" ht="14.4" thickTop="1" thickBot="1" x14ac:dyDescent="0.3">
      <c r="A3416" s="292"/>
      <c r="B3416" s="294" t="s">
        <v>704</v>
      </c>
      <c r="C3416" s="294"/>
      <c r="D3416" s="294"/>
      <c r="E3416" s="294">
        <v>2</v>
      </c>
      <c r="F3416" s="310">
        <v>9.375</v>
      </c>
      <c r="G3416" s="310">
        <v>0.45</v>
      </c>
      <c r="H3416" s="310">
        <v>0.8</v>
      </c>
      <c r="I3416" s="295">
        <f t="shared" si="442"/>
        <v>6.7500000000000009</v>
      </c>
      <c r="J3416" s="295"/>
      <c r="K3416" s="300">
        <f t="shared" si="429"/>
        <v>1.1000000000000001</v>
      </c>
      <c r="L3416" s="300">
        <f t="shared" si="440"/>
        <v>0</v>
      </c>
      <c r="M3416" s="285">
        <f t="shared" si="441"/>
        <v>0</v>
      </c>
      <c r="N3416" s="1076"/>
      <c r="O3416" s="294"/>
      <c r="P3416" s="413"/>
      <c r="Q3416" s="404"/>
    </row>
    <row r="3417" spans="1:17" ht="14.4" thickTop="1" thickBot="1" x14ac:dyDescent="0.3">
      <c r="A3417" s="292"/>
      <c r="B3417" s="294" t="s">
        <v>705</v>
      </c>
      <c r="C3417" s="294"/>
      <c r="D3417" s="294"/>
      <c r="E3417" s="294">
        <v>1</v>
      </c>
      <c r="F3417" s="310">
        <v>4.5</v>
      </c>
      <c r="G3417" s="310">
        <v>0.45</v>
      </c>
      <c r="H3417" s="310">
        <v>0.8</v>
      </c>
      <c r="I3417" s="295">
        <f t="shared" si="442"/>
        <v>1.62</v>
      </c>
      <c r="J3417" s="295"/>
      <c r="K3417" s="300">
        <f t="shared" si="429"/>
        <v>1.1000000000000001</v>
      </c>
      <c r="L3417" s="300">
        <f t="shared" si="440"/>
        <v>0</v>
      </c>
      <c r="M3417" s="285">
        <f t="shared" si="441"/>
        <v>0</v>
      </c>
      <c r="N3417" s="1076"/>
      <c r="O3417" s="294"/>
      <c r="P3417" s="413"/>
      <c r="Q3417" s="404"/>
    </row>
    <row r="3418" spans="1:17" ht="14.4" thickTop="1" thickBot="1" x14ac:dyDescent="0.3">
      <c r="A3418" s="292"/>
      <c r="B3418" s="294" t="s">
        <v>706</v>
      </c>
      <c r="C3418" s="294"/>
      <c r="D3418" s="294"/>
      <c r="E3418" s="294">
        <v>1</v>
      </c>
      <c r="F3418" s="310">
        <v>4.0620000000000003</v>
      </c>
      <c r="G3418" s="310">
        <v>0.45</v>
      </c>
      <c r="H3418" s="310">
        <v>0.8</v>
      </c>
      <c r="I3418" s="295">
        <f t="shared" si="442"/>
        <v>1.4623200000000003</v>
      </c>
      <c r="J3418" s="295"/>
      <c r="K3418" s="300">
        <f t="shared" si="429"/>
        <v>1.1000000000000001</v>
      </c>
      <c r="L3418" s="300">
        <f t="shared" si="440"/>
        <v>0</v>
      </c>
      <c r="M3418" s="285">
        <f t="shared" si="441"/>
        <v>0</v>
      </c>
      <c r="N3418" s="1076"/>
      <c r="O3418" s="294"/>
      <c r="P3418" s="413"/>
      <c r="Q3418" s="404"/>
    </row>
    <row r="3419" spans="1:17" ht="14.4" thickTop="1" thickBot="1" x14ac:dyDescent="0.3">
      <c r="A3419" s="292"/>
      <c r="B3419" s="294" t="s">
        <v>707</v>
      </c>
      <c r="C3419" s="294"/>
      <c r="D3419" s="294"/>
      <c r="E3419" s="294">
        <v>2</v>
      </c>
      <c r="F3419" s="310">
        <v>4.6879999999999997</v>
      </c>
      <c r="G3419" s="310">
        <v>0.45</v>
      </c>
      <c r="H3419" s="310">
        <v>0.8</v>
      </c>
      <c r="I3419" s="295">
        <f t="shared" si="442"/>
        <v>3.3753600000000001</v>
      </c>
      <c r="J3419" s="295"/>
      <c r="K3419" s="300">
        <f t="shared" si="429"/>
        <v>1.1000000000000001</v>
      </c>
      <c r="L3419" s="300">
        <f t="shared" si="440"/>
        <v>0</v>
      </c>
      <c r="M3419" s="285">
        <f t="shared" si="441"/>
        <v>0</v>
      </c>
      <c r="N3419" s="1076"/>
      <c r="O3419" s="294"/>
      <c r="P3419" s="413"/>
      <c r="Q3419" s="404"/>
    </row>
    <row r="3420" spans="1:17" ht="14.4" thickTop="1" thickBot="1" x14ac:dyDescent="0.3">
      <c r="A3420" s="292"/>
      <c r="B3420" s="294"/>
      <c r="C3420" s="294"/>
      <c r="D3420" s="294"/>
      <c r="E3420" s="294">
        <v>1</v>
      </c>
      <c r="F3420" s="310">
        <v>4.7249999999999996</v>
      </c>
      <c r="G3420" s="310">
        <v>0.45</v>
      </c>
      <c r="H3420" s="310">
        <v>0.8</v>
      </c>
      <c r="I3420" s="295">
        <f t="shared" si="442"/>
        <v>1.7010000000000001</v>
      </c>
      <c r="J3420" s="295"/>
      <c r="K3420" s="300">
        <f t="shared" si="429"/>
        <v>1.1000000000000001</v>
      </c>
      <c r="L3420" s="300">
        <f t="shared" si="440"/>
        <v>0</v>
      </c>
      <c r="M3420" s="285">
        <f t="shared" si="441"/>
        <v>0</v>
      </c>
      <c r="N3420" s="1076"/>
      <c r="O3420" s="294"/>
      <c r="P3420" s="413"/>
      <c r="Q3420" s="404"/>
    </row>
    <row r="3421" spans="1:17" ht="14.4" thickTop="1" thickBot="1" x14ac:dyDescent="0.3">
      <c r="A3421" s="292"/>
      <c r="B3421" s="294" t="s">
        <v>708</v>
      </c>
      <c r="C3421" s="294"/>
      <c r="D3421" s="294"/>
      <c r="E3421" s="294">
        <v>1</v>
      </c>
      <c r="F3421" s="310">
        <v>3.5249999999999999</v>
      </c>
      <c r="G3421" s="310">
        <v>0.45</v>
      </c>
      <c r="H3421" s="310">
        <v>0.8</v>
      </c>
      <c r="I3421" s="295">
        <f t="shared" si="442"/>
        <v>1.2690000000000001</v>
      </c>
      <c r="J3421" s="295"/>
      <c r="K3421" s="300">
        <f t="shared" si="429"/>
        <v>1.1000000000000001</v>
      </c>
      <c r="L3421" s="300">
        <f t="shared" si="440"/>
        <v>0</v>
      </c>
      <c r="M3421" s="285">
        <f t="shared" si="441"/>
        <v>0</v>
      </c>
      <c r="N3421" s="1076"/>
      <c r="O3421" s="294"/>
      <c r="P3421" s="413"/>
      <c r="Q3421" s="404"/>
    </row>
    <row r="3422" spans="1:17" ht="14.4" thickTop="1" thickBot="1" x14ac:dyDescent="0.3">
      <c r="A3422" s="292"/>
      <c r="B3422" s="294"/>
      <c r="C3422" s="294"/>
      <c r="D3422" s="294"/>
      <c r="E3422" s="294">
        <v>1</v>
      </c>
      <c r="F3422" s="310">
        <v>2.343</v>
      </c>
      <c r="G3422" s="310">
        <v>0.45</v>
      </c>
      <c r="H3422" s="310">
        <v>0.8</v>
      </c>
      <c r="I3422" s="295">
        <f t="shared" si="442"/>
        <v>0.84348000000000012</v>
      </c>
      <c r="J3422" s="295"/>
      <c r="K3422" s="300">
        <f t="shared" si="429"/>
        <v>1.1000000000000001</v>
      </c>
      <c r="L3422" s="300">
        <f t="shared" si="440"/>
        <v>0</v>
      </c>
      <c r="M3422" s="285">
        <f t="shared" si="441"/>
        <v>0</v>
      </c>
      <c r="N3422" s="1076"/>
      <c r="O3422" s="294"/>
      <c r="P3422" s="413"/>
      <c r="Q3422" s="404"/>
    </row>
    <row r="3423" spans="1:17" ht="14.4" thickTop="1" thickBot="1" x14ac:dyDescent="0.3">
      <c r="A3423" s="292"/>
      <c r="B3423" s="294"/>
      <c r="C3423" s="294"/>
      <c r="D3423" s="294"/>
      <c r="E3423" s="294">
        <v>2</v>
      </c>
      <c r="F3423" s="310">
        <v>1.3</v>
      </c>
      <c r="G3423" s="310">
        <v>0.45</v>
      </c>
      <c r="H3423" s="310">
        <v>0.8</v>
      </c>
      <c r="I3423" s="295">
        <f t="shared" si="442"/>
        <v>0.93600000000000017</v>
      </c>
      <c r="J3423" s="295">
        <f>SUM(I3411:I3423)</f>
        <v>76.095360000000014</v>
      </c>
      <c r="K3423" s="300">
        <f t="shared" si="429"/>
        <v>1.1000000000000001</v>
      </c>
      <c r="L3423" s="300">
        <f t="shared" si="440"/>
        <v>83.704896000000019</v>
      </c>
      <c r="M3423" s="285">
        <f t="shared" si="441"/>
        <v>84</v>
      </c>
      <c r="N3423" s="1076"/>
      <c r="O3423" s="294"/>
      <c r="P3423" s="413"/>
      <c r="Q3423" s="404"/>
    </row>
    <row r="3424" spans="1:17" ht="14.4" thickTop="1" thickBot="1" x14ac:dyDescent="0.3">
      <c r="A3424" s="292"/>
      <c r="B3424" s="294"/>
      <c r="C3424" s="294"/>
      <c r="D3424" s="294"/>
      <c r="E3424" s="294"/>
      <c r="F3424" s="310"/>
      <c r="G3424" s="310"/>
      <c r="H3424" s="310"/>
      <c r="I3424" s="295"/>
      <c r="J3424" s="295">
        <f>J3423/2.83</f>
        <v>26.88881978798587</v>
      </c>
      <c r="K3424" s="300">
        <v>1.05</v>
      </c>
      <c r="L3424" s="300">
        <f t="shared" si="440"/>
        <v>28.233260777385166</v>
      </c>
      <c r="M3424" s="285">
        <f t="shared" si="441"/>
        <v>28</v>
      </c>
      <c r="N3424" s="1076"/>
      <c r="O3424" s="294"/>
      <c r="P3424" s="413"/>
      <c r="Q3424" s="404"/>
    </row>
    <row r="3425" spans="1:17" ht="14.4" thickTop="1" thickBot="1" x14ac:dyDescent="0.3">
      <c r="A3425" s="292"/>
      <c r="B3425" s="294"/>
      <c r="C3425" s="294"/>
      <c r="D3425" s="294"/>
      <c r="E3425" s="294"/>
      <c r="F3425" s="310"/>
      <c r="G3425" s="310"/>
      <c r="H3425" s="310"/>
      <c r="I3425" s="295"/>
      <c r="J3425" s="295"/>
      <c r="K3425" s="300">
        <f t="shared" si="429"/>
        <v>1.1000000000000001</v>
      </c>
      <c r="L3425" s="300">
        <f t="shared" si="430"/>
        <v>0</v>
      </c>
      <c r="M3425" s="285">
        <f t="shared" si="441"/>
        <v>0</v>
      </c>
      <c r="N3425" s="1076"/>
      <c r="O3425" s="294"/>
      <c r="P3425" s="404"/>
      <c r="Q3425" s="404"/>
    </row>
    <row r="3426" spans="1:17" ht="14.4" thickTop="1" thickBot="1" x14ac:dyDescent="0.3">
      <c r="A3426" s="292"/>
      <c r="B3426" s="294"/>
      <c r="C3426" s="294"/>
      <c r="D3426" s="294"/>
      <c r="E3426" s="294"/>
      <c r="F3426" s="310"/>
      <c r="G3426" s="310"/>
      <c r="H3426" s="310"/>
      <c r="I3426" s="295"/>
      <c r="J3426" s="295"/>
      <c r="K3426" s="300"/>
      <c r="L3426" s="300"/>
      <c r="M3426" s="285"/>
      <c r="N3426" s="1076"/>
      <c r="O3426" s="294"/>
      <c r="P3426" s="404"/>
      <c r="Q3426" s="404"/>
    </row>
    <row r="3427" spans="1:17" ht="14.4" thickTop="1" thickBot="1" x14ac:dyDescent="0.3">
      <c r="A3427" s="292"/>
      <c r="B3427" s="294"/>
      <c r="C3427" s="294"/>
      <c r="D3427" s="294"/>
      <c r="E3427" s="294"/>
      <c r="F3427" s="310"/>
      <c r="G3427" s="310"/>
      <c r="H3427" s="310"/>
      <c r="I3427" s="295"/>
      <c r="J3427" s="295"/>
      <c r="K3427" s="300"/>
      <c r="L3427" s="300"/>
      <c r="M3427" s="285"/>
      <c r="N3427" s="1076"/>
      <c r="O3427" s="294"/>
      <c r="P3427" s="404"/>
      <c r="Q3427" s="404"/>
    </row>
    <row r="3428" spans="1:17" ht="14.4" thickTop="1" thickBot="1" x14ac:dyDescent="0.3">
      <c r="A3428" s="292"/>
      <c r="B3428" s="294" t="s">
        <v>1059</v>
      </c>
      <c r="C3428" s="294"/>
      <c r="D3428" s="294"/>
      <c r="E3428" s="294"/>
      <c r="F3428" s="310"/>
      <c r="G3428" s="310"/>
      <c r="H3428" s="310"/>
      <c r="I3428" s="295"/>
      <c r="J3428" s="295"/>
      <c r="K3428" s="300">
        <f t="shared" si="429"/>
        <v>1.1000000000000001</v>
      </c>
      <c r="L3428" s="300">
        <f t="shared" ref="L3428:L3443" si="443">K3428*J3428</f>
        <v>0</v>
      </c>
      <c r="M3428" s="285">
        <f t="shared" ref="M3428:M3443" si="444">ROUND(L3428,0)</f>
        <v>0</v>
      </c>
      <c r="N3428" s="1076"/>
      <c r="O3428" s="294"/>
      <c r="P3428" s="404"/>
      <c r="Q3428" s="404"/>
    </row>
    <row r="3429" spans="1:17" ht="14.4" thickTop="1" thickBot="1" x14ac:dyDescent="0.3">
      <c r="A3429" s="292"/>
      <c r="B3429" s="294" t="s">
        <v>709</v>
      </c>
      <c r="C3429" s="294"/>
      <c r="E3429" s="294"/>
      <c r="F3429" s="310"/>
      <c r="G3429" s="310"/>
      <c r="H3429" s="310"/>
      <c r="I3429" s="295"/>
      <c r="J3429" s="295"/>
      <c r="K3429" s="300">
        <f t="shared" si="429"/>
        <v>1.1000000000000001</v>
      </c>
      <c r="L3429" s="300">
        <f t="shared" si="443"/>
        <v>0</v>
      </c>
      <c r="M3429" s="285">
        <f t="shared" si="444"/>
        <v>0</v>
      </c>
      <c r="N3429" s="1076"/>
      <c r="O3429" s="294"/>
      <c r="P3429" s="404"/>
      <c r="Q3429" s="404"/>
    </row>
    <row r="3430" spans="1:17" ht="14.4" thickTop="1" thickBot="1" x14ac:dyDescent="0.3">
      <c r="A3430" s="292"/>
      <c r="B3430" s="294" t="s">
        <v>1622</v>
      </c>
      <c r="C3430" s="294"/>
      <c r="D3430" s="294"/>
      <c r="E3430" s="294">
        <v>10</v>
      </c>
      <c r="F3430" s="310">
        <f>1.8*4</f>
        <v>7.2</v>
      </c>
      <c r="G3430" s="310"/>
      <c r="H3430" s="310">
        <v>1</v>
      </c>
      <c r="I3430" s="295">
        <f>H3430*F3430*E3430</f>
        <v>72</v>
      </c>
      <c r="J3430" s="295"/>
      <c r="K3430" s="300">
        <f t="shared" si="429"/>
        <v>1.1000000000000001</v>
      </c>
      <c r="L3430" s="300">
        <f t="shared" si="443"/>
        <v>0</v>
      </c>
      <c r="M3430" s="285">
        <f t="shared" si="444"/>
        <v>0</v>
      </c>
      <c r="N3430" s="1076"/>
      <c r="O3430" s="294"/>
      <c r="P3430" s="404"/>
      <c r="Q3430" s="404"/>
    </row>
    <row r="3431" spans="1:17" ht="14.4" thickTop="1" thickBot="1" x14ac:dyDescent="0.3">
      <c r="A3431" s="292"/>
      <c r="B3431" s="294" t="s">
        <v>1623</v>
      </c>
      <c r="C3431" s="294"/>
      <c r="D3431" s="294"/>
      <c r="E3431" s="294">
        <v>14</v>
      </c>
      <c r="F3431" s="310">
        <f>1.5*4</f>
        <v>6</v>
      </c>
      <c r="G3431" s="310"/>
      <c r="H3431" s="310">
        <v>1</v>
      </c>
      <c r="I3431" s="295">
        <f t="shared" ref="I3431:I3433" si="445">H3431*F3431*E3431</f>
        <v>84</v>
      </c>
      <c r="J3431" s="295"/>
      <c r="K3431" s="300">
        <f t="shared" si="429"/>
        <v>1.1000000000000001</v>
      </c>
      <c r="L3431" s="300">
        <f t="shared" si="443"/>
        <v>0</v>
      </c>
      <c r="M3431" s="285">
        <f t="shared" si="444"/>
        <v>0</v>
      </c>
      <c r="N3431" s="1076"/>
      <c r="O3431" s="294"/>
      <c r="P3431" s="404"/>
      <c r="Q3431" s="404"/>
    </row>
    <row r="3432" spans="1:17" ht="14.4" thickTop="1" thickBot="1" x14ac:dyDescent="0.3">
      <c r="A3432" s="292"/>
      <c r="B3432" s="294" t="s">
        <v>1624</v>
      </c>
      <c r="C3432" s="294"/>
      <c r="D3432" s="294"/>
      <c r="E3432" s="294">
        <v>4</v>
      </c>
      <c r="F3432" s="310">
        <f>1.2*4</f>
        <v>4.8</v>
      </c>
      <c r="G3432" s="310"/>
      <c r="H3432" s="310">
        <v>1</v>
      </c>
      <c r="I3432" s="295">
        <f t="shared" si="445"/>
        <v>19.2</v>
      </c>
      <c r="J3432" s="295"/>
      <c r="K3432" s="300">
        <f t="shared" si="429"/>
        <v>1.1000000000000001</v>
      </c>
      <c r="L3432" s="300">
        <f t="shared" si="443"/>
        <v>0</v>
      </c>
      <c r="M3432" s="285">
        <f t="shared" si="444"/>
        <v>0</v>
      </c>
      <c r="N3432" s="1076"/>
      <c r="O3432" s="294"/>
      <c r="P3432" s="404"/>
      <c r="Q3432" s="404"/>
    </row>
    <row r="3433" spans="1:17" ht="14.4" thickTop="1" thickBot="1" x14ac:dyDescent="0.3">
      <c r="A3433" s="292"/>
      <c r="B3433" s="294" t="s">
        <v>1625</v>
      </c>
      <c r="C3433" s="294"/>
      <c r="D3433" s="294"/>
      <c r="E3433" s="294">
        <v>2</v>
      </c>
      <c r="F3433" s="310">
        <f>1.8+1.8+2.7+2.7</f>
        <v>9</v>
      </c>
      <c r="G3433" s="310"/>
      <c r="H3433" s="310">
        <v>1</v>
      </c>
      <c r="I3433" s="295">
        <f t="shared" si="445"/>
        <v>18</v>
      </c>
      <c r="J3433" s="295"/>
      <c r="K3433" s="300">
        <f t="shared" si="429"/>
        <v>1.1000000000000001</v>
      </c>
      <c r="L3433" s="300">
        <f t="shared" si="443"/>
        <v>0</v>
      </c>
      <c r="M3433" s="285">
        <f t="shared" si="444"/>
        <v>0</v>
      </c>
      <c r="N3433" s="1076"/>
      <c r="O3433" s="294"/>
      <c r="P3433" s="404"/>
      <c r="Q3433" s="404"/>
    </row>
    <row r="3434" spans="1:17" ht="14.4" thickTop="1" thickBot="1" x14ac:dyDescent="0.3">
      <c r="A3434" s="292"/>
      <c r="B3434" s="418"/>
      <c r="C3434" s="294"/>
      <c r="D3434" s="418"/>
      <c r="E3434" s="294"/>
      <c r="F3434" s="310"/>
      <c r="G3434" s="310"/>
      <c r="H3434" s="310"/>
      <c r="I3434" s="295"/>
      <c r="J3434" s="295"/>
      <c r="K3434" s="300">
        <f t="shared" si="429"/>
        <v>1.1000000000000001</v>
      </c>
      <c r="L3434" s="300">
        <f t="shared" si="443"/>
        <v>0</v>
      </c>
      <c r="M3434" s="285">
        <f t="shared" si="444"/>
        <v>0</v>
      </c>
      <c r="N3434" s="1076"/>
      <c r="O3434" s="294"/>
      <c r="P3434" s="404"/>
      <c r="Q3434" s="404"/>
    </row>
    <row r="3435" spans="1:17" ht="14.4" thickTop="1" thickBot="1" x14ac:dyDescent="0.3">
      <c r="A3435" s="292"/>
      <c r="B3435" s="294" t="s">
        <v>1626</v>
      </c>
      <c r="C3435" s="294"/>
      <c r="D3435" s="294"/>
      <c r="E3435" s="294">
        <v>4</v>
      </c>
      <c r="F3435" s="310">
        <v>3.25</v>
      </c>
      <c r="G3435" s="310"/>
      <c r="H3435" s="310">
        <v>2</v>
      </c>
      <c r="I3435" s="295">
        <f>H3435*F3435*E3435</f>
        <v>26</v>
      </c>
      <c r="J3435" s="295"/>
      <c r="K3435" s="300">
        <f t="shared" si="429"/>
        <v>1.1000000000000001</v>
      </c>
      <c r="L3435" s="300">
        <f t="shared" si="443"/>
        <v>0</v>
      </c>
      <c r="M3435" s="285">
        <f t="shared" si="444"/>
        <v>0</v>
      </c>
      <c r="N3435" s="1076"/>
      <c r="O3435" s="294"/>
      <c r="P3435" s="404"/>
      <c r="Q3435" s="404"/>
    </row>
    <row r="3436" spans="1:17" ht="14.4" thickTop="1" thickBot="1" x14ac:dyDescent="0.3">
      <c r="A3436" s="292"/>
      <c r="B3436" s="294"/>
      <c r="C3436" s="294"/>
      <c r="D3436" s="294"/>
      <c r="E3436" s="294"/>
      <c r="F3436" s="310"/>
      <c r="G3436" s="310"/>
      <c r="H3436" s="310"/>
      <c r="I3436" s="295"/>
      <c r="J3436" s="295"/>
      <c r="K3436" s="300">
        <f t="shared" si="429"/>
        <v>1.1000000000000001</v>
      </c>
      <c r="L3436" s="300">
        <f t="shared" si="443"/>
        <v>0</v>
      </c>
      <c r="M3436" s="285">
        <f t="shared" si="444"/>
        <v>0</v>
      </c>
      <c r="N3436" s="1076"/>
      <c r="O3436" s="294"/>
      <c r="P3436" s="404"/>
      <c r="Q3436" s="404"/>
    </row>
    <row r="3437" spans="1:17" ht="14.4" thickTop="1" thickBot="1" x14ac:dyDescent="0.3">
      <c r="A3437" s="292"/>
      <c r="B3437" s="294"/>
      <c r="C3437" s="294"/>
      <c r="D3437" s="294"/>
      <c r="E3437" s="294"/>
      <c r="F3437" s="310"/>
      <c r="G3437" s="310"/>
      <c r="H3437" s="310"/>
      <c r="I3437" s="295"/>
      <c r="J3437" s="295">
        <f>SUM(I3430:I3437)</f>
        <v>219.2</v>
      </c>
      <c r="K3437" s="300">
        <f t="shared" si="429"/>
        <v>1.1000000000000001</v>
      </c>
      <c r="L3437" s="300">
        <f t="shared" si="443"/>
        <v>241.12</v>
      </c>
      <c r="M3437" s="285">
        <f t="shared" si="444"/>
        <v>241</v>
      </c>
      <c r="N3437" s="1076"/>
      <c r="O3437" s="294"/>
      <c r="P3437" s="404"/>
      <c r="Q3437" s="404"/>
    </row>
    <row r="3438" spans="1:17" ht="14.4" thickTop="1" thickBot="1" x14ac:dyDescent="0.3">
      <c r="A3438" s="292"/>
      <c r="B3438" s="294"/>
      <c r="C3438" s="294"/>
      <c r="D3438" s="294"/>
      <c r="E3438" s="294"/>
      <c r="F3438" s="310"/>
      <c r="G3438" s="310"/>
      <c r="H3438" s="310"/>
      <c r="I3438" s="295"/>
      <c r="J3438" s="295">
        <f>J3437*10.76</f>
        <v>2358.5919999999996</v>
      </c>
      <c r="K3438" s="300">
        <v>1.05</v>
      </c>
      <c r="L3438" s="300">
        <f t="shared" si="443"/>
        <v>2476.5215999999996</v>
      </c>
      <c r="M3438" s="285">
        <f t="shared" si="444"/>
        <v>2477</v>
      </c>
      <c r="N3438" s="1076"/>
      <c r="O3438" s="294"/>
      <c r="P3438" s="404"/>
      <c r="Q3438" s="404"/>
    </row>
    <row r="3439" spans="1:17" ht="14.4" thickTop="1" thickBot="1" x14ac:dyDescent="0.3">
      <c r="A3439" s="292"/>
      <c r="B3439" s="294"/>
      <c r="C3439" s="294"/>
      <c r="D3439" s="294"/>
      <c r="E3439" s="294"/>
      <c r="F3439" s="310"/>
      <c r="G3439" s="310"/>
      <c r="H3439" s="310"/>
      <c r="I3439" s="295"/>
      <c r="J3439" s="295"/>
      <c r="K3439" s="300"/>
      <c r="L3439" s="300">
        <f t="shared" si="443"/>
        <v>0</v>
      </c>
      <c r="M3439" s="285">
        <f t="shared" si="444"/>
        <v>0</v>
      </c>
      <c r="N3439" s="1076"/>
      <c r="O3439" s="294"/>
      <c r="P3439" s="404"/>
      <c r="Q3439" s="404"/>
    </row>
    <row r="3440" spans="1:17" ht="14.4" thickTop="1" thickBot="1" x14ac:dyDescent="0.3">
      <c r="A3440" s="292"/>
      <c r="B3440" s="294"/>
      <c r="C3440" s="294"/>
      <c r="D3440" s="294"/>
      <c r="E3440" s="294"/>
      <c r="F3440" s="310"/>
      <c r="G3440" s="310"/>
      <c r="H3440" s="310"/>
      <c r="I3440" s="295"/>
      <c r="J3440" s="295"/>
      <c r="K3440" s="300"/>
      <c r="L3440" s="300">
        <f t="shared" si="443"/>
        <v>0</v>
      </c>
      <c r="M3440" s="285">
        <f t="shared" si="444"/>
        <v>0</v>
      </c>
      <c r="N3440" s="1076"/>
      <c r="O3440" s="294"/>
      <c r="P3440" s="404"/>
      <c r="Q3440" s="404"/>
    </row>
    <row r="3441" spans="1:17" ht="14.4" thickTop="1" thickBot="1" x14ac:dyDescent="0.3">
      <c r="A3441" s="292"/>
      <c r="B3441" s="294"/>
      <c r="C3441" s="294"/>
      <c r="D3441" s="294"/>
      <c r="E3441" s="294"/>
      <c r="F3441" s="310"/>
      <c r="G3441" s="310"/>
      <c r="H3441" s="310"/>
      <c r="I3441" s="295"/>
      <c r="J3441" s="295"/>
      <c r="K3441" s="300"/>
      <c r="L3441" s="300">
        <f t="shared" si="443"/>
        <v>0</v>
      </c>
      <c r="M3441" s="285">
        <f t="shared" si="444"/>
        <v>0</v>
      </c>
      <c r="N3441" s="1076"/>
      <c r="O3441" s="294"/>
      <c r="P3441" s="404"/>
      <c r="Q3441" s="404"/>
    </row>
    <row r="3442" spans="1:17" ht="14.4" thickTop="1" thickBot="1" x14ac:dyDescent="0.3">
      <c r="A3442" s="292"/>
      <c r="B3442" s="294"/>
      <c r="C3442" s="294"/>
      <c r="D3442" s="294"/>
      <c r="E3442" s="294"/>
      <c r="F3442" s="310"/>
      <c r="G3442" s="310"/>
      <c r="H3442" s="310"/>
      <c r="I3442" s="295"/>
      <c r="J3442" s="295"/>
      <c r="K3442" s="300">
        <f t="shared" si="429"/>
        <v>1.1000000000000001</v>
      </c>
      <c r="L3442" s="300">
        <f t="shared" si="443"/>
        <v>0</v>
      </c>
      <c r="M3442" s="285">
        <f t="shared" si="444"/>
        <v>0</v>
      </c>
      <c r="N3442" s="1076"/>
      <c r="O3442" s="294"/>
      <c r="P3442" s="404"/>
      <c r="Q3442" s="404"/>
    </row>
    <row r="3443" spans="1:17" ht="14.4" thickTop="1" thickBot="1" x14ac:dyDescent="0.3">
      <c r="A3443" s="292">
        <v>3</v>
      </c>
      <c r="B3443" s="294" t="s">
        <v>693</v>
      </c>
      <c r="C3443" s="294"/>
      <c r="D3443" s="294"/>
      <c r="E3443" s="294"/>
      <c r="F3443" s="310">
        <v>27</v>
      </c>
      <c r="G3443" s="310">
        <v>13</v>
      </c>
      <c r="H3443" s="310">
        <v>0.45</v>
      </c>
      <c r="I3443" s="295">
        <f>H3443*G3443*F3443</f>
        <v>157.95000000000002</v>
      </c>
      <c r="J3443" s="295"/>
      <c r="K3443" s="300">
        <f t="shared" si="429"/>
        <v>1.1000000000000001</v>
      </c>
      <c r="L3443" s="300">
        <f t="shared" si="443"/>
        <v>0</v>
      </c>
      <c r="M3443" s="285">
        <f t="shared" si="444"/>
        <v>0</v>
      </c>
      <c r="N3443" s="1076"/>
      <c r="O3443" s="294"/>
      <c r="P3443" s="404"/>
      <c r="Q3443" s="404"/>
    </row>
    <row r="3444" spans="1:17" ht="14.4" thickTop="1" thickBot="1" x14ac:dyDescent="0.3">
      <c r="A3444" s="292"/>
      <c r="B3444" s="294"/>
      <c r="C3444" s="294"/>
      <c r="D3444" s="294"/>
      <c r="E3444" s="294"/>
      <c r="F3444" s="310">
        <v>6</v>
      </c>
      <c r="G3444" s="310">
        <v>5</v>
      </c>
      <c r="H3444" s="310">
        <v>0.45</v>
      </c>
      <c r="I3444" s="295">
        <f>H3444*G3444*F3444</f>
        <v>13.5</v>
      </c>
      <c r="J3444" s="295">
        <f>SUM(I3443:I3444)</f>
        <v>171.45000000000002</v>
      </c>
      <c r="K3444" s="300">
        <f t="shared" si="429"/>
        <v>1.1000000000000001</v>
      </c>
      <c r="L3444" s="300">
        <f t="shared" si="430"/>
        <v>188.59500000000003</v>
      </c>
      <c r="M3444" s="285">
        <f>ROUND(L3444,0)</f>
        <v>189</v>
      </c>
      <c r="N3444" s="1076"/>
      <c r="O3444" s="294" t="s">
        <v>696</v>
      </c>
      <c r="P3444" s="404"/>
      <c r="Q3444" s="404"/>
    </row>
    <row r="3445" spans="1:17" ht="14.4" thickTop="1" thickBot="1" x14ac:dyDescent="0.3">
      <c r="A3445" s="292"/>
      <c r="B3445" s="294"/>
      <c r="C3445" s="294"/>
      <c r="D3445" s="294"/>
      <c r="E3445" s="294"/>
      <c r="F3445" s="310"/>
      <c r="G3445" s="310"/>
      <c r="H3445" s="310"/>
      <c r="I3445" s="295"/>
      <c r="J3445" s="295">
        <f>J3444/2.83</f>
        <v>60.583038869257955</v>
      </c>
      <c r="K3445" s="300">
        <f t="shared" si="429"/>
        <v>1.1000000000000001</v>
      </c>
      <c r="L3445" s="300">
        <f t="shared" si="430"/>
        <v>66.641342756183761</v>
      </c>
      <c r="M3445" s="285">
        <f t="shared" ref="M3445:M3508" si="446">ROUND(L3445,0)</f>
        <v>67</v>
      </c>
      <c r="N3445" s="1076"/>
      <c r="O3445" s="294"/>
      <c r="P3445" s="404"/>
      <c r="Q3445" s="404"/>
    </row>
    <row r="3446" spans="1:17" ht="14.4" thickTop="1" thickBot="1" x14ac:dyDescent="0.3">
      <c r="A3446" s="292"/>
      <c r="B3446" s="294"/>
      <c r="C3446" s="294"/>
      <c r="D3446" s="294"/>
      <c r="E3446" s="294"/>
      <c r="F3446" s="310"/>
      <c r="G3446" s="310"/>
      <c r="H3446" s="310"/>
      <c r="I3446" s="295"/>
      <c r="J3446" s="295"/>
      <c r="K3446" s="300"/>
      <c r="L3446" s="300">
        <f t="shared" si="430"/>
        <v>0</v>
      </c>
      <c r="M3446" s="285">
        <f t="shared" si="446"/>
        <v>0</v>
      </c>
      <c r="N3446" s="1076"/>
      <c r="O3446" s="294"/>
      <c r="P3446" s="404"/>
      <c r="Q3446" s="404"/>
    </row>
    <row r="3447" spans="1:17" ht="14.4" thickTop="1" thickBot="1" x14ac:dyDescent="0.3">
      <c r="A3447" s="292"/>
      <c r="B3447" s="294"/>
      <c r="C3447" s="294"/>
      <c r="D3447" s="294"/>
      <c r="E3447" s="294"/>
      <c r="F3447" s="310"/>
      <c r="G3447" s="310"/>
      <c r="H3447" s="310"/>
      <c r="I3447" s="295"/>
      <c r="J3447" s="295"/>
      <c r="K3447" s="300"/>
      <c r="L3447" s="300">
        <f t="shared" si="430"/>
        <v>0</v>
      </c>
      <c r="M3447" s="285">
        <f t="shared" si="446"/>
        <v>0</v>
      </c>
      <c r="N3447" s="1076"/>
      <c r="O3447" s="294"/>
      <c r="P3447" s="404"/>
      <c r="Q3447" s="404"/>
    </row>
    <row r="3448" spans="1:17" ht="14.4" thickTop="1" thickBot="1" x14ac:dyDescent="0.3">
      <c r="A3448" s="292">
        <v>4</v>
      </c>
      <c r="B3448" s="296" t="s">
        <v>694</v>
      </c>
      <c r="C3448" s="294"/>
      <c r="D3448" s="294"/>
      <c r="E3448" s="294"/>
      <c r="F3448" s="310">
        <v>28.024999999999999</v>
      </c>
      <c r="G3448" s="310">
        <v>13.225</v>
      </c>
      <c r="H3448" s="310"/>
      <c r="I3448" s="295">
        <f>G3448*F3448</f>
        <v>370.63062499999995</v>
      </c>
      <c r="J3448" s="295"/>
      <c r="K3448" s="300">
        <f t="shared" si="429"/>
        <v>1.1000000000000001</v>
      </c>
      <c r="L3448" s="300">
        <f t="shared" si="430"/>
        <v>0</v>
      </c>
      <c r="M3448" s="285">
        <f t="shared" si="446"/>
        <v>0</v>
      </c>
      <c r="N3448" s="1076"/>
      <c r="O3448" s="294"/>
      <c r="P3448" s="404"/>
      <c r="Q3448" s="404"/>
    </row>
    <row r="3449" spans="1:17" ht="14.4" thickTop="1" thickBot="1" x14ac:dyDescent="0.3">
      <c r="A3449" s="292"/>
      <c r="B3449" s="296"/>
      <c r="C3449" s="294"/>
      <c r="D3449" s="294"/>
      <c r="E3449" s="294"/>
      <c r="F3449" s="310">
        <f>F3444</f>
        <v>6</v>
      </c>
      <c r="G3449" s="310">
        <f>G3444</f>
        <v>5</v>
      </c>
      <c r="H3449" s="310"/>
      <c r="I3449" s="295">
        <f>G3449*F3449</f>
        <v>30</v>
      </c>
      <c r="J3449" s="295">
        <f>SUM(I3448:I3449)</f>
        <v>400.63062499999995</v>
      </c>
      <c r="K3449" s="300">
        <f t="shared" si="429"/>
        <v>1.1000000000000001</v>
      </c>
      <c r="L3449" s="300">
        <f>K3449*J3449</f>
        <v>440.69368750000001</v>
      </c>
      <c r="M3449" s="285">
        <f t="shared" si="446"/>
        <v>441</v>
      </c>
      <c r="N3449" s="1076"/>
      <c r="O3449" s="294" t="s">
        <v>695</v>
      </c>
      <c r="P3449" s="404"/>
      <c r="Q3449" s="404"/>
    </row>
    <row r="3450" spans="1:17" ht="14.4" thickTop="1" thickBot="1" x14ac:dyDescent="0.3">
      <c r="A3450" s="292"/>
      <c r="B3450" s="296"/>
      <c r="C3450" s="294"/>
      <c r="D3450" s="294"/>
      <c r="E3450" s="294"/>
      <c r="F3450" s="310"/>
      <c r="G3450" s="310"/>
      <c r="H3450" s="310"/>
      <c r="I3450" s="295"/>
      <c r="J3450" s="295">
        <f>J3449*10.76</f>
        <v>4310.7855249999993</v>
      </c>
      <c r="K3450" s="300">
        <v>1.05</v>
      </c>
      <c r="L3450" s="300">
        <f>K3450*J3450</f>
        <v>4526.3248012499998</v>
      </c>
      <c r="M3450" s="285">
        <f>ROUND(L3450,0)</f>
        <v>4526</v>
      </c>
      <c r="N3450" s="1076"/>
      <c r="O3450" s="294"/>
      <c r="P3450" s="404"/>
      <c r="Q3450" s="404"/>
    </row>
    <row r="3451" spans="1:17" ht="14.4" thickTop="1" thickBot="1" x14ac:dyDescent="0.3">
      <c r="A3451" s="292"/>
      <c r="B3451" s="296"/>
      <c r="C3451" s="294"/>
      <c r="D3451" s="294"/>
      <c r="E3451" s="294"/>
      <c r="F3451" s="310"/>
      <c r="G3451" s="310"/>
      <c r="H3451" s="310"/>
      <c r="I3451" s="295"/>
      <c r="J3451" s="295"/>
      <c r="K3451" s="300">
        <f t="shared" si="429"/>
        <v>1.1000000000000001</v>
      </c>
      <c r="L3451" s="300">
        <f t="shared" ref="L3451:L3514" si="447">K3451*J3451</f>
        <v>0</v>
      </c>
      <c r="M3451" s="285">
        <f t="shared" ref="M3451" si="448">ROUND(L3451,0)</f>
        <v>0</v>
      </c>
      <c r="N3451" s="1076"/>
      <c r="O3451" s="294"/>
      <c r="P3451" s="404"/>
      <c r="Q3451" s="404"/>
    </row>
    <row r="3452" spans="1:17" ht="14.4" thickTop="1" thickBot="1" x14ac:dyDescent="0.3">
      <c r="A3452" s="292"/>
      <c r="B3452" s="294"/>
      <c r="C3452" s="294"/>
      <c r="D3452" s="294"/>
      <c r="E3452" s="294"/>
      <c r="F3452" s="310"/>
      <c r="G3452" s="310"/>
      <c r="H3452" s="310"/>
      <c r="I3452" s="295"/>
      <c r="J3452" s="295"/>
      <c r="K3452" s="300">
        <f t="shared" si="429"/>
        <v>1.1000000000000001</v>
      </c>
      <c r="L3452" s="300">
        <f t="shared" si="447"/>
        <v>0</v>
      </c>
      <c r="M3452" s="285">
        <f t="shared" si="446"/>
        <v>0</v>
      </c>
      <c r="N3452" s="1076"/>
      <c r="O3452" s="294"/>
      <c r="P3452" s="404"/>
      <c r="Q3452" s="404"/>
    </row>
    <row r="3453" spans="1:17" ht="14.4" thickTop="1" thickBot="1" x14ac:dyDescent="0.3">
      <c r="A3453" s="292"/>
      <c r="B3453" s="296"/>
      <c r="C3453" s="294"/>
      <c r="D3453" s="294"/>
      <c r="E3453" s="294"/>
      <c r="F3453" s="310"/>
      <c r="G3453" s="310"/>
      <c r="H3453" s="310"/>
      <c r="I3453" s="295"/>
      <c r="J3453" s="295"/>
      <c r="K3453" s="300">
        <f t="shared" si="429"/>
        <v>1.1000000000000001</v>
      </c>
      <c r="L3453" s="300">
        <f t="shared" si="447"/>
        <v>0</v>
      </c>
      <c r="M3453" s="285">
        <f t="shared" si="446"/>
        <v>0</v>
      </c>
      <c r="N3453" s="1076"/>
      <c r="O3453" s="294"/>
      <c r="P3453" s="404"/>
      <c r="Q3453" s="404"/>
    </row>
    <row r="3454" spans="1:17" ht="14.4" thickTop="1" thickBot="1" x14ac:dyDescent="0.3">
      <c r="A3454" s="292">
        <v>5</v>
      </c>
      <c r="B3454" s="296" t="s">
        <v>697</v>
      </c>
      <c r="C3454" s="294"/>
      <c r="D3454" s="294"/>
      <c r="E3454" s="294"/>
      <c r="F3454" s="310"/>
      <c r="G3454" s="310"/>
      <c r="H3454" s="310"/>
      <c r="I3454" s="295"/>
      <c r="J3454" s="295"/>
      <c r="K3454" s="300">
        <f t="shared" si="429"/>
        <v>1.1000000000000001</v>
      </c>
      <c r="L3454" s="300">
        <f t="shared" si="447"/>
        <v>0</v>
      </c>
      <c r="M3454" s="285">
        <f t="shared" si="446"/>
        <v>0</v>
      </c>
      <c r="N3454" s="1076"/>
      <c r="O3454" s="294"/>
      <c r="P3454" s="404"/>
      <c r="Q3454" s="404"/>
    </row>
    <row r="3455" spans="1:17" ht="14.4" thickTop="1" thickBot="1" x14ac:dyDescent="0.3">
      <c r="A3455" s="292"/>
      <c r="B3455" s="294" t="s">
        <v>700</v>
      </c>
      <c r="C3455" s="294"/>
      <c r="D3455" s="294"/>
      <c r="E3455" s="294">
        <v>2</v>
      </c>
      <c r="F3455" s="310">
        <v>12.225</v>
      </c>
      <c r="G3455" s="310">
        <v>0.45</v>
      </c>
      <c r="H3455" s="310"/>
      <c r="I3455" s="295">
        <f>G3455*F3455*E3455</f>
        <v>11.0025</v>
      </c>
      <c r="J3455" s="295"/>
      <c r="K3455" s="300">
        <f t="shared" si="429"/>
        <v>1.1000000000000001</v>
      </c>
      <c r="L3455" s="300">
        <f t="shared" si="447"/>
        <v>0</v>
      </c>
      <c r="M3455" s="285">
        <f t="shared" si="446"/>
        <v>0</v>
      </c>
      <c r="N3455" s="1076"/>
      <c r="O3455" s="294"/>
      <c r="P3455" s="404"/>
      <c r="Q3455" s="404"/>
    </row>
    <row r="3456" spans="1:17" ht="14.4" thickTop="1" thickBot="1" x14ac:dyDescent="0.3">
      <c r="A3456" s="292"/>
      <c r="B3456" s="294" t="s">
        <v>699</v>
      </c>
      <c r="C3456" s="294"/>
      <c r="D3456" s="294"/>
      <c r="E3456" s="294">
        <v>3</v>
      </c>
      <c r="F3456" s="310">
        <v>26.024999999999999</v>
      </c>
      <c r="G3456" s="310">
        <v>0.45</v>
      </c>
      <c r="H3456" s="310"/>
      <c r="I3456" s="295">
        <f t="shared" ref="I3456:I3468" si="449">G3456*F3456*E3456</f>
        <v>35.133749999999999</v>
      </c>
      <c r="J3456" s="295"/>
      <c r="K3456" s="300">
        <f t="shared" si="429"/>
        <v>1.1000000000000001</v>
      </c>
      <c r="L3456" s="300">
        <f t="shared" si="447"/>
        <v>0</v>
      </c>
      <c r="M3456" s="285">
        <f t="shared" si="446"/>
        <v>0</v>
      </c>
      <c r="N3456" s="1076"/>
      <c r="O3456" s="294"/>
      <c r="P3456" s="404"/>
      <c r="Q3456" s="404"/>
    </row>
    <row r="3457" spans="1:19" ht="14.4" thickTop="1" thickBot="1" x14ac:dyDescent="0.3">
      <c r="A3457" s="292"/>
      <c r="B3457" s="294" t="s">
        <v>701</v>
      </c>
      <c r="C3457" s="294"/>
      <c r="D3457" s="294"/>
      <c r="E3457" s="294">
        <v>3</v>
      </c>
      <c r="F3457" s="310">
        <v>10.5</v>
      </c>
      <c r="G3457" s="310">
        <v>0.45</v>
      </c>
      <c r="H3457" s="310"/>
      <c r="I3457" s="295">
        <f t="shared" si="449"/>
        <v>14.175000000000001</v>
      </c>
      <c r="J3457" s="295"/>
      <c r="K3457" s="300">
        <f t="shared" si="429"/>
        <v>1.1000000000000001</v>
      </c>
      <c r="L3457" s="300">
        <f t="shared" si="447"/>
        <v>0</v>
      </c>
      <c r="M3457" s="285">
        <f t="shared" si="446"/>
        <v>0</v>
      </c>
      <c r="N3457" s="1076"/>
      <c r="O3457" s="294"/>
      <c r="P3457" s="404"/>
      <c r="Q3457" s="404"/>
    </row>
    <row r="3458" spans="1:19" ht="14.4" thickTop="1" thickBot="1" x14ac:dyDescent="0.3">
      <c r="A3458" s="292"/>
      <c r="B3458" s="294" t="s">
        <v>702</v>
      </c>
      <c r="C3458" s="294"/>
      <c r="D3458" s="294"/>
      <c r="E3458" s="294">
        <v>1</v>
      </c>
      <c r="F3458" s="310">
        <v>6.3</v>
      </c>
      <c r="G3458" s="310">
        <v>0.45</v>
      </c>
      <c r="H3458" s="310"/>
      <c r="I3458" s="295">
        <f t="shared" si="449"/>
        <v>2.835</v>
      </c>
      <c r="J3458" s="295"/>
      <c r="K3458" s="300">
        <f t="shared" si="429"/>
        <v>1.1000000000000001</v>
      </c>
      <c r="L3458" s="300">
        <f t="shared" si="447"/>
        <v>0</v>
      </c>
      <c r="M3458" s="285">
        <f t="shared" si="446"/>
        <v>0</v>
      </c>
      <c r="N3458" s="1076"/>
      <c r="O3458" s="294"/>
      <c r="P3458" s="404"/>
      <c r="Q3458" s="404"/>
    </row>
    <row r="3459" spans="1:19" ht="14.4" thickTop="1" thickBot="1" x14ac:dyDescent="0.3">
      <c r="A3459" s="292"/>
      <c r="B3459" s="294" t="s">
        <v>703</v>
      </c>
      <c r="C3459" s="294"/>
      <c r="D3459" s="294"/>
      <c r="E3459" s="294">
        <v>1</v>
      </c>
      <c r="F3459" s="310">
        <v>21.17</v>
      </c>
      <c r="G3459" s="310">
        <v>0.45</v>
      </c>
      <c r="H3459" s="310"/>
      <c r="I3459" s="295">
        <f t="shared" si="449"/>
        <v>9.5265000000000004</v>
      </c>
      <c r="J3459" s="295"/>
      <c r="K3459" s="300">
        <f t="shared" si="429"/>
        <v>1.1000000000000001</v>
      </c>
      <c r="L3459" s="300">
        <f t="shared" si="447"/>
        <v>0</v>
      </c>
      <c r="M3459" s="285">
        <f t="shared" si="446"/>
        <v>0</v>
      </c>
      <c r="N3459" s="1076"/>
      <c r="O3459" s="294"/>
      <c r="P3459" s="404"/>
      <c r="Q3459" s="404"/>
    </row>
    <row r="3460" spans="1:19" ht="14.4" thickTop="1" thickBot="1" x14ac:dyDescent="0.3">
      <c r="A3460" s="292"/>
      <c r="B3460" s="294" t="s">
        <v>704</v>
      </c>
      <c r="C3460" s="294"/>
      <c r="D3460" s="294"/>
      <c r="E3460" s="294">
        <v>2</v>
      </c>
      <c r="F3460" s="310">
        <v>9.375</v>
      </c>
      <c r="G3460" s="310">
        <v>0.45</v>
      </c>
      <c r="H3460" s="310"/>
      <c r="I3460" s="295">
        <f t="shared" si="449"/>
        <v>8.4375</v>
      </c>
      <c r="J3460" s="295"/>
      <c r="K3460" s="300">
        <f t="shared" si="429"/>
        <v>1.1000000000000001</v>
      </c>
      <c r="L3460" s="300">
        <f t="shared" si="447"/>
        <v>0</v>
      </c>
      <c r="M3460" s="285">
        <f t="shared" si="446"/>
        <v>0</v>
      </c>
      <c r="N3460" s="1076"/>
      <c r="O3460" s="294"/>
      <c r="P3460" s="404"/>
      <c r="Q3460" s="404"/>
    </row>
    <row r="3461" spans="1:19" ht="14.4" thickTop="1" thickBot="1" x14ac:dyDescent="0.3">
      <c r="A3461" s="292"/>
      <c r="B3461" s="294" t="s">
        <v>705</v>
      </c>
      <c r="C3461" s="294"/>
      <c r="D3461" s="294"/>
      <c r="E3461" s="294">
        <v>1</v>
      </c>
      <c r="F3461" s="310">
        <v>4.5</v>
      </c>
      <c r="G3461" s="310">
        <v>0.45</v>
      </c>
      <c r="H3461" s="310"/>
      <c r="I3461" s="295">
        <f t="shared" si="449"/>
        <v>2.0249999999999999</v>
      </c>
      <c r="J3461" s="295"/>
      <c r="K3461" s="300">
        <f t="shared" si="429"/>
        <v>1.1000000000000001</v>
      </c>
      <c r="L3461" s="300">
        <f t="shared" si="447"/>
        <v>0</v>
      </c>
      <c r="M3461" s="285">
        <f t="shared" si="446"/>
        <v>0</v>
      </c>
      <c r="N3461" s="1076"/>
      <c r="O3461" s="294"/>
      <c r="P3461" s="404"/>
      <c r="Q3461" s="404"/>
    </row>
    <row r="3462" spans="1:19" ht="14.4" thickTop="1" thickBot="1" x14ac:dyDescent="0.3">
      <c r="A3462" s="292"/>
      <c r="B3462" s="294" t="s">
        <v>706</v>
      </c>
      <c r="C3462" s="294"/>
      <c r="D3462" s="294"/>
      <c r="E3462" s="294">
        <v>1</v>
      </c>
      <c r="F3462" s="310">
        <v>4.0620000000000003</v>
      </c>
      <c r="G3462" s="310">
        <v>0.45</v>
      </c>
      <c r="H3462" s="310"/>
      <c r="I3462" s="295">
        <f t="shared" si="449"/>
        <v>1.8279000000000001</v>
      </c>
      <c r="J3462" s="295"/>
      <c r="K3462" s="300">
        <f t="shared" si="429"/>
        <v>1.1000000000000001</v>
      </c>
      <c r="L3462" s="300">
        <f t="shared" si="447"/>
        <v>0</v>
      </c>
      <c r="M3462" s="285">
        <f t="shared" si="446"/>
        <v>0</v>
      </c>
      <c r="N3462" s="1076"/>
      <c r="O3462" s="294"/>
      <c r="P3462" s="404"/>
      <c r="Q3462" s="404"/>
    </row>
    <row r="3463" spans="1:19" ht="14.4" thickTop="1" thickBot="1" x14ac:dyDescent="0.3">
      <c r="A3463" s="292"/>
      <c r="B3463" s="294" t="s">
        <v>707</v>
      </c>
      <c r="C3463" s="294"/>
      <c r="D3463" s="294"/>
      <c r="E3463" s="294">
        <v>2</v>
      </c>
      <c r="F3463" s="310">
        <v>4.6879999999999997</v>
      </c>
      <c r="G3463" s="310">
        <v>0.45</v>
      </c>
      <c r="H3463" s="310"/>
      <c r="I3463" s="295">
        <f t="shared" si="449"/>
        <v>4.2191999999999998</v>
      </c>
      <c r="J3463" s="295"/>
      <c r="K3463" s="300">
        <f t="shared" si="429"/>
        <v>1.1000000000000001</v>
      </c>
      <c r="L3463" s="300">
        <f t="shared" si="447"/>
        <v>0</v>
      </c>
      <c r="M3463" s="285">
        <f t="shared" si="446"/>
        <v>0</v>
      </c>
      <c r="N3463" s="1076"/>
      <c r="O3463" s="294"/>
      <c r="P3463" s="404"/>
      <c r="Q3463" s="404"/>
    </row>
    <row r="3464" spans="1:19" ht="14.4" thickTop="1" thickBot="1" x14ac:dyDescent="0.3">
      <c r="A3464" s="292"/>
      <c r="B3464" s="294"/>
      <c r="C3464" s="294"/>
      <c r="D3464" s="294"/>
      <c r="E3464" s="294">
        <v>1</v>
      </c>
      <c r="F3464" s="310">
        <v>4.7249999999999996</v>
      </c>
      <c r="G3464" s="310">
        <v>0.45</v>
      </c>
      <c r="H3464" s="310"/>
      <c r="I3464" s="295">
        <f t="shared" si="449"/>
        <v>2.1262499999999998</v>
      </c>
      <c r="J3464" s="295"/>
      <c r="K3464" s="300">
        <f t="shared" si="429"/>
        <v>1.1000000000000001</v>
      </c>
      <c r="L3464" s="300">
        <f t="shared" si="447"/>
        <v>0</v>
      </c>
      <c r="M3464" s="285">
        <f t="shared" si="446"/>
        <v>0</v>
      </c>
      <c r="N3464" s="1076"/>
      <c r="O3464" s="294"/>
      <c r="P3464" s="404"/>
      <c r="Q3464" s="404"/>
    </row>
    <row r="3465" spans="1:19" ht="14.4" thickTop="1" thickBot="1" x14ac:dyDescent="0.3">
      <c r="A3465" s="292"/>
      <c r="B3465" s="294" t="s">
        <v>708</v>
      </c>
      <c r="C3465" s="294"/>
      <c r="D3465" s="294"/>
      <c r="E3465" s="294">
        <v>1</v>
      </c>
      <c r="F3465" s="310">
        <v>3.5249999999999999</v>
      </c>
      <c r="G3465" s="310">
        <v>0.45</v>
      </c>
      <c r="H3465" s="310"/>
      <c r="I3465" s="295">
        <f t="shared" si="449"/>
        <v>1.5862499999999999</v>
      </c>
      <c r="J3465" s="295"/>
      <c r="K3465" s="300">
        <f t="shared" si="429"/>
        <v>1.1000000000000001</v>
      </c>
      <c r="L3465" s="300">
        <f t="shared" si="447"/>
        <v>0</v>
      </c>
      <c r="M3465" s="285">
        <f t="shared" si="446"/>
        <v>0</v>
      </c>
      <c r="N3465" s="1076"/>
      <c r="O3465" s="294"/>
      <c r="P3465" s="404"/>
      <c r="Q3465" s="404"/>
    </row>
    <row r="3466" spans="1:19" ht="14.4" thickTop="1" thickBot="1" x14ac:dyDescent="0.3">
      <c r="A3466" s="292"/>
      <c r="B3466" s="294"/>
      <c r="C3466" s="294"/>
      <c r="D3466" s="294"/>
      <c r="E3466" s="294">
        <v>1</v>
      </c>
      <c r="F3466" s="310">
        <v>2.343</v>
      </c>
      <c r="G3466" s="310">
        <v>0.45</v>
      </c>
      <c r="H3466" s="310"/>
      <c r="I3466" s="295">
        <f t="shared" si="449"/>
        <v>1.0543500000000001</v>
      </c>
      <c r="J3466" s="295"/>
      <c r="K3466" s="300">
        <f t="shared" si="429"/>
        <v>1.1000000000000001</v>
      </c>
      <c r="L3466" s="300">
        <f t="shared" si="447"/>
        <v>0</v>
      </c>
      <c r="M3466" s="285">
        <f t="shared" si="446"/>
        <v>0</v>
      </c>
      <c r="N3466" s="1076"/>
      <c r="O3466" s="294"/>
      <c r="P3466" s="404"/>
      <c r="Q3466" s="404"/>
    </row>
    <row r="3467" spans="1:19" ht="14.4" thickTop="1" thickBot="1" x14ac:dyDescent="0.3">
      <c r="A3467" s="292"/>
      <c r="B3467" s="294"/>
      <c r="C3467" s="294"/>
      <c r="D3467" s="294"/>
      <c r="E3467" s="294">
        <v>2</v>
      </c>
      <c r="F3467" s="310">
        <v>1.3</v>
      </c>
      <c r="G3467" s="310">
        <v>0.45</v>
      </c>
      <c r="H3467" s="310"/>
      <c r="I3467" s="295">
        <f t="shared" si="449"/>
        <v>1.1700000000000002</v>
      </c>
      <c r="J3467" s="295"/>
      <c r="K3467" s="300">
        <f t="shared" si="429"/>
        <v>1.1000000000000001</v>
      </c>
      <c r="L3467" s="300">
        <f t="shared" si="447"/>
        <v>0</v>
      </c>
      <c r="M3467" s="285">
        <f t="shared" si="446"/>
        <v>0</v>
      </c>
      <c r="N3467" s="1076"/>
      <c r="O3467" s="294"/>
      <c r="P3467" s="404"/>
      <c r="Q3467" s="404"/>
    </row>
    <row r="3468" spans="1:19" ht="14.4" thickTop="1" thickBot="1" x14ac:dyDescent="0.3">
      <c r="A3468" s="292"/>
      <c r="B3468" s="294" t="s">
        <v>709</v>
      </c>
      <c r="C3468" s="294"/>
      <c r="D3468" s="294"/>
      <c r="E3468" s="294"/>
      <c r="F3468" s="310"/>
      <c r="G3468" s="310"/>
      <c r="H3468" s="310"/>
      <c r="I3468" s="295">
        <f t="shared" si="449"/>
        <v>0</v>
      </c>
      <c r="J3468" s="295"/>
      <c r="K3468" s="300">
        <f t="shared" si="429"/>
        <v>1.1000000000000001</v>
      </c>
      <c r="L3468" s="300">
        <f t="shared" si="447"/>
        <v>0</v>
      </c>
      <c r="M3468" s="285">
        <f t="shared" si="446"/>
        <v>0</v>
      </c>
      <c r="N3468" s="1076"/>
      <c r="O3468" s="294"/>
      <c r="P3468" s="404"/>
      <c r="Q3468" s="404"/>
    </row>
    <row r="3469" spans="1:19" ht="14.4" thickTop="1" thickBot="1" x14ac:dyDescent="0.3">
      <c r="A3469" s="292"/>
      <c r="B3469" s="296"/>
      <c r="C3469" s="294"/>
      <c r="D3469" s="294"/>
      <c r="E3469" s="294"/>
      <c r="F3469" s="310"/>
      <c r="G3469" s="310"/>
      <c r="H3469" s="310"/>
      <c r="I3469" s="295"/>
      <c r="J3469" s="295">
        <f>SUM(I3455:I3468)</f>
        <v>95.119200000000021</v>
      </c>
      <c r="K3469" s="300">
        <v>1.05</v>
      </c>
      <c r="L3469" s="300">
        <f t="shared" si="447"/>
        <v>99.875160000000022</v>
      </c>
      <c r="M3469" s="285">
        <f t="shared" si="446"/>
        <v>100</v>
      </c>
      <c r="N3469" s="1076"/>
      <c r="O3469" s="294"/>
      <c r="P3469" s="404"/>
      <c r="Q3469" s="404"/>
      <c r="S3469" s="301"/>
    </row>
    <row r="3470" spans="1:19" ht="14.4" thickTop="1" thickBot="1" x14ac:dyDescent="0.3">
      <c r="A3470" s="292"/>
      <c r="B3470" s="296"/>
      <c r="C3470" s="294"/>
      <c r="D3470" s="294"/>
      <c r="E3470" s="294"/>
      <c r="F3470" s="310"/>
      <c r="G3470" s="310"/>
      <c r="H3470" s="310"/>
      <c r="I3470" s="295"/>
      <c r="J3470" s="295"/>
      <c r="K3470" s="300">
        <f t="shared" si="429"/>
        <v>1.1000000000000001</v>
      </c>
      <c r="L3470" s="300">
        <f t="shared" si="447"/>
        <v>0</v>
      </c>
      <c r="M3470" s="285">
        <f t="shared" si="446"/>
        <v>0</v>
      </c>
      <c r="N3470" s="1076"/>
      <c r="O3470" s="294"/>
      <c r="P3470" s="404"/>
      <c r="Q3470" s="404"/>
    </row>
    <row r="3471" spans="1:19" ht="14.4" thickTop="1" thickBot="1" x14ac:dyDescent="0.3">
      <c r="A3471" s="292"/>
      <c r="B3471" s="296" t="s">
        <v>710</v>
      </c>
      <c r="C3471" s="294"/>
      <c r="D3471" s="294"/>
      <c r="E3471" s="294"/>
      <c r="F3471" s="310"/>
      <c r="G3471" s="310"/>
      <c r="H3471" s="310"/>
      <c r="I3471" s="295"/>
      <c r="J3471" s="295"/>
      <c r="K3471" s="300">
        <f t="shared" si="429"/>
        <v>1.1000000000000001</v>
      </c>
      <c r="L3471" s="300">
        <f t="shared" si="447"/>
        <v>0</v>
      </c>
      <c r="M3471" s="285">
        <f t="shared" si="446"/>
        <v>0</v>
      </c>
      <c r="N3471" s="1076"/>
      <c r="O3471" s="294"/>
      <c r="P3471" s="404"/>
      <c r="Q3471" s="404"/>
    </row>
    <row r="3472" spans="1:19" ht="14.4" thickTop="1" thickBot="1" x14ac:dyDescent="0.3">
      <c r="A3472" s="292"/>
      <c r="B3472" s="296"/>
      <c r="C3472" s="294"/>
      <c r="D3472" s="294"/>
      <c r="E3472" s="294"/>
      <c r="F3472" s="310"/>
      <c r="G3472" s="310"/>
      <c r="H3472" s="310"/>
      <c r="I3472" s="295"/>
      <c r="J3472" s="295"/>
      <c r="K3472" s="300">
        <f t="shared" si="429"/>
        <v>1.1000000000000001</v>
      </c>
      <c r="L3472" s="300">
        <f t="shared" si="447"/>
        <v>0</v>
      </c>
      <c r="M3472" s="285">
        <f t="shared" si="446"/>
        <v>0</v>
      </c>
      <c r="N3472" s="1076"/>
      <c r="O3472" s="294"/>
      <c r="P3472" s="404"/>
      <c r="Q3472" s="404"/>
    </row>
    <row r="3473" spans="1:17" ht="14.4" thickTop="1" thickBot="1" x14ac:dyDescent="0.3">
      <c r="A3473" s="292"/>
      <c r="B3473" s="296" t="s">
        <v>711</v>
      </c>
      <c r="C3473" s="294"/>
      <c r="D3473" s="294"/>
      <c r="E3473" s="294"/>
      <c r="F3473" s="310"/>
      <c r="G3473" s="310"/>
      <c r="H3473" s="310"/>
      <c r="I3473" s="295"/>
      <c r="J3473" s="295"/>
      <c r="K3473" s="300">
        <f t="shared" si="429"/>
        <v>1.1000000000000001</v>
      </c>
      <c r="L3473" s="300">
        <f t="shared" si="447"/>
        <v>0</v>
      </c>
      <c r="M3473" s="285">
        <f t="shared" si="446"/>
        <v>0</v>
      </c>
      <c r="N3473" s="1076"/>
      <c r="O3473" s="294"/>
      <c r="P3473" s="404"/>
      <c r="Q3473" s="404"/>
    </row>
    <row r="3474" spans="1:17" ht="14.4" thickTop="1" thickBot="1" x14ac:dyDescent="0.3">
      <c r="A3474" s="292"/>
      <c r="B3474" s="296"/>
      <c r="C3474" s="294"/>
      <c r="D3474" s="294"/>
      <c r="E3474" s="294"/>
      <c r="F3474" s="310"/>
      <c r="G3474" s="310"/>
      <c r="H3474" s="310"/>
      <c r="I3474" s="295"/>
      <c r="J3474" s="295"/>
      <c r="K3474" s="300">
        <f t="shared" si="429"/>
        <v>1.1000000000000001</v>
      </c>
      <c r="L3474" s="300">
        <f t="shared" si="447"/>
        <v>0</v>
      </c>
      <c r="M3474" s="285">
        <f t="shared" si="446"/>
        <v>0</v>
      </c>
      <c r="N3474" s="1076"/>
      <c r="O3474" s="294"/>
      <c r="P3474" s="404"/>
      <c r="Q3474" s="404"/>
    </row>
    <row r="3475" spans="1:17" ht="14.4" thickTop="1" thickBot="1" x14ac:dyDescent="0.3">
      <c r="A3475" s="292"/>
      <c r="B3475" s="296" t="s">
        <v>712</v>
      </c>
      <c r="C3475" s="294"/>
      <c r="D3475" s="294"/>
      <c r="E3475" s="294"/>
      <c r="F3475" s="310"/>
      <c r="G3475" s="310"/>
      <c r="H3475" s="310"/>
      <c r="I3475" s="295"/>
      <c r="J3475" s="295"/>
      <c r="K3475" s="300">
        <f t="shared" si="429"/>
        <v>1.1000000000000001</v>
      </c>
      <c r="L3475" s="300">
        <f t="shared" si="447"/>
        <v>0</v>
      </c>
      <c r="M3475" s="285">
        <f t="shared" si="446"/>
        <v>0</v>
      </c>
      <c r="N3475" s="1076"/>
      <c r="O3475" s="294"/>
      <c r="P3475" s="404"/>
      <c r="Q3475" s="404"/>
    </row>
    <row r="3476" spans="1:17" ht="14.4" thickTop="1" thickBot="1" x14ac:dyDescent="0.3">
      <c r="A3476" s="292"/>
      <c r="B3476" s="296"/>
      <c r="C3476" s="294"/>
      <c r="D3476" s="294"/>
      <c r="E3476" s="294"/>
      <c r="F3476" s="310"/>
      <c r="G3476" s="310"/>
      <c r="H3476" s="310"/>
      <c r="I3476" s="295"/>
      <c r="J3476" s="295"/>
      <c r="K3476" s="300">
        <f t="shared" si="429"/>
        <v>1.1000000000000001</v>
      </c>
      <c r="L3476" s="300">
        <f t="shared" si="447"/>
        <v>0</v>
      </c>
      <c r="M3476" s="285">
        <f t="shared" si="446"/>
        <v>0</v>
      </c>
      <c r="N3476" s="1076"/>
      <c r="O3476" s="294"/>
      <c r="P3476" s="404"/>
      <c r="Q3476" s="404"/>
    </row>
    <row r="3477" spans="1:17" ht="14.4" thickTop="1" thickBot="1" x14ac:dyDescent="0.3">
      <c r="A3477" s="292"/>
      <c r="B3477" s="296" t="s">
        <v>713</v>
      </c>
      <c r="C3477" s="294"/>
      <c r="D3477" s="294"/>
      <c r="E3477" s="294"/>
      <c r="F3477" s="310"/>
      <c r="G3477" s="310"/>
      <c r="H3477" s="310"/>
      <c r="I3477" s="295"/>
      <c r="J3477" s="295"/>
      <c r="K3477" s="300">
        <f t="shared" si="429"/>
        <v>1.1000000000000001</v>
      </c>
      <c r="L3477" s="300">
        <f t="shared" si="447"/>
        <v>0</v>
      </c>
      <c r="M3477" s="285">
        <f t="shared" si="446"/>
        <v>0</v>
      </c>
      <c r="N3477" s="1076"/>
      <c r="O3477" s="294"/>
      <c r="P3477" s="404"/>
      <c r="Q3477" s="404"/>
    </row>
    <row r="3478" spans="1:17" ht="14.4" thickTop="1" thickBot="1" x14ac:dyDescent="0.3">
      <c r="A3478" s="292"/>
      <c r="B3478" s="296"/>
      <c r="C3478" s="294"/>
      <c r="D3478" s="294"/>
      <c r="E3478" s="294"/>
      <c r="F3478" s="310"/>
      <c r="G3478" s="310"/>
      <c r="H3478" s="310"/>
      <c r="I3478" s="295"/>
      <c r="J3478" s="295"/>
      <c r="K3478" s="300">
        <f t="shared" si="429"/>
        <v>1.1000000000000001</v>
      </c>
      <c r="L3478" s="300">
        <f t="shared" si="447"/>
        <v>0</v>
      </c>
      <c r="M3478" s="285">
        <f t="shared" si="446"/>
        <v>0</v>
      </c>
      <c r="N3478" s="1076"/>
      <c r="O3478" s="294"/>
      <c r="P3478" s="404"/>
      <c r="Q3478" s="404"/>
    </row>
    <row r="3479" spans="1:17" ht="14.4" thickTop="1" thickBot="1" x14ac:dyDescent="0.3">
      <c r="A3479" s="292"/>
      <c r="B3479" s="296" t="s">
        <v>716</v>
      </c>
      <c r="C3479" s="294"/>
      <c r="D3479" s="294"/>
      <c r="E3479" s="294"/>
      <c r="F3479" s="310">
        <v>26.024999999999999</v>
      </c>
      <c r="G3479" s="310">
        <v>10.5</v>
      </c>
      <c r="H3479" s="310">
        <v>7.4999999999999997E-2</v>
      </c>
      <c r="I3479" s="295">
        <f>H3479*G3479*F3479</f>
        <v>20.494687499999998</v>
      </c>
      <c r="J3479" s="295">
        <f>I3479</f>
        <v>20.494687499999998</v>
      </c>
      <c r="K3479" s="300">
        <f t="shared" si="429"/>
        <v>1.1000000000000001</v>
      </c>
      <c r="L3479" s="300">
        <f t="shared" si="447"/>
        <v>22.54415625</v>
      </c>
      <c r="M3479" s="285">
        <f t="shared" si="446"/>
        <v>23</v>
      </c>
      <c r="N3479" s="1076"/>
      <c r="O3479" s="294"/>
      <c r="P3479" s="404"/>
      <c r="Q3479" s="404"/>
    </row>
    <row r="3480" spans="1:17" ht="14.4" thickTop="1" thickBot="1" x14ac:dyDescent="0.3">
      <c r="A3480" s="292"/>
      <c r="B3480" s="296"/>
      <c r="C3480" s="294"/>
      <c r="D3480" s="294"/>
      <c r="E3480" s="294"/>
      <c r="F3480" s="310"/>
      <c r="G3480" s="310"/>
      <c r="H3480" s="310"/>
      <c r="I3480" s="295"/>
      <c r="J3480" s="295">
        <f>J3479/2.83</f>
        <v>7.2419390459363946</v>
      </c>
      <c r="K3480" s="300">
        <v>1.2</v>
      </c>
      <c r="L3480" s="300">
        <f t="shared" si="447"/>
        <v>8.6903268551236739</v>
      </c>
      <c r="M3480" s="285">
        <f t="shared" si="446"/>
        <v>9</v>
      </c>
      <c r="N3480" s="1076"/>
      <c r="O3480" s="294"/>
      <c r="P3480" s="404"/>
      <c r="Q3480" s="404"/>
    </row>
    <row r="3481" spans="1:17" ht="14.4" thickTop="1" thickBot="1" x14ac:dyDescent="0.3">
      <c r="A3481" s="292"/>
      <c r="B3481" s="296"/>
      <c r="C3481" s="294"/>
      <c r="D3481" s="294"/>
      <c r="E3481" s="294"/>
      <c r="F3481" s="310"/>
      <c r="G3481" s="310"/>
      <c r="H3481" s="310"/>
      <c r="I3481" s="295"/>
      <c r="J3481" s="295"/>
      <c r="K3481" s="300">
        <f t="shared" si="429"/>
        <v>1.1000000000000001</v>
      </c>
      <c r="L3481" s="300">
        <f t="shared" si="447"/>
        <v>0</v>
      </c>
      <c r="M3481" s="285">
        <f t="shared" si="446"/>
        <v>0</v>
      </c>
      <c r="N3481" s="1076"/>
      <c r="O3481" s="294"/>
      <c r="P3481" s="404"/>
      <c r="Q3481" s="404"/>
    </row>
    <row r="3482" spans="1:17" ht="14.4" thickTop="1" thickBot="1" x14ac:dyDescent="0.3">
      <c r="A3482" s="292"/>
      <c r="B3482" s="296" t="s">
        <v>717</v>
      </c>
      <c r="C3482" s="294"/>
      <c r="D3482" s="294"/>
      <c r="E3482" s="294"/>
      <c r="F3482" s="310">
        <f>F3479</f>
        <v>26.024999999999999</v>
      </c>
      <c r="G3482" s="310">
        <v>1.7250000000000001</v>
      </c>
      <c r="H3482" s="310">
        <v>0.1</v>
      </c>
      <c r="I3482" s="295">
        <f>H3482*G3482*F3482</f>
        <v>4.4893125000000005</v>
      </c>
      <c r="J3482" s="295">
        <f>I3482</f>
        <v>4.4893125000000005</v>
      </c>
      <c r="K3482" s="300">
        <f t="shared" si="429"/>
        <v>1.1000000000000001</v>
      </c>
      <c r="L3482" s="300">
        <f t="shared" si="447"/>
        <v>4.9382437500000007</v>
      </c>
      <c r="M3482" s="285">
        <f t="shared" si="446"/>
        <v>5</v>
      </c>
      <c r="N3482" s="1076"/>
      <c r="O3482" s="294"/>
      <c r="P3482" s="404"/>
      <c r="Q3482" s="404"/>
    </row>
    <row r="3483" spans="1:17" ht="14.4" thickTop="1" thickBot="1" x14ac:dyDescent="0.3">
      <c r="A3483" s="292"/>
      <c r="B3483" s="296"/>
      <c r="C3483" s="294"/>
      <c r="D3483" s="294"/>
      <c r="E3483" s="294"/>
      <c r="F3483" s="310"/>
      <c r="G3483" s="310"/>
      <c r="H3483" s="310"/>
      <c r="I3483" s="295"/>
      <c r="J3483" s="295">
        <f>J3482/2.83</f>
        <v>1.5863295053003534</v>
      </c>
      <c r="K3483" s="300">
        <f t="shared" si="429"/>
        <v>1.1000000000000001</v>
      </c>
      <c r="L3483" s="300">
        <f t="shared" si="447"/>
        <v>1.7449624558303889</v>
      </c>
      <c r="M3483" s="285">
        <f t="shared" si="446"/>
        <v>2</v>
      </c>
      <c r="N3483" s="1076"/>
      <c r="O3483" s="294"/>
      <c r="P3483" s="404"/>
      <c r="Q3483" s="404"/>
    </row>
    <row r="3484" spans="1:17" ht="14.4" thickTop="1" thickBot="1" x14ac:dyDescent="0.3">
      <c r="A3484" s="292"/>
      <c r="B3484" s="296"/>
      <c r="C3484" s="294"/>
      <c r="D3484" s="294"/>
      <c r="E3484" s="294"/>
      <c r="F3484" s="310"/>
      <c r="G3484" s="310"/>
      <c r="H3484" s="310"/>
      <c r="I3484" s="295"/>
      <c r="J3484" s="295"/>
      <c r="K3484" s="300">
        <f t="shared" si="429"/>
        <v>1.1000000000000001</v>
      </c>
      <c r="L3484" s="300">
        <f t="shared" si="447"/>
        <v>0</v>
      </c>
      <c r="M3484" s="285">
        <f t="shared" si="446"/>
        <v>0</v>
      </c>
      <c r="N3484" s="1076"/>
      <c r="O3484" s="294"/>
      <c r="P3484" s="404"/>
      <c r="Q3484" s="404"/>
    </row>
    <row r="3485" spans="1:17" ht="14.4" thickTop="1" thickBot="1" x14ac:dyDescent="0.3">
      <c r="A3485" s="292"/>
      <c r="B3485" s="296" t="s">
        <v>718</v>
      </c>
      <c r="C3485" s="294"/>
      <c r="D3485" s="294"/>
      <c r="E3485" s="294"/>
      <c r="F3485" s="310">
        <v>4.6879999999999997</v>
      </c>
      <c r="G3485" s="310">
        <v>5.6109999999999998</v>
      </c>
      <c r="H3485" s="310">
        <v>0.1</v>
      </c>
      <c r="I3485" s="295">
        <f>H3485*G3485*F3485</f>
        <v>2.6304368</v>
      </c>
      <c r="J3485" s="295">
        <f>I3485</f>
        <v>2.6304368</v>
      </c>
      <c r="K3485" s="300">
        <f t="shared" si="429"/>
        <v>1.1000000000000001</v>
      </c>
      <c r="L3485" s="300">
        <f t="shared" si="447"/>
        <v>2.8934804800000005</v>
      </c>
      <c r="M3485" s="285">
        <f t="shared" si="446"/>
        <v>3</v>
      </c>
      <c r="N3485" s="1076"/>
      <c r="O3485" s="294"/>
      <c r="P3485" s="404"/>
      <c r="Q3485" s="404"/>
    </row>
    <row r="3486" spans="1:17" ht="14.4" thickTop="1" thickBot="1" x14ac:dyDescent="0.3">
      <c r="A3486" s="292"/>
      <c r="B3486" s="296"/>
      <c r="C3486" s="294"/>
      <c r="D3486" s="294"/>
      <c r="E3486" s="294"/>
      <c r="F3486" s="310"/>
      <c r="G3486" s="310"/>
      <c r="H3486" s="310"/>
      <c r="I3486" s="295"/>
      <c r="J3486" s="295">
        <f>J3485/2.83</f>
        <v>0.92948296819787979</v>
      </c>
      <c r="K3486" s="300">
        <f t="shared" si="429"/>
        <v>1.1000000000000001</v>
      </c>
      <c r="L3486" s="300">
        <f t="shared" si="447"/>
        <v>1.0224312650176679</v>
      </c>
      <c r="M3486" s="285">
        <f t="shared" si="446"/>
        <v>1</v>
      </c>
      <c r="N3486" s="1076"/>
      <c r="O3486" s="294"/>
      <c r="P3486" s="404"/>
      <c r="Q3486" s="404"/>
    </row>
    <row r="3487" spans="1:17" ht="14.4" thickTop="1" thickBot="1" x14ac:dyDescent="0.3">
      <c r="A3487" s="292"/>
      <c r="B3487" s="296"/>
      <c r="C3487" s="294"/>
      <c r="D3487" s="294"/>
      <c r="E3487" s="294"/>
      <c r="F3487" s="310"/>
      <c r="G3487" s="310"/>
      <c r="H3487" s="310"/>
      <c r="I3487" s="295"/>
      <c r="J3487" s="295"/>
      <c r="K3487" s="300">
        <f t="shared" si="429"/>
        <v>1.1000000000000001</v>
      </c>
      <c r="L3487" s="300">
        <f t="shared" si="447"/>
        <v>0</v>
      </c>
      <c r="M3487" s="285">
        <f t="shared" si="446"/>
        <v>0</v>
      </c>
      <c r="N3487" s="1076"/>
      <c r="O3487" s="294"/>
      <c r="P3487" s="404"/>
      <c r="Q3487" s="404"/>
    </row>
    <row r="3488" spans="1:17" ht="14.4" thickTop="1" thickBot="1" x14ac:dyDescent="0.3">
      <c r="A3488" s="292"/>
      <c r="B3488" s="296" t="s">
        <v>723</v>
      </c>
      <c r="C3488" s="294"/>
      <c r="D3488" s="294"/>
      <c r="E3488" s="294"/>
      <c r="F3488" s="310">
        <v>2.4500000000000002</v>
      </c>
      <c r="G3488" s="310">
        <v>2.4500000000000002</v>
      </c>
      <c r="H3488" s="310">
        <v>0.1</v>
      </c>
      <c r="I3488" s="295">
        <f>H3488*G3488*F3488</f>
        <v>0.60025000000000006</v>
      </c>
      <c r="J3488" s="295">
        <f>I3488</f>
        <v>0.60025000000000006</v>
      </c>
      <c r="K3488" s="300">
        <f t="shared" ref="K3488:K3708" si="450">$K$2</f>
        <v>1.1000000000000001</v>
      </c>
      <c r="L3488" s="300">
        <f t="shared" si="447"/>
        <v>0.66027500000000017</v>
      </c>
      <c r="M3488" s="285">
        <f t="shared" si="446"/>
        <v>1</v>
      </c>
      <c r="N3488" s="1076"/>
      <c r="O3488" s="294"/>
      <c r="P3488" s="404"/>
      <c r="Q3488" s="404"/>
    </row>
    <row r="3489" spans="1:17" ht="14.4" thickTop="1" thickBot="1" x14ac:dyDescent="0.3">
      <c r="A3489" s="292"/>
      <c r="B3489" s="296"/>
      <c r="C3489" s="294"/>
      <c r="D3489" s="294"/>
      <c r="E3489" s="294"/>
      <c r="F3489" s="310"/>
      <c r="G3489" s="310"/>
      <c r="H3489" s="310"/>
      <c r="I3489" s="295"/>
      <c r="J3489" s="295">
        <f>J3488/2.83</f>
        <v>0.21210247349823322</v>
      </c>
      <c r="K3489" s="300">
        <f t="shared" si="450"/>
        <v>1.1000000000000001</v>
      </c>
      <c r="L3489" s="300">
        <f t="shared" si="447"/>
        <v>0.23331272084805657</v>
      </c>
      <c r="M3489" s="285">
        <f t="shared" si="446"/>
        <v>0</v>
      </c>
      <c r="N3489" s="1076"/>
      <c r="O3489" s="294"/>
      <c r="P3489" s="404"/>
      <c r="Q3489" s="404"/>
    </row>
    <row r="3490" spans="1:17" ht="14.4" thickTop="1" thickBot="1" x14ac:dyDescent="0.3">
      <c r="A3490" s="292"/>
      <c r="B3490" s="296"/>
      <c r="C3490" s="294"/>
      <c r="D3490" s="294"/>
      <c r="E3490" s="294"/>
      <c r="F3490" s="310"/>
      <c r="G3490" s="310"/>
      <c r="H3490" s="310"/>
      <c r="I3490" s="295"/>
      <c r="J3490" s="295"/>
      <c r="K3490" s="300">
        <f t="shared" si="450"/>
        <v>1.1000000000000001</v>
      </c>
      <c r="L3490" s="300">
        <f t="shared" si="447"/>
        <v>0</v>
      </c>
      <c r="M3490" s="285">
        <f t="shared" si="446"/>
        <v>0</v>
      </c>
      <c r="N3490" s="1076"/>
      <c r="O3490" s="294"/>
      <c r="P3490" s="404"/>
      <c r="Q3490" s="404"/>
    </row>
    <row r="3491" spans="1:17" ht="14.4" thickTop="1" thickBot="1" x14ac:dyDescent="0.3">
      <c r="A3491" s="292"/>
      <c r="B3491" s="296"/>
      <c r="C3491" s="294"/>
      <c r="D3491" s="294"/>
      <c r="E3491" s="294"/>
      <c r="F3491" s="310"/>
      <c r="G3491" s="310"/>
      <c r="H3491" s="310"/>
      <c r="I3491" s="295"/>
      <c r="J3491" s="295"/>
      <c r="K3491" s="300">
        <f t="shared" si="450"/>
        <v>1.1000000000000001</v>
      </c>
      <c r="L3491" s="300">
        <f t="shared" si="447"/>
        <v>0</v>
      </c>
      <c r="M3491" s="285">
        <f t="shared" si="446"/>
        <v>0</v>
      </c>
      <c r="N3491" s="1076"/>
      <c r="O3491" s="294"/>
      <c r="P3491" s="404"/>
      <c r="Q3491" s="404"/>
    </row>
    <row r="3492" spans="1:17" ht="14.4" thickTop="1" thickBot="1" x14ac:dyDescent="0.3">
      <c r="A3492" s="292"/>
      <c r="B3492" s="302" t="s">
        <v>47</v>
      </c>
      <c r="C3492" s="294"/>
      <c r="D3492" s="294"/>
      <c r="E3492" s="294"/>
      <c r="F3492" s="310"/>
      <c r="G3492" s="310"/>
      <c r="H3492" s="310"/>
      <c r="I3492" s="295"/>
      <c r="J3492" s="295"/>
      <c r="K3492" s="300">
        <f t="shared" si="450"/>
        <v>1.1000000000000001</v>
      </c>
      <c r="L3492" s="300">
        <f t="shared" si="447"/>
        <v>0</v>
      </c>
      <c r="M3492" s="285">
        <f t="shared" si="446"/>
        <v>0</v>
      </c>
      <c r="N3492" s="1076"/>
      <c r="O3492" s="294"/>
      <c r="P3492" s="404"/>
      <c r="Q3492" s="404"/>
    </row>
    <row r="3493" spans="1:17" ht="14.4" thickTop="1" thickBot="1" x14ac:dyDescent="0.3">
      <c r="A3493" s="292"/>
      <c r="B3493" s="296"/>
      <c r="C3493" s="294"/>
      <c r="D3493" s="294"/>
      <c r="E3493" s="294"/>
      <c r="F3493" s="310"/>
      <c r="G3493" s="310"/>
      <c r="H3493" s="310"/>
      <c r="I3493" s="295"/>
      <c r="J3493" s="295"/>
      <c r="K3493" s="300">
        <f t="shared" si="450"/>
        <v>1.1000000000000001</v>
      </c>
      <c r="L3493" s="300">
        <f t="shared" si="447"/>
        <v>0</v>
      </c>
      <c r="M3493" s="285">
        <f t="shared" si="446"/>
        <v>0</v>
      </c>
      <c r="N3493" s="1076"/>
      <c r="O3493" s="294"/>
      <c r="P3493" s="404"/>
      <c r="Q3493" s="404"/>
    </row>
    <row r="3494" spans="1:17" ht="14.4" thickTop="1" thickBot="1" x14ac:dyDescent="0.3">
      <c r="A3494" s="292"/>
      <c r="B3494" s="296" t="s">
        <v>1082</v>
      </c>
      <c r="C3494" s="294"/>
      <c r="D3494" s="294"/>
      <c r="E3494" s="294"/>
      <c r="F3494" s="310"/>
      <c r="G3494" s="310"/>
      <c r="H3494" s="310"/>
      <c r="I3494" s="295"/>
      <c r="J3494" s="295"/>
      <c r="K3494" s="300">
        <f t="shared" si="450"/>
        <v>1.1000000000000001</v>
      </c>
      <c r="L3494" s="300">
        <f t="shared" si="447"/>
        <v>0</v>
      </c>
      <c r="M3494" s="285">
        <f t="shared" si="446"/>
        <v>0</v>
      </c>
      <c r="N3494" s="1076"/>
      <c r="O3494" s="294"/>
      <c r="P3494" s="404"/>
      <c r="Q3494" s="404"/>
    </row>
    <row r="3495" spans="1:17" ht="14.4" thickTop="1" thickBot="1" x14ac:dyDescent="0.3">
      <c r="A3495" s="292"/>
      <c r="B3495" s="296" t="s">
        <v>1627</v>
      </c>
      <c r="C3495" s="294"/>
      <c r="D3495" s="294"/>
      <c r="E3495" s="294">
        <v>32</v>
      </c>
      <c r="F3495" s="310">
        <v>0.3</v>
      </c>
      <c r="G3495" s="310">
        <v>0.3</v>
      </c>
      <c r="H3495" s="310">
        <v>1</v>
      </c>
      <c r="I3495" s="295">
        <f>H3495*G3495*F3495*E3495</f>
        <v>2.88</v>
      </c>
      <c r="J3495" s="295"/>
      <c r="K3495" s="300">
        <f t="shared" si="450"/>
        <v>1.1000000000000001</v>
      </c>
      <c r="L3495" s="300">
        <f t="shared" si="447"/>
        <v>0</v>
      </c>
      <c r="M3495" s="285">
        <f t="shared" si="446"/>
        <v>0</v>
      </c>
      <c r="N3495" s="1076"/>
      <c r="O3495" s="294"/>
      <c r="P3495" s="404"/>
      <c r="Q3495" s="404"/>
    </row>
    <row r="3496" spans="1:17" ht="14.4" thickTop="1" thickBot="1" x14ac:dyDescent="0.3">
      <c r="A3496" s="292"/>
      <c r="B3496" s="296" t="s">
        <v>1628</v>
      </c>
      <c r="C3496" s="294"/>
      <c r="D3496" s="294"/>
      <c r="E3496" s="294">
        <v>4</v>
      </c>
      <c r="F3496" s="310">
        <v>0.22500000000000001</v>
      </c>
      <c r="G3496" s="310">
        <v>0.22500000000000001</v>
      </c>
      <c r="H3496" s="310">
        <v>1</v>
      </c>
      <c r="I3496" s="295">
        <f>H3496*G3496*F3496*E3496</f>
        <v>0.20250000000000001</v>
      </c>
      <c r="J3496" s="295">
        <f>SUM(I3495:I3496)</f>
        <v>3.0825</v>
      </c>
      <c r="K3496" s="300">
        <f t="shared" si="450"/>
        <v>1.1000000000000001</v>
      </c>
      <c r="L3496" s="300">
        <f t="shared" si="447"/>
        <v>3.3907500000000002</v>
      </c>
      <c r="M3496" s="285">
        <f t="shared" si="446"/>
        <v>3</v>
      </c>
      <c r="N3496" s="1076"/>
      <c r="O3496" s="294"/>
      <c r="P3496" s="404"/>
      <c r="Q3496" s="404"/>
    </row>
    <row r="3497" spans="1:17" ht="14.4" thickTop="1" thickBot="1" x14ac:dyDescent="0.3">
      <c r="A3497" s="292"/>
      <c r="B3497" s="296"/>
      <c r="C3497" s="294"/>
      <c r="D3497" s="294"/>
      <c r="E3497" s="294"/>
      <c r="F3497" s="310"/>
      <c r="G3497" s="310"/>
      <c r="H3497" s="310"/>
      <c r="I3497" s="295"/>
      <c r="J3497" s="295">
        <f>J3496/2.83</f>
        <v>1.0892226148409894</v>
      </c>
      <c r="K3497" s="300">
        <v>1.5</v>
      </c>
      <c r="L3497" s="300">
        <f t="shared" si="447"/>
        <v>1.6338339222614842</v>
      </c>
      <c r="M3497" s="285">
        <f t="shared" si="446"/>
        <v>2</v>
      </c>
      <c r="N3497" s="1076"/>
      <c r="O3497" s="294"/>
      <c r="P3497" s="404"/>
      <c r="Q3497" s="404"/>
    </row>
    <row r="3498" spans="1:17" ht="14.4" thickTop="1" thickBot="1" x14ac:dyDescent="0.3">
      <c r="A3498" s="292"/>
      <c r="B3498" s="296"/>
      <c r="C3498" s="294"/>
      <c r="D3498" s="294"/>
      <c r="E3498" s="294"/>
      <c r="F3498" s="310"/>
      <c r="G3498" s="310"/>
      <c r="H3498" s="310"/>
      <c r="I3498" s="295"/>
      <c r="J3498" s="295"/>
      <c r="K3498" s="300">
        <f t="shared" si="450"/>
        <v>1.1000000000000001</v>
      </c>
      <c r="L3498" s="300">
        <f t="shared" si="447"/>
        <v>0</v>
      </c>
      <c r="M3498" s="285">
        <f t="shared" si="446"/>
        <v>0</v>
      </c>
      <c r="N3498" s="1076"/>
      <c r="O3498" s="294"/>
      <c r="P3498" s="404"/>
      <c r="Q3498" s="404"/>
    </row>
    <row r="3499" spans="1:17" ht="14.4" thickTop="1" thickBot="1" x14ac:dyDescent="0.3">
      <c r="A3499" s="292"/>
      <c r="B3499" s="296"/>
      <c r="C3499" s="294"/>
      <c r="D3499" s="294"/>
      <c r="E3499" s="294"/>
      <c r="F3499" s="310"/>
      <c r="G3499" s="310"/>
      <c r="H3499" s="310"/>
      <c r="I3499" s="295"/>
      <c r="J3499" s="295"/>
      <c r="K3499" s="300">
        <f t="shared" si="450"/>
        <v>1.1000000000000001</v>
      </c>
      <c r="L3499" s="300">
        <f t="shared" si="447"/>
        <v>0</v>
      </c>
      <c r="M3499" s="285">
        <f t="shared" si="446"/>
        <v>0</v>
      </c>
      <c r="N3499" s="1076"/>
      <c r="O3499" s="294"/>
      <c r="P3499" s="404"/>
      <c r="Q3499" s="404"/>
    </row>
    <row r="3500" spans="1:17" ht="14.4" thickTop="1" thickBot="1" x14ac:dyDescent="0.3">
      <c r="A3500" s="292"/>
      <c r="B3500" s="296"/>
      <c r="C3500" s="294"/>
      <c r="D3500" s="294"/>
      <c r="E3500" s="294"/>
      <c r="F3500" s="310"/>
      <c r="G3500" s="310"/>
      <c r="H3500" s="310"/>
      <c r="I3500" s="295"/>
      <c r="J3500" s="295"/>
      <c r="K3500" s="300"/>
      <c r="L3500" s="300"/>
      <c r="M3500" s="285"/>
      <c r="N3500" s="1076"/>
      <c r="O3500" s="294"/>
      <c r="P3500" s="404"/>
      <c r="Q3500" s="404"/>
    </row>
    <row r="3501" spans="1:17" ht="14.4" thickTop="1" thickBot="1" x14ac:dyDescent="0.3">
      <c r="A3501" s="292"/>
      <c r="B3501" s="296"/>
      <c r="C3501" s="294"/>
      <c r="D3501" s="294"/>
      <c r="E3501" s="294"/>
      <c r="F3501" s="310"/>
      <c r="G3501" s="310"/>
      <c r="H3501" s="310"/>
      <c r="I3501" s="295"/>
      <c r="J3501" s="295"/>
      <c r="K3501" s="300"/>
      <c r="L3501" s="300"/>
      <c r="M3501" s="285"/>
      <c r="N3501" s="1076"/>
      <c r="O3501" s="294"/>
      <c r="P3501" s="404"/>
      <c r="Q3501" s="404"/>
    </row>
    <row r="3502" spans="1:17" ht="14.4" thickTop="1" thickBot="1" x14ac:dyDescent="0.3">
      <c r="A3502" s="292"/>
      <c r="B3502" s="296"/>
      <c r="C3502" s="294"/>
      <c r="D3502" s="294"/>
      <c r="E3502" s="294"/>
      <c r="F3502" s="310"/>
      <c r="G3502" s="310"/>
      <c r="H3502" s="310"/>
      <c r="I3502" s="295"/>
      <c r="J3502" s="295"/>
      <c r="K3502" s="300"/>
      <c r="L3502" s="300"/>
      <c r="M3502" s="285"/>
      <c r="N3502" s="1076"/>
      <c r="O3502" s="294"/>
      <c r="P3502" s="404"/>
      <c r="Q3502" s="404"/>
    </row>
    <row r="3503" spans="1:17" ht="14.4" thickTop="1" thickBot="1" x14ac:dyDescent="0.3">
      <c r="A3503" s="292"/>
      <c r="B3503" s="296"/>
      <c r="C3503" s="294"/>
      <c r="D3503" s="294"/>
      <c r="E3503" s="294"/>
      <c r="F3503" s="310"/>
      <c r="G3503" s="310"/>
      <c r="H3503" s="310"/>
      <c r="I3503" s="295"/>
      <c r="J3503" s="295"/>
      <c r="K3503" s="300"/>
      <c r="L3503" s="300"/>
      <c r="M3503" s="285"/>
      <c r="N3503" s="1076"/>
      <c r="O3503" s="294"/>
      <c r="P3503" s="404"/>
      <c r="Q3503" s="404"/>
    </row>
    <row r="3504" spans="1:17" ht="14.4" thickTop="1" thickBot="1" x14ac:dyDescent="0.3">
      <c r="A3504" s="292"/>
      <c r="B3504" s="296"/>
      <c r="C3504" s="294"/>
      <c r="D3504" s="294"/>
      <c r="E3504" s="294"/>
      <c r="F3504" s="310"/>
      <c r="G3504" s="310"/>
      <c r="H3504" s="310"/>
      <c r="I3504" s="295"/>
      <c r="J3504" s="295"/>
      <c r="K3504" s="300"/>
      <c r="L3504" s="300"/>
      <c r="M3504" s="285"/>
      <c r="N3504" s="1076"/>
      <c r="O3504" s="294"/>
      <c r="P3504" s="404"/>
      <c r="Q3504" s="404"/>
    </row>
    <row r="3505" spans="1:17" ht="14.4" thickTop="1" thickBot="1" x14ac:dyDescent="0.3">
      <c r="A3505" s="292"/>
      <c r="B3505" s="296"/>
      <c r="C3505" s="294"/>
      <c r="D3505" s="294"/>
      <c r="E3505" s="294"/>
      <c r="F3505" s="310"/>
      <c r="G3505" s="310"/>
      <c r="H3505" s="310"/>
      <c r="I3505" s="295"/>
      <c r="J3505" s="295"/>
      <c r="K3505" s="300"/>
      <c r="L3505" s="300"/>
      <c r="M3505" s="285"/>
      <c r="N3505" s="1076"/>
      <c r="O3505" s="294"/>
      <c r="P3505" s="404"/>
      <c r="Q3505" s="404"/>
    </row>
    <row r="3506" spans="1:17" ht="14.4" thickTop="1" thickBot="1" x14ac:dyDescent="0.3">
      <c r="A3506" s="292"/>
      <c r="B3506" s="764" t="s">
        <v>1036</v>
      </c>
      <c r="C3506" s="294"/>
      <c r="D3506" s="294"/>
      <c r="E3506" s="294"/>
      <c r="F3506" s="310"/>
      <c r="G3506" s="310"/>
      <c r="H3506" s="310"/>
      <c r="I3506" s="295"/>
      <c r="J3506" s="295"/>
      <c r="K3506" s="300">
        <f t="shared" si="450"/>
        <v>1.1000000000000001</v>
      </c>
      <c r="L3506" s="300">
        <f t="shared" si="447"/>
        <v>0</v>
      </c>
      <c r="M3506" s="285">
        <f t="shared" si="446"/>
        <v>0</v>
      </c>
      <c r="N3506" s="1076"/>
      <c r="O3506" s="294"/>
      <c r="P3506" s="404"/>
      <c r="Q3506" s="404"/>
    </row>
    <row r="3507" spans="1:17" ht="14.4" thickTop="1" thickBot="1" x14ac:dyDescent="0.3">
      <c r="A3507" s="292"/>
      <c r="B3507" s="294" t="s">
        <v>1622</v>
      </c>
      <c r="C3507" s="294"/>
      <c r="D3507" s="294"/>
      <c r="E3507" s="294">
        <v>10</v>
      </c>
      <c r="F3507" s="310">
        <v>1.8</v>
      </c>
      <c r="G3507" s="310">
        <v>1.8</v>
      </c>
      <c r="H3507" s="310">
        <v>0.3</v>
      </c>
      <c r="I3507" s="295">
        <f>H3507*G3507*F3507*E3507</f>
        <v>9.7200000000000006</v>
      </c>
      <c r="J3507" s="295"/>
      <c r="K3507" s="300">
        <f t="shared" si="450"/>
        <v>1.1000000000000001</v>
      </c>
      <c r="L3507" s="300">
        <f t="shared" si="447"/>
        <v>0</v>
      </c>
      <c r="M3507" s="285">
        <f t="shared" si="446"/>
        <v>0</v>
      </c>
      <c r="N3507" s="1076"/>
      <c r="O3507" s="294"/>
      <c r="P3507" s="404"/>
      <c r="Q3507" s="404"/>
    </row>
    <row r="3508" spans="1:17" ht="14.4" thickTop="1" thickBot="1" x14ac:dyDescent="0.3">
      <c r="A3508" s="292"/>
      <c r="B3508" s="294" t="s">
        <v>1623</v>
      </c>
      <c r="C3508" s="294"/>
      <c r="D3508" s="294"/>
      <c r="E3508" s="294">
        <v>14</v>
      </c>
      <c r="F3508" s="310">
        <v>1.5</v>
      </c>
      <c r="G3508" s="310">
        <v>1.5</v>
      </c>
      <c r="H3508" s="310">
        <v>0.3</v>
      </c>
      <c r="I3508" s="295">
        <f t="shared" ref="I3508:I3510" si="451">H3508*G3508*F3508*E3508</f>
        <v>9.4499999999999993</v>
      </c>
      <c r="J3508" s="295"/>
      <c r="K3508" s="300">
        <f t="shared" si="450"/>
        <v>1.1000000000000001</v>
      </c>
      <c r="L3508" s="300">
        <f t="shared" si="447"/>
        <v>0</v>
      </c>
      <c r="M3508" s="285">
        <f t="shared" si="446"/>
        <v>0</v>
      </c>
      <c r="N3508" s="1076"/>
      <c r="O3508" s="294"/>
      <c r="P3508" s="404"/>
      <c r="Q3508" s="404"/>
    </row>
    <row r="3509" spans="1:17" ht="14.4" thickTop="1" thickBot="1" x14ac:dyDescent="0.3">
      <c r="A3509" s="292"/>
      <c r="B3509" s="294" t="s">
        <v>1624</v>
      </c>
      <c r="C3509" s="294"/>
      <c r="D3509" s="294"/>
      <c r="E3509" s="294">
        <v>4</v>
      </c>
      <c r="F3509" s="310">
        <v>1.2</v>
      </c>
      <c r="G3509" s="310">
        <v>1.2</v>
      </c>
      <c r="H3509" s="310">
        <v>0.25</v>
      </c>
      <c r="I3509" s="295">
        <f t="shared" si="451"/>
        <v>1.44</v>
      </c>
      <c r="J3509" s="295"/>
      <c r="K3509" s="300">
        <f t="shared" si="450"/>
        <v>1.1000000000000001</v>
      </c>
      <c r="L3509" s="300">
        <f t="shared" si="447"/>
        <v>0</v>
      </c>
      <c r="M3509" s="285">
        <f t="shared" ref="M3509:M3774" si="452">ROUND(L3509,0)</f>
        <v>0</v>
      </c>
      <c r="N3509" s="1076"/>
      <c r="O3509" s="294"/>
      <c r="P3509" s="404"/>
      <c r="Q3509" s="404"/>
    </row>
    <row r="3510" spans="1:17" ht="14.4" thickTop="1" thickBot="1" x14ac:dyDescent="0.3">
      <c r="A3510" s="292"/>
      <c r="B3510" s="294" t="s">
        <v>1625</v>
      </c>
      <c r="C3510" s="294"/>
      <c r="D3510" s="294"/>
      <c r="E3510" s="294">
        <v>2</v>
      </c>
      <c r="F3510" s="310">
        <v>1.8</v>
      </c>
      <c r="G3510" s="310">
        <v>2.7</v>
      </c>
      <c r="H3510" s="310">
        <v>0.3</v>
      </c>
      <c r="I3510" s="295">
        <f t="shared" si="451"/>
        <v>2.9160000000000004</v>
      </c>
      <c r="J3510" s="295"/>
      <c r="K3510" s="300">
        <f t="shared" si="450"/>
        <v>1.1000000000000001</v>
      </c>
      <c r="L3510" s="300">
        <f t="shared" si="447"/>
        <v>0</v>
      </c>
      <c r="M3510" s="285">
        <f t="shared" si="452"/>
        <v>0</v>
      </c>
      <c r="N3510" s="1076"/>
      <c r="O3510" s="294"/>
      <c r="P3510" s="404"/>
      <c r="Q3510" s="404"/>
    </row>
    <row r="3511" spans="1:17" ht="14.4" thickTop="1" thickBot="1" x14ac:dyDescent="0.3">
      <c r="A3511" s="292"/>
      <c r="B3511" s="294"/>
      <c r="C3511" s="294"/>
      <c r="D3511" s="294"/>
      <c r="E3511" s="294"/>
      <c r="F3511" s="310"/>
      <c r="G3511" s="310"/>
      <c r="H3511" s="310"/>
      <c r="I3511" s="295"/>
      <c r="J3511" s="295"/>
      <c r="K3511" s="300">
        <f t="shared" si="450"/>
        <v>1.1000000000000001</v>
      </c>
      <c r="L3511" s="300">
        <f t="shared" si="447"/>
        <v>0</v>
      </c>
      <c r="M3511" s="285">
        <f t="shared" si="452"/>
        <v>0</v>
      </c>
      <c r="N3511" s="1076"/>
      <c r="O3511" s="294"/>
      <c r="P3511" s="404"/>
      <c r="Q3511" s="404"/>
    </row>
    <row r="3512" spans="1:17" ht="14.4" thickTop="1" thickBot="1" x14ac:dyDescent="0.3">
      <c r="A3512" s="292"/>
      <c r="B3512" s="294"/>
      <c r="C3512" s="294"/>
      <c r="D3512" s="294"/>
      <c r="E3512" s="294"/>
      <c r="F3512" s="310"/>
      <c r="G3512" s="310"/>
      <c r="H3512" s="310"/>
      <c r="I3512" s="295"/>
      <c r="J3512" s="295">
        <f>SUM(I3507:I3512)</f>
        <v>23.526000000000003</v>
      </c>
      <c r="K3512" s="300">
        <f t="shared" si="450"/>
        <v>1.1000000000000001</v>
      </c>
      <c r="L3512" s="300">
        <f t="shared" si="447"/>
        <v>25.878600000000006</v>
      </c>
      <c r="M3512" s="285">
        <f t="shared" si="452"/>
        <v>26</v>
      </c>
      <c r="N3512" s="1076"/>
      <c r="O3512" s="294"/>
      <c r="P3512" s="413">
        <f>J3512*35.29</f>
        <v>830.23254000000009</v>
      </c>
      <c r="Q3512" s="404"/>
    </row>
    <row r="3513" spans="1:17" ht="14.4" thickTop="1" thickBot="1" x14ac:dyDescent="0.3">
      <c r="A3513" s="292"/>
      <c r="B3513" s="294"/>
      <c r="C3513" s="294"/>
      <c r="D3513" s="294"/>
      <c r="E3513" s="294"/>
      <c r="F3513" s="310"/>
      <c r="G3513" s="310"/>
      <c r="H3513" s="310"/>
      <c r="I3513" s="295"/>
      <c r="J3513" s="295">
        <f>J3512/2.83</f>
        <v>8.3130742049469966</v>
      </c>
      <c r="K3513" s="300">
        <v>1.1000000000000001</v>
      </c>
      <c r="L3513" s="300">
        <f t="shared" si="447"/>
        <v>9.1443816254416976</v>
      </c>
      <c r="M3513" s="285">
        <f t="shared" si="452"/>
        <v>9</v>
      </c>
      <c r="N3513" s="1076"/>
      <c r="O3513" s="294"/>
      <c r="P3513" s="413">
        <f>P3512/100</f>
        <v>8.3023254000000009</v>
      </c>
      <c r="Q3513" s="404"/>
    </row>
    <row r="3514" spans="1:17" ht="14.4" thickTop="1" thickBot="1" x14ac:dyDescent="0.3">
      <c r="A3514" s="292"/>
      <c r="B3514" s="294"/>
      <c r="C3514" s="294"/>
      <c r="D3514" s="294"/>
      <c r="E3514" s="294"/>
      <c r="F3514" s="310"/>
      <c r="G3514" s="310"/>
      <c r="H3514" s="310"/>
      <c r="I3514" s="295"/>
      <c r="J3514" s="295"/>
      <c r="K3514" s="300">
        <f t="shared" si="450"/>
        <v>1.1000000000000001</v>
      </c>
      <c r="L3514" s="300">
        <f t="shared" si="447"/>
        <v>0</v>
      </c>
      <c r="M3514" s="285">
        <f t="shared" si="452"/>
        <v>0</v>
      </c>
      <c r="N3514" s="1076"/>
      <c r="O3514" s="294"/>
      <c r="P3514" s="404"/>
      <c r="Q3514" s="404"/>
    </row>
    <row r="3515" spans="1:17" ht="14.4" thickTop="1" thickBot="1" x14ac:dyDescent="0.3">
      <c r="A3515" s="292"/>
      <c r="B3515" s="294" t="s">
        <v>1083</v>
      </c>
      <c r="C3515" s="294"/>
      <c r="D3515" s="294"/>
      <c r="E3515" s="294"/>
      <c r="F3515" s="310"/>
      <c r="G3515" s="310"/>
      <c r="H3515" s="310"/>
      <c r="I3515" s="295"/>
      <c r="J3515" s="295"/>
      <c r="K3515" s="300">
        <f t="shared" si="450"/>
        <v>1.1000000000000001</v>
      </c>
      <c r="L3515" s="300">
        <f t="shared" ref="L3515:L3553" si="453">K3515*J3515</f>
        <v>0</v>
      </c>
      <c r="M3515" s="285">
        <f t="shared" si="452"/>
        <v>0</v>
      </c>
      <c r="N3515" s="1076"/>
      <c r="O3515" s="294"/>
      <c r="P3515" s="404"/>
      <c r="Q3515" s="404"/>
    </row>
    <row r="3516" spans="1:17" ht="14.4" thickTop="1" thickBot="1" x14ac:dyDescent="0.3">
      <c r="A3516" s="292"/>
      <c r="B3516" s="294" t="s">
        <v>1632</v>
      </c>
      <c r="C3516" s="294"/>
      <c r="D3516" s="294"/>
      <c r="E3516" s="294">
        <v>7</v>
      </c>
      <c r="F3516" s="310">
        <v>12.225</v>
      </c>
      <c r="G3516" s="310">
        <v>0.3</v>
      </c>
      <c r="H3516" s="310">
        <v>0.3</v>
      </c>
      <c r="I3516" s="295">
        <f>H3516*G3516*F3516*E3516</f>
        <v>7.7017499999999997</v>
      </c>
      <c r="J3516" s="295"/>
      <c r="K3516" s="300">
        <f t="shared" si="450"/>
        <v>1.1000000000000001</v>
      </c>
      <c r="L3516" s="300">
        <f t="shared" si="453"/>
        <v>0</v>
      </c>
      <c r="M3516" s="285">
        <f t="shared" si="452"/>
        <v>0</v>
      </c>
      <c r="N3516" s="1076"/>
      <c r="O3516" s="294"/>
      <c r="P3516" s="884">
        <f>F3516*E3516</f>
        <v>85.575000000000003</v>
      </c>
      <c r="Q3516" s="413">
        <f>P3516+P3517+P3518</f>
        <v>178.64999999999998</v>
      </c>
    </row>
    <row r="3517" spans="1:17" ht="14.4" thickTop="1" thickBot="1" x14ac:dyDescent="0.3">
      <c r="A3517" s="292"/>
      <c r="B3517" s="294" t="s">
        <v>1633</v>
      </c>
      <c r="C3517" s="294"/>
      <c r="D3517" s="294"/>
      <c r="E3517" s="294">
        <v>3</v>
      </c>
      <c r="F3517" s="310">
        <v>5</v>
      </c>
      <c r="G3517" s="310">
        <v>0.3</v>
      </c>
      <c r="H3517" s="310">
        <v>0.3</v>
      </c>
      <c r="I3517" s="295">
        <f t="shared" ref="I3517:I3524" si="454">H3517*G3517*F3517*E3517</f>
        <v>1.3499999999999999</v>
      </c>
      <c r="J3517" s="295"/>
      <c r="K3517" s="300">
        <f t="shared" si="450"/>
        <v>1.1000000000000001</v>
      </c>
      <c r="L3517" s="300">
        <f t="shared" si="453"/>
        <v>0</v>
      </c>
      <c r="M3517" s="285">
        <f t="shared" si="452"/>
        <v>0</v>
      </c>
      <c r="N3517" s="1076"/>
      <c r="O3517" s="294"/>
      <c r="P3517" s="884">
        <f t="shared" ref="P3517:P3524" si="455">F3517*E3517</f>
        <v>15</v>
      </c>
      <c r="Q3517" s="404"/>
    </row>
    <row r="3518" spans="1:17" ht="14.4" thickTop="1" thickBot="1" x14ac:dyDescent="0.3">
      <c r="A3518" s="292"/>
      <c r="B3518" s="294" t="s">
        <v>1634</v>
      </c>
      <c r="C3518" s="294"/>
      <c r="D3518" s="294"/>
      <c r="E3518" s="294">
        <v>3</v>
      </c>
      <c r="F3518" s="310">
        <v>26.024999999999999</v>
      </c>
      <c r="G3518" s="310">
        <v>0.3</v>
      </c>
      <c r="H3518" s="310">
        <v>0.3</v>
      </c>
      <c r="I3518" s="295">
        <f t="shared" si="454"/>
        <v>7.0267499999999998</v>
      </c>
      <c r="J3518" s="295"/>
      <c r="K3518" s="300">
        <f t="shared" si="450"/>
        <v>1.1000000000000001</v>
      </c>
      <c r="L3518" s="300"/>
      <c r="M3518" s="285"/>
      <c r="N3518" s="1076"/>
      <c r="O3518" s="294"/>
      <c r="P3518" s="884">
        <f>F3518*E3518</f>
        <v>78.074999999999989</v>
      </c>
      <c r="Q3518" s="404"/>
    </row>
    <row r="3519" spans="1:17" ht="14.4" thickTop="1" thickBot="1" x14ac:dyDescent="0.3">
      <c r="A3519" s="292"/>
      <c r="B3519" s="294" t="s">
        <v>1635</v>
      </c>
      <c r="C3519" s="294"/>
      <c r="D3519" s="294"/>
      <c r="E3519" s="294">
        <v>2</v>
      </c>
      <c r="F3519" s="310">
        <v>4</v>
      </c>
      <c r="G3519" s="310">
        <v>0.22500000000000001</v>
      </c>
      <c r="H3519" s="310">
        <v>0.3</v>
      </c>
      <c r="I3519" s="295">
        <f t="shared" si="454"/>
        <v>0.54</v>
      </c>
      <c r="J3519" s="295"/>
      <c r="K3519" s="300">
        <f t="shared" si="450"/>
        <v>1.1000000000000001</v>
      </c>
      <c r="L3519" s="300"/>
      <c r="M3519" s="285"/>
      <c r="N3519" s="1076"/>
      <c r="O3519" s="294"/>
      <c r="P3519" s="884">
        <f t="shared" si="455"/>
        <v>8</v>
      </c>
      <c r="Q3519" s="413">
        <f>SUM(P3519:P3524)</f>
        <v>47.375</v>
      </c>
    </row>
    <row r="3520" spans="1:17" ht="14.4" thickTop="1" thickBot="1" x14ac:dyDescent="0.3">
      <c r="A3520" s="292"/>
      <c r="B3520" s="294" t="s">
        <v>1636</v>
      </c>
      <c r="C3520" s="294"/>
      <c r="D3520" s="294"/>
      <c r="E3520" s="294">
        <v>3</v>
      </c>
      <c r="F3520" s="310">
        <v>4.75</v>
      </c>
      <c r="G3520" s="310">
        <v>0.22500000000000001</v>
      </c>
      <c r="H3520" s="310">
        <v>0.3</v>
      </c>
      <c r="I3520" s="295">
        <f t="shared" si="454"/>
        <v>0.96187500000000015</v>
      </c>
      <c r="J3520" s="295"/>
      <c r="K3520" s="300">
        <f t="shared" si="450"/>
        <v>1.1000000000000001</v>
      </c>
      <c r="L3520" s="300"/>
      <c r="M3520" s="285"/>
      <c r="N3520" s="1076"/>
      <c r="O3520" s="294"/>
      <c r="P3520" s="884">
        <f t="shared" si="455"/>
        <v>14.25</v>
      </c>
      <c r="Q3520" s="404"/>
    </row>
    <row r="3521" spans="1:17" ht="14.4" thickTop="1" thickBot="1" x14ac:dyDescent="0.3">
      <c r="A3521" s="292"/>
      <c r="B3521" s="294" t="s">
        <v>756</v>
      </c>
      <c r="C3521" s="294"/>
      <c r="D3521" s="294"/>
      <c r="E3521" s="294">
        <v>4</v>
      </c>
      <c r="F3521" s="310">
        <v>2.2250000000000001</v>
      </c>
      <c r="G3521" s="310">
        <v>0.22500000000000001</v>
      </c>
      <c r="H3521" s="310">
        <v>0.3</v>
      </c>
      <c r="I3521" s="295">
        <f t="shared" si="454"/>
        <v>0.60075000000000012</v>
      </c>
      <c r="J3521" s="295"/>
      <c r="K3521" s="300">
        <f t="shared" si="450"/>
        <v>1.1000000000000001</v>
      </c>
      <c r="L3521" s="300"/>
      <c r="M3521" s="285"/>
      <c r="N3521" s="1076"/>
      <c r="O3521" s="294"/>
      <c r="P3521" s="884">
        <f t="shared" si="455"/>
        <v>8.9</v>
      </c>
      <c r="Q3521" s="404"/>
    </row>
    <row r="3522" spans="1:17" ht="14.4" thickTop="1" thickBot="1" x14ac:dyDescent="0.3">
      <c r="A3522" s="292"/>
      <c r="B3522" s="294" t="s">
        <v>1637</v>
      </c>
      <c r="C3522" s="294"/>
      <c r="D3522" s="294"/>
      <c r="E3522" s="294">
        <v>2</v>
      </c>
      <c r="F3522" s="310">
        <v>4.3</v>
      </c>
      <c r="G3522" s="310">
        <v>0.22500000000000001</v>
      </c>
      <c r="H3522" s="310">
        <v>0.3</v>
      </c>
      <c r="I3522" s="295">
        <f t="shared" si="454"/>
        <v>0.58050000000000002</v>
      </c>
      <c r="J3522" s="295"/>
      <c r="K3522" s="300">
        <f t="shared" si="450"/>
        <v>1.1000000000000001</v>
      </c>
      <c r="L3522" s="300"/>
      <c r="M3522" s="285"/>
      <c r="N3522" s="1076"/>
      <c r="O3522" s="294"/>
      <c r="P3522" s="884">
        <f t="shared" si="455"/>
        <v>8.6</v>
      </c>
      <c r="Q3522" s="404"/>
    </row>
    <row r="3523" spans="1:17" ht="14.4" thickTop="1" thickBot="1" x14ac:dyDescent="0.3">
      <c r="A3523" s="292"/>
      <c r="B3523" s="294" t="s">
        <v>1638</v>
      </c>
      <c r="C3523" s="294"/>
      <c r="D3523" s="294"/>
      <c r="E3523" s="294">
        <v>1</v>
      </c>
      <c r="F3523" s="310">
        <v>2.625</v>
      </c>
      <c r="G3523" s="310">
        <v>0.22500000000000001</v>
      </c>
      <c r="H3523" s="310">
        <v>0.3</v>
      </c>
      <c r="I3523" s="295">
        <f t="shared" si="454"/>
        <v>0.1771875</v>
      </c>
      <c r="J3523" s="295"/>
      <c r="K3523" s="300">
        <f t="shared" si="450"/>
        <v>1.1000000000000001</v>
      </c>
      <c r="L3523" s="300">
        <f t="shared" si="453"/>
        <v>0</v>
      </c>
      <c r="M3523" s="285">
        <f t="shared" si="452"/>
        <v>0</v>
      </c>
      <c r="N3523" s="1076"/>
      <c r="O3523" s="294"/>
      <c r="P3523" s="884">
        <f t="shared" si="455"/>
        <v>2.625</v>
      </c>
      <c r="Q3523" s="404"/>
    </row>
    <row r="3524" spans="1:17" ht="14.4" thickTop="1" thickBot="1" x14ac:dyDescent="0.3">
      <c r="A3524" s="292"/>
      <c r="B3524" s="294" t="s">
        <v>1639</v>
      </c>
      <c r="C3524" s="294"/>
      <c r="D3524" s="294"/>
      <c r="E3524" s="294">
        <v>1</v>
      </c>
      <c r="F3524" s="310">
        <v>5</v>
      </c>
      <c r="G3524" s="310">
        <v>0.22500000000000001</v>
      </c>
      <c r="H3524" s="310">
        <v>0.3</v>
      </c>
      <c r="I3524" s="295">
        <f t="shared" si="454"/>
        <v>0.33750000000000002</v>
      </c>
      <c r="J3524" s="295"/>
      <c r="K3524" s="300">
        <f t="shared" si="450"/>
        <v>1.1000000000000001</v>
      </c>
      <c r="L3524" s="300">
        <f t="shared" si="453"/>
        <v>0</v>
      </c>
      <c r="M3524" s="285">
        <f t="shared" si="452"/>
        <v>0</v>
      </c>
      <c r="N3524" s="1076"/>
      <c r="O3524" s="294"/>
      <c r="P3524" s="884">
        <f t="shared" si="455"/>
        <v>5</v>
      </c>
      <c r="Q3524" s="404"/>
    </row>
    <row r="3525" spans="1:17" ht="14.4" thickTop="1" thickBot="1" x14ac:dyDescent="0.3">
      <c r="A3525" s="292"/>
      <c r="B3525" s="294"/>
      <c r="C3525" s="294"/>
      <c r="D3525" s="294"/>
      <c r="E3525" s="294"/>
      <c r="F3525" s="310"/>
      <c r="G3525" s="310"/>
      <c r="H3525" s="310"/>
      <c r="I3525" s="295"/>
      <c r="J3525" s="295">
        <f>SUM(I3516:I3525)</f>
        <v>19.276312499999996</v>
      </c>
      <c r="K3525" s="300">
        <f t="shared" si="450"/>
        <v>1.1000000000000001</v>
      </c>
      <c r="L3525" s="300">
        <f t="shared" si="453"/>
        <v>21.203943749999997</v>
      </c>
      <c r="M3525" s="285">
        <f t="shared" si="452"/>
        <v>21</v>
      </c>
      <c r="N3525" s="1076"/>
      <c r="O3525" s="294"/>
      <c r="P3525" s="404"/>
      <c r="Q3525" s="404"/>
    </row>
    <row r="3526" spans="1:17" ht="14.4" thickTop="1" thickBot="1" x14ac:dyDescent="0.3">
      <c r="A3526" s="292"/>
      <c r="B3526" s="296"/>
      <c r="C3526" s="294"/>
      <c r="D3526" s="294"/>
      <c r="E3526" s="294"/>
      <c r="F3526" s="310"/>
      <c r="G3526" s="310"/>
      <c r="H3526" s="310"/>
      <c r="I3526" s="295"/>
      <c r="J3526" s="295">
        <f>J3525/2.83</f>
        <v>6.8114178445229667</v>
      </c>
      <c r="K3526" s="300">
        <v>1.1000000000000001</v>
      </c>
      <c r="L3526" s="300">
        <f>K3526*J3526</f>
        <v>7.4925596289752638</v>
      </c>
      <c r="M3526" s="285">
        <f>ROUND(L3526,0)</f>
        <v>7</v>
      </c>
      <c r="N3526" s="1076"/>
      <c r="O3526" s="294"/>
      <c r="P3526" s="404"/>
      <c r="Q3526" s="404"/>
    </row>
    <row r="3527" spans="1:17" ht="14.4" thickTop="1" thickBot="1" x14ac:dyDescent="0.3">
      <c r="A3527" s="292"/>
      <c r="B3527" s="294" t="s">
        <v>1087</v>
      </c>
      <c r="C3527" s="294"/>
      <c r="D3527" s="294"/>
      <c r="E3527" s="294"/>
      <c r="F3527" s="310"/>
      <c r="G3527" s="310"/>
      <c r="H3527" s="310"/>
      <c r="I3527" s="295"/>
      <c r="J3527" s="295"/>
      <c r="K3527" s="300">
        <f t="shared" si="450"/>
        <v>1.1000000000000001</v>
      </c>
      <c r="L3527" s="300">
        <f t="shared" si="453"/>
        <v>0</v>
      </c>
      <c r="M3527" s="285">
        <f t="shared" si="452"/>
        <v>0</v>
      </c>
      <c r="N3527" s="1076"/>
      <c r="O3527" s="294"/>
      <c r="P3527" s="404"/>
      <c r="Q3527" s="404"/>
    </row>
    <row r="3528" spans="1:17" ht="14.4" thickTop="1" thickBot="1" x14ac:dyDescent="0.3">
      <c r="A3528" s="292"/>
      <c r="B3528" s="294" t="s">
        <v>700</v>
      </c>
      <c r="C3528" s="294"/>
      <c r="D3528" s="294">
        <v>2</v>
      </c>
      <c r="E3528" s="294">
        <v>2</v>
      </c>
      <c r="F3528" s="310">
        <v>12.225</v>
      </c>
      <c r="G3528" s="310"/>
      <c r="H3528" s="310">
        <v>0.3</v>
      </c>
      <c r="I3528" s="295">
        <f>H3528*F3528*E3528*D3528</f>
        <v>14.669999999999998</v>
      </c>
      <c r="J3528" s="295"/>
      <c r="K3528" s="300">
        <f t="shared" si="450"/>
        <v>1.1000000000000001</v>
      </c>
      <c r="L3528" s="300">
        <f t="shared" si="453"/>
        <v>0</v>
      </c>
      <c r="M3528" s="285">
        <f t="shared" si="452"/>
        <v>0</v>
      </c>
      <c r="N3528" s="1076"/>
      <c r="O3528" s="294"/>
      <c r="P3528" s="404"/>
      <c r="Q3528" s="404"/>
    </row>
    <row r="3529" spans="1:17" ht="14.4" thickTop="1" thickBot="1" x14ac:dyDescent="0.3">
      <c r="A3529" s="292"/>
      <c r="B3529" s="294" t="s">
        <v>699</v>
      </c>
      <c r="C3529" s="294"/>
      <c r="D3529" s="294">
        <v>3</v>
      </c>
      <c r="E3529" s="294">
        <v>2</v>
      </c>
      <c r="F3529" s="310">
        <v>26.024999999999999</v>
      </c>
      <c r="G3529" s="310"/>
      <c r="H3529" s="310">
        <v>0.3</v>
      </c>
      <c r="I3529" s="295">
        <f t="shared" ref="I3529:I3540" si="456">H3529*F3529*E3529*D3529</f>
        <v>46.844999999999999</v>
      </c>
      <c r="J3529" s="295"/>
      <c r="K3529" s="300">
        <f t="shared" si="450"/>
        <v>1.1000000000000001</v>
      </c>
      <c r="L3529" s="300">
        <f t="shared" si="453"/>
        <v>0</v>
      </c>
      <c r="M3529" s="285">
        <f t="shared" si="452"/>
        <v>0</v>
      </c>
      <c r="N3529" s="1076"/>
      <c r="O3529" s="294"/>
      <c r="P3529" s="404"/>
      <c r="Q3529" s="404"/>
    </row>
    <row r="3530" spans="1:17" ht="14.4" thickTop="1" thickBot="1" x14ac:dyDescent="0.3">
      <c r="A3530" s="292"/>
      <c r="B3530" s="294" t="s">
        <v>701</v>
      </c>
      <c r="C3530" s="294"/>
      <c r="D3530" s="294">
        <v>3</v>
      </c>
      <c r="E3530" s="294">
        <v>2</v>
      </c>
      <c r="F3530" s="310">
        <v>10.5</v>
      </c>
      <c r="G3530" s="310"/>
      <c r="H3530" s="310">
        <v>0.3</v>
      </c>
      <c r="I3530" s="295">
        <f t="shared" si="456"/>
        <v>18.899999999999999</v>
      </c>
      <c r="J3530" s="295"/>
      <c r="K3530" s="300">
        <f t="shared" si="450"/>
        <v>1.1000000000000001</v>
      </c>
      <c r="L3530" s="300">
        <f t="shared" si="453"/>
        <v>0</v>
      </c>
      <c r="M3530" s="285">
        <f t="shared" si="452"/>
        <v>0</v>
      </c>
      <c r="N3530" s="1076"/>
      <c r="O3530" s="294"/>
      <c r="P3530" s="404"/>
      <c r="Q3530" s="404"/>
    </row>
    <row r="3531" spans="1:17" ht="14.4" thickTop="1" thickBot="1" x14ac:dyDescent="0.3">
      <c r="A3531" s="292"/>
      <c r="B3531" s="294" t="s">
        <v>702</v>
      </c>
      <c r="C3531" s="294"/>
      <c r="D3531" s="294">
        <v>1</v>
      </c>
      <c r="E3531" s="294">
        <v>2</v>
      </c>
      <c r="F3531" s="310">
        <v>6.3</v>
      </c>
      <c r="G3531" s="310"/>
      <c r="H3531" s="310">
        <v>0.3</v>
      </c>
      <c r="I3531" s="295">
        <f t="shared" si="456"/>
        <v>3.78</v>
      </c>
      <c r="J3531" s="295"/>
      <c r="K3531" s="300">
        <f t="shared" si="450"/>
        <v>1.1000000000000001</v>
      </c>
      <c r="L3531" s="300">
        <f t="shared" si="453"/>
        <v>0</v>
      </c>
      <c r="M3531" s="285">
        <f t="shared" si="452"/>
        <v>0</v>
      </c>
      <c r="N3531" s="1076"/>
      <c r="O3531" s="294"/>
      <c r="P3531" s="404"/>
      <c r="Q3531" s="404"/>
    </row>
    <row r="3532" spans="1:17" ht="14.4" thickTop="1" thickBot="1" x14ac:dyDescent="0.3">
      <c r="A3532" s="292"/>
      <c r="B3532" s="294" t="s">
        <v>703</v>
      </c>
      <c r="C3532" s="294"/>
      <c r="D3532" s="294">
        <v>1</v>
      </c>
      <c r="E3532" s="294">
        <v>2</v>
      </c>
      <c r="F3532" s="310">
        <v>21.17</v>
      </c>
      <c r="G3532" s="310"/>
      <c r="H3532" s="310">
        <v>0.3</v>
      </c>
      <c r="I3532" s="295">
        <f t="shared" si="456"/>
        <v>12.702</v>
      </c>
      <c r="J3532" s="295"/>
      <c r="K3532" s="300">
        <f t="shared" si="450"/>
        <v>1.1000000000000001</v>
      </c>
      <c r="L3532" s="300">
        <f t="shared" si="453"/>
        <v>0</v>
      </c>
      <c r="M3532" s="285">
        <f t="shared" si="452"/>
        <v>0</v>
      </c>
      <c r="N3532" s="1076"/>
      <c r="O3532" s="294"/>
      <c r="P3532" s="404"/>
      <c r="Q3532" s="404"/>
    </row>
    <row r="3533" spans="1:17" ht="14.4" thickTop="1" thickBot="1" x14ac:dyDescent="0.3">
      <c r="A3533" s="292"/>
      <c r="B3533" s="294" t="s">
        <v>704</v>
      </c>
      <c r="C3533" s="294"/>
      <c r="D3533" s="294">
        <v>2</v>
      </c>
      <c r="E3533" s="294">
        <v>2</v>
      </c>
      <c r="F3533" s="310">
        <v>9.375</v>
      </c>
      <c r="G3533" s="310"/>
      <c r="H3533" s="310">
        <v>0.3</v>
      </c>
      <c r="I3533" s="295">
        <f t="shared" si="456"/>
        <v>11.25</v>
      </c>
      <c r="J3533" s="295"/>
      <c r="K3533" s="300">
        <f t="shared" si="450"/>
        <v>1.1000000000000001</v>
      </c>
      <c r="L3533" s="300">
        <f t="shared" si="453"/>
        <v>0</v>
      </c>
      <c r="M3533" s="285">
        <f t="shared" si="452"/>
        <v>0</v>
      </c>
      <c r="N3533" s="1076"/>
      <c r="O3533" s="294"/>
      <c r="P3533" s="404"/>
      <c r="Q3533" s="404"/>
    </row>
    <row r="3534" spans="1:17" ht="14.4" thickTop="1" thickBot="1" x14ac:dyDescent="0.3">
      <c r="A3534" s="292"/>
      <c r="B3534" s="294" t="s">
        <v>705</v>
      </c>
      <c r="C3534" s="294"/>
      <c r="D3534" s="294">
        <v>1</v>
      </c>
      <c r="E3534" s="294">
        <v>2</v>
      </c>
      <c r="F3534" s="310">
        <v>4.5</v>
      </c>
      <c r="G3534" s="310"/>
      <c r="H3534" s="310">
        <v>0.3</v>
      </c>
      <c r="I3534" s="295">
        <f t="shared" si="456"/>
        <v>2.6999999999999997</v>
      </c>
      <c r="J3534" s="295"/>
      <c r="K3534" s="300">
        <f t="shared" si="450"/>
        <v>1.1000000000000001</v>
      </c>
      <c r="L3534" s="300">
        <f t="shared" si="453"/>
        <v>0</v>
      </c>
      <c r="M3534" s="285">
        <f t="shared" si="452"/>
        <v>0</v>
      </c>
      <c r="N3534" s="1076"/>
      <c r="O3534" s="294"/>
      <c r="P3534" s="404"/>
      <c r="Q3534" s="404"/>
    </row>
    <row r="3535" spans="1:17" ht="14.4" thickTop="1" thickBot="1" x14ac:dyDescent="0.3">
      <c r="A3535" s="292"/>
      <c r="B3535" s="294" t="s">
        <v>706</v>
      </c>
      <c r="C3535" s="294"/>
      <c r="D3535" s="294">
        <v>1</v>
      </c>
      <c r="E3535" s="294">
        <v>2</v>
      </c>
      <c r="F3535" s="310">
        <v>4.0620000000000003</v>
      </c>
      <c r="G3535" s="310"/>
      <c r="H3535" s="310">
        <v>0.3</v>
      </c>
      <c r="I3535" s="295">
        <f t="shared" si="456"/>
        <v>2.4372000000000003</v>
      </c>
      <c r="J3535" s="295"/>
      <c r="K3535" s="300">
        <f t="shared" si="450"/>
        <v>1.1000000000000001</v>
      </c>
      <c r="L3535" s="300">
        <f t="shared" si="453"/>
        <v>0</v>
      </c>
      <c r="M3535" s="285">
        <f t="shared" si="452"/>
        <v>0</v>
      </c>
      <c r="N3535" s="1076"/>
      <c r="O3535" s="294"/>
      <c r="P3535" s="404"/>
      <c r="Q3535" s="404"/>
    </row>
    <row r="3536" spans="1:17" ht="14.4" thickTop="1" thickBot="1" x14ac:dyDescent="0.3">
      <c r="A3536" s="292"/>
      <c r="B3536" s="294" t="s">
        <v>707</v>
      </c>
      <c r="C3536" s="294"/>
      <c r="D3536" s="294">
        <v>2</v>
      </c>
      <c r="E3536" s="294">
        <v>2</v>
      </c>
      <c r="F3536" s="310">
        <v>4.6879999999999997</v>
      </c>
      <c r="G3536" s="310"/>
      <c r="H3536" s="310">
        <v>0.3</v>
      </c>
      <c r="I3536" s="295">
        <f t="shared" si="456"/>
        <v>5.6255999999999995</v>
      </c>
      <c r="J3536" s="295"/>
      <c r="K3536" s="300">
        <f t="shared" si="450"/>
        <v>1.1000000000000001</v>
      </c>
      <c r="L3536" s="300">
        <f t="shared" si="453"/>
        <v>0</v>
      </c>
      <c r="M3536" s="285">
        <f t="shared" si="452"/>
        <v>0</v>
      </c>
      <c r="N3536" s="1076"/>
      <c r="O3536" s="294"/>
      <c r="P3536" s="404"/>
      <c r="Q3536" s="404"/>
    </row>
    <row r="3537" spans="1:17" ht="14.4" thickTop="1" thickBot="1" x14ac:dyDescent="0.3">
      <c r="A3537" s="292"/>
      <c r="B3537" s="294"/>
      <c r="C3537" s="294"/>
      <c r="D3537" s="294">
        <v>1</v>
      </c>
      <c r="E3537" s="294">
        <v>2</v>
      </c>
      <c r="F3537" s="310">
        <v>4.7249999999999996</v>
      </c>
      <c r="G3537" s="310"/>
      <c r="H3537" s="310">
        <v>0.3</v>
      </c>
      <c r="I3537" s="295">
        <f t="shared" si="456"/>
        <v>2.8349999999999995</v>
      </c>
      <c r="J3537" s="295"/>
      <c r="K3537" s="300">
        <f t="shared" si="450"/>
        <v>1.1000000000000001</v>
      </c>
      <c r="L3537" s="300">
        <f t="shared" si="453"/>
        <v>0</v>
      </c>
      <c r="M3537" s="285">
        <f t="shared" si="452"/>
        <v>0</v>
      </c>
      <c r="N3537" s="1076"/>
      <c r="O3537" s="294"/>
      <c r="P3537" s="404"/>
      <c r="Q3537" s="404"/>
    </row>
    <row r="3538" spans="1:17" ht="14.4" thickTop="1" thickBot="1" x14ac:dyDescent="0.3">
      <c r="A3538" s="292"/>
      <c r="B3538" s="294" t="s">
        <v>708</v>
      </c>
      <c r="C3538" s="294"/>
      <c r="D3538" s="294">
        <v>1</v>
      </c>
      <c r="E3538" s="294">
        <v>2</v>
      </c>
      <c r="F3538" s="310">
        <v>3.5249999999999999</v>
      </c>
      <c r="G3538" s="310"/>
      <c r="H3538" s="310">
        <v>0.3</v>
      </c>
      <c r="I3538" s="295">
        <f t="shared" si="456"/>
        <v>2.1149999999999998</v>
      </c>
      <c r="J3538" s="295"/>
      <c r="K3538" s="300">
        <f t="shared" si="450"/>
        <v>1.1000000000000001</v>
      </c>
      <c r="L3538" s="300">
        <f t="shared" si="453"/>
        <v>0</v>
      </c>
      <c r="M3538" s="285">
        <f t="shared" si="452"/>
        <v>0</v>
      </c>
      <c r="N3538" s="1076"/>
      <c r="O3538" s="294"/>
      <c r="P3538" s="404"/>
      <c r="Q3538" s="404"/>
    </row>
    <row r="3539" spans="1:17" ht="14.4" thickTop="1" thickBot="1" x14ac:dyDescent="0.3">
      <c r="A3539" s="292"/>
      <c r="B3539" s="294"/>
      <c r="C3539" s="294"/>
      <c r="D3539" s="294">
        <v>1</v>
      </c>
      <c r="E3539" s="294">
        <v>2</v>
      </c>
      <c r="F3539" s="310">
        <v>2.343</v>
      </c>
      <c r="G3539" s="310"/>
      <c r="H3539" s="310">
        <v>0.3</v>
      </c>
      <c r="I3539" s="295">
        <f t="shared" si="456"/>
        <v>1.4057999999999999</v>
      </c>
      <c r="J3539" s="295"/>
      <c r="K3539" s="300">
        <f t="shared" si="450"/>
        <v>1.1000000000000001</v>
      </c>
      <c r="L3539" s="300">
        <f t="shared" si="453"/>
        <v>0</v>
      </c>
      <c r="M3539" s="285">
        <f t="shared" si="452"/>
        <v>0</v>
      </c>
      <c r="N3539" s="1076"/>
      <c r="O3539" s="294"/>
      <c r="P3539" s="404"/>
      <c r="Q3539" s="404"/>
    </row>
    <row r="3540" spans="1:17" ht="14.4" thickTop="1" thickBot="1" x14ac:dyDescent="0.3">
      <c r="A3540" s="292"/>
      <c r="B3540" s="294"/>
      <c r="C3540" s="294"/>
      <c r="D3540" s="294">
        <v>2</v>
      </c>
      <c r="E3540" s="294">
        <v>2</v>
      </c>
      <c r="F3540" s="310">
        <v>1.3</v>
      </c>
      <c r="G3540" s="310"/>
      <c r="H3540" s="310">
        <v>0.3</v>
      </c>
      <c r="I3540" s="295">
        <f t="shared" si="456"/>
        <v>1.56</v>
      </c>
      <c r="J3540" s="295">
        <f>SUM(I3528:I3540)</f>
        <v>126.82559999999999</v>
      </c>
      <c r="K3540" s="300">
        <f t="shared" si="450"/>
        <v>1.1000000000000001</v>
      </c>
      <c r="L3540" s="300">
        <f t="shared" si="453"/>
        <v>139.50816</v>
      </c>
      <c r="M3540" s="285">
        <f t="shared" si="452"/>
        <v>140</v>
      </c>
      <c r="N3540" s="1076"/>
      <c r="O3540" s="294"/>
      <c r="P3540" s="404"/>
      <c r="Q3540" s="404"/>
    </row>
    <row r="3541" spans="1:17" ht="14.4" thickTop="1" thickBot="1" x14ac:dyDescent="0.3">
      <c r="A3541" s="292"/>
      <c r="B3541" s="296"/>
      <c r="C3541" s="294"/>
      <c r="D3541" s="294"/>
      <c r="E3541" s="294"/>
      <c r="F3541" s="310"/>
      <c r="G3541" s="310"/>
      <c r="H3541" s="310"/>
      <c r="I3541" s="295"/>
      <c r="J3541" s="295">
        <f>J3540/9.29</f>
        <v>13.651840688912809</v>
      </c>
      <c r="K3541" s="300">
        <f t="shared" si="450"/>
        <v>1.1000000000000001</v>
      </c>
      <c r="L3541" s="300">
        <f t="shared" si="453"/>
        <v>15.017024757804091</v>
      </c>
      <c r="M3541" s="285">
        <f t="shared" si="452"/>
        <v>15</v>
      </c>
      <c r="N3541" s="1076"/>
      <c r="O3541" s="294"/>
      <c r="P3541" s="404"/>
      <c r="Q3541" s="404"/>
    </row>
    <row r="3542" spans="1:17" ht="14.4" thickTop="1" thickBot="1" x14ac:dyDescent="0.3">
      <c r="A3542" s="292"/>
      <c r="B3542" s="296"/>
      <c r="C3542" s="294"/>
      <c r="D3542" s="294"/>
      <c r="E3542" s="294"/>
      <c r="F3542" s="310"/>
      <c r="G3542" s="310"/>
      <c r="H3542" s="310"/>
      <c r="I3542" s="295"/>
      <c r="J3542" s="295"/>
      <c r="K3542" s="300">
        <f t="shared" si="450"/>
        <v>1.1000000000000001</v>
      </c>
      <c r="L3542" s="300">
        <f t="shared" si="453"/>
        <v>0</v>
      </c>
      <c r="M3542" s="285">
        <f t="shared" si="452"/>
        <v>0</v>
      </c>
      <c r="N3542" s="1076"/>
      <c r="O3542" s="294"/>
      <c r="P3542" s="404"/>
      <c r="Q3542" s="404"/>
    </row>
    <row r="3543" spans="1:17" ht="14.4" thickTop="1" thickBot="1" x14ac:dyDescent="0.3">
      <c r="A3543" s="292"/>
      <c r="B3543" s="296"/>
      <c r="C3543" s="294"/>
      <c r="D3543" s="294"/>
      <c r="E3543" s="294"/>
      <c r="F3543" s="310"/>
      <c r="G3543" s="310"/>
      <c r="H3543" s="310"/>
      <c r="I3543" s="295"/>
      <c r="J3543" s="295"/>
      <c r="K3543" s="300">
        <f t="shared" si="450"/>
        <v>1.1000000000000001</v>
      </c>
      <c r="L3543" s="300">
        <f t="shared" si="453"/>
        <v>0</v>
      </c>
      <c r="M3543" s="285">
        <f t="shared" si="452"/>
        <v>0</v>
      </c>
      <c r="N3543" s="1076"/>
      <c r="O3543" s="294"/>
      <c r="P3543" s="404"/>
      <c r="Q3543" s="404"/>
    </row>
    <row r="3544" spans="1:17" ht="14.4" thickTop="1" thickBot="1" x14ac:dyDescent="0.3">
      <c r="A3544" s="292"/>
      <c r="B3544" s="296"/>
      <c r="C3544" s="294"/>
      <c r="D3544" s="294"/>
      <c r="E3544" s="294"/>
      <c r="F3544" s="310"/>
      <c r="G3544" s="310"/>
      <c r="H3544" s="310"/>
      <c r="I3544" s="295"/>
      <c r="J3544" s="295"/>
      <c r="K3544" s="300">
        <f t="shared" si="450"/>
        <v>1.1000000000000001</v>
      </c>
      <c r="L3544" s="300">
        <f t="shared" si="453"/>
        <v>0</v>
      </c>
      <c r="M3544" s="285">
        <f t="shared" si="452"/>
        <v>0</v>
      </c>
      <c r="N3544" s="1076"/>
      <c r="O3544" s="294"/>
      <c r="P3544" s="404"/>
      <c r="Q3544" s="404"/>
    </row>
    <row r="3545" spans="1:17" ht="14.4" thickTop="1" thickBot="1" x14ac:dyDescent="0.3">
      <c r="A3545" s="292"/>
      <c r="B3545" s="296" t="s">
        <v>1085</v>
      </c>
      <c r="C3545" s="294"/>
      <c r="D3545" s="294"/>
      <c r="E3545" s="294"/>
      <c r="F3545" s="310">
        <v>3.25</v>
      </c>
      <c r="G3545" s="310">
        <v>3.25</v>
      </c>
      <c r="H3545" s="310">
        <v>0.3</v>
      </c>
      <c r="I3545" s="295">
        <f>H3545*G3545*F3545</f>
        <v>3.1687499999999997</v>
      </c>
      <c r="J3545" s="295">
        <f>SUM(I3545:I3546)</f>
        <v>7.1737500000000001</v>
      </c>
      <c r="K3545" s="300">
        <f t="shared" si="450"/>
        <v>1.1000000000000001</v>
      </c>
      <c r="L3545" s="300">
        <f t="shared" si="453"/>
        <v>7.8911250000000006</v>
      </c>
      <c r="M3545" s="285">
        <f t="shared" si="452"/>
        <v>8</v>
      </c>
      <c r="N3545" s="1076"/>
      <c r="O3545" s="294"/>
      <c r="P3545" s="404"/>
      <c r="Q3545" s="404"/>
    </row>
    <row r="3546" spans="1:17" ht="14.4" thickTop="1" thickBot="1" x14ac:dyDescent="0.3">
      <c r="A3546" s="292"/>
      <c r="B3546" s="296" t="s">
        <v>822</v>
      </c>
      <c r="C3546" s="294"/>
      <c r="D3546" s="294"/>
      <c r="E3546" s="294">
        <v>4</v>
      </c>
      <c r="F3546" s="310">
        <v>2.2250000000000001</v>
      </c>
      <c r="G3546" s="310">
        <v>0.22500000000000001</v>
      </c>
      <c r="H3546" s="310">
        <v>2</v>
      </c>
      <c r="I3546" s="295">
        <f>H3546*G3546*F3546*E3546</f>
        <v>4.0049999999999999</v>
      </c>
      <c r="J3546" s="295">
        <f>J3545/2.83</f>
        <v>2.534893992932862</v>
      </c>
      <c r="K3546" s="300">
        <f t="shared" si="450"/>
        <v>1.1000000000000001</v>
      </c>
      <c r="L3546" s="300">
        <f t="shared" si="453"/>
        <v>2.7883833922261485</v>
      </c>
      <c r="M3546" s="285">
        <f t="shared" si="452"/>
        <v>3</v>
      </c>
      <c r="N3546" s="1076"/>
      <c r="O3546" s="294"/>
      <c r="P3546" s="404"/>
      <c r="Q3546" s="404"/>
    </row>
    <row r="3547" spans="1:17" ht="14.4" thickTop="1" thickBot="1" x14ac:dyDescent="0.3">
      <c r="A3547" s="292"/>
      <c r="B3547" s="296"/>
      <c r="C3547" s="294"/>
      <c r="D3547" s="294"/>
      <c r="E3547" s="294"/>
      <c r="F3547" s="310"/>
      <c r="G3547" s="310"/>
      <c r="H3547" s="310"/>
      <c r="I3547" s="295"/>
      <c r="J3547" s="295"/>
      <c r="K3547" s="300">
        <f t="shared" si="450"/>
        <v>1.1000000000000001</v>
      </c>
      <c r="L3547" s="300">
        <f t="shared" si="453"/>
        <v>0</v>
      </c>
      <c r="M3547" s="285">
        <f t="shared" si="452"/>
        <v>0</v>
      </c>
      <c r="N3547" s="1076"/>
      <c r="O3547" s="294"/>
      <c r="P3547" s="404"/>
      <c r="Q3547" s="404"/>
    </row>
    <row r="3548" spans="1:17" ht="14.4" thickTop="1" thickBot="1" x14ac:dyDescent="0.3">
      <c r="A3548" s="292"/>
      <c r="B3548" s="296"/>
      <c r="C3548" s="294"/>
      <c r="D3548" s="294"/>
      <c r="E3548" s="294"/>
      <c r="F3548" s="310"/>
      <c r="G3548" s="310"/>
      <c r="H3548" s="310"/>
      <c r="I3548" s="295"/>
      <c r="J3548" s="295"/>
      <c r="K3548" s="300">
        <f t="shared" si="450"/>
        <v>1.1000000000000001</v>
      </c>
      <c r="L3548" s="300">
        <f t="shared" si="453"/>
        <v>0</v>
      </c>
      <c r="M3548" s="285">
        <f t="shared" si="452"/>
        <v>0</v>
      </c>
      <c r="N3548" s="1076"/>
      <c r="O3548" s="294"/>
      <c r="P3548" s="404"/>
      <c r="Q3548" s="404"/>
    </row>
    <row r="3549" spans="1:17" ht="14.4" thickTop="1" thickBot="1" x14ac:dyDescent="0.3">
      <c r="A3549" s="292"/>
      <c r="B3549" s="296"/>
      <c r="C3549" s="294"/>
      <c r="D3549" s="294"/>
      <c r="E3549" s="294"/>
      <c r="F3549" s="310"/>
      <c r="G3549" s="310"/>
      <c r="H3549" s="310"/>
      <c r="I3549" s="295"/>
      <c r="J3549" s="295"/>
      <c r="K3549" s="300">
        <f t="shared" si="450"/>
        <v>1.1000000000000001</v>
      </c>
      <c r="L3549" s="300">
        <f t="shared" si="453"/>
        <v>0</v>
      </c>
      <c r="M3549" s="285">
        <f t="shared" si="452"/>
        <v>0</v>
      </c>
      <c r="N3549" s="1076"/>
      <c r="O3549" s="294"/>
      <c r="P3549" s="404"/>
      <c r="Q3549" s="404"/>
    </row>
    <row r="3550" spans="1:17" ht="14.4" thickTop="1" thickBot="1" x14ac:dyDescent="0.3">
      <c r="A3550" s="292"/>
      <c r="B3550" s="296"/>
      <c r="C3550" s="294"/>
      <c r="D3550" s="294"/>
      <c r="E3550" s="294"/>
      <c r="F3550" s="310"/>
      <c r="G3550" s="310"/>
      <c r="H3550" s="310"/>
      <c r="I3550" s="295"/>
      <c r="J3550" s="295"/>
      <c r="K3550" s="300">
        <f t="shared" si="450"/>
        <v>1.1000000000000001</v>
      </c>
      <c r="L3550" s="300">
        <f t="shared" si="453"/>
        <v>0</v>
      </c>
      <c r="M3550" s="285">
        <f t="shared" si="452"/>
        <v>0</v>
      </c>
      <c r="N3550" s="1076"/>
      <c r="O3550" s="294"/>
      <c r="P3550" s="404"/>
      <c r="Q3550" s="404"/>
    </row>
    <row r="3551" spans="1:17" ht="14.4" thickTop="1" thickBot="1" x14ac:dyDescent="0.3">
      <c r="A3551" s="292"/>
      <c r="B3551" s="296"/>
      <c r="C3551" s="294"/>
      <c r="D3551" s="294"/>
      <c r="E3551" s="294"/>
      <c r="F3551" s="310"/>
      <c r="G3551" s="310"/>
      <c r="H3551" s="310"/>
      <c r="I3551" s="295"/>
      <c r="J3551" s="295"/>
      <c r="K3551" s="300">
        <f t="shared" si="450"/>
        <v>1.1000000000000001</v>
      </c>
      <c r="L3551" s="300">
        <f t="shared" si="453"/>
        <v>0</v>
      </c>
      <c r="M3551" s="285">
        <f t="shared" si="452"/>
        <v>0</v>
      </c>
      <c r="N3551" s="1076"/>
      <c r="O3551" s="294"/>
      <c r="P3551" s="404"/>
      <c r="Q3551" s="404"/>
    </row>
    <row r="3552" spans="1:17" ht="14.4" thickTop="1" thickBot="1" x14ac:dyDescent="0.3">
      <c r="A3552" s="292"/>
      <c r="B3552" s="296"/>
      <c r="C3552" s="294"/>
      <c r="D3552" s="294"/>
      <c r="E3552" s="294"/>
      <c r="F3552" s="310"/>
      <c r="G3552" s="310"/>
      <c r="H3552" s="310"/>
      <c r="I3552" s="295"/>
      <c r="J3552" s="295"/>
      <c r="K3552" s="300">
        <f t="shared" si="450"/>
        <v>1.1000000000000001</v>
      </c>
      <c r="L3552" s="300">
        <f t="shared" si="453"/>
        <v>0</v>
      </c>
      <c r="M3552" s="285">
        <f t="shared" si="452"/>
        <v>0</v>
      </c>
      <c r="N3552" s="1076"/>
      <c r="O3552" s="294"/>
      <c r="P3552" s="404"/>
      <c r="Q3552" s="404"/>
    </row>
    <row r="3553" spans="1:17" ht="14.4" thickTop="1" thickBot="1" x14ac:dyDescent="0.3">
      <c r="A3553" s="292"/>
      <c r="B3553" s="296" t="s">
        <v>726</v>
      </c>
      <c r="C3553" s="294"/>
      <c r="D3553" s="294"/>
      <c r="E3553" s="294">
        <v>32</v>
      </c>
      <c r="F3553" s="310">
        <v>0.3</v>
      </c>
      <c r="G3553" s="310">
        <v>0.3</v>
      </c>
      <c r="H3553" s="310">
        <v>3.6</v>
      </c>
      <c r="I3553" s="295">
        <f>H3553*G3553*F3553*E3553</f>
        <v>10.368</v>
      </c>
      <c r="J3553" s="295">
        <f>SUM(I3553:I3554)</f>
        <v>11.097000000000001</v>
      </c>
      <c r="K3553" s="300">
        <f t="shared" si="450"/>
        <v>1.1000000000000001</v>
      </c>
      <c r="L3553" s="300">
        <f t="shared" si="453"/>
        <v>12.206700000000003</v>
      </c>
      <c r="M3553" s="285">
        <f t="shared" si="452"/>
        <v>12</v>
      </c>
      <c r="N3553" s="1076"/>
      <c r="O3553" s="294"/>
      <c r="P3553" s="404">
        <f>0.3*0.3*3.6</f>
        <v>0.32400000000000001</v>
      </c>
      <c r="Q3553" s="404">
        <f>P3553*9</f>
        <v>2.9159999999999999</v>
      </c>
    </row>
    <row r="3554" spans="1:17" ht="14.4" thickTop="1" thickBot="1" x14ac:dyDescent="0.3">
      <c r="A3554" s="292"/>
      <c r="B3554" s="296"/>
      <c r="C3554" s="294"/>
      <c r="D3554" s="294"/>
      <c r="E3554" s="294">
        <v>4</v>
      </c>
      <c r="F3554" s="310">
        <v>0.22500000000000001</v>
      </c>
      <c r="G3554" s="310">
        <v>0.22500000000000001</v>
      </c>
      <c r="H3554" s="310">
        <v>3.6</v>
      </c>
      <c r="I3554" s="295">
        <f>H3554*G3554*F3554*E3554</f>
        <v>0.72900000000000009</v>
      </c>
      <c r="J3554" s="295"/>
      <c r="K3554" s="300"/>
      <c r="L3554" s="300"/>
      <c r="M3554" s="285"/>
      <c r="N3554" s="1076"/>
      <c r="O3554" s="294"/>
      <c r="P3554" s="404"/>
      <c r="Q3554" s="404"/>
    </row>
    <row r="3555" spans="1:17" ht="14.4" thickTop="1" thickBot="1" x14ac:dyDescent="0.3">
      <c r="A3555" s="292"/>
      <c r="B3555" s="296"/>
      <c r="C3555" s="294"/>
      <c r="D3555" s="294"/>
      <c r="E3555" s="294"/>
      <c r="F3555" s="310"/>
      <c r="G3555" s="310"/>
      <c r="H3555" s="310"/>
      <c r="I3555" s="295"/>
      <c r="J3555" s="295">
        <f>J3553/2.83</f>
        <v>3.9212014134275623</v>
      </c>
      <c r="K3555" s="300">
        <v>1.4</v>
      </c>
      <c r="L3555" s="300">
        <f t="shared" ref="L3555:L3597" si="457">K3555*J3555</f>
        <v>5.4896819787985871</v>
      </c>
      <c r="M3555" s="285">
        <f t="shared" si="452"/>
        <v>5</v>
      </c>
      <c r="N3555" s="1076"/>
      <c r="O3555" s="294"/>
      <c r="P3555" s="404"/>
      <c r="Q3555" s="404"/>
    </row>
    <row r="3556" spans="1:17" ht="14.4" thickTop="1" thickBot="1" x14ac:dyDescent="0.3">
      <c r="A3556" s="292"/>
      <c r="B3556" s="296"/>
      <c r="C3556" s="294"/>
      <c r="D3556" s="294"/>
      <c r="E3556" s="294"/>
      <c r="F3556" s="310"/>
      <c r="G3556" s="310"/>
      <c r="H3556" s="310"/>
      <c r="I3556" s="295"/>
      <c r="J3556" s="295"/>
      <c r="K3556" s="300">
        <f t="shared" si="450"/>
        <v>1.1000000000000001</v>
      </c>
      <c r="L3556" s="300">
        <f t="shared" si="457"/>
        <v>0</v>
      </c>
      <c r="M3556" s="285">
        <f t="shared" si="452"/>
        <v>0</v>
      </c>
      <c r="N3556" s="1076"/>
      <c r="O3556" s="294"/>
      <c r="P3556" s="404"/>
      <c r="Q3556" s="404"/>
    </row>
    <row r="3557" spans="1:17" ht="14.4" thickTop="1" thickBot="1" x14ac:dyDescent="0.3">
      <c r="A3557" s="292"/>
      <c r="B3557" s="296" t="s">
        <v>725</v>
      </c>
      <c r="C3557" s="294"/>
      <c r="D3557" s="294"/>
      <c r="E3557" s="294">
        <v>23</v>
      </c>
      <c r="F3557" s="310">
        <f>F3553</f>
        <v>0.3</v>
      </c>
      <c r="G3557" s="310">
        <f>G3553</f>
        <v>0.3</v>
      </c>
      <c r="H3557" s="310">
        <f>H3553</f>
        <v>3.6</v>
      </c>
      <c r="I3557" s="295">
        <f>H3557*G3557*F3557*E3557</f>
        <v>7.452</v>
      </c>
      <c r="J3557" s="295">
        <f>I3557:I3558</f>
        <v>7.452</v>
      </c>
      <c r="K3557" s="300">
        <f t="shared" si="450"/>
        <v>1.1000000000000001</v>
      </c>
      <c r="L3557" s="300">
        <f t="shared" si="457"/>
        <v>8.1972000000000005</v>
      </c>
      <c r="M3557" s="285">
        <f t="shared" si="452"/>
        <v>8</v>
      </c>
      <c r="N3557" s="1076"/>
      <c r="O3557" s="294"/>
      <c r="P3557" s="404"/>
      <c r="Q3557" s="404"/>
    </row>
    <row r="3558" spans="1:17" ht="14.4" thickTop="1" thickBot="1" x14ac:dyDescent="0.3">
      <c r="A3558" s="292"/>
      <c r="B3558" s="296"/>
      <c r="C3558" s="294"/>
      <c r="D3558" s="294"/>
      <c r="E3558" s="294">
        <v>4</v>
      </c>
      <c r="F3558" s="310">
        <v>0.22500000000000001</v>
      </c>
      <c r="G3558" s="310">
        <v>0.22500000000000001</v>
      </c>
      <c r="H3558" s="310">
        <v>3.6</v>
      </c>
      <c r="I3558" s="295">
        <f>H3558*G3558*F3558*E3558</f>
        <v>0.72900000000000009</v>
      </c>
      <c r="J3558" s="295">
        <f>J3557/2.83</f>
        <v>2.63321554770318</v>
      </c>
      <c r="K3558" s="300">
        <v>1.1000000000000001</v>
      </c>
      <c r="L3558" s="300">
        <f t="shared" si="457"/>
        <v>2.896537102473498</v>
      </c>
      <c r="M3558" s="285">
        <f t="shared" si="452"/>
        <v>3</v>
      </c>
      <c r="N3558" s="1076"/>
      <c r="O3558" s="294"/>
      <c r="P3558" s="404"/>
      <c r="Q3558" s="404"/>
    </row>
    <row r="3559" spans="1:17" ht="14.4" thickTop="1" thickBot="1" x14ac:dyDescent="0.3">
      <c r="A3559" s="292"/>
      <c r="B3559" s="296"/>
      <c r="C3559" s="294"/>
      <c r="D3559" s="294"/>
      <c r="E3559" s="294"/>
      <c r="F3559" s="310"/>
      <c r="G3559" s="310"/>
      <c r="H3559" s="310"/>
      <c r="I3559" s="295"/>
      <c r="J3559" s="295"/>
      <c r="K3559" s="300">
        <f t="shared" si="450"/>
        <v>1.1000000000000001</v>
      </c>
      <c r="L3559" s="300">
        <f t="shared" si="457"/>
        <v>0</v>
      </c>
      <c r="M3559" s="285">
        <f t="shared" si="452"/>
        <v>0</v>
      </c>
      <c r="N3559" s="1076"/>
      <c r="O3559" s="294"/>
      <c r="P3559" s="404"/>
      <c r="Q3559" s="404"/>
    </row>
    <row r="3560" spans="1:17" ht="14.4" thickTop="1" thickBot="1" x14ac:dyDescent="0.3">
      <c r="A3560" s="292"/>
      <c r="B3560" s="296"/>
      <c r="C3560" s="294"/>
      <c r="D3560" s="294"/>
      <c r="E3560" s="294"/>
      <c r="F3560" s="310"/>
      <c r="G3560" s="310"/>
      <c r="H3560" s="310"/>
      <c r="I3560" s="295"/>
      <c r="J3560" s="295"/>
      <c r="K3560" s="300">
        <f t="shared" si="450"/>
        <v>1.1000000000000001</v>
      </c>
      <c r="L3560" s="300">
        <f t="shared" si="457"/>
        <v>0</v>
      </c>
      <c r="M3560" s="285">
        <f t="shared" si="452"/>
        <v>0</v>
      </c>
      <c r="N3560" s="1076"/>
      <c r="O3560" s="294"/>
      <c r="P3560" s="404"/>
      <c r="Q3560" s="404"/>
    </row>
    <row r="3561" spans="1:17" ht="14.4" thickTop="1" thickBot="1" x14ac:dyDescent="0.3">
      <c r="A3561" s="292"/>
      <c r="B3561" s="296" t="s">
        <v>1640</v>
      </c>
      <c r="C3561" s="294"/>
      <c r="D3561" s="294"/>
      <c r="E3561" s="294"/>
      <c r="F3561" s="310"/>
      <c r="G3561" s="310"/>
      <c r="H3561" s="310"/>
      <c r="I3561" s="295"/>
      <c r="J3561" s="295"/>
      <c r="K3561" s="300">
        <f t="shared" si="450"/>
        <v>1.1000000000000001</v>
      </c>
      <c r="L3561" s="300">
        <f t="shared" si="457"/>
        <v>0</v>
      </c>
      <c r="M3561" s="285">
        <f t="shared" si="452"/>
        <v>0</v>
      </c>
      <c r="N3561" s="1076"/>
      <c r="O3561" s="294"/>
      <c r="P3561" s="404"/>
      <c r="Q3561" s="404"/>
    </row>
    <row r="3562" spans="1:17" ht="14.4" thickTop="1" thickBot="1" x14ac:dyDescent="0.3">
      <c r="A3562" s="292"/>
      <c r="B3562" s="296" t="s">
        <v>1641</v>
      </c>
      <c r="C3562" s="294"/>
      <c r="D3562" s="294"/>
      <c r="E3562" s="294">
        <v>2</v>
      </c>
      <c r="F3562" s="310">
        <v>12.225</v>
      </c>
      <c r="G3562" s="310">
        <v>0.3</v>
      </c>
      <c r="H3562" s="310">
        <f>0.45-0.15</f>
        <v>0.30000000000000004</v>
      </c>
      <c r="I3562" s="295">
        <f>H3562*G3562*F3562*E3562</f>
        <v>2.2005000000000003</v>
      </c>
      <c r="J3562" s="295"/>
      <c r="K3562" s="300">
        <f t="shared" si="450"/>
        <v>1.1000000000000001</v>
      </c>
      <c r="L3562" s="300">
        <f t="shared" si="457"/>
        <v>0</v>
      </c>
      <c r="M3562" s="285">
        <f t="shared" si="452"/>
        <v>0</v>
      </c>
      <c r="N3562" s="1076"/>
      <c r="O3562" s="294"/>
      <c r="P3562" s="404"/>
      <c r="Q3562" s="404"/>
    </row>
    <row r="3563" spans="1:17" ht="14.4" thickTop="1" thickBot="1" x14ac:dyDescent="0.3">
      <c r="A3563" s="292"/>
      <c r="B3563" s="296" t="s">
        <v>1642</v>
      </c>
      <c r="C3563" s="294"/>
      <c r="D3563" s="294"/>
      <c r="E3563" s="294">
        <v>1</v>
      </c>
      <c r="F3563" s="310">
        <v>10.537000000000001</v>
      </c>
      <c r="G3563" s="310">
        <v>0.3</v>
      </c>
      <c r="H3563" s="310">
        <f t="shared" ref="H3563:H3576" si="458">0.45-0.15</f>
        <v>0.30000000000000004</v>
      </c>
      <c r="I3563" s="295">
        <f>H3563*G3563*F3563*E3563</f>
        <v>0.94833000000000023</v>
      </c>
      <c r="J3563" s="295"/>
      <c r="K3563" s="300">
        <f t="shared" si="450"/>
        <v>1.1000000000000001</v>
      </c>
      <c r="L3563" s="300">
        <f t="shared" si="457"/>
        <v>0</v>
      </c>
      <c r="M3563" s="285">
        <f t="shared" si="452"/>
        <v>0</v>
      </c>
      <c r="N3563" s="1076"/>
      <c r="O3563" s="294"/>
      <c r="P3563" s="404"/>
      <c r="Q3563" s="404"/>
    </row>
    <row r="3564" spans="1:17" ht="14.4" thickTop="1" thickBot="1" x14ac:dyDescent="0.3">
      <c r="A3564" s="292"/>
      <c r="B3564" s="296" t="s">
        <v>1643</v>
      </c>
      <c r="C3564" s="294"/>
      <c r="D3564" s="294"/>
      <c r="E3564" s="294">
        <v>1</v>
      </c>
      <c r="F3564" s="310">
        <v>10.537000000000001</v>
      </c>
      <c r="G3564" s="310">
        <v>0.3</v>
      </c>
      <c r="H3564" s="310">
        <f t="shared" si="458"/>
        <v>0.30000000000000004</v>
      </c>
      <c r="I3564" s="295">
        <f t="shared" ref="I3564:I3572" si="459">H3564*G3564*F3564*E3564</f>
        <v>0.94833000000000023</v>
      </c>
      <c r="J3564" s="295"/>
      <c r="K3564" s="300">
        <f t="shared" si="450"/>
        <v>1.1000000000000001</v>
      </c>
      <c r="L3564" s="300">
        <f t="shared" si="457"/>
        <v>0</v>
      </c>
      <c r="M3564" s="285">
        <f t="shared" si="452"/>
        <v>0</v>
      </c>
      <c r="N3564" s="1076"/>
      <c r="O3564" s="294"/>
      <c r="P3564" s="404"/>
      <c r="Q3564" s="404"/>
    </row>
    <row r="3565" spans="1:17" ht="14.4" thickTop="1" thickBot="1" x14ac:dyDescent="0.3">
      <c r="A3565" s="292"/>
      <c r="B3565" s="296" t="s">
        <v>1645</v>
      </c>
      <c r="C3565" s="294"/>
      <c r="D3565" s="294"/>
      <c r="E3565" s="294">
        <v>1</v>
      </c>
      <c r="F3565" s="310">
        <v>3.6749999999999998</v>
      </c>
      <c r="G3565" s="310">
        <v>0.22500000000000001</v>
      </c>
      <c r="H3565" s="310">
        <f t="shared" si="458"/>
        <v>0.30000000000000004</v>
      </c>
      <c r="I3565" s="295">
        <f t="shared" si="459"/>
        <v>0.24806250000000005</v>
      </c>
      <c r="J3565" s="295"/>
      <c r="K3565" s="300">
        <f t="shared" si="450"/>
        <v>1.1000000000000001</v>
      </c>
      <c r="L3565" s="300"/>
      <c r="M3565" s="285"/>
      <c r="N3565" s="1076"/>
      <c r="O3565" s="294"/>
      <c r="P3565" s="404"/>
      <c r="Q3565" s="404"/>
    </row>
    <row r="3566" spans="1:17" ht="14.4" thickTop="1" thickBot="1" x14ac:dyDescent="0.3">
      <c r="A3566" s="292"/>
      <c r="B3566" s="296" t="s">
        <v>1644</v>
      </c>
      <c r="C3566" s="294"/>
      <c r="D3566" s="294"/>
      <c r="E3566" s="294">
        <v>1</v>
      </c>
      <c r="F3566" s="310">
        <v>6.7869999999999999</v>
      </c>
      <c r="G3566" s="310">
        <v>0.3</v>
      </c>
      <c r="H3566" s="310">
        <f t="shared" si="458"/>
        <v>0.30000000000000004</v>
      </c>
      <c r="I3566" s="295">
        <f t="shared" si="459"/>
        <v>0.6108300000000001</v>
      </c>
      <c r="J3566" s="295"/>
      <c r="K3566" s="300">
        <f t="shared" si="450"/>
        <v>1.1000000000000001</v>
      </c>
      <c r="L3566" s="300">
        <f t="shared" si="457"/>
        <v>0</v>
      </c>
      <c r="M3566" s="285">
        <f t="shared" si="452"/>
        <v>0</v>
      </c>
      <c r="N3566" s="1076"/>
      <c r="O3566" s="294"/>
      <c r="P3566" s="404"/>
      <c r="Q3566" s="404"/>
    </row>
    <row r="3567" spans="1:17" ht="14.4" thickTop="1" thickBot="1" x14ac:dyDescent="0.3">
      <c r="A3567" s="292"/>
      <c r="B3567" s="296" t="s">
        <v>1646</v>
      </c>
      <c r="C3567" s="294"/>
      <c r="D3567" s="294"/>
      <c r="E3567" s="294">
        <v>1</v>
      </c>
      <c r="F3567" s="310">
        <v>3.6749999999999998</v>
      </c>
      <c r="G3567" s="310">
        <v>0.22500000000000001</v>
      </c>
      <c r="H3567" s="310">
        <f t="shared" si="458"/>
        <v>0.30000000000000004</v>
      </c>
      <c r="I3567" s="295">
        <f t="shared" si="459"/>
        <v>0.24806250000000005</v>
      </c>
      <c r="J3567" s="295"/>
      <c r="K3567" s="300">
        <f t="shared" si="450"/>
        <v>1.1000000000000001</v>
      </c>
      <c r="L3567" s="300">
        <f t="shared" si="457"/>
        <v>0</v>
      </c>
      <c r="M3567" s="285">
        <f t="shared" si="452"/>
        <v>0</v>
      </c>
      <c r="N3567" s="1076"/>
      <c r="O3567" s="294"/>
      <c r="P3567" s="404"/>
      <c r="Q3567" s="404"/>
    </row>
    <row r="3568" spans="1:17" ht="14.4" thickTop="1" thickBot="1" x14ac:dyDescent="0.3">
      <c r="A3568" s="292"/>
      <c r="B3568" s="296" t="s">
        <v>1647</v>
      </c>
      <c r="C3568" s="294"/>
      <c r="D3568" s="294"/>
      <c r="E3568" s="294">
        <v>1</v>
      </c>
      <c r="F3568" s="310">
        <v>10.537000000000001</v>
      </c>
      <c r="G3568" s="310">
        <v>0.3</v>
      </c>
      <c r="H3568" s="310">
        <f t="shared" si="458"/>
        <v>0.30000000000000004</v>
      </c>
      <c r="I3568" s="295">
        <f t="shared" si="459"/>
        <v>0.94833000000000023</v>
      </c>
      <c r="J3568" s="295"/>
      <c r="K3568" s="300">
        <f t="shared" si="450"/>
        <v>1.1000000000000001</v>
      </c>
      <c r="L3568" s="300">
        <f t="shared" si="457"/>
        <v>0</v>
      </c>
      <c r="M3568" s="285">
        <f t="shared" si="452"/>
        <v>0</v>
      </c>
      <c r="N3568" s="1076"/>
      <c r="O3568" s="294"/>
      <c r="P3568" s="404"/>
      <c r="Q3568" s="404"/>
    </row>
    <row r="3569" spans="1:17" ht="14.4" thickTop="1" thickBot="1" x14ac:dyDescent="0.3">
      <c r="A3569" s="292"/>
      <c r="B3569" s="296" t="s">
        <v>1648</v>
      </c>
      <c r="C3569" s="294"/>
      <c r="D3569" s="294"/>
      <c r="E3569" s="294">
        <v>1</v>
      </c>
      <c r="F3569" s="310">
        <v>10.537000000000001</v>
      </c>
      <c r="G3569" s="310">
        <v>0.3</v>
      </c>
      <c r="H3569" s="310">
        <f t="shared" si="458"/>
        <v>0.30000000000000004</v>
      </c>
      <c r="I3569" s="295">
        <f t="shared" si="459"/>
        <v>0.94833000000000023</v>
      </c>
      <c r="J3569" s="295"/>
      <c r="K3569" s="300">
        <f t="shared" si="450"/>
        <v>1.1000000000000001</v>
      </c>
      <c r="L3569" s="300">
        <f t="shared" si="457"/>
        <v>0</v>
      </c>
      <c r="M3569" s="285">
        <f t="shared" si="452"/>
        <v>0</v>
      </c>
      <c r="N3569" s="1076"/>
      <c r="O3569" s="294"/>
      <c r="P3569" s="404"/>
      <c r="Q3569" s="404"/>
    </row>
    <row r="3570" spans="1:17" ht="14.4" thickTop="1" thickBot="1" x14ac:dyDescent="0.3">
      <c r="A3570" s="292"/>
      <c r="B3570" s="296" t="s">
        <v>1649</v>
      </c>
      <c r="C3570" s="294"/>
      <c r="D3570" s="294"/>
      <c r="E3570" s="294">
        <v>5</v>
      </c>
      <c r="F3570" s="310">
        <v>1.7250000000000001</v>
      </c>
      <c r="G3570" s="310">
        <v>0.3</v>
      </c>
      <c r="H3570" s="310">
        <f t="shared" si="458"/>
        <v>0.30000000000000004</v>
      </c>
      <c r="I3570" s="295">
        <f t="shared" si="459"/>
        <v>0.77625000000000011</v>
      </c>
      <c r="J3570" s="295"/>
      <c r="K3570" s="300">
        <f t="shared" si="450"/>
        <v>1.1000000000000001</v>
      </c>
      <c r="L3570" s="300">
        <f t="shared" si="457"/>
        <v>0</v>
      </c>
      <c r="M3570" s="285">
        <f t="shared" si="452"/>
        <v>0</v>
      </c>
      <c r="N3570" s="1076"/>
      <c r="O3570" s="294"/>
      <c r="P3570" s="404"/>
      <c r="Q3570" s="404"/>
    </row>
    <row r="3571" spans="1:17" ht="14.4" thickTop="1" thickBot="1" x14ac:dyDescent="0.3">
      <c r="A3571" s="292"/>
      <c r="B3571" s="296" t="s">
        <v>1650</v>
      </c>
      <c r="C3571" s="294"/>
      <c r="D3571" s="294"/>
      <c r="E3571" s="294">
        <v>1</v>
      </c>
      <c r="F3571" s="310">
        <v>5.6109999999999998</v>
      </c>
      <c r="G3571" s="310">
        <v>0.3</v>
      </c>
      <c r="H3571" s="310">
        <f t="shared" si="458"/>
        <v>0.30000000000000004</v>
      </c>
      <c r="I3571" s="295">
        <f t="shared" si="459"/>
        <v>0.50499000000000005</v>
      </c>
      <c r="J3571" s="295"/>
      <c r="K3571" s="300">
        <f t="shared" si="450"/>
        <v>1.1000000000000001</v>
      </c>
      <c r="L3571" s="300">
        <f t="shared" si="457"/>
        <v>0</v>
      </c>
      <c r="M3571" s="285">
        <f t="shared" si="452"/>
        <v>0</v>
      </c>
      <c r="N3571" s="1076"/>
      <c r="O3571" s="294"/>
      <c r="P3571" s="404"/>
      <c r="Q3571" s="404"/>
    </row>
    <row r="3572" spans="1:17" ht="14.4" thickTop="1" thickBot="1" x14ac:dyDescent="0.3">
      <c r="A3572" s="292"/>
      <c r="B3572" s="296" t="s">
        <v>1655</v>
      </c>
      <c r="C3572" s="294"/>
      <c r="D3572" s="294"/>
      <c r="E3572" s="294">
        <v>3</v>
      </c>
      <c r="F3572" s="310">
        <v>26.024999999999999</v>
      </c>
      <c r="G3572" s="310">
        <v>0.3</v>
      </c>
      <c r="H3572" s="310">
        <f t="shared" si="458"/>
        <v>0.30000000000000004</v>
      </c>
      <c r="I3572" s="295">
        <f t="shared" si="459"/>
        <v>7.0267499999999998</v>
      </c>
      <c r="J3572" s="295"/>
      <c r="K3572" s="300">
        <f t="shared" si="450"/>
        <v>1.1000000000000001</v>
      </c>
      <c r="L3572" s="300">
        <f t="shared" si="457"/>
        <v>0</v>
      </c>
      <c r="M3572" s="285">
        <f t="shared" si="452"/>
        <v>0</v>
      </c>
      <c r="N3572" s="1076"/>
      <c r="O3572" s="294"/>
      <c r="P3572" s="404"/>
      <c r="Q3572" s="404"/>
    </row>
    <row r="3573" spans="1:17" ht="14.4" thickTop="1" thickBot="1" x14ac:dyDescent="0.3">
      <c r="A3573" s="292"/>
      <c r="B3573" s="296" t="s">
        <v>1651</v>
      </c>
      <c r="C3573" s="294"/>
      <c r="D3573" s="294"/>
      <c r="E3573" s="294">
        <v>1</v>
      </c>
      <c r="F3573" s="310">
        <v>4.7249999999999996</v>
      </c>
      <c r="G3573" s="310">
        <v>0.22500000000000001</v>
      </c>
      <c r="H3573" s="310">
        <f t="shared" si="458"/>
        <v>0.30000000000000004</v>
      </c>
      <c r="I3573" s="295">
        <f>H3573*G3573*F3573*E3573</f>
        <v>0.31893750000000004</v>
      </c>
      <c r="J3573" s="295"/>
      <c r="K3573" s="300">
        <f t="shared" si="450"/>
        <v>1.1000000000000001</v>
      </c>
      <c r="L3573" s="300">
        <f t="shared" si="457"/>
        <v>0</v>
      </c>
      <c r="M3573" s="285">
        <f t="shared" si="452"/>
        <v>0</v>
      </c>
      <c r="N3573" s="1076"/>
      <c r="O3573" s="294"/>
      <c r="P3573" s="404"/>
      <c r="Q3573" s="404"/>
    </row>
    <row r="3574" spans="1:17" ht="14.4" thickTop="1" thickBot="1" x14ac:dyDescent="0.3">
      <c r="A3574" s="292"/>
      <c r="B3574" s="296" t="s">
        <v>1652</v>
      </c>
      <c r="C3574" s="294"/>
      <c r="D3574" s="294"/>
      <c r="E3574" s="294">
        <v>1</v>
      </c>
      <c r="F3574" s="310">
        <v>9.4130000000000003</v>
      </c>
      <c r="G3574" s="310">
        <v>0.22500000000000001</v>
      </c>
      <c r="H3574" s="310">
        <f t="shared" si="458"/>
        <v>0.30000000000000004</v>
      </c>
      <c r="I3574" s="295">
        <f>H3574*G3574*F3574*E3574</f>
        <v>0.63537750000000015</v>
      </c>
      <c r="J3574" s="295"/>
      <c r="K3574" s="300">
        <f t="shared" si="450"/>
        <v>1.1000000000000001</v>
      </c>
      <c r="L3574" s="300">
        <f t="shared" si="457"/>
        <v>0</v>
      </c>
      <c r="M3574" s="285">
        <f t="shared" si="452"/>
        <v>0</v>
      </c>
      <c r="N3574" s="1076"/>
      <c r="O3574" s="294"/>
      <c r="P3574" s="404"/>
      <c r="Q3574" s="404"/>
    </row>
    <row r="3575" spans="1:17" ht="14.4" thickTop="1" thickBot="1" x14ac:dyDescent="0.3">
      <c r="A3575" s="292"/>
      <c r="B3575" s="296" t="s">
        <v>1653</v>
      </c>
      <c r="C3575" s="294"/>
      <c r="D3575" s="294"/>
      <c r="E3575" s="294">
        <v>1</v>
      </c>
      <c r="F3575" s="310">
        <v>21.661999999999999</v>
      </c>
      <c r="G3575" s="310">
        <v>0.22500000000000001</v>
      </c>
      <c r="H3575" s="310">
        <f t="shared" si="458"/>
        <v>0.30000000000000004</v>
      </c>
      <c r="I3575" s="295">
        <f>H3575*G3575*F3575*E3575</f>
        <v>1.4621850000000003</v>
      </c>
      <c r="J3575" s="295"/>
      <c r="K3575" s="300">
        <f t="shared" si="450"/>
        <v>1.1000000000000001</v>
      </c>
      <c r="L3575" s="300">
        <f t="shared" si="457"/>
        <v>0</v>
      </c>
      <c r="M3575" s="285">
        <f t="shared" si="452"/>
        <v>0</v>
      </c>
      <c r="N3575" s="1076"/>
      <c r="O3575" s="294"/>
      <c r="P3575" s="404"/>
      <c r="Q3575" s="404"/>
    </row>
    <row r="3576" spans="1:17" ht="14.4" thickTop="1" thickBot="1" x14ac:dyDescent="0.3">
      <c r="A3576" s="292"/>
      <c r="B3576" s="296" t="s">
        <v>1654</v>
      </c>
      <c r="C3576" s="294"/>
      <c r="D3576" s="294"/>
      <c r="E3576" s="294">
        <v>1</v>
      </c>
      <c r="F3576" s="310">
        <v>2.3370000000000002</v>
      </c>
      <c r="G3576" s="310">
        <v>0.22500000000000001</v>
      </c>
      <c r="H3576" s="310">
        <f t="shared" si="458"/>
        <v>0.30000000000000004</v>
      </c>
      <c r="I3576" s="295">
        <f>H3576*G3576*F3576*E3576</f>
        <v>0.15774750000000007</v>
      </c>
      <c r="J3576" s="295">
        <f>SUM(I3562:I3576)</f>
        <v>17.983012500000001</v>
      </c>
      <c r="K3576" s="300">
        <v>1.05</v>
      </c>
      <c r="L3576" s="300">
        <f t="shared" si="457"/>
        <v>18.882163125000002</v>
      </c>
      <c r="M3576" s="285">
        <f t="shared" si="452"/>
        <v>19</v>
      </c>
      <c r="N3576" s="1076"/>
      <c r="O3576" s="294"/>
      <c r="P3576" s="404"/>
      <c r="Q3576" s="404"/>
    </row>
    <row r="3577" spans="1:17" ht="14.4" thickTop="1" thickBot="1" x14ac:dyDescent="0.3">
      <c r="A3577" s="292"/>
      <c r="B3577" s="296"/>
      <c r="C3577" s="294"/>
      <c r="D3577" s="294"/>
      <c r="E3577" s="294"/>
      <c r="F3577" s="310"/>
      <c r="G3577" s="310"/>
      <c r="H3577" s="310"/>
      <c r="I3577" s="295"/>
      <c r="J3577" s="295">
        <f>J3576/2.83</f>
        <v>6.3544213780918728</v>
      </c>
      <c r="K3577" s="300">
        <f t="shared" si="450"/>
        <v>1.1000000000000001</v>
      </c>
      <c r="L3577" s="300">
        <f t="shared" si="457"/>
        <v>6.9898635159010603</v>
      </c>
      <c r="M3577" s="285">
        <f>ROUND(L3577,0)</f>
        <v>7</v>
      </c>
      <c r="N3577" s="1076"/>
      <c r="O3577" s="294"/>
      <c r="P3577" s="404"/>
      <c r="Q3577" s="404"/>
    </row>
    <row r="3578" spans="1:17" ht="14.4" thickTop="1" thickBot="1" x14ac:dyDescent="0.3">
      <c r="A3578" s="292"/>
      <c r="B3578" s="296"/>
      <c r="C3578" s="294"/>
      <c r="D3578" s="294"/>
      <c r="E3578" s="294"/>
      <c r="F3578" s="310"/>
      <c r="G3578" s="310"/>
      <c r="H3578" s="310"/>
      <c r="I3578" s="295"/>
      <c r="J3578" s="295"/>
      <c r="K3578" s="300">
        <f t="shared" si="450"/>
        <v>1.1000000000000001</v>
      </c>
      <c r="L3578" s="300">
        <f t="shared" si="457"/>
        <v>0</v>
      </c>
      <c r="M3578" s="285">
        <f t="shared" si="452"/>
        <v>0</v>
      </c>
      <c r="N3578" s="1076"/>
      <c r="O3578" s="294"/>
      <c r="P3578" s="404"/>
      <c r="Q3578" s="404"/>
    </row>
    <row r="3579" spans="1:17" ht="14.4" thickTop="1" thickBot="1" x14ac:dyDescent="0.3">
      <c r="A3579" s="292"/>
      <c r="B3579" s="296" t="s">
        <v>748</v>
      </c>
      <c r="C3579" s="294"/>
      <c r="D3579" s="294"/>
      <c r="E3579" s="294"/>
      <c r="F3579" s="310"/>
      <c r="G3579" s="310"/>
      <c r="H3579" s="310"/>
      <c r="I3579" s="295"/>
      <c r="J3579" s="295"/>
      <c r="K3579" s="300"/>
      <c r="L3579" s="300"/>
      <c r="M3579" s="285"/>
      <c r="N3579" s="1076"/>
      <c r="O3579" s="294"/>
      <c r="P3579" s="404"/>
      <c r="Q3579" s="404"/>
    </row>
    <row r="3580" spans="1:17" ht="14.4" thickTop="1" thickBot="1" x14ac:dyDescent="0.3">
      <c r="A3580" s="292"/>
      <c r="B3580" s="296" t="s">
        <v>1641</v>
      </c>
      <c r="C3580" s="294"/>
      <c r="D3580" s="294"/>
      <c r="E3580" s="294">
        <v>2</v>
      </c>
      <c r="F3580" s="310">
        <v>12.225</v>
      </c>
      <c r="G3580" s="310"/>
      <c r="H3580" s="310">
        <f>G3562+H3562+H3562</f>
        <v>0.90000000000000013</v>
      </c>
      <c r="I3580" s="295">
        <f>H3580*F3580*E3580</f>
        <v>22.005000000000003</v>
      </c>
      <c r="J3580" s="295"/>
      <c r="K3580" s="300"/>
      <c r="L3580" s="300"/>
      <c r="M3580" s="285"/>
      <c r="N3580" s="1076"/>
      <c r="O3580" s="294"/>
      <c r="P3580" s="404"/>
      <c r="Q3580" s="404"/>
    </row>
    <row r="3581" spans="1:17" ht="14.4" thickTop="1" thickBot="1" x14ac:dyDescent="0.3">
      <c r="A3581" s="292"/>
      <c r="B3581" s="296" t="s">
        <v>1642</v>
      </c>
      <c r="C3581" s="294"/>
      <c r="D3581" s="294"/>
      <c r="E3581" s="294">
        <v>1</v>
      </c>
      <c r="F3581" s="310">
        <v>10.537000000000001</v>
      </c>
      <c r="G3581" s="310"/>
      <c r="H3581" s="310">
        <f t="shared" ref="H3581:H3594" si="460">G3563+H3563+H3563</f>
        <v>0.90000000000000013</v>
      </c>
      <c r="I3581" s="295">
        <f t="shared" ref="I3581:I3594" si="461">H3581*F3581*E3581</f>
        <v>9.4833000000000016</v>
      </c>
      <c r="J3581" s="295"/>
      <c r="K3581" s="300"/>
      <c r="L3581" s="300"/>
      <c r="M3581" s="285"/>
      <c r="N3581" s="1076"/>
      <c r="O3581" s="294"/>
      <c r="P3581" s="404"/>
      <c r="Q3581" s="404"/>
    </row>
    <row r="3582" spans="1:17" ht="14.4" thickTop="1" thickBot="1" x14ac:dyDescent="0.3">
      <c r="A3582" s="292"/>
      <c r="B3582" s="296" t="s">
        <v>1643</v>
      </c>
      <c r="C3582" s="294"/>
      <c r="D3582" s="294"/>
      <c r="E3582" s="294">
        <v>1</v>
      </c>
      <c r="F3582" s="310">
        <v>10.537000000000001</v>
      </c>
      <c r="G3582" s="310"/>
      <c r="H3582" s="310">
        <f t="shared" si="460"/>
        <v>0.90000000000000013</v>
      </c>
      <c r="I3582" s="295">
        <f t="shared" si="461"/>
        <v>9.4833000000000016</v>
      </c>
      <c r="J3582" s="295"/>
      <c r="K3582" s="300"/>
      <c r="L3582" s="300"/>
      <c r="M3582" s="285"/>
      <c r="N3582" s="1076"/>
      <c r="O3582" s="294"/>
      <c r="P3582" s="404"/>
      <c r="Q3582" s="404"/>
    </row>
    <row r="3583" spans="1:17" ht="14.4" thickTop="1" thickBot="1" x14ac:dyDescent="0.3">
      <c r="A3583" s="292"/>
      <c r="B3583" s="296" t="s">
        <v>1645</v>
      </c>
      <c r="C3583" s="294"/>
      <c r="D3583" s="294"/>
      <c r="E3583" s="294">
        <v>1</v>
      </c>
      <c r="F3583" s="310">
        <v>3.6749999999999998</v>
      </c>
      <c r="G3583" s="310"/>
      <c r="H3583" s="310">
        <f t="shared" si="460"/>
        <v>0.82500000000000007</v>
      </c>
      <c r="I3583" s="295">
        <f t="shared" si="461"/>
        <v>3.0318750000000003</v>
      </c>
      <c r="J3583" s="295"/>
      <c r="K3583" s="300"/>
      <c r="L3583" s="300"/>
      <c r="M3583" s="285"/>
      <c r="N3583" s="1076"/>
      <c r="O3583" s="294"/>
      <c r="P3583" s="404"/>
      <c r="Q3583" s="404"/>
    </row>
    <row r="3584" spans="1:17" ht="14.4" thickTop="1" thickBot="1" x14ac:dyDescent="0.3">
      <c r="A3584" s="292"/>
      <c r="B3584" s="296" t="s">
        <v>1644</v>
      </c>
      <c r="C3584" s="294"/>
      <c r="D3584" s="294"/>
      <c r="E3584" s="294">
        <v>1</v>
      </c>
      <c r="F3584" s="310">
        <v>6.7869999999999999</v>
      </c>
      <c r="G3584" s="310"/>
      <c r="H3584" s="310">
        <f t="shared" si="460"/>
        <v>0.90000000000000013</v>
      </c>
      <c r="I3584" s="295">
        <f t="shared" si="461"/>
        <v>6.1083000000000007</v>
      </c>
      <c r="J3584" s="295"/>
      <c r="K3584" s="300"/>
      <c r="L3584" s="300"/>
      <c r="M3584" s="285"/>
      <c r="N3584" s="1076"/>
      <c r="O3584" s="294"/>
      <c r="P3584" s="404"/>
      <c r="Q3584" s="404"/>
    </row>
    <row r="3585" spans="1:17" ht="14.4" thickTop="1" thickBot="1" x14ac:dyDescent="0.3">
      <c r="A3585" s="292"/>
      <c r="B3585" s="296" t="s">
        <v>1646</v>
      </c>
      <c r="C3585" s="294"/>
      <c r="D3585" s="294"/>
      <c r="E3585" s="294">
        <v>1</v>
      </c>
      <c r="F3585" s="310">
        <v>3.6749999999999998</v>
      </c>
      <c r="G3585" s="310"/>
      <c r="H3585" s="310">
        <f t="shared" si="460"/>
        <v>0.82500000000000007</v>
      </c>
      <c r="I3585" s="295">
        <f t="shared" si="461"/>
        <v>3.0318750000000003</v>
      </c>
      <c r="J3585" s="295"/>
      <c r="K3585" s="300"/>
      <c r="L3585" s="300"/>
      <c r="M3585" s="285"/>
      <c r="N3585" s="1076"/>
      <c r="O3585" s="294"/>
      <c r="P3585" s="404"/>
      <c r="Q3585" s="404"/>
    </row>
    <row r="3586" spans="1:17" ht="14.4" thickTop="1" thickBot="1" x14ac:dyDescent="0.3">
      <c r="A3586" s="292"/>
      <c r="B3586" s="296" t="s">
        <v>1647</v>
      </c>
      <c r="C3586" s="294"/>
      <c r="D3586" s="294"/>
      <c r="E3586" s="294">
        <v>1</v>
      </c>
      <c r="F3586" s="310">
        <v>10.537000000000001</v>
      </c>
      <c r="G3586" s="310"/>
      <c r="H3586" s="310">
        <f t="shared" si="460"/>
        <v>0.90000000000000013</v>
      </c>
      <c r="I3586" s="295">
        <f t="shared" si="461"/>
        <v>9.4833000000000016</v>
      </c>
      <c r="J3586" s="295"/>
      <c r="K3586" s="300"/>
      <c r="L3586" s="300"/>
      <c r="M3586" s="285"/>
      <c r="N3586" s="1076"/>
      <c r="O3586" s="294"/>
      <c r="P3586" s="404"/>
      <c r="Q3586" s="404"/>
    </row>
    <row r="3587" spans="1:17" ht="14.4" thickTop="1" thickBot="1" x14ac:dyDescent="0.3">
      <c r="A3587" s="292"/>
      <c r="B3587" s="296" t="s">
        <v>1648</v>
      </c>
      <c r="C3587" s="294"/>
      <c r="D3587" s="294"/>
      <c r="E3587" s="294">
        <v>1</v>
      </c>
      <c r="F3587" s="310">
        <v>10.537000000000001</v>
      </c>
      <c r="G3587" s="310"/>
      <c r="H3587" s="310">
        <f t="shared" si="460"/>
        <v>0.90000000000000013</v>
      </c>
      <c r="I3587" s="295">
        <f t="shared" si="461"/>
        <v>9.4833000000000016</v>
      </c>
      <c r="J3587" s="295"/>
      <c r="K3587" s="300"/>
      <c r="L3587" s="300"/>
      <c r="M3587" s="285"/>
      <c r="N3587" s="1076"/>
      <c r="O3587" s="294"/>
      <c r="P3587" s="404"/>
      <c r="Q3587" s="404"/>
    </row>
    <row r="3588" spans="1:17" ht="14.4" thickTop="1" thickBot="1" x14ac:dyDescent="0.3">
      <c r="A3588" s="292"/>
      <c r="B3588" s="296" t="s">
        <v>1649</v>
      </c>
      <c r="C3588" s="294"/>
      <c r="D3588" s="294"/>
      <c r="E3588" s="294">
        <v>5</v>
      </c>
      <c r="F3588" s="310">
        <v>1.7250000000000001</v>
      </c>
      <c r="G3588" s="310"/>
      <c r="H3588" s="310">
        <f t="shared" si="460"/>
        <v>0.90000000000000013</v>
      </c>
      <c r="I3588" s="295">
        <f t="shared" si="461"/>
        <v>7.7625000000000011</v>
      </c>
      <c r="J3588" s="295"/>
      <c r="K3588" s="300"/>
      <c r="L3588" s="300"/>
      <c r="M3588" s="285"/>
      <c r="N3588" s="1076"/>
      <c r="O3588" s="294"/>
      <c r="P3588" s="404"/>
      <c r="Q3588" s="404"/>
    </row>
    <row r="3589" spans="1:17" ht="14.4" thickTop="1" thickBot="1" x14ac:dyDescent="0.3">
      <c r="A3589" s="292"/>
      <c r="B3589" s="296" t="s">
        <v>1650</v>
      </c>
      <c r="C3589" s="294"/>
      <c r="D3589" s="294"/>
      <c r="E3589" s="294">
        <v>1</v>
      </c>
      <c r="F3589" s="310">
        <v>5.6109999999999998</v>
      </c>
      <c r="G3589" s="310"/>
      <c r="H3589" s="310">
        <f t="shared" si="460"/>
        <v>0.90000000000000013</v>
      </c>
      <c r="I3589" s="295">
        <f t="shared" si="461"/>
        <v>5.0499000000000009</v>
      </c>
      <c r="J3589" s="295"/>
      <c r="K3589" s="300"/>
      <c r="L3589" s="300"/>
      <c r="M3589" s="285"/>
      <c r="N3589" s="1076"/>
      <c r="O3589" s="294"/>
      <c r="P3589" s="404"/>
      <c r="Q3589" s="404"/>
    </row>
    <row r="3590" spans="1:17" ht="14.4" thickTop="1" thickBot="1" x14ac:dyDescent="0.3">
      <c r="A3590" s="292"/>
      <c r="B3590" s="296" t="s">
        <v>1655</v>
      </c>
      <c r="C3590" s="294"/>
      <c r="D3590" s="294"/>
      <c r="E3590" s="294">
        <v>3</v>
      </c>
      <c r="F3590" s="310">
        <v>26.024999999999999</v>
      </c>
      <c r="G3590" s="310"/>
      <c r="H3590" s="310">
        <f t="shared" si="460"/>
        <v>0.90000000000000013</v>
      </c>
      <c r="I3590" s="295">
        <f t="shared" si="461"/>
        <v>70.267500000000013</v>
      </c>
      <c r="J3590" s="295"/>
      <c r="K3590" s="300"/>
      <c r="L3590" s="300"/>
      <c r="M3590" s="285"/>
      <c r="N3590" s="1076"/>
      <c r="O3590" s="294"/>
      <c r="P3590" s="404"/>
      <c r="Q3590" s="404"/>
    </row>
    <row r="3591" spans="1:17" ht="14.4" thickTop="1" thickBot="1" x14ac:dyDescent="0.3">
      <c r="A3591" s="292"/>
      <c r="B3591" s="296" t="s">
        <v>1651</v>
      </c>
      <c r="C3591" s="294"/>
      <c r="D3591" s="294"/>
      <c r="E3591" s="294">
        <v>1</v>
      </c>
      <c r="F3591" s="310">
        <v>4.7249999999999996</v>
      </c>
      <c r="G3591" s="310"/>
      <c r="H3591" s="310">
        <f t="shared" si="460"/>
        <v>0.82500000000000007</v>
      </c>
      <c r="I3591" s="295">
        <f t="shared" si="461"/>
        <v>3.8981249999999998</v>
      </c>
      <c r="J3591" s="295"/>
      <c r="K3591" s="300"/>
      <c r="L3591" s="300"/>
      <c r="M3591" s="285"/>
      <c r="N3591" s="1076"/>
      <c r="O3591" s="294"/>
      <c r="P3591" s="404"/>
      <c r="Q3591" s="404"/>
    </row>
    <row r="3592" spans="1:17" ht="14.4" thickTop="1" thickBot="1" x14ac:dyDescent="0.3">
      <c r="A3592" s="292"/>
      <c r="B3592" s="296" t="s">
        <v>1652</v>
      </c>
      <c r="C3592" s="294"/>
      <c r="D3592" s="294"/>
      <c r="E3592" s="294">
        <v>1</v>
      </c>
      <c r="F3592" s="310">
        <v>9.4130000000000003</v>
      </c>
      <c r="G3592" s="310"/>
      <c r="H3592" s="310">
        <f t="shared" si="460"/>
        <v>0.82500000000000007</v>
      </c>
      <c r="I3592" s="295">
        <f t="shared" si="461"/>
        <v>7.7657250000000007</v>
      </c>
      <c r="J3592" s="295"/>
      <c r="K3592" s="300"/>
      <c r="L3592" s="300"/>
      <c r="M3592" s="285"/>
      <c r="N3592" s="1076"/>
      <c r="O3592" s="294"/>
      <c r="P3592" s="404"/>
      <c r="Q3592" s="404"/>
    </row>
    <row r="3593" spans="1:17" ht="14.4" thickTop="1" thickBot="1" x14ac:dyDescent="0.3">
      <c r="A3593" s="292"/>
      <c r="B3593" s="296" t="s">
        <v>1653</v>
      </c>
      <c r="C3593" s="294"/>
      <c r="D3593" s="294"/>
      <c r="E3593" s="294">
        <v>1</v>
      </c>
      <c r="F3593" s="310">
        <v>21.661999999999999</v>
      </c>
      <c r="G3593" s="310"/>
      <c r="H3593" s="310">
        <f t="shared" si="460"/>
        <v>0.82500000000000007</v>
      </c>
      <c r="I3593" s="295">
        <f t="shared" si="461"/>
        <v>17.87115</v>
      </c>
      <c r="J3593" s="295"/>
      <c r="K3593" s="300"/>
      <c r="L3593" s="300"/>
      <c r="M3593" s="285"/>
      <c r="N3593" s="1076"/>
      <c r="O3593" s="294"/>
      <c r="P3593" s="404"/>
      <c r="Q3593" s="404"/>
    </row>
    <row r="3594" spans="1:17" ht="14.4" thickTop="1" thickBot="1" x14ac:dyDescent="0.3">
      <c r="A3594" s="292"/>
      <c r="B3594" s="296" t="s">
        <v>1654</v>
      </c>
      <c r="C3594" s="294"/>
      <c r="D3594" s="294"/>
      <c r="E3594" s="294">
        <v>1</v>
      </c>
      <c r="F3594" s="310">
        <v>2.3370000000000002</v>
      </c>
      <c r="G3594" s="310"/>
      <c r="H3594" s="310">
        <f t="shared" si="460"/>
        <v>0.82500000000000007</v>
      </c>
      <c r="I3594" s="295">
        <f t="shared" si="461"/>
        <v>1.9280250000000003</v>
      </c>
      <c r="J3594" s="295">
        <f>SUM(I3580:I3594)</f>
        <v>186.653175</v>
      </c>
      <c r="K3594" s="300">
        <f t="shared" si="450"/>
        <v>1.1000000000000001</v>
      </c>
      <c r="L3594" s="300">
        <f t="shared" ref="L3594:L3595" si="462">K3594*J3594</f>
        <v>205.31849250000002</v>
      </c>
      <c r="M3594" s="285">
        <f t="shared" ref="M3594:M3595" si="463">ROUND(L3594,0)</f>
        <v>205</v>
      </c>
      <c r="N3594" s="1076"/>
      <c r="O3594" s="294"/>
      <c r="P3594" s="413">
        <f>J3594*10.76</f>
        <v>2008.3881630000001</v>
      </c>
      <c r="Q3594" s="404"/>
    </row>
    <row r="3595" spans="1:17" ht="14.4" thickTop="1" thickBot="1" x14ac:dyDescent="0.3">
      <c r="A3595" s="292"/>
      <c r="B3595" s="296"/>
      <c r="C3595" s="294"/>
      <c r="D3595" s="294"/>
      <c r="E3595" s="294"/>
      <c r="F3595" s="310"/>
      <c r="G3595" s="310"/>
      <c r="H3595" s="310"/>
      <c r="I3595" s="295"/>
      <c r="J3595" s="295">
        <f>J3594/9.29</f>
        <v>20.091837997847151</v>
      </c>
      <c r="K3595" s="300">
        <v>1.05</v>
      </c>
      <c r="L3595" s="300">
        <f t="shared" si="462"/>
        <v>21.096429897739508</v>
      </c>
      <c r="M3595" s="285">
        <f t="shared" si="463"/>
        <v>21</v>
      </c>
      <c r="N3595" s="1076"/>
      <c r="O3595" s="294"/>
      <c r="P3595" s="413">
        <f>P3594/100</f>
        <v>20.08388163</v>
      </c>
      <c r="Q3595" s="413">
        <f>M3595-J3595</f>
        <v>0.90816200215284937</v>
      </c>
    </row>
    <row r="3596" spans="1:17" ht="14.4" thickTop="1" thickBot="1" x14ac:dyDescent="0.3">
      <c r="A3596" s="292"/>
      <c r="B3596" s="296"/>
      <c r="C3596" s="294"/>
      <c r="D3596" s="294"/>
      <c r="E3596" s="294"/>
      <c r="F3596" s="310"/>
      <c r="G3596" s="310"/>
      <c r="H3596" s="310"/>
      <c r="I3596" s="295"/>
      <c r="J3596" s="295"/>
      <c r="K3596" s="300"/>
      <c r="L3596" s="300"/>
      <c r="M3596" s="285"/>
      <c r="N3596" s="1076"/>
      <c r="O3596" s="294"/>
      <c r="P3596" s="404"/>
      <c r="Q3596" s="404"/>
    </row>
    <row r="3597" spans="1:17" ht="14.4" thickTop="1" thickBot="1" x14ac:dyDescent="0.3">
      <c r="A3597" s="292"/>
      <c r="B3597" s="296" t="s">
        <v>1656</v>
      </c>
      <c r="C3597" s="294"/>
      <c r="D3597" s="294"/>
      <c r="E3597" s="294"/>
      <c r="F3597" s="310"/>
      <c r="G3597" s="310"/>
      <c r="H3597" s="310"/>
      <c r="I3597" s="295"/>
      <c r="J3597" s="295"/>
      <c r="K3597" s="300">
        <f t="shared" si="450"/>
        <v>1.1000000000000001</v>
      </c>
      <c r="L3597" s="300">
        <f t="shared" si="457"/>
        <v>0</v>
      </c>
      <c r="M3597" s="285">
        <f t="shared" si="452"/>
        <v>0</v>
      </c>
      <c r="N3597" s="1076"/>
      <c r="O3597" s="294"/>
      <c r="P3597" s="404"/>
      <c r="Q3597" s="404"/>
    </row>
    <row r="3598" spans="1:17" ht="14.4" thickTop="1" thickBot="1" x14ac:dyDescent="0.3">
      <c r="A3598" s="292"/>
      <c r="B3598" s="296" t="s">
        <v>1719</v>
      </c>
      <c r="C3598" s="294"/>
      <c r="D3598" s="294"/>
      <c r="E3598" s="294">
        <v>2</v>
      </c>
      <c r="F3598" s="310">
        <v>26.024999999999999</v>
      </c>
      <c r="G3598" s="310">
        <v>0.3</v>
      </c>
      <c r="H3598" s="310">
        <v>0.45</v>
      </c>
      <c r="I3598" s="295">
        <f>H3598*G3598*F3598*E3598</f>
        <v>7.0267499999999998</v>
      </c>
      <c r="J3598" s="295"/>
      <c r="K3598" s="300"/>
      <c r="L3598" s="300"/>
      <c r="M3598" s="285"/>
      <c r="N3598" s="1076"/>
      <c r="O3598" s="294"/>
      <c r="P3598" s="404"/>
      <c r="Q3598" s="404"/>
    </row>
    <row r="3599" spans="1:17" ht="14.4" thickTop="1" thickBot="1" x14ac:dyDescent="0.3">
      <c r="A3599" s="292"/>
      <c r="B3599" s="296" t="s">
        <v>1720</v>
      </c>
      <c r="C3599" s="294"/>
      <c r="D3599" s="294"/>
      <c r="E3599" s="294">
        <v>2</v>
      </c>
      <c r="F3599" s="310">
        <v>10.53</v>
      </c>
      <c r="G3599" s="310">
        <v>0.3</v>
      </c>
      <c r="H3599" s="310">
        <v>0.45</v>
      </c>
      <c r="I3599" s="295">
        <f>H3599*G3599*F3599*E3599</f>
        <v>2.8431000000000002</v>
      </c>
      <c r="J3599" s="295"/>
      <c r="K3599" s="300"/>
      <c r="L3599" s="300"/>
      <c r="M3599" s="285"/>
      <c r="N3599" s="1076"/>
      <c r="O3599" s="294"/>
      <c r="P3599" s="404"/>
      <c r="Q3599" s="404"/>
    </row>
    <row r="3600" spans="1:17" ht="14.4" thickTop="1" thickBot="1" x14ac:dyDescent="0.3">
      <c r="A3600" s="292"/>
      <c r="B3600" s="296" t="s">
        <v>1721</v>
      </c>
      <c r="C3600" s="294"/>
      <c r="D3600" s="294"/>
      <c r="E3600" s="294">
        <v>2</v>
      </c>
      <c r="F3600" s="310">
        <v>6.1760000000000002</v>
      </c>
      <c r="G3600" s="310">
        <v>0.3</v>
      </c>
      <c r="H3600" s="310">
        <v>0.45</v>
      </c>
      <c r="I3600" s="295">
        <f>H3600*G3600*F3600*E3600</f>
        <v>1.6675200000000001</v>
      </c>
      <c r="J3600" s="295"/>
      <c r="K3600" s="300"/>
      <c r="L3600" s="300"/>
      <c r="M3600" s="285"/>
      <c r="N3600" s="1076"/>
      <c r="O3600" s="294"/>
      <c r="P3600" s="404"/>
      <c r="Q3600" s="404"/>
    </row>
    <row r="3601" spans="1:17" ht="14.4" thickTop="1" thickBot="1" x14ac:dyDescent="0.3">
      <c r="A3601" s="292"/>
      <c r="B3601" s="296" t="s">
        <v>1723</v>
      </c>
      <c r="C3601" s="294"/>
      <c r="D3601" s="294"/>
      <c r="E3601" s="294">
        <v>2</v>
      </c>
      <c r="F3601" s="310">
        <v>27.824999999999999</v>
      </c>
      <c r="G3601" s="310">
        <v>0.3</v>
      </c>
      <c r="H3601" s="310">
        <v>0.45</v>
      </c>
      <c r="I3601" s="295">
        <f t="shared" ref="I3601:I3602" si="464">H3601*G3601*F3601*E3601</f>
        <v>7.5127500000000005</v>
      </c>
      <c r="J3601" s="295"/>
      <c r="K3601" s="300"/>
      <c r="L3601" s="300"/>
      <c r="M3601" s="285"/>
      <c r="N3601" s="1076"/>
      <c r="O3601" s="294"/>
      <c r="P3601" s="404"/>
      <c r="Q3601" s="404"/>
    </row>
    <row r="3602" spans="1:17" ht="14.4" thickTop="1" thickBot="1" x14ac:dyDescent="0.3">
      <c r="A3602" s="292"/>
      <c r="B3602" s="296"/>
      <c r="C3602" s="294"/>
      <c r="D3602" s="294"/>
      <c r="E3602" s="294">
        <v>2</v>
      </c>
      <c r="F3602" s="310">
        <v>10.538</v>
      </c>
      <c r="G3602" s="310">
        <v>0.3</v>
      </c>
      <c r="H3602" s="310">
        <v>0.45</v>
      </c>
      <c r="I3602" s="295">
        <f t="shared" si="464"/>
        <v>2.8452600000000001</v>
      </c>
      <c r="J3602" s="295"/>
      <c r="K3602" s="300"/>
      <c r="L3602" s="300"/>
      <c r="M3602" s="285"/>
      <c r="N3602" s="1076"/>
      <c r="O3602" s="294"/>
      <c r="P3602" s="404"/>
      <c r="Q3602" s="404"/>
    </row>
    <row r="3603" spans="1:17" ht="14.4" thickTop="1" thickBot="1" x14ac:dyDescent="0.3">
      <c r="A3603" s="292"/>
      <c r="B3603" s="296"/>
      <c r="C3603" s="294"/>
      <c r="D3603" s="294"/>
      <c r="E3603" s="294"/>
      <c r="F3603" s="310"/>
      <c r="G3603" s="310"/>
      <c r="H3603" s="310"/>
      <c r="I3603" s="295"/>
      <c r="J3603" s="295"/>
      <c r="K3603" s="300"/>
      <c r="L3603" s="300"/>
      <c r="M3603" s="285"/>
      <c r="N3603" s="1076"/>
      <c r="O3603" s="294"/>
      <c r="P3603" s="404"/>
      <c r="Q3603" s="404"/>
    </row>
    <row r="3604" spans="1:17" ht="14.4" thickTop="1" thickBot="1" x14ac:dyDescent="0.3">
      <c r="A3604" s="292"/>
      <c r="B3604" s="296" t="s">
        <v>1657</v>
      </c>
      <c r="C3604" s="294"/>
      <c r="D3604" s="294"/>
      <c r="E3604" s="294">
        <v>1</v>
      </c>
      <c r="F3604" s="310">
        <v>9.75</v>
      </c>
      <c r="G3604" s="310">
        <v>0.3</v>
      </c>
      <c r="H3604" s="310">
        <v>0.45</v>
      </c>
      <c r="I3604" s="295"/>
      <c r="J3604" s="295"/>
      <c r="K3604" s="300">
        <f t="shared" si="450"/>
        <v>1.1000000000000001</v>
      </c>
      <c r="L3604" s="300">
        <f t="shared" ref="L3604:L3665" si="465">K3604*J3604</f>
        <v>0</v>
      </c>
      <c r="M3604" s="285">
        <f t="shared" ref="M3604:M3656" si="466">ROUND(L3604,0)</f>
        <v>0</v>
      </c>
      <c r="N3604" s="1076"/>
      <c r="O3604" s="294"/>
      <c r="P3604" s="404"/>
      <c r="Q3604" s="404"/>
    </row>
    <row r="3605" spans="1:17" ht="14.4" thickTop="1" thickBot="1" x14ac:dyDescent="0.3">
      <c r="A3605" s="292"/>
      <c r="B3605" s="296" t="s">
        <v>1658</v>
      </c>
      <c r="C3605" s="294"/>
      <c r="D3605" s="294"/>
      <c r="E3605" s="294">
        <v>2</v>
      </c>
      <c r="F3605" s="310">
        <v>4</v>
      </c>
      <c r="G3605" s="310">
        <v>0.3</v>
      </c>
      <c r="H3605" s="310">
        <v>0.45</v>
      </c>
      <c r="I3605" s="295">
        <f t="shared" ref="I3605:I3606" si="467">H3605*G3605*F3605*E3605</f>
        <v>1.08</v>
      </c>
      <c r="J3605" s="295"/>
      <c r="K3605" s="300">
        <f t="shared" si="450"/>
        <v>1.1000000000000001</v>
      </c>
      <c r="L3605" s="300">
        <f t="shared" si="465"/>
        <v>0</v>
      </c>
      <c r="M3605" s="285">
        <f t="shared" si="466"/>
        <v>0</v>
      </c>
      <c r="N3605" s="1076"/>
      <c r="O3605" s="294"/>
      <c r="P3605" s="404"/>
      <c r="Q3605" s="404"/>
    </row>
    <row r="3606" spans="1:17" ht="14.4" thickTop="1" thickBot="1" x14ac:dyDescent="0.3">
      <c r="A3606" s="292"/>
      <c r="B3606" s="296" t="s">
        <v>1659</v>
      </c>
      <c r="C3606" s="294"/>
      <c r="D3606" s="294"/>
      <c r="E3606" s="294">
        <v>2</v>
      </c>
      <c r="F3606" s="310">
        <v>4</v>
      </c>
      <c r="G3606" s="310">
        <v>0.22500000000000001</v>
      </c>
      <c r="H3606" s="310">
        <v>0.45</v>
      </c>
      <c r="I3606" s="295">
        <f t="shared" si="467"/>
        <v>0.81</v>
      </c>
      <c r="J3606" s="295"/>
      <c r="K3606" s="300">
        <f t="shared" si="450"/>
        <v>1.1000000000000001</v>
      </c>
      <c r="L3606" s="300">
        <f t="shared" si="465"/>
        <v>0</v>
      </c>
      <c r="M3606" s="285">
        <f t="shared" si="466"/>
        <v>0</v>
      </c>
      <c r="N3606" s="1076"/>
      <c r="O3606" s="294"/>
      <c r="P3606" s="404"/>
      <c r="Q3606" s="404"/>
    </row>
    <row r="3607" spans="1:17" ht="14.4" thickTop="1" thickBot="1" x14ac:dyDescent="0.3">
      <c r="A3607" s="292"/>
      <c r="B3607" s="296" t="s">
        <v>1653</v>
      </c>
      <c r="C3607" s="294"/>
      <c r="D3607" s="294"/>
      <c r="E3607" s="294">
        <v>1</v>
      </c>
      <c r="F3607" s="310">
        <v>9.75</v>
      </c>
      <c r="G3607" s="310">
        <v>0.22500000000000001</v>
      </c>
      <c r="H3607" s="310">
        <v>0.45</v>
      </c>
      <c r="I3607" s="295">
        <f>H3607*G3607*F3607*E3607</f>
        <v>0.98718750000000011</v>
      </c>
      <c r="J3607" s="295"/>
      <c r="K3607" s="300">
        <f t="shared" si="450"/>
        <v>1.1000000000000001</v>
      </c>
      <c r="L3607" s="300">
        <f t="shared" si="465"/>
        <v>0</v>
      </c>
      <c r="M3607" s="285">
        <f t="shared" si="466"/>
        <v>0</v>
      </c>
      <c r="N3607" s="1076"/>
      <c r="O3607" s="294"/>
      <c r="P3607" s="404"/>
      <c r="Q3607" s="404"/>
    </row>
    <row r="3608" spans="1:17" ht="14.4" thickTop="1" thickBot="1" x14ac:dyDescent="0.3">
      <c r="A3608" s="292"/>
      <c r="B3608" s="296" t="s">
        <v>1654</v>
      </c>
      <c r="C3608" s="294"/>
      <c r="D3608" s="294"/>
      <c r="E3608" s="294">
        <v>1</v>
      </c>
      <c r="F3608" s="310">
        <v>2.2250000000000001</v>
      </c>
      <c r="G3608" s="310">
        <v>0.22500000000000001</v>
      </c>
      <c r="H3608" s="310">
        <v>0.45</v>
      </c>
      <c r="I3608" s="295">
        <f>H3608*G3608*F3608*E3608</f>
        <v>0.22528125000000002</v>
      </c>
      <c r="J3608" s="295">
        <f>SUM(I3598:I3608)</f>
        <v>24.997848749999999</v>
      </c>
      <c r="K3608" s="300">
        <v>1.05</v>
      </c>
      <c r="L3608" s="300">
        <f t="shared" si="465"/>
        <v>26.247741187500001</v>
      </c>
      <c r="M3608" s="285">
        <f t="shared" si="466"/>
        <v>26</v>
      </c>
      <c r="N3608" s="1076"/>
      <c r="O3608" s="294"/>
      <c r="P3608" s="404"/>
      <c r="Q3608" s="404"/>
    </row>
    <row r="3609" spans="1:17" ht="14.4" thickTop="1" thickBot="1" x14ac:dyDescent="0.3">
      <c r="A3609" s="292"/>
      <c r="B3609" s="296"/>
      <c r="C3609" s="294"/>
      <c r="D3609" s="294"/>
      <c r="E3609" s="294"/>
      <c r="F3609" s="310"/>
      <c r="G3609" s="310"/>
      <c r="H3609" s="310"/>
      <c r="I3609" s="295"/>
      <c r="J3609" s="295">
        <f>J3608/2.83</f>
        <v>8.8331621024734979</v>
      </c>
      <c r="K3609" s="300">
        <v>1.05</v>
      </c>
      <c r="L3609" s="300">
        <f t="shared" si="465"/>
        <v>9.2748202075971733</v>
      </c>
      <c r="M3609" s="285">
        <f t="shared" si="466"/>
        <v>9</v>
      </c>
      <c r="N3609" s="1076"/>
      <c r="O3609" s="294"/>
      <c r="P3609" s="404"/>
      <c r="Q3609" s="404"/>
    </row>
    <row r="3610" spans="1:17" ht="14.4" thickTop="1" thickBot="1" x14ac:dyDescent="0.3">
      <c r="A3610" s="292"/>
      <c r="B3610" s="296"/>
      <c r="C3610" s="294"/>
      <c r="D3610" s="294"/>
      <c r="E3610" s="294"/>
      <c r="F3610" s="310"/>
      <c r="G3610" s="310"/>
      <c r="H3610" s="310"/>
      <c r="I3610" s="295"/>
      <c r="J3610" s="295"/>
      <c r="K3610" s="300">
        <f t="shared" si="450"/>
        <v>1.1000000000000001</v>
      </c>
      <c r="L3610" s="300">
        <f t="shared" si="465"/>
        <v>0</v>
      </c>
      <c r="M3610" s="285">
        <f t="shared" si="466"/>
        <v>0</v>
      </c>
      <c r="N3610" s="1076"/>
      <c r="O3610" s="294"/>
      <c r="P3610" s="404"/>
      <c r="Q3610" s="404"/>
    </row>
    <row r="3611" spans="1:17" ht="14.4" thickTop="1" thickBot="1" x14ac:dyDescent="0.3">
      <c r="A3611" s="292"/>
      <c r="B3611" s="296" t="s">
        <v>748</v>
      </c>
      <c r="C3611" s="294"/>
      <c r="D3611" s="294"/>
      <c r="E3611" s="294"/>
      <c r="F3611" s="310"/>
      <c r="G3611" s="310"/>
      <c r="H3611" s="310"/>
      <c r="I3611" s="295"/>
      <c r="J3611" s="295"/>
      <c r="K3611" s="300"/>
      <c r="L3611" s="300"/>
      <c r="M3611" s="285"/>
      <c r="N3611" s="1076"/>
      <c r="O3611" s="294"/>
      <c r="P3611" s="404"/>
      <c r="Q3611" s="404"/>
    </row>
    <row r="3612" spans="1:17" ht="14.4" thickTop="1" thickBot="1" x14ac:dyDescent="0.3">
      <c r="A3612" s="292"/>
      <c r="B3612" s="296" t="s">
        <v>1719</v>
      </c>
      <c r="C3612" s="294"/>
      <c r="D3612" s="294"/>
      <c r="E3612" s="294">
        <v>2</v>
      </c>
      <c r="F3612" s="310">
        <v>26.024999999999999</v>
      </c>
      <c r="G3612" s="310"/>
      <c r="H3612" s="310">
        <f>G3598+H3598+H3598</f>
        <v>1.2</v>
      </c>
      <c r="I3612" s="295">
        <f>H3612*F3612*E3612</f>
        <v>62.459999999999994</v>
      </c>
      <c r="J3612" s="295"/>
      <c r="K3612" s="300"/>
      <c r="L3612" s="300"/>
      <c r="M3612" s="285"/>
      <c r="N3612" s="1076"/>
      <c r="O3612" s="294"/>
      <c r="P3612" s="404"/>
      <c r="Q3612" s="404"/>
    </row>
    <row r="3613" spans="1:17" ht="14.4" thickTop="1" thickBot="1" x14ac:dyDescent="0.3">
      <c r="A3613" s="292"/>
      <c r="B3613" s="296" t="s">
        <v>1720</v>
      </c>
      <c r="C3613" s="294"/>
      <c r="D3613" s="294"/>
      <c r="E3613" s="294">
        <v>2</v>
      </c>
      <c r="F3613" s="310">
        <v>10.53</v>
      </c>
      <c r="G3613" s="310"/>
      <c r="H3613" s="310">
        <f t="shared" ref="H3613:H3616" si="468">G3599+H3599+H3599</f>
        <v>1.2</v>
      </c>
      <c r="I3613" s="295">
        <f t="shared" ref="I3613:I3616" si="469">H3613*F3613*E3613</f>
        <v>25.271999999999998</v>
      </c>
      <c r="J3613" s="295"/>
      <c r="K3613" s="300"/>
      <c r="L3613" s="300"/>
      <c r="M3613" s="285"/>
      <c r="N3613" s="1076"/>
      <c r="O3613" s="294"/>
      <c r="P3613" s="404"/>
      <c r="Q3613" s="404"/>
    </row>
    <row r="3614" spans="1:17" ht="14.4" thickTop="1" thickBot="1" x14ac:dyDescent="0.3">
      <c r="A3614" s="292"/>
      <c r="B3614" s="296" t="s">
        <v>1721</v>
      </c>
      <c r="C3614" s="294"/>
      <c r="D3614" s="294"/>
      <c r="E3614" s="294">
        <v>2</v>
      </c>
      <c r="F3614" s="310">
        <v>6.1760000000000002</v>
      </c>
      <c r="G3614" s="310"/>
      <c r="H3614" s="310">
        <f t="shared" si="468"/>
        <v>1.2</v>
      </c>
      <c r="I3614" s="295">
        <f t="shared" si="469"/>
        <v>14.8224</v>
      </c>
      <c r="J3614" s="295"/>
      <c r="K3614" s="300"/>
      <c r="L3614" s="300"/>
      <c r="M3614" s="285"/>
      <c r="N3614" s="1076"/>
      <c r="O3614" s="294"/>
      <c r="P3614" s="404"/>
      <c r="Q3614" s="404"/>
    </row>
    <row r="3615" spans="1:17" ht="14.4" thickTop="1" thickBot="1" x14ac:dyDescent="0.3">
      <c r="A3615" s="292"/>
      <c r="B3615" s="296" t="s">
        <v>1723</v>
      </c>
      <c r="C3615" s="294"/>
      <c r="D3615" s="294"/>
      <c r="E3615" s="294">
        <v>2</v>
      </c>
      <c r="F3615" s="310">
        <v>27.824999999999999</v>
      </c>
      <c r="G3615" s="310"/>
      <c r="H3615" s="310">
        <f t="shared" si="468"/>
        <v>1.2</v>
      </c>
      <c r="I3615" s="295">
        <f t="shared" si="469"/>
        <v>66.78</v>
      </c>
      <c r="J3615" s="295"/>
      <c r="K3615" s="300"/>
      <c r="L3615" s="300"/>
      <c r="M3615" s="285"/>
      <c r="N3615" s="1076"/>
      <c r="O3615" s="294"/>
      <c r="P3615" s="404"/>
      <c r="Q3615" s="404"/>
    </row>
    <row r="3616" spans="1:17" ht="14.4" thickTop="1" thickBot="1" x14ac:dyDescent="0.3">
      <c r="A3616" s="292"/>
      <c r="B3616" s="296"/>
      <c r="C3616" s="294"/>
      <c r="D3616" s="294"/>
      <c r="E3616" s="294">
        <v>2</v>
      </c>
      <c r="F3616" s="310">
        <v>10.538</v>
      </c>
      <c r="G3616" s="310"/>
      <c r="H3616" s="310">
        <f t="shared" si="468"/>
        <v>1.2</v>
      </c>
      <c r="I3616" s="295">
        <f t="shared" si="469"/>
        <v>25.2912</v>
      </c>
      <c r="J3616" s="295"/>
      <c r="K3616" s="300"/>
      <c r="L3616" s="300"/>
      <c r="M3616" s="285"/>
      <c r="N3616" s="1076"/>
      <c r="O3616" s="294"/>
      <c r="P3616" s="404"/>
      <c r="Q3616" s="404"/>
    </row>
    <row r="3617" spans="1:17" ht="14.4" thickTop="1" thickBot="1" x14ac:dyDescent="0.3">
      <c r="A3617" s="292"/>
      <c r="B3617" s="296"/>
      <c r="C3617" s="294"/>
      <c r="D3617" s="294"/>
      <c r="E3617" s="294"/>
      <c r="F3617" s="310"/>
      <c r="G3617" s="310"/>
      <c r="H3617" s="310"/>
      <c r="I3617" s="295"/>
      <c r="J3617" s="295"/>
      <c r="K3617" s="300"/>
      <c r="L3617" s="300"/>
      <c r="M3617" s="285"/>
      <c r="N3617" s="1076"/>
      <c r="O3617" s="294"/>
      <c r="P3617" s="404"/>
      <c r="Q3617" s="404"/>
    </row>
    <row r="3618" spans="1:17" ht="14.4" thickTop="1" thickBot="1" x14ac:dyDescent="0.3">
      <c r="A3618" s="292"/>
      <c r="B3618" s="296"/>
      <c r="C3618" s="294"/>
      <c r="D3618" s="294"/>
      <c r="E3618" s="294"/>
      <c r="F3618" s="310"/>
      <c r="G3618" s="310"/>
      <c r="H3618" s="310"/>
      <c r="I3618" s="295"/>
      <c r="J3618" s="295"/>
      <c r="K3618" s="300"/>
      <c r="L3618" s="300"/>
      <c r="M3618" s="285"/>
      <c r="N3618" s="1076"/>
      <c r="O3618" s="294"/>
      <c r="P3618" s="404"/>
      <c r="Q3618" s="404"/>
    </row>
    <row r="3619" spans="1:17" ht="14.4" thickTop="1" thickBot="1" x14ac:dyDescent="0.3">
      <c r="A3619" s="292"/>
      <c r="B3619" s="296"/>
      <c r="C3619" s="294"/>
      <c r="D3619" s="294"/>
      <c r="E3619" s="294"/>
      <c r="F3619" s="310"/>
      <c r="G3619" s="310"/>
      <c r="H3619" s="310"/>
      <c r="I3619" s="295"/>
      <c r="J3619" s="295"/>
      <c r="K3619" s="300"/>
      <c r="L3619" s="300"/>
      <c r="M3619" s="285"/>
      <c r="N3619" s="1076"/>
      <c r="O3619" s="294"/>
      <c r="P3619" s="404"/>
      <c r="Q3619" s="404"/>
    </row>
    <row r="3620" spans="1:17" ht="14.4" thickTop="1" thickBot="1" x14ac:dyDescent="0.3">
      <c r="A3620" s="292"/>
      <c r="B3620" s="296" t="s">
        <v>1657</v>
      </c>
      <c r="C3620" s="294"/>
      <c r="D3620" s="294"/>
      <c r="E3620" s="294">
        <v>1</v>
      </c>
      <c r="F3620" s="310">
        <v>9.75</v>
      </c>
      <c r="G3620" s="310"/>
      <c r="H3620" s="310">
        <f>G3604+H3604+H3604</f>
        <v>1.2</v>
      </c>
      <c r="I3620" s="295"/>
      <c r="J3620" s="295"/>
      <c r="K3620" s="300"/>
      <c r="L3620" s="300"/>
      <c r="M3620" s="285"/>
      <c r="N3620" s="1076"/>
      <c r="O3620" s="294"/>
      <c r="P3620" s="404"/>
      <c r="Q3620" s="404"/>
    </row>
    <row r="3621" spans="1:17" ht="14.4" thickTop="1" thickBot="1" x14ac:dyDescent="0.3">
      <c r="A3621" s="292"/>
      <c r="B3621" s="296" t="s">
        <v>1658</v>
      </c>
      <c r="C3621" s="294"/>
      <c r="D3621" s="294"/>
      <c r="E3621" s="294">
        <v>2</v>
      </c>
      <c r="F3621" s="310">
        <v>4</v>
      </c>
      <c r="G3621" s="310"/>
      <c r="H3621" s="310">
        <f>G3605+H3605+H3605</f>
        <v>1.2</v>
      </c>
      <c r="I3621" s="295">
        <f t="shared" ref="I3621:I3624" si="470">H3621*F3621*E3621</f>
        <v>9.6</v>
      </c>
      <c r="J3621" s="295"/>
      <c r="K3621" s="300"/>
      <c r="L3621" s="300"/>
      <c r="M3621" s="285"/>
      <c r="N3621" s="1076"/>
      <c r="O3621" s="294"/>
      <c r="P3621" s="404"/>
      <c r="Q3621" s="404"/>
    </row>
    <row r="3622" spans="1:17" ht="14.4" thickTop="1" thickBot="1" x14ac:dyDescent="0.3">
      <c r="A3622" s="292"/>
      <c r="B3622" s="296" t="s">
        <v>1659</v>
      </c>
      <c r="C3622" s="294"/>
      <c r="D3622" s="294"/>
      <c r="E3622" s="294">
        <v>2</v>
      </c>
      <c r="F3622" s="310">
        <v>4</v>
      </c>
      <c r="G3622" s="310"/>
      <c r="H3622" s="310">
        <f>G3606+H3606+H3606</f>
        <v>1.125</v>
      </c>
      <c r="I3622" s="295">
        <f t="shared" si="470"/>
        <v>9</v>
      </c>
      <c r="J3622" s="295"/>
      <c r="K3622" s="300"/>
      <c r="L3622" s="300"/>
      <c r="M3622" s="285"/>
      <c r="N3622" s="1076"/>
      <c r="O3622" s="294"/>
      <c r="P3622" s="404"/>
      <c r="Q3622" s="404"/>
    </row>
    <row r="3623" spans="1:17" ht="14.4" thickTop="1" thickBot="1" x14ac:dyDescent="0.3">
      <c r="A3623" s="292"/>
      <c r="B3623" s="296" t="s">
        <v>1653</v>
      </c>
      <c r="C3623" s="294"/>
      <c r="D3623" s="294"/>
      <c r="E3623" s="294">
        <v>1</v>
      </c>
      <c r="F3623" s="310">
        <v>9.75</v>
      </c>
      <c r="G3623" s="310"/>
      <c r="H3623" s="310">
        <f>G3607+H3607+H3607</f>
        <v>1.125</v>
      </c>
      <c r="I3623" s="295">
        <f t="shared" si="470"/>
        <v>10.96875</v>
      </c>
      <c r="J3623" s="295"/>
      <c r="K3623" s="300"/>
      <c r="L3623" s="300"/>
      <c r="M3623" s="285"/>
      <c r="N3623" s="1076"/>
      <c r="O3623" s="294"/>
      <c r="P3623" s="404"/>
      <c r="Q3623" s="404"/>
    </row>
    <row r="3624" spans="1:17" ht="14.4" thickTop="1" thickBot="1" x14ac:dyDescent="0.3">
      <c r="A3624" s="292"/>
      <c r="B3624" s="296" t="s">
        <v>1654</v>
      </c>
      <c r="C3624" s="294"/>
      <c r="D3624" s="294"/>
      <c r="E3624" s="294">
        <v>1</v>
      </c>
      <c r="F3624" s="310">
        <v>2.2250000000000001</v>
      </c>
      <c r="G3624" s="310"/>
      <c r="H3624" s="310">
        <f>G3608+H3608+H3608</f>
        <v>1.125</v>
      </c>
      <c r="I3624" s="295">
        <f t="shared" si="470"/>
        <v>2.5031250000000003</v>
      </c>
      <c r="J3624" s="295">
        <f>SUM(I3612:I3624)</f>
        <v>226.69747500000003</v>
      </c>
      <c r="K3624" s="300">
        <f t="shared" si="450"/>
        <v>1.1000000000000001</v>
      </c>
      <c r="L3624" s="300">
        <f t="shared" ref="L3624:L3625" si="471">K3624*J3624</f>
        <v>249.36722250000005</v>
      </c>
      <c r="M3624" s="285">
        <f t="shared" ref="M3624:M3625" si="472">ROUND(L3624,0)</f>
        <v>249</v>
      </c>
      <c r="N3624" s="1076"/>
      <c r="O3624" s="294"/>
      <c r="P3624" s="413">
        <f>J3624*10.76</f>
        <v>2439.2648310000004</v>
      </c>
      <c r="Q3624" s="404"/>
    </row>
    <row r="3625" spans="1:17" ht="14.4" thickTop="1" thickBot="1" x14ac:dyDescent="0.3">
      <c r="A3625" s="292"/>
      <c r="B3625" s="296"/>
      <c r="C3625" s="294"/>
      <c r="D3625" s="294"/>
      <c r="E3625" s="294"/>
      <c r="F3625" s="310"/>
      <c r="G3625" s="310"/>
      <c r="H3625" s="310"/>
      <c r="I3625" s="295"/>
      <c r="J3625" s="295">
        <f>J3624/9.29</f>
        <v>24.402311625403666</v>
      </c>
      <c r="K3625" s="300">
        <v>1.03</v>
      </c>
      <c r="L3625" s="300">
        <f t="shared" si="471"/>
        <v>25.134380974165776</v>
      </c>
      <c r="M3625" s="285">
        <f t="shared" si="472"/>
        <v>25</v>
      </c>
      <c r="N3625" s="1076"/>
      <c r="O3625" s="294"/>
      <c r="P3625" s="413">
        <f>P3624/100</f>
        <v>24.392648310000006</v>
      </c>
      <c r="Q3625" s="413">
        <f>M3625-J3625</f>
        <v>0.59768837459633417</v>
      </c>
    </row>
    <row r="3626" spans="1:17" ht="14.4" thickTop="1" thickBot="1" x14ac:dyDescent="0.3">
      <c r="A3626" s="292"/>
      <c r="B3626" s="296"/>
      <c r="C3626" s="294"/>
      <c r="D3626" s="294"/>
      <c r="E3626" s="294"/>
      <c r="F3626" s="310"/>
      <c r="G3626" s="310"/>
      <c r="H3626" s="310"/>
      <c r="I3626" s="295"/>
      <c r="J3626" s="295"/>
      <c r="K3626" s="300"/>
      <c r="L3626" s="300"/>
      <c r="M3626" s="285"/>
      <c r="N3626" s="1076"/>
      <c r="O3626" s="294"/>
      <c r="P3626" s="404"/>
      <c r="Q3626" s="404"/>
    </row>
    <row r="3627" spans="1:17" ht="14.4" thickTop="1" thickBot="1" x14ac:dyDescent="0.3">
      <c r="A3627" s="292"/>
      <c r="B3627" s="296"/>
      <c r="C3627" s="294"/>
      <c r="D3627" s="294"/>
      <c r="E3627" s="294"/>
      <c r="F3627" s="310"/>
      <c r="G3627" s="310"/>
      <c r="H3627" s="310"/>
      <c r="I3627" s="295"/>
      <c r="J3627" s="295"/>
      <c r="K3627" s="300">
        <f t="shared" si="450"/>
        <v>1.1000000000000001</v>
      </c>
      <c r="L3627" s="300">
        <f t="shared" si="465"/>
        <v>0</v>
      </c>
      <c r="M3627" s="285">
        <f t="shared" si="466"/>
        <v>0</v>
      </c>
      <c r="N3627" s="1076"/>
      <c r="O3627" s="294"/>
      <c r="P3627" s="404"/>
      <c r="Q3627" s="404"/>
    </row>
    <row r="3628" spans="1:17" ht="14.4" thickTop="1" thickBot="1" x14ac:dyDescent="0.3">
      <c r="A3628" s="292"/>
      <c r="B3628" s="296"/>
      <c r="C3628" s="294"/>
      <c r="D3628" s="294"/>
      <c r="E3628" s="294"/>
      <c r="F3628" s="310"/>
      <c r="G3628" s="310"/>
      <c r="H3628" s="310"/>
      <c r="I3628" s="295"/>
      <c r="J3628" s="295"/>
      <c r="K3628" s="300">
        <f t="shared" si="450"/>
        <v>1.1000000000000001</v>
      </c>
      <c r="L3628" s="300">
        <f t="shared" si="465"/>
        <v>0</v>
      </c>
      <c r="M3628" s="285">
        <f t="shared" si="466"/>
        <v>0</v>
      </c>
      <c r="N3628" s="1076"/>
      <c r="O3628" s="294"/>
      <c r="P3628" s="404"/>
      <c r="Q3628" s="404"/>
    </row>
    <row r="3629" spans="1:17" ht="14.4" thickTop="1" thickBot="1" x14ac:dyDescent="0.3">
      <c r="A3629" s="292"/>
      <c r="B3629" s="296"/>
      <c r="C3629" s="294"/>
      <c r="D3629" s="294"/>
      <c r="E3629" s="294"/>
      <c r="F3629" s="310"/>
      <c r="G3629" s="310"/>
      <c r="H3629" s="310"/>
      <c r="I3629" s="295"/>
      <c r="J3629" s="295"/>
      <c r="K3629" s="300">
        <f t="shared" si="450"/>
        <v>1.1000000000000001</v>
      </c>
      <c r="L3629" s="300">
        <f t="shared" si="465"/>
        <v>0</v>
      </c>
      <c r="M3629" s="285">
        <f t="shared" si="466"/>
        <v>0</v>
      </c>
      <c r="N3629" s="1076"/>
      <c r="O3629" s="294"/>
      <c r="P3629" s="404"/>
      <c r="Q3629" s="404"/>
    </row>
    <row r="3630" spans="1:17" ht="14.4" thickTop="1" thickBot="1" x14ac:dyDescent="0.3">
      <c r="A3630" s="292"/>
      <c r="B3630" s="296"/>
      <c r="C3630" s="294"/>
      <c r="D3630" s="294"/>
      <c r="E3630" s="294"/>
      <c r="F3630" s="310"/>
      <c r="G3630" s="310"/>
      <c r="H3630" s="310"/>
      <c r="I3630" s="295"/>
      <c r="J3630" s="295"/>
      <c r="K3630" s="300">
        <f t="shared" si="450"/>
        <v>1.1000000000000001</v>
      </c>
      <c r="L3630" s="300">
        <f t="shared" si="465"/>
        <v>0</v>
      </c>
      <c r="M3630" s="285">
        <f t="shared" si="466"/>
        <v>0</v>
      </c>
      <c r="N3630" s="1076"/>
      <c r="O3630" s="294"/>
      <c r="P3630" s="404"/>
      <c r="Q3630" s="404"/>
    </row>
    <row r="3631" spans="1:17" ht="14.4" thickTop="1" thickBot="1" x14ac:dyDescent="0.3">
      <c r="A3631" s="292"/>
      <c r="B3631" s="296"/>
      <c r="C3631" s="294"/>
      <c r="D3631" s="294"/>
      <c r="E3631" s="294"/>
      <c r="F3631" s="310"/>
      <c r="G3631" s="310"/>
      <c r="H3631" s="310"/>
      <c r="I3631" s="295"/>
      <c r="J3631" s="295"/>
      <c r="K3631" s="300">
        <f t="shared" si="450"/>
        <v>1.1000000000000001</v>
      </c>
      <c r="L3631" s="300">
        <f t="shared" si="465"/>
        <v>0</v>
      </c>
      <c r="M3631" s="285">
        <f t="shared" si="466"/>
        <v>0</v>
      </c>
      <c r="N3631" s="1076"/>
      <c r="O3631" s="294"/>
      <c r="P3631" s="404"/>
      <c r="Q3631" s="404"/>
    </row>
    <row r="3632" spans="1:17" ht="14.4" thickTop="1" thickBot="1" x14ac:dyDescent="0.3">
      <c r="A3632" s="292"/>
      <c r="B3632" s="302" t="s">
        <v>1065</v>
      </c>
      <c r="C3632" s="294"/>
      <c r="D3632" s="294"/>
      <c r="E3632" s="294"/>
      <c r="F3632" s="310"/>
      <c r="G3632" s="310"/>
      <c r="H3632" s="310"/>
      <c r="I3632" s="295"/>
      <c r="J3632" s="295"/>
      <c r="K3632" s="300">
        <f t="shared" si="450"/>
        <v>1.1000000000000001</v>
      </c>
      <c r="L3632" s="300">
        <f t="shared" si="465"/>
        <v>0</v>
      </c>
      <c r="M3632" s="285">
        <f t="shared" si="466"/>
        <v>0</v>
      </c>
      <c r="N3632" s="1076"/>
      <c r="O3632" s="294"/>
      <c r="P3632" s="404"/>
      <c r="Q3632" s="404"/>
    </row>
    <row r="3633" spans="1:17" ht="14.4" thickTop="1" thickBot="1" x14ac:dyDescent="0.3">
      <c r="A3633" s="292"/>
      <c r="B3633" s="296" t="s">
        <v>1066</v>
      </c>
      <c r="C3633" s="294"/>
      <c r="D3633" s="294"/>
      <c r="E3633" s="294"/>
      <c r="F3633" s="310"/>
      <c r="G3633" s="310"/>
      <c r="H3633" s="310"/>
      <c r="I3633" s="295"/>
      <c r="J3633" s="295"/>
      <c r="K3633" s="300">
        <f t="shared" si="450"/>
        <v>1.1000000000000001</v>
      </c>
      <c r="L3633" s="300">
        <f t="shared" si="465"/>
        <v>0</v>
      </c>
      <c r="M3633" s="285">
        <f t="shared" si="466"/>
        <v>0</v>
      </c>
      <c r="N3633" s="1076"/>
      <c r="O3633" s="294"/>
      <c r="P3633" s="404"/>
      <c r="Q3633" s="404"/>
    </row>
    <row r="3634" spans="1:17" ht="14.4" thickTop="1" thickBot="1" x14ac:dyDescent="0.3">
      <c r="A3634" s="292"/>
      <c r="B3634" s="296" t="s">
        <v>762</v>
      </c>
      <c r="C3634" s="294"/>
      <c r="D3634" s="294"/>
      <c r="E3634" s="294">
        <v>6</v>
      </c>
      <c r="F3634" s="310">
        <f>2.4+0.6</f>
        <v>3</v>
      </c>
      <c r="G3634" s="310">
        <v>0.22500000000000001</v>
      </c>
      <c r="H3634" s="310">
        <v>0.15</v>
      </c>
      <c r="I3634" s="295">
        <f>H3634*G3634*F3634*E3634</f>
        <v>0.60750000000000004</v>
      </c>
      <c r="J3634" s="295"/>
      <c r="K3634" s="300">
        <f t="shared" si="450"/>
        <v>1.1000000000000001</v>
      </c>
      <c r="L3634" s="300">
        <f t="shared" si="465"/>
        <v>0</v>
      </c>
      <c r="M3634" s="285">
        <f t="shared" si="466"/>
        <v>0</v>
      </c>
      <c r="N3634" s="1076"/>
      <c r="O3634" s="294"/>
      <c r="P3634" s="404"/>
      <c r="Q3634" s="404"/>
    </row>
    <row r="3635" spans="1:17" ht="14.4" thickTop="1" thickBot="1" x14ac:dyDescent="0.3">
      <c r="A3635" s="292"/>
      <c r="B3635" s="296" t="s">
        <v>763</v>
      </c>
      <c r="C3635" s="294"/>
      <c r="D3635" s="294"/>
      <c r="E3635" s="294">
        <v>5</v>
      </c>
      <c r="F3635" s="310">
        <f>0.9-0.3</f>
        <v>0.60000000000000009</v>
      </c>
      <c r="G3635" s="310">
        <v>0.22500000000000001</v>
      </c>
      <c r="H3635" s="310">
        <v>0.15</v>
      </c>
      <c r="I3635" s="295">
        <f t="shared" ref="I3635:I3641" si="473">H3635*G3635*F3635*E3635</f>
        <v>0.10125000000000002</v>
      </c>
      <c r="J3635" s="295"/>
      <c r="K3635" s="300">
        <f t="shared" si="450"/>
        <v>1.1000000000000001</v>
      </c>
      <c r="L3635" s="300">
        <f t="shared" si="465"/>
        <v>0</v>
      </c>
      <c r="M3635" s="285">
        <f t="shared" si="466"/>
        <v>0</v>
      </c>
      <c r="N3635" s="1076"/>
      <c r="O3635" s="294"/>
      <c r="P3635" s="404"/>
      <c r="Q3635" s="404"/>
    </row>
    <row r="3636" spans="1:17" ht="14.4" thickTop="1" thickBot="1" x14ac:dyDescent="0.3">
      <c r="A3636" s="292"/>
      <c r="B3636" s="296" t="s">
        <v>765</v>
      </c>
      <c r="C3636" s="294"/>
      <c r="D3636" s="294"/>
      <c r="E3636" s="294">
        <v>1</v>
      </c>
      <c r="F3636" s="310">
        <v>4.5</v>
      </c>
      <c r="G3636" s="310">
        <v>0.22500000000000001</v>
      </c>
      <c r="H3636" s="310">
        <v>0.15</v>
      </c>
      <c r="I3636" s="295">
        <f t="shared" si="473"/>
        <v>0.15187500000000001</v>
      </c>
      <c r="J3636" s="295"/>
      <c r="K3636" s="300">
        <f t="shared" si="450"/>
        <v>1.1000000000000001</v>
      </c>
      <c r="L3636" s="300">
        <f t="shared" si="465"/>
        <v>0</v>
      </c>
      <c r="M3636" s="285">
        <f t="shared" si="466"/>
        <v>0</v>
      </c>
      <c r="N3636" s="1076"/>
      <c r="O3636" s="294"/>
      <c r="P3636" s="404"/>
      <c r="Q3636" s="404"/>
    </row>
    <row r="3637" spans="1:17" ht="14.4" thickTop="1" thickBot="1" x14ac:dyDescent="0.3">
      <c r="A3637" s="292"/>
      <c r="B3637" s="296" t="s">
        <v>766</v>
      </c>
      <c r="C3637" s="294"/>
      <c r="D3637" s="294"/>
      <c r="E3637" s="294">
        <v>1</v>
      </c>
      <c r="F3637" s="310">
        <f>4.6+0.6</f>
        <v>5.1999999999999993</v>
      </c>
      <c r="G3637" s="310">
        <v>0.22500000000000001</v>
      </c>
      <c r="H3637" s="310">
        <v>0.15</v>
      </c>
      <c r="I3637" s="295">
        <f t="shared" si="473"/>
        <v>0.17549999999999999</v>
      </c>
      <c r="J3637" s="295"/>
      <c r="K3637" s="300">
        <f t="shared" si="450"/>
        <v>1.1000000000000001</v>
      </c>
      <c r="L3637" s="300">
        <f t="shared" si="465"/>
        <v>0</v>
      </c>
      <c r="M3637" s="285">
        <f t="shared" si="466"/>
        <v>0</v>
      </c>
      <c r="N3637" s="1076"/>
      <c r="O3637" s="294"/>
      <c r="P3637" s="404"/>
      <c r="Q3637" s="404"/>
    </row>
    <row r="3638" spans="1:17" ht="14.4" thickTop="1" thickBot="1" x14ac:dyDescent="0.3">
      <c r="A3638" s="292"/>
      <c r="B3638" s="296" t="s">
        <v>1067</v>
      </c>
      <c r="C3638" s="294"/>
      <c r="D3638" s="294"/>
      <c r="E3638" s="294">
        <v>3</v>
      </c>
      <c r="F3638" s="310">
        <f>2.4+0.6</f>
        <v>3</v>
      </c>
      <c r="G3638" s="310">
        <v>0.22500000000000001</v>
      </c>
      <c r="H3638" s="310">
        <v>0.15</v>
      </c>
      <c r="I3638" s="295">
        <f t="shared" si="473"/>
        <v>0.30375000000000002</v>
      </c>
      <c r="J3638" s="295"/>
      <c r="K3638" s="300">
        <f t="shared" si="450"/>
        <v>1.1000000000000001</v>
      </c>
      <c r="L3638" s="300">
        <f t="shared" si="465"/>
        <v>0</v>
      </c>
      <c r="M3638" s="285">
        <f t="shared" si="466"/>
        <v>0</v>
      </c>
      <c r="N3638" s="1076"/>
      <c r="O3638" s="294"/>
      <c r="P3638" s="404"/>
      <c r="Q3638" s="404"/>
    </row>
    <row r="3639" spans="1:17" ht="14.4" thickTop="1" thickBot="1" x14ac:dyDescent="0.3">
      <c r="A3639" s="292"/>
      <c r="B3639" s="296" t="s">
        <v>777</v>
      </c>
      <c r="C3639" s="294"/>
      <c r="D3639" s="294"/>
      <c r="E3639" s="294">
        <v>2</v>
      </c>
      <c r="F3639" s="310">
        <v>2.2000000000000002</v>
      </c>
      <c r="G3639" s="310">
        <v>0.22500000000000001</v>
      </c>
      <c r="H3639" s="310">
        <v>0.15</v>
      </c>
      <c r="I3639" s="295">
        <f t="shared" si="473"/>
        <v>0.14850000000000002</v>
      </c>
      <c r="J3639" s="295"/>
      <c r="K3639" s="300">
        <f t="shared" si="450"/>
        <v>1.1000000000000001</v>
      </c>
      <c r="L3639" s="300">
        <f t="shared" si="465"/>
        <v>0</v>
      </c>
      <c r="M3639" s="285">
        <f t="shared" si="466"/>
        <v>0</v>
      </c>
      <c r="N3639" s="1076"/>
      <c r="O3639" s="294"/>
      <c r="P3639" s="404"/>
      <c r="Q3639" s="404"/>
    </row>
    <row r="3640" spans="1:17" ht="14.4" thickTop="1" thickBot="1" x14ac:dyDescent="0.3">
      <c r="A3640" s="292"/>
      <c r="B3640" s="296" t="s">
        <v>1068</v>
      </c>
      <c r="C3640" s="294"/>
      <c r="D3640" s="294"/>
      <c r="E3640" s="294">
        <v>1</v>
      </c>
      <c r="F3640" s="310">
        <f>1.75+0.6</f>
        <v>2.35</v>
      </c>
      <c r="G3640" s="310">
        <v>0.22500000000000001</v>
      </c>
      <c r="H3640" s="310">
        <v>0.15</v>
      </c>
      <c r="I3640" s="295">
        <f t="shared" si="473"/>
        <v>7.9312500000000008E-2</v>
      </c>
      <c r="J3640" s="295"/>
      <c r="K3640" s="300">
        <f t="shared" si="450"/>
        <v>1.1000000000000001</v>
      </c>
      <c r="L3640" s="300">
        <f t="shared" si="465"/>
        <v>0</v>
      </c>
      <c r="M3640" s="285">
        <f t="shared" si="466"/>
        <v>0</v>
      </c>
      <c r="N3640" s="1076"/>
      <c r="O3640" s="294"/>
      <c r="P3640" s="423"/>
      <c r="Q3640" s="404"/>
    </row>
    <row r="3641" spans="1:17" ht="14.4" thickTop="1" thickBot="1" x14ac:dyDescent="0.3">
      <c r="A3641" s="292"/>
      <c r="B3641" s="296" t="s">
        <v>770</v>
      </c>
      <c r="C3641" s="294"/>
      <c r="D3641" s="294"/>
      <c r="E3641" s="294">
        <v>2</v>
      </c>
      <c r="F3641" s="310">
        <f>0.9+0.6</f>
        <v>1.5</v>
      </c>
      <c r="G3641" s="310">
        <v>0.22500000000000001</v>
      </c>
      <c r="H3641" s="310">
        <v>0.15</v>
      </c>
      <c r="I3641" s="295">
        <f t="shared" si="473"/>
        <v>0.10125000000000001</v>
      </c>
      <c r="J3641" s="295"/>
      <c r="K3641" s="300">
        <f t="shared" si="450"/>
        <v>1.1000000000000001</v>
      </c>
      <c r="L3641" s="300">
        <f t="shared" si="465"/>
        <v>0</v>
      </c>
      <c r="M3641" s="285">
        <f t="shared" si="466"/>
        <v>0</v>
      </c>
      <c r="N3641" s="1076"/>
      <c r="O3641" s="294"/>
      <c r="P3641" s="413">
        <f>SUM(I3634:I3641)</f>
        <v>1.6689375000000004</v>
      </c>
      <c r="Q3641" s="404"/>
    </row>
    <row r="3642" spans="1:17" ht="14.4" thickTop="1" thickBot="1" x14ac:dyDescent="0.3">
      <c r="A3642" s="292"/>
      <c r="B3642" s="296"/>
      <c r="C3642" s="294"/>
      <c r="D3642" s="294"/>
      <c r="E3642" s="294"/>
      <c r="F3642" s="310"/>
      <c r="G3642" s="310"/>
      <c r="H3642" s="310"/>
      <c r="I3642" s="295"/>
      <c r="J3642" s="295"/>
      <c r="K3642" s="300">
        <f t="shared" si="450"/>
        <v>1.1000000000000001</v>
      </c>
      <c r="L3642" s="300">
        <f t="shared" si="465"/>
        <v>0</v>
      </c>
      <c r="M3642" s="285">
        <f t="shared" si="466"/>
        <v>0</v>
      </c>
      <c r="N3642" s="1076"/>
      <c r="O3642" s="294"/>
      <c r="P3642" s="404"/>
      <c r="Q3642" s="404"/>
    </row>
    <row r="3643" spans="1:17" ht="14.4" thickTop="1" thickBot="1" x14ac:dyDescent="0.3">
      <c r="A3643" s="292"/>
      <c r="B3643" s="296"/>
      <c r="C3643" s="294"/>
      <c r="D3643" s="294"/>
      <c r="E3643" s="294"/>
      <c r="F3643" s="310"/>
      <c r="G3643" s="310"/>
      <c r="H3643" s="310"/>
      <c r="I3643" s="295"/>
      <c r="J3643" s="295"/>
      <c r="K3643" s="300">
        <f t="shared" si="450"/>
        <v>1.1000000000000001</v>
      </c>
      <c r="L3643" s="300">
        <f t="shared" si="465"/>
        <v>0</v>
      </c>
      <c r="M3643" s="285">
        <f t="shared" si="466"/>
        <v>0</v>
      </c>
      <c r="N3643" s="1076"/>
      <c r="O3643" s="294"/>
      <c r="P3643" s="404"/>
      <c r="Q3643" s="404"/>
    </row>
    <row r="3644" spans="1:17" ht="14.4" thickTop="1" thickBot="1" x14ac:dyDescent="0.3">
      <c r="A3644" s="292"/>
      <c r="B3644" s="296" t="s">
        <v>1737</v>
      </c>
      <c r="C3644" s="294"/>
      <c r="D3644" s="294"/>
      <c r="E3644" s="294"/>
      <c r="F3644" s="310"/>
      <c r="G3644" s="310"/>
      <c r="H3644" s="310"/>
      <c r="I3644" s="295"/>
      <c r="J3644" s="295"/>
      <c r="K3644" s="300">
        <f t="shared" si="450"/>
        <v>1.1000000000000001</v>
      </c>
      <c r="L3644" s="300">
        <f t="shared" si="465"/>
        <v>0</v>
      </c>
      <c r="M3644" s="285">
        <f t="shared" si="466"/>
        <v>0</v>
      </c>
      <c r="N3644" s="1076"/>
      <c r="O3644" s="294"/>
      <c r="P3644" s="404"/>
      <c r="Q3644" s="404"/>
    </row>
    <row r="3645" spans="1:17" ht="14.4" thickTop="1" thickBot="1" x14ac:dyDescent="0.3">
      <c r="A3645" s="292"/>
      <c r="B3645" s="296" t="s">
        <v>1738</v>
      </c>
      <c r="C3645" s="294"/>
      <c r="D3645" s="294"/>
      <c r="E3645" s="294"/>
      <c r="F3645" s="310">
        <v>2.2250000000000001</v>
      </c>
      <c r="G3645" s="310">
        <v>2.2250000000000001</v>
      </c>
      <c r="H3645" s="310"/>
      <c r="I3645" s="295">
        <f>G3645*F3645</f>
        <v>4.9506250000000005</v>
      </c>
      <c r="J3645" s="295"/>
      <c r="K3645" s="300">
        <f t="shared" si="450"/>
        <v>1.1000000000000001</v>
      </c>
      <c r="L3645" s="300">
        <f t="shared" si="465"/>
        <v>0</v>
      </c>
      <c r="M3645" s="285">
        <f t="shared" si="466"/>
        <v>0</v>
      </c>
      <c r="N3645" s="1076"/>
      <c r="O3645" s="294"/>
      <c r="P3645" s="404"/>
      <c r="Q3645" s="404"/>
    </row>
    <row r="3646" spans="1:17" ht="14.4" thickTop="1" thickBot="1" x14ac:dyDescent="0.3">
      <c r="A3646" s="292"/>
      <c r="B3646" s="296"/>
      <c r="C3646" s="294"/>
      <c r="D3646" s="294"/>
      <c r="E3646" s="294">
        <v>4</v>
      </c>
      <c r="F3646" s="310">
        <v>2.2250000000000001</v>
      </c>
      <c r="G3646" s="310"/>
      <c r="H3646" s="310">
        <v>1.8</v>
      </c>
      <c r="I3646" s="295">
        <f>H3646*F3646*E3646</f>
        <v>16.02</v>
      </c>
      <c r="J3646" s="295">
        <f>SUM(I3645:I3646)</f>
        <v>20.970624999999998</v>
      </c>
      <c r="K3646" s="300">
        <v>1.05</v>
      </c>
      <c r="L3646" s="300">
        <f t="shared" si="465"/>
        <v>22.019156249999998</v>
      </c>
      <c r="M3646" s="285">
        <f t="shared" si="466"/>
        <v>22</v>
      </c>
      <c r="N3646" s="1076"/>
      <c r="O3646" s="294"/>
      <c r="P3646" s="404"/>
      <c r="Q3646" s="404"/>
    </row>
    <row r="3647" spans="1:17" ht="14.4" thickTop="1" thickBot="1" x14ac:dyDescent="0.3">
      <c r="A3647" s="292"/>
      <c r="B3647" s="296"/>
      <c r="C3647" s="294"/>
      <c r="D3647" s="294"/>
      <c r="E3647" s="294"/>
      <c r="F3647" s="310"/>
      <c r="G3647" s="310"/>
      <c r="H3647" s="310"/>
      <c r="I3647" s="295"/>
      <c r="J3647" s="295"/>
      <c r="K3647" s="300">
        <f t="shared" si="450"/>
        <v>1.1000000000000001</v>
      </c>
      <c r="L3647" s="300">
        <f t="shared" si="465"/>
        <v>0</v>
      </c>
      <c r="M3647" s="285">
        <f t="shared" si="466"/>
        <v>0</v>
      </c>
      <c r="N3647" s="1076"/>
      <c r="O3647" s="294"/>
      <c r="P3647" s="404"/>
      <c r="Q3647" s="404"/>
    </row>
    <row r="3648" spans="1:17" ht="14.4" thickTop="1" thickBot="1" x14ac:dyDescent="0.3">
      <c r="A3648" s="292"/>
      <c r="B3648" s="296"/>
      <c r="C3648" s="294"/>
      <c r="D3648" s="294"/>
      <c r="E3648" s="294"/>
      <c r="F3648" s="310"/>
      <c r="G3648" s="310"/>
      <c r="H3648" s="310"/>
      <c r="I3648" s="295"/>
      <c r="J3648" s="295"/>
      <c r="K3648" s="300">
        <f t="shared" si="450"/>
        <v>1.1000000000000001</v>
      </c>
      <c r="L3648" s="300">
        <f t="shared" si="465"/>
        <v>0</v>
      </c>
      <c r="M3648" s="285">
        <f t="shared" si="466"/>
        <v>0</v>
      </c>
      <c r="N3648" s="1076"/>
      <c r="O3648" s="294"/>
      <c r="P3648" s="404"/>
      <c r="Q3648" s="404"/>
    </row>
    <row r="3649" spans="1:17" ht="14.4" thickTop="1" thickBot="1" x14ac:dyDescent="0.3">
      <c r="A3649" s="292"/>
      <c r="B3649" s="296"/>
      <c r="C3649" s="294"/>
      <c r="D3649" s="294"/>
      <c r="E3649" s="294"/>
      <c r="F3649" s="310"/>
      <c r="G3649" s="310"/>
      <c r="H3649" s="310"/>
      <c r="I3649" s="295"/>
      <c r="J3649" s="295"/>
      <c r="K3649" s="300">
        <f t="shared" si="450"/>
        <v>1.1000000000000001</v>
      </c>
      <c r="L3649" s="300">
        <f t="shared" si="465"/>
        <v>0</v>
      </c>
      <c r="M3649" s="285">
        <f t="shared" si="466"/>
        <v>0</v>
      </c>
      <c r="N3649" s="1076"/>
      <c r="O3649" s="294"/>
      <c r="P3649" s="404"/>
      <c r="Q3649" s="404"/>
    </row>
    <row r="3650" spans="1:17" ht="14.4" thickTop="1" thickBot="1" x14ac:dyDescent="0.3">
      <c r="A3650" s="292"/>
      <c r="B3650" s="296"/>
      <c r="C3650" s="294"/>
      <c r="D3650" s="294"/>
      <c r="E3650" s="294"/>
      <c r="F3650" s="310"/>
      <c r="G3650" s="310"/>
      <c r="H3650" s="310"/>
      <c r="I3650" s="295"/>
      <c r="J3650" s="295"/>
      <c r="K3650" s="300">
        <f t="shared" si="450"/>
        <v>1.1000000000000001</v>
      </c>
      <c r="L3650" s="300">
        <f t="shared" si="465"/>
        <v>0</v>
      </c>
      <c r="M3650" s="285">
        <f t="shared" si="466"/>
        <v>0</v>
      </c>
      <c r="N3650" s="1076"/>
      <c r="O3650" s="294"/>
      <c r="P3650" s="404"/>
      <c r="Q3650" s="404"/>
    </row>
    <row r="3651" spans="1:17" ht="14.4" thickTop="1" thickBot="1" x14ac:dyDescent="0.3">
      <c r="A3651" s="292"/>
      <c r="B3651" s="296"/>
      <c r="C3651" s="294"/>
      <c r="D3651" s="294"/>
      <c r="E3651" s="294"/>
      <c r="F3651" s="310"/>
      <c r="G3651" s="310"/>
      <c r="H3651" s="310"/>
      <c r="I3651" s="295"/>
      <c r="J3651" s="295"/>
      <c r="K3651" s="300">
        <f t="shared" si="450"/>
        <v>1.1000000000000001</v>
      </c>
      <c r="L3651" s="300">
        <f t="shared" si="465"/>
        <v>0</v>
      </c>
      <c r="M3651" s="285">
        <f t="shared" si="466"/>
        <v>0</v>
      </c>
      <c r="N3651" s="1076"/>
      <c r="O3651" s="294"/>
      <c r="P3651" s="404"/>
      <c r="Q3651" s="404"/>
    </row>
    <row r="3652" spans="1:17" ht="14.4" thickTop="1" thickBot="1" x14ac:dyDescent="0.3">
      <c r="A3652" s="292"/>
      <c r="B3652" s="296"/>
      <c r="C3652" s="294"/>
      <c r="D3652" s="294"/>
      <c r="E3652" s="294"/>
      <c r="F3652" s="310"/>
      <c r="G3652" s="310"/>
      <c r="H3652" s="310"/>
      <c r="I3652" s="295"/>
      <c r="J3652" s="295"/>
      <c r="K3652" s="300">
        <f t="shared" si="450"/>
        <v>1.1000000000000001</v>
      </c>
      <c r="L3652" s="300">
        <f t="shared" si="465"/>
        <v>0</v>
      </c>
      <c r="M3652" s="285">
        <f t="shared" si="466"/>
        <v>0</v>
      </c>
      <c r="N3652" s="1076"/>
      <c r="O3652" s="294"/>
      <c r="P3652" s="404"/>
      <c r="Q3652" s="404"/>
    </row>
    <row r="3653" spans="1:17" ht="14.4" thickTop="1" thickBot="1" x14ac:dyDescent="0.3">
      <c r="A3653" s="292"/>
      <c r="B3653" s="296"/>
      <c r="C3653" s="294"/>
      <c r="D3653" s="294"/>
      <c r="E3653" s="294"/>
      <c r="F3653" s="310"/>
      <c r="G3653" s="310"/>
      <c r="H3653" s="310"/>
      <c r="I3653" s="295"/>
      <c r="J3653" s="295"/>
      <c r="K3653" s="300">
        <f t="shared" si="450"/>
        <v>1.1000000000000001</v>
      </c>
      <c r="L3653" s="300">
        <f t="shared" si="465"/>
        <v>0</v>
      </c>
      <c r="M3653" s="285">
        <f t="shared" si="466"/>
        <v>0</v>
      </c>
      <c r="N3653" s="1076"/>
      <c r="O3653" s="294"/>
      <c r="P3653" s="404"/>
      <c r="Q3653" s="404"/>
    </row>
    <row r="3654" spans="1:17" ht="14.4" thickTop="1" thickBot="1" x14ac:dyDescent="0.3">
      <c r="A3654" s="292"/>
      <c r="B3654" s="302" t="s">
        <v>169</v>
      </c>
      <c r="C3654" s="294"/>
      <c r="D3654" s="294"/>
      <c r="E3654" s="294"/>
      <c r="F3654" s="310"/>
      <c r="G3654" s="310"/>
      <c r="H3654" s="310"/>
      <c r="I3654" s="295"/>
      <c r="J3654" s="295"/>
      <c r="K3654" s="300">
        <f t="shared" si="450"/>
        <v>1.1000000000000001</v>
      </c>
      <c r="L3654" s="300">
        <f t="shared" si="465"/>
        <v>0</v>
      </c>
      <c r="M3654" s="285">
        <f t="shared" si="466"/>
        <v>0</v>
      </c>
      <c r="N3654" s="1076"/>
      <c r="O3654" s="294"/>
      <c r="P3654" s="404"/>
      <c r="Q3654" s="404"/>
    </row>
    <row r="3655" spans="1:17" ht="14.4" thickTop="1" thickBot="1" x14ac:dyDescent="0.3">
      <c r="A3655" s="292"/>
      <c r="B3655" s="296"/>
      <c r="C3655" s="294"/>
      <c r="D3655" s="294"/>
      <c r="E3655" s="294"/>
      <c r="F3655" s="310"/>
      <c r="G3655" s="310"/>
      <c r="H3655" s="310"/>
      <c r="I3655" s="295"/>
      <c r="J3655" s="295"/>
      <c r="K3655" s="300">
        <f t="shared" si="450"/>
        <v>1.1000000000000001</v>
      </c>
      <c r="L3655" s="300">
        <f t="shared" si="465"/>
        <v>0</v>
      </c>
      <c r="M3655" s="285">
        <f t="shared" si="466"/>
        <v>0</v>
      </c>
      <c r="N3655" s="1076"/>
      <c r="O3655" s="294"/>
      <c r="P3655" s="404"/>
      <c r="Q3655" s="404"/>
    </row>
    <row r="3656" spans="1:17" ht="14.4" thickTop="1" thickBot="1" x14ac:dyDescent="0.3">
      <c r="A3656" s="292"/>
      <c r="B3656" s="296" t="s">
        <v>727</v>
      </c>
      <c r="C3656" s="294"/>
      <c r="D3656" s="294"/>
      <c r="E3656" s="294"/>
      <c r="F3656" s="310"/>
      <c r="G3656" s="310"/>
      <c r="H3656" s="310"/>
      <c r="I3656" s="295"/>
      <c r="J3656" s="295"/>
      <c r="K3656" s="300">
        <f t="shared" si="450"/>
        <v>1.1000000000000001</v>
      </c>
      <c r="L3656" s="300">
        <f t="shared" si="465"/>
        <v>0</v>
      </c>
      <c r="M3656" s="285">
        <f t="shared" si="466"/>
        <v>0</v>
      </c>
      <c r="N3656" s="1076"/>
      <c r="O3656" s="294"/>
      <c r="P3656" s="404"/>
      <c r="Q3656" s="404"/>
    </row>
    <row r="3657" spans="1:17" ht="14.4" thickTop="1" thickBot="1" x14ac:dyDescent="0.3">
      <c r="A3657" s="292"/>
      <c r="B3657" s="296"/>
      <c r="C3657" s="294"/>
      <c r="D3657" s="294"/>
      <c r="E3657" s="294"/>
      <c r="F3657" s="310"/>
      <c r="G3657" s="310"/>
      <c r="H3657" s="310"/>
      <c r="I3657" s="295"/>
      <c r="J3657" s="295"/>
      <c r="K3657" s="300">
        <f t="shared" si="450"/>
        <v>1.1000000000000001</v>
      </c>
      <c r="L3657" s="300">
        <f t="shared" si="465"/>
        <v>0</v>
      </c>
      <c r="M3657" s="285">
        <f t="shared" si="452"/>
        <v>0</v>
      </c>
      <c r="N3657" s="1076"/>
      <c r="O3657" s="294"/>
      <c r="P3657" s="404"/>
      <c r="Q3657" s="404"/>
    </row>
    <row r="3658" spans="1:17" ht="14.4" thickTop="1" thickBot="1" x14ac:dyDescent="0.3">
      <c r="A3658" s="292"/>
      <c r="B3658" s="296"/>
      <c r="C3658" s="294"/>
      <c r="D3658" s="294"/>
      <c r="E3658" s="294"/>
      <c r="F3658" s="310"/>
      <c r="G3658" s="310"/>
      <c r="H3658" s="310"/>
      <c r="I3658" s="295"/>
      <c r="J3658" s="295"/>
      <c r="K3658" s="300">
        <f t="shared" si="450"/>
        <v>1.1000000000000001</v>
      </c>
      <c r="L3658" s="300">
        <f t="shared" si="465"/>
        <v>0</v>
      </c>
      <c r="M3658" s="285">
        <f t="shared" si="452"/>
        <v>0</v>
      </c>
      <c r="N3658" s="1076"/>
      <c r="O3658" s="294"/>
      <c r="P3658" s="404"/>
      <c r="Q3658" s="404"/>
    </row>
    <row r="3659" spans="1:17" ht="14.4" thickTop="1" thickBot="1" x14ac:dyDescent="0.3">
      <c r="A3659" s="292"/>
      <c r="B3659" s="296" t="s">
        <v>728</v>
      </c>
      <c r="C3659" s="294"/>
      <c r="D3659" s="294"/>
      <c r="E3659" s="294"/>
      <c r="F3659" s="310"/>
      <c r="G3659" s="310"/>
      <c r="H3659" s="310"/>
      <c r="I3659" s="295"/>
      <c r="J3659" s="295"/>
      <c r="K3659" s="300">
        <f t="shared" si="450"/>
        <v>1.1000000000000001</v>
      </c>
      <c r="L3659" s="300">
        <f t="shared" si="465"/>
        <v>0</v>
      </c>
      <c r="M3659" s="285">
        <f t="shared" si="452"/>
        <v>0</v>
      </c>
      <c r="N3659" s="1076"/>
      <c r="O3659" s="294"/>
      <c r="P3659" s="404"/>
      <c r="Q3659" s="404"/>
    </row>
    <row r="3660" spans="1:17" ht="14.4" thickTop="1" thickBot="1" x14ac:dyDescent="0.3">
      <c r="A3660" s="292"/>
      <c r="B3660" s="296"/>
      <c r="C3660" s="294"/>
      <c r="D3660" s="294"/>
      <c r="E3660" s="294"/>
      <c r="F3660" s="310"/>
      <c r="G3660" s="310"/>
      <c r="H3660" s="310"/>
      <c r="I3660" s="295"/>
      <c r="J3660" s="295"/>
      <c r="K3660" s="300">
        <f t="shared" si="450"/>
        <v>1.1000000000000001</v>
      </c>
      <c r="L3660" s="300">
        <f t="shared" si="465"/>
        <v>0</v>
      </c>
      <c r="M3660" s="285">
        <f t="shared" si="452"/>
        <v>0</v>
      </c>
      <c r="N3660" s="1076"/>
      <c r="O3660" s="294"/>
      <c r="P3660" s="404"/>
      <c r="Q3660" s="404"/>
    </row>
    <row r="3661" spans="1:17" ht="14.4" thickTop="1" thickBot="1" x14ac:dyDescent="0.3">
      <c r="A3661" s="292"/>
      <c r="B3661" s="296"/>
      <c r="C3661" s="294"/>
      <c r="D3661" s="294"/>
      <c r="E3661" s="294"/>
      <c r="F3661" s="310"/>
      <c r="G3661" s="310"/>
      <c r="H3661" s="310"/>
      <c r="I3661" s="295"/>
      <c r="J3661" s="295"/>
      <c r="K3661" s="300">
        <f t="shared" si="450"/>
        <v>1.1000000000000001</v>
      </c>
      <c r="L3661" s="300">
        <f t="shared" si="465"/>
        <v>0</v>
      </c>
      <c r="M3661" s="285">
        <f t="shared" si="452"/>
        <v>0</v>
      </c>
      <c r="N3661" s="1076"/>
      <c r="O3661" s="294"/>
      <c r="P3661" s="404"/>
      <c r="Q3661" s="404"/>
    </row>
    <row r="3662" spans="1:17" ht="14.4" thickTop="1" thickBot="1" x14ac:dyDescent="0.3">
      <c r="A3662" s="292"/>
      <c r="B3662" s="296" t="s">
        <v>729</v>
      </c>
      <c r="C3662" s="294"/>
      <c r="D3662" s="294"/>
      <c r="E3662" s="294"/>
      <c r="F3662" s="310"/>
      <c r="G3662" s="310"/>
      <c r="H3662" s="310"/>
      <c r="I3662" s="295"/>
      <c r="J3662" s="295"/>
      <c r="K3662" s="300">
        <f t="shared" si="450"/>
        <v>1.1000000000000001</v>
      </c>
      <c r="L3662" s="300">
        <f t="shared" si="465"/>
        <v>0</v>
      </c>
      <c r="M3662" s="285">
        <f t="shared" si="452"/>
        <v>0</v>
      </c>
      <c r="N3662" s="1076"/>
      <c r="O3662" s="294"/>
      <c r="P3662" s="404"/>
      <c r="Q3662" s="404"/>
    </row>
    <row r="3663" spans="1:17" ht="14.4" thickTop="1" thickBot="1" x14ac:dyDescent="0.3">
      <c r="A3663" s="292"/>
      <c r="B3663" s="296"/>
      <c r="C3663" s="294"/>
      <c r="D3663" s="294"/>
      <c r="E3663" s="294"/>
      <c r="F3663" s="310"/>
      <c r="G3663" s="310"/>
      <c r="H3663" s="310"/>
      <c r="I3663" s="295"/>
      <c r="J3663" s="295"/>
      <c r="K3663" s="300">
        <f t="shared" si="450"/>
        <v>1.1000000000000001</v>
      </c>
      <c r="L3663" s="300">
        <f t="shared" si="465"/>
        <v>0</v>
      </c>
      <c r="M3663" s="285">
        <f t="shared" si="452"/>
        <v>0</v>
      </c>
      <c r="N3663" s="1076"/>
      <c r="O3663" s="294"/>
      <c r="P3663" s="404"/>
      <c r="Q3663" s="404"/>
    </row>
    <row r="3664" spans="1:17" ht="14.4" thickTop="1" thickBot="1" x14ac:dyDescent="0.3">
      <c r="A3664" s="292"/>
      <c r="B3664" s="296"/>
      <c r="C3664" s="294"/>
      <c r="D3664" s="294"/>
      <c r="E3664" s="294"/>
      <c r="F3664" s="310"/>
      <c r="G3664" s="310"/>
      <c r="H3664" s="310"/>
      <c r="I3664" s="295"/>
      <c r="J3664" s="295"/>
      <c r="K3664" s="300">
        <f t="shared" si="450"/>
        <v>1.1000000000000001</v>
      </c>
      <c r="L3664" s="300">
        <f t="shared" si="465"/>
        <v>0</v>
      </c>
      <c r="M3664" s="285">
        <f t="shared" si="452"/>
        <v>0</v>
      </c>
      <c r="N3664" s="1076"/>
      <c r="O3664" s="294"/>
      <c r="P3664" s="404"/>
      <c r="Q3664" s="404"/>
    </row>
    <row r="3665" spans="1:17" ht="14.4" thickTop="1" thickBot="1" x14ac:dyDescent="0.3">
      <c r="A3665" s="292"/>
      <c r="B3665" s="296" t="s">
        <v>730</v>
      </c>
      <c r="C3665" s="294"/>
      <c r="D3665" s="294"/>
      <c r="E3665" s="294"/>
      <c r="F3665" s="310">
        <v>26.024999999999999</v>
      </c>
      <c r="G3665" s="310">
        <v>12.225</v>
      </c>
      <c r="H3665" s="310">
        <v>0.15</v>
      </c>
      <c r="I3665" s="295">
        <f>H3665*G3665*F3665</f>
        <v>47.723343749999991</v>
      </c>
      <c r="J3665" s="295"/>
      <c r="K3665" s="300">
        <f t="shared" si="450"/>
        <v>1.1000000000000001</v>
      </c>
      <c r="L3665" s="300">
        <f t="shared" si="465"/>
        <v>0</v>
      </c>
      <c r="M3665" s="285">
        <f t="shared" si="452"/>
        <v>0</v>
      </c>
      <c r="N3665" s="1076"/>
      <c r="O3665" s="294"/>
      <c r="P3665" s="413">
        <f>F3665*G3665*H3665</f>
        <v>47.723343749999998</v>
      </c>
      <c r="Q3665" s="404"/>
    </row>
    <row r="3666" spans="1:17" ht="14.4" thickTop="1" thickBot="1" x14ac:dyDescent="0.3">
      <c r="A3666" s="292"/>
      <c r="B3666" s="296" t="s">
        <v>1717</v>
      </c>
      <c r="C3666" s="294"/>
      <c r="D3666" s="294"/>
      <c r="E3666" s="294"/>
      <c r="F3666" s="310">
        <v>2.4500000000000002</v>
      </c>
      <c r="G3666" s="310">
        <v>2.4500000000000002</v>
      </c>
      <c r="H3666" s="310">
        <v>0.15</v>
      </c>
      <c r="I3666" s="295">
        <f>-H3666*G3666*F3666</f>
        <v>-0.90037500000000004</v>
      </c>
      <c r="J3666" s="295"/>
      <c r="K3666" s="300"/>
      <c r="L3666" s="300"/>
      <c r="M3666" s="285"/>
      <c r="N3666" s="1076"/>
      <c r="O3666" s="294"/>
      <c r="P3666" s="404"/>
      <c r="Q3666" s="404"/>
    </row>
    <row r="3667" spans="1:17" ht="14.4" thickTop="1" thickBot="1" x14ac:dyDescent="0.3">
      <c r="A3667" s="292"/>
      <c r="B3667" s="296" t="s">
        <v>1718</v>
      </c>
      <c r="C3667" s="294"/>
      <c r="D3667" s="294"/>
      <c r="E3667" s="294"/>
      <c r="F3667" s="310">
        <v>2.5369999999999999</v>
      </c>
      <c r="G3667" s="310">
        <v>3.7111999999999998</v>
      </c>
      <c r="H3667" s="310">
        <v>0.15</v>
      </c>
      <c r="I3667" s="295">
        <f>-H3667*G3667*F3667</f>
        <v>-1.4122971599999998</v>
      </c>
      <c r="J3667" s="295"/>
      <c r="K3667" s="300"/>
      <c r="L3667" s="300"/>
      <c r="M3667" s="285"/>
      <c r="N3667" s="1076"/>
      <c r="O3667" s="294"/>
      <c r="P3667" s="404"/>
      <c r="Q3667" s="404"/>
    </row>
    <row r="3668" spans="1:17" ht="14.4" thickTop="1" thickBot="1" x14ac:dyDescent="0.3">
      <c r="A3668" s="292"/>
      <c r="B3668" s="296" t="s">
        <v>731</v>
      </c>
      <c r="C3668" s="294"/>
      <c r="D3668" s="294"/>
      <c r="E3668" s="294"/>
      <c r="F3668" s="310">
        <v>5.6109999999999998</v>
      </c>
      <c r="G3668" s="310">
        <v>4.6879999999999997</v>
      </c>
      <c r="H3668" s="310">
        <v>0.15</v>
      </c>
      <c r="I3668" s="295">
        <f>H3668*G3668*F3668</f>
        <v>3.9456551999999996</v>
      </c>
      <c r="J3668" s="295"/>
      <c r="K3668" s="300">
        <f t="shared" si="450"/>
        <v>1.1000000000000001</v>
      </c>
      <c r="L3668" s="300">
        <f t="shared" ref="L3668:L3775" si="474">K3668*J3668</f>
        <v>0</v>
      </c>
      <c r="M3668" s="285">
        <f t="shared" si="452"/>
        <v>0</v>
      </c>
      <c r="N3668" s="1076"/>
      <c r="O3668" s="294"/>
      <c r="P3668" s="404"/>
      <c r="Q3668" s="404"/>
    </row>
    <row r="3669" spans="1:17" ht="14.4" thickTop="1" thickBot="1" x14ac:dyDescent="0.3">
      <c r="A3669" s="292"/>
      <c r="B3669" s="296" t="s">
        <v>732</v>
      </c>
      <c r="C3669" s="294"/>
      <c r="D3669" s="294"/>
      <c r="E3669" s="294"/>
      <c r="F3669" s="310">
        <f>F3665</f>
        <v>26.024999999999999</v>
      </c>
      <c r="G3669" s="310">
        <v>0.9</v>
      </c>
      <c r="H3669" s="310">
        <v>0.1</v>
      </c>
      <c r="I3669" s="295">
        <f>H3669*G3669*F3669</f>
        <v>2.3422499999999999</v>
      </c>
      <c r="J3669" s="295"/>
      <c r="K3669" s="300">
        <f t="shared" si="450"/>
        <v>1.1000000000000001</v>
      </c>
      <c r="L3669" s="300">
        <f t="shared" si="474"/>
        <v>0</v>
      </c>
      <c r="M3669" s="285">
        <f t="shared" si="452"/>
        <v>0</v>
      </c>
      <c r="N3669" s="1076"/>
      <c r="O3669" s="294"/>
      <c r="P3669" s="404"/>
      <c r="Q3669" s="404"/>
    </row>
    <row r="3670" spans="1:17" ht="14.4" thickTop="1" thickBot="1" x14ac:dyDescent="0.3">
      <c r="A3670" s="292"/>
      <c r="B3670" s="296"/>
      <c r="C3670" s="294"/>
      <c r="D3670" s="294"/>
      <c r="E3670" s="294">
        <v>2</v>
      </c>
      <c r="F3670" s="310">
        <f>G3665</f>
        <v>12.225</v>
      </c>
      <c r="G3670" s="310">
        <f>G3669</f>
        <v>0.9</v>
      </c>
      <c r="H3670" s="310">
        <v>0.1</v>
      </c>
      <c r="I3670" s="295">
        <f>H3670*G3670*F3670*E3670</f>
        <v>2.2005000000000003</v>
      </c>
      <c r="J3670" s="295">
        <f>SUM(I3665:I3670)</f>
        <v>53.899076789999988</v>
      </c>
      <c r="K3670" s="300">
        <v>1.02</v>
      </c>
      <c r="L3670" s="300">
        <f t="shared" si="474"/>
        <v>54.977058325799987</v>
      </c>
      <c r="M3670" s="285">
        <f t="shared" si="452"/>
        <v>55</v>
      </c>
      <c r="N3670" s="1076"/>
      <c r="O3670" s="294"/>
      <c r="P3670" s="413">
        <f>M3670-J3670</f>
        <v>1.1009232100000119</v>
      </c>
      <c r="Q3670" s="404"/>
    </row>
    <row r="3671" spans="1:17" ht="14.4" thickTop="1" thickBot="1" x14ac:dyDescent="0.3">
      <c r="A3671" s="292"/>
      <c r="B3671" s="296"/>
      <c r="C3671" s="294"/>
      <c r="D3671" s="294"/>
      <c r="E3671" s="294"/>
      <c r="F3671" s="310"/>
      <c r="G3671" s="310"/>
      <c r="H3671" s="310"/>
      <c r="I3671" s="295"/>
      <c r="J3671" s="295">
        <f>J3670/2.83</f>
        <v>19.045610173144873</v>
      </c>
      <c r="K3671" s="300">
        <v>1.05</v>
      </c>
      <c r="L3671" s="300">
        <f t="shared" si="474"/>
        <v>19.997890681802119</v>
      </c>
      <c r="M3671" s="285">
        <f t="shared" si="452"/>
        <v>20</v>
      </c>
      <c r="N3671" s="1076"/>
      <c r="O3671" s="294"/>
      <c r="P3671" s="404"/>
      <c r="Q3671" s="404"/>
    </row>
    <row r="3672" spans="1:17" ht="14.4" thickTop="1" thickBot="1" x14ac:dyDescent="0.3">
      <c r="A3672" s="292"/>
      <c r="B3672" s="296"/>
      <c r="C3672" s="294"/>
      <c r="D3672" s="294"/>
      <c r="E3672" s="294"/>
      <c r="F3672" s="310"/>
      <c r="G3672" s="310"/>
      <c r="H3672" s="310"/>
      <c r="I3672" s="295"/>
      <c r="J3672" s="295"/>
      <c r="K3672" s="300">
        <f t="shared" si="450"/>
        <v>1.1000000000000001</v>
      </c>
      <c r="L3672" s="300">
        <f t="shared" si="474"/>
        <v>0</v>
      </c>
      <c r="M3672" s="285">
        <f t="shared" si="452"/>
        <v>0</v>
      </c>
      <c r="N3672" s="1076"/>
      <c r="O3672" s="294"/>
      <c r="P3672" s="404"/>
      <c r="Q3672" s="404"/>
    </row>
    <row r="3673" spans="1:17" ht="14.4" thickTop="1" thickBot="1" x14ac:dyDescent="0.3">
      <c r="A3673" s="292"/>
      <c r="B3673" s="296" t="s">
        <v>733</v>
      </c>
      <c r="C3673" s="294"/>
      <c r="D3673" s="294"/>
      <c r="E3673" s="294"/>
      <c r="F3673" s="310">
        <f>F3665</f>
        <v>26.024999999999999</v>
      </c>
      <c r="G3673" s="310">
        <v>10.5</v>
      </c>
      <c r="H3673" s="310">
        <v>0.15</v>
      </c>
      <c r="I3673" s="295">
        <f>H3673*G3673*F3673</f>
        <v>40.989374999999995</v>
      </c>
      <c r="J3673" s="295"/>
      <c r="K3673" s="300">
        <f t="shared" si="450"/>
        <v>1.1000000000000001</v>
      </c>
      <c r="L3673" s="300">
        <f t="shared" si="474"/>
        <v>0</v>
      </c>
      <c r="M3673" s="285">
        <f t="shared" si="452"/>
        <v>0</v>
      </c>
      <c r="N3673" s="1076"/>
      <c r="O3673" s="294"/>
      <c r="P3673" s="404"/>
      <c r="Q3673" s="404"/>
    </row>
    <row r="3674" spans="1:17" ht="14.4" thickTop="1" thickBot="1" x14ac:dyDescent="0.3">
      <c r="A3674" s="292"/>
      <c r="B3674" s="296" t="s">
        <v>1717</v>
      </c>
      <c r="C3674" s="294"/>
      <c r="D3674" s="294"/>
      <c r="E3674" s="294"/>
      <c r="F3674" s="310">
        <v>2.4500000000000002</v>
      </c>
      <c r="G3674" s="310">
        <v>2.4500000000000002</v>
      </c>
      <c r="H3674" s="310">
        <v>0.15</v>
      </c>
      <c r="I3674" s="295">
        <f>-H3674*G3674*F3674</f>
        <v>-0.90037500000000004</v>
      </c>
      <c r="J3674" s="295"/>
      <c r="K3674" s="300"/>
      <c r="L3674" s="300"/>
      <c r="M3674" s="285"/>
      <c r="N3674" s="1076"/>
      <c r="O3674" s="294"/>
      <c r="P3674" s="404"/>
      <c r="Q3674" s="404"/>
    </row>
    <row r="3675" spans="1:17" ht="14.4" thickTop="1" thickBot="1" x14ac:dyDescent="0.3">
      <c r="A3675" s="292"/>
      <c r="B3675" s="296" t="s">
        <v>1718</v>
      </c>
      <c r="C3675" s="294"/>
      <c r="D3675" s="294"/>
      <c r="E3675" s="294"/>
      <c r="F3675" s="310">
        <v>2.5369999999999999</v>
      </c>
      <c r="G3675" s="310">
        <v>3.7111999999999998</v>
      </c>
      <c r="H3675" s="310">
        <v>0.15</v>
      </c>
      <c r="I3675" s="295">
        <f>-H3675*G3675*F3675</f>
        <v>-1.4122971599999998</v>
      </c>
      <c r="J3675" s="295"/>
      <c r="K3675" s="300"/>
      <c r="L3675" s="300"/>
      <c r="M3675" s="285"/>
      <c r="N3675" s="1076"/>
      <c r="O3675" s="294"/>
      <c r="P3675" s="404"/>
      <c r="Q3675" s="404"/>
    </row>
    <row r="3676" spans="1:17" ht="14.4" thickTop="1" thickBot="1" x14ac:dyDescent="0.3">
      <c r="A3676" s="292"/>
      <c r="B3676" s="296" t="s">
        <v>732</v>
      </c>
      <c r="C3676" s="294"/>
      <c r="D3676" s="294"/>
      <c r="E3676" s="294">
        <v>2</v>
      </c>
      <c r="F3676" s="310">
        <f>F3669</f>
        <v>26.024999999999999</v>
      </c>
      <c r="G3676" s="310">
        <f>G3669</f>
        <v>0.9</v>
      </c>
      <c r="H3676" s="310">
        <v>0.15</v>
      </c>
      <c r="I3676" s="295">
        <f>H3676*G3676*F3676*E3676</f>
        <v>7.0267499999999998</v>
      </c>
      <c r="J3676" s="295"/>
      <c r="K3676" s="300">
        <f t="shared" si="450"/>
        <v>1.1000000000000001</v>
      </c>
      <c r="L3676" s="300">
        <f t="shared" si="474"/>
        <v>0</v>
      </c>
      <c r="M3676" s="285">
        <f t="shared" si="452"/>
        <v>0</v>
      </c>
      <c r="N3676" s="1076"/>
      <c r="O3676" s="294"/>
      <c r="P3676" s="404"/>
      <c r="Q3676" s="404"/>
    </row>
    <row r="3677" spans="1:17" ht="14.4" thickTop="1" thickBot="1" x14ac:dyDescent="0.3">
      <c r="A3677" s="292"/>
      <c r="B3677" s="296"/>
      <c r="C3677" s="294"/>
      <c r="D3677" s="294"/>
      <c r="E3677" s="294">
        <v>2</v>
      </c>
      <c r="F3677" s="310">
        <f>G3673</f>
        <v>10.5</v>
      </c>
      <c r="G3677" s="310">
        <f>G3676</f>
        <v>0.9</v>
      </c>
      <c r="H3677" s="310">
        <f>H3676</f>
        <v>0.15</v>
      </c>
      <c r="I3677" s="295">
        <f>H3677*G3677*F3677*E3677</f>
        <v>2.835</v>
      </c>
      <c r="J3677" s="295">
        <f>SUM(I3673:I3677)</f>
        <v>48.538452839999998</v>
      </c>
      <c r="K3677" s="300">
        <v>1.02</v>
      </c>
      <c r="L3677" s="300">
        <f t="shared" si="474"/>
        <v>49.5092218968</v>
      </c>
      <c r="M3677" s="285">
        <f t="shared" si="452"/>
        <v>50</v>
      </c>
      <c r="N3677" s="1076"/>
      <c r="O3677" s="294"/>
      <c r="P3677" s="413">
        <f>M3677-J3677</f>
        <v>1.4615471600000021</v>
      </c>
      <c r="Q3677" s="404"/>
    </row>
    <row r="3678" spans="1:17" ht="14.4" thickTop="1" thickBot="1" x14ac:dyDescent="0.3">
      <c r="A3678" s="292"/>
      <c r="B3678" s="296"/>
      <c r="C3678" s="294"/>
      <c r="D3678" s="294"/>
      <c r="E3678" s="294"/>
      <c r="F3678" s="310"/>
      <c r="G3678" s="310"/>
      <c r="H3678" s="310"/>
      <c r="I3678" s="295"/>
      <c r="J3678" s="295">
        <f>J3677/2.83</f>
        <v>17.151396763250883</v>
      </c>
      <c r="K3678" s="300">
        <v>1.05</v>
      </c>
      <c r="L3678" s="300">
        <f t="shared" si="474"/>
        <v>18.008966601413427</v>
      </c>
      <c r="M3678" s="285">
        <f t="shared" si="452"/>
        <v>18</v>
      </c>
      <c r="N3678" s="1076"/>
      <c r="O3678" s="294"/>
      <c r="P3678" s="404"/>
      <c r="Q3678" s="404"/>
    </row>
    <row r="3679" spans="1:17" ht="14.4" thickTop="1" thickBot="1" x14ac:dyDescent="0.3">
      <c r="A3679" s="292"/>
      <c r="B3679" s="296"/>
      <c r="C3679" s="294"/>
      <c r="D3679" s="294"/>
      <c r="E3679" s="294"/>
      <c r="F3679" s="310"/>
      <c r="G3679" s="310"/>
      <c r="H3679" s="310"/>
      <c r="I3679" s="295"/>
      <c r="J3679" s="295"/>
      <c r="K3679" s="300">
        <f t="shared" si="450"/>
        <v>1.1000000000000001</v>
      </c>
      <c r="L3679" s="300">
        <f t="shared" si="474"/>
        <v>0</v>
      </c>
      <c r="M3679" s="285">
        <f t="shared" si="452"/>
        <v>0</v>
      </c>
      <c r="N3679" s="1076"/>
      <c r="O3679" s="294"/>
      <c r="P3679" s="404"/>
      <c r="Q3679" s="404"/>
    </row>
    <row r="3680" spans="1:17" ht="14.4" thickTop="1" thickBot="1" x14ac:dyDescent="0.3">
      <c r="A3680" s="292"/>
      <c r="B3680" s="296" t="s">
        <v>734</v>
      </c>
      <c r="C3680" s="294"/>
      <c r="D3680" s="294"/>
      <c r="E3680" s="294"/>
      <c r="F3680" s="310">
        <v>9.7379999999999995</v>
      </c>
      <c r="G3680" s="310">
        <v>4.0119999999999996</v>
      </c>
      <c r="H3680" s="310">
        <v>0.15</v>
      </c>
      <c r="I3680" s="295">
        <f>H3680*G3680*F3680</f>
        <v>5.8603283999999984</v>
      </c>
      <c r="J3680" s="295">
        <f>SUM(I3680:I3683)</f>
        <v>15.298872149999999</v>
      </c>
      <c r="K3680" s="300">
        <v>1.02</v>
      </c>
      <c r="L3680" s="300">
        <f t="shared" si="474"/>
        <v>15.604849592999999</v>
      </c>
      <c r="M3680" s="285">
        <f t="shared" si="452"/>
        <v>16</v>
      </c>
      <c r="N3680" s="1076"/>
      <c r="O3680" s="294"/>
      <c r="P3680" s="404"/>
      <c r="Q3680" s="404"/>
    </row>
    <row r="3681" spans="1:17" ht="14.4" thickTop="1" thickBot="1" x14ac:dyDescent="0.3">
      <c r="A3681" s="292"/>
      <c r="B3681" s="296" t="s">
        <v>1722</v>
      </c>
      <c r="C3681" s="294"/>
      <c r="D3681" s="294"/>
      <c r="E3681" s="294">
        <v>2</v>
      </c>
      <c r="F3681" s="310">
        <v>10.53</v>
      </c>
      <c r="G3681" s="310">
        <v>0.9</v>
      </c>
      <c r="H3681" s="310">
        <v>0.125</v>
      </c>
      <c r="I3681" s="295">
        <f>H3681*G3681*F3681*E3681</f>
        <v>2.3692500000000001</v>
      </c>
      <c r="J3681" s="295">
        <f>J3680/2.83</f>
        <v>5.4059618904593636</v>
      </c>
      <c r="K3681" s="300">
        <f t="shared" si="450"/>
        <v>1.1000000000000001</v>
      </c>
      <c r="L3681" s="300">
        <f t="shared" si="474"/>
        <v>5.9465580795053006</v>
      </c>
      <c r="M3681" s="285">
        <f t="shared" si="452"/>
        <v>6</v>
      </c>
      <c r="N3681" s="1076"/>
      <c r="O3681" s="294"/>
      <c r="P3681" s="404"/>
      <c r="Q3681" s="404"/>
    </row>
    <row r="3682" spans="1:17" ht="14.4" thickTop="1" thickBot="1" x14ac:dyDescent="0.3">
      <c r="A3682" s="292"/>
      <c r="B3682" s="296"/>
      <c r="C3682" s="294"/>
      <c r="D3682" s="294"/>
      <c r="E3682" s="294">
        <v>2</v>
      </c>
      <c r="F3682" s="310">
        <v>27.824999999999999</v>
      </c>
      <c r="G3682" s="310">
        <v>0.9</v>
      </c>
      <c r="H3682" s="310">
        <v>0.125</v>
      </c>
      <c r="I3682" s="295">
        <f t="shared" ref="I3682:I3683" si="475">H3682*G3682*F3682*E3682</f>
        <v>6.2606250000000001</v>
      </c>
      <c r="J3682" s="295"/>
      <c r="K3682" s="300"/>
      <c r="L3682" s="300"/>
      <c r="M3682" s="285"/>
      <c r="N3682" s="1076"/>
      <c r="O3682" s="294"/>
      <c r="P3682" s="404"/>
      <c r="Q3682" s="404"/>
    </row>
    <row r="3683" spans="1:17" ht="14.4" thickTop="1" thickBot="1" x14ac:dyDescent="0.3">
      <c r="A3683" s="292"/>
      <c r="B3683" s="296"/>
      <c r="C3683" s="294"/>
      <c r="D3683" s="294"/>
      <c r="E3683" s="294">
        <v>1</v>
      </c>
      <c r="F3683" s="310">
        <v>4.4249999999999998</v>
      </c>
      <c r="G3683" s="310">
        <v>1.462</v>
      </c>
      <c r="H3683" s="310">
        <v>0.125</v>
      </c>
      <c r="I3683" s="295">
        <f t="shared" si="475"/>
        <v>0.80866874999999994</v>
      </c>
      <c r="J3683" s="295"/>
      <c r="K3683" s="300"/>
      <c r="L3683" s="300"/>
      <c r="M3683" s="285"/>
      <c r="N3683" s="1076"/>
      <c r="O3683" s="294"/>
      <c r="P3683" s="404"/>
      <c r="Q3683" s="404"/>
    </row>
    <row r="3684" spans="1:17" ht="14.4" thickTop="1" thickBot="1" x14ac:dyDescent="0.3">
      <c r="A3684" s="292"/>
      <c r="B3684" s="296"/>
      <c r="C3684" s="294"/>
      <c r="D3684" s="294"/>
      <c r="E3684" s="294"/>
      <c r="F3684" s="310"/>
      <c r="G3684" s="310"/>
      <c r="H3684" s="310"/>
      <c r="I3684" s="295"/>
      <c r="J3684" s="295"/>
      <c r="K3684" s="300"/>
      <c r="L3684" s="300"/>
      <c r="M3684" s="285"/>
      <c r="N3684" s="1076"/>
      <c r="O3684" s="294"/>
      <c r="P3684" s="404"/>
      <c r="Q3684" s="404"/>
    </row>
    <row r="3685" spans="1:17" ht="14.4" thickTop="1" thickBot="1" x14ac:dyDescent="0.3">
      <c r="A3685" s="292"/>
      <c r="B3685" s="296"/>
      <c r="C3685" s="294"/>
      <c r="D3685" s="294"/>
      <c r="E3685" s="294"/>
      <c r="F3685" s="310"/>
      <c r="G3685" s="310"/>
      <c r="H3685" s="310"/>
      <c r="I3685" s="295"/>
      <c r="J3685" s="295"/>
      <c r="K3685" s="300">
        <f t="shared" si="450"/>
        <v>1.1000000000000001</v>
      </c>
      <c r="L3685" s="300">
        <f t="shared" si="474"/>
        <v>0</v>
      </c>
      <c r="M3685" s="285">
        <f t="shared" si="452"/>
        <v>0</v>
      </c>
      <c r="N3685" s="1076"/>
      <c r="O3685" s="294"/>
      <c r="P3685" s="404"/>
      <c r="Q3685" s="404"/>
    </row>
    <row r="3686" spans="1:17" ht="14.4" thickTop="1" thickBot="1" x14ac:dyDescent="0.3">
      <c r="A3686" s="292"/>
      <c r="B3686" s="296" t="s">
        <v>735</v>
      </c>
      <c r="C3686" s="294"/>
      <c r="D3686" s="294"/>
      <c r="E3686" s="294"/>
      <c r="F3686" s="310"/>
      <c r="G3686" s="310"/>
      <c r="H3686" s="310"/>
      <c r="I3686" s="295"/>
      <c r="J3686" s="295"/>
      <c r="K3686" s="300">
        <f t="shared" si="450"/>
        <v>1.1000000000000001</v>
      </c>
      <c r="L3686" s="300">
        <f t="shared" si="474"/>
        <v>0</v>
      </c>
      <c r="M3686" s="285">
        <f t="shared" si="452"/>
        <v>0</v>
      </c>
      <c r="N3686" s="1076"/>
      <c r="O3686" s="294"/>
      <c r="P3686" s="404"/>
      <c r="Q3686" s="404"/>
    </row>
    <row r="3687" spans="1:17" ht="14.4" thickTop="1" thickBot="1" x14ac:dyDescent="0.3">
      <c r="A3687" s="292"/>
      <c r="B3687" s="296" t="s">
        <v>736</v>
      </c>
      <c r="C3687" s="294"/>
      <c r="D3687" s="294"/>
      <c r="E3687" s="294"/>
      <c r="F3687" s="310"/>
      <c r="G3687" s="310"/>
      <c r="H3687" s="310"/>
      <c r="I3687" s="295"/>
      <c r="J3687" s="295"/>
      <c r="K3687" s="300">
        <f t="shared" si="450"/>
        <v>1.1000000000000001</v>
      </c>
      <c r="L3687" s="300">
        <f t="shared" si="474"/>
        <v>0</v>
      </c>
      <c r="M3687" s="285">
        <f t="shared" si="452"/>
        <v>0</v>
      </c>
      <c r="N3687" s="1076"/>
      <c r="O3687" s="294"/>
      <c r="P3687" s="404"/>
      <c r="Q3687" s="404"/>
    </row>
    <row r="3688" spans="1:17" ht="14.4" thickTop="1" thickBot="1" x14ac:dyDescent="0.3">
      <c r="A3688" s="292"/>
      <c r="B3688" s="296"/>
      <c r="C3688" s="294"/>
      <c r="D3688" s="294"/>
      <c r="E3688" s="294"/>
      <c r="F3688" s="310"/>
      <c r="G3688" s="310"/>
      <c r="H3688" s="310"/>
      <c r="I3688" s="295"/>
      <c r="J3688" s="295"/>
      <c r="K3688" s="300">
        <f t="shared" si="450"/>
        <v>1.1000000000000001</v>
      </c>
      <c r="L3688" s="300">
        <f t="shared" si="474"/>
        <v>0</v>
      </c>
      <c r="M3688" s="285">
        <f t="shared" si="452"/>
        <v>0</v>
      </c>
      <c r="N3688" s="1076"/>
      <c r="O3688" s="294"/>
      <c r="P3688" s="404"/>
      <c r="Q3688" s="404"/>
    </row>
    <row r="3689" spans="1:17" ht="14.4" thickTop="1" thickBot="1" x14ac:dyDescent="0.3">
      <c r="A3689" s="292"/>
      <c r="B3689" s="296" t="s">
        <v>737</v>
      </c>
      <c r="C3689" s="294"/>
      <c r="D3689" s="294"/>
      <c r="E3689" s="294"/>
      <c r="F3689" s="310"/>
      <c r="G3689" s="310"/>
      <c r="H3689" s="310"/>
      <c r="I3689" s="295"/>
      <c r="J3689" s="295"/>
      <c r="K3689" s="300">
        <f t="shared" si="450"/>
        <v>1.1000000000000001</v>
      </c>
      <c r="L3689" s="300">
        <f t="shared" si="474"/>
        <v>0</v>
      </c>
      <c r="M3689" s="285">
        <f t="shared" si="452"/>
        <v>0</v>
      </c>
      <c r="N3689" s="1076"/>
      <c r="O3689" s="294"/>
      <c r="P3689" s="404"/>
      <c r="Q3689" s="404"/>
    </row>
    <row r="3690" spans="1:17" ht="14.4" thickTop="1" thickBot="1" x14ac:dyDescent="0.3">
      <c r="A3690" s="292"/>
      <c r="B3690" s="296"/>
      <c r="C3690" s="294"/>
      <c r="D3690" s="294"/>
      <c r="E3690" s="294"/>
      <c r="F3690" s="310"/>
      <c r="G3690" s="310"/>
      <c r="H3690" s="310"/>
      <c r="I3690" s="295"/>
      <c r="J3690" s="295"/>
      <c r="K3690" s="300">
        <f t="shared" si="450"/>
        <v>1.1000000000000001</v>
      </c>
      <c r="L3690" s="300">
        <f t="shared" si="474"/>
        <v>0</v>
      </c>
      <c r="M3690" s="285">
        <f t="shared" si="452"/>
        <v>0</v>
      </c>
      <c r="N3690" s="1076"/>
      <c r="O3690" s="294"/>
      <c r="P3690" s="404"/>
      <c r="Q3690" s="404"/>
    </row>
    <row r="3691" spans="1:17" ht="14.4" thickTop="1" thickBot="1" x14ac:dyDescent="0.3">
      <c r="A3691" s="292"/>
      <c r="B3691" s="296"/>
      <c r="C3691" s="294"/>
      <c r="D3691" s="294"/>
      <c r="E3691" s="294"/>
      <c r="F3691" s="310"/>
      <c r="G3691" s="310"/>
      <c r="H3691" s="310"/>
      <c r="I3691" s="295"/>
      <c r="J3691" s="295"/>
      <c r="K3691" s="300">
        <f t="shared" si="450"/>
        <v>1.1000000000000001</v>
      </c>
      <c r="L3691" s="300">
        <f t="shared" si="474"/>
        <v>0</v>
      </c>
      <c r="M3691" s="285">
        <f t="shared" si="452"/>
        <v>0</v>
      </c>
      <c r="N3691" s="1076"/>
      <c r="O3691" s="294"/>
      <c r="P3691" s="404"/>
      <c r="Q3691" s="404"/>
    </row>
    <row r="3692" spans="1:17" ht="14.4" thickTop="1" thickBot="1" x14ac:dyDescent="0.3">
      <c r="A3692" s="292"/>
      <c r="B3692" s="296" t="s">
        <v>738</v>
      </c>
      <c r="C3692" s="294"/>
      <c r="D3692" s="294"/>
      <c r="E3692" s="294"/>
      <c r="F3692" s="310"/>
      <c r="G3692" s="310"/>
      <c r="H3692" s="310"/>
      <c r="I3692" s="295"/>
      <c r="J3692" s="295"/>
      <c r="K3692" s="300">
        <f t="shared" si="450"/>
        <v>1.1000000000000001</v>
      </c>
      <c r="L3692" s="300">
        <f t="shared" si="474"/>
        <v>0</v>
      </c>
      <c r="M3692" s="285">
        <f t="shared" si="452"/>
        <v>0</v>
      </c>
      <c r="N3692" s="1076"/>
      <c r="O3692" s="294"/>
      <c r="P3692" s="404"/>
      <c r="Q3692" s="404"/>
    </row>
    <row r="3693" spans="1:17" ht="14.4" thickTop="1" thickBot="1" x14ac:dyDescent="0.3">
      <c r="A3693" s="292"/>
      <c r="B3693" s="296"/>
      <c r="C3693" s="294"/>
      <c r="D3693" s="294"/>
      <c r="E3693" s="294"/>
      <c r="F3693" s="310"/>
      <c r="G3693" s="310"/>
      <c r="H3693" s="310"/>
      <c r="I3693" s="295"/>
      <c r="J3693" s="295"/>
      <c r="K3693" s="300">
        <f t="shared" si="450"/>
        <v>1.1000000000000001</v>
      </c>
      <c r="L3693" s="300">
        <f t="shared" si="474"/>
        <v>0</v>
      </c>
      <c r="M3693" s="285">
        <f t="shared" si="452"/>
        <v>0</v>
      </c>
      <c r="N3693" s="1076"/>
      <c r="O3693" s="294"/>
      <c r="P3693" s="404"/>
      <c r="Q3693" s="404"/>
    </row>
    <row r="3694" spans="1:17" ht="14.4" thickTop="1" thickBot="1" x14ac:dyDescent="0.3">
      <c r="A3694" s="292"/>
      <c r="B3694" s="296" t="s">
        <v>739</v>
      </c>
      <c r="C3694" s="294"/>
      <c r="D3694" s="294"/>
      <c r="E3694" s="294"/>
      <c r="F3694" s="310"/>
      <c r="G3694" s="310"/>
      <c r="H3694" s="310"/>
      <c r="I3694" s="295"/>
      <c r="J3694" s="295"/>
      <c r="K3694" s="300">
        <f t="shared" si="450"/>
        <v>1.1000000000000001</v>
      </c>
      <c r="L3694" s="300">
        <f t="shared" si="474"/>
        <v>0</v>
      </c>
      <c r="M3694" s="285">
        <f t="shared" si="452"/>
        <v>0</v>
      </c>
      <c r="N3694" s="1076"/>
      <c r="O3694" s="294"/>
      <c r="P3694" s="404"/>
      <c r="Q3694" s="404"/>
    </row>
    <row r="3695" spans="1:17" ht="14.4" thickTop="1" thickBot="1" x14ac:dyDescent="0.3">
      <c r="A3695" s="292"/>
      <c r="B3695" s="296"/>
      <c r="C3695" s="294"/>
      <c r="D3695" s="294"/>
      <c r="E3695" s="294"/>
      <c r="F3695" s="310"/>
      <c r="G3695" s="310"/>
      <c r="H3695" s="310"/>
      <c r="I3695" s="295"/>
      <c r="J3695" s="295"/>
      <c r="K3695" s="300">
        <f t="shared" si="450"/>
        <v>1.1000000000000001</v>
      </c>
      <c r="L3695" s="300">
        <f t="shared" si="474"/>
        <v>0</v>
      </c>
      <c r="M3695" s="285">
        <f t="shared" si="452"/>
        <v>0</v>
      </c>
      <c r="N3695" s="1076"/>
      <c r="O3695" s="294"/>
      <c r="P3695" s="404"/>
      <c r="Q3695" s="404"/>
    </row>
    <row r="3696" spans="1:17" ht="14.4" thickTop="1" thickBot="1" x14ac:dyDescent="0.3">
      <c r="A3696" s="292"/>
      <c r="B3696" s="296" t="s">
        <v>740</v>
      </c>
      <c r="C3696" s="294"/>
      <c r="D3696" s="294"/>
      <c r="E3696" s="294"/>
      <c r="F3696" s="310"/>
      <c r="G3696" s="310"/>
      <c r="H3696" s="310"/>
      <c r="I3696" s="295"/>
      <c r="J3696" s="295"/>
      <c r="K3696" s="300">
        <f t="shared" si="450"/>
        <v>1.1000000000000001</v>
      </c>
      <c r="L3696" s="300">
        <f t="shared" si="474"/>
        <v>0</v>
      </c>
      <c r="M3696" s="285">
        <f t="shared" si="452"/>
        <v>0</v>
      </c>
      <c r="N3696" s="1076"/>
      <c r="O3696" s="294"/>
      <c r="P3696" s="404"/>
      <c r="Q3696" s="404"/>
    </row>
    <row r="3697" spans="1:17" ht="14.4" thickTop="1" thickBot="1" x14ac:dyDescent="0.3">
      <c r="A3697" s="292"/>
      <c r="B3697" s="296" t="s">
        <v>730</v>
      </c>
      <c r="C3697" s="294"/>
      <c r="D3697" s="294"/>
      <c r="E3697" s="294"/>
      <c r="F3697" s="310">
        <v>26.024999999999999</v>
      </c>
      <c r="G3697" s="310">
        <v>12.225</v>
      </c>
      <c r="H3697" s="310"/>
      <c r="I3697" s="295">
        <f>G3697*F3697</f>
        <v>318.15562499999999</v>
      </c>
      <c r="J3697" s="295"/>
      <c r="K3697" s="300">
        <f t="shared" si="450"/>
        <v>1.1000000000000001</v>
      </c>
      <c r="L3697" s="300">
        <f t="shared" si="474"/>
        <v>0</v>
      </c>
      <c r="M3697" s="285">
        <f t="shared" si="452"/>
        <v>0</v>
      </c>
      <c r="N3697" s="1076"/>
      <c r="O3697" s="294"/>
      <c r="P3697" s="404"/>
      <c r="Q3697" s="404"/>
    </row>
    <row r="3698" spans="1:17" ht="14.4" thickTop="1" thickBot="1" x14ac:dyDescent="0.3">
      <c r="A3698" s="292"/>
      <c r="B3698" s="296" t="s">
        <v>731</v>
      </c>
      <c r="C3698" s="294"/>
      <c r="D3698" s="294"/>
      <c r="E3698" s="294"/>
      <c r="F3698" s="310">
        <v>5.6109999999999998</v>
      </c>
      <c r="G3698" s="310">
        <v>4.6879999999999997</v>
      </c>
      <c r="H3698" s="310"/>
      <c r="I3698" s="295">
        <f t="shared" ref="I3698:I3706" si="476">G3698*F3698</f>
        <v>26.304367999999997</v>
      </c>
      <c r="J3698" s="295"/>
      <c r="K3698" s="300">
        <f t="shared" si="450"/>
        <v>1.1000000000000001</v>
      </c>
      <c r="L3698" s="300">
        <f t="shared" si="474"/>
        <v>0</v>
      </c>
      <c r="M3698" s="285">
        <f t="shared" si="452"/>
        <v>0</v>
      </c>
      <c r="N3698" s="1076"/>
      <c r="O3698" s="294"/>
      <c r="P3698" s="404"/>
      <c r="Q3698" s="404"/>
    </row>
    <row r="3699" spans="1:17" ht="14.4" thickTop="1" thickBot="1" x14ac:dyDescent="0.3">
      <c r="A3699" s="292"/>
      <c r="B3699" s="296" t="s">
        <v>732</v>
      </c>
      <c r="C3699" s="294"/>
      <c r="D3699" s="294"/>
      <c r="E3699" s="294"/>
      <c r="F3699" s="310">
        <f>F3697</f>
        <v>26.024999999999999</v>
      </c>
      <c r="G3699" s="310">
        <v>0.9</v>
      </c>
      <c r="H3699" s="310"/>
      <c r="I3699" s="295">
        <f t="shared" si="476"/>
        <v>23.422499999999999</v>
      </c>
      <c r="J3699" s="295"/>
      <c r="K3699" s="300">
        <f t="shared" si="450"/>
        <v>1.1000000000000001</v>
      </c>
      <c r="L3699" s="300">
        <f t="shared" si="474"/>
        <v>0</v>
      </c>
      <c r="M3699" s="285">
        <f t="shared" si="452"/>
        <v>0</v>
      </c>
      <c r="N3699" s="1076"/>
      <c r="O3699" s="294"/>
      <c r="P3699" s="404"/>
      <c r="Q3699" s="404"/>
    </row>
    <row r="3700" spans="1:17" ht="14.4" thickTop="1" thickBot="1" x14ac:dyDescent="0.3">
      <c r="A3700" s="292"/>
      <c r="B3700" s="296"/>
      <c r="C3700" s="294"/>
      <c r="D3700" s="294"/>
      <c r="E3700" s="294">
        <v>2</v>
      </c>
      <c r="F3700" s="310">
        <f>G3697</f>
        <v>12.225</v>
      </c>
      <c r="G3700" s="310">
        <f>G3699</f>
        <v>0.9</v>
      </c>
      <c r="H3700" s="310"/>
      <c r="I3700" s="295">
        <f>G3700*F3700*E3700</f>
        <v>22.004999999999999</v>
      </c>
      <c r="J3700" s="295"/>
      <c r="K3700" s="300">
        <f t="shared" si="450"/>
        <v>1.1000000000000001</v>
      </c>
      <c r="L3700" s="300">
        <f t="shared" si="474"/>
        <v>0</v>
      </c>
      <c r="M3700" s="285">
        <f t="shared" si="452"/>
        <v>0</v>
      </c>
      <c r="N3700" s="1076"/>
      <c r="O3700" s="294"/>
      <c r="P3700" s="404"/>
      <c r="Q3700" s="404"/>
    </row>
    <row r="3701" spans="1:17" ht="14.4" thickTop="1" thickBot="1" x14ac:dyDescent="0.3">
      <c r="A3701" s="292"/>
      <c r="B3701" s="296"/>
      <c r="C3701" s="294"/>
      <c r="D3701" s="294"/>
      <c r="E3701" s="294"/>
      <c r="F3701" s="310"/>
      <c r="G3701" s="310"/>
      <c r="H3701" s="310"/>
      <c r="I3701" s="295">
        <f t="shared" si="476"/>
        <v>0</v>
      </c>
      <c r="J3701" s="295"/>
      <c r="K3701" s="300">
        <f t="shared" si="450"/>
        <v>1.1000000000000001</v>
      </c>
      <c r="L3701" s="300">
        <f t="shared" si="474"/>
        <v>0</v>
      </c>
      <c r="M3701" s="285">
        <f t="shared" si="452"/>
        <v>0</v>
      </c>
      <c r="N3701" s="1076"/>
      <c r="O3701" s="294"/>
      <c r="P3701" s="404"/>
      <c r="Q3701" s="404"/>
    </row>
    <row r="3702" spans="1:17" ht="14.4" thickTop="1" thickBot="1" x14ac:dyDescent="0.3">
      <c r="A3702" s="292"/>
      <c r="B3702" s="296" t="s">
        <v>733</v>
      </c>
      <c r="C3702" s="294"/>
      <c r="D3702" s="294"/>
      <c r="E3702" s="294"/>
      <c r="F3702" s="310">
        <f>F3697</f>
        <v>26.024999999999999</v>
      </c>
      <c r="G3702" s="310">
        <v>10.5</v>
      </c>
      <c r="H3702" s="310"/>
      <c r="I3702" s="295">
        <f t="shared" si="476"/>
        <v>273.26249999999999</v>
      </c>
      <c r="J3702" s="295"/>
      <c r="K3702" s="300">
        <f t="shared" si="450"/>
        <v>1.1000000000000001</v>
      </c>
      <c r="L3702" s="300">
        <f t="shared" si="474"/>
        <v>0</v>
      </c>
      <c r="M3702" s="285">
        <f t="shared" si="452"/>
        <v>0</v>
      </c>
      <c r="N3702" s="1076"/>
      <c r="O3702" s="294"/>
      <c r="P3702" s="404"/>
      <c r="Q3702" s="404"/>
    </row>
    <row r="3703" spans="1:17" ht="14.4" thickTop="1" thickBot="1" x14ac:dyDescent="0.3">
      <c r="A3703" s="292"/>
      <c r="B3703" s="296" t="s">
        <v>732</v>
      </c>
      <c r="C3703" s="294"/>
      <c r="D3703" s="294"/>
      <c r="E3703" s="294">
        <v>2</v>
      </c>
      <c r="F3703" s="310">
        <f>F3699</f>
        <v>26.024999999999999</v>
      </c>
      <c r="G3703" s="310">
        <f>G3699</f>
        <v>0.9</v>
      </c>
      <c r="H3703" s="310"/>
      <c r="I3703" s="295">
        <f>G3703*F3703*E3703</f>
        <v>46.844999999999999</v>
      </c>
      <c r="J3703" s="295"/>
      <c r="K3703" s="300">
        <f t="shared" si="450"/>
        <v>1.1000000000000001</v>
      </c>
      <c r="L3703" s="300">
        <f t="shared" si="474"/>
        <v>0</v>
      </c>
      <c r="M3703" s="285">
        <f t="shared" si="452"/>
        <v>0</v>
      </c>
      <c r="N3703" s="1076"/>
      <c r="O3703" s="294"/>
      <c r="P3703" s="404"/>
      <c r="Q3703" s="404"/>
    </row>
    <row r="3704" spans="1:17" ht="14.4" thickTop="1" thickBot="1" x14ac:dyDescent="0.3">
      <c r="A3704" s="292"/>
      <c r="B3704" s="296"/>
      <c r="C3704" s="294"/>
      <c r="D3704" s="294"/>
      <c r="E3704" s="294">
        <v>2</v>
      </c>
      <c r="F3704" s="310">
        <f>G3702</f>
        <v>10.5</v>
      </c>
      <c r="G3704" s="310">
        <f>G3703</f>
        <v>0.9</v>
      </c>
      <c r="H3704" s="310"/>
      <c r="I3704" s="295">
        <f>G3704*F3704*E3704</f>
        <v>18.900000000000002</v>
      </c>
      <c r="J3704" s="295"/>
      <c r="K3704" s="300">
        <f t="shared" si="450"/>
        <v>1.1000000000000001</v>
      </c>
      <c r="L3704" s="300">
        <f t="shared" si="474"/>
        <v>0</v>
      </c>
      <c r="M3704" s="285">
        <f t="shared" si="452"/>
        <v>0</v>
      </c>
      <c r="N3704" s="1076"/>
      <c r="O3704" s="294"/>
      <c r="P3704" s="404"/>
      <c r="Q3704" s="404"/>
    </row>
    <row r="3705" spans="1:17" ht="14.4" thickTop="1" thickBot="1" x14ac:dyDescent="0.3">
      <c r="A3705" s="292"/>
      <c r="B3705" s="296"/>
      <c r="C3705" s="294"/>
      <c r="D3705" s="294"/>
      <c r="E3705" s="294"/>
      <c r="F3705" s="310"/>
      <c r="G3705" s="310"/>
      <c r="H3705" s="310"/>
      <c r="I3705" s="295">
        <f t="shared" si="476"/>
        <v>0</v>
      </c>
      <c r="J3705" s="295"/>
      <c r="K3705" s="300">
        <f t="shared" si="450"/>
        <v>1.1000000000000001</v>
      </c>
      <c r="L3705" s="300">
        <f t="shared" si="474"/>
        <v>0</v>
      </c>
      <c r="M3705" s="285">
        <f t="shared" si="452"/>
        <v>0</v>
      </c>
      <c r="N3705" s="1076"/>
      <c r="O3705" s="294"/>
      <c r="P3705" s="404"/>
      <c r="Q3705" s="404"/>
    </row>
    <row r="3706" spans="1:17" ht="14.4" thickTop="1" thickBot="1" x14ac:dyDescent="0.3">
      <c r="A3706" s="292"/>
      <c r="B3706" s="296" t="s">
        <v>734</v>
      </c>
      <c r="C3706" s="294"/>
      <c r="D3706" s="294"/>
      <c r="E3706" s="294"/>
      <c r="F3706" s="310">
        <v>2.7250000000000001</v>
      </c>
      <c r="G3706" s="310">
        <v>4.3250000000000002</v>
      </c>
      <c r="H3706" s="310"/>
      <c r="I3706" s="295">
        <f t="shared" si="476"/>
        <v>11.785625000000001</v>
      </c>
      <c r="J3706" s="295">
        <f>SUM(I3697:I3706)</f>
        <v>740.68061799999998</v>
      </c>
      <c r="K3706" s="300">
        <v>1.05</v>
      </c>
      <c r="L3706" s="300">
        <f t="shared" si="474"/>
        <v>777.71464890000004</v>
      </c>
      <c r="M3706" s="285">
        <f t="shared" si="452"/>
        <v>778</v>
      </c>
      <c r="N3706" s="1076"/>
      <c r="O3706" s="294"/>
      <c r="P3706" s="404"/>
      <c r="Q3706" s="404"/>
    </row>
    <row r="3707" spans="1:17" ht="14.4" thickTop="1" thickBot="1" x14ac:dyDescent="0.3">
      <c r="A3707" s="292"/>
      <c r="B3707" s="296"/>
      <c r="C3707" s="294"/>
      <c r="D3707" s="294"/>
      <c r="E3707" s="294"/>
      <c r="F3707" s="310"/>
      <c r="G3707" s="310"/>
      <c r="H3707" s="310"/>
      <c r="I3707" s="295"/>
      <c r="J3707" s="295"/>
      <c r="K3707" s="300">
        <f t="shared" si="450"/>
        <v>1.1000000000000001</v>
      </c>
      <c r="L3707" s="300">
        <f t="shared" si="474"/>
        <v>0</v>
      </c>
      <c r="M3707" s="285">
        <f t="shared" si="452"/>
        <v>0</v>
      </c>
      <c r="N3707" s="1076"/>
      <c r="O3707" s="294"/>
      <c r="P3707" s="404"/>
      <c r="Q3707" s="404"/>
    </row>
    <row r="3708" spans="1:17" ht="14.4" thickTop="1" thickBot="1" x14ac:dyDescent="0.3">
      <c r="A3708" s="292"/>
      <c r="B3708" s="296" t="s">
        <v>741</v>
      </c>
      <c r="C3708" s="294"/>
      <c r="D3708" s="294"/>
      <c r="E3708" s="294"/>
      <c r="F3708" s="310"/>
      <c r="G3708" s="310"/>
      <c r="H3708" s="310"/>
      <c r="I3708" s="295"/>
      <c r="J3708" s="295"/>
      <c r="K3708" s="300">
        <f t="shared" si="450"/>
        <v>1.1000000000000001</v>
      </c>
      <c r="L3708" s="300">
        <f t="shared" si="474"/>
        <v>0</v>
      </c>
      <c r="M3708" s="285">
        <f t="shared" si="452"/>
        <v>0</v>
      </c>
      <c r="N3708" s="1076"/>
      <c r="O3708" s="294"/>
      <c r="P3708" s="404"/>
      <c r="Q3708" s="404"/>
    </row>
    <row r="3709" spans="1:17" ht="14.4" thickTop="1" thickBot="1" x14ac:dyDescent="0.3">
      <c r="A3709" s="292"/>
      <c r="B3709" s="296"/>
      <c r="C3709" s="294"/>
      <c r="D3709" s="294"/>
      <c r="E3709" s="294"/>
      <c r="F3709" s="310"/>
      <c r="G3709" s="310"/>
      <c r="H3709" s="310"/>
      <c r="I3709" s="295"/>
      <c r="J3709" s="295"/>
      <c r="K3709" s="300">
        <f t="shared" ref="K3709:K3818" si="477">$K$2</f>
        <v>1.1000000000000001</v>
      </c>
      <c r="L3709" s="300">
        <f t="shared" si="474"/>
        <v>0</v>
      </c>
      <c r="M3709" s="285">
        <f t="shared" si="452"/>
        <v>0</v>
      </c>
      <c r="N3709" s="1076"/>
      <c r="O3709" s="294"/>
      <c r="P3709" s="404"/>
      <c r="Q3709" s="404"/>
    </row>
    <row r="3710" spans="1:17" ht="14.4" thickTop="1" thickBot="1" x14ac:dyDescent="0.3">
      <c r="A3710" s="292"/>
      <c r="B3710" s="302" t="s">
        <v>572</v>
      </c>
      <c r="C3710" s="294"/>
      <c r="D3710" s="294"/>
      <c r="E3710" s="294"/>
      <c r="F3710" s="310"/>
      <c r="G3710" s="310"/>
      <c r="H3710" s="310"/>
      <c r="I3710" s="295"/>
      <c r="J3710" s="295"/>
      <c r="K3710" s="300">
        <f t="shared" si="477"/>
        <v>1.1000000000000001</v>
      </c>
      <c r="L3710" s="300">
        <f t="shared" si="474"/>
        <v>0</v>
      </c>
      <c r="M3710" s="285">
        <f t="shared" si="452"/>
        <v>0</v>
      </c>
      <c r="N3710" s="1076"/>
      <c r="O3710" s="294"/>
      <c r="P3710" s="404"/>
      <c r="Q3710" s="404"/>
    </row>
    <row r="3711" spans="1:17" ht="14.4" thickTop="1" thickBot="1" x14ac:dyDescent="0.3">
      <c r="A3711" s="292"/>
      <c r="B3711" s="296"/>
      <c r="C3711" s="294"/>
      <c r="D3711" s="294"/>
      <c r="E3711" s="294"/>
      <c r="F3711" s="310"/>
      <c r="G3711" s="310"/>
      <c r="H3711" s="310"/>
      <c r="I3711" s="295"/>
      <c r="J3711" s="295"/>
      <c r="K3711" s="300">
        <f t="shared" si="477"/>
        <v>1.1000000000000001</v>
      </c>
      <c r="L3711" s="300">
        <f t="shared" si="474"/>
        <v>0</v>
      </c>
      <c r="M3711" s="285">
        <f t="shared" si="452"/>
        <v>0</v>
      </c>
      <c r="N3711" s="1076"/>
      <c r="O3711" s="294"/>
      <c r="P3711" s="404"/>
      <c r="Q3711" s="404"/>
    </row>
    <row r="3712" spans="1:17" ht="14.4" thickTop="1" thickBot="1" x14ac:dyDescent="0.3">
      <c r="A3712" s="292"/>
      <c r="B3712" s="296" t="s">
        <v>742</v>
      </c>
      <c r="C3712" s="294"/>
      <c r="D3712" s="294"/>
      <c r="E3712" s="294"/>
      <c r="F3712" s="310"/>
      <c r="G3712" s="310"/>
      <c r="H3712" s="310"/>
      <c r="I3712" s="295"/>
      <c r="J3712" s="295"/>
      <c r="K3712" s="300">
        <f t="shared" si="477"/>
        <v>1.1000000000000001</v>
      </c>
      <c r="L3712" s="300">
        <f t="shared" si="474"/>
        <v>0</v>
      </c>
      <c r="M3712" s="285">
        <f t="shared" si="452"/>
        <v>0</v>
      </c>
      <c r="N3712" s="1076"/>
      <c r="O3712" s="294"/>
      <c r="P3712" s="404"/>
      <c r="Q3712" s="404"/>
    </row>
    <row r="3713" spans="1:17" ht="14.4" thickTop="1" thickBot="1" x14ac:dyDescent="0.3">
      <c r="A3713" s="292"/>
      <c r="B3713" s="294" t="s">
        <v>1051</v>
      </c>
      <c r="C3713" s="294"/>
      <c r="D3713" s="294">
        <v>2</v>
      </c>
      <c r="E3713" s="294">
        <v>4</v>
      </c>
      <c r="F3713" s="310">
        <v>0.9</v>
      </c>
      <c r="G3713" s="310"/>
      <c r="H3713" s="310">
        <v>0.55000000000000004</v>
      </c>
      <c r="I3713" s="295">
        <f>H3713*F3713*E3713*D3713</f>
        <v>3.9600000000000004</v>
      </c>
      <c r="J3713" s="295"/>
      <c r="K3713" s="300">
        <f t="shared" si="477"/>
        <v>1.1000000000000001</v>
      </c>
      <c r="L3713" s="300">
        <f t="shared" si="474"/>
        <v>0</v>
      </c>
      <c r="M3713" s="285">
        <f t="shared" si="452"/>
        <v>0</v>
      </c>
      <c r="N3713" s="1076"/>
      <c r="O3713" s="294"/>
      <c r="P3713" s="404"/>
      <c r="Q3713" s="404"/>
    </row>
    <row r="3714" spans="1:17" ht="14.4" thickTop="1" thickBot="1" x14ac:dyDescent="0.3">
      <c r="A3714" s="292"/>
      <c r="B3714" s="294" t="s">
        <v>1049</v>
      </c>
      <c r="C3714" s="294"/>
      <c r="D3714" s="294">
        <v>1</v>
      </c>
      <c r="E3714" s="294">
        <v>4</v>
      </c>
      <c r="F3714" s="310">
        <v>2.5</v>
      </c>
      <c r="G3714" s="310"/>
      <c r="H3714" s="310">
        <v>0.55000000000000004</v>
      </c>
      <c r="I3714" s="295">
        <f t="shared" ref="I3714:I3728" si="478">H3714*F3714*E3714*D3714</f>
        <v>5.5</v>
      </c>
      <c r="J3714" s="295"/>
      <c r="K3714" s="300">
        <f t="shared" si="477"/>
        <v>1.1000000000000001</v>
      </c>
      <c r="L3714" s="300">
        <f t="shared" si="474"/>
        <v>0</v>
      </c>
      <c r="M3714" s="285">
        <f t="shared" si="452"/>
        <v>0</v>
      </c>
      <c r="N3714" s="1076"/>
      <c r="O3714" s="294"/>
      <c r="P3714" s="404"/>
      <c r="Q3714" s="404"/>
    </row>
    <row r="3715" spans="1:17" ht="14.4" thickTop="1" thickBot="1" x14ac:dyDescent="0.3">
      <c r="A3715" s="292"/>
      <c r="B3715" s="294" t="s">
        <v>1050</v>
      </c>
      <c r="C3715" s="294"/>
      <c r="D3715" s="294">
        <v>1</v>
      </c>
      <c r="E3715" s="294">
        <v>4</v>
      </c>
      <c r="F3715" s="310">
        <v>1.2</v>
      </c>
      <c r="G3715" s="310"/>
      <c r="H3715" s="310">
        <v>0.55000000000000004</v>
      </c>
      <c r="I3715" s="295">
        <f t="shared" si="478"/>
        <v>2.64</v>
      </c>
      <c r="J3715" s="295"/>
      <c r="K3715" s="300">
        <f t="shared" si="477"/>
        <v>1.1000000000000001</v>
      </c>
      <c r="L3715" s="300">
        <f t="shared" si="474"/>
        <v>0</v>
      </c>
      <c r="M3715" s="285">
        <f t="shared" si="452"/>
        <v>0</v>
      </c>
      <c r="N3715" s="1076"/>
      <c r="O3715" s="294"/>
      <c r="P3715" s="404"/>
      <c r="Q3715" s="404"/>
    </row>
    <row r="3716" spans="1:17" ht="14.4" thickTop="1" thickBot="1" x14ac:dyDescent="0.3">
      <c r="A3716" s="292"/>
      <c r="B3716" s="294" t="s">
        <v>1048</v>
      </c>
      <c r="C3716" s="294"/>
      <c r="D3716" s="294">
        <v>4</v>
      </c>
      <c r="E3716" s="294">
        <v>4</v>
      </c>
      <c r="F3716" s="310">
        <v>1.4</v>
      </c>
      <c r="G3716" s="310"/>
      <c r="H3716" s="310">
        <v>0.55000000000000004</v>
      </c>
      <c r="I3716" s="295">
        <f t="shared" si="478"/>
        <v>12.32</v>
      </c>
      <c r="J3716" s="295"/>
      <c r="K3716" s="300">
        <f t="shared" si="477"/>
        <v>1.1000000000000001</v>
      </c>
      <c r="L3716" s="300">
        <f t="shared" si="474"/>
        <v>0</v>
      </c>
      <c r="M3716" s="285">
        <f t="shared" si="452"/>
        <v>0</v>
      </c>
      <c r="N3716" s="1076"/>
      <c r="O3716" s="294"/>
      <c r="P3716" s="404"/>
      <c r="Q3716" s="404"/>
    </row>
    <row r="3717" spans="1:17" ht="14.4" thickTop="1" thickBot="1" x14ac:dyDescent="0.3">
      <c r="A3717" s="292"/>
      <c r="B3717" s="418" t="s">
        <v>1052</v>
      </c>
      <c r="C3717" s="418"/>
      <c r="D3717" s="418">
        <v>2</v>
      </c>
      <c r="E3717" s="294">
        <v>2</v>
      </c>
      <c r="F3717" s="420">
        <v>1.5</v>
      </c>
      <c r="G3717" s="420"/>
      <c r="H3717" s="310">
        <v>0.55000000000000004</v>
      </c>
      <c r="I3717" s="295">
        <f t="shared" si="478"/>
        <v>3.3000000000000003</v>
      </c>
      <c r="J3717" s="295"/>
      <c r="K3717" s="300">
        <f t="shared" si="477"/>
        <v>1.1000000000000001</v>
      </c>
      <c r="L3717" s="300">
        <f t="shared" si="474"/>
        <v>0</v>
      </c>
      <c r="M3717" s="285">
        <f t="shared" si="452"/>
        <v>0</v>
      </c>
      <c r="N3717" s="1076"/>
      <c r="O3717" s="294"/>
      <c r="P3717" s="404"/>
      <c r="Q3717" s="404"/>
    </row>
    <row r="3718" spans="1:17" ht="14.4" thickTop="1" thickBot="1" x14ac:dyDescent="0.3">
      <c r="A3718" s="292"/>
      <c r="B3718" s="418"/>
      <c r="C3718" s="418"/>
      <c r="D3718" s="418">
        <v>2</v>
      </c>
      <c r="E3718" s="294">
        <v>2</v>
      </c>
      <c r="F3718" s="420">
        <v>3</v>
      </c>
      <c r="G3718" s="420"/>
      <c r="H3718" s="310">
        <v>0.55000000000000004</v>
      </c>
      <c r="I3718" s="295">
        <f t="shared" si="478"/>
        <v>6.6000000000000005</v>
      </c>
      <c r="J3718" s="295"/>
      <c r="K3718" s="300">
        <f t="shared" si="477"/>
        <v>1.1000000000000001</v>
      </c>
      <c r="L3718" s="300">
        <f t="shared" si="474"/>
        <v>0</v>
      </c>
      <c r="M3718" s="285">
        <f t="shared" si="452"/>
        <v>0</v>
      </c>
      <c r="N3718" s="1076"/>
      <c r="O3718" s="294"/>
      <c r="P3718" s="404"/>
      <c r="Q3718" s="404"/>
    </row>
    <row r="3719" spans="1:17" ht="14.4" thickTop="1" thickBot="1" x14ac:dyDescent="0.3">
      <c r="A3719" s="292"/>
      <c r="B3719" s="294" t="s">
        <v>1053</v>
      </c>
      <c r="C3719" s="294"/>
      <c r="D3719" s="294">
        <v>2</v>
      </c>
      <c r="E3719" s="294">
        <v>2</v>
      </c>
      <c r="F3719" s="310">
        <v>1.7</v>
      </c>
      <c r="G3719" s="310"/>
      <c r="H3719" s="310">
        <v>0.55000000000000004</v>
      </c>
      <c r="I3719" s="295">
        <f t="shared" si="478"/>
        <v>3.74</v>
      </c>
      <c r="J3719" s="295"/>
      <c r="K3719" s="300">
        <f t="shared" si="477"/>
        <v>1.1000000000000001</v>
      </c>
      <c r="L3719" s="300">
        <f t="shared" si="474"/>
        <v>0</v>
      </c>
      <c r="M3719" s="285">
        <f t="shared" si="452"/>
        <v>0</v>
      </c>
      <c r="N3719" s="1076"/>
      <c r="O3719" s="294"/>
      <c r="P3719" s="404"/>
      <c r="Q3719" s="404"/>
    </row>
    <row r="3720" spans="1:17" ht="14.4" thickTop="1" thickBot="1" x14ac:dyDescent="0.3">
      <c r="A3720" s="292"/>
      <c r="B3720" s="294"/>
      <c r="C3720" s="294"/>
      <c r="D3720" s="294">
        <v>2</v>
      </c>
      <c r="E3720" s="294">
        <v>2</v>
      </c>
      <c r="F3720" s="310">
        <v>3</v>
      </c>
      <c r="G3720" s="310"/>
      <c r="H3720" s="310">
        <v>0.55000000000000004</v>
      </c>
      <c r="I3720" s="295">
        <f t="shared" si="478"/>
        <v>6.6000000000000005</v>
      </c>
      <c r="J3720" s="295"/>
      <c r="K3720" s="300">
        <f t="shared" si="477"/>
        <v>1.1000000000000001</v>
      </c>
      <c r="L3720" s="300">
        <f t="shared" si="474"/>
        <v>0</v>
      </c>
      <c r="M3720" s="285">
        <f t="shared" si="452"/>
        <v>0</v>
      </c>
      <c r="N3720" s="1076"/>
      <c r="O3720" s="294"/>
      <c r="P3720" s="404"/>
      <c r="Q3720" s="404"/>
    </row>
    <row r="3721" spans="1:17" ht="14.4" thickTop="1" thickBot="1" x14ac:dyDescent="0.3">
      <c r="A3721" s="292"/>
      <c r="B3721" s="294" t="s">
        <v>1054</v>
      </c>
      <c r="C3721" s="294"/>
      <c r="D3721" s="294">
        <v>2</v>
      </c>
      <c r="E3721" s="294">
        <v>2</v>
      </c>
      <c r="F3721" s="310">
        <v>1.5</v>
      </c>
      <c r="G3721" s="310"/>
      <c r="H3721" s="310">
        <v>0.55000000000000004</v>
      </c>
      <c r="I3721" s="295">
        <f t="shared" si="478"/>
        <v>3.3000000000000003</v>
      </c>
      <c r="J3721" s="295"/>
      <c r="K3721" s="300">
        <f t="shared" si="477"/>
        <v>1.1000000000000001</v>
      </c>
      <c r="L3721" s="300">
        <f t="shared" si="474"/>
        <v>0</v>
      </c>
      <c r="M3721" s="285">
        <f t="shared" si="452"/>
        <v>0</v>
      </c>
      <c r="N3721" s="1076"/>
      <c r="O3721" s="294"/>
      <c r="P3721" s="404"/>
      <c r="Q3721" s="404"/>
    </row>
    <row r="3722" spans="1:17" ht="14.4" thickTop="1" thickBot="1" x14ac:dyDescent="0.3">
      <c r="A3722" s="292"/>
      <c r="B3722" s="294"/>
      <c r="C3722" s="294"/>
      <c r="D3722" s="294">
        <v>2</v>
      </c>
      <c r="E3722" s="294">
        <v>2</v>
      </c>
      <c r="F3722" s="310">
        <v>3</v>
      </c>
      <c r="G3722" s="310"/>
      <c r="H3722" s="310">
        <v>0.55000000000000004</v>
      </c>
      <c r="I3722" s="295">
        <f t="shared" si="478"/>
        <v>6.6000000000000005</v>
      </c>
      <c r="J3722" s="295"/>
      <c r="K3722" s="300">
        <f t="shared" si="477"/>
        <v>1.1000000000000001</v>
      </c>
      <c r="L3722" s="300">
        <f t="shared" si="474"/>
        <v>0</v>
      </c>
      <c r="M3722" s="285">
        <f t="shared" si="452"/>
        <v>0</v>
      </c>
      <c r="N3722" s="1076"/>
      <c r="O3722" s="294"/>
      <c r="P3722" s="404"/>
      <c r="Q3722" s="404"/>
    </row>
    <row r="3723" spans="1:17" ht="14.4" thickTop="1" thickBot="1" x14ac:dyDescent="0.3">
      <c r="A3723" s="292"/>
      <c r="B3723" s="294" t="s">
        <v>1055</v>
      </c>
      <c r="C3723" s="294"/>
      <c r="D3723" s="294">
        <v>7</v>
      </c>
      <c r="E3723" s="294">
        <v>4</v>
      </c>
      <c r="F3723" s="310">
        <v>1.5</v>
      </c>
      <c r="G3723" s="310"/>
      <c r="H3723" s="310">
        <v>0.55000000000000004</v>
      </c>
      <c r="I3723" s="295">
        <f t="shared" si="478"/>
        <v>23.1</v>
      </c>
      <c r="J3723" s="295"/>
      <c r="K3723" s="300">
        <f t="shared" si="477"/>
        <v>1.1000000000000001</v>
      </c>
      <c r="L3723" s="300">
        <f t="shared" si="474"/>
        <v>0</v>
      </c>
      <c r="M3723" s="285">
        <f t="shared" si="452"/>
        <v>0</v>
      </c>
      <c r="N3723" s="1076"/>
      <c r="O3723" s="294"/>
      <c r="P3723" s="404"/>
      <c r="Q3723" s="404"/>
    </row>
    <row r="3724" spans="1:17" ht="14.4" thickTop="1" thickBot="1" x14ac:dyDescent="0.3">
      <c r="A3724" s="292"/>
      <c r="B3724" s="294" t="s">
        <v>1056</v>
      </c>
      <c r="C3724" s="294"/>
      <c r="D3724" s="294">
        <v>1</v>
      </c>
      <c r="E3724" s="294">
        <v>4</v>
      </c>
      <c r="F3724" s="310">
        <v>1.3</v>
      </c>
      <c r="G3724" s="310"/>
      <c r="H3724" s="310">
        <v>0.55000000000000004</v>
      </c>
      <c r="I3724" s="295">
        <f t="shared" si="478"/>
        <v>2.8600000000000003</v>
      </c>
      <c r="J3724" s="295"/>
      <c r="K3724" s="300">
        <f t="shared" si="477"/>
        <v>1.1000000000000001</v>
      </c>
      <c r="L3724" s="300">
        <f t="shared" si="474"/>
        <v>0</v>
      </c>
      <c r="M3724" s="285">
        <f t="shared" si="452"/>
        <v>0</v>
      </c>
      <c r="N3724" s="1076"/>
      <c r="O3724" s="294"/>
      <c r="P3724" s="404"/>
      <c r="Q3724" s="404"/>
    </row>
    <row r="3725" spans="1:17" ht="14.4" thickTop="1" thickBot="1" x14ac:dyDescent="0.3">
      <c r="A3725" s="292"/>
      <c r="B3725" s="294" t="s">
        <v>1057</v>
      </c>
      <c r="C3725" s="294"/>
      <c r="D3725" s="294">
        <v>1</v>
      </c>
      <c r="E3725" s="294">
        <v>4</v>
      </c>
      <c r="F3725" s="310">
        <v>1.6</v>
      </c>
      <c r="G3725" s="310"/>
      <c r="H3725" s="310">
        <v>0.55000000000000004</v>
      </c>
      <c r="I3725" s="295">
        <f t="shared" si="478"/>
        <v>3.5200000000000005</v>
      </c>
      <c r="J3725" s="295"/>
      <c r="K3725" s="300">
        <f t="shared" si="477"/>
        <v>1.1000000000000001</v>
      </c>
      <c r="L3725" s="300">
        <f t="shared" si="474"/>
        <v>0</v>
      </c>
      <c r="M3725" s="285">
        <f t="shared" si="452"/>
        <v>0</v>
      </c>
      <c r="N3725" s="1076"/>
      <c r="O3725" s="294"/>
      <c r="P3725" s="404"/>
      <c r="Q3725" s="404"/>
    </row>
    <row r="3726" spans="1:17" ht="14.4" thickTop="1" thickBot="1" x14ac:dyDescent="0.3">
      <c r="A3726" s="292"/>
      <c r="B3726" s="296" t="s">
        <v>1086</v>
      </c>
      <c r="C3726" s="294"/>
      <c r="D3726" s="294">
        <v>28</v>
      </c>
      <c r="E3726" s="294">
        <v>4</v>
      </c>
      <c r="F3726" s="310">
        <v>0.22500000000000001</v>
      </c>
      <c r="G3726" s="310"/>
      <c r="H3726" s="310">
        <v>1</v>
      </c>
      <c r="I3726" s="295">
        <f t="shared" si="478"/>
        <v>25.2</v>
      </c>
      <c r="J3726" s="295">
        <f>SUM(I3713:I3728)</f>
        <v>112.84</v>
      </c>
      <c r="K3726" s="300">
        <f t="shared" si="477"/>
        <v>1.1000000000000001</v>
      </c>
      <c r="L3726" s="300">
        <f t="shared" si="474"/>
        <v>124.12400000000001</v>
      </c>
      <c r="M3726" s="285">
        <f t="shared" si="452"/>
        <v>124</v>
      </c>
      <c r="N3726" s="1076"/>
      <c r="O3726" s="294"/>
      <c r="P3726" s="413">
        <f>J3726*10.76</f>
        <v>1214.1584</v>
      </c>
      <c r="Q3726" s="404"/>
    </row>
    <row r="3727" spans="1:17" ht="14.4" thickTop="1" thickBot="1" x14ac:dyDescent="0.3">
      <c r="A3727" s="292"/>
      <c r="B3727" s="296" t="s">
        <v>1088</v>
      </c>
      <c r="C3727" s="294"/>
      <c r="D3727" s="294">
        <v>1</v>
      </c>
      <c r="E3727" s="294">
        <v>2</v>
      </c>
      <c r="F3727" s="310">
        <v>1.2</v>
      </c>
      <c r="G3727" s="310"/>
      <c r="H3727" s="310">
        <v>1</v>
      </c>
      <c r="I3727" s="295">
        <f t="shared" si="478"/>
        <v>2.4</v>
      </c>
      <c r="J3727" s="295"/>
      <c r="K3727" s="300"/>
      <c r="L3727" s="300"/>
      <c r="M3727" s="285"/>
      <c r="N3727" s="1076"/>
      <c r="O3727" s="294"/>
      <c r="P3727" s="413"/>
      <c r="Q3727" s="404"/>
    </row>
    <row r="3728" spans="1:17" ht="14.4" thickTop="1" thickBot="1" x14ac:dyDescent="0.3">
      <c r="A3728" s="292"/>
      <c r="B3728" s="296"/>
      <c r="C3728" s="294"/>
      <c r="D3728" s="294">
        <v>1</v>
      </c>
      <c r="E3728" s="294">
        <v>2</v>
      </c>
      <c r="F3728" s="310">
        <v>0.6</v>
      </c>
      <c r="G3728" s="310"/>
      <c r="H3728" s="310">
        <v>1</v>
      </c>
      <c r="I3728" s="295">
        <f t="shared" si="478"/>
        <v>1.2</v>
      </c>
      <c r="J3728" s="295"/>
      <c r="K3728" s="300"/>
      <c r="L3728" s="300"/>
      <c r="M3728" s="285"/>
      <c r="N3728" s="1076"/>
      <c r="O3728" s="294"/>
      <c r="P3728" s="413"/>
      <c r="Q3728" s="404"/>
    </row>
    <row r="3729" spans="1:17" ht="14.4" thickTop="1" thickBot="1" x14ac:dyDescent="0.3">
      <c r="A3729" s="292"/>
      <c r="B3729" s="296"/>
      <c r="C3729" s="294"/>
      <c r="D3729" s="294"/>
      <c r="E3729" s="294"/>
      <c r="F3729" s="310"/>
      <c r="G3729" s="310"/>
      <c r="H3729" s="310"/>
      <c r="I3729" s="295"/>
      <c r="J3729" s="295">
        <f>J3726/9.29</f>
        <v>12.146393972012918</v>
      </c>
      <c r="K3729" s="300">
        <v>1.05</v>
      </c>
      <c r="L3729" s="300">
        <f t="shared" si="474"/>
        <v>12.753713670613564</v>
      </c>
      <c r="M3729" s="285">
        <f t="shared" si="452"/>
        <v>13</v>
      </c>
      <c r="N3729" s="1076"/>
      <c r="O3729" s="294"/>
      <c r="P3729" s="413">
        <f>P3726/100</f>
        <v>12.141584</v>
      </c>
      <c r="Q3729" s="404"/>
    </row>
    <row r="3730" spans="1:17" ht="14.4" thickTop="1" thickBot="1" x14ac:dyDescent="0.3">
      <c r="A3730" s="292"/>
      <c r="B3730" s="296"/>
      <c r="C3730" s="294"/>
      <c r="D3730" s="294"/>
      <c r="E3730" s="294"/>
      <c r="F3730" s="310"/>
      <c r="G3730" s="310"/>
      <c r="H3730" s="310"/>
      <c r="I3730" s="295"/>
      <c r="J3730" s="295"/>
      <c r="K3730" s="300">
        <f t="shared" si="477"/>
        <v>1.1000000000000001</v>
      </c>
      <c r="L3730" s="300">
        <f t="shared" si="474"/>
        <v>0</v>
      </c>
      <c r="M3730" s="285">
        <f t="shared" si="452"/>
        <v>0</v>
      </c>
      <c r="N3730" s="1076"/>
      <c r="O3730" s="294"/>
      <c r="P3730" s="404"/>
      <c r="Q3730" s="404"/>
    </row>
    <row r="3731" spans="1:17" ht="14.4" thickTop="1" thickBot="1" x14ac:dyDescent="0.3">
      <c r="A3731" s="292"/>
      <c r="B3731" s="296"/>
      <c r="C3731" s="294"/>
      <c r="D3731" s="294"/>
      <c r="E3731" s="294"/>
      <c r="F3731" s="310"/>
      <c r="G3731" s="310"/>
      <c r="H3731" s="310"/>
      <c r="I3731" s="295"/>
      <c r="J3731" s="295"/>
      <c r="K3731" s="300">
        <f t="shared" si="477"/>
        <v>1.1000000000000001</v>
      </c>
      <c r="L3731" s="300">
        <f t="shared" si="474"/>
        <v>0</v>
      </c>
      <c r="M3731" s="285">
        <f t="shared" si="452"/>
        <v>0</v>
      </c>
      <c r="N3731" s="1076"/>
      <c r="O3731" s="294"/>
      <c r="P3731" s="404"/>
      <c r="Q3731" s="404"/>
    </row>
    <row r="3732" spans="1:17" ht="14.4" thickTop="1" thickBot="1" x14ac:dyDescent="0.3">
      <c r="A3732" s="292"/>
      <c r="B3732" s="296"/>
      <c r="C3732" s="294"/>
      <c r="D3732" s="294"/>
      <c r="E3732" s="294"/>
      <c r="F3732" s="310"/>
      <c r="G3732" s="310"/>
      <c r="H3732" s="310"/>
      <c r="I3732" s="295"/>
      <c r="J3732" s="295"/>
      <c r="K3732" s="300">
        <f t="shared" si="477"/>
        <v>1.1000000000000001</v>
      </c>
      <c r="L3732" s="300">
        <f t="shared" si="474"/>
        <v>0</v>
      </c>
      <c r="M3732" s="285">
        <f t="shared" si="452"/>
        <v>0</v>
      </c>
      <c r="N3732" s="1076"/>
      <c r="O3732" s="294"/>
      <c r="P3732" s="404"/>
      <c r="Q3732" s="404"/>
    </row>
    <row r="3733" spans="1:17" ht="14.4" thickTop="1" thickBot="1" x14ac:dyDescent="0.3">
      <c r="A3733" s="292"/>
      <c r="B3733" s="296"/>
      <c r="C3733" s="294"/>
      <c r="D3733" s="294"/>
      <c r="E3733" s="294"/>
      <c r="F3733" s="310"/>
      <c r="G3733" s="310"/>
      <c r="H3733" s="310"/>
      <c r="I3733" s="295"/>
      <c r="J3733" s="295"/>
      <c r="K3733" s="300">
        <f t="shared" si="477"/>
        <v>1.1000000000000001</v>
      </c>
      <c r="L3733" s="300">
        <f t="shared" si="474"/>
        <v>0</v>
      </c>
      <c r="M3733" s="285">
        <f t="shared" si="452"/>
        <v>0</v>
      </c>
      <c r="N3733" s="1076"/>
      <c r="O3733" s="294"/>
      <c r="P3733" s="404"/>
      <c r="Q3733" s="404"/>
    </row>
    <row r="3734" spans="1:17" ht="14.4" thickTop="1" thickBot="1" x14ac:dyDescent="0.3">
      <c r="A3734" s="292"/>
      <c r="B3734" s="296"/>
      <c r="C3734" s="294"/>
      <c r="D3734" s="294"/>
      <c r="E3734" s="294"/>
      <c r="F3734" s="310"/>
      <c r="G3734" s="310"/>
      <c r="H3734" s="310"/>
      <c r="I3734" s="295"/>
      <c r="J3734" s="295"/>
      <c r="K3734" s="300"/>
      <c r="L3734" s="300"/>
      <c r="M3734" s="285"/>
      <c r="N3734" s="1076"/>
      <c r="O3734" s="294"/>
      <c r="P3734" s="404"/>
      <c r="Q3734" s="404"/>
    </row>
    <row r="3735" spans="1:17" ht="14.4" thickTop="1" thickBot="1" x14ac:dyDescent="0.3">
      <c r="A3735" s="292"/>
      <c r="B3735" s="296"/>
      <c r="C3735" s="294"/>
      <c r="D3735" s="294"/>
      <c r="E3735" s="294"/>
      <c r="F3735" s="310"/>
      <c r="G3735" s="310"/>
      <c r="H3735" s="310"/>
      <c r="I3735" s="295"/>
      <c r="J3735" s="295"/>
      <c r="K3735" s="300"/>
      <c r="L3735" s="300"/>
      <c r="M3735" s="285"/>
      <c r="N3735" s="1076"/>
      <c r="O3735" s="294"/>
      <c r="P3735" s="404"/>
      <c r="Q3735" s="404"/>
    </row>
    <row r="3736" spans="1:17" ht="14.4" thickTop="1" thickBot="1" x14ac:dyDescent="0.3">
      <c r="A3736" s="292"/>
      <c r="B3736" s="296" t="s">
        <v>1037</v>
      </c>
      <c r="C3736" s="294"/>
      <c r="D3736" s="294">
        <v>30</v>
      </c>
      <c r="E3736" s="294">
        <v>4</v>
      </c>
      <c r="F3736" s="310">
        <v>0.22500000000000001</v>
      </c>
      <c r="G3736" s="310"/>
      <c r="H3736" s="310">
        <v>0.9</v>
      </c>
      <c r="I3736" s="295">
        <f>H3736*F3736*E3736*D3736</f>
        <v>24.3</v>
      </c>
      <c r="J3736" s="295"/>
      <c r="K3736" s="300">
        <f t="shared" si="477"/>
        <v>1.1000000000000001</v>
      </c>
      <c r="L3736" s="300">
        <f t="shared" si="474"/>
        <v>0</v>
      </c>
      <c r="M3736" s="285">
        <f t="shared" si="452"/>
        <v>0</v>
      </c>
      <c r="N3736" s="1076"/>
      <c r="O3736" s="294"/>
      <c r="P3736" s="404"/>
      <c r="Q3736" s="404"/>
    </row>
    <row r="3737" spans="1:17" ht="14.4" thickTop="1" thickBot="1" x14ac:dyDescent="0.3">
      <c r="A3737" s="292"/>
      <c r="B3737" s="296"/>
      <c r="C3737" s="294"/>
      <c r="D3737" s="294"/>
      <c r="E3737" s="294"/>
      <c r="F3737" s="310"/>
      <c r="G3737" s="310"/>
      <c r="H3737" s="310"/>
      <c r="I3737" s="295"/>
      <c r="J3737" s="295"/>
      <c r="K3737" s="300">
        <f t="shared" si="477"/>
        <v>1.1000000000000001</v>
      </c>
      <c r="L3737" s="300">
        <f t="shared" si="474"/>
        <v>0</v>
      </c>
      <c r="M3737" s="285">
        <f t="shared" si="452"/>
        <v>0</v>
      </c>
      <c r="N3737" s="1076"/>
      <c r="O3737" s="294"/>
      <c r="P3737" s="404"/>
      <c r="Q3737" s="404"/>
    </row>
    <row r="3738" spans="1:17" ht="14.4" thickTop="1" thickBot="1" x14ac:dyDescent="0.3">
      <c r="A3738" s="292"/>
      <c r="B3738" s="296" t="s">
        <v>743</v>
      </c>
      <c r="C3738" s="294"/>
      <c r="D3738" s="294"/>
      <c r="E3738" s="294"/>
      <c r="F3738" s="310"/>
      <c r="G3738" s="310"/>
      <c r="H3738" s="310"/>
      <c r="I3738" s="295"/>
      <c r="J3738" s="295"/>
      <c r="K3738" s="300">
        <f t="shared" si="477"/>
        <v>1.1000000000000001</v>
      </c>
      <c r="L3738" s="300">
        <f t="shared" si="474"/>
        <v>0</v>
      </c>
      <c r="M3738" s="285">
        <f t="shared" si="452"/>
        <v>0</v>
      </c>
      <c r="N3738" s="1076"/>
      <c r="O3738" s="294"/>
      <c r="P3738" s="404"/>
      <c r="Q3738" s="404"/>
    </row>
    <row r="3739" spans="1:17" ht="14.4" thickTop="1" thickBot="1" x14ac:dyDescent="0.3">
      <c r="A3739" s="292"/>
      <c r="B3739" s="296"/>
      <c r="C3739" s="294"/>
      <c r="D3739" s="294"/>
      <c r="E3739" s="294"/>
      <c r="F3739" s="310"/>
      <c r="G3739" s="310"/>
      <c r="H3739" s="310"/>
      <c r="I3739" s="295"/>
      <c r="J3739" s="295"/>
      <c r="K3739" s="300">
        <f t="shared" si="477"/>
        <v>1.1000000000000001</v>
      </c>
      <c r="L3739" s="300">
        <f t="shared" si="474"/>
        <v>0</v>
      </c>
      <c r="M3739" s="285">
        <f t="shared" si="452"/>
        <v>0</v>
      </c>
      <c r="N3739" s="1076"/>
      <c r="O3739" s="294"/>
      <c r="P3739" s="404"/>
      <c r="Q3739" s="404"/>
    </row>
    <row r="3740" spans="1:17" ht="14.4" thickTop="1" thickBot="1" x14ac:dyDescent="0.3">
      <c r="A3740" s="292"/>
      <c r="B3740" s="296" t="s">
        <v>348</v>
      </c>
      <c r="C3740" s="294"/>
      <c r="D3740" s="294"/>
      <c r="E3740" s="294"/>
      <c r="F3740" s="310"/>
      <c r="G3740" s="310"/>
      <c r="H3740" s="310"/>
      <c r="I3740" s="295"/>
      <c r="J3740" s="295"/>
      <c r="K3740" s="300">
        <f t="shared" si="477"/>
        <v>1.1000000000000001</v>
      </c>
      <c r="L3740" s="300">
        <f t="shared" si="474"/>
        <v>0</v>
      </c>
      <c r="M3740" s="285">
        <f t="shared" si="452"/>
        <v>0</v>
      </c>
      <c r="N3740" s="1076"/>
      <c r="O3740" s="294"/>
      <c r="P3740" s="404"/>
      <c r="Q3740" s="404"/>
    </row>
    <row r="3741" spans="1:17" ht="14.4" thickTop="1" thickBot="1" x14ac:dyDescent="0.3">
      <c r="A3741" s="292"/>
      <c r="B3741" s="296" t="s">
        <v>724</v>
      </c>
      <c r="C3741" s="294"/>
      <c r="D3741" s="294"/>
      <c r="E3741" s="294"/>
      <c r="F3741" s="310"/>
      <c r="G3741" s="310"/>
      <c r="H3741" s="310"/>
      <c r="I3741" s="295"/>
      <c r="J3741" s="295"/>
      <c r="K3741" s="300">
        <f t="shared" si="477"/>
        <v>1.1000000000000001</v>
      </c>
      <c r="L3741" s="300">
        <f t="shared" si="474"/>
        <v>0</v>
      </c>
      <c r="M3741" s="285">
        <f t="shared" si="452"/>
        <v>0</v>
      </c>
      <c r="N3741" s="1076"/>
      <c r="O3741" s="294"/>
      <c r="P3741" s="404"/>
      <c r="Q3741" s="404">
        <f>100/10.76</f>
        <v>9.2936802973977706</v>
      </c>
    </row>
    <row r="3742" spans="1:17" ht="14.4" thickTop="1" thickBot="1" x14ac:dyDescent="0.3">
      <c r="A3742" s="292"/>
      <c r="B3742" s="296" t="s">
        <v>744</v>
      </c>
      <c r="C3742" s="294"/>
      <c r="D3742" s="294">
        <v>32</v>
      </c>
      <c r="E3742" s="294">
        <v>4</v>
      </c>
      <c r="F3742" s="310">
        <v>0.3</v>
      </c>
      <c r="G3742" s="310"/>
      <c r="H3742" s="310">
        <v>3.6</v>
      </c>
      <c r="I3742" s="295">
        <f>H3742*F3742*E3742*D3742</f>
        <v>138.24</v>
      </c>
      <c r="J3742" s="295">
        <f>SUM(I3742:I3745)</f>
        <v>159.80000000000004</v>
      </c>
      <c r="K3742" s="300">
        <f t="shared" si="477"/>
        <v>1.1000000000000001</v>
      </c>
      <c r="L3742" s="300">
        <f t="shared" si="474"/>
        <v>175.78000000000006</v>
      </c>
      <c r="M3742" s="285">
        <f t="shared" si="452"/>
        <v>176</v>
      </c>
      <c r="N3742" s="1076"/>
      <c r="O3742" s="294" t="s">
        <v>695</v>
      </c>
      <c r="P3742" s="413">
        <f>L3742*10.76</f>
        <v>1891.3928000000005</v>
      </c>
      <c r="Q3742" s="404"/>
    </row>
    <row r="3743" spans="1:17" ht="14.4" thickTop="1" thickBot="1" x14ac:dyDescent="0.3">
      <c r="A3743" s="292"/>
      <c r="B3743" s="296"/>
      <c r="C3743" s="294"/>
      <c r="D3743" s="294">
        <v>4</v>
      </c>
      <c r="E3743" s="294">
        <v>4</v>
      </c>
      <c r="F3743" s="310">
        <v>0.22500000000000001</v>
      </c>
      <c r="G3743" s="310"/>
      <c r="H3743" s="310">
        <v>3.6</v>
      </c>
      <c r="I3743" s="295">
        <f>H3743*F3743*E3743*D3743</f>
        <v>12.96</v>
      </c>
      <c r="J3743" s="295"/>
      <c r="K3743" s="300"/>
      <c r="L3743" s="300"/>
      <c r="M3743" s="285"/>
      <c r="N3743" s="1076"/>
      <c r="O3743" s="294"/>
      <c r="P3743" s="413"/>
      <c r="Q3743" s="404"/>
    </row>
    <row r="3744" spans="1:17" ht="14.4" thickTop="1" thickBot="1" x14ac:dyDescent="0.3">
      <c r="A3744" s="292"/>
      <c r="B3744" s="296" t="s">
        <v>844</v>
      </c>
      <c r="C3744" s="294"/>
      <c r="D3744" s="294"/>
      <c r="E3744" s="294">
        <v>2</v>
      </c>
      <c r="F3744" s="310">
        <v>3</v>
      </c>
      <c r="G3744" s="310"/>
      <c r="H3744" s="310">
        <v>1.05</v>
      </c>
      <c r="I3744" s="295">
        <f>H3744*F3744*E3744</f>
        <v>6.3000000000000007</v>
      </c>
      <c r="J3744" s="295"/>
      <c r="K3744" s="300"/>
      <c r="L3744" s="300"/>
      <c r="M3744" s="285"/>
      <c r="N3744" s="1076"/>
      <c r="O3744" s="294"/>
      <c r="P3744" s="413"/>
      <c r="Q3744" s="404"/>
    </row>
    <row r="3745" spans="1:17" ht="14.4" thickTop="1" thickBot="1" x14ac:dyDescent="0.3">
      <c r="A3745" s="292"/>
      <c r="B3745" s="296" t="s">
        <v>821</v>
      </c>
      <c r="C3745" s="294"/>
      <c r="D3745" s="294"/>
      <c r="E3745" s="294">
        <v>1</v>
      </c>
      <c r="F3745" s="310">
        <v>2.2999999999999998</v>
      </c>
      <c r="G3745" s="310"/>
      <c r="H3745" s="310">
        <v>1</v>
      </c>
      <c r="I3745" s="295">
        <f>H3745*F3745*E3745</f>
        <v>2.2999999999999998</v>
      </c>
      <c r="J3745" s="295"/>
      <c r="K3745" s="300"/>
      <c r="L3745" s="300"/>
      <c r="M3745" s="285"/>
      <c r="N3745" s="1076"/>
      <c r="O3745" s="294"/>
      <c r="P3745" s="413"/>
      <c r="Q3745" s="404"/>
    </row>
    <row r="3746" spans="1:17" ht="14.4" thickTop="1" thickBot="1" x14ac:dyDescent="0.3">
      <c r="A3746" s="292"/>
      <c r="B3746" s="296"/>
      <c r="C3746" s="294"/>
      <c r="D3746" s="294"/>
      <c r="E3746" s="294"/>
      <c r="F3746" s="310"/>
      <c r="G3746" s="310"/>
      <c r="H3746" s="310"/>
      <c r="I3746" s="295"/>
      <c r="J3746" s="295">
        <f>J3742/9.2936</f>
        <v>17.194628561590775</v>
      </c>
      <c r="K3746" s="300">
        <v>1.05</v>
      </c>
      <c r="L3746" s="300">
        <f t="shared" si="474"/>
        <v>18.054359989670314</v>
      </c>
      <c r="M3746" s="285">
        <f t="shared" si="452"/>
        <v>18</v>
      </c>
      <c r="N3746" s="1076"/>
      <c r="O3746" s="294" t="s">
        <v>879</v>
      </c>
      <c r="P3746" s="413">
        <f>L3746*100</f>
        <v>1805.4359989670313</v>
      </c>
      <c r="Q3746" s="404"/>
    </row>
    <row r="3747" spans="1:17" ht="14.4" thickTop="1" thickBot="1" x14ac:dyDescent="0.3">
      <c r="A3747" s="292"/>
      <c r="B3747" s="296"/>
      <c r="C3747" s="294"/>
      <c r="D3747" s="294"/>
      <c r="E3747" s="294"/>
      <c r="F3747" s="310"/>
      <c r="G3747" s="310"/>
      <c r="H3747" s="310"/>
      <c r="I3747" s="295"/>
      <c r="J3747" s="295"/>
      <c r="K3747" s="300">
        <f t="shared" si="477"/>
        <v>1.1000000000000001</v>
      </c>
      <c r="L3747" s="300">
        <f t="shared" si="474"/>
        <v>0</v>
      </c>
      <c r="M3747" s="285">
        <f t="shared" si="452"/>
        <v>0</v>
      </c>
      <c r="N3747" s="1076"/>
      <c r="O3747" s="294"/>
      <c r="P3747" s="413"/>
      <c r="Q3747" s="404"/>
    </row>
    <row r="3748" spans="1:17" ht="14.4" thickTop="1" thickBot="1" x14ac:dyDescent="0.3">
      <c r="A3748" s="292"/>
      <c r="B3748" s="296" t="s">
        <v>745</v>
      </c>
      <c r="C3748" s="294"/>
      <c r="D3748" s="294">
        <v>27</v>
      </c>
      <c r="E3748" s="294">
        <v>4</v>
      </c>
      <c r="F3748" s="310">
        <v>0.3</v>
      </c>
      <c r="G3748" s="310"/>
      <c r="H3748" s="310">
        <v>3.6</v>
      </c>
      <c r="I3748" s="295">
        <f>H3748*F3748*E3748*D3748</f>
        <v>116.64000000000001</v>
      </c>
      <c r="J3748" s="295">
        <f>SUM(I3748:I3750)</f>
        <v>125.24000000000001</v>
      </c>
      <c r="K3748" s="300">
        <f t="shared" si="477"/>
        <v>1.1000000000000001</v>
      </c>
      <c r="L3748" s="300">
        <f t="shared" si="474"/>
        <v>137.76400000000001</v>
      </c>
      <c r="M3748" s="285">
        <f t="shared" si="452"/>
        <v>138</v>
      </c>
      <c r="N3748" s="1076"/>
      <c r="O3748" s="294"/>
      <c r="P3748" s="404"/>
      <c r="Q3748" s="404"/>
    </row>
    <row r="3749" spans="1:17" ht="14.4" thickTop="1" thickBot="1" x14ac:dyDescent="0.3">
      <c r="A3749" s="292"/>
      <c r="B3749" s="296" t="s">
        <v>844</v>
      </c>
      <c r="C3749" s="294"/>
      <c r="D3749" s="294"/>
      <c r="E3749" s="294">
        <v>2</v>
      </c>
      <c r="F3749" s="310">
        <v>3</v>
      </c>
      <c r="G3749" s="310"/>
      <c r="H3749" s="310">
        <v>1.05</v>
      </c>
      <c r="I3749" s="295">
        <f>H3749*F3749*E3749</f>
        <v>6.3000000000000007</v>
      </c>
      <c r="J3749" s="295"/>
      <c r="K3749" s="300"/>
      <c r="L3749" s="300"/>
      <c r="M3749" s="285"/>
      <c r="N3749" s="1076"/>
      <c r="O3749" s="294"/>
      <c r="P3749" s="404"/>
      <c r="Q3749" s="404"/>
    </row>
    <row r="3750" spans="1:17" ht="14.4" thickTop="1" thickBot="1" x14ac:dyDescent="0.3">
      <c r="A3750" s="292"/>
      <c r="B3750" s="296" t="s">
        <v>821</v>
      </c>
      <c r="C3750" s="294"/>
      <c r="D3750" s="294"/>
      <c r="E3750" s="294">
        <v>1</v>
      </c>
      <c r="F3750" s="310">
        <v>2.2999999999999998</v>
      </c>
      <c r="G3750" s="310"/>
      <c r="H3750" s="310">
        <v>1</v>
      </c>
      <c r="I3750" s="295">
        <f>H3750*F3750*E3750</f>
        <v>2.2999999999999998</v>
      </c>
      <c r="J3750" s="295"/>
      <c r="K3750" s="300"/>
      <c r="L3750" s="300"/>
      <c r="M3750" s="285"/>
      <c r="N3750" s="1076"/>
      <c r="O3750" s="294"/>
      <c r="P3750" s="404"/>
      <c r="Q3750" s="404"/>
    </row>
    <row r="3751" spans="1:17" ht="14.4" thickTop="1" thickBot="1" x14ac:dyDescent="0.3">
      <c r="A3751" s="292"/>
      <c r="B3751" s="296"/>
      <c r="C3751" s="294"/>
      <c r="D3751" s="294"/>
      <c r="E3751" s="294"/>
      <c r="F3751" s="310"/>
      <c r="G3751" s="310"/>
      <c r="H3751" s="310"/>
      <c r="I3751" s="295"/>
      <c r="J3751" s="295">
        <f>J3748/9.29</f>
        <v>13.481162540365988</v>
      </c>
      <c r="K3751" s="300">
        <v>1.05</v>
      </c>
      <c r="L3751" s="300">
        <f t="shared" si="474"/>
        <v>14.155220667384288</v>
      </c>
      <c r="M3751" s="285">
        <f>ROUND(L3751,0)</f>
        <v>14</v>
      </c>
      <c r="N3751" s="1076"/>
      <c r="O3751" s="294"/>
      <c r="P3751" s="404"/>
      <c r="Q3751" s="404"/>
    </row>
    <row r="3752" spans="1:17" ht="14.4" thickTop="1" thickBot="1" x14ac:dyDescent="0.3">
      <c r="A3752" s="292"/>
      <c r="B3752" s="296"/>
      <c r="C3752" s="294"/>
      <c r="D3752" s="294"/>
      <c r="E3752" s="294"/>
      <c r="F3752" s="310"/>
      <c r="G3752" s="310"/>
      <c r="H3752" s="310"/>
      <c r="I3752" s="295"/>
      <c r="J3752" s="295"/>
      <c r="K3752" s="300">
        <f t="shared" si="477"/>
        <v>1.1000000000000001</v>
      </c>
      <c r="L3752" s="300">
        <f t="shared" si="474"/>
        <v>0</v>
      </c>
      <c r="M3752" s="285">
        <f t="shared" si="452"/>
        <v>0</v>
      </c>
      <c r="N3752" s="1076"/>
      <c r="O3752" s="294"/>
      <c r="P3752" s="404"/>
      <c r="Q3752" s="404"/>
    </row>
    <row r="3753" spans="1:17" ht="14.4" thickTop="1" thickBot="1" x14ac:dyDescent="0.3">
      <c r="A3753" s="292"/>
      <c r="B3753" s="296"/>
      <c r="C3753" s="294"/>
      <c r="D3753" s="294"/>
      <c r="E3753" s="294"/>
      <c r="F3753" s="310"/>
      <c r="G3753" s="310"/>
      <c r="H3753" s="310"/>
      <c r="I3753" s="295"/>
      <c r="J3753" s="295"/>
      <c r="K3753" s="300">
        <f t="shared" si="477"/>
        <v>1.1000000000000001</v>
      </c>
      <c r="L3753" s="300">
        <f t="shared" si="474"/>
        <v>0</v>
      </c>
      <c r="M3753" s="285">
        <f t="shared" si="452"/>
        <v>0</v>
      </c>
      <c r="N3753" s="1076"/>
      <c r="O3753" s="294"/>
      <c r="P3753" s="404"/>
      <c r="Q3753" s="404"/>
    </row>
    <row r="3754" spans="1:17" ht="14.4" thickTop="1" thickBot="1" x14ac:dyDescent="0.3">
      <c r="A3754" s="292"/>
      <c r="B3754" s="296" t="s">
        <v>746</v>
      </c>
      <c r="C3754" s="294"/>
      <c r="D3754" s="294">
        <f>D3748-4</f>
        <v>23</v>
      </c>
      <c r="E3754" s="294">
        <v>4</v>
      </c>
      <c r="F3754" s="310">
        <v>0.23</v>
      </c>
      <c r="G3754" s="310"/>
      <c r="H3754" s="310">
        <v>3.6</v>
      </c>
      <c r="I3754" s="295">
        <f>H3754*F3754*E3754*D3754</f>
        <v>76.176000000000002</v>
      </c>
      <c r="J3754" s="295"/>
      <c r="K3754" s="300">
        <f t="shared" si="477"/>
        <v>1.1000000000000001</v>
      </c>
      <c r="L3754" s="300">
        <f t="shared" si="474"/>
        <v>0</v>
      </c>
      <c r="M3754" s="285">
        <f t="shared" si="452"/>
        <v>0</v>
      </c>
      <c r="N3754" s="1076"/>
      <c r="O3754" s="294"/>
      <c r="P3754" s="404"/>
      <c r="Q3754" s="404"/>
    </row>
    <row r="3755" spans="1:17" ht="14.4" thickTop="1" thickBot="1" x14ac:dyDescent="0.3">
      <c r="A3755" s="292"/>
      <c r="B3755" s="296"/>
      <c r="C3755" s="294"/>
      <c r="D3755" s="294">
        <v>4</v>
      </c>
      <c r="E3755" s="294">
        <v>4</v>
      </c>
      <c r="F3755" s="310">
        <v>0.22500000000000001</v>
      </c>
      <c r="G3755" s="310"/>
      <c r="H3755" s="310">
        <v>4.5</v>
      </c>
      <c r="I3755" s="295">
        <f>H3755*F3755*E3755*D3755</f>
        <v>16.2</v>
      </c>
      <c r="J3755" s="295"/>
      <c r="K3755" s="300">
        <f t="shared" si="477"/>
        <v>1.1000000000000001</v>
      </c>
      <c r="L3755" s="300">
        <f t="shared" si="474"/>
        <v>0</v>
      </c>
      <c r="M3755" s="285">
        <f t="shared" si="452"/>
        <v>0</v>
      </c>
      <c r="N3755" s="1076"/>
      <c r="O3755" s="294"/>
      <c r="P3755" s="404"/>
      <c r="Q3755" s="404"/>
    </row>
    <row r="3756" spans="1:17" ht="14.4" thickTop="1" thickBot="1" x14ac:dyDescent="0.3">
      <c r="A3756" s="292"/>
      <c r="B3756" s="296"/>
      <c r="C3756" s="294"/>
      <c r="D3756" s="294"/>
      <c r="E3756" s="294"/>
      <c r="F3756" s="310"/>
      <c r="G3756" s="310"/>
      <c r="H3756" s="310"/>
      <c r="I3756" s="295"/>
      <c r="J3756" s="295">
        <f>SUM(I3753:I3755)</f>
        <v>92.376000000000005</v>
      </c>
      <c r="K3756" s="300">
        <f t="shared" si="477"/>
        <v>1.1000000000000001</v>
      </c>
      <c r="L3756" s="300">
        <f t="shared" si="474"/>
        <v>101.61360000000002</v>
      </c>
      <c r="M3756" s="285">
        <f t="shared" si="452"/>
        <v>102</v>
      </c>
      <c r="N3756" s="1076"/>
      <c r="O3756" s="294"/>
      <c r="P3756" s="404"/>
      <c r="Q3756" s="404"/>
    </row>
    <row r="3757" spans="1:17" ht="14.4" thickTop="1" thickBot="1" x14ac:dyDescent="0.3">
      <c r="A3757" s="292"/>
      <c r="B3757" s="296"/>
      <c r="C3757" s="294"/>
      <c r="D3757" s="294"/>
      <c r="E3757" s="294"/>
      <c r="F3757" s="310"/>
      <c r="G3757" s="310"/>
      <c r="H3757" s="310"/>
      <c r="I3757" s="295"/>
      <c r="J3757" s="295">
        <f>J3756/9.29</f>
        <v>9.9435952637244363</v>
      </c>
      <c r="K3757" s="300">
        <f t="shared" si="477"/>
        <v>1.1000000000000001</v>
      </c>
      <c r="L3757" s="300">
        <f t="shared" si="474"/>
        <v>10.93795479009688</v>
      </c>
      <c r="M3757" s="285">
        <f t="shared" si="452"/>
        <v>11</v>
      </c>
      <c r="N3757" s="1076"/>
      <c r="O3757" s="294"/>
      <c r="P3757" s="404"/>
      <c r="Q3757" s="404"/>
    </row>
    <row r="3758" spans="1:17" ht="14.4" thickTop="1" thickBot="1" x14ac:dyDescent="0.3">
      <c r="A3758" s="292"/>
      <c r="B3758" s="296"/>
      <c r="C3758" s="294"/>
      <c r="D3758" s="294"/>
      <c r="E3758" s="294"/>
      <c r="F3758" s="310"/>
      <c r="G3758" s="310"/>
      <c r="H3758" s="310"/>
      <c r="I3758" s="295"/>
      <c r="J3758" s="295"/>
      <c r="K3758" s="300">
        <f t="shared" si="477"/>
        <v>1.1000000000000001</v>
      </c>
      <c r="L3758" s="300">
        <f t="shared" si="474"/>
        <v>0</v>
      </c>
      <c r="M3758" s="285">
        <f t="shared" si="452"/>
        <v>0</v>
      </c>
      <c r="N3758" s="1076"/>
      <c r="O3758" s="294"/>
      <c r="P3758" s="404"/>
      <c r="Q3758" s="404"/>
    </row>
    <row r="3759" spans="1:17" ht="14.4" thickTop="1" thickBot="1" x14ac:dyDescent="0.3">
      <c r="A3759" s="292"/>
      <c r="B3759" s="296" t="s">
        <v>747</v>
      </c>
      <c r="C3759" s="294"/>
      <c r="D3759" s="294"/>
      <c r="E3759" s="294"/>
      <c r="F3759" s="310"/>
      <c r="G3759" s="310"/>
      <c r="H3759" s="310"/>
      <c r="I3759" s="295"/>
      <c r="J3759" s="295"/>
      <c r="K3759" s="300">
        <f t="shared" si="477"/>
        <v>1.1000000000000001</v>
      </c>
      <c r="L3759" s="300">
        <f t="shared" si="474"/>
        <v>0</v>
      </c>
      <c r="M3759" s="285">
        <f t="shared" si="452"/>
        <v>0</v>
      </c>
      <c r="N3759" s="1076"/>
      <c r="O3759" s="294"/>
      <c r="P3759" s="404"/>
      <c r="Q3759" s="404"/>
    </row>
    <row r="3760" spans="1:17" ht="14.4" thickTop="1" thickBot="1" x14ac:dyDescent="0.3">
      <c r="A3760" s="292"/>
      <c r="B3760" s="296" t="s">
        <v>730</v>
      </c>
      <c r="C3760" s="294"/>
      <c r="D3760" s="294"/>
      <c r="E3760" s="294"/>
      <c r="F3760" s="310">
        <v>26.024999999999999</v>
      </c>
      <c r="G3760" s="310">
        <v>12.225</v>
      </c>
      <c r="H3760" s="310"/>
      <c r="I3760" s="295">
        <f>G3760*F3760</f>
        <v>318.15562499999999</v>
      </c>
      <c r="J3760" s="295"/>
      <c r="K3760" s="300">
        <f t="shared" si="477"/>
        <v>1.1000000000000001</v>
      </c>
      <c r="L3760" s="300">
        <f t="shared" si="474"/>
        <v>0</v>
      </c>
      <c r="M3760" s="285">
        <f t="shared" si="452"/>
        <v>0</v>
      </c>
      <c r="N3760" s="1076"/>
      <c r="O3760" s="294"/>
      <c r="P3760" s="404"/>
      <c r="Q3760" s="404"/>
    </row>
    <row r="3761" spans="1:17" ht="14.4" thickTop="1" thickBot="1" x14ac:dyDescent="0.3">
      <c r="A3761" s="292"/>
      <c r="B3761" s="296" t="s">
        <v>731</v>
      </c>
      <c r="C3761" s="294"/>
      <c r="D3761" s="294"/>
      <c r="E3761" s="294"/>
      <c r="F3761" s="310">
        <v>5.6109999999999998</v>
      </c>
      <c r="G3761" s="310">
        <v>4.6879999999999997</v>
      </c>
      <c r="H3761" s="310"/>
      <c r="I3761" s="295">
        <f t="shared" ref="I3761:I3762" si="479">G3761*F3761</f>
        <v>26.304367999999997</v>
      </c>
      <c r="J3761" s="295"/>
      <c r="K3761" s="300">
        <f t="shared" si="477"/>
        <v>1.1000000000000001</v>
      </c>
      <c r="L3761" s="300">
        <f t="shared" si="474"/>
        <v>0</v>
      </c>
      <c r="M3761" s="285">
        <f t="shared" si="452"/>
        <v>0</v>
      </c>
      <c r="N3761" s="1076"/>
      <c r="O3761" s="294"/>
      <c r="P3761" s="404"/>
      <c r="Q3761" s="404"/>
    </row>
    <row r="3762" spans="1:17" ht="14.4" thickTop="1" thickBot="1" x14ac:dyDescent="0.3">
      <c r="A3762" s="292"/>
      <c r="B3762" s="296" t="s">
        <v>732</v>
      </c>
      <c r="C3762" s="294"/>
      <c r="D3762" s="294"/>
      <c r="E3762" s="294"/>
      <c r="F3762" s="310">
        <f>F3760</f>
        <v>26.024999999999999</v>
      </c>
      <c r="G3762" s="310">
        <v>0.9</v>
      </c>
      <c r="H3762" s="310"/>
      <c r="I3762" s="295">
        <f t="shared" si="479"/>
        <v>23.422499999999999</v>
      </c>
      <c r="J3762" s="295"/>
      <c r="K3762" s="300">
        <f t="shared" si="477"/>
        <v>1.1000000000000001</v>
      </c>
      <c r="L3762" s="300">
        <f t="shared" si="474"/>
        <v>0</v>
      </c>
      <c r="M3762" s="285">
        <f t="shared" si="452"/>
        <v>0</v>
      </c>
      <c r="N3762" s="1076"/>
      <c r="O3762" s="294"/>
      <c r="P3762" s="404"/>
      <c r="Q3762" s="404"/>
    </row>
    <row r="3763" spans="1:17" ht="14.4" thickTop="1" thickBot="1" x14ac:dyDescent="0.3">
      <c r="A3763" s="292"/>
      <c r="B3763" s="296"/>
      <c r="C3763" s="294"/>
      <c r="D3763" s="294"/>
      <c r="E3763" s="294">
        <v>2</v>
      </c>
      <c r="F3763" s="310">
        <f>G3760</f>
        <v>12.225</v>
      </c>
      <c r="G3763" s="310">
        <f>G3762</f>
        <v>0.9</v>
      </c>
      <c r="H3763" s="310"/>
      <c r="I3763" s="295">
        <f>G3763*F3763*E3763</f>
        <v>22.004999999999999</v>
      </c>
      <c r="J3763" s="295">
        <f>SUM(I3760:I3763)</f>
        <v>389.88749300000001</v>
      </c>
      <c r="K3763" s="300">
        <f t="shared" si="477"/>
        <v>1.1000000000000001</v>
      </c>
      <c r="L3763" s="300">
        <f t="shared" si="474"/>
        <v>428.87624230000006</v>
      </c>
      <c r="M3763" s="285">
        <f t="shared" si="452"/>
        <v>429</v>
      </c>
      <c r="N3763" s="1076"/>
      <c r="O3763" s="294"/>
      <c r="P3763" s="413">
        <f>J3763*10.76</f>
        <v>4195.1894246800002</v>
      </c>
      <c r="Q3763" s="404"/>
    </row>
    <row r="3764" spans="1:17" ht="14.4" thickTop="1" thickBot="1" x14ac:dyDescent="0.3">
      <c r="A3764" s="292"/>
      <c r="B3764" s="296"/>
      <c r="C3764" s="294"/>
      <c r="D3764" s="294"/>
      <c r="E3764" s="294"/>
      <c r="F3764" s="310"/>
      <c r="G3764" s="310"/>
      <c r="H3764" s="310"/>
      <c r="I3764" s="295"/>
      <c r="J3764" s="295">
        <f>J3763/9.29</f>
        <v>41.968513778256195</v>
      </c>
      <c r="K3764" s="300">
        <v>1.03</v>
      </c>
      <c r="L3764" s="300">
        <f t="shared" si="474"/>
        <v>43.227569191603884</v>
      </c>
      <c r="M3764" s="285">
        <f t="shared" si="452"/>
        <v>43</v>
      </c>
      <c r="N3764" s="1076"/>
      <c r="O3764" s="294"/>
      <c r="P3764" s="413">
        <f>P3763/100</f>
        <v>41.951894246800002</v>
      </c>
      <c r="Q3764" s="413">
        <f>M3764-J3764</f>
        <v>1.0314862217438048</v>
      </c>
    </row>
    <row r="3765" spans="1:17" ht="14.4" thickTop="1" thickBot="1" x14ac:dyDescent="0.3">
      <c r="A3765" s="292"/>
      <c r="B3765" s="296"/>
      <c r="C3765" s="294"/>
      <c r="D3765" s="294"/>
      <c r="E3765" s="294"/>
      <c r="F3765" s="310"/>
      <c r="G3765" s="310"/>
      <c r="H3765" s="310"/>
      <c r="I3765" s="295"/>
      <c r="J3765" s="295"/>
      <c r="K3765" s="300">
        <f t="shared" si="477"/>
        <v>1.1000000000000001</v>
      </c>
      <c r="L3765" s="300">
        <f t="shared" si="474"/>
        <v>0</v>
      </c>
      <c r="M3765" s="285">
        <f t="shared" si="452"/>
        <v>0</v>
      </c>
      <c r="N3765" s="1076"/>
      <c r="O3765" s="294"/>
      <c r="P3765" s="404"/>
      <c r="Q3765" s="404"/>
    </row>
    <row r="3766" spans="1:17" ht="14.4" thickTop="1" thickBot="1" x14ac:dyDescent="0.3">
      <c r="A3766" s="292"/>
      <c r="B3766" s="296"/>
      <c r="C3766" s="294"/>
      <c r="D3766" s="294"/>
      <c r="E3766" s="294"/>
      <c r="F3766" s="310"/>
      <c r="G3766" s="310"/>
      <c r="H3766" s="310"/>
      <c r="I3766" s="295"/>
      <c r="J3766" s="295"/>
      <c r="K3766" s="300">
        <f t="shared" si="477"/>
        <v>1.1000000000000001</v>
      </c>
      <c r="L3766" s="300">
        <f t="shared" si="474"/>
        <v>0</v>
      </c>
      <c r="M3766" s="285">
        <f t="shared" si="452"/>
        <v>0</v>
      </c>
      <c r="N3766" s="1076"/>
      <c r="O3766" s="294"/>
      <c r="P3766" s="404"/>
      <c r="Q3766" s="404"/>
    </row>
    <row r="3767" spans="1:17" ht="14.4" thickTop="1" thickBot="1" x14ac:dyDescent="0.3">
      <c r="A3767" s="292"/>
      <c r="B3767" s="296"/>
      <c r="C3767" s="294"/>
      <c r="D3767" s="294"/>
      <c r="E3767" s="294"/>
      <c r="F3767" s="310"/>
      <c r="G3767" s="310"/>
      <c r="H3767" s="310"/>
      <c r="I3767" s="295"/>
      <c r="J3767" s="295"/>
      <c r="K3767" s="300">
        <f t="shared" si="477"/>
        <v>1.1000000000000001</v>
      </c>
      <c r="L3767" s="300">
        <f t="shared" si="474"/>
        <v>0</v>
      </c>
      <c r="M3767" s="285">
        <f t="shared" si="452"/>
        <v>0</v>
      </c>
      <c r="N3767" s="1076"/>
      <c r="O3767" s="294"/>
      <c r="P3767" s="404"/>
      <c r="Q3767" s="404"/>
    </row>
    <row r="3768" spans="1:17" ht="14.4" thickTop="1" thickBot="1" x14ac:dyDescent="0.3">
      <c r="A3768" s="292"/>
      <c r="B3768" s="296" t="s">
        <v>733</v>
      </c>
      <c r="C3768" s="294"/>
      <c r="D3768" s="294"/>
      <c r="E3768" s="294"/>
      <c r="F3768" s="310">
        <f>F3760</f>
        <v>26.024999999999999</v>
      </c>
      <c r="G3768" s="310">
        <v>10.5</v>
      </c>
      <c r="H3768" s="310"/>
      <c r="I3768" s="295">
        <f t="shared" ref="I3768" si="480">G3768*F3768</f>
        <v>273.26249999999999</v>
      </c>
      <c r="J3768" s="295"/>
      <c r="K3768" s="300">
        <f t="shared" si="477"/>
        <v>1.1000000000000001</v>
      </c>
      <c r="L3768" s="300">
        <f t="shared" si="474"/>
        <v>0</v>
      </c>
      <c r="M3768" s="285">
        <f t="shared" si="452"/>
        <v>0</v>
      </c>
      <c r="N3768" s="1076"/>
      <c r="O3768" s="294"/>
      <c r="P3768" s="404"/>
      <c r="Q3768" s="404"/>
    </row>
    <row r="3769" spans="1:17" ht="14.4" thickTop="1" thickBot="1" x14ac:dyDescent="0.3">
      <c r="A3769" s="292"/>
      <c r="B3769" s="296" t="s">
        <v>732</v>
      </c>
      <c r="C3769" s="294"/>
      <c r="D3769" s="294"/>
      <c r="E3769" s="294">
        <v>2</v>
      </c>
      <c r="F3769" s="310">
        <f>F3762</f>
        <v>26.024999999999999</v>
      </c>
      <c r="G3769" s="310">
        <f>G3762</f>
        <v>0.9</v>
      </c>
      <c r="H3769" s="310"/>
      <c r="I3769" s="295">
        <f>G3769*F3769*E3769</f>
        <v>46.844999999999999</v>
      </c>
      <c r="J3769" s="295"/>
      <c r="K3769" s="300">
        <f t="shared" si="477"/>
        <v>1.1000000000000001</v>
      </c>
      <c r="L3769" s="300">
        <f t="shared" si="474"/>
        <v>0</v>
      </c>
      <c r="M3769" s="285">
        <f t="shared" si="452"/>
        <v>0</v>
      </c>
      <c r="N3769" s="1076"/>
      <c r="O3769" s="294"/>
      <c r="P3769" s="404"/>
      <c r="Q3769" s="404"/>
    </row>
    <row r="3770" spans="1:17" ht="14.4" thickTop="1" thickBot="1" x14ac:dyDescent="0.3">
      <c r="A3770" s="292"/>
      <c r="B3770" s="296"/>
      <c r="C3770" s="294"/>
      <c r="D3770" s="294"/>
      <c r="E3770" s="294">
        <v>2</v>
      </c>
      <c r="F3770" s="310">
        <f>G3768</f>
        <v>10.5</v>
      </c>
      <c r="G3770" s="310">
        <f>G3769</f>
        <v>0.9</v>
      </c>
      <c r="H3770" s="310"/>
      <c r="I3770" s="295">
        <f>G3770*F3770*E3770</f>
        <v>18.900000000000002</v>
      </c>
      <c r="J3770" s="295">
        <f>SUM(I3768:I3770)</f>
        <v>339.00749999999994</v>
      </c>
      <c r="K3770" s="300">
        <f t="shared" si="477"/>
        <v>1.1000000000000001</v>
      </c>
      <c r="L3770" s="300">
        <f t="shared" si="474"/>
        <v>372.90824999999995</v>
      </c>
      <c r="M3770" s="285">
        <f t="shared" si="452"/>
        <v>373</v>
      </c>
      <c r="N3770" s="1076"/>
      <c r="O3770" s="294"/>
      <c r="P3770" s="404"/>
      <c r="Q3770" s="404"/>
    </row>
    <row r="3771" spans="1:17" ht="14.4" thickTop="1" thickBot="1" x14ac:dyDescent="0.3">
      <c r="A3771" s="292"/>
      <c r="B3771" s="296"/>
      <c r="C3771" s="294"/>
      <c r="D3771" s="294"/>
      <c r="E3771" s="294"/>
      <c r="F3771" s="310"/>
      <c r="G3771" s="310"/>
      <c r="H3771" s="310"/>
      <c r="I3771" s="295"/>
      <c r="J3771" s="295">
        <f>J3770/9.29</f>
        <v>36.491657696447788</v>
      </c>
      <c r="K3771" s="300">
        <v>1.03</v>
      </c>
      <c r="L3771" s="300">
        <f t="shared" si="474"/>
        <v>37.586407427341221</v>
      </c>
      <c r="M3771" s="285">
        <f t="shared" si="452"/>
        <v>38</v>
      </c>
      <c r="N3771" s="1076"/>
      <c r="O3771" s="294"/>
      <c r="P3771" s="413">
        <f>M3771-J3771</f>
        <v>1.5083423035522117</v>
      </c>
      <c r="Q3771" s="404"/>
    </row>
    <row r="3772" spans="1:17" ht="14.4" thickTop="1" thickBot="1" x14ac:dyDescent="0.3">
      <c r="A3772" s="292"/>
      <c r="B3772" s="296"/>
      <c r="C3772" s="294"/>
      <c r="D3772" s="294"/>
      <c r="E3772" s="294"/>
      <c r="F3772" s="310"/>
      <c r="G3772" s="310"/>
      <c r="H3772" s="310"/>
      <c r="I3772" s="295"/>
      <c r="J3772" s="295"/>
      <c r="K3772" s="300">
        <f t="shared" si="477"/>
        <v>1.1000000000000001</v>
      </c>
      <c r="L3772" s="300">
        <f t="shared" si="474"/>
        <v>0</v>
      </c>
      <c r="M3772" s="285">
        <f t="shared" si="452"/>
        <v>0</v>
      </c>
      <c r="N3772" s="1076"/>
      <c r="O3772" s="294"/>
      <c r="P3772" s="404"/>
      <c r="Q3772" s="404"/>
    </row>
    <row r="3773" spans="1:17" ht="14.4" thickTop="1" thickBot="1" x14ac:dyDescent="0.3">
      <c r="A3773" s="292"/>
      <c r="B3773" s="296"/>
      <c r="C3773" s="294"/>
      <c r="D3773" s="294"/>
      <c r="E3773" s="294"/>
      <c r="F3773" s="310"/>
      <c r="G3773" s="310"/>
      <c r="H3773" s="310"/>
      <c r="I3773" s="295"/>
      <c r="J3773" s="295"/>
      <c r="K3773" s="300">
        <f t="shared" si="477"/>
        <v>1.1000000000000001</v>
      </c>
      <c r="L3773" s="300">
        <f t="shared" si="474"/>
        <v>0</v>
      </c>
      <c r="M3773" s="285">
        <f t="shared" si="452"/>
        <v>0</v>
      </c>
      <c r="N3773" s="1076"/>
      <c r="O3773" s="294"/>
      <c r="P3773" s="404"/>
      <c r="Q3773" s="404"/>
    </row>
    <row r="3774" spans="1:17" ht="14.4" thickTop="1" thickBot="1" x14ac:dyDescent="0.3">
      <c r="A3774" s="292"/>
      <c r="B3774" s="296"/>
      <c r="C3774" s="294"/>
      <c r="D3774" s="294"/>
      <c r="E3774" s="294"/>
      <c r="F3774" s="310"/>
      <c r="G3774" s="310"/>
      <c r="H3774" s="310"/>
      <c r="I3774" s="295"/>
      <c r="J3774" s="295"/>
      <c r="K3774" s="300">
        <f t="shared" si="477"/>
        <v>1.1000000000000001</v>
      </c>
      <c r="L3774" s="300">
        <f t="shared" si="474"/>
        <v>0</v>
      </c>
      <c r="M3774" s="285">
        <f t="shared" si="452"/>
        <v>0</v>
      </c>
      <c r="N3774" s="1076"/>
      <c r="O3774" s="294"/>
      <c r="P3774" s="404"/>
      <c r="Q3774" s="404"/>
    </row>
    <row r="3775" spans="1:17" ht="14.4" thickTop="1" thickBot="1" x14ac:dyDescent="0.3">
      <c r="A3775" s="292"/>
      <c r="B3775" s="296" t="s">
        <v>734</v>
      </c>
      <c r="C3775" s="294"/>
      <c r="D3775" s="294"/>
      <c r="E3775" s="294"/>
      <c r="F3775" s="310">
        <f>F3680</f>
        <v>9.7379999999999995</v>
      </c>
      <c r="G3775" s="310">
        <v>4.3250000000000002</v>
      </c>
      <c r="H3775" s="310"/>
      <c r="I3775" s="295">
        <f>G3775*F3775</f>
        <v>42.116849999999999</v>
      </c>
      <c r="J3775" s="295">
        <f>SUM(I3775:I3778)</f>
        <v>117.29685000000001</v>
      </c>
      <c r="K3775" s="300">
        <f t="shared" si="477"/>
        <v>1.1000000000000001</v>
      </c>
      <c r="L3775" s="300">
        <f t="shared" si="474"/>
        <v>129.02653500000002</v>
      </c>
      <c r="M3775" s="285">
        <f>ROUND(L3775,0)</f>
        <v>129</v>
      </c>
      <c r="N3775" s="1076"/>
      <c r="O3775" s="294"/>
      <c r="P3775" s="404"/>
      <c r="Q3775" s="404"/>
    </row>
    <row r="3776" spans="1:17" ht="14.4" thickTop="1" thickBot="1" x14ac:dyDescent="0.3">
      <c r="A3776" s="292"/>
      <c r="B3776" s="296"/>
      <c r="C3776" s="294"/>
      <c r="D3776" s="294"/>
      <c r="E3776" s="294">
        <v>2</v>
      </c>
      <c r="F3776" s="310">
        <v>27.824999999999999</v>
      </c>
      <c r="G3776" s="310">
        <v>0.9</v>
      </c>
      <c r="H3776" s="310"/>
      <c r="I3776" s="295">
        <f>G3776*F3776*E3776</f>
        <v>50.085000000000001</v>
      </c>
      <c r="J3776" s="295"/>
      <c r="K3776" s="300"/>
      <c r="L3776" s="300"/>
      <c r="M3776" s="285"/>
      <c r="N3776" s="1076"/>
      <c r="O3776" s="294"/>
      <c r="P3776" s="404"/>
      <c r="Q3776" s="404"/>
    </row>
    <row r="3777" spans="1:17" ht="14.4" thickTop="1" thickBot="1" x14ac:dyDescent="0.3">
      <c r="A3777" s="292"/>
      <c r="B3777" s="296"/>
      <c r="C3777" s="294"/>
      <c r="D3777" s="294"/>
      <c r="E3777" s="294">
        <v>2</v>
      </c>
      <c r="F3777" s="310">
        <v>10.5</v>
      </c>
      <c r="G3777" s="310">
        <v>0.9</v>
      </c>
      <c r="H3777" s="310"/>
      <c r="I3777" s="295">
        <f t="shared" ref="I3777:I3778" si="481">G3777*F3777*E3777</f>
        <v>18.900000000000002</v>
      </c>
      <c r="J3777" s="295"/>
      <c r="K3777" s="300"/>
      <c r="L3777" s="300"/>
      <c r="M3777" s="285"/>
      <c r="N3777" s="1076"/>
      <c r="O3777" s="294"/>
      <c r="P3777" s="404"/>
      <c r="Q3777" s="404"/>
    </row>
    <row r="3778" spans="1:17" ht="14.4" thickTop="1" thickBot="1" x14ac:dyDescent="0.3">
      <c r="A3778" s="292"/>
      <c r="B3778" s="296"/>
      <c r="C3778" s="294"/>
      <c r="D3778" s="294"/>
      <c r="E3778" s="294">
        <v>1</v>
      </c>
      <c r="F3778" s="310">
        <v>4.4249999999999998</v>
      </c>
      <c r="G3778" s="310">
        <v>1.4</v>
      </c>
      <c r="H3778" s="310"/>
      <c r="I3778" s="295">
        <f t="shared" si="481"/>
        <v>6.1949999999999994</v>
      </c>
      <c r="J3778" s="295"/>
      <c r="K3778" s="300"/>
      <c r="L3778" s="300"/>
      <c r="M3778" s="285"/>
      <c r="N3778" s="1076"/>
      <c r="O3778" s="294"/>
      <c r="P3778" s="404"/>
      <c r="Q3778" s="404"/>
    </row>
    <row r="3779" spans="1:17" ht="14.4" thickTop="1" thickBot="1" x14ac:dyDescent="0.3">
      <c r="A3779" s="292"/>
      <c r="B3779" s="296"/>
      <c r="C3779" s="294"/>
      <c r="D3779" s="294"/>
      <c r="E3779" s="294"/>
      <c r="F3779" s="310"/>
      <c r="G3779" s="310"/>
      <c r="H3779" s="310"/>
      <c r="I3779" s="295"/>
      <c r="J3779" s="295">
        <f>J3775/9.29</f>
        <v>12.626141011840691</v>
      </c>
      <c r="K3779" s="300">
        <v>1.08</v>
      </c>
      <c r="L3779" s="300">
        <f>K3779*J3779</f>
        <v>13.636232292787946</v>
      </c>
      <c r="M3779" s="285">
        <f>ROUND(L3779,0)</f>
        <v>14</v>
      </c>
      <c r="N3779" s="1076"/>
      <c r="O3779" s="294"/>
      <c r="P3779" s="404"/>
      <c r="Q3779" s="404"/>
    </row>
    <row r="3780" spans="1:17" ht="14.4" thickTop="1" thickBot="1" x14ac:dyDescent="0.3">
      <c r="A3780" s="292"/>
      <c r="B3780" s="296"/>
      <c r="C3780" s="294"/>
      <c r="D3780" s="294"/>
      <c r="E3780" s="294"/>
      <c r="F3780" s="310"/>
      <c r="G3780" s="310"/>
      <c r="H3780" s="310"/>
      <c r="I3780" s="295"/>
      <c r="J3780" s="295"/>
      <c r="K3780" s="300">
        <f t="shared" si="477"/>
        <v>1.1000000000000001</v>
      </c>
      <c r="L3780" s="300">
        <f t="shared" ref="L3780:L3930" si="482">K3780*J3780</f>
        <v>0</v>
      </c>
      <c r="M3780" s="285">
        <f t="shared" ref="M3780:M3997" si="483">ROUND(L3780,0)</f>
        <v>0</v>
      </c>
      <c r="N3780" s="1076"/>
      <c r="O3780" s="294"/>
      <c r="P3780" s="404"/>
      <c r="Q3780" s="404"/>
    </row>
    <row r="3781" spans="1:17" ht="14.4" thickTop="1" thickBot="1" x14ac:dyDescent="0.3">
      <c r="A3781" s="292"/>
      <c r="B3781" s="296" t="s">
        <v>748</v>
      </c>
      <c r="C3781" s="294"/>
      <c r="D3781" s="294"/>
      <c r="E3781" s="294"/>
      <c r="F3781" s="310"/>
      <c r="G3781" s="310"/>
      <c r="H3781" s="310"/>
      <c r="I3781" s="295"/>
      <c r="J3781" s="295"/>
      <c r="K3781" s="300">
        <f t="shared" si="477"/>
        <v>1.1000000000000001</v>
      </c>
      <c r="L3781" s="300">
        <f t="shared" si="482"/>
        <v>0</v>
      </c>
      <c r="M3781" s="285">
        <f t="shared" si="483"/>
        <v>0</v>
      </c>
      <c r="N3781" s="1076"/>
      <c r="O3781" s="294"/>
      <c r="P3781" s="404"/>
      <c r="Q3781" s="404"/>
    </row>
    <row r="3782" spans="1:17" ht="14.4" thickTop="1" thickBot="1" x14ac:dyDescent="0.3">
      <c r="A3782" s="292"/>
      <c r="B3782" s="296"/>
      <c r="C3782" s="294"/>
      <c r="D3782" s="294"/>
      <c r="E3782" s="294"/>
      <c r="F3782" s="310"/>
      <c r="G3782" s="310"/>
      <c r="H3782" s="310"/>
      <c r="I3782" s="295"/>
      <c r="J3782" s="295"/>
      <c r="K3782" s="300">
        <f t="shared" si="477"/>
        <v>1.1000000000000001</v>
      </c>
      <c r="L3782" s="300">
        <f t="shared" si="482"/>
        <v>0</v>
      </c>
      <c r="M3782" s="285">
        <f t="shared" si="483"/>
        <v>0</v>
      </c>
      <c r="N3782" s="1076"/>
      <c r="O3782" s="294"/>
      <c r="P3782" s="404"/>
      <c r="Q3782" s="404"/>
    </row>
    <row r="3783" spans="1:17" ht="14.4" thickTop="1" thickBot="1" x14ac:dyDescent="0.3">
      <c r="A3783" s="292"/>
      <c r="B3783" s="296" t="s">
        <v>749</v>
      </c>
      <c r="C3783" s="294"/>
      <c r="D3783" s="294"/>
      <c r="E3783" s="294"/>
      <c r="F3783" s="310"/>
      <c r="G3783" s="310"/>
      <c r="H3783" s="310"/>
      <c r="I3783" s="295"/>
      <c r="J3783" s="295"/>
      <c r="K3783" s="300">
        <f t="shared" si="477"/>
        <v>1.1000000000000001</v>
      </c>
      <c r="L3783" s="300">
        <f t="shared" si="482"/>
        <v>0</v>
      </c>
      <c r="M3783" s="285">
        <f t="shared" si="483"/>
        <v>0</v>
      </c>
      <c r="N3783" s="1076"/>
      <c r="O3783" s="294"/>
      <c r="P3783" s="404"/>
      <c r="Q3783" s="404"/>
    </row>
    <row r="3784" spans="1:17" ht="14.4" thickTop="1" thickBot="1" x14ac:dyDescent="0.3">
      <c r="A3784" s="292"/>
      <c r="B3784" s="296"/>
      <c r="C3784" s="294"/>
      <c r="D3784" s="294"/>
      <c r="E3784" s="294"/>
      <c r="F3784" s="310"/>
      <c r="G3784" s="310"/>
      <c r="H3784" s="310"/>
      <c r="I3784" s="295"/>
      <c r="J3784" s="295"/>
      <c r="K3784" s="300">
        <f t="shared" si="477"/>
        <v>1.1000000000000001</v>
      </c>
      <c r="L3784" s="300">
        <f t="shared" si="482"/>
        <v>0</v>
      </c>
      <c r="M3784" s="285">
        <f t="shared" si="483"/>
        <v>0</v>
      </c>
      <c r="N3784" s="1076"/>
      <c r="O3784" s="294"/>
      <c r="P3784" s="404"/>
      <c r="Q3784" s="404"/>
    </row>
    <row r="3785" spans="1:17" ht="14.4" thickTop="1" thickBot="1" x14ac:dyDescent="0.3">
      <c r="A3785" s="292"/>
      <c r="B3785" s="296"/>
      <c r="C3785" s="294"/>
      <c r="D3785" s="294"/>
      <c r="E3785" s="294"/>
      <c r="F3785" s="310"/>
      <c r="G3785" s="310"/>
      <c r="H3785" s="310"/>
      <c r="I3785" s="295"/>
      <c r="J3785" s="295"/>
      <c r="K3785" s="300">
        <f t="shared" si="477"/>
        <v>1.1000000000000001</v>
      </c>
      <c r="L3785" s="300">
        <f t="shared" si="482"/>
        <v>0</v>
      </c>
      <c r="M3785" s="285">
        <f t="shared" si="483"/>
        <v>0</v>
      </c>
      <c r="N3785" s="1076"/>
      <c r="O3785" s="294"/>
      <c r="P3785" s="404"/>
      <c r="Q3785" s="404"/>
    </row>
    <row r="3786" spans="1:17" ht="14.4" thickTop="1" thickBot="1" x14ac:dyDescent="0.3">
      <c r="A3786" s="292"/>
      <c r="B3786" s="302" t="s">
        <v>191</v>
      </c>
      <c r="C3786" s="294"/>
      <c r="D3786" s="294"/>
      <c r="E3786" s="294"/>
      <c r="F3786" s="310"/>
      <c r="G3786" s="310"/>
      <c r="H3786" s="310"/>
      <c r="I3786" s="295"/>
      <c r="J3786" s="295"/>
      <c r="K3786" s="300">
        <f t="shared" si="477"/>
        <v>1.1000000000000001</v>
      </c>
      <c r="L3786" s="300">
        <f t="shared" si="482"/>
        <v>0</v>
      </c>
      <c r="M3786" s="285">
        <f t="shared" si="483"/>
        <v>0</v>
      </c>
      <c r="N3786" s="1076"/>
      <c r="O3786" s="294"/>
      <c r="P3786" s="404"/>
      <c r="Q3786" s="404"/>
    </row>
    <row r="3787" spans="1:17" ht="14.4" thickTop="1" thickBot="1" x14ac:dyDescent="0.3">
      <c r="A3787" s="292"/>
      <c r="B3787" s="296"/>
      <c r="C3787" s="294"/>
      <c r="D3787" s="294"/>
      <c r="E3787" s="294"/>
      <c r="F3787" s="310"/>
      <c r="G3787" s="310"/>
      <c r="H3787" s="310"/>
      <c r="I3787" s="295"/>
      <c r="J3787" s="295"/>
      <c r="K3787" s="300">
        <f t="shared" si="477"/>
        <v>1.1000000000000001</v>
      </c>
      <c r="L3787" s="300">
        <f t="shared" si="482"/>
        <v>0</v>
      </c>
      <c r="M3787" s="285">
        <f t="shared" si="483"/>
        <v>0</v>
      </c>
      <c r="N3787" s="1076"/>
      <c r="O3787" s="294"/>
      <c r="P3787" s="404"/>
      <c r="Q3787" s="404"/>
    </row>
    <row r="3788" spans="1:17" ht="14.4" thickTop="1" thickBot="1" x14ac:dyDescent="0.3">
      <c r="A3788" s="292"/>
      <c r="B3788" s="296"/>
      <c r="C3788" s="294"/>
      <c r="D3788" s="294"/>
      <c r="E3788" s="294"/>
      <c r="F3788" s="310"/>
      <c r="G3788" s="310"/>
      <c r="H3788" s="310"/>
      <c r="I3788" s="295"/>
      <c r="J3788" s="295"/>
      <c r="K3788" s="300">
        <f t="shared" si="477"/>
        <v>1.1000000000000001</v>
      </c>
      <c r="L3788" s="300">
        <f t="shared" si="482"/>
        <v>0</v>
      </c>
      <c r="M3788" s="285">
        <f t="shared" si="483"/>
        <v>0</v>
      </c>
      <c r="N3788" s="1076"/>
      <c r="O3788" s="294"/>
      <c r="P3788" s="404"/>
      <c r="Q3788" s="404"/>
    </row>
    <row r="3789" spans="1:17" ht="14.4" thickTop="1" thickBot="1" x14ac:dyDescent="0.3">
      <c r="A3789" s="292"/>
      <c r="B3789" s="296"/>
      <c r="C3789" s="294"/>
      <c r="D3789" s="294"/>
      <c r="E3789" s="294"/>
      <c r="F3789" s="310"/>
      <c r="G3789" s="310"/>
      <c r="H3789" s="310"/>
      <c r="I3789" s="295"/>
      <c r="J3789" s="295"/>
      <c r="K3789" s="300">
        <f t="shared" si="477"/>
        <v>1.1000000000000001</v>
      </c>
      <c r="L3789" s="300">
        <f t="shared" si="482"/>
        <v>0</v>
      </c>
      <c r="M3789" s="285">
        <f t="shared" si="483"/>
        <v>0</v>
      </c>
      <c r="N3789" s="1076"/>
      <c r="O3789" s="294"/>
      <c r="P3789" s="404"/>
      <c r="Q3789" s="404"/>
    </row>
    <row r="3790" spans="1:17" ht="14.4" thickTop="1" thickBot="1" x14ac:dyDescent="0.3">
      <c r="A3790" s="292"/>
      <c r="B3790" s="296"/>
      <c r="C3790" s="294"/>
      <c r="D3790" s="294"/>
      <c r="E3790" s="294"/>
      <c r="F3790" s="310"/>
      <c r="G3790" s="310"/>
      <c r="H3790" s="310"/>
      <c r="I3790" s="295"/>
      <c r="J3790" s="295"/>
      <c r="K3790" s="300">
        <f t="shared" si="477"/>
        <v>1.1000000000000001</v>
      </c>
      <c r="L3790" s="300">
        <f t="shared" si="482"/>
        <v>0</v>
      </c>
      <c r="M3790" s="285">
        <f t="shared" si="483"/>
        <v>0</v>
      </c>
      <c r="N3790" s="1076"/>
      <c r="O3790" s="294"/>
      <c r="P3790" s="404"/>
      <c r="Q3790" s="404"/>
    </row>
    <row r="3791" spans="1:17" ht="14.4" thickTop="1" thickBot="1" x14ac:dyDescent="0.3">
      <c r="A3791" s="292"/>
      <c r="B3791" s="296"/>
      <c r="C3791" s="294"/>
      <c r="D3791" s="294"/>
      <c r="E3791" s="294"/>
      <c r="F3791" s="310"/>
      <c r="G3791" s="310"/>
      <c r="H3791" s="310"/>
      <c r="I3791" s="295"/>
      <c r="J3791" s="295"/>
      <c r="K3791" s="300">
        <f t="shared" si="477"/>
        <v>1.1000000000000001</v>
      </c>
      <c r="L3791" s="300">
        <f t="shared" si="482"/>
        <v>0</v>
      </c>
      <c r="M3791" s="285">
        <f t="shared" si="483"/>
        <v>0</v>
      </c>
      <c r="N3791" s="1076"/>
      <c r="O3791" s="294"/>
      <c r="P3791" s="404"/>
      <c r="Q3791" s="404"/>
    </row>
    <row r="3792" spans="1:17" ht="14.4" thickTop="1" thickBot="1" x14ac:dyDescent="0.3">
      <c r="A3792" s="292"/>
      <c r="B3792" s="296"/>
      <c r="C3792" s="294"/>
      <c r="D3792" s="294"/>
      <c r="E3792" s="294"/>
      <c r="F3792" s="310"/>
      <c r="G3792" s="310"/>
      <c r="H3792" s="310"/>
      <c r="I3792" s="295"/>
      <c r="J3792" s="295"/>
      <c r="K3792" s="300">
        <f t="shared" si="477"/>
        <v>1.1000000000000001</v>
      </c>
      <c r="L3792" s="300">
        <f t="shared" si="482"/>
        <v>0</v>
      </c>
      <c r="M3792" s="285">
        <f t="shared" si="483"/>
        <v>0</v>
      </c>
      <c r="N3792" s="1076"/>
      <c r="O3792" s="294"/>
      <c r="P3792" s="404"/>
      <c r="Q3792" s="404"/>
    </row>
    <row r="3793" spans="1:17" ht="14.4" thickTop="1" thickBot="1" x14ac:dyDescent="0.3">
      <c r="A3793" s="292"/>
      <c r="B3793" s="296"/>
      <c r="C3793" s="294"/>
      <c r="D3793" s="294"/>
      <c r="E3793" s="294"/>
      <c r="F3793" s="310"/>
      <c r="G3793" s="310"/>
      <c r="H3793" s="310"/>
      <c r="I3793" s="295"/>
      <c r="J3793" s="295"/>
      <c r="K3793" s="300">
        <f t="shared" si="477"/>
        <v>1.1000000000000001</v>
      </c>
      <c r="L3793" s="300">
        <f t="shared" si="482"/>
        <v>0</v>
      </c>
      <c r="M3793" s="285">
        <f t="shared" si="483"/>
        <v>0</v>
      </c>
      <c r="N3793" s="1076"/>
      <c r="O3793" s="294"/>
      <c r="P3793" s="404"/>
      <c r="Q3793" s="404"/>
    </row>
    <row r="3794" spans="1:17" ht="14.4" thickTop="1" thickBot="1" x14ac:dyDescent="0.3">
      <c r="A3794" s="292"/>
      <c r="B3794" s="296"/>
      <c r="C3794" s="294"/>
      <c r="D3794" s="294"/>
      <c r="E3794" s="294"/>
      <c r="F3794" s="310"/>
      <c r="G3794" s="310"/>
      <c r="H3794" s="310"/>
      <c r="I3794" s="295"/>
      <c r="J3794" s="295"/>
      <c r="K3794" s="300">
        <f t="shared" si="477"/>
        <v>1.1000000000000001</v>
      </c>
      <c r="L3794" s="300">
        <f t="shared" si="482"/>
        <v>0</v>
      </c>
      <c r="M3794" s="285">
        <f t="shared" si="483"/>
        <v>0</v>
      </c>
      <c r="N3794" s="1076"/>
      <c r="O3794" s="294"/>
      <c r="P3794" s="404"/>
      <c r="Q3794" s="404"/>
    </row>
    <row r="3795" spans="1:17" ht="14.4" thickTop="1" thickBot="1" x14ac:dyDescent="0.3">
      <c r="A3795" s="292"/>
      <c r="B3795" s="296"/>
      <c r="C3795" s="294"/>
      <c r="D3795" s="294"/>
      <c r="E3795" s="294"/>
      <c r="F3795" s="310"/>
      <c r="G3795" s="310"/>
      <c r="H3795" s="310"/>
      <c r="I3795" s="295"/>
      <c r="J3795" s="295"/>
      <c r="K3795" s="300">
        <f t="shared" si="477"/>
        <v>1.1000000000000001</v>
      </c>
      <c r="L3795" s="300">
        <f t="shared" si="482"/>
        <v>0</v>
      </c>
      <c r="M3795" s="285">
        <f t="shared" si="483"/>
        <v>0</v>
      </c>
      <c r="N3795" s="1076"/>
      <c r="O3795" s="294"/>
      <c r="P3795" s="404"/>
      <c r="Q3795" s="404"/>
    </row>
    <row r="3796" spans="1:17" ht="14.4" thickTop="1" thickBot="1" x14ac:dyDescent="0.3">
      <c r="A3796" s="292"/>
      <c r="B3796" s="296"/>
      <c r="C3796" s="294"/>
      <c r="D3796" s="294"/>
      <c r="E3796" s="294"/>
      <c r="F3796" s="310"/>
      <c r="G3796" s="310"/>
      <c r="H3796" s="310"/>
      <c r="I3796" s="295"/>
      <c r="J3796" s="295"/>
      <c r="K3796" s="300">
        <f t="shared" si="477"/>
        <v>1.1000000000000001</v>
      </c>
      <c r="L3796" s="300">
        <f t="shared" si="482"/>
        <v>0</v>
      </c>
      <c r="M3796" s="285">
        <f t="shared" si="483"/>
        <v>0</v>
      </c>
      <c r="N3796" s="1076"/>
      <c r="O3796" s="294"/>
      <c r="P3796" s="404"/>
      <c r="Q3796" s="404"/>
    </row>
    <row r="3797" spans="1:17" ht="14.4" thickTop="1" thickBot="1" x14ac:dyDescent="0.3">
      <c r="A3797" s="292"/>
      <c r="B3797" s="296"/>
      <c r="C3797" s="294"/>
      <c r="D3797" s="294"/>
      <c r="E3797" s="294"/>
      <c r="F3797" s="310"/>
      <c r="G3797" s="310"/>
      <c r="H3797" s="310"/>
      <c r="I3797" s="295"/>
      <c r="J3797" s="295"/>
      <c r="K3797" s="300">
        <f t="shared" si="477"/>
        <v>1.1000000000000001</v>
      </c>
      <c r="L3797" s="300">
        <f t="shared" si="482"/>
        <v>0</v>
      </c>
      <c r="M3797" s="285">
        <f t="shared" si="483"/>
        <v>0</v>
      </c>
      <c r="N3797" s="1076"/>
      <c r="O3797" s="294"/>
      <c r="P3797" s="404"/>
      <c r="Q3797" s="404"/>
    </row>
    <row r="3798" spans="1:17" ht="14.4" thickTop="1" thickBot="1" x14ac:dyDescent="0.3">
      <c r="A3798" s="292"/>
      <c r="B3798" s="296"/>
      <c r="C3798" s="294"/>
      <c r="D3798" s="294"/>
      <c r="E3798" s="294"/>
      <c r="F3798" s="310"/>
      <c r="G3798" s="310"/>
      <c r="H3798" s="310"/>
      <c r="I3798" s="295"/>
      <c r="J3798" s="295"/>
      <c r="K3798" s="300">
        <f t="shared" si="477"/>
        <v>1.1000000000000001</v>
      </c>
      <c r="L3798" s="300">
        <f t="shared" si="482"/>
        <v>0</v>
      </c>
      <c r="M3798" s="285">
        <f t="shared" si="483"/>
        <v>0</v>
      </c>
      <c r="N3798" s="1076"/>
      <c r="O3798" s="294"/>
      <c r="P3798" s="404"/>
      <c r="Q3798" s="404"/>
    </row>
    <row r="3799" spans="1:17" ht="14.4" thickTop="1" thickBot="1" x14ac:dyDescent="0.3">
      <c r="A3799" s="292"/>
      <c r="B3799" s="296"/>
      <c r="C3799" s="294"/>
      <c r="D3799" s="294"/>
      <c r="E3799" s="294"/>
      <c r="F3799" s="310"/>
      <c r="G3799" s="310"/>
      <c r="H3799" s="310"/>
      <c r="I3799" s="295"/>
      <c r="J3799" s="295"/>
      <c r="K3799" s="300">
        <f t="shared" si="477"/>
        <v>1.1000000000000001</v>
      </c>
      <c r="L3799" s="300">
        <f t="shared" si="482"/>
        <v>0</v>
      </c>
      <c r="M3799" s="285">
        <f t="shared" si="483"/>
        <v>0</v>
      </c>
      <c r="N3799" s="1076"/>
      <c r="O3799" s="294"/>
      <c r="P3799" s="404"/>
      <c r="Q3799" s="404"/>
    </row>
    <row r="3800" spans="1:17" ht="14.4" thickTop="1" thickBot="1" x14ac:dyDescent="0.3">
      <c r="A3800" s="292"/>
      <c r="B3800" s="296"/>
      <c r="C3800" s="294"/>
      <c r="D3800" s="294"/>
      <c r="E3800" s="294"/>
      <c r="F3800" s="310"/>
      <c r="G3800" s="310"/>
      <c r="H3800" s="310"/>
      <c r="I3800" s="295"/>
      <c r="J3800" s="295"/>
      <c r="K3800" s="300">
        <f t="shared" si="477"/>
        <v>1.1000000000000001</v>
      </c>
      <c r="L3800" s="300">
        <f t="shared" si="482"/>
        <v>0</v>
      </c>
      <c r="M3800" s="285">
        <f t="shared" si="483"/>
        <v>0</v>
      </c>
      <c r="N3800" s="1076"/>
      <c r="O3800" s="294"/>
      <c r="P3800" s="404"/>
      <c r="Q3800" s="404"/>
    </row>
    <row r="3801" spans="1:17" ht="14.4" thickTop="1" thickBot="1" x14ac:dyDescent="0.3">
      <c r="A3801" s="292"/>
      <c r="B3801" s="302" t="s">
        <v>574</v>
      </c>
      <c r="C3801" s="294"/>
      <c r="D3801" s="294"/>
      <c r="E3801" s="294"/>
      <c r="F3801" s="310"/>
      <c r="G3801" s="310"/>
      <c r="H3801" s="310"/>
      <c r="I3801" s="295"/>
      <c r="J3801" s="295"/>
      <c r="K3801" s="300">
        <f t="shared" si="477"/>
        <v>1.1000000000000001</v>
      </c>
      <c r="L3801" s="300">
        <f t="shared" si="482"/>
        <v>0</v>
      </c>
      <c r="M3801" s="285">
        <f t="shared" si="483"/>
        <v>0</v>
      </c>
      <c r="N3801" s="1076"/>
      <c r="O3801" s="294"/>
      <c r="P3801" s="404"/>
      <c r="Q3801" s="404"/>
    </row>
    <row r="3802" spans="1:17" ht="14.4" thickTop="1" thickBot="1" x14ac:dyDescent="0.3">
      <c r="A3802" s="292"/>
      <c r="B3802" s="296" t="s">
        <v>752</v>
      </c>
      <c r="C3802" s="294"/>
      <c r="D3802" s="294"/>
      <c r="E3802" s="294"/>
      <c r="F3802" s="310"/>
      <c r="G3802" s="310"/>
      <c r="H3802" s="310"/>
      <c r="I3802" s="295"/>
      <c r="J3802" s="295"/>
      <c r="K3802" s="300">
        <f t="shared" si="477"/>
        <v>1.1000000000000001</v>
      </c>
      <c r="L3802" s="300">
        <f t="shared" si="482"/>
        <v>0</v>
      </c>
      <c r="M3802" s="285">
        <f t="shared" si="483"/>
        <v>0</v>
      </c>
      <c r="N3802" s="1076"/>
      <c r="O3802" s="294"/>
      <c r="P3802" s="404"/>
      <c r="Q3802" s="404"/>
    </row>
    <row r="3803" spans="1:17" ht="14.4" thickTop="1" thickBot="1" x14ac:dyDescent="0.3">
      <c r="A3803" s="292"/>
      <c r="B3803" s="296" t="s">
        <v>750</v>
      </c>
      <c r="C3803" s="294"/>
      <c r="D3803" s="294"/>
      <c r="E3803" s="294">
        <v>2</v>
      </c>
      <c r="F3803" s="310">
        <v>26.024999999999999</v>
      </c>
      <c r="G3803" s="310">
        <v>0.22500000000000001</v>
      </c>
      <c r="H3803" s="310">
        <v>3.6</v>
      </c>
      <c r="I3803" s="295">
        <f>H3803*F3803*E3803*G3803</f>
        <v>42.160499999999999</v>
      </c>
      <c r="J3803" s="295"/>
      <c r="K3803" s="300">
        <f t="shared" si="477"/>
        <v>1.1000000000000001</v>
      </c>
      <c r="L3803" s="300">
        <f t="shared" si="482"/>
        <v>0</v>
      </c>
      <c r="M3803" s="285">
        <f t="shared" si="483"/>
        <v>0</v>
      </c>
      <c r="N3803" s="1076"/>
      <c r="O3803" s="294"/>
      <c r="P3803" s="404">
        <f>H3803*F3803*E3803</f>
        <v>187.38</v>
      </c>
      <c r="Q3803" s="404"/>
    </row>
    <row r="3804" spans="1:17" ht="14.4" thickTop="1" thickBot="1" x14ac:dyDescent="0.3">
      <c r="A3804" s="292"/>
      <c r="B3804" s="296" t="s">
        <v>751</v>
      </c>
      <c r="C3804" s="294"/>
      <c r="D3804" s="294"/>
      <c r="E3804" s="294">
        <v>2</v>
      </c>
      <c r="F3804" s="310">
        <v>10.5</v>
      </c>
      <c r="G3804" s="310">
        <v>0.22500000000000001</v>
      </c>
      <c r="H3804" s="310">
        <v>3.6</v>
      </c>
      <c r="I3804" s="295">
        <f>H3804*F3804*E3804*G3804</f>
        <v>17.010000000000002</v>
      </c>
      <c r="J3804" s="295"/>
      <c r="K3804" s="300">
        <f t="shared" si="477"/>
        <v>1.1000000000000001</v>
      </c>
      <c r="L3804" s="300">
        <f t="shared" si="482"/>
        <v>0</v>
      </c>
      <c r="M3804" s="285">
        <f t="shared" si="483"/>
        <v>0</v>
      </c>
      <c r="N3804" s="1076"/>
      <c r="O3804" s="294"/>
      <c r="P3804" s="404">
        <f>H3804*F3804*E3804</f>
        <v>75.600000000000009</v>
      </c>
      <c r="Q3804" s="404"/>
    </row>
    <row r="3805" spans="1:17" ht="14.4" thickTop="1" thickBot="1" x14ac:dyDescent="0.3">
      <c r="A3805" s="292"/>
      <c r="B3805" s="296" t="s">
        <v>753</v>
      </c>
      <c r="C3805" s="294"/>
      <c r="D3805" s="294"/>
      <c r="E3805" s="294">
        <v>1</v>
      </c>
      <c r="F3805" s="310">
        <v>5</v>
      </c>
      <c r="G3805" s="310">
        <v>0.22500000000000001</v>
      </c>
      <c r="H3805" s="310">
        <v>3.6</v>
      </c>
      <c r="I3805" s="295">
        <f t="shared" ref="I3805:I3812" si="484">H3805*F3805*E3805*G3805</f>
        <v>4.05</v>
      </c>
      <c r="J3805" s="295"/>
      <c r="K3805" s="300">
        <f t="shared" si="477"/>
        <v>1.1000000000000001</v>
      </c>
      <c r="L3805" s="300">
        <f t="shared" si="482"/>
        <v>0</v>
      </c>
      <c r="M3805" s="285">
        <f t="shared" si="483"/>
        <v>0</v>
      </c>
      <c r="N3805" s="1076"/>
      <c r="O3805" s="294"/>
      <c r="P3805" s="404">
        <f t="shared" ref="P3805:P3814" si="485">H3805*F3805*E3805</f>
        <v>18</v>
      </c>
      <c r="Q3805" s="404"/>
    </row>
    <row r="3806" spans="1:17" ht="14.4" thickTop="1" thickBot="1" x14ac:dyDescent="0.3">
      <c r="A3806" s="292"/>
      <c r="B3806" s="296" t="s">
        <v>754</v>
      </c>
      <c r="C3806" s="294"/>
      <c r="D3806" s="294"/>
      <c r="E3806" s="294">
        <v>1</v>
      </c>
      <c r="F3806" s="310">
        <v>4.8250000000000002</v>
      </c>
      <c r="G3806" s="310">
        <v>0.22500000000000001</v>
      </c>
      <c r="H3806" s="310">
        <v>3.6</v>
      </c>
      <c r="I3806" s="295">
        <f t="shared" si="484"/>
        <v>3.9082500000000002</v>
      </c>
      <c r="J3806" s="295"/>
      <c r="K3806" s="300">
        <f t="shared" si="477"/>
        <v>1.1000000000000001</v>
      </c>
      <c r="L3806" s="300">
        <f t="shared" si="482"/>
        <v>0</v>
      </c>
      <c r="M3806" s="285">
        <f t="shared" si="483"/>
        <v>0</v>
      </c>
      <c r="N3806" s="1076"/>
      <c r="O3806" s="294"/>
      <c r="P3806" s="404">
        <f>H3806*F3806*E3806</f>
        <v>17.37</v>
      </c>
      <c r="Q3806" s="404"/>
    </row>
    <row r="3807" spans="1:17" ht="14.4" thickTop="1" thickBot="1" x14ac:dyDescent="0.3">
      <c r="A3807" s="292"/>
      <c r="B3807" s="296" t="s">
        <v>755</v>
      </c>
      <c r="C3807" s="294"/>
      <c r="D3807" s="294"/>
      <c r="E3807" s="294">
        <v>1</v>
      </c>
      <c r="F3807" s="310">
        <v>3.5249999999999999</v>
      </c>
      <c r="G3807" s="310">
        <v>0.22500000000000001</v>
      </c>
      <c r="H3807" s="310">
        <v>3.6</v>
      </c>
      <c r="I3807" s="295">
        <f t="shared" si="484"/>
        <v>2.8552499999999998</v>
      </c>
      <c r="J3807" s="295"/>
      <c r="K3807" s="300">
        <f t="shared" si="477"/>
        <v>1.1000000000000001</v>
      </c>
      <c r="L3807" s="300">
        <f t="shared" si="482"/>
        <v>0</v>
      </c>
      <c r="M3807" s="285">
        <f t="shared" si="483"/>
        <v>0</v>
      </c>
      <c r="N3807" s="1076"/>
      <c r="O3807" s="294"/>
      <c r="P3807" s="404">
        <f t="shared" si="485"/>
        <v>12.69</v>
      </c>
      <c r="Q3807" s="404"/>
    </row>
    <row r="3808" spans="1:17" ht="14.4" thickTop="1" thickBot="1" x14ac:dyDescent="0.3">
      <c r="A3808" s="292"/>
      <c r="B3808" s="296" t="s">
        <v>756</v>
      </c>
      <c r="C3808" s="294"/>
      <c r="D3808" s="294"/>
      <c r="E3808" s="294">
        <v>1</v>
      </c>
      <c r="F3808" s="310">
        <v>1.3</v>
      </c>
      <c r="G3808" s="310">
        <v>0.22500000000000001</v>
      </c>
      <c r="H3808" s="310">
        <v>3.6</v>
      </c>
      <c r="I3808" s="295">
        <f t="shared" si="484"/>
        <v>1.0530000000000002</v>
      </c>
      <c r="J3808" s="295"/>
      <c r="K3808" s="300">
        <f t="shared" si="477"/>
        <v>1.1000000000000001</v>
      </c>
      <c r="L3808" s="300">
        <f t="shared" si="482"/>
        <v>0</v>
      </c>
      <c r="M3808" s="285">
        <f t="shared" si="483"/>
        <v>0</v>
      </c>
      <c r="N3808" s="1076"/>
      <c r="O3808" s="294"/>
      <c r="P3808" s="404">
        <f t="shared" si="485"/>
        <v>4.6800000000000006</v>
      </c>
      <c r="Q3808" s="404"/>
    </row>
    <row r="3809" spans="1:24" ht="14.4" thickTop="1" thickBot="1" x14ac:dyDescent="0.3">
      <c r="A3809" s="292"/>
      <c r="B3809" s="296" t="s">
        <v>757</v>
      </c>
      <c r="C3809" s="294"/>
      <c r="D3809" s="294"/>
      <c r="E3809" s="294">
        <v>1</v>
      </c>
      <c r="F3809" s="310">
        <v>6.3</v>
      </c>
      <c r="G3809" s="310">
        <v>0.22500000000000001</v>
      </c>
      <c r="H3809" s="310">
        <v>3.6</v>
      </c>
      <c r="I3809" s="295">
        <f t="shared" si="484"/>
        <v>5.1029999999999998</v>
      </c>
      <c r="J3809" s="295"/>
      <c r="K3809" s="300">
        <f t="shared" si="477"/>
        <v>1.1000000000000001</v>
      </c>
      <c r="L3809" s="300">
        <f t="shared" si="482"/>
        <v>0</v>
      </c>
      <c r="M3809" s="285">
        <f t="shared" si="483"/>
        <v>0</v>
      </c>
      <c r="N3809" s="1076"/>
      <c r="O3809" s="294"/>
      <c r="P3809" s="404">
        <f t="shared" si="485"/>
        <v>22.68</v>
      </c>
      <c r="Q3809" s="404"/>
    </row>
    <row r="3810" spans="1:24" ht="14.4" thickTop="1" thickBot="1" x14ac:dyDescent="0.3">
      <c r="A3810" s="292"/>
      <c r="B3810" s="296" t="s">
        <v>708</v>
      </c>
      <c r="C3810" s="294"/>
      <c r="D3810" s="294"/>
      <c r="E3810" s="294">
        <v>1</v>
      </c>
      <c r="F3810" s="310">
        <v>4.75</v>
      </c>
      <c r="G3810" s="310">
        <v>0.22500000000000001</v>
      </c>
      <c r="H3810" s="310">
        <v>3.6</v>
      </c>
      <c r="I3810" s="295">
        <f t="shared" si="484"/>
        <v>3.8475000000000006</v>
      </c>
      <c r="J3810" s="295"/>
      <c r="K3810" s="300">
        <f t="shared" si="477"/>
        <v>1.1000000000000001</v>
      </c>
      <c r="L3810" s="300">
        <f t="shared" si="482"/>
        <v>0</v>
      </c>
      <c r="M3810" s="285">
        <f t="shared" si="483"/>
        <v>0</v>
      </c>
      <c r="N3810" s="1076"/>
      <c r="O3810" s="294"/>
      <c r="P3810" s="404">
        <f t="shared" si="485"/>
        <v>17.100000000000001</v>
      </c>
      <c r="Q3810" s="404"/>
    </row>
    <row r="3811" spans="1:24" ht="14.4" thickTop="1" thickBot="1" x14ac:dyDescent="0.3">
      <c r="A3811" s="292"/>
      <c r="B3811" s="296" t="s">
        <v>758</v>
      </c>
      <c r="C3811" s="294"/>
      <c r="D3811" s="294"/>
      <c r="E3811" s="294">
        <v>1</v>
      </c>
      <c r="F3811" s="310">
        <v>4.5</v>
      </c>
      <c r="G3811" s="310">
        <v>0.22500000000000001</v>
      </c>
      <c r="H3811" s="310">
        <v>3.6</v>
      </c>
      <c r="I3811" s="295">
        <f t="shared" si="484"/>
        <v>3.645</v>
      </c>
      <c r="J3811" s="295"/>
      <c r="K3811" s="300">
        <f t="shared" si="477"/>
        <v>1.1000000000000001</v>
      </c>
      <c r="L3811" s="300">
        <f t="shared" si="482"/>
        <v>0</v>
      </c>
      <c r="M3811" s="285">
        <f t="shared" si="483"/>
        <v>0</v>
      </c>
      <c r="N3811" s="1076"/>
      <c r="O3811" s="294"/>
      <c r="P3811" s="404">
        <f t="shared" si="485"/>
        <v>16.2</v>
      </c>
      <c r="Q3811" s="404"/>
    </row>
    <row r="3812" spans="1:24" ht="14.4" thickTop="1" thickBot="1" x14ac:dyDescent="0.3">
      <c r="A3812" s="292"/>
      <c r="B3812" s="296" t="s">
        <v>822</v>
      </c>
      <c r="C3812" s="294"/>
      <c r="D3812" s="294"/>
      <c r="E3812" s="294">
        <v>4</v>
      </c>
      <c r="F3812" s="310">
        <v>2.4500000000000002</v>
      </c>
      <c r="G3812" s="310">
        <v>0.22500000000000001</v>
      </c>
      <c r="H3812" s="310">
        <v>3.6</v>
      </c>
      <c r="I3812" s="295">
        <f t="shared" si="484"/>
        <v>7.9380000000000006</v>
      </c>
      <c r="J3812" s="295"/>
      <c r="K3812" s="300">
        <f t="shared" si="477"/>
        <v>1.1000000000000001</v>
      </c>
      <c r="L3812" s="300"/>
      <c r="M3812" s="285"/>
      <c r="N3812" s="1076"/>
      <c r="O3812" s="294"/>
      <c r="P3812" s="404">
        <f t="shared" si="485"/>
        <v>35.28</v>
      </c>
      <c r="Q3812" s="404">
        <f>SUM(P3803:P3812)</f>
        <v>406.98</v>
      </c>
    </row>
    <row r="3813" spans="1:24" ht="14.4" thickTop="1" thickBot="1" x14ac:dyDescent="0.3">
      <c r="A3813" s="292"/>
      <c r="B3813" s="296"/>
      <c r="C3813" s="294"/>
      <c r="D3813" s="294"/>
      <c r="E3813" s="294"/>
      <c r="F3813" s="310"/>
      <c r="G3813" s="310"/>
      <c r="H3813" s="310"/>
      <c r="I3813" s="295"/>
      <c r="J3813" s="295"/>
      <c r="K3813" s="300"/>
      <c r="L3813" s="300"/>
      <c r="M3813" s="285"/>
      <c r="N3813" s="1076"/>
      <c r="O3813" s="294"/>
      <c r="P3813" s="404">
        <f t="shared" si="485"/>
        <v>0</v>
      </c>
      <c r="Q3813" s="404"/>
    </row>
    <row r="3814" spans="1:24" ht="14.4" thickTop="1" thickBot="1" x14ac:dyDescent="0.3">
      <c r="A3814" s="292"/>
      <c r="B3814" s="296" t="s">
        <v>761</v>
      </c>
      <c r="C3814" s="294"/>
      <c r="D3814" s="294"/>
      <c r="E3814" s="294"/>
      <c r="F3814" s="310"/>
      <c r="G3814" s="310"/>
      <c r="H3814" s="310"/>
      <c r="I3814" s="295"/>
      <c r="J3814" s="295"/>
      <c r="K3814" s="300">
        <f t="shared" si="477"/>
        <v>1.1000000000000001</v>
      </c>
      <c r="L3814" s="300">
        <f t="shared" si="482"/>
        <v>0</v>
      </c>
      <c r="M3814" s="285">
        <f t="shared" si="483"/>
        <v>0</v>
      </c>
      <c r="N3814" s="1076"/>
      <c r="O3814" s="294"/>
      <c r="P3814" s="404">
        <f t="shared" si="485"/>
        <v>0</v>
      </c>
      <c r="Q3814" s="404"/>
    </row>
    <row r="3815" spans="1:24" ht="14.4" thickTop="1" thickBot="1" x14ac:dyDescent="0.3">
      <c r="A3815" s="292"/>
      <c r="B3815" s="296" t="s">
        <v>1474</v>
      </c>
      <c r="C3815" s="294"/>
      <c r="D3815" s="294"/>
      <c r="E3815" s="294">
        <v>1</v>
      </c>
      <c r="F3815" s="310">
        <v>1</v>
      </c>
      <c r="G3815" s="310">
        <v>0.22500000000000001</v>
      </c>
      <c r="H3815" s="310">
        <v>2</v>
      </c>
      <c r="I3815" s="295">
        <f>-H3815*F3815*E3815*G3815</f>
        <v>-0.45</v>
      </c>
      <c r="J3815" s="295"/>
      <c r="K3815" s="300"/>
      <c r="L3815" s="300"/>
      <c r="M3815" s="285"/>
      <c r="N3815" s="1076"/>
      <c r="O3815" s="294"/>
      <c r="P3815" s="413">
        <f>-H3815*F3815*E3815</f>
        <v>-2</v>
      </c>
      <c r="Q3815" s="404"/>
    </row>
    <row r="3816" spans="1:24" ht="14.4" thickTop="1" thickBot="1" x14ac:dyDescent="0.3">
      <c r="A3816" s="292"/>
      <c r="B3816" s="296" t="s">
        <v>762</v>
      </c>
      <c r="C3816" s="294"/>
      <c r="D3816" s="294"/>
      <c r="E3816" s="294">
        <v>6</v>
      </c>
      <c r="F3816" s="310">
        <v>2.4</v>
      </c>
      <c r="G3816" s="310">
        <v>0.22500000000000001</v>
      </c>
      <c r="H3816" s="310">
        <v>2.1</v>
      </c>
      <c r="I3816" s="295">
        <f>-H3816*F3816*E3816*G3816</f>
        <v>-6.8040000000000003</v>
      </c>
      <c r="J3816" s="295"/>
      <c r="K3816" s="300">
        <f t="shared" si="477"/>
        <v>1.1000000000000001</v>
      </c>
      <c r="L3816" s="300">
        <f t="shared" si="482"/>
        <v>0</v>
      </c>
      <c r="M3816" s="285">
        <f t="shared" si="483"/>
        <v>0</v>
      </c>
      <c r="N3816" s="1076"/>
      <c r="O3816" s="294"/>
      <c r="P3816" s="413">
        <f t="shared" ref="P3816:P3824" si="486">-H3816*F3816*E3816</f>
        <v>-30.240000000000002</v>
      </c>
      <c r="Q3816" s="404"/>
    </row>
    <row r="3817" spans="1:24" ht="14.4" thickTop="1" thickBot="1" x14ac:dyDescent="0.3">
      <c r="A3817" s="292"/>
      <c r="B3817" s="296" t="s">
        <v>763</v>
      </c>
      <c r="C3817" s="294"/>
      <c r="D3817" s="294"/>
      <c r="E3817" s="294">
        <v>5</v>
      </c>
      <c r="F3817" s="310">
        <v>0.9</v>
      </c>
      <c r="G3817" s="310">
        <v>0.22500000000000001</v>
      </c>
      <c r="H3817" s="310">
        <v>2.7</v>
      </c>
      <c r="I3817" s="295">
        <f t="shared" ref="I3817:I3824" si="487">-H3817*F3817*E3817*G3817</f>
        <v>-2.7337500000000001</v>
      </c>
      <c r="J3817" s="295"/>
      <c r="K3817" s="300">
        <f t="shared" si="477"/>
        <v>1.1000000000000001</v>
      </c>
      <c r="L3817" s="300">
        <f t="shared" si="482"/>
        <v>0</v>
      </c>
      <c r="M3817" s="285">
        <f t="shared" si="483"/>
        <v>0</v>
      </c>
      <c r="N3817" s="1076"/>
      <c r="O3817" s="294"/>
      <c r="P3817" s="413">
        <f t="shared" si="486"/>
        <v>-12.15</v>
      </c>
      <c r="Q3817" s="404"/>
      <c r="T3817" s="301">
        <f>J3824*35.28</f>
        <v>2434.465529999999</v>
      </c>
    </row>
    <row r="3818" spans="1:24" ht="14.4" thickTop="1" thickBot="1" x14ac:dyDescent="0.3">
      <c r="A3818" s="292"/>
      <c r="B3818" s="296" t="s">
        <v>764</v>
      </c>
      <c r="C3818" s="294"/>
      <c r="D3818" s="294"/>
      <c r="E3818" s="294">
        <v>2</v>
      </c>
      <c r="F3818" s="310">
        <v>1.125</v>
      </c>
      <c r="G3818" s="310">
        <v>0.22500000000000001</v>
      </c>
      <c r="H3818" s="310">
        <v>3</v>
      </c>
      <c r="I3818" s="295">
        <f t="shared" si="487"/>
        <v>-1.51875</v>
      </c>
      <c r="J3818" s="295"/>
      <c r="K3818" s="300">
        <f t="shared" si="477"/>
        <v>1.1000000000000001</v>
      </c>
      <c r="L3818" s="300">
        <f t="shared" si="482"/>
        <v>0</v>
      </c>
      <c r="M3818" s="285">
        <f t="shared" si="483"/>
        <v>0</v>
      </c>
      <c r="N3818" s="1076"/>
      <c r="O3818" s="294"/>
      <c r="P3818" s="413">
        <f t="shared" si="486"/>
        <v>-6.75</v>
      </c>
      <c r="Q3818" s="404"/>
      <c r="T3818" s="301">
        <f>T3817/100</f>
        <v>24.344655299999989</v>
      </c>
    </row>
    <row r="3819" spans="1:24" ht="14.4" thickTop="1" thickBot="1" x14ac:dyDescent="0.3">
      <c r="A3819" s="292"/>
      <c r="B3819" s="296" t="s">
        <v>765</v>
      </c>
      <c r="C3819" s="294"/>
      <c r="D3819" s="294"/>
      <c r="E3819" s="294">
        <v>1</v>
      </c>
      <c r="F3819" s="310">
        <v>1.8</v>
      </c>
      <c r="G3819" s="310">
        <v>0.22500000000000001</v>
      </c>
      <c r="H3819" s="310">
        <v>2.7</v>
      </c>
      <c r="I3819" s="295">
        <f t="shared" si="487"/>
        <v>-1.0935000000000001</v>
      </c>
      <c r="J3819" s="295"/>
      <c r="K3819" s="300">
        <f t="shared" ref="K3819:K4064" si="488">$K$2</f>
        <v>1.1000000000000001</v>
      </c>
      <c r="L3819" s="300">
        <f t="shared" si="482"/>
        <v>0</v>
      </c>
      <c r="M3819" s="285">
        <f t="shared" si="483"/>
        <v>0</v>
      </c>
      <c r="N3819" s="1076"/>
      <c r="O3819" s="294"/>
      <c r="P3819" s="413">
        <f t="shared" si="486"/>
        <v>-4.8600000000000003</v>
      </c>
      <c r="Q3819" s="404"/>
    </row>
    <row r="3820" spans="1:24" ht="14.4" thickTop="1" thickBot="1" x14ac:dyDescent="0.3">
      <c r="A3820" s="292"/>
      <c r="B3820" s="296" t="s">
        <v>767</v>
      </c>
      <c r="C3820" s="294"/>
      <c r="D3820" s="294"/>
      <c r="E3820" s="294">
        <v>1</v>
      </c>
      <c r="F3820" s="310">
        <v>4.5</v>
      </c>
      <c r="G3820" s="310">
        <v>0.22500000000000001</v>
      </c>
      <c r="H3820" s="310">
        <v>3.3</v>
      </c>
      <c r="I3820" s="295">
        <f t="shared" si="487"/>
        <v>-3.3412500000000001</v>
      </c>
      <c r="J3820" s="295"/>
      <c r="K3820" s="300">
        <f t="shared" si="488"/>
        <v>1.1000000000000001</v>
      </c>
      <c r="L3820" s="300">
        <f t="shared" si="482"/>
        <v>0</v>
      </c>
      <c r="M3820" s="285">
        <f t="shared" si="483"/>
        <v>0</v>
      </c>
      <c r="N3820" s="1076"/>
      <c r="O3820" s="294"/>
      <c r="P3820" s="413">
        <f t="shared" si="486"/>
        <v>-14.85</v>
      </c>
      <c r="Q3820" s="404"/>
    </row>
    <row r="3821" spans="1:24" ht="14.4" thickTop="1" thickBot="1" x14ac:dyDescent="0.3">
      <c r="A3821" s="292"/>
      <c r="B3821" s="296" t="s">
        <v>766</v>
      </c>
      <c r="C3821" s="294"/>
      <c r="D3821" s="294"/>
      <c r="E3821" s="294">
        <v>3</v>
      </c>
      <c r="F3821" s="310">
        <v>2.4</v>
      </c>
      <c r="G3821" s="310">
        <v>0.22500000000000001</v>
      </c>
      <c r="H3821" s="310">
        <v>2.1</v>
      </c>
      <c r="I3821" s="295">
        <f t="shared" si="487"/>
        <v>-3.4020000000000001</v>
      </c>
      <c r="J3821" s="295"/>
      <c r="K3821" s="300">
        <f t="shared" si="488"/>
        <v>1.1000000000000001</v>
      </c>
      <c r="L3821" s="300">
        <f t="shared" si="482"/>
        <v>0</v>
      </c>
      <c r="M3821" s="285">
        <f t="shared" si="483"/>
        <v>0</v>
      </c>
      <c r="N3821" s="1076"/>
      <c r="O3821" s="294"/>
      <c r="P3821" s="413">
        <f t="shared" si="486"/>
        <v>-15.120000000000001</v>
      </c>
      <c r="Q3821" s="404"/>
    </row>
    <row r="3822" spans="1:24" ht="14.4" thickTop="1" thickBot="1" x14ac:dyDescent="0.3">
      <c r="A3822" s="292"/>
      <c r="B3822" s="296" t="s">
        <v>768</v>
      </c>
      <c r="C3822" s="294"/>
      <c r="D3822" s="294"/>
      <c r="E3822" s="294">
        <v>1</v>
      </c>
      <c r="F3822" s="310">
        <v>2.2749999999999999</v>
      </c>
      <c r="G3822" s="310">
        <v>0.22500000000000001</v>
      </c>
      <c r="H3822" s="310">
        <v>3</v>
      </c>
      <c r="I3822" s="295">
        <f t="shared" si="487"/>
        <v>-1.5356249999999998</v>
      </c>
      <c r="J3822" s="295"/>
      <c r="K3822" s="300">
        <f t="shared" si="488"/>
        <v>1.1000000000000001</v>
      </c>
      <c r="L3822" s="300">
        <f t="shared" si="482"/>
        <v>0</v>
      </c>
      <c r="M3822" s="285">
        <f t="shared" si="483"/>
        <v>0</v>
      </c>
      <c r="N3822" s="1076"/>
      <c r="O3822" s="294"/>
      <c r="P3822" s="413">
        <f t="shared" si="486"/>
        <v>-6.8249999999999993</v>
      </c>
      <c r="Q3822" s="404"/>
    </row>
    <row r="3823" spans="1:24" ht="14.4" thickTop="1" thickBot="1" x14ac:dyDescent="0.3">
      <c r="A3823" s="292"/>
      <c r="B3823" s="296" t="s">
        <v>769</v>
      </c>
      <c r="C3823" s="294"/>
      <c r="D3823" s="294"/>
      <c r="E3823" s="294">
        <v>2</v>
      </c>
      <c r="F3823" s="310">
        <v>2.2000000000000002</v>
      </c>
      <c r="G3823" s="310">
        <v>0.22500000000000001</v>
      </c>
      <c r="H3823" s="310">
        <v>0.6</v>
      </c>
      <c r="I3823" s="295">
        <f t="shared" si="487"/>
        <v>-0.59400000000000008</v>
      </c>
      <c r="J3823" s="295"/>
      <c r="K3823" s="300">
        <f t="shared" si="488"/>
        <v>1.1000000000000001</v>
      </c>
      <c r="L3823" s="300">
        <f t="shared" si="482"/>
        <v>0</v>
      </c>
      <c r="M3823" s="285">
        <f t="shared" si="483"/>
        <v>0</v>
      </c>
      <c r="N3823" s="1076"/>
      <c r="O3823" s="294"/>
      <c r="P3823" s="413">
        <f t="shared" si="486"/>
        <v>-2.64</v>
      </c>
      <c r="Q3823" s="404"/>
      <c r="U3823" s="301">
        <f>M3824*4500</f>
        <v>342000</v>
      </c>
    </row>
    <row r="3824" spans="1:24" ht="14.4" thickTop="1" thickBot="1" x14ac:dyDescent="0.3">
      <c r="A3824" s="292"/>
      <c r="B3824" s="296" t="s">
        <v>770</v>
      </c>
      <c r="C3824" s="294"/>
      <c r="D3824" s="294"/>
      <c r="E3824" s="294">
        <v>2</v>
      </c>
      <c r="F3824" s="310">
        <v>0.9</v>
      </c>
      <c r="G3824" s="310">
        <v>0.22500000000000001</v>
      </c>
      <c r="H3824" s="310">
        <v>2.7</v>
      </c>
      <c r="I3824" s="295">
        <f t="shared" si="487"/>
        <v>-1.0935000000000001</v>
      </c>
      <c r="J3824" s="295">
        <f>SUM(I3803:I3824)</f>
        <v>69.004124999999974</v>
      </c>
      <c r="K3824" s="300">
        <f t="shared" si="488"/>
        <v>1.1000000000000001</v>
      </c>
      <c r="L3824" s="300">
        <f t="shared" si="482"/>
        <v>75.904537499999975</v>
      </c>
      <c r="M3824" s="285">
        <f t="shared" si="483"/>
        <v>76</v>
      </c>
      <c r="N3824" s="1076"/>
      <c r="O3824" s="294" t="s">
        <v>696</v>
      </c>
      <c r="P3824" s="413">
        <f t="shared" si="486"/>
        <v>-4.8600000000000003</v>
      </c>
      <c r="Q3824" s="413">
        <f>SUM(P3815:P3824)</f>
        <v>-100.295</v>
      </c>
      <c r="R3824" s="301">
        <f>M3824*0.225</f>
        <v>17.100000000000001</v>
      </c>
      <c r="S3824" s="301">
        <f>R3824/2.83</f>
        <v>6.042402826855124</v>
      </c>
      <c r="T3824" s="287">
        <v>60789</v>
      </c>
      <c r="U3824" s="301">
        <f>T3824*S3824</f>
        <v>367311.62544169615</v>
      </c>
      <c r="V3824" s="287">
        <f>T3824/100</f>
        <v>607.89</v>
      </c>
      <c r="W3824" s="287">
        <f>V3824*35.288</f>
        <v>21451.222319999997</v>
      </c>
      <c r="X3824" s="301">
        <f>W3824*R3824</f>
        <v>366815.90167200001</v>
      </c>
    </row>
    <row r="3825" spans="1:24" ht="14.4" thickTop="1" thickBot="1" x14ac:dyDescent="0.3">
      <c r="A3825" s="292"/>
      <c r="B3825" s="296"/>
      <c r="C3825" s="294"/>
      <c r="D3825" s="294"/>
      <c r="E3825" s="294"/>
      <c r="F3825" s="310"/>
      <c r="G3825" s="310"/>
      <c r="H3825" s="310"/>
      <c r="I3825" s="295"/>
      <c r="J3825" s="295">
        <f>J3824/2.83</f>
        <v>24.383083038869248</v>
      </c>
      <c r="K3825" s="300">
        <v>1.05</v>
      </c>
      <c r="L3825" s="300">
        <f>K3825*J3825</f>
        <v>25.602237190812712</v>
      </c>
      <c r="M3825" s="285">
        <f t="shared" si="483"/>
        <v>26</v>
      </c>
      <c r="N3825" s="1076"/>
      <c r="O3825" s="294" t="s">
        <v>875</v>
      </c>
      <c r="P3825" s="404">
        <f>SUM(P3803:P3824)</f>
        <v>306.685</v>
      </c>
      <c r="Q3825" s="413">
        <f>Q3812+Q3824</f>
        <v>306.685</v>
      </c>
      <c r="R3825" s="301">
        <f>M3824/2.83</f>
        <v>26.85512367491166</v>
      </c>
      <c r="V3825" s="287">
        <f>V3824/300*225</f>
        <v>455.91750000000002</v>
      </c>
      <c r="W3825" s="287">
        <f>V3825*10.76</f>
        <v>4905.6723000000002</v>
      </c>
      <c r="X3825" s="301">
        <f>W3825*M3824</f>
        <v>372831.09480000002</v>
      </c>
    </row>
    <row r="3826" spans="1:24" ht="14.4" thickTop="1" thickBot="1" x14ac:dyDescent="0.3">
      <c r="A3826" s="292"/>
      <c r="B3826" s="296" t="s">
        <v>1575</v>
      </c>
      <c r="C3826" s="294"/>
      <c r="D3826" s="294"/>
      <c r="E3826" s="294"/>
      <c r="F3826" s="310"/>
      <c r="G3826" s="310"/>
      <c r="H3826" s="310"/>
      <c r="I3826" s="295"/>
      <c r="J3826" s="295"/>
      <c r="K3826" s="300">
        <v>1.05</v>
      </c>
      <c r="L3826" s="300">
        <f t="shared" ref="L3826:L3889" si="489">K3826*J3826</f>
        <v>0</v>
      </c>
      <c r="M3826" s="285">
        <f t="shared" si="483"/>
        <v>0</v>
      </c>
      <c r="N3826" s="1076"/>
      <c r="O3826" s="294"/>
      <c r="P3826" s="404"/>
      <c r="Q3826" s="413"/>
      <c r="R3826" s="301"/>
      <c r="X3826" s="301"/>
    </row>
    <row r="3827" spans="1:24" ht="14.4" thickTop="1" thickBot="1" x14ac:dyDescent="0.3">
      <c r="A3827" s="292"/>
      <c r="B3827" s="296" t="s">
        <v>762</v>
      </c>
      <c r="C3827" s="294"/>
      <c r="D3827" s="294"/>
      <c r="E3827" s="294">
        <v>6</v>
      </c>
      <c r="F3827" s="310">
        <v>2.4</v>
      </c>
      <c r="G3827" s="310"/>
      <c r="H3827" s="310"/>
      <c r="I3827" s="295">
        <f>F3827*E3827</f>
        <v>14.399999999999999</v>
      </c>
      <c r="J3827" s="295"/>
      <c r="K3827" s="300">
        <v>1.05</v>
      </c>
      <c r="L3827" s="300">
        <f t="shared" si="489"/>
        <v>0</v>
      </c>
      <c r="M3827" s="285">
        <f t="shared" si="483"/>
        <v>0</v>
      </c>
      <c r="N3827" s="1076"/>
      <c r="O3827" s="294"/>
      <c r="P3827" s="404"/>
      <c r="Q3827" s="413"/>
      <c r="R3827" s="301"/>
      <c r="X3827" s="301"/>
    </row>
    <row r="3828" spans="1:24" ht="14.4" thickTop="1" thickBot="1" x14ac:dyDescent="0.3">
      <c r="A3828" s="292"/>
      <c r="B3828" s="296" t="s">
        <v>766</v>
      </c>
      <c r="C3828" s="294"/>
      <c r="D3828" s="294"/>
      <c r="E3828" s="294">
        <v>3</v>
      </c>
      <c r="F3828" s="310">
        <v>2.4</v>
      </c>
      <c r="G3828" s="310"/>
      <c r="H3828" s="310"/>
      <c r="I3828" s="295">
        <f t="shared" ref="I3828:I3829" si="490">F3828*E3828</f>
        <v>7.1999999999999993</v>
      </c>
      <c r="J3828" s="295"/>
      <c r="K3828" s="300">
        <v>1.05</v>
      </c>
      <c r="L3828" s="300">
        <f t="shared" si="489"/>
        <v>0</v>
      </c>
      <c r="M3828" s="285">
        <f t="shared" si="483"/>
        <v>0</v>
      </c>
      <c r="N3828" s="1076"/>
      <c r="O3828" s="294"/>
      <c r="P3828" s="404"/>
      <c r="Q3828" s="413"/>
      <c r="R3828" s="301"/>
      <c r="X3828" s="301"/>
    </row>
    <row r="3829" spans="1:24" ht="14.4" thickTop="1" thickBot="1" x14ac:dyDescent="0.3">
      <c r="A3829" s="292"/>
      <c r="B3829" s="296" t="s">
        <v>769</v>
      </c>
      <c r="C3829" s="294"/>
      <c r="D3829" s="294"/>
      <c r="E3829" s="294">
        <v>2</v>
      </c>
      <c r="F3829" s="310">
        <v>2.2000000000000002</v>
      </c>
      <c r="G3829" s="310"/>
      <c r="H3829" s="310"/>
      <c r="I3829" s="295">
        <f t="shared" si="490"/>
        <v>4.4000000000000004</v>
      </c>
      <c r="J3829" s="295">
        <f>SUM(I3827:I3829)</f>
        <v>26</v>
      </c>
      <c r="K3829" s="300">
        <v>1.05</v>
      </c>
      <c r="L3829" s="300">
        <f t="shared" si="489"/>
        <v>27.3</v>
      </c>
      <c r="M3829" s="285">
        <f t="shared" si="483"/>
        <v>27</v>
      </c>
      <c r="N3829" s="1076"/>
      <c r="O3829" s="294"/>
      <c r="P3829" s="404"/>
      <c r="Q3829" s="413"/>
      <c r="R3829" s="301"/>
      <c r="X3829" s="301"/>
    </row>
    <row r="3830" spans="1:24" ht="14.4" thickTop="1" thickBot="1" x14ac:dyDescent="0.3">
      <c r="A3830" s="292"/>
      <c r="B3830" s="296"/>
      <c r="C3830" s="294"/>
      <c r="D3830" s="294"/>
      <c r="E3830" s="294"/>
      <c r="F3830" s="310"/>
      <c r="G3830" s="310"/>
      <c r="H3830" s="310"/>
      <c r="I3830" s="295"/>
      <c r="J3830" s="295">
        <f>J3829*3.28</f>
        <v>85.28</v>
      </c>
      <c r="K3830" s="300">
        <v>1.05</v>
      </c>
      <c r="L3830" s="300">
        <f t="shared" si="489"/>
        <v>89.544000000000011</v>
      </c>
      <c r="M3830" s="285">
        <f t="shared" si="483"/>
        <v>90</v>
      </c>
      <c r="N3830" s="1076"/>
      <c r="O3830" s="294"/>
      <c r="P3830" s="404"/>
      <c r="Q3830" s="413"/>
      <c r="R3830" s="301"/>
      <c r="X3830" s="301"/>
    </row>
    <row r="3831" spans="1:24" ht="14.4" thickTop="1" thickBot="1" x14ac:dyDescent="0.3">
      <c r="A3831" s="292"/>
      <c r="B3831" s="296"/>
      <c r="C3831" s="294"/>
      <c r="D3831" s="294"/>
      <c r="E3831" s="294"/>
      <c r="F3831" s="310"/>
      <c r="G3831" s="310"/>
      <c r="H3831" s="310"/>
      <c r="I3831" s="295"/>
      <c r="J3831" s="295"/>
      <c r="K3831" s="300"/>
      <c r="L3831" s="300"/>
      <c r="M3831" s="285"/>
      <c r="N3831" s="1076"/>
      <c r="O3831" s="294"/>
      <c r="P3831" s="404"/>
      <c r="Q3831" s="413"/>
      <c r="R3831" s="301"/>
      <c r="X3831" s="301"/>
    </row>
    <row r="3832" spans="1:24" ht="14.4" thickTop="1" thickBot="1" x14ac:dyDescent="0.3">
      <c r="A3832" s="292"/>
      <c r="B3832" s="296" t="s">
        <v>750</v>
      </c>
      <c r="C3832" s="294"/>
      <c r="D3832" s="294"/>
      <c r="E3832" s="294">
        <v>2</v>
      </c>
      <c r="F3832" s="310">
        <v>26.024999999999999</v>
      </c>
      <c r="G3832" s="310"/>
      <c r="H3832" s="310">
        <v>3.6</v>
      </c>
      <c r="I3832" s="295">
        <f>H3832*F3832*E3832</f>
        <v>187.38</v>
      </c>
      <c r="J3832" s="295"/>
      <c r="K3832" s="300">
        <f t="shared" ref="K3832:K3847" si="491">$K$2</f>
        <v>1.1000000000000001</v>
      </c>
      <c r="L3832" s="300">
        <f t="shared" ref="L3832:L3840" si="492">K3832*J3832</f>
        <v>0</v>
      </c>
      <c r="M3832" s="285">
        <f t="shared" ref="M3832:M3840" si="493">ROUND(L3832,0)</f>
        <v>0</v>
      </c>
      <c r="N3832" s="1076"/>
      <c r="O3832" s="294"/>
      <c r="P3832" s="404"/>
      <c r="Q3832" s="413"/>
      <c r="R3832" s="301"/>
      <c r="X3832" s="301"/>
    </row>
    <row r="3833" spans="1:24" ht="14.4" thickTop="1" thickBot="1" x14ac:dyDescent="0.3">
      <c r="A3833" s="292"/>
      <c r="B3833" s="296" t="s">
        <v>751</v>
      </c>
      <c r="C3833" s="294"/>
      <c r="D3833" s="294"/>
      <c r="E3833" s="294">
        <v>2</v>
      </c>
      <c r="F3833" s="310">
        <v>10.5</v>
      </c>
      <c r="G3833" s="310"/>
      <c r="H3833" s="310">
        <v>3.6</v>
      </c>
      <c r="I3833" s="295">
        <f t="shared" ref="I3833:I3841" si="494">H3833*F3833*E3833</f>
        <v>75.600000000000009</v>
      </c>
      <c r="J3833" s="295"/>
      <c r="K3833" s="300">
        <f t="shared" si="491"/>
        <v>1.1000000000000001</v>
      </c>
      <c r="L3833" s="300">
        <f t="shared" si="492"/>
        <v>0</v>
      </c>
      <c r="M3833" s="285">
        <f t="shared" si="493"/>
        <v>0</v>
      </c>
      <c r="N3833" s="1076"/>
      <c r="O3833" s="294"/>
      <c r="P3833" s="404"/>
      <c r="Q3833" s="413"/>
      <c r="R3833" s="301"/>
      <c r="X3833" s="301"/>
    </row>
    <row r="3834" spans="1:24" ht="14.4" thickTop="1" thickBot="1" x14ac:dyDescent="0.3">
      <c r="A3834" s="292"/>
      <c r="B3834" s="296" t="s">
        <v>753</v>
      </c>
      <c r="C3834" s="294"/>
      <c r="D3834" s="294"/>
      <c r="E3834" s="294">
        <v>1</v>
      </c>
      <c r="F3834" s="310">
        <v>5</v>
      </c>
      <c r="G3834" s="310"/>
      <c r="H3834" s="310">
        <v>3.6</v>
      </c>
      <c r="I3834" s="295">
        <f t="shared" si="494"/>
        <v>18</v>
      </c>
      <c r="J3834" s="295"/>
      <c r="K3834" s="300">
        <f t="shared" si="491"/>
        <v>1.1000000000000001</v>
      </c>
      <c r="L3834" s="300">
        <f t="shared" si="492"/>
        <v>0</v>
      </c>
      <c r="M3834" s="285">
        <f t="shared" si="493"/>
        <v>0</v>
      </c>
      <c r="N3834" s="1076"/>
      <c r="O3834" s="294"/>
      <c r="P3834" s="404"/>
      <c r="Q3834" s="413"/>
      <c r="R3834" s="301"/>
      <c r="X3834" s="301"/>
    </row>
    <row r="3835" spans="1:24" ht="14.4" thickTop="1" thickBot="1" x14ac:dyDescent="0.3">
      <c r="A3835" s="292"/>
      <c r="B3835" s="296" t="s">
        <v>754</v>
      </c>
      <c r="C3835" s="294"/>
      <c r="D3835" s="294"/>
      <c r="E3835" s="294">
        <v>1</v>
      </c>
      <c r="F3835" s="310">
        <v>4.8250000000000002</v>
      </c>
      <c r="G3835" s="310"/>
      <c r="H3835" s="310">
        <v>3.6</v>
      </c>
      <c r="I3835" s="295">
        <f t="shared" si="494"/>
        <v>17.37</v>
      </c>
      <c r="J3835" s="295"/>
      <c r="K3835" s="300">
        <f t="shared" si="491"/>
        <v>1.1000000000000001</v>
      </c>
      <c r="L3835" s="300">
        <f t="shared" si="492"/>
        <v>0</v>
      </c>
      <c r="M3835" s="285">
        <f t="shared" si="493"/>
        <v>0</v>
      </c>
      <c r="N3835" s="1076"/>
      <c r="O3835" s="294"/>
      <c r="P3835" s="404"/>
      <c r="Q3835" s="413"/>
      <c r="R3835" s="301"/>
      <c r="X3835" s="301"/>
    </row>
    <row r="3836" spans="1:24" ht="14.4" thickTop="1" thickBot="1" x14ac:dyDescent="0.3">
      <c r="A3836" s="292"/>
      <c r="B3836" s="296" t="s">
        <v>755</v>
      </c>
      <c r="C3836" s="294"/>
      <c r="D3836" s="294"/>
      <c r="E3836" s="294">
        <v>1</v>
      </c>
      <c r="F3836" s="310">
        <v>3.5249999999999999</v>
      </c>
      <c r="G3836" s="310"/>
      <c r="H3836" s="310">
        <v>3.6</v>
      </c>
      <c r="I3836" s="295">
        <f t="shared" si="494"/>
        <v>12.69</v>
      </c>
      <c r="J3836" s="295"/>
      <c r="K3836" s="300">
        <f t="shared" si="491"/>
        <v>1.1000000000000001</v>
      </c>
      <c r="L3836" s="300">
        <f t="shared" si="492"/>
        <v>0</v>
      </c>
      <c r="M3836" s="285">
        <f t="shared" si="493"/>
        <v>0</v>
      </c>
      <c r="N3836" s="1076"/>
      <c r="O3836" s="294"/>
      <c r="P3836" s="404"/>
      <c r="Q3836" s="413"/>
      <c r="R3836" s="301"/>
      <c r="X3836" s="301"/>
    </row>
    <row r="3837" spans="1:24" ht="14.4" thickTop="1" thickBot="1" x14ac:dyDescent="0.3">
      <c r="A3837" s="292"/>
      <c r="B3837" s="296" t="s">
        <v>756</v>
      </c>
      <c r="C3837" s="294"/>
      <c r="D3837" s="294"/>
      <c r="E3837" s="294">
        <v>1</v>
      </c>
      <c r="F3837" s="310">
        <v>1.3</v>
      </c>
      <c r="G3837" s="310"/>
      <c r="H3837" s="310">
        <v>3.6</v>
      </c>
      <c r="I3837" s="295">
        <f t="shared" si="494"/>
        <v>4.6800000000000006</v>
      </c>
      <c r="J3837" s="295"/>
      <c r="K3837" s="300">
        <f t="shared" si="491"/>
        <v>1.1000000000000001</v>
      </c>
      <c r="L3837" s="300">
        <f t="shared" si="492"/>
        <v>0</v>
      </c>
      <c r="M3837" s="285">
        <f t="shared" si="493"/>
        <v>0</v>
      </c>
      <c r="N3837" s="1076"/>
      <c r="O3837" s="294"/>
      <c r="P3837" s="404"/>
      <c r="Q3837" s="413"/>
      <c r="R3837" s="301"/>
      <c r="X3837" s="301"/>
    </row>
    <row r="3838" spans="1:24" ht="14.4" thickTop="1" thickBot="1" x14ac:dyDescent="0.3">
      <c r="A3838" s="292"/>
      <c r="B3838" s="296" t="s">
        <v>757</v>
      </c>
      <c r="C3838" s="294"/>
      <c r="D3838" s="294"/>
      <c r="E3838" s="294">
        <v>1</v>
      </c>
      <c r="F3838" s="310">
        <v>6.3</v>
      </c>
      <c r="G3838" s="310"/>
      <c r="H3838" s="310">
        <v>3.6</v>
      </c>
      <c r="I3838" s="295">
        <f t="shared" si="494"/>
        <v>22.68</v>
      </c>
      <c r="J3838" s="295"/>
      <c r="K3838" s="300">
        <f t="shared" si="491"/>
        <v>1.1000000000000001</v>
      </c>
      <c r="L3838" s="300">
        <f t="shared" si="492"/>
        <v>0</v>
      </c>
      <c r="M3838" s="285">
        <f t="shared" si="493"/>
        <v>0</v>
      </c>
      <c r="N3838" s="1076"/>
      <c r="O3838" s="294"/>
      <c r="P3838" s="404"/>
      <c r="Q3838" s="413"/>
      <c r="R3838" s="301"/>
      <c r="X3838" s="301"/>
    </row>
    <row r="3839" spans="1:24" ht="14.4" thickTop="1" thickBot="1" x14ac:dyDescent="0.3">
      <c r="A3839" s="292"/>
      <c r="B3839" s="296" t="s">
        <v>708</v>
      </c>
      <c r="C3839" s="294"/>
      <c r="D3839" s="294"/>
      <c r="E3839" s="294">
        <v>1</v>
      </c>
      <c r="F3839" s="310">
        <v>4.75</v>
      </c>
      <c r="G3839" s="310"/>
      <c r="H3839" s="310">
        <v>3.6</v>
      </c>
      <c r="I3839" s="295">
        <f t="shared" si="494"/>
        <v>17.100000000000001</v>
      </c>
      <c r="J3839" s="295"/>
      <c r="K3839" s="300">
        <f t="shared" si="491"/>
        <v>1.1000000000000001</v>
      </c>
      <c r="L3839" s="300">
        <f t="shared" si="492"/>
        <v>0</v>
      </c>
      <c r="M3839" s="285">
        <f t="shared" si="493"/>
        <v>0</v>
      </c>
      <c r="N3839" s="1076"/>
      <c r="O3839" s="294"/>
      <c r="P3839" s="404"/>
      <c r="Q3839" s="413"/>
      <c r="R3839" s="301"/>
      <c r="X3839" s="301"/>
    </row>
    <row r="3840" spans="1:24" ht="14.4" thickTop="1" thickBot="1" x14ac:dyDescent="0.3">
      <c r="A3840" s="292"/>
      <c r="B3840" s="296" t="s">
        <v>758</v>
      </c>
      <c r="C3840" s="294"/>
      <c r="D3840" s="294"/>
      <c r="E3840" s="294">
        <v>1</v>
      </c>
      <c r="F3840" s="310">
        <v>4.5</v>
      </c>
      <c r="G3840" s="310"/>
      <c r="H3840" s="310">
        <v>3.6</v>
      </c>
      <c r="I3840" s="295">
        <f t="shared" si="494"/>
        <v>16.2</v>
      </c>
      <c r="J3840" s="295"/>
      <c r="K3840" s="300">
        <f t="shared" si="491"/>
        <v>1.1000000000000001</v>
      </c>
      <c r="L3840" s="300">
        <f t="shared" si="492"/>
        <v>0</v>
      </c>
      <c r="M3840" s="285">
        <f t="shared" si="493"/>
        <v>0</v>
      </c>
      <c r="N3840" s="1076"/>
      <c r="O3840" s="294"/>
      <c r="P3840" s="404"/>
      <c r="Q3840" s="413"/>
      <c r="R3840" s="301"/>
      <c r="X3840" s="301"/>
    </row>
    <row r="3841" spans="1:24" ht="14.4" thickTop="1" thickBot="1" x14ac:dyDescent="0.3">
      <c r="A3841" s="292"/>
      <c r="B3841" s="296" t="s">
        <v>822</v>
      </c>
      <c r="C3841" s="294"/>
      <c r="D3841" s="294"/>
      <c r="E3841" s="294">
        <v>4</v>
      </c>
      <c r="F3841" s="310">
        <v>2.4500000000000002</v>
      </c>
      <c r="G3841" s="310"/>
      <c r="H3841" s="310">
        <v>3.6</v>
      </c>
      <c r="I3841" s="295">
        <f t="shared" si="494"/>
        <v>35.28</v>
      </c>
      <c r="J3841" s="295"/>
      <c r="K3841" s="300">
        <f t="shared" si="491"/>
        <v>1.1000000000000001</v>
      </c>
      <c r="L3841" s="300"/>
      <c r="M3841" s="285"/>
      <c r="N3841" s="1076"/>
      <c r="O3841" s="294"/>
      <c r="P3841" s="404"/>
      <c r="Q3841" s="413"/>
      <c r="R3841" s="301"/>
      <c r="X3841" s="301"/>
    </row>
    <row r="3842" spans="1:24" ht="14.4" thickTop="1" thickBot="1" x14ac:dyDescent="0.3">
      <c r="A3842" s="292"/>
      <c r="B3842" s="296"/>
      <c r="C3842" s="294"/>
      <c r="D3842" s="294"/>
      <c r="E3842" s="294"/>
      <c r="F3842" s="310"/>
      <c r="G3842" s="310"/>
      <c r="H3842" s="310"/>
      <c r="I3842" s="295"/>
      <c r="J3842" s="295"/>
      <c r="K3842" s="300"/>
      <c r="L3842" s="300"/>
      <c r="M3842" s="285"/>
      <c r="N3842" s="1076"/>
      <c r="O3842" s="294"/>
      <c r="P3842" s="404"/>
      <c r="Q3842" s="413"/>
      <c r="R3842" s="301"/>
      <c r="X3842" s="301"/>
    </row>
    <row r="3843" spans="1:24" ht="14.4" thickTop="1" thickBot="1" x14ac:dyDescent="0.3">
      <c r="A3843" s="292"/>
      <c r="B3843" s="296" t="s">
        <v>761</v>
      </c>
      <c r="C3843" s="294"/>
      <c r="D3843" s="294"/>
      <c r="E3843" s="294"/>
      <c r="F3843" s="310"/>
      <c r="G3843" s="310"/>
      <c r="H3843" s="310"/>
      <c r="I3843" s="295"/>
      <c r="J3843" s="295"/>
      <c r="K3843" s="300">
        <f t="shared" si="491"/>
        <v>1.1000000000000001</v>
      </c>
      <c r="L3843" s="300">
        <f t="shared" ref="L3843" si="495">K3843*J3843</f>
        <v>0</v>
      </c>
      <c r="M3843" s="285">
        <f t="shared" ref="M3843" si="496">ROUND(L3843,0)</f>
        <v>0</v>
      </c>
      <c r="N3843" s="1076"/>
      <c r="O3843" s="294"/>
      <c r="P3843" s="404"/>
      <c r="Q3843" s="413"/>
      <c r="R3843" s="301"/>
      <c r="X3843" s="301"/>
    </row>
    <row r="3844" spans="1:24" ht="14.4" thickTop="1" thickBot="1" x14ac:dyDescent="0.3">
      <c r="A3844" s="292"/>
      <c r="B3844" s="296" t="s">
        <v>1474</v>
      </c>
      <c r="C3844" s="294"/>
      <c r="D3844" s="294"/>
      <c r="E3844" s="294">
        <v>1</v>
      </c>
      <c r="F3844" s="310">
        <v>1</v>
      </c>
      <c r="G3844" s="310"/>
      <c r="H3844" s="310">
        <v>2</v>
      </c>
      <c r="I3844" s="295">
        <f>-H3844*F3844*E3844</f>
        <v>-2</v>
      </c>
      <c r="J3844" s="295"/>
      <c r="K3844" s="300"/>
      <c r="L3844" s="300"/>
      <c r="M3844" s="285"/>
      <c r="N3844" s="1076"/>
      <c r="O3844" s="294"/>
      <c r="P3844" s="404"/>
      <c r="Q3844" s="413"/>
      <c r="R3844" s="301"/>
      <c r="X3844" s="301"/>
    </row>
    <row r="3845" spans="1:24" ht="14.4" thickTop="1" thickBot="1" x14ac:dyDescent="0.3">
      <c r="A3845" s="292"/>
      <c r="B3845" s="296" t="s">
        <v>762</v>
      </c>
      <c r="C3845" s="294"/>
      <c r="D3845" s="294"/>
      <c r="E3845" s="294">
        <v>6</v>
      </c>
      <c r="F3845" s="310">
        <v>2.4</v>
      </c>
      <c r="G3845" s="310"/>
      <c r="H3845" s="310">
        <v>2.1</v>
      </c>
      <c r="I3845" s="295">
        <f t="shared" ref="I3845:I3853" si="497">-H3845*F3845*E3845</f>
        <v>-30.240000000000002</v>
      </c>
      <c r="J3845" s="295"/>
      <c r="K3845" s="300">
        <f t="shared" si="491"/>
        <v>1.1000000000000001</v>
      </c>
      <c r="L3845" s="300">
        <f t="shared" ref="L3845:L3853" si="498">K3845*J3845</f>
        <v>0</v>
      </c>
      <c r="M3845" s="285">
        <f t="shared" ref="M3845:M3854" si="499">ROUND(L3845,0)</f>
        <v>0</v>
      </c>
      <c r="N3845" s="1076"/>
      <c r="O3845" s="294"/>
      <c r="P3845" s="404"/>
      <c r="Q3845" s="413"/>
      <c r="R3845" s="301"/>
      <c r="X3845" s="301"/>
    </row>
    <row r="3846" spans="1:24" ht="14.4" thickTop="1" thickBot="1" x14ac:dyDescent="0.3">
      <c r="A3846" s="292"/>
      <c r="B3846" s="296" t="s">
        <v>763</v>
      </c>
      <c r="C3846" s="294"/>
      <c r="D3846" s="294"/>
      <c r="E3846" s="294">
        <v>5</v>
      </c>
      <c r="F3846" s="310">
        <v>0.9</v>
      </c>
      <c r="G3846" s="310"/>
      <c r="H3846" s="310">
        <v>2.7</v>
      </c>
      <c r="I3846" s="295">
        <f t="shared" si="497"/>
        <v>-12.15</v>
      </c>
      <c r="J3846" s="295"/>
      <c r="K3846" s="300">
        <f t="shared" si="491"/>
        <v>1.1000000000000001</v>
      </c>
      <c r="L3846" s="300">
        <f t="shared" si="498"/>
        <v>0</v>
      </c>
      <c r="M3846" s="285">
        <f t="shared" si="499"/>
        <v>0</v>
      </c>
      <c r="N3846" s="1076"/>
      <c r="O3846" s="294"/>
      <c r="P3846" s="404"/>
      <c r="Q3846" s="413"/>
      <c r="R3846" s="301"/>
      <c r="X3846" s="301"/>
    </row>
    <row r="3847" spans="1:24" ht="14.4" thickTop="1" thickBot="1" x14ac:dyDescent="0.3">
      <c r="A3847" s="292"/>
      <c r="B3847" s="296" t="s">
        <v>764</v>
      </c>
      <c r="C3847" s="294"/>
      <c r="D3847" s="294"/>
      <c r="E3847" s="294">
        <v>2</v>
      </c>
      <c r="F3847" s="310">
        <v>1.125</v>
      </c>
      <c r="G3847" s="310"/>
      <c r="H3847" s="310">
        <v>3</v>
      </c>
      <c r="I3847" s="295">
        <f t="shared" si="497"/>
        <v>-6.75</v>
      </c>
      <c r="J3847" s="295"/>
      <c r="K3847" s="300">
        <f t="shared" si="491"/>
        <v>1.1000000000000001</v>
      </c>
      <c r="L3847" s="300">
        <f t="shared" si="498"/>
        <v>0</v>
      </c>
      <c r="M3847" s="285">
        <f t="shared" si="499"/>
        <v>0</v>
      </c>
      <c r="N3847" s="1076"/>
      <c r="O3847" s="294"/>
      <c r="P3847" s="404"/>
      <c r="Q3847" s="413"/>
      <c r="R3847" s="301"/>
      <c r="X3847" s="301"/>
    </row>
    <row r="3848" spans="1:24" ht="14.4" thickTop="1" thickBot="1" x14ac:dyDescent="0.3">
      <c r="A3848" s="292"/>
      <c r="B3848" s="296" t="s">
        <v>765</v>
      </c>
      <c r="C3848" s="294"/>
      <c r="D3848" s="294"/>
      <c r="E3848" s="294">
        <v>1</v>
      </c>
      <c r="F3848" s="310">
        <v>1.8</v>
      </c>
      <c r="G3848" s="310"/>
      <c r="H3848" s="310">
        <v>2.7</v>
      </c>
      <c r="I3848" s="295">
        <f t="shared" si="497"/>
        <v>-4.8600000000000003</v>
      </c>
      <c r="J3848" s="295"/>
      <c r="K3848" s="300">
        <f t="shared" si="488"/>
        <v>1.1000000000000001</v>
      </c>
      <c r="L3848" s="300">
        <f t="shared" si="498"/>
        <v>0</v>
      </c>
      <c r="M3848" s="285">
        <f t="shared" si="499"/>
        <v>0</v>
      </c>
      <c r="N3848" s="1076"/>
      <c r="O3848" s="294"/>
      <c r="P3848" s="404"/>
      <c r="Q3848" s="413"/>
      <c r="R3848" s="301"/>
      <c r="X3848" s="301"/>
    </row>
    <row r="3849" spans="1:24" ht="14.4" thickTop="1" thickBot="1" x14ac:dyDescent="0.3">
      <c r="A3849" s="292"/>
      <c r="B3849" s="296" t="s">
        <v>767</v>
      </c>
      <c r="C3849" s="294"/>
      <c r="D3849" s="294"/>
      <c r="E3849" s="294">
        <v>1</v>
      </c>
      <c r="F3849" s="310">
        <v>4.5</v>
      </c>
      <c r="G3849" s="310"/>
      <c r="H3849" s="310">
        <v>3.3</v>
      </c>
      <c r="I3849" s="295">
        <f t="shared" si="497"/>
        <v>-14.85</v>
      </c>
      <c r="J3849" s="295"/>
      <c r="K3849" s="300">
        <f t="shared" si="488"/>
        <v>1.1000000000000001</v>
      </c>
      <c r="L3849" s="300">
        <f t="shared" si="498"/>
        <v>0</v>
      </c>
      <c r="M3849" s="285">
        <f t="shared" si="499"/>
        <v>0</v>
      </c>
      <c r="N3849" s="1076"/>
      <c r="O3849" s="294"/>
      <c r="P3849" s="404"/>
      <c r="Q3849" s="413"/>
      <c r="R3849" s="301"/>
      <c r="X3849" s="301"/>
    </row>
    <row r="3850" spans="1:24" ht="14.4" thickTop="1" thickBot="1" x14ac:dyDescent="0.3">
      <c r="A3850" s="292"/>
      <c r="B3850" s="296" t="s">
        <v>766</v>
      </c>
      <c r="C3850" s="294"/>
      <c r="D3850" s="294"/>
      <c r="E3850" s="294">
        <v>3</v>
      </c>
      <c r="F3850" s="310">
        <v>2.4</v>
      </c>
      <c r="G3850" s="310"/>
      <c r="H3850" s="310">
        <v>2.1</v>
      </c>
      <c r="I3850" s="295">
        <f t="shared" si="497"/>
        <v>-15.120000000000001</v>
      </c>
      <c r="J3850" s="295"/>
      <c r="K3850" s="300">
        <f t="shared" si="488"/>
        <v>1.1000000000000001</v>
      </c>
      <c r="L3850" s="300">
        <f t="shared" si="498"/>
        <v>0</v>
      </c>
      <c r="M3850" s="285">
        <f t="shared" si="499"/>
        <v>0</v>
      </c>
      <c r="N3850" s="1076"/>
      <c r="O3850" s="294"/>
      <c r="P3850" s="404">
        <f>3.28*3.28</f>
        <v>10.758399999999998</v>
      </c>
      <c r="Q3850" s="413">
        <f>100/P3850</f>
        <v>9.295062462819752</v>
      </c>
      <c r="R3850" s="301"/>
      <c r="X3850" s="301"/>
    </row>
    <row r="3851" spans="1:24" ht="14.4" thickTop="1" thickBot="1" x14ac:dyDescent="0.3">
      <c r="A3851" s="292"/>
      <c r="B3851" s="296" t="s">
        <v>768</v>
      </c>
      <c r="C3851" s="294"/>
      <c r="D3851" s="294"/>
      <c r="E3851" s="294">
        <v>1</v>
      </c>
      <c r="F3851" s="310">
        <v>2.2749999999999999</v>
      </c>
      <c r="G3851" s="310"/>
      <c r="H3851" s="310">
        <v>3</v>
      </c>
      <c r="I3851" s="295">
        <f t="shared" si="497"/>
        <v>-6.8249999999999993</v>
      </c>
      <c r="J3851" s="295"/>
      <c r="K3851" s="300">
        <f t="shared" si="488"/>
        <v>1.1000000000000001</v>
      </c>
      <c r="L3851" s="300">
        <f t="shared" si="498"/>
        <v>0</v>
      </c>
      <c r="M3851" s="285">
        <f t="shared" si="499"/>
        <v>0</v>
      </c>
      <c r="N3851" s="1076"/>
      <c r="O3851" s="294"/>
      <c r="P3851" s="404"/>
      <c r="Q3851" s="413"/>
      <c r="R3851" s="301"/>
      <c r="X3851" s="301"/>
    </row>
    <row r="3852" spans="1:24" ht="14.4" thickTop="1" thickBot="1" x14ac:dyDescent="0.3">
      <c r="A3852" s="292"/>
      <c r="B3852" s="296" t="s">
        <v>769</v>
      </c>
      <c r="C3852" s="294"/>
      <c r="D3852" s="294"/>
      <c r="E3852" s="294">
        <v>2</v>
      </c>
      <c r="F3852" s="310">
        <v>2.2000000000000002</v>
      </c>
      <c r="G3852" s="310"/>
      <c r="H3852" s="310">
        <v>0.6</v>
      </c>
      <c r="I3852" s="295">
        <f t="shared" si="497"/>
        <v>-2.64</v>
      </c>
      <c r="J3852" s="295"/>
      <c r="K3852" s="300">
        <f t="shared" si="488"/>
        <v>1.1000000000000001</v>
      </c>
      <c r="L3852" s="300">
        <f t="shared" si="498"/>
        <v>0</v>
      </c>
      <c r="M3852" s="285">
        <f t="shared" si="499"/>
        <v>0</v>
      </c>
      <c r="N3852" s="1076"/>
      <c r="O3852" s="294"/>
      <c r="P3852" s="404"/>
      <c r="Q3852" s="413"/>
      <c r="R3852" s="301"/>
      <c r="X3852" s="301"/>
    </row>
    <row r="3853" spans="1:24" ht="14.4" thickTop="1" thickBot="1" x14ac:dyDescent="0.3">
      <c r="A3853" s="292"/>
      <c r="B3853" s="296" t="s">
        <v>770</v>
      </c>
      <c r="C3853" s="294"/>
      <c r="D3853" s="294"/>
      <c r="E3853" s="294">
        <v>2</v>
      </c>
      <c r="F3853" s="310">
        <v>0.9</v>
      </c>
      <c r="G3853" s="310"/>
      <c r="H3853" s="310">
        <v>2.7</v>
      </c>
      <c r="I3853" s="295">
        <f t="shared" si="497"/>
        <v>-4.8600000000000003</v>
      </c>
      <c r="J3853" s="295">
        <f>SUM(I3832:I3853)</f>
        <v>306.685</v>
      </c>
      <c r="K3853" s="300">
        <f t="shared" si="488"/>
        <v>1.1000000000000001</v>
      </c>
      <c r="L3853" s="300">
        <f t="shared" si="498"/>
        <v>337.35350000000005</v>
      </c>
      <c r="M3853" s="285">
        <f t="shared" si="499"/>
        <v>337</v>
      </c>
      <c r="N3853" s="1076"/>
      <c r="O3853" s="294" t="s">
        <v>695</v>
      </c>
      <c r="P3853" s="404"/>
      <c r="Q3853" s="413"/>
      <c r="R3853" s="301"/>
      <c r="X3853" s="301"/>
    </row>
    <row r="3854" spans="1:24" ht="14.4" thickTop="1" thickBot="1" x14ac:dyDescent="0.3">
      <c r="A3854" s="292"/>
      <c r="B3854" s="296"/>
      <c r="C3854" s="294"/>
      <c r="D3854" s="294"/>
      <c r="E3854" s="294"/>
      <c r="F3854" s="310"/>
      <c r="G3854" s="310"/>
      <c r="H3854" s="310"/>
      <c r="I3854" s="295"/>
      <c r="J3854" s="295">
        <f>J3853/9.29</f>
        <v>33.012378902045214</v>
      </c>
      <c r="K3854" s="300">
        <v>1.05</v>
      </c>
      <c r="L3854" s="300">
        <f>K3854*J3854</f>
        <v>34.662997847147473</v>
      </c>
      <c r="M3854" s="285">
        <f t="shared" si="499"/>
        <v>35</v>
      </c>
      <c r="N3854" s="1076"/>
      <c r="O3854" s="294" t="s">
        <v>879</v>
      </c>
      <c r="P3854" s="413"/>
      <c r="Q3854" s="413"/>
      <c r="R3854" s="301"/>
      <c r="X3854" s="301"/>
    </row>
    <row r="3855" spans="1:24" ht="14.4" thickTop="1" thickBot="1" x14ac:dyDescent="0.3">
      <c r="A3855" s="292"/>
      <c r="B3855" s="296"/>
      <c r="C3855" s="294"/>
      <c r="D3855" s="294"/>
      <c r="E3855" s="294"/>
      <c r="F3855" s="310"/>
      <c r="G3855" s="310"/>
      <c r="H3855" s="310"/>
      <c r="I3855" s="295"/>
      <c r="J3855" s="295"/>
      <c r="K3855" s="300"/>
      <c r="L3855" s="300"/>
      <c r="M3855" s="285"/>
      <c r="N3855" s="1076"/>
      <c r="O3855" s="294"/>
      <c r="P3855" s="404"/>
      <c r="Q3855" s="413"/>
      <c r="R3855" s="301"/>
      <c r="X3855" s="301"/>
    </row>
    <row r="3856" spans="1:24" ht="14.4" thickTop="1" thickBot="1" x14ac:dyDescent="0.3">
      <c r="A3856" s="292"/>
      <c r="B3856" s="296"/>
      <c r="C3856" s="294"/>
      <c r="D3856" s="294"/>
      <c r="E3856" s="294"/>
      <c r="F3856" s="310"/>
      <c r="G3856" s="310"/>
      <c r="H3856" s="310"/>
      <c r="I3856" s="295"/>
      <c r="J3856" s="295"/>
      <c r="K3856" s="300"/>
      <c r="L3856" s="300"/>
      <c r="M3856" s="285"/>
      <c r="N3856" s="1076"/>
      <c r="O3856" s="294"/>
      <c r="P3856" s="404"/>
      <c r="Q3856" s="413"/>
      <c r="R3856" s="301"/>
      <c r="X3856" s="301"/>
    </row>
    <row r="3857" spans="1:24" ht="14.4" thickTop="1" thickBot="1" x14ac:dyDescent="0.3">
      <c r="A3857" s="292"/>
      <c r="B3857" s="296"/>
      <c r="C3857" s="294"/>
      <c r="D3857" s="294"/>
      <c r="E3857" s="294"/>
      <c r="F3857" s="310"/>
      <c r="G3857" s="310"/>
      <c r="H3857" s="310"/>
      <c r="I3857" s="295"/>
      <c r="J3857" s="295"/>
      <c r="K3857" s="300"/>
      <c r="L3857" s="300"/>
      <c r="M3857" s="285"/>
      <c r="N3857" s="1076"/>
      <c r="O3857" s="294"/>
      <c r="P3857" s="404"/>
      <c r="Q3857" s="413"/>
      <c r="R3857" s="301"/>
      <c r="X3857" s="301"/>
    </row>
    <row r="3858" spans="1:24" ht="14.4" thickTop="1" thickBot="1" x14ac:dyDescent="0.3">
      <c r="A3858" s="292"/>
      <c r="B3858" s="296"/>
      <c r="C3858" s="294"/>
      <c r="D3858" s="294"/>
      <c r="E3858" s="294"/>
      <c r="F3858" s="310"/>
      <c r="G3858" s="310"/>
      <c r="H3858" s="310"/>
      <c r="I3858" s="295"/>
      <c r="J3858" s="295"/>
      <c r="K3858" s="300"/>
      <c r="L3858" s="300"/>
      <c r="M3858" s="285"/>
      <c r="N3858" s="1076"/>
      <c r="O3858" s="294"/>
      <c r="P3858" s="404"/>
      <c r="Q3858" s="413"/>
      <c r="R3858" s="301"/>
      <c r="X3858" s="301"/>
    </row>
    <row r="3859" spans="1:24" ht="14.4" thickTop="1" thickBot="1" x14ac:dyDescent="0.3">
      <c r="A3859" s="292"/>
      <c r="B3859" s="296"/>
      <c r="C3859" s="294"/>
      <c r="D3859" s="294"/>
      <c r="E3859" s="294"/>
      <c r="F3859" s="310"/>
      <c r="G3859" s="310"/>
      <c r="H3859" s="310"/>
      <c r="I3859" s="295"/>
      <c r="J3859" s="295"/>
      <c r="K3859" s="300"/>
      <c r="L3859" s="300"/>
      <c r="M3859" s="285"/>
      <c r="N3859" s="1076"/>
      <c r="O3859" s="294"/>
      <c r="P3859" s="404"/>
      <c r="Q3859" s="413"/>
      <c r="R3859" s="301"/>
      <c r="X3859" s="301"/>
    </row>
    <row r="3860" spans="1:24" ht="14.4" thickTop="1" thickBot="1" x14ac:dyDescent="0.3">
      <c r="A3860" s="292"/>
      <c r="B3860" s="296"/>
      <c r="C3860" s="294"/>
      <c r="D3860" s="294"/>
      <c r="E3860" s="294"/>
      <c r="F3860" s="310"/>
      <c r="G3860" s="310"/>
      <c r="H3860" s="310"/>
      <c r="I3860" s="295"/>
      <c r="J3860" s="295"/>
      <c r="K3860" s="300"/>
      <c r="L3860" s="300"/>
      <c r="M3860" s="285"/>
      <c r="N3860" s="1076"/>
      <c r="O3860" s="294"/>
      <c r="P3860" s="404"/>
      <c r="Q3860" s="413"/>
      <c r="R3860" s="301"/>
      <c r="X3860" s="301"/>
    </row>
    <row r="3861" spans="1:24" ht="14.4" thickTop="1" thickBot="1" x14ac:dyDescent="0.3">
      <c r="A3861" s="292"/>
      <c r="B3861" s="296"/>
      <c r="C3861" s="294"/>
      <c r="D3861" s="294"/>
      <c r="E3861" s="294"/>
      <c r="F3861" s="310"/>
      <c r="G3861" s="310"/>
      <c r="H3861" s="310"/>
      <c r="I3861" s="295"/>
      <c r="J3861" s="295"/>
      <c r="K3861" s="300"/>
      <c r="L3861" s="300"/>
      <c r="M3861" s="285"/>
      <c r="N3861" s="1076"/>
      <c r="O3861" s="294"/>
      <c r="P3861" s="404"/>
      <c r="Q3861" s="413"/>
      <c r="R3861" s="301"/>
      <c r="X3861" s="301"/>
    </row>
    <row r="3862" spans="1:24" ht="14.4" thickTop="1" thickBot="1" x14ac:dyDescent="0.3">
      <c r="A3862" s="292"/>
      <c r="B3862" s="296"/>
      <c r="C3862" s="294"/>
      <c r="D3862" s="294"/>
      <c r="E3862" s="294"/>
      <c r="F3862" s="310"/>
      <c r="G3862" s="310"/>
      <c r="H3862" s="310"/>
      <c r="I3862" s="295"/>
      <c r="J3862" s="295"/>
      <c r="K3862" s="300"/>
      <c r="L3862" s="300"/>
      <c r="M3862" s="285"/>
      <c r="N3862" s="1076"/>
      <c r="O3862" s="294"/>
      <c r="P3862" s="404"/>
      <c r="Q3862" s="413"/>
      <c r="R3862" s="301"/>
      <c r="X3862" s="301"/>
    </row>
    <row r="3863" spans="1:24" ht="14.4" thickTop="1" thickBot="1" x14ac:dyDescent="0.3">
      <c r="A3863" s="292"/>
      <c r="B3863" s="296"/>
      <c r="C3863" s="294"/>
      <c r="D3863" s="294"/>
      <c r="E3863" s="294"/>
      <c r="F3863" s="310"/>
      <c r="G3863" s="310"/>
      <c r="H3863" s="310"/>
      <c r="I3863" s="295"/>
      <c r="J3863" s="295"/>
      <c r="K3863" s="300"/>
      <c r="L3863" s="300"/>
      <c r="M3863" s="285"/>
      <c r="N3863" s="1076"/>
      <c r="O3863" s="294"/>
      <c r="P3863" s="404"/>
      <c r="Q3863" s="413"/>
      <c r="R3863" s="301"/>
      <c r="X3863" s="301"/>
    </row>
    <row r="3864" spans="1:24" ht="14.4" thickTop="1" thickBot="1" x14ac:dyDescent="0.3">
      <c r="A3864" s="292"/>
      <c r="B3864" s="296"/>
      <c r="C3864" s="294"/>
      <c r="D3864" s="294"/>
      <c r="E3864" s="294"/>
      <c r="F3864" s="310"/>
      <c r="G3864" s="310"/>
      <c r="H3864" s="310"/>
      <c r="I3864" s="295"/>
      <c r="J3864" s="295"/>
      <c r="K3864" s="300"/>
      <c r="L3864" s="300"/>
      <c r="M3864" s="285"/>
      <c r="N3864" s="1076"/>
      <c r="O3864" s="294"/>
      <c r="P3864" s="404"/>
      <c r="Q3864" s="413"/>
      <c r="R3864" s="301"/>
      <c r="X3864" s="301"/>
    </row>
    <row r="3865" spans="1:24" ht="14.4" thickTop="1" thickBot="1" x14ac:dyDescent="0.3">
      <c r="A3865" s="292"/>
      <c r="B3865" s="296"/>
      <c r="C3865" s="294"/>
      <c r="D3865" s="294"/>
      <c r="E3865" s="294"/>
      <c r="F3865" s="310"/>
      <c r="G3865" s="310"/>
      <c r="H3865" s="310"/>
      <c r="I3865" s="295"/>
      <c r="J3865" s="295"/>
      <c r="K3865" s="300"/>
      <c r="L3865" s="300"/>
      <c r="M3865" s="285"/>
      <c r="N3865" s="1076"/>
      <c r="O3865" s="294"/>
      <c r="P3865" s="404"/>
      <c r="Q3865" s="413"/>
      <c r="R3865" s="301"/>
      <c r="X3865" s="301"/>
    </row>
    <row r="3866" spans="1:24" ht="14.4" thickTop="1" thickBot="1" x14ac:dyDescent="0.3">
      <c r="A3866" s="292"/>
      <c r="B3866" s="296"/>
      <c r="C3866" s="294"/>
      <c r="D3866" s="294"/>
      <c r="E3866" s="294"/>
      <c r="F3866" s="310"/>
      <c r="G3866" s="310"/>
      <c r="H3866" s="310"/>
      <c r="I3866" s="295"/>
      <c r="J3866" s="295"/>
      <c r="K3866" s="300"/>
      <c r="L3866" s="300"/>
      <c r="M3866" s="285"/>
      <c r="N3866" s="1076"/>
      <c r="O3866" s="294"/>
      <c r="P3866" s="404"/>
      <c r="Q3866" s="413"/>
      <c r="R3866" s="301"/>
      <c r="X3866" s="301"/>
    </row>
    <row r="3867" spans="1:24" ht="14.4" thickTop="1" thickBot="1" x14ac:dyDescent="0.3">
      <c r="A3867" s="292"/>
      <c r="B3867" s="296"/>
      <c r="C3867" s="294"/>
      <c r="D3867" s="294"/>
      <c r="E3867" s="294"/>
      <c r="F3867" s="310"/>
      <c r="G3867" s="310"/>
      <c r="H3867" s="310"/>
      <c r="I3867" s="295"/>
      <c r="J3867" s="295"/>
      <c r="K3867" s="300"/>
      <c r="L3867" s="300"/>
      <c r="M3867" s="285"/>
      <c r="N3867" s="1076"/>
      <c r="O3867" s="294"/>
      <c r="P3867" s="404"/>
      <c r="Q3867" s="413"/>
      <c r="R3867" s="301"/>
      <c r="X3867" s="301"/>
    </row>
    <row r="3868" spans="1:24" ht="14.4" thickTop="1" thickBot="1" x14ac:dyDescent="0.3">
      <c r="A3868" s="292"/>
      <c r="B3868" s="296"/>
      <c r="C3868" s="294"/>
      <c r="D3868" s="294"/>
      <c r="E3868" s="294"/>
      <c r="F3868" s="310"/>
      <c r="G3868" s="310"/>
      <c r="H3868" s="310"/>
      <c r="I3868" s="295"/>
      <c r="J3868" s="295"/>
      <c r="K3868" s="300"/>
      <c r="L3868" s="300"/>
      <c r="M3868" s="285"/>
      <c r="N3868" s="1076"/>
      <c r="O3868" s="294"/>
      <c r="P3868" s="404"/>
      <c r="Q3868" s="413"/>
      <c r="R3868" s="301"/>
      <c r="X3868" s="301"/>
    </row>
    <row r="3869" spans="1:24" ht="14.4" thickTop="1" thickBot="1" x14ac:dyDescent="0.3">
      <c r="A3869" s="292"/>
      <c r="B3869" s="296"/>
      <c r="C3869" s="294"/>
      <c r="D3869" s="294"/>
      <c r="E3869" s="294"/>
      <c r="F3869" s="310"/>
      <c r="G3869" s="310"/>
      <c r="H3869" s="310"/>
      <c r="I3869" s="295"/>
      <c r="J3869" s="295"/>
      <c r="K3869" s="300"/>
      <c r="L3869" s="300"/>
      <c r="M3869" s="285"/>
      <c r="N3869" s="1076"/>
      <c r="O3869" s="294"/>
      <c r="P3869" s="404"/>
      <c r="Q3869" s="413"/>
      <c r="R3869" s="301"/>
      <c r="X3869" s="301"/>
    </row>
    <row r="3870" spans="1:24" ht="14.4" thickTop="1" thickBot="1" x14ac:dyDescent="0.3">
      <c r="A3870" s="292"/>
      <c r="B3870" s="296"/>
      <c r="C3870" s="294"/>
      <c r="D3870" s="294"/>
      <c r="E3870" s="294"/>
      <c r="F3870" s="310"/>
      <c r="G3870" s="310"/>
      <c r="H3870" s="310"/>
      <c r="I3870" s="295"/>
      <c r="J3870" s="295"/>
      <c r="K3870" s="300"/>
      <c r="L3870" s="300"/>
      <c r="M3870" s="285"/>
      <c r="N3870" s="1076"/>
      <c r="O3870" s="294"/>
      <c r="P3870" s="404"/>
      <c r="Q3870" s="413"/>
      <c r="R3870" s="301"/>
      <c r="X3870" s="301"/>
    </row>
    <row r="3871" spans="1:24" ht="14.4" thickTop="1" thickBot="1" x14ac:dyDescent="0.3">
      <c r="A3871" s="292"/>
      <c r="B3871" s="296"/>
      <c r="C3871" s="294"/>
      <c r="D3871" s="294"/>
      <c r="E3871" s="294"/>
      <c r="F3871" s="310"/>
      <c r="G3871" s="310"/>
      <c r="H3871" s="310"/>
      <c r="I3871" s="295"/>
      <c r="J3871" s="295"/>
      <c r="K3871" s="300"/>
      <c r="L3871" s="300"/>
      <c r="M3871" s="285"/>
      <c r="N3871" s="1076"/>
      <c r="O3871" s="294"/>
      <c r="P3871" s="404"/>
      <c r="Q3871" s="413"/>
      <c r="R3871" s="301"/>
      <c r="X3871" s="301"/>
    </row>
    <row r="3872" spans="1:24" ht="14.4" thickTop="1" thickBot="1" x14ac:dyDescent="0.3">
      <c r="A3872" s="292"/>
      <c r="B3872" s="296"/>
      <c r="C3872" s="294"/>
      <c r="D3872" s="294"/>
      <c r="E3872" s="294"/>
      <c r="F3872" s="310"/>
      <c r="G3872" s="310"/>
      <c r="H3872" s="310"/>
      <c r="I3872" s="295"/>
      <c r="J3872" s="295"/>
      <c r="K3872" s="300"/>
      <c r="L3872" s="300"/>
      <c r="M3872" s="285"/>
      <c r="N3872" s="1076"/>
      <c r="O3872" s="294"/>
      <c r="P3872" s="404"/>
      <c r="Q3872" s="413"/>
      <c r="R3872" s="301"/>
      <c r="X3872" s="301"/>
    </row>
    <row r="3873" spans="1:24" ht="14.4" thickTop="1" thickBot="1" x14ac:dyDescent="0.3">
      <c r="A3873" s="292"/>
      <c r="B3873" s="296"/>
      <c r="C3873" s="294"/>
      <c r="D3873" s="294"/>
      <c r="E3873" s="294"/>
      <c r="F3873" s="310"/>
      <c r="G3873" s="310"/>
      <c r="H3873" s="310"/>
      <c r="I3873" s="295"/>
      <c r="J3873" s="295"/>
      <c r="K3873" s="300"/>
      <c r="L3873" s="300"/>
      <c r="M3873" s="285"/>
      <c r="N3873" s="1076"/>
      <c r="O3873" s="294"/>
      <c r="P3873" s="404"/>
      <c r="Q3873" s="413"/>
      <c r="R3873" s="301"/>
      <c r="X3873" s="301"/>
    </row>
    <row r="3874" spans="1:24" ht="14.4" thickTop="1" thickBot="1" x14ac:dyDescent="0.3">
      <c r="A3874" s="292"/>
      <c r="B3874" s="296"/>
      <c r="C3874" s="294"/>
      <c r="D3874" s="294"/>
      <c r="E3874" s="294"/>
      <c r="F3874" s="310"/>
      <c r="G3874" s="310"/>
      <c r="H3874" s="310"/>
      <c r="I3874" s="295"/>
      <c r="J3874" s="295"/>
      <c r="K3874" s="300">
        <v>1.05</v>
      </c>
      <c r="L3874" s="300">
        <f t="shared" si="489"/>
        <v>0</v>
      </c>
      <c r="M3874" s="285">
        <f t="shared" si="483"/>
        <v>0</v>
      </c>
      <c r="N3874" s="1076"/>
      <c r="O3874" s="294"/>
      <c r="P3874" s="404"/>
      <c r="Q3874" s="413"/>
      <c r="R3874" s="301"/>
      <c r="X3874" s="301"/>
    </row>
    <row r="3875" spans="1:24" ht="14.4" thickTop="1" thickBot="1" x14ac:dyDescent="0.3">
      <c r="A3875" s="292"/>
      <c r="B3875" s="296" t="s">
        <v>1483</v>
      </c>
      <c r="C3875" s="294"/>
      <c r="D3875" s="294"/>
      <c r="E3875" s="294"/>
      <c r="F3875" s="310"/>
      <c r="G3875" s="310"/>
      <c r="H3875" s="310"/>
      <c r="I3875" s="295"/>
      <c r="J3875" s="295"/>
      <c r="K3875" s="300">
        <v>1.05</v>
      </c>
      <c r="L3875" s="300">
        <f t="shared" si="489"/>
        <v>0</v>
      </c>
      <c r="M3875" s="285">
        <f t="shared" si="483"/>
        <v>0</v>
      </c>
      <c r="N3875" s="1076"/>
      <c r="O3875" s="294"/>
      <c r="P3875" s="404"/>
      <c r="Q3875" s="404"/>
      <c r="R3875" s="301"/>
      <c r="X3875" s="301"/>
    </row>
    <row r="3876" spans="1:24" ht="14.4" thickTop="1" thickBot="1" x14ac:dyDescent="0.3">
      <c r="A3876" s="292"/>
      <c r="B3876" s="296" t="s">
        <v>762</v>
      </c>
      <c r="C3876" s="294"/>
      <c r="D3876" s="294"/>
      <c r="E3876" s="294">
        <v>6</v>
      </c>
      <c r="F3876" s="310">
        <v>2.4</v>
      </c>
      <c r="G3876" s="310"/>
      <c r="H3876" s="310"/>
      <c r="I3876" s="295">
        <f>F3876*E3876</f>
        <v>14.399999999999999</v>
      </c>
      <c r="J3876" s="295"/>
      <c r="K3876" s="300">
        <v>1.05</v>
      </c>
      <c r="L3876" s="300">
        <f t="shared" si="489"/>
        <v>0</v>
      </c>
      <c r="M3876" s="285">
        <f t="shared" si="483"/>
        <v>0</v>
      </c>
      <c r="N3876" s="1076"/>
      <c r="O3876" s="294"/>
      <c r="P3876" s="404"/>
      <c r="Q3876" s="404"/>
      <c r="R3876" s="301"/>
      <c r="X3876" s="301"/>
    </row>
    <row r="3877" spans="1:24" ht="14.4" thickTop="1" thickBot="1" x14ac:dyDescent="0.3">
      <c r="A3877" s="292"/>
      <c r="B3877" s="296" t="s">
        <v>763</v>
      </c>
      <c r="C3877" s="294"/>
      <c r="D3877" s="294"/>
      <c r="E3877" s="294">
        <v>5</v>
      </c>
      <c r="F3877" s="310">
        <v>0.9</v>
      </c>
      <c r="G3877" s="310"/>
      <c r="H3877" s="310"/>
      <c r="I3877" s="295">
        <f t="shared" ref="I3877:I3885" si="500">F3877*E3877</f>
        <v>4.5</v>
      </c>
      <c r="J3877" s="295"/>
      <c r="K3877" s="300">
        <v>1.05</v>
      </c>
      <c r="L3877" s="300">
        <f t="shared" si="489"/>
        <v>0</v>
      </c>
      <c r="M3877" s="285">
        <f t="shared" si="483"/>
        <v>0</v>
      </c>
      <c r="N3877" s="1076"/>
      <c r="O3877" s="294"/>
      <c r="P3877" s="404"/>
      <c r="Q3877" s="404"/>
      <c r="R3877" s="301"/>
      <c r="X3877" s="301"/>
    </row>
    <row r="3878" spans="1:24" ht="14.4" thickTop="1" thickBot="1" x14ac:dyDescent="0.3">
      <c r="A3878" s="292"/>
      <c r="B3878" s="296" t="s">
        <v>764</v>
      </c>
      <c r="C3878" s="294"/>
      <c r="D3878" s="294"/>
      <c r="E3878" s="294">
        <v>2</v>
      </c>
      <c r="F3878" s="310">
        <v>1.125</v>
      </c>
      <c r="G3878" s="310"/>
      <c r="H3878" s="310"/>
      <c r="I3878" s="295">
        <f t="shared" si="500"/>
        <v>2.25</v>
      </c>
      <c r="J3878" s="295"/>
      <c r="K3878" s="300">
        <f t="shared" si="488"/>
        <v>1.1000000000000001</v>
      </c>
      <c r="L3878" s="300">
        <f t="shared" si="489"/>
        <v>0</v>
      </c>
      <c r="M3878" s="285">
        <f t="shared" si="483"/>
        <v>0</v>
      </c>
      <c r="N3878" s="1076"/>
      <c r="O3878" s="294"/>
      <c r="P3878" s="404"/>
      <c r="Q3878" s="404"/>
      <c r="R3878" s="301"/>
      <c r="X3878" s="301"/>
    </row>
    <row r="3879" spans="1:24" ht="14.4" thickTop="1" thickBot="1" x14ac:dyDescent="0.3">
      <c r="A3879" s="292"/>
      <c r="B3879" s="296" t="s">
        <v>765</v>
      </c>
      <c r="C3879" s="294"/>
      <c r="D3879" s="294"/>
      <c r="E3879" s="294">
        <v>1</v>
      </c>
      <c r="F3879" s="310">
        <v>1.8</v>
      </c>
      <c r="G3879" s="310"/>
      <c r="H3879" s="310"/>
      <c r="I3879" s="295">
        <f t="shared" si="500"/>
        <v>1.8</v>
      </c>
      <c r="J3879" s="295"/>
      <c r="K3879" s="300">
        <f t="shared" si="488"/>
        <v>1.1000000000000001</v>
      </c>
      <c r="L3879" s="300">
        <f t="shared" si="489"/>
        <v>0</v>
      </c>
      <c r="M3879" s="285">
        <f t="shared" si="483"/>
        <v>0</v>
      </c>
      <c r="N3879" s="1076"/>
      <c r="O3879" s="294"/>
      <c r="P3879" s="404"/>
      <c r="Q3879" s="404"/>
      <c r="R3879" s="301"/>
      <c r="X3879" s="301"/>
    </row>
    <row r="3880" spans="1:24" ht="14.4" thickTop="1" thickBot="1" x14ac:dyDescent="0.3">
      <c r="A3880" s="292"/>
      <c r="B3880" s="296" t="s">
        <v>767</v>
      </c>
      <c r="C3880" s="294"/>
      <c r="D3880" s="294"/>
      <c r="E3880" s="294">
        <v>1</v>
      </c>
      <c r="F3880" s="310">
        <v>4.5</v>
      </c>
      <c r="G3880" s="310"/>
      <c r="H3880" s="310"/>
      <c r="I3880" s="295">
        <f t="shared" si="500"/>
        <v>4.5</v>
      </c>
      <c r="J3880" s="295"/>
      <c r="K3880" s="300">
        <f t="shared" si="488"/>
        <v>1.1000000000000001</v>
      </c>
      <c r="L3880" s="300">
        <f t="shared" si="489"/>
        <v>0</v>
      </c>
      <c r="M3880" s="285">
        <f t="shared" si="483"/>
        <v>0</v>
      </c>
      <c r="N3880" s="1076"/>
      <c r="O3880" s="294"/>
      <c r="P3880" s="404"/>
      <c r="Q3880" s="404"/>
      <c r="R3880" s="301"/>
      <c r="X3880" s="301"/>
    </row>
    <row r="3881" spans="1:24" ht="14.4" thickTop="1" thickBot="1" x14ac:dyDescent="0.3">
      <c r="A3881" s="292"/>
      <c r="B3881" s="296" t="s">
        <v>766</v>
      </c>
      <c r="C3881" s="294"/>
      <c r="D3881" s="294"/>
      <c r="E3881" s="294">
        <v>3</v>
      </c>
      <c r="F3881" s="310">
        <v>2.4</v>
      </c>
      <c r="G3881" s="310"/>
      <c r="H3881" s="310"/>
      <c r="I3881" s="295">
        <f t="shared" si="500"/>
        <v>7.1999999999999993</v>
      </c>
      <c r="J3881" s="295"/>
      <c r="K3881" s="300">
        <f t="shared" si="488"/>
        <v>1.1000000000000001</v>
      </c>
      <c r="L3881" s="300">
        <f t="shared" si="489"/>
        <v>0</v>
      </c>
      <c r="M3881" s="285">
        <f t="shared" si="483"/>
        <v>0</v>
      </c>
      <c r="N3881" s="1076"/>
      <c r="O3881" s="294"/>
      <c r="P3881" s="404"/>
      <c r="Q3881" s="404"/>
      <c r="R3881" s="301"/>
      <c r="X3881" s="301"/>
    </row>
    <row r="3882" spans="1:24" ht="14.4" thickTop="1" thickBot="1" x14ac:dyDescent="0.3">
      <c r="A3882" s="292"/>
      <c r="B3882" s="296" t="s">
        <v>768</v>
      </c>
      <c r="C3882" s="294"/>
      <c r="D3882" s="294"/>
      <c r="E3882" s="294">
        <v>1</v>
      </c>
      <c r="F3882" s="310">
        <v>2.2749999999999999</v>
      </c>
      <c r="G3882" s="310"/>
      <c r="H3882" s="310"/>
      <c r="I3882" s="295">
        <f t="shared" si="500"/>
        <v>2.2749999999999999</v>
      </c>
      <c r="J3882" s="295"/>
      <c r="K3882" s="300">
        <f t="shared" si="488"/>
        <v>1.1000000000000001</v>
      </c>
      <c r="L3882" s="300">
        <f t="shared" si="489"/>
        <v>0</v>
      </c>
      <c r="M3882" s="285">
        <f t="shared" si="483"/>
        <v>0</v>
      </c>
      <c r="N3882" s="1076"/>
      <c r="O3882" s="294"/>
      <c r="P3882" s="404"/>
      <c r="Q3882" s="404"/>
      <c r="R3882" s="301"/>
      <c r="X3882" s="301"/>
    </row>
    <row r="3883" spans="1:24" ht="14.4" thickTop="1" thickBot="1" x14ac:dyDescent="0.3">
      <c r="A3883" s="292"/>
      <c r="B3883" s="296" t="s">
        <v>769</v>
      </c>
      <c r="C3883" s="294"/>
      <c r="D3883" s="294"/>
      <c r="E3883" s="294">
        <v>2</v>
      </c>
      <c r="F3883" s="310">
        <v>2.2000000000000002</v>
      </c>
      <c r="G3883" s="310"/>
      <c r="H3883" s="310"/>
      <c r="I3883" s="295">
        <f t="shared" si="500"/>
        <v>4.4000000000000004</v>
      </c>
      <c r="J3883" s="295"/>
      <c r="K3883" s="300">
        <f t="shared" si="488"/>
        <v>1.1000000000000001</v>
      </c>
      <c r="L3883" s="300">
        <f t="shared" si="489"/>
        <v>0</v>
      </c>
      <c r="M3883" s="285">
        <f t="shared" si="483"/>
        <v>0</v>
      </c>
      <c r="N3883" s="1076"/>
      <c r="O3883" s="294"/>
      <c r="P3883" s="404"/>
      <c r="Q3883" s="404"/>
      <c r="R3883" s="301"/>
      <c r="X3883" s="301"/>
    </row>
    <row r="3884" spans="1:24" ht="14.4" thickTop="1" thickBot="1" x14ac:dyDescent="0.3">
      <c r="A3884" s="292"/>
      <c r="B3884" s="296" t="s">
        <v>770</v>
      </c>
      <c r="C3884" s="294"/>
      <c r="D3884" s="294"/>
      <c r="E3884" s="294">
        <v>2</v>
      </c>
      <c r="F3884" s="310">
        <v>0.9</v>
      </c>
      <c r="G3884" s="310"/>
      <c r="H3884" s="310"/>
      <c r="I3884" s="295">
        <f t="shared" si="500"/>
        <v>1.8</v>
      </c>
      <c r="J3884" s="295"/>
      <c r="K3884" s="300">
        <f t="shared" si="488"/>
        <v>1.1000000000000001</v>
      </c>
      <c r="L3884" s="300">
        <f t="shared" si="489"/>
        <v>0</v>
      </c>
      <c r="M3884" s="285">
        <f t="shared" si="483"/>
        <v>0</v>
      </c>
      <c r="N3884" s="1076"/>
      <c r="O3884" s="294"/>
      <c r="P3884" s="404"/>
      <c r="Q3884" s="404"/>
      <c r="R3884" s="301"/>
      <c r="X3884" s="301"/>
    </row>
    <row r="3885" spans="1:24" ht="14.4" thickTop="1" thickBot="1" x14ac:dyDescent="0.3">
      <c r="A3885" s="292"/>
      <c r="B3885" s="296" t="s">
        <v>756</v>
      </c>
      <c r="C3885" s="294"/>
      <c r="D3885" s="294"/>
      <c r="E3885" s="294">
        <v>8</v>
      </c>
      <c r="F3885" s="310">
        <f>F3812</f>
        <v>2.4500000000000002</v>
      </c>
      <c r="G3885" s="310"/>
      <c r="H3885" s="310"/>
      <c r="I3885" s="295">
        <f t="shared" si="500"/>
        <v>19.600000000000001</v>
      </c>
      <c r="J3885" s="295">
        <f>SUM(I3876:I3885)</f>
        <v>62.724999999999994</v>
      </c>
      <c r="K3885" s="300">
        <f t="shared" si="488"/>
        <v>1.1000000000000001</v>
      </c>
      <c r="L3885" s="300">
        <f t="shared" si="489"/>
        <v>68.997500000000002</v>
      </c>
      <c r="M3885" s="285">
        <f t="shared" si="483"/>
        <v>69</v>
      </c>
      <c r="N3885" s="1076"/>
      <c r="O3885" s="294"/>
      <c r="P3885" s="404"/>
      <c r="Q3885" s="404"/>
      <c r="R3885" s="301"/>
      <c r="X3885" s="301"/>
    </row>
    <row r="3886" spans="1:24" ht="14.4" thickTop="1" thickBot="1" x14ac:dyDescent="0.3">
      <c r="A3886" s="292"/>
      <c r="B3886" s="296"/>
      <c r="C3886" s="294"/>
      <c r="D3886" s="294"/>
      <c r="E3886" s="294"/>
      <c r="F3886" s="310"/>
      <c r="G3886" s="310"/>
      <c r="H3886" s="310"/>
      <c r="I3886" s="295"/>
      <c r="J3886" s="295">
        <f>J3885*3.28</f>
        <v>205.73799999999997</v>
      </c>
      <c r="K3886" s="300">
        <v>1.05</v>
      </c>
      <c r="L3886" s="300">
        <f t="shared" si="489"/>
        <v>216.02489999999997</v>
      </c>
      <c r="M3886" s="285">
        <f t="shared" si="483"/>
        <v>216</v>
      </c>
      <c r="N3886" s="1076"/>
      <c r="O3886" s="294"/>
      <c r="P3886" s="404"/>
      <c r="Q3886" s="404"/>
      <c r="R3886" s="301"/>
      <c r="X3886" s="301"/>
    </row>
    <row r="3887" spans="1:24" ht="14.4" thickTop="1" thickBot="1" x14ac:dyDescent="0.3">
      <c r="A3887" s="292"/>
      <c r="B3887" s="296"/>
      <c r="C3887" s="294"/>
      <c r="D3887" s="294"/>
      <c r="E3887" s="294"/>
      <c r="F3887" s="310"/>
      <c r="G3887" s="310"/>
      <c r="H3887" s="310"/>
      <c r="I3887" s="295"/>
      <c r="J3887" s="295"/>
      <c r="K3887" s="300">
        <f t="shared" si="488"/>
        <v>1.1000000000000001</v>
      </c>
      <c r="L3887" s="300">
        <f t="shared" si="489"/>
        <v>0</v>
      </c>
      <c r="M3887" s="285">
        <f t="shared" si="483"/>
        <v>0</v>
      </c>
      <c r="N3887" s="1076"/>
      <c r="O3887" s="294"/>
      <c r="P3887" s="404"/>
      <c r="Q3887" s="404"/>
      <c r="R3887" s="301"/>
      <c r="X3887" s="301"/>
    </row>
    <row r="3888" spans="1:24" ht="14.4" thickTop="1" thickBot="1" x14ac:dyDescent="0.3">
      <c r="A3888" s="292"/>
      <c r="B3888" s="296" t="s">
        <v>796</v>
      </c>
      <c r="C3888" s="294"/>
      <c r="D3888" s="294"/>
      <c r="E3888" s="294"/>
      <c r="F3888" s="310"/>
      <c r="G3888" s="310"/>
      <c r="H3888" s="310"/>
      <c r="I3888" s="295"/>
      <c r="J3888" s="295"/>
      <c r="K3888" s="300">
        <f t="shared" si="488"/>
        <v>1.1000000000000001</v>
      </c>
      <c r="L3888" s="300">
        <f t="shared" si="489"/>
        <v>0</v>
      </c>
      <c r="M3888" s="285">
        <f t="shared" si="483"/>
        <v>0</v>
      </c>
      <c r="N3888" s="1076"/>
      <c r="O3888" s="294"/>
      <c r="P3888" s="404"/>
      <c r="Q3888" s="404"/>
      <c r="R3888" s="301"/>
      <c r="X3888" s="301"/>
    </row>
    <row r="3889" spans="1:24" ht="14.4" thickTop="1" thickBot="1" x14ac:dyDescent="0.3">
      <c r="A3889" s="292"/>
      <c r="B3889" s="296" t="s">
        <v>750</v>
      </c>
      <c r="C3889" s="294"/>
      <c r="D3889" s="294"/>
      <c r="E3889" s="294">
        <v>2</v>
      </c>
      <c r="F3889" s="310">
        <v>26.024999999999999</v>
      </c>
      <c r="G3889" s="310">
        <v>0.45</v>
      </c>
      <c r="H3889" s="310"/>
      <c r="I3889" s="295">
        <f>G3889*F3889*E3889</f>
        <v>23.422499999999999</v>
      </c>
      <c r="J3889" s="295"/>
      <c r="K3889" s="300">
        <f t="shared" si="488"/>
        <v>1.1000000000000001</v>
      </c>
      <c r="L3889" s="300">
        <f t="shared" si="489"/>
        <v>0</v>
      </c>
      <c r="M3889" s="285">
        <f t="shared" si="483"/>
        <v>0</v>
      </c>
      <c r="N3889" s="1076"/>
      <c r="O3889" s="294"/>
      <c r="P3889" s="404"/>
      <c r="Q3889" s="404"/>
      <c r="R3889" s="301"/>
      <c r="X3889" s="301"/>
    </row>
    <row r="3890" spans="1:24" ht="14.4" thickTop="1" thickBot="1" x14ac:dyDescent="0.3">
      <c r="A3890" s="292"/>
      <c r="B3890" s="296" t="s">
        <v>751</v>
      </c>
      <c r="C3890" s="294"/>
      <c r="D3890" s="294"/>
      <c r="E3890" s="294">
        <v>2</v>
      </c>
      <c r="F3890" s="310">
        <v>10.5</v>
      </c>
      <c r="G3890" s="310">
        <v>0.45</v>
      </c>
      <c r="H3890" s="310"/>
      <c r="I3890" s="295">
        <f t="shared" ref="I3890:I3906" si="501">G3890*F3890*E3890</f>
        <v>9.4500000000000011</v>
      </c>
      <c r="J3890" s="295"/>
      <c r="K3890" s="300">
        <f t="shared" si="488"/>
        <v>1.1000000000000001</v>
      </c>
      <c r="L3890" s="300">
        <f t="shared" ref="L3890:L3908" si="502">K3890*J3890</f>
        <v>0</v>
      </c>
      <c r="M3890" s="285">
        <f t="shared" si="483"/>
        <v>0</v>
      </c>
      <c r="N3890" s="1076"/>
      <c r="O3890" s="294"/>
      <c r="P3890" s="404"/>
      <c r="Q3890" s="404"/>
      <c r="R3890" s="301"/>
      <c r="X3890" s="301"/>
    </row>
    <row r="3891" spans="1:24" ht="14.4" thickTop="1" thickBot="1" x14ac:dyDescent="0.3">
      <c r="A3891" s="292"/>
      <c r="B3891" s="296" t="s">
        <v>753</v>
      </c>
      <c r="C3891" s="294"/>
      <c r="D3891" s="294"/>
      <c r="E3891" s="294">
        <v>1</v>
      </c>
      <c r="F3891" s="310">
        <v>5</v>
      </c>
      <c r="G3891" s="310">
        <v>0.45</v>
      </c>
      <c r="H3891" s="310"/>
      <c r="I3891" s="295">
        <f t="shared" si="501"/>
        <v>2.25</v>
      </c>
      <c r="J3891" s="295"/>
      <c r="K3891" s="300">
        <f t="shared" si="488"/>
        <v>1.1000000000000001</v>
      </c>
      <c r="L3891" s="300">
        <f t="shared" si="502"/>
        <v>0</v>
      </c>
      <c r="M3891" s="285">
        <f t="shared" si="483"/>
        <v>0</v>
      </c>
      <c r="N3891" s="1076"/>
      <c r="O3891" s="294"/>
      <c r="P3891" s="404"/>
      <c r="Q3891" s="404"/>
      <c r="R3891" s="301"/>
      <c r="X3891" s="301"/>
    </row>
    <row r="3892" spans="1:24" ht="14.4" thickTop="1" thickBot="1" x14ac:dyDescent="0.3">
      <c r="A3892" s="292"/>
      <c r="B3892" s="296" t="s">
        <v>754</v>
      </c>
      <c r="C3892" s="294"/>
      <c r="D3892" s="294"/>
      <c r="E3892" s="294">
        <v>1</v>
      </c>
      <c r="F3892" s="310">
        <v>4.8250000000000002</v>
      </c>
      <c r="G3892" s="310">
        <v>0.45</v>
      </c>
      <c r="H3892" s="310"/>
      <c r="I3892" s="295">
        <f t="shared" si="501"/>
        <v>2.1712500000000001</v>
      </c>
      <c r="J3892" s="295"/>
      <c r="K3892" s="300">
        <f t="shared" si="488"/>
        <v>1.1000000000000001</v>
      </c>
      <c r="L3892" s="300">
        <f t="shared" si="502"/>
        <v>0</v>
      </c>
      <c r="M3892" s="285">
        <f t="shared" si="483"/>
        <v>0</v>
      </c>
      <c r="N3892" s="1076"/>
      <c r="O3892" s="294"/>
      <c r="P3892" s="404"/>
      <c r="Q3892" s="404"/>
      <c r="R3892" s="301"/>
      <c r="X3892" s="301"/>
    </row>
    <row r="3893" spans="1:24" ht="14.4" thickTop="1" thickBot="1" x14ac:dyDescent="0.3">
      <c r="A3893" s="292"/>
      <c r="B3893" s="296" t="s">
        <v>755</v>
      </c>
      <c r="C3893" s="294"/>
      <c r="D3893" s="294"/>
      <c r="E3893" s="294">
        <v>1</v>
      </c>
      <c r="F3893" s="310">
        <v>3.5249999999999999</v>
      </c>
      <c r="G3893" s="310">
        <v>0.45</v>
      </c>
      <c r="H3893" s="310"/>
      <c r="I3893" s="295">
        <f t="shared" si="501"/>
        <v>1.5862499999999999</v>
      </c>
      <c r="J3893" s="295"/>
      <c r="K3893" s="300">
        <f t="shared" si="488"/>
        <v>1.1000000000000001</v>
      </c>
      <c r="L3893" s="300">
        <f t="shared" si="502"/>
        <v>0</v>
      </c>
      <c r="M3893" s="285">
        <f t="shared" si="483"/>
        <v>0</v>
      </c>
      <c r="N3893" s="1076"/>
      <c r="O3893" s="294"/>
      <c r="P3893" s="404"/>
      <c r="Q3893" s="404"/>
      <c r="R3893" s="301"/>
      <c r="X3893" s="301"/>
    </row>
    <row r="3894" spans="1:24" ht="14.4" thickTop="1" thickBot="1" x14ac:dyDescent="0.3">
      <c r="A3894" s="292"/>
      <c r="B3894" s="296" t="s">
        <v>756</v>
      </c>
      <c r="C3894" s="294"/>
      <c r="D3894" s="294"/>
      <c r="E3894" s="294">
        <v>1</v>
      </c>
      <c r="F3894" s="310">
        <v>1.3</v>
      </c>
      <c r="G3894" s="310">
        <v>0.45</v>
      </c>
      <c r="H3894" s="310"/>
      <c r="I3894" s="295">
        <f t="shared" si="501"/>
        <v>0.58500000000000008</v>
      </c>
      <c r="J3894" s="295"/>
      <c r="K3894" s="300">
        <f t="shared" si="488"/>
        <v>1.1000000000000001</v>
      </c>
      <c r="L3894" s="300">
        <f t="shared" si="502"/>
        <v>0</v>
      </c>
      <c r="M3894" s="285">
        <f t="shared" si="483"/>
        <v>0</v>
      </c>
      <c r="N3894" s="1076"/>
      <c r="O3894" s="294"/>
      <c r="P3894" s="404"/>
      <c r="Q3894" s="404"/>
      <c r="R3894" s="301"/>
      <c r="X3894" s="301"/>
    </row>
    <row r="3895" spans="1:24" ht="14.4" thickTop="1" thickBot="1" x14ac:dyDescent="0.3">
      <c r="A3895" s="292"/>
      <c r="B3895" s="296" t="s">
        <v>757</v>
      </c>
      <c r="C3895" s="294"/>
      <c r="D3895" s="294"/>
      <c r="E3895" s="294">
        <v>1</v>
      </c>
      <c r="F3895" s="310">
        <v>6.3</v>
      </c>
      <c r="G3895" s="310">
        <v>0.45</v>
      </c>
      <c r="H3895" s="310"/>
      <c r="I3895" s="295">
        <f t="shared" si="501"/>
        <v>2.835</v>
      </c>
      <c r="J3895" s="295"/>
      <c r="K3895" s="300">
        <f t="shared" si="488"/>
        <v>1.1000000000000001</v>
      </c>
      <c r="L3895" s="300">
        <f t="shared" si="502"/>
        <v>0</v>
      </c>
      <c r="M3895" s="285">
        <f t="shared" si="483"/>
        <v>0</v>
      </c>
      <c r="N3895" s="1076"/>
      <c r="O3895" s="294"/>
      <c r="P3895" s="404"/>
      <c r="Q3895" s="404"/>
      <c r="R3895" s="301"/>
      <c r="X3895" s="301"/>
    </row>
    <row r="3896" spans="1:24" ht="14.4" thickTop="1" thickBot="1" x14ac:dyDescent="0.3">
      <c r="A3896" s="292"/>
      <c r="B3896" s="296" t="s">
        <v>708</v>
      </c>
      <c r="C3896" s="294"/>
      <c r="D3896" s="294"/>
      <c r="E3896" s="294">
        <v>1</v>
      </c>
      <c r="F3896" s="310">
        <v>4.75</v>
      </c>
      <c r="G3896" s="310">
        <v>0.45</v>
      </c>
      <c r="H3896" s="310"/>
      <c r="I3896" s="295">
        <f t="shared" si="501"/>
        <v>2.1375000000000002</v>
      </c>
      <c r="J3896" s="295"/>
      <c r="K3896" s="300">
        <f t="shared" si="488"/>
        <v>1.1000000000000001</v>
      </c>
      <c r="L3896" s="300">
        <f t="shared" si="502"/>
        <v>0</v>
      </c>
      <c r="M3896" s="285">
        <f t="shared" si="483"/>
        <v>0</v>
      </c>
      <c r="N3896" s="1076"/>
      <c r="O3896" s="294"/>
      <c r="P3896" s="404"/>
      <c r="Q3896" s="404"/>
      <c r="R3896" s="301"/>
      <c r="X3896" s="301"/>
    </row>
    <row r="3897" spans="1:24" ht="14.4" thickTop="1" thickBot="1" x14ac:dyDescent="0.3">
      <c r="A3897" s="292"/>
      <c r="B3897" s="296" t="s">
        <v>758</v>
      </c>
      <c r="C3897" s="294"/>
      <c r="D3897" s="294"/>
      <c r="E3897" s="294">
        <v>1</v>
      </c>
      <c r="F3897" s="310">
        <v>4.5</v>
      </c>
      <c r="G3897" s="310">
        <v>0.45</v>
      </c>
      <c r="H3897" s="310"/>
      <c r="I3897" s="295">
        <f t="shared" si="501"/>
        <v>2.0249999999999999</v>
      </c>
      <c r="J3897" s="295"/>
      <c r="K3897" s="300">
        <f t="shared" si="488"/>
        <v>1.1000000000000001</v>
      </c>
      <c r="L3897" s="300">
        <f t="shared" si="502"/>
        <v>0</v>
      </c>
      <c r="M3897" s="285">
        <f t="shared" si="483"/>
        <v>0</v>
      </c>
      <c r="N3897" s="1076"/>
      <c r="O3897" s="294"/>
      <c r="P3897" s="404"/>
      <c r="Q3897" s="404"/>
      <c r="R3897" s="301"/>
      <c r="X3897" s="301"/>
    </row>
    <row r="3898" spans="1:24" ht="14.4" thickTop="1" thickBot="1" x14ac:dyDescent="0.3">
      <c r="A3898" s="292"/>
      <c r="B3898" s="296" t="s">
        <v>779</v>
      </c>
      <c r="C3898" s="294"/>
      <c r="D3898" s="294"/>
      <c r="E3898" s="294">
        <v>2</v>
      </c>
      <c r="F3898" s="310">
        <v>4.3</v>
      </c>
      <c r="G3898" s="310">
        <v>0.45</v>
      </c>
      <c r="H3898" s="310"/>
      <c r="I3898" s="295">
        <f t="shared" si="501"/>
        <v>3.87</v>
      </c>
      <c r="J3898" s="295"/>
      <c r="K3898" s="300">
        <f t="shared" si="488"/>
        <v>1.1000000000000001</v>
      </c>
      <c r="L3898" s="300">
        <f t="shared" si="502"/>
        <v>0</v>
      </c>
      <c r="M3898" s="285">
        <f t="shared" si="483"/>
        <v>0</v>
      </c>
      <c r="N3898" s="1076"/>
      <c r="O3898" s="294"/>
      <c r="P3898" s="404"/>
      <c r="Q3898" s="404"/>
      <c r="R3898" s="301"/>
      <c r="X3898" s="301"/>
    </row>
    <row r="3899" spans="1:24" ht="14.4" thickTop="1" thickBot="1" x14ac:dyDescent="0.3">
      <c r="A3899" s="292"/>
      <c r="B3899" s="296" t="s">
        <v>780</v>
      </c>
      <c r="C3899" s="294"/>
      <c r="D3899" s="294"/>
      <c r="E3899" s="294">
        <v>2</v>
      </c>
      <c r="F3899" s="310">
        <v>4.5250000000000004</v>
      </c>
      <c r="G3899" s="310">
        <v>0.45</v>
      </c>
      <c r="H3899" s="310"/>
      <c r="I3899" s="295">
        <f t="shared" si="501"/>
        <v>4.0725000000000007</v>
      </c>
      <c r="J3899" s="295"/>
      <c r="K3899" s="300">
        <f t="shared" si="488"/>
        <v>1.1000000000000001</v>
      </c>
      <c r="L3899" s="300">
        <f t="shared" si="502"/>
        <v>0</v>
      </c>
      <c r="M3899" s="285">
        <f t="shared" si="483"/>
        <v>0</v>
      </c>
      <c r="N3899" s="1076"/>
      <c r="O3899" s="294"/>
      <c r="P3899" s="404"/>
      <c r="Q3899" s="404"/>
      <c r="R3899" s="301"/>
      <c r="X3899" s="301"/>
    </row>
    <row r="3900" spans="1:24" ht="14.4" thickTop="1" thickBot="1" x14ac:dyDescent="0.3">
      <c r="A3900" s="292"/>
      <c r="B3900" s="296" t="s">
        <v>781</v>
      </c>
      <c r="C3900" s="294"/>
      <c r="D3900" s="294"/>
      <c r="E3900" s="294">
        <v>1</v>
      </c>
      <c r="F3900" s="310">
        <v>4.0620000000000003</v>
      </c>
      <c r="G3900" s="310">
        <v>0.45</v>
      </c>
      <c r="H3900" s="310"/>
      <c r="I3900" s="295">
        <f t="shared" si="501"/>
        <v>1.8279000000000001</v>
      </c>
      <c r="J3900" s="295"/>
      <c r="K3900" s="300">
        <f t="shared" si="488"/>
        <v>1.1000000000000001</v>
      </c>
      <c r="L3900" s="300">
        <f t="shared" si="502"/>
        <v>0</v>
      </c>
      <c r="M3900" s="285">
        <f t="shared" si="483"/>
        <v>0</v>
      </c>
      <c r="N3900" s="1076"/>
      <c r="O3900" s="294"/>
      <c r="P3900" s="404"/>
      <c r="Q3900" s="404"/>
      <c r="R3900" s="301"/>
      <c r="X3900" s="301"/>
    </row>
    <row r="3901" spans="1:24" ht="14.4" thickTop="1" thickBot="1" x14ac:dyDescent="0.3">
      <c r="A3901" s="292"/>
      <c r="B3901" s="296" t="s">
        <v>782</v>
      </c>
      <c r="C3901" s="294"/>
      <c r="D3901" s="294"/>
      <c r="E3901" s="294">
        <v>1</v>
      </c>
      <c r="F3901" s="310">
        <v>11.7</v>
      </c>
      <c r="G3901" s="310">
        <v>0.45</v>
      </c>
      <c r="H3901" s="310"/>
      <c r="I3901" s="295">
        <f t="shared" si="501"/>
        <v>5.2649999999999997</v>
      </c>
      <c r="J3901" s="295"/>
      <c r="K3901" s="300">
        <f t="shared" si="488"/>
        <v>1.1000000000000001</v>
      </c>
      <c r="L3901" s="300">
        <f t="shared" si="502"/>
        <v>0</v>
      </c>
      <c r="M3901" s="285">
        <f t="shared" si="483"/>
        <v>0</v>
      </c>
      <c r="N3901" s="1076"/>
      <c r="O3901" s="294"/>
      <c r="P3901" s="404"/>
      <c r="Q3901" s="404"/>
      <c r="R3901" s="301"/>
      <c r="X3901" s="301"/>
    </row>
    <row r="3902" spans="1:24" ht="14.4" thickTop="1" thickBot="1" x14ac:dyDescent="0.3">
      <c r="A3902" s="292"/>
      <c r="B3902" s="296" t="s">
        <v>702</v>
      </c>
      <c r="C3902" s="294"/>
      <c r="D3902" s="294"/>
      <c r="E3902" s="294">
        <v>1</v>
      </c>
      <c r="F3902" s="310">
        <v>6.3</v>
      </c>
      <c r="G3902" s="310">
        <v>0.45</v>
      </c>
      <c r="H3902" s="310"/>
      <c r="I3902" s="295">
        <f t="shared" si="501"/>
        <v>2.835</v>
      </c>
      <c r="J3902" s="295"/>
      <c r="K3902" s="300">
        <f t="shared" si="488"/>
        <v>1.1000000000000001</v>
      </c>
      <c r="L3902" s="300">
        <f t="shared" si="502"/>
        <v>0</v>
      </c>
      <c r="M3902" s="285">
        <f t="shared" si="483"/>
        <v>0</v>
      </c>
      <c r="N3902" s="1076"/>
      <c r="O3902" s="294"/>
      <c r="P3902" s="404"/>
      <c r="Q3902" s="404"/>
      <c r="R3902" s="301"/>
      <c r="X3902" s="301"/>
    </row>
    <row r="3903" spans="1:24" ht="14.4" thickTop="1" thickBot="1" x14ac:dyDescent="0.3">
      <c r="A3903" s="292"/>
      <c r="B3903" s="296" t="s">
        <v>708</v>
      </c>
      <c r="C3903" s="294"/>
      <c r="D3903" s="294"/>
      <c r="E3903" s="294">
        <v>1</v>
      </c>
      <c r="F3903" s="310">
        <v>2.4300000000000002</v>
      </c>
      <c r="G3903" s="310">
        <v>0.45</v>
      </c>
      <c r="H3903" s="310"/>
      <c r="I3903" s="295">
        <f t="shared" si="501"/>
        <v>1.0935000000000001</v>
      </c>
      <c r="J3903" s="295"/>
      <c r="K3903" s="300">
        <f t="shared" si="488"/>
        <v>1.1000000000000001</v>
      </c>
      <c r="L3903" s="300">
        <f t="shared" si="502"/>
        <v>0</v>
      </c>
      <c r="M3903" s="285">
        <f t="shared" si="483"/>
        <v>0</v>
      </c>
      <c r="N3903" s="1076"/>
      <c r="O3903" s="294"/>
      <c r="P3903" s="404"/>
      <c r="Q3903" s="404"/>
      <c r="R3903" s="301"/>
      <c r="X3903" s="301"/>
    </row>
    <row r="3904" spans="1:24" ht="14.4" thickTop="1" thickBot="1" x14ac:dyDescent="0.3">
      <c r="A3904" s="292"/>
      <c r="B3904" s="296"/>
      <c r="C3904" s="294"/>
      <c r="D3904" s="294"/>
      <c r="E3904" s="294">
        <v>1</v>
      </c>
      <c r="F3904" s="310">
        <v>3.5249999999999999</v>
      </c>
      <c r="G3904" s="310">
        <v>0.45</v>
      </c>
      <c r="H3904" s="310"/>
      <c r="I3904" s="295">
        <f t="shared" si="501"/>
        <v>1.5862499999999999</v>
      </c>
      <c r="J3904" s="295"/>
      <c r="K3904" s="300">
        <f t="shared" si="488"/>
        <v>1.1000000000000001</v>
      </c>
      <c r="L3904" s="300">
        <f t="shared" si="502"/>
        <v>0</v>
      </c>
      <c r="M3904" s="285">
        <f t="shared" si="483"/>
        <v>0</v>
      </c>
      <c r="N3904" s="1076"/>
      <c r="O3904" s="294"/>
      <c r="P3904" s="404"/>
      <c r="Q3904" s="404"/>
      <c r="R3904" s="301"/>
      <c r="X3904" s="301"/>
    </row>
    <row r="3905" spans="1:24" ht="14.4" thickTop="1" thickBot="1" x14ac:dyDescent="0.3">
      <c r="A3905" s="292"/>
      <c r="B3905" s="296"/>
      <c r="C3905" s="294"/>
      <c r="D3905" s="294"/>
      <c r="E3905" s="294">
        <v>3</v>
      </c>
      <c r="F3905" s="310">
        <v>1.3</v>
      </c>
      <c r="G3905" s="310">
        <v>0.45</v>
      </c>
      <c r="H3905" s="310"/>
      <c r="I3905" s="295">
        <f t="shared" si="501"/>
        <v>1.7550000000000003</v>
      </c>
      <c r="J3905" s="295"/>
      <c r="K3905" s="300">
        <f t="shared" si="488"/>
        <v>1.1000000000000001</v>
      </c>
      <c r="L3905" s="300">
        <f t="shared" si="502"/>
        <v>0</v>
      </c>
      <c r="M3905" s="285">
        <f t="shared" si="483"/>
        <v>0</v>
      </c>
      <c r="N3905" s="1076"/>
      <c r="O3905" s="294"/>
      <c r="P3905" s="404"/>
      <c r="Q3905" s="404"/>
      <c r="R3905" s="301"/>
      <c r="X3905" s="301"/>
    </row>
    <row r="3906" spans="1:24" ht="14.4" thickTop="1" thickBot="1" x14ac:dyDescent="0.3">
      <c r="A3906" s="292"/>
      <c r="B3906" s="296"/>
      <c r="C3906" s="294"/>
      <c r="D3906" s="294"/>
      <c r="E3906" s="294">
        <v>2</v>
      </c>
      <c r="F3906" s="310">
        <v>1</v>
      </c>
      <c r="G3906" s="310">
        <v>0.45</v>
      </c>
      <c r="H3906" s="310"/>
      <c r="I3906" s="295">
        <f t="shared" si="501"/>
        <v>0.9</v>
      </c>
      <c r="J3906" s="295">
        <f>SUM(I3889:I3906)</f>
        <v>69.667650000000009</v>
      </c>
      <c r="K3906" s="300">
        <f t="shared" si="488"/>
        <v>1.1000000000000001</v>
      </c>
      <c r="L3906" s="300">
        <f t="shared" si="502"/>
        <v>76.634415000000018</v>
      </c>
      <c r="M3906" s="285">
        <f t="shared" si="483"/>
        <v>77</v>
      </c>
      <c r="N3906" s="1076"/>
      <c r="O3906" s="294"/>
      <c r="P3906" s="404"/>
      <c r="Q3906" s="404"/>
      <c r="R3906" s="301"/>
      <c r="X3906" s="301"/>
    </row>
    <row r="3907" spans="1:24" ht="14.4" thickTop="1" thickBot="1" x14ac:dyDescent="0.3">
      <c r="A3907" s="292"/>
      <c r="B3907" s="296"/>
      <c r="C3907" s="294"/>
      <c r="D3907" s="294"/>
      <c r="E3907" s="294"/>
      <c r="F3907" s="310"/>
      <c r="G3907" s="310"/>
      <c r="H3907" s="310"/>
      <c r="I3907" s="295"/>
      <c r="J3907" s="295">
        <f>J3906/9.29</f>
        <v>7.4992088266953729</v>
      </c>
      <c r="K3907" s="300">
        <v>1.05</v>
      </c>
      <c r="L3907" s="300">
        <f t="shared" si="502"/>
        <v>7.8741692680301423</v>
      </c>
      <c r="M3907" s="285">
        <f t="shared" si="483"/>
        <v>8</v>
      </c>
      <c r="N3907" s="1076"/>
      <c r="O3907" s="294"/>
      <c r="P3907" s="404"/>
      <c r="Q3907" s="404"/>
    </row>
    <row r="3908" spans="1:24" ht="14.4" thickTop="1" thickBot="1" x14ac:dyDescent="0.3">
      <c r="A3908" s="292"/>
      <c r="B3908" s="296"/>
      <c r="C3908" s="294"/>
      <c r="D3908" s="294"/>
      <c r="E3908" s="294"/>
      <c r="F3908" s="310"/>
      <c r="G3908" s="310"/>
      <c r="H3908" s="310"/>
      <c r="I3908" s="295"/>
      <c r="J3908" s="295"/>
      <c r="K3908" s="300">
        <f t="shared" si="488"/>
        <v>1.1000000000000001</v>
      </c>
      <c r="L3908" s="300">
        <f t="shared" si="502"/>
        <v>0</v>
      </c>
      <c r="M3908" s="285">
        <f t="shared" si="483"/>
        <v>0</v>
      </c>
      <c r="N3908" s="1076"/>
      <c r="O3908" s="294"/>
      <c r="P3908" s="404"/>
      <c r="Q3908" s="404"/>
    </row>
    <row r="3909" spans="1:24" ht="14.4" thickTop="1" thickBot="1" x14ac:dyDescent="0.3">
      <c r="A3909" s="292"/>
      <c r="B3909" s="296"/>
      <c r="C3909" s="294"/>
      <c r="D3909" s="294"/>
      <c r="E3909" s="294"/>
      <c r="F3909" s="310"/>
      <c r="G3909" s="310"/>
      <c r="H3909" s="310"/>
      <c r="I3909" s="295"/>
      <c r="J3909" s="295"/>
      <c r="K3909" s="300">
        <f t="shared" si="488"/>
        <v>1.1000000000000001</v>
      </c>
      <c r="L3909" s="300">
        <f t="shared" si="482"/>
        <v>0</v>
      </c>
      <c r="M3909" s="285">
        <f t="shared" si="483"/>
        <v>0</v>
      </c>
      <c r="N3909" s="1076"/>
      <c r="O3909" s="294"/>
      <c r="P3909" s="404"/>
      <c r="Q3909" s="404"/>
    </row>
    <row r="3910" spans="1:24" ht="14.4" thickTop="1" thickBot="1" x14ac:dyDescent="0.3">
      <c r="A3910" s="292"/>
      <c r="B3910" s="296"/>
      <c r="C3910" s="294"/>
      <c r="D3910" s="294"/>
      <c r="E3910" s="294"/>
      <c r="F3910" s="310"/>
      <c r="G3910" s="310"/>
      <c r="H3910" s="310"/>
      <c r="I3910" s="295"/>
      <c r="J3910" s="295"/>
      <c r="K3910" s="300">
        <f t="shared" si="488"/>
        <v>1.1000000000000001</v>
      </c>
      <c r="L3910" s="300">
        <f t="shared" si="482"/>
        <v>0</v>
      </c>
      <c r="M3910" s="285">
        <f t="shared" si="483"/>
        <v>0</v>
      </c>
      <c r="N3910" s="1076"/>
      <c r="O3910" s="294"/>
      <c r="P3910" s="404"/>
      <c r="Q3910" s="404"/>
      <c r="X3910" s="301">
        <f>X3825-X3824</f>
        <v>6015.1931280000135</v>
      </c>
    </row>
    <row r="3911" spans="1:24" ht="14.4" thickTop="1" thickBot="1" x14ac:dyDescent="0.3">
      <c r="A3911" s="292"/>
      <c r="B3911" s="296" t="s">
        <v>759</v>
      </c>
      <c r="C3911" s="294"/>
      <c r="D3911" s="294"/>
      <c r="E3911" s="294"/>
      <c r="F3911" s="310"/>
      <c r="G3911" s="310"/>
      <c r="H3911" s="310"/>
      <c r="I3911" s="295"/>
      <c r="J3911" s="295"/>
      <c r="K3911" s="300">
        <f t="shared" si="488"/>
        <v>1.1000000000000001</v>
      </c>
      <c r="L3911" s="300">
        <f t="shared" si="482"/>
        <v>0</v>
      </c>
      <c r="M3911" s="285">
        <f t="shared" si="483"/>
        <v>0</v>
      </c>
      <c r="N3911" s="1076"/>
      <c r="O3911" s="294"/>
      <c r="P3911" s="404"/>
      <c r="Q3911" s="404"/>
      <c r="X3911" s="287">
        <f>X3910/M3824</f>
        <v>79.147278000000185</v>
      </c>
    </row>
    <row r="3912" spans="1:24" ht="14.4" thickTop="1" thickBot="1" x14ac:dyDescent="0.3">
      <c r="A3912" s="292"/>
      <c r="B3912" s="296" t="s">
        <v>750</v>
      </c>
      <c r="C3912" s="294"/>
      <c r="D3912" s="294"/>
      <c r="E3912" s="294">
        <v>2</v>
      </c>
      <c r="F3912" s="310">
        <v>26.024999999999999</v>
      </c>
      <c r="G3912" s="310">
        <v>0.22500000000000001</v>
      </c>
      <c r="H3912" s="310">
        <v>3.6</v>
      </c>
      <c r="I3912" s="295">
        <f>H3912*F3912*E3912*G3912</f>
        <v>42.160499999999999</v>
      </c>
      <c r="J3912" s="295"/>
      <c r="K3912" s="300">
        <f t="shared" si="488"/>
        <v>1.1000000000000001</v>
      </c>
      <c r="L3912" s="300">
        <f t="shared" si="482"/>
        <v>0</v>
      </c>
      <c r="M3912" s="285">
        <f t="shared" si="483"/>
        <v>0</v>
      </c>
      <c r="N3912" s="1076"/>
      <c r="O3912" s="294"/>
      <c r="P3912" s="404"/>
      <c r="Q3912" s="404"/>
    </row>
    <row r="3913" spans="1:24" ht="14.4" thickTop="1" thickBot="1" x14ac:dyDescent="0.3">
      <c r="A3913" s="292"/>
      <c r="B3913" s="296" t="s">
        <v>751</v>
      </c>
      <c r="C3913" s="294"/>
      <c r="D3913" s="294"/>
      <c r="E3913" s="294">
        <v>2</v>
      </c>
      <c r="F3913" s="310">
        <v>10.5</v>
      </c>
      <c r="G3913" s="310">
        <v>0.22500000000000001</v>
      </c>
      <c r="H3913" s="310">
        <v>3.6</v>
      </c>
      <c r="I3913" s="295">
        <f t="shared" ref="I3913:I3923" si="503">H3913*F3913*E3913*G3913</f>
        <v>17.010000000000002</v>
      </c>
      <c r="J3913" s="295"/>
      <c r="K3913" s="300">
        <f t="shared" si="488"/>
        <v>1.1000000000000001</v>
      </c>
      <c r="L3913" s="300">
        <f t="shared" si="482"/>
        <v>0</v>
      </c>
      <c r="M3913" s="285">
        <f t="shared" si="483"/>
        <v>0</v>
      </c>
      <c r="N3913" s="1076"/>
      <c r="O3913" s="294"/>
      <c r="P3913" s="404"/>
      <c r="Q3913" s="404"/>
    </row>
    <row r="3914" spans="1:24" ht="14.4" thickTop="1" thickBot="1" x14ac:dyDescent="0.3">
      <c r="A3914" s="292"/>
      <c r="B3914" s="296" t="s">
        <v>753</v>
      </c>
      <c r="C3914" s="294"/>
      <c r="D3914" s="294"/>
      <c r="E3914" s="294">
        <v>1</v>
      </c>
      <c r="F3914" s="310">
        <v>5</v>
      </c>
      <c r="G3914" s="310">
        <v>0.22500000000000001</v>
      </c>
      <c r="H3914" s="310">
        <v>3.6</v>
      </c>
      <c r="I3914" s="295">
        <f t="shared" si="503"/>
        <v>4.05</v>
      </c>
      <c r="J3914" s="295"/>
      <c r="K3914" s="300">
        <f t="shared" si="488"/>
        <v>1.1000000000000001</v>
      </c>
      <c r="L3914" s="300">
        <f t="shared" si="482"/>
        <v>0</v>
      </c>
      <c r="M3914" s="285">
        <f t="shared" si="483"/>
        <v>0</v>
      </c>
      <c r="N3914" s="1076"/>
      <c r="O3914" s="294"/>
      <c r="P3914" s="404"/>
      <c r="Q3914" s="404"/>
    </row>
    <row r="3915" spans="1:24" ht="14.4" thickTop="1" thickBot="1" x14ac:dyDescent="0.3">
      <c r="A3915" s="292"/>
      <c r="B3915" s="296" t="s">
        <v>754</v>
      </c>
      <c r="C3915" s="294"/>
      <c r="D3915" s="294"/>
      <c r="E3915" s="294">
        <v>1</v>
      </c>
      <c r="F3915" s="310">
        <v>4.8250000000000002</v>
      </c>
      <c r="G3915" s="310">
        <v>0.22500000000000001</v>
      </c>
      <c r="H3915" s="310">
        <v>3.6</v>
      </c>
      <c r="I3915" s="295">
        <f t="shared" si="503"/>
        <v>3.9082500000000002</v>
      </c>
      <c r="J3915" s="295"/>
      <c r="K3915" s="300">
        <f t="shared" si="488"/>
        <v>1.1000000000000001</v>
      </c>
      <c r="L3915" s="300">
        <f t="shared" si="482"/>
        <v>0</v>
      </c>
      <c r="M3915" s="285">
        <f t="shared" si="483"/>
        <v>0</v>
      </c>
      <c r="N3915" s="1076"/>
      <c r="O3915" s="294"/>
      <c r="P3915" s="404"/>
      <c r="Q3915" s="404"/>
    </row>
    <row r="3916" spans="1:24" ht="14.4" thickTop="1" thickBot="1" x14ac:dyDescent="0.3">
      <c r="A3916" s="292"/>
      <c r="B3916" s="296" t="s">
        <v>755</v>
      </c>
      <c r="C3916" s="294"/>
      <c r="D3916" s="294"/>
      <c r="E3916" s="294">
        <v>1</v>
      </c>
      <c r="F3916" s="310">
        <v>3.5249999999999999</v>
      </c>
      <c r="G3916" s="310">
        <v>0.22500000000000001</v>
      </c>
      <c r="H3916" s="310">
        <v>3.6</v>
      </c>
      <c r="I3916" s="295">
        <f t="shared" si="503"/>
        <v>2.8552499999999998</v>
      </c>
      <c r="J3916" s="295"/>
      <c r="K3916" s="300">
        <f t="shared" si="488"/>
        <v>1.1000000000000001</v>
      </c>
      <c r="L3916" s="300">
        <f t="shared" si="482"/>
        <v>0</v>
      </c>
      <c r="M3916" s="285">
        <f t="shared" si="483"/>
        <v>0</v>
      </c>
      <c r="N3916" s="1076"/>
      <c r="O3916" s="294"/>
      <c r="P3916" s="404"/>
      <c r="Q3916" s="404"/>
    </row>
    <row r="3917" spans="1:24" ht="14.4" thickTop="1" thickBot="1" x14ac:dyDescent="0.3">
      <c r="A3917" s="292"/>
      <c r="B3917" s="296" t="s">
        <v>756</v>
      </c>
      <c r="C3917" s="294"/>
      <c r="D3917" s="294"/>
      <c r="E3917" s="294">
        <v>1</v>
      </c>
      <c r="F3917" s="310">
        <v>1.3</v>
      </c>
      <c r="G3917" s="310">
        <v>0.22500000000000001</v>
      </c>
      <c r="H3917" s="310">
        <v>3.6</v>
      </c>
      <c r="I3917" s="295">
        <f t="shared" si="503"/>
        <v>1.0530000000000002</v>
      </c>
      <c r="J3917" s="295"/>
      <c r="K3917" s="300">
        <f t="shared" si="488"/>
        <v>1.1000000000000001</v>
      </c>
      <c r="L3917" s="300">
        <f t="shared" si="482"/>
        <v>0</v>
      </c>
      <c r="M3917" s="285">
        <f t="shared" si="483"/>
        <v>0</v>
      </c>
      <c r="N3917" s="1076"/>
      <c r="O3917" s="294"/>
      <c r="P3917" s="404"/>
      <c r="Q3917" s="404"/>
    </row>
    <row r="3918" spans="1:24" ht="14.4" thickTop="1" thickBot="1" x14ac:dyDescent="0.3">
      <c r="A3918" s="292"/>
      <c r="B3918" s="296" t="s">
        <v>757</v>
      </c>
      <c r="C3918" s="294"/>
      <c r="D3918" s="294"/>
      <c r="E3918" s="294">
        <v>1</v>
      </c>
      <c r="F3918" s="310">
        <v>6.3</v>
      </c>
      <c r="G3918" s="310">
        <v>0.22500000000000001</v>
      </c>
      <c r="H3918" s="310">
        <v>3.6</v>
      </c>
      <c r="I3918" s="295">
        <f t="shared" si="503"/>
        <v>5.1029999999999998</v>
      </c>
      <c r="J3918" s="295"/>
      <c r="K3918" s="300">
        <f t="shared" si="488"/>
        <v>1.1000000000000001</v>
      </c>
      <c r="L3918" s="300">
        <f t="shared" si="482"/>
        <v>0</v>
      </c>
      <c r="M3918" s="285">
        <f t="shared" si="483"/>
        <v>0</v>
      </c>
      <c r="N3918" s="1076"/>
      <c r="O3918" s="294"/>
      <c r="P3918" s="404"/>
      <c r="Q3918" s="404"/>
    </row>
    <row r="3919" spans="1:24" ht="14.4" thickTop="1" thickBot="1" x14ac:dyDescent="0.3">
      <c r="A3919" s="292"/>
      <c r="B3919" s="296" t="s">
        <v>708</v>
      </c>
      <c r="C3919" s="294"/>
      <c r="D3919" s="294"/>
      <c r="E3919" s="294">
        <v>1</v>
      </c>
      <c r="F3919" s="310">
        <v>4.75</v>
      </c>
      <c r="G3919" s="310">
        <v>0.22500000000000001</v>
      </c>
      <c r="H3919" s="310">
        <v>3.6</v>
      </c>
      <c r="I3919" s="295">
        <f t="shared" si="503"/>
        <v>3.8475000000000006</v>
      </c>
      <c r="J3919" s="295"/>
      <c r="K3919" s="300">
        <f t="shared" si="488"/>
        <v>1.1000000000000001</v>
      </c>
      <c r="L3919" s="300">
        <f t="shared" si="482"/>
        <v>0</v>
      </c>
      <c r="M3919" s="285">
        <f t="shared" si="483"/>
        <v>0</v>
      </c>
      <c r="N3919" s="1076"/>
      <c r="O3919" s="294"/>
      <c r="P3919" s="404"/>
      <c r="Q3919" s="404"/>
    </row>
    <row r="3920" spans="1:24" ht="14.4" thickTop="1" thickBot="1" x14ac:dyDescent="0.3">
      <c r="A3920" s="292"/>
      <c r="B3920" s="296" t="s">
        <v>760</v>
      </c>
      <c r="C3920" s="294"/>
      <c r="D3920" s="294"/>
      <c r="E3920" s="294">
        <v>2</v>
      </c>
      <c r="F3920" s="310">
        <v>1.5</v>
      </c>
      <c r="G3920" s="310">
        <v>0.22500000000000001</v>
      </c>
      <c r="H3920" s="310">
        <v>0.9</v>
      </c>
      <c r="I3920" s="295">
        <f t="shared" si="503"/>
        <v>0.60750000000000004</v>
      </c>
      <c r="J3920" s="295"/>
      <c r="K3920" s="300">
        <f t="shared" si="488"/>
        <v>1.1000000000000001</v>
      </c>
      <c r="L3920" s="300">
        <f t="shared" si="482"/>
        <v>0</v>
      </c>
      <c r="M3920" s="285">
        <f t="shared" si="483"/>
        <v>0</v>
      </c>
      <c r="N3920" s="1076"/>
      <c r="O3920" s="294"/>
      <c r="P3920" s="404"/>
      <c r="Q3920" s="404"/>
    </row>
    <row r="3921" spans="1:17" ht="14.4" thickTop="1" thickBot="1" x14ac:dyDescent="0.3">
      <c r="A3921" s="292"/>
      <c r="B3921" s="296"/>
      <c r="C3921" s="294"/>
      <c r="D3921" s="294"/>
      <c r="E3921" s="294">
        <v>1</v>
      </c>
      <c r="F3921" s="310">
        <f>F3912</f>
        <v>26.024999999999999</v>
      </c>
      <c r="G3921" s="310">
        <v>0.22500000000000001</v>
      </c>
      <c r="H3921" s="310">
        <f>H3920</f>
        <v>0.9</v>
      </c>
      <c r="I3921" s="295">
        <f t="shared" si="503"/>
        <v>5.2700624999999999</v>
      </c>
      <c r="J3921" s="295"/>
      <c r="K3921" s="300">
        <f t="shared" si="488"/>
        <v>1.1000000000000001</v>
      </c>
      <c r="L3921" s="300">
        <f t="shared" si="482"/>
        <v>0</v>
      </c>
      <c r="M3921" s="285">
        <f t="shared" si="483"/>
        <v>0</v>
      </c>
      <c r="N3921" s="1076"/>
      <c r="O3921" s="294"/>
      <c r="P3921" s="404"/>
      <c r="Q3921" s="404"/>
    </row>
    <row r="3922" spans="1:17" ht="14.4" thickTop="1" thickBot="1" x14ac:dyDescent="0.3">
      <c r="A3922" s="292"/>
      <c r="B3922" s="296"/>
      <c r="C3922" s="294"/>
      <c r="D3922" s="294"/>
      <c r="E3922" s="294">
        <v>2</v>
      </c>
      <c r="F3922" s="310">
        <v>4.6879999999999997</v>
      </c>
      <c r="G3922" s="310">
        <v>0.22500000000000001</v>
      </c>
      <c r="H3922" s="310">
        <v>0.9</v>
      </c>
      <c r="I3922" s="295">
        <f t="shared" si="503"/>
        <v>1.8986399999999999</v>
      </c>
      <c r="J3922" s="295"/>
      <c r="K3922" s="300">
        <f t="shared" si="488"/>
        <v>1.1000000000000001</v>
      </c>
      <c r="L3922" s="300">
        <f t="shared" si="482"/>
        <v>0</v>
      </c>
      <c r="M3922" s="285"/>
      <c r="N3922" s="1076"/>
      <c r="O3922" s="294"/>
      <c r="P3922" s="404"/>
      <c r="Q3922" s="404"/>
    </row>
    <row r="3923" spans="1:17" ht="14.4" thickTop="1" thickBot="1" x14ac:dyDescent="0.3">
      <c r="A3923" s="292"/>
      <c r="B3923" s="296" t="s">
        <v>756</v>
      </c>
      <c r="C3923" s="294"/>
      <c r="D3923" s="294"/>
      <c r="E3923" s="294">
        <v>4</v>
      </c>
      <c r="F3923" s="310">
        <f>F3812</f>
        <v>2.4500000000000002</v>
      </c>
      <c r="G3923" s="310">
        <v>0.22500000000000001</v>
      </c>
      <c r="H3923" s="310">
        <v>3.6</v>
      </c>
      <c r="I3923" s="295">
        <f t="shared" si="503"/>
        <v>7.9380000000000006</v>
      </c>
      <c r="J3923" s="295"/>
      <c r="K3923" s="300"/>
      <c r="L3923" s="300"/>
      <c r="M3923" s="285"/>
      <c r="N3923" s="1076"/>
      <c r="O3923" s="294"/>
      <c r="P3923" s="404"/>
      <c r="Q3923" s="404"/>
    </row>
    <row r="3924" spans="1:17" ht="14.4" thickTop="1" thickBot="1" x14ac:dyDescent="0.3">
      <c r="A3924" s="292"/>
      <c r="B3924" s="296"/>
      <c r="C3924" s="294"/>
      <c r="D3924" s="294"/>
      <c r="E3924" s="294"/>
      <c r="F3924" s="310"/>
      <c r="G3924" s="310"/>
      <c r="H3924" s="310"/>
      <c r="I3924" s="295"/>
      <c r="J3924" s="295"/>
      <c r="K3924" s="300"/>
      <c r="L3924" s="300"/>
      <c r="M3924" s="285"/>
      <c r="N3924" s="1076"/>
      <c r="O3924" s="294"/>
      <c r="P3924" s="404"/>
      <c r="Q3924" s="404"/>
    </row>
    <row r="3925" spans="1:17" ht="14.4" thickTop="1" thickBot="1" x14ac:dyDescent="0.3">
      <c r="A3925" s="292"/>
      <c r="B3925" s="296" t="s">
        <v>771</v>
      </c>
      <c r="C3925" s="294"/>
      <c r="D3925" s="294"/>
      <c r="E3925" s="294"/>
      <c r="F3925" s="310"/>
      <c r="G3925" s="310"/>
      <c r="H3925" s="310"/>
      <c r="I3925" s="295"/>
      <c r="J3925" s="295"/>
      <c r="K3925" s="300">
        <f t="shared" si="488"/>
        <v>1.1000000000000001</v>
      </c>
      <c r="L3925" s="300">
        <f t="shared" si="482"/>
        <v>0</v>
      </c>
      <c r="M3925" s="285">
        <f t="shared" si="483"/>
        <v>0</v>
      </c>
      <c r="N3925" s="1076"/>
      <c r="O3925" s="294"/>
      <c r="P3925" s="404"/>
      <c r="Q3925" s="404"/>
    </row>
    <row r="3926" spans="1:17" ht="14.4" thickTop="1" thickBot="1" x14ac:dyDescent="0.3">
      <c r="A3926" s="292"/>
      <c r="B3926" s="296" t="s">
        <v>1474</v>
      </c>
      <c r="C3926" s="294"/>
      <c r="D3926" s="294"/>
      <c r="E3926" s="294">
        <v>1</v>
      </c>
      <c r="F3926" s="310">
        <f>F3815</f>
        <v>1</v>
      </c>
      <c r="G3926" s="310">
        <v>0.22500000000000001</v>
      </c>
      <c r="H3926" s="310">
        <v>2</v>
      </c>
      <c r="I3926" s="295">
        <f>-H3926*F3926*E3926*G3926</f>
        <v>-0.45</v>
      </c>
      <c r="J3926" s="295"/>
      <c r="K3926" s="300"/>
      <c r="L3926" s="300"/>
      <c r="M3926" s="285"/>
      <c r="N3926" s="1076"/>
      <c r="O3926" s="294"/>
      <c r="P3926" s="404"/>
      <c r="Q3926" s="404"/>
    </row>
    <row r="3927" spans="1:17" ht="14.4" thickTop="1" thickBot="1" x14ac:dyDescent="0.3">
      <c r="A3927" s="292"/>
      <c r="B3927" s="296" t="s">
        <v>766</v>
      </c>
      <c r="C3927" s="294"/>
      <c r="D3927" s="294"/>
      <c r="E3927" s="294">
        <v>8</v>
      </c>
      <c r="F3927" s="310">
        <v>2.4</v>
      </c>
      <c r="G3927" s="310">
        <v>0.22500000000000001</v>
      </c>
      <c r="H3927" s="310">
        <v>2.1</v>
      </c>
      <c r="I3927" s="295">
        <f>-H3927*F3927*E3927*G3927</f>
        <v>-9.072000000000001</v>
      </c>
      <c r="J3927" s="295"/>
      <c r="K3927" s="300">
        <f t="shared" si="488"/>
        <v>1.1000000000000001</v>
      </c>
      <c r="L3927" s="300">
        <f t="shared" si="482"/>
        <v>0</v>
      </c>
      <c r="M3927" s="285">
        <f t="shared" si="483"/>
        <v>0</v>
      </c>
      <c r="N3927" s="1076"/>
      <c r="O3927" s="294"/>
      <c r="P3927" s="404"/>
      <c r="Q3927" s="404"/>
    </row>
    <row r="3928" spans="1:17" ht="14.4" thickTop="1" thickBot="1" x14ac:dyDescent="0.3">
      <c r="A3928" s="292"/>
      <c r="B3928" s="296" t="s">
        <v>772</v>
      </c>
      <c r="C3928" s="294"/>
      <c r="D3928" s="294"/>
      <c r="E3928" s="294">
        <v>1</v>
      </c>
      <c r="F3928" s="310">
        <v>4.5</v>
      </c>
      <c r="G3928" s="310">
        <v>0.22500000000000001</v>
      </c>
      <c r="H3928" s="310">
        <v>3</v>
      </c>
      <c r="I3928" s="295">
        <f t="shared" ref="I3928:I3933" si="504">-H3928*F3928*E3928*G3928</f>
        <v>-3.0375000000000001</v>
      </c>
      <c r="J3928" s="295"/>
      <c r="K3928" s="300">
        <f t="shared" si="488"/>
        <v>1.1000000000000001</v>
      </c>
      <c r="L3928" s="300">
        <f t="shared" si="482"/>
        <v>0</v>
      </c>
      <c r="M3928" s="285">
        <f t="shared" si="483"/>
        <v>0</v>
      </c>
      <c r="N3928" s="1076"/>
      <c r="O3928" s="294"/>
      <c r="P3928" s="404"/>
      <c r="Q3928" s="404"/>
    </row>
    <row r="3929" spans="1:17" ht="14.4" thickTop="1" thickBot="1" x14ac:dyDescent="0.3">
      <c r="A3929" s="292"/>
      <c r="B3929" s="296" t="s">
        <v>770</v>
      </c>
      <c r="C3929" s="294"/>
      <c r="D3929" s="294"/>
      <c r="E3929" s="294">
        <v>2</v>
      </c>
      <c r="F3929" s="310">
        <v>0.9</v>
      </c>
      <c r="G3929" s="310">
        <v>0.22500000000000001</v>
      </c>
      <c r="H3929" s="310">
        <v>2.7</v>
      </c>
      <c r="I3929" s="295">
        <f t="shared" si="504"/>
        <v>-1.0935000000000001</v>
      </c>
      <c r="J3929" s="295"/>
      <c r="K3929" s="300">
        <f t="shared" si="488"/>
        <v>1.1000000000000001</v>
      </c>
      <c r="L3929" s="300">
        <f t="shared" si="482"/>
        <v>0</v>
      </c>
      <c r="M3929" s="285">
        <f t="shared" si="483"/>
        <v>0</v>
      </c>
      <c r="N3929" s="1076"/>
      <c r="O3929" s="294"/>
      <c r="P3929" s="404"/>
      <c r="Q3929" s="404"/>
    </row>
    <row r="3930" spans="1:17" ht="14.4" thickTop="1" thickBot="1" x14ac:dyDescent="0.3">
      <c r="A3930" s="292"/>
      <c r="B3930" s="296" t="s">
        <v>762</v>
      </c>
      <c r="C3930" s="294"/>
      <c r="D3930" s="294"/>
      <c r="E3930" s="294">
        <v>4</v>
      </c>
      <c r="F3930" s="310">
        <v>2.4</v>
      </c>
      <c r="G3930" s="310">
        <v>0.22500000000000001</v>
      </c>
      <c r="H3930" s="310">
        <v>2.1</v>
      </c>
      <c r="I3930" s="295">
        <f t="shared" si="504"/>
        <v>-4.5360000000000005</v>
      </c>
      <c r="J3930" s="295"/>
      <c r="K3930" s="300">
        <f t="shared" si="488"/>
        <v>1.1000000000000001</v>
      </c>
      <c r="L3930" s="300">
        <f t="shared" si="482"/>
        <v>0</v>
      </c>
      <c r="M3930" s="285">
        <f t="shared" si="483"/>
        <v>0</v>
      </c>
      <c r="N3930" s="1076"/>
      <c r="O3930" s="294"/>
      <c r="P3930" s="404"/>
      <c r="Q3930" s="404"/>
    </row>
    <row r="3931" spans="1:17" ht="14.4" thickTop="1" thickBot="1" x14ac:dyDescent="0.3">
      <c r="A3931" s="292"/>
      <c r="B3931" s="296" t="s">
        <v>768</v>
      </c>
      <c r="C3931" s="294"/>
      <c r="D3931" s="294"/>
      <c r="E3931" s="294">
        <v>1</v>
      </c>
      <c r="F3931" s="310">
        <v>2.2749999999999999</v>
      </c>
      <c r="G3931" s="310">
        <v>0.22500000000000001</v>
      </c>
      <c r="H3931" s="310">
        <v>3</v>
      </c>
      <c r="I3931" s="295">
        <f t="shared" si="504"/>
        <v>-1.5356249999999998</v>
      </c>
      <c r="J3931" s="295"/>
      <c r="K3931" s="300">
        <f t="shared" si="488"/>
        <v>1.1000000000000001</v>
      </c>
      <c r="L3931" s="300">
        <f t="shared" ref="L3931:L4103" si="505">K3931*J3931</f>
        <v>0</v>
      </c>
      <c r="M3931" s="285">
        <f t="shared" si="483"/>
        <v>0</v>
      </c>
      <c r="N3931" s="1076"/>
      <c r="O3931" s="294"/>
      <c r="P3931" s="404"/>
      <c r="Q3931" s="404"/>
    </row>
    <row r="3932" spans="1:17" ht="14.4" thickTop="1" thickBot="1" x14ac:dyDescent="0.3">
      <c r="A3932" s="292"/>
      <c r="B3932" s="296" t="s">
        <v>769</v>
      </c>
      <c r="C3932" s="294"/>
      <c r="D3932" s="294"/>
      <c r="E3932" s="294">
        <v>2</v>
      </c>
      <c r="F3932" s="310">
        <v>2.2000000000000002</v>
      </c>
      <c r="G3932" s="310">
        <v>0.22500000000000001</v>
      </c>
      <c r="H3932" s="310">
        <v>0.6</v>
      </c>
      <c r="I3932" s="295">
        <f t="shared" si="504"/>
        <v>-0.59400000000000008</v>
      </c>
      <c r="J3932" s="295"/>
      <c r="K3932" s="300">
        <f t="shared" si="488"/>
        <v>1.1000000000000001</v>
      </c>
      <c r="L3932" s="300">
        <f t="shared" si="505"/>
        <v>0</v>
      </c>
      <c r="M3932" s="285">
        <f t="shared" si="483"/>
        <v>0</v>
      </c>
      <c r="N3932" s="1076"/>
      <c r="O3932" s="294"/>
      <c r="P3932" s="404"/>
      <c r="Q3932" s="404"/>
    </row>
    <row r="3933" spans="1:17" ht="14.4" thickTop="1" thickBot="1" x14ac:dyDescent="0.3">
      <c r="A3933" s="292"/>
      <c r="B3933" s="296" t="s">
        <v>773</v>
      </c>
      <c r="C3933" s="294"/>
      <c r="D3933" s="294"/>
      <c r="E3933" s="294">
        <v>1</v>
      </c>
      <c r="F3933" s="310">
        <v>1.25</v>
      </c>
      <c r="G3933" s="310">
        <v>0.22500000000000001</v>
      </c>
      <c r="H3933" s="310">
        <v>2.4</v>
      </c>
      <c r="I3933" s="295">
        <f t="shared" si="504"/>
        <v>-0.67500000000000004</v>
      </c>
      <c r="J3933" s="295">
        <f>SUM(I3912:I3933)</f>
        <v>74.708077499999987</v>
      </c>
      <c r="K3933" s="300">
        <f t="shared" si="488"/>
        <v>1.1000000000000001</v>
      </c>
      <c r="L3933" s="300">
        <f t="shared" si="505"/>
        <v>82.178885249999993</v>
      </c>
      <c r="M3933" s="285">
        <f t="shared" si="483"/>
        <v>82</v>
      </c>
      <c r="N3933" s="1076"/>
      <c r="O3933" s="294"/>
      <c r="P3933" s="404"/>
      <c r="Q3933" s="404"/>
    </row>
    <row r="3934" spans="1:17" ht="14.4" thickTop="1" thickBot="1" x14ac:dyDescent="0.3">
      <c r="A3934" s="292"/>
      <c r="B3934" s="296"/>
      <c r="C3934" s="294"/>
      <c r="D3934" s="294"/>
      <c r="E3934" s="294"/>
      <c r="F3934" s="310"/>
      <c r="G3934" s="310"/>
      <c r="H3934" s="310"/>
      <c r="I3934" s="295"/>
      <c r="J3934" s="295">
        <f>J3933/2.83</f>
        <v>26.398613957597167</v>
      </c>
      <c r="K3934" s="300">
        <f t="shared" si="488"/>
        <v>1.1000000000000001</v>
      </c>
      <c r="L3934" s="300">
        <f t="shared" si="505"/>
        <v>29.038475353356887</v>
      </c>
      <c r="M3934" s="285">
        <f t="shared" si="483"/>
        <v>29</v>
      </c>
      <c r="N3934" s="1076"/>
      <c r="O3934" s="294" t="s">
        <v>875</v>
      </c>
      <c r="P3934" s="404"/>
      <c r="Q3934" s="404"/>
    </row>
    <row r="3935" spans="1:17" ht="14.4" thickTop="1" thickBot="1" x14ac:dyDescent="0.3">
      <c r="A3935" s="292"/>
      <c r="B3935" s="296"/>
      <c r="C3935" s="294"/>
      <c r="D3935" s="294"/>
      <c r="E3935" s="294"/>
      <c r="F3935" s="310"/>
      <c r="G3935" s="310"/>
      <c r="H3935" s="310"/>
      <c r="I3935" s="295"/>
      <c r="J3935" s="295"/>
      <c r="K3935" s="300">
        <f t="shared" si="488"/>
        <v>1.1000000000000001</v>
      </c>
      <c r="L3935" s="300">
        <f t="shared" si="505"/>
        <v>0</v>
      </c>
      <c r="M3935" s="285">
        <f t="shared" si="483"/>
        <v>0</v>
      </c>
      <c r="N3935" s="1076"/>
      <c r="O3935" s="294"/>
      <c r="P3935" s="404"/>
      <c r="Q3935" s="404"/>
    </row>
    <row r="3936" spans="1:17" ht="14.4" thickTop="1" thickBot="1" x14ac:dyDescent="0.3">
      <c r="A3936" s="292"/>
      <c r="B3936" s="296"/>
      <c r="C3936" s="294"/>
      <c r="D3936" s="294"/>
      <c r="E3936" s="294"/>
      <c r="F3936" s="310"/>
      <c r="G3936" s="310"/>
      <c r="H3936" s="310"/>
      <c r="I3936" s="295"/>
      <c r="J3936" s="295"/>
      <c r="K3936" s="300"/>
      <c r="L3936" s="300"/>
      <c r="M3936" s="285"/>
      <c r="N3936" s="1076"/>
      <c r="O3936" s="294"/>
      <c r="P3936" s="404"/>
      <c r="Q3936" s="404"/>
    </row>
    <row r="3937" spans="1:17" ht="14.4" thickTop="1" thickBot="1" x14ac:dyDescent="0.3">
      <c r="A3937" s="292"/>
      <c r="B3937" s="296" t="s">
        <v>759</v>
      </c>
      <c r="C3937" s="294"/>
      <c r="D3937" s="294"/>
      <c r="E3937" s="294"/>
      <c r="F3937" s="310"/>
      <c r="G3937" s="310"/>
      <c r="H3937" s="310"/>
      <c r="I3937" s="295"/>
      <c r="J3937" s="295"/>
      <c r="K3937" s="300">
        <f t="shared" si="488"/>
        <v>1.1000000000000001</v>
      </c>
      <c r="L3937" s="300">
        <f t="shared" ref="L3937:L3948" si="506">K3937*J3937</f>
        <v>0</v>
      </c>
      <c r="M3937" s="285">
        <f t="shared" ref="M3937:M3947" si="507">ROUND(L3937,0)</f>
        <v>0</v>
      </c>
      <c r="N3937" s="1076"/>
      <c r="O3937" s="294"/>
      <c r="P3937" s="404"/>
      <c r="Q3937" s="404"/>
    </row>
    <row r="3938" spans="1:17" ht="14.4" thickTop="1" thickBot="1" x14ac:dyDescent="0.3">
      <c r="A3938" s="292"/>
      <c r="B3938" s="296" t="s">
        <v>750</v>
      </c>
      <c r="C3938" s="294"/>
      <c r="D3938" s="294"/>
      <c r="E3938" s="294">
        <v>2</v>
      </c>
      <c r="F3938" s="310">
        <v>26.024999999999999</v>
      </c>
      <c r="G3938" s="310"/>
      <c r="H3938" s="310">
        <v>3.6</v>
      </c>
      <c r="I3938" s="295">
        <f>H3938*F3938*E3938</f>
        <v>187.38</v>
      </c>
      <c r="J3938" s="295"/>
      <c r="K3938" s="300">
        <f t="shared" si="488"/>
        <v>1.1000000000000001</v>
      </c>
      <c r="L3938" s="300">
        <f t="shared" si="506"/>
        <v>0</v>
      </c>
      <c r="M3938" s="285">
        <f t="shared" si="507"/>
        <v>0</v>
      </c>
      <c r="N3938" s="1076"/>
      <c r="O3938" s="294"/>
      <c r="P3938" s="404"/>
      <c r="Q3938" s="404"/>
    </row>
    <row r="3939" spans="1:17" ht="14.4" thickTop="1" thickBot="1" x14ac:dyDescent="0.3">
      <c r="A3939" s="292"/>
      <c r="B3939" s="296" t="s">
        <v>751</v>
      </c>
      <c r="C3939" s="294"/>
      <c r="D3939" s="294"/>
      <c r="E3939" s="294">
        <v>2</v>
      </c>
      <c r="F3939" s="310">
        <v>10.5</v>
      </c>
      <c r="G3939" s="310"/>
      <c r="H3939" s="310">
        <v>3.6</v>
      </c>
      <c r="I3939" s="295">
        <f t="shared" ref="I3939:I3949" si="508">H3939*F3939*E3939</f>
        <v>75.600000000000009</v>
      </c>
      <c r="J3939" s="295"/>
      <c r="K3939" s="300">
        <f t="shared" si="488"/>
        <v>1.1000000000000001</v>
      </c>
      <c r="L3939" s="300">
        <f t="shared" si="506"/>
        <v>0</v>
      </c>
      <c r="M3939" s="285">
        <f t="shared" si="507"/>
        <v>0</v>
      </c>
      <c r="N3939" s="1076"/>
      <c r="O3939" s="294"/>
      <c r="P3939" s="404"/>
      <c r="Q3939" s="404"/>
    </row>
    <row r="3940" spans="1:17" ht="14.4" thickTop="1" thickBot="1" x14ac:dyDescent="0.3">
      <c r="A3940" s="292"/>
      <c r="B3940" s="296" t="s">
        <v>753</v>
      </c>
      <c r="C3940" s="294"/>
      <c r="D3940" s="294"/>
      <c r="E3940" s="294">
        <v>1</v>
      </c>
      <c r="F3940" s="310">
        <v>5</v>
      </c>
      <c r="G3940" s="310"/>
      <c r="H3940" s="310">
        <v>3.6</v>
      </c>
      <c r="I3940" s="295">
        <f t="shared" si="508"/>
        <v>18</v>
      </c>
      <c r="J3940" s="295"/>
      <c r="K3940" s="300">
        <f t="shared" si="488"/>
        <v>1.1000000000000001</v>
      </c>
      <c r="L3940" s="300">
        <f t="shared" si="506"/>
        <v>0</v>
      </c>
      <c r="M3940" s="285">
        <f t="shared" si="507"/>
        <v>0</v>
      </c>
      <c r="N3940" s="1076"/>
      <c r="O3940" s="294"/>
      <c r="P3940" s="404"/>
      <c r="Q3940" s="404"/>
    </row>
    <row r="3941" spans="1:17" ht="14.4" thickTop="1" thickBot="1" x14ac:dyDescent="0.3">
      <c r="A3941" s="292"/>
      <c r="B3941" s="296" t="s">
        <v>754</v>
      </c>
      <c r="C3941" s="294"/>
      <c r="D3941" s="294"/>
      <c r="E3941" s="294">
        <v>1</v>
      </c>
      <c r="F3941" s="310">
        <v>4.8250000000000002</v>
      </c>
      <c r="G3941" s="310"/>
      <c r="H3941" s="310">
        <v>3.6</v>
      </c>
      <c r="I3941" s="295">
        <f t="shared" si="508"/>
        <v>17.37</v>
      </c>
      <c r="J3941" s="295"/>
      <c r="K3941" s="300">
        <f t="shared" si="488"/>
        <v>1.1000000000000001</v>
      </c>
      <c r="L3941" s="300">
        <f t="shared" si="506"/>
        <v>0</v>
      </c>
      <c r="M3941" s="285">
        <f t="shared" si="507"/>
        <v>0</v>
      </c>
      <c r="N3941" s="1076"/>
      <c r="O3941" s="294"/>
      <c r="P3941" s="404"/>
      <c r="Q3941" s="404"/>
    </row>
    <row r="3942" spans="1:17" ht="14.4" thickTop="1" thickBot="1" x14ac:dyDescent="0.3">
      <c r="A3942" s="292"/>
      <c r="B3942" s="296" t="s">
        <v>755</v>
      </c>
      <c r="C3942" s="294"/>
      <c r="D3942" s="294"/>
      <c r="E3942" s="294">
        <v>1</v>
      </c>
      <c r="F3942" s="310">
        <v>3.5249999999999999</v>
      </c>
      <c r="G3942" s="310"/>
      <c r="H3942" s="310">
        <v>3.6</v>
      </c>
      <c r="I3942" s="295">
        <f t="shared" si="508"/>
        <v>12.69</v>
      </c>
      <c r="J3942" s="295"/>
      <c r="K3942" s="300">
        <f t="shared" si="488"/>
        <v>1.1000000000000001</v>
      </c>
      <c r="L3942" s="300">
        <f t="shared" si="506"/>
        <v>0</v>
      </c>
      <c r="M3942" s="285">
        <f t="shared" si="507"/>
        <v>0</v>
      </c>
      <c r="N3942" s="1076"/>
      <c r="O3942" s="294"/>
      <c r="P3942" s="404"/>
      <c r="Q3942" s="404"/>
    </row>
    <row r="3943" spans="1:17" ht="14.4" thickTop="1" thickBot="1" x14ac:dyDescent="0.3">
      <c r="A3943" s="292"/>
      <c r="B3943" s="296" t="s">
        <v>756</v>
      </c>
      <c r="C3943" s="294"/>
      <c r="D3943" s="294"/>
      <c r="E3943" s="294">
        <v>1</v>
      </c>
      <c r="F3943" s="310">
        <v>1.3</v>
      </c>
      <c r="G3943" s="310"/>
      <c r="H3943" s="310">
        <v>3.6</v>
      </c>
      <c r="I3943" s="295">
        <f t="shared" si="508"/>
        <v>4.6800000000000006</v>
      </c>
      <c r="J3943" s="295"/>
      <c r="K3943" s="300">
        <f t="shared" si="488"/>
        <v>1.1000000000000001</v>
      </c>
      <c r="L3943" s="300">
        <f t="shared" si="506"/>
        <v>0</v>
      </c>
      <c r="M3943" s="285">
        <f t="shared" si="507"/>
        <v>0</v>
      </c>
      <c r="N3943" s="1076"/>
      <c r="O3943" s="294"/>
      <c r="P3943" s="404"/>
      <c r="Q3943" s="404"/>
    </row>
    <row r="3944" spans="1:17" ht="14.4" thickTop="1" thickBot="1" x14ac:dyDescent="0.3">
      <c r="A3944" s="292"/>
      <c r="B3944" s="296" t="s">
        <v>757</v>
      </c>
      <c r="C3944" s="294"/>
      <c r="D3944" s="294"/>
      <c r="E3944" s="294">
        <v>1</v>
      </c>
      <c r="F3944" s="310">
        <v>6.3</v>
      </c>
      <c r="G3944" s="310"/>
      <c r="H3944" s="310">
        <v>3.6</v>
      </c>
      <c r="I3944" s="295">
        <f t="shared" si="508"/>
        <v>22.68</v>
      </c>
      <c r="J3944" s="295"/>
      <c r="K3944" s="300">
        <f t="shared" si="488"/>
        <v>1.1000000000000001</v>
      </c>
      <c r="L3944" s="300">
        <f t="shared" si="506"/>
        <v>0</v>
      </c>
      <c r="M3944" s="285">
        <f t="shared" si="507"/>
        <v>0</v>
      </c>
      <c r="N3944" s="1076"/>
      <c r="O3944" s="294"/>
      <c r="P3944" s="404"/>
      <c r="Q3944" s="404"/>
    </row>
    <row r="3945" spans="1:17" ht="14.4" thickTop="1" thickBot="1" x14ac:dyDescent="0.3">
      <c r="A3945" s="292"/>
      <c r="B3945" s="296" t="s">
        <v>708</v>
      </c>
      <c r="C3945" s="294"/>
      <c r="D3945" s="294"/>
      <c r="E3945" s="294">
        <v>1</v>
      </c>
      <c r="F3945" s="310">
        <v>4.75</v>
      </c>
      <c r="G3945" s="310"/>
      <c r="H3945" s="310">
        <v>3.6</v>
      </c>
      <c r="I3945" s="295">
        <f t="shared" si="508"/>
        <v>17.100000000000001</v>
      </c>
      <c r="J3945" s="295"/>
      <c r="K3945" s="300">
        <f t="shared" si="488"/>
        <v>1.1000000000000001</v>
      </c>
      <c r="L3945" s="300">
        <f t="shared" si="506"/>
        <v>0</v>
      </c>
      <c r="M3945" s="285">
        <f t="shared" si="507"/>
        <v>0</v>
      </c>
      <c r="N3945" s="1076"/>
      <c r="O3945" s="294"/>
      <c r="P3945" s="404"/>
      <c r="Q3945" s="404"/>
    </row>
    <row r="3946" spans="1:17" ht="14.4" thickTop="1" thickBot="1" x14ac:dyDescent="0.3">
      <c r="A3946" s="292"/>
      <c r="B3946" s="296" t="s">
        <v>760</v>
      </c>
      <c r="C3946" s="294"/>
      <c r="D3946" s="294"/>
      <c r="E3946" s="294">
        <v>2</v>
      </c>
      <c r="F3946" s="310">
        <v>1.5</v>
      </c>
      <c r="G3946" s="310"/>
      <c r="H3946" s="310">
        <v>0.9</v>
      </c>
      <c r="I3946" s="295">
        <f t="shared" si="508"/>
        <v>2.7</v>
      </c>
      <c r="J3946" s="295"/>
      <c r="K3946" s="300">
        <f t="shared" si="488"/>
        <v>1.1000000000000001</v>
      </c>
      <c r="L3946" s="300">
        <f t="shared" si="506"/>
        <v>0</v>
      </c>
      <c r="M3946" s="285">
        <f t="shared" si="507"/>
        <v>0</v>
      </c>
      <c r="N3946" s="1076"/>
      <c r="O3946" s="294"/>
      <c r="P3946" s="404"/>
      <c r="Q3946" s="404"/>
    </row>
    <row r="3947" spans="1:17" ht="14.4" thickTop="1" thickBot="1" x14ac:dyDescent="0.3">
      <c r="A3947" s="292"/>
      <c r="B3947" s="296"/>
      <c r="C3947" s="294"/>
      <c r="D3947" s="294"/>
      <c r="E3947" s="294">
        <v>1</v>
      </c>
      <c r="F3947" s="310">
        <f>F3938</f>
        <v>26.024999999999999</v>
      </c>
      <c r="G3947" s="310"/>
      <c r="H3947" s="310">
        <f>H3946</f>
        <v>0.9</v>
      </c>
      <c r="I3947" s="295">
        <f t="shared" si="508"/>
        <v>23.422499999999999</v>
      </c>
      <c r="J3947" s="295"/>
      <c r="K3947" s="300">
        <f t="shared" si="488"/>
        <v>1.1000000000000001</v>
      </c>
      <c r="L3947" s="300">
        <f t="shared" si="506"/>
        <v>0</v>
      </c>
      <c r="M3947" s="285">
        <f t="shared" si="507"/>
        <v>0</v>
      </c>
      <c r="N3947" s="1076"/>
      <c r="O3947" s="294"/>
      <c r="P3947" s="404"/>
      <c r="Q3947" s="404"/>
    </row>
    <row r="3948" spans="1:17" ht="14.4" thickTop="1" thickBot="1" x14ac:dyDescent="0.3">
      <c r="A3948" s="292"/>
      <c r="B3948" s="296"/>
      <c r="C3948" s="294"/>
      <c r="D3948" s="294"/>
      <c r="E3948" s="294">
        <v>2</v>
      </c>
      <c r="F3948" s="310">
        <v>4.6879999999999997</v>
      </c>
      <c r="G3948" s="310"/>
      <c r="H3948" s="310">
        <v>0.9</v>
      </c>
      <c r="I3948" s="295">
        <f t="shared" si="508"/>
        <v>8.4383999999999997</v>
      </c>
      <c r="J3948" s="295"/>
      <c r="K3948" s="300">
        <f t="shared" si="488"/>
        <v>1.1000000000000001</v>
      </c>
      <c r="L3948" s="300">
        <f t="shared" si="506"/>
        <v>0</v>
      </c>
      <c r="M3948" s="285"/>
      <c r="N3948" s="1076"/>
      <c r="O3948" s="294"/>
      <c r="P3948" s="404"/>
      <c r="Q3948" s="404"/>
    </row>
    <row r="3949" spans="1:17" ht="14.4" thickTop="1" thickBot="1" x14ac:dyDescent="0.3">
      <c r="A3949" s="292"/>
      <c r="B3949" s="296" t="s">
        <v>756</v>
      </c>
      <c r="C3949" s="294"/>
      <c r="D3949" s="294"/>
      <c r="E3949" s="294">
        <v>4</v>
      </c>
      <c r="F3949" s="310">
        <f>F3838</f>
        <v>6.3</v>
      </c>
      <c r="G3949" s="310"/>
      <c r="H3949" s="310">
        <v>3.6</v>
      </c>
      <c r="I3949" s="295">
        <f t="shared" si="508"/>
        <v>90.72</v>
      </c>
      <c r="J3949" s="295"/>
      <c r="K3949" s="300"/>
      <c r="L3949" s="300"/>
      <c r="M3949" s="285"/>
      <c r="N3949" s="1076"/>
      <c r="O3949" s="294"/>
      <c r="P3949" s="404"/>
      <c r="Q3949" s="404"/>
    </row>
    <row r="3950" spans="1:17" ht="14.4" thickTop="1" thickBot="1" x14ac:dyDescent="0.3">
      <c r="A3950" s="292"/>
      <c r="B3950" s="296"/>
      <c r="C3950" s="294"/>
      <c r="D3950" s="294"/>
      <c r="E3950" s="294"/>
      <c r="F3950" s="310"/>
      <c r="G3950" s="310"/>
      <c r="H3950" s="310"/>
      <c r="I3950" s="295"/>
      <c r="J3950" s="295"/>
      <c r="K3950" s="300"/>
      <c r="L3950" s="300"/>
      <c r="M3950" s="285"/>
      <c r="N3950" s="1076"/>
      <c r="O3950" s="294"/>
      <c r="P3950" s="404"/>
      <c r="Q3950" s="404"/>
    </row>
    <row r="3951" spans="1:17" ht="14.4" thickTop="1" thickBot="1" x14ac:dyDescent="0.3">
      <c r="A3951" s="292"/>
      <c r="B3951" s="296" t="s">
        <v>771</v>
      </c>
      <c r="C3951" s="294"/>
      <c r="D3951" s="294"/>
      <c r="E3951" s="294"/>
      <c r="F3951" s="310"/>
      <c r="G3951" s="310"/>
      <c r="H3951" s="310"/>
      <c r="I3951" s="295"/>
      <c r="J3951" s="295"/>
      <c r="K3951" s="300">
        <f t="shared" si="488"/>
        <v>1.1000000000000001</v>
      </c>
      <c r="L3951" s="300">
        <f t="shared" ref="L3951" si="509">K3951*J3951</f>
        <v>0</v>
      </c>
      <c r="M3951" s="285">
        <f t="shared" ref="M3951" si="510">ROUND(L3951,0)</f>
        <v>0</v>
      </c>
      <c r="N3951" s="1076"/>
      <c r="O3951" s="294"/>
      <c r="P3951" s="404"/>
      <c r="Q3951" s="404"/>
    </row>
    <row r="3952" spans="1:17" ht="14.4" thickTop="1" thickBot="1" x14ac:dyDescent="0.3">
      <c r="A3952" s="292"/>
      <c r="B3952" s="296" t="s">
        <v>1474</v>
      </c>
      <c r="C3952" s="294"/>
      <c r="D3952" s="294"/>
      <c r="E3952" s="294">
        <v>1</v>
      </c>
      <c r="F3952" s="310">
        <f>F3841</f>
        <v>2.4500000000000002</v>
      </c>
      <c r="G3952" s="310"/>
      <c r="H3952" s="310">
        <v>2</v>
      </c>
      <c r="I3952" s="295">
        <f>-H3952*F3952*E3952</f>
        <v>-4.9000000000000004</v>
      </c>
      <c r="J3952" s="295"/>
      <c r="K3952" s="300"/>
      <c r="L3952" s="300"/>
      <c r="M3952" s="285"/>
      <c r="N3952" s="1076"/>
      <c r="O3952" s="294"/>
      <c r="P3952" s="404"/>
      <c r="Q3952" s="404"/>
    </row>
    <row r="3953" spans="1:17" ht="14.4" thickTop="1" thickBot="1" x14ac:dyDescent="0.3">
      <c r="A3953" s="292"/>
      <c r="B3953" s="296" t="s">
        <v>766</v>
      </c>
      <c r="C3953" s="294"/>
      <c r="D3953" s="294"/>
      <c r="E3953" s="294">
        <v>8</v>
      </c>
      <c r="F3953" s="310">
        <v>2.4</v>
      </c>
      <c r="G3953" s="310"/>
      <c r="H3953" s="310">
        <v>2.1</v>
      </c>
      <c r="I3953" s="295">
        <f t="shared" ref="I3953:I3959" si="511">-H3953*F3953*E3953</f>
        <v>-40.32</v>
      </c>
      <c r="J3953" s="295"/>
      <c r="K3953" s="300">
        <f t="shared" si="488"/>
        <v>1.1000000000000001</v>
      </c>
      <c r="L3953" s="300">
        <f t="shared" ref="L3953:L3961" si="512">K3953*J3953</f>
        <v>0</v>
      </c>
      <c r="M3953" s="285">
        <f t="shared" ref="M3953:M3961" si="513">ROUND(L3953,0)</f>
        <v>0</v>
      </c>
      <c r="N3953" s="1076"/>
      <c r="O3953" s="294"/>
      <c r="P3953" s="404"/>
      <c r="Q3953" s="404"/>
    </row>
    <row r="3954" spans="1:17" ht="14.4" thickTop="1" thickBot="1" x14ac:dyDescent="0.3">
      <c r="A3954" s="292"/>
      <c r="B3954" s="296" t="s">
        <v>772</v>
      </c>
      <c r="C3954" s="294"/>
      <c r="D3954" s="294"/>
      <c r="E3954" s="294">
        <v>1</v>
      </c>
      <c r="F3954" s="310">
        <v>4.5</v>
      </c>
      <c r="G3954" s="310"/>
      <c r="H3954" s="310">
        <v>3</v>
      </c>
      <c r="I3954" s="295">
        <f t="shared" si="511"/>
        <v>-13.5</v>
      </c>
      <c r="J3954" s="295"/>
      <c r="K3954" s="300">
        <f t="shared" si="488"/>
        <v>1.1000000000000001</v>
      </c>
      <c r="L3954" s="300">
        <f t="shared" si="512"/>
        <v>0</v>
      </c>
      <c r="M3954" s="285">
        <f t="shared" si="513"/>
        <v>0</v>
      </c>
      <c r="N3954" s="1076"/>
      <c r="O3954" s="294"/>
      <c r="P3954" s="404"/>
      <c r="Q3954" s="404"/>
    </row>
    <row r="3955" spans="1:17" ht="14.4" thickTop="1" thickBot="1" x14ac:dyDescent="0.3">
      <c r="A3955" s="292"/>
      <c r="B3955" s="296" t="s">
        <v>770</v>
      </c>
      <c r="C3955" s="294"/>
      <c r="D3955" s="294"/>
      <c r="E3955" s="294">
        <v>2</v>
      </c>
      <c r="F3955" s="310">
        <v>0.9</v>
      </c>
      <c r="G3955" s="310"/>
      <c r="H3955" s="310">
        <v>2.7</v>
      </c>
      <c r="I3955" s="295">
        <f t="shared" si="511"/>
        <v>-4.8600000000000003</v>
      </c>
      <c r="J3955" s="295"/>
      <c r="K3955" s="300">
        <f t="shared" si="488"/>
        <v>1.1000000000000001</v>
      </c>
      <c r="L3955" s="300">
        <f t="shared" si="512"/>
        <v>0</v>
      </c>
      <c r="M3955" s="285">
        <f t="shared" si="513"/>
        <v>0</v>
      </c>
      <c r="N3955" s="1076"/>
      <c r="O3955" s="294"/>
      <c r="P3955" s="404"/>
      <c r="Q3955" s="404"/>
    </row>
    <row r="3956" spans="1:17" ht="14.4" thickTop="1" thickBot="1" x14ac:dyDescent="0.3">
      <c r="A3956" s="292"/>
      <c r="B3956" s="296" t="s">
        <v>762</v>
      </c>
      <c r="C3956" s="294"/>
      <c r="D3956" s="294"/>
      <c r="E3956" s="294">
        <v>4</v>
      </c>
      <c r="F3956" s="310">
        <v>2.4</v>
      </c>
      <c r="G3956" s="310"/>
      <c r="H3956" s="310">
        <v>2.1</v>
      </c>
      <c r="I3956" s="295">
        <f t="shared" si="511"/>
        <v>-20.16</v>
      </c>
      <c r="J3956" s="295"/>
      <c r="K3956" s="300">
        <f t="shared" si="488"/>
        <v>1.1000000000000001</v>
      </c>
      <c r="L3956" s="300">
        <f t="shared" si="512"/>
        <v>0</v>
      </c>
      <c r="M3956" s="285">
        <f t="shared" si="513"/>
        <v>0</v>
      </c>
      <c r="N3956" s="1076"/>
      <c r="O3956" s="294"/>
      <c r="P3956" s="404"/>
      <c r="Q3956" s="404"/>
    </row>
    <row r="3957" spans="1:17" ht="14.4" thickTop="1" thickBot="1" x14ac:dyDescent="0.3">
      <c r="A3957" s="292"/>
      <c r="B3957" s="296" t="s">
        <v>768</v>
      </c>
      <c r="C3957" s="294"/>
      <c r="D3957" s="294"/>
      <c r="E3957" s="294">
        <v>1</v>
      </c>
      <c r="F3957" s="310">
        <v>2.2749999999999999</v>
      </c>
      <c r="G3957" s="310"/>
      <c r="H3957" s="310">
        <v>3</v>
      </c>
      <c r="I3957" s="295">
        <f t="shared" si="511"/>
        <v>-6.8249999999999993</v>
      </c>
      <c r="J3957" s="295"/>
      <c r="K3957" s="300">
        <f t="shared" si="488"/>
        <v>1.1000000000000001</v>
      </c>
      <c r="L3957" s="300">
        <f t="shared" si="512"/>
        <v>0</v>
      </c>
      <c r="M3957" s="285">
        <f t="shared" si="513"/>
        <v>0</v>
      </c>
      <c r="N3957" s="1076"/>
      <c r="O3957" s="294"/>
      <c r="P3957" s="404"/>
      <c r="Q3957" s="404"/>
    </row>
    <row r="3958" spans="1:17" ht="14.4" thickTop="1" thickBot="1" x14ac:dyDescent="0.3">
      <c r="A3958" s="292"/>
      <c r="B3958" s="296" t="s">
        <v>769</v>
      </c>
      <c r="C3958" s="294"/>
      <c r="D3958" s="294"/>
      <c r="E3958" s="294">
        <v>2</v>
      </c>
      <c r="F3958" s="310">
        <v>2.2000000000000002</v>
      </c>
      <c r="G3958" s="310"/>
      <c r="H3958" s="310">
        <v>0.6</v>
      </c>
      <c r="I3958" s="295">
        <f t="shared" si="511"/>
        <v>-2.64</v>
      </c>
      <c r="J3958" s="295"/>
      <c r="K3958" s="300">
        <f t="shared" si="488"/>
        <v>1.1000000000000001</v>
      </c>
      <c r="L3958" s="300">
        <f t="shared" si="512"/>
        <v>0</v>
      </c>
      <c r="M3958" s="285">
        <f t="shared" si="513"/>
        <v>0</v>
      </c>
      <c r="N3958" s="1076"/>
      <c r="O3958" s="294"/>
      <c r="P3958" s="404"/>
      <c r="Q3958" s="404"/>
    </row>
    <row r="3959" spans="1:17" ht="14.4" thickTop="1" thickBot="1" x14ac:dyDescent="0.3">
      <c r="A3959" s="292"/>
      <c r="B3959" s="296" t="s">
        <v>773</v>
      </c>
      <c r="C3959" s="294"/>
      <c r="D3959" s="294"/>
      <c r="E3959" s="294">
        <v>1</v>
      </c>
      <c r="F3959" s="310">
        <v>1.25</v>
      </c>
      <c r="G3959" s="310"/>
      <c r="H3959" s="310">
        <v>2.4</v>
      </c>
      <c r="I3959" s="295">
        <f t="shared" si="511"/>
        <v>-3</v>
      </c>
      <c r="J3959" s="295">
        <f>SUM(I3938:I3959)</f>
        <v>384.5759000000001</v>
      </c>
      <c r="K3959" s="300">
        <f t="shared" si="488"/>
        <v>1.1000000000000001</v>
      </c>
      <c r="L3959" s="300">
        <f t="shared" si="512"/>
        <v>423.03349000000014</v>
      </c>
      <c r="M3959" s="285">
        <f t="shared" si="513"/>
        <v>423</v>
      </c>
      <c r="N3959" s="1076"/>
      <c r="O3959" s="294"/>
      <c r="P3959" s="404"/>
      <c r="Q3959" s="404"/>
    </row>
    <row r="3960" spans="1:17" ht="14.4" thickTop="1" thickBot="1" x14ac:dyDescent="0.3">
      <c r="A3960" s="292"/>
      <c r="B3960" s="296"/>
      <c r="C3960" s="294"/>
      <c r="D3960" s="294"/>
      <c r="E3960" s="294"/>
      <c r="F3960" s="310"/>
      <c r="G3960" s="310"/>
      <c r="H3960" s="310"/>
      <c r="I3960" s="295"/>
      <c r="J3960" s="295">
        <f>J3959/9.29</f>
        <v>41.396759956942965</v>
      </c>
      <c r="K3960" s="300">
        <v>1.02</v>
      </c>
      <c r="L3960" s="300">
        <f t="shared" si="512"/>
        <v>42.224695156081822</v>
      </c>
      <c r="M3960" s="285">
        <f t="shared" si="513"/>
        <v>42</v>
      </c>
      <c r="N3960" s="1076"/>
      <c r="O3960" s="294" t="s">
        <v>879</v>
      </c>
      <c r="P3960" s="404"/>
      <c r="Q3960" s="404"/>
    </row>
    <row r="3961" spans="1:17" ht="14.4" thickTop="1" thickBot="1" x14ac:dyDescent="0.3">
      <c r="A3961" s="292"/>
      <c r="B3961" s="296"/>
      <c r="C3961" s="294"/>
      <c r="D3961" s="294"/>
      <c r="E3961" s="294"/>
      <c r="F3961" s="310"/>
      <c r="G3961" s="310"/>
      <c r="H3961" s="310"/>
      <c r="I3961" s="295"/>
      <c r="J3961" s="295"/>
      <c r="K3961" s="300">
        <f t="shared" si="488"/>
        <v>1.1000000000000001</v>
      </c>
      <c r="L3961" s="300">
        <f t="shared" si="512"/>
        <v>0</v>
      </c>
      <c r="M3961" s="285">
        <f t="shared" si="513"/>
        <v>0</v>
      </c>
      <c r="N3961" s="1076"/>
      <c r="O3961" s="294"/>
      <c r="P3961" s="404"/>
      <c r="Q3961" s="404"/>
    </row>
    <row r="3962" spans="1:17" ht="14.4" thickTop="1" thickBot="1" x14ac:dyDescent="0.3">
      <c r="A3962" s="292"/>
      <c r="B3962" s="296"/>
      <c r="C3962" s="294"/>
      <c r="D3962" s="294"/>
      <c r="E3962" s="294"/>
      <c r="F3962" s="310"/>
      <c r="G3962" s="310"/>
      <c r="H3962" s="310"/>
      <c r="I3962" s="295"/>
      <c r="J3962" s="295"/>
      <c r="K3962" s="300"/>
      <c r="L3962" s="300"/>
      <c r="M3962" s="285"/>
      <c r="N3962" s="1076"/>
      <c r="O3962" s="294"/>
      <c r="P3962" s="404"/>
      <c r="Q3962" s="404"/>
    </row>
    <row r="3963" spans="1:17" ht="14.4" thickTop="1" thickBot="1" x14ac:dyDescent="0.3">
      <c r="A3963" s="292"/>
      <c r="B3963" s="296"/>
      <c r="C3963" s="294"/>
      <c r="D3963" s="294"/>
      <c r="E3963" s="294"/>
      <c r="F3963" s="310"/>
      <c r="G3963" s="310"/>
      <c r="H3963" s="310"/>
      <c r="I3963" s="295"/>
      <c r="J3963" s="295"/>
      <c r="K3963" s="300"/>
      <c r="L3963" s="300"/>
      <c r="M3963" s="285"/>
      <c r="N3963" s="1076"/>
      <c r="O3963" s="294"/>
      <c r="P3963" s="404"/>
      <c r="Q3963" s="404"/>
    </row>
    <row r="3964" spans="1:17" ht="14.4" thickTop="1" thickBot="1" x14ac:dyDescent="0.3">
      <c r="A3964" s="292"/>
      <c r="B3964" s="296"/>
      <c r="C3964" s="294"/>
      <c r="D3964" s="294"/>
      <c r="E3964" s="294"/>
      <c r="F3964" s="310"/>
      <c r="G3964" s="310"/>
      <c r="H3964" s="310"/>
      <c r="I3964" s="295"/>
      <c r="J3964" s="295"/>
      <c r="K3964" s="300"/>
      <c r="L3964" s="300"/>
      <c r="M3964" s="285"/>
      <c r="N3964" s="1076"/>
      <c r="O3964" s="294"/>
      <c r="P3964" s="404"/>
      <c r="Q3964" s="404"/>
    </row>
    <row r="3965" spans="1:17" ht="14.4" thickTop="1" thickBot="1" x14ac:dyDescent="0.3">
      <c r="A3965" s="292"/>
      <c r="B3965" s="296"/>
      <c r="C3965" s="294"/>
      <c r="D3965" s="294"/>
      <c r="E3965" s="294"/>
      <c r="F3965" s="310"/>
      <c r="G3965" s="310"/>
      <c r="H3965" s="310"/>
      <c r="I3965" s="295"/>
      <c r="J3965" s="295"/>
      <c r="K3965" s="300"/>
      <c r="L3965" s="300"/>
      <c r="M3965" s="285"/>
      <c r="N3965" s="1076"/>
      <c r="O3965" s="294"/>
      <c r="P3965" s="404"/>
      <c r="Q3965" s="404"/>
    </row>
    <row r="3966" spans="1:17" ht="14.4" thickTop="1" thickBot="1" x14ac:dyDescent="0.3">
      <c r="A3966" s="292"/>
      <c r="B3966" s="296"/>
      <c r="C3966" s="294"/>
      <c r="D3966" s="294"/>
      <c r="E3966" s="294"/>
      <c r="F3966" s="310"/>
      <c r="G3966" s="310"/>
      <c r="H3966" s="310"/>
      <c r="I3966" s="295"/>
      <c r="J3966" s="295"/>
      <c r="K3966" s="300"/>
      <c r="L3966" s="300"/>
      <c r="M3966" s="285"/>
      <c r="N3966" s="1076"/>
      <c r="O3966" s="294"/>
      <c r="P3966" s="404"/>
      <c r="Q3966" s="404"/>
    </row>
    <row r="3967" spans="1:17" ht="14.4" thickTop="1" thickBot="1" x14ac:dyDescent="0.3">
      <c r="A3967" s="292"/>
      <c r="B3967" s="296"/>
      <c r="C3967" s="294"/>
      <c r="D3967" s="294"/>
      <c r="E3967" s="294"/>
      <c r="F3967" s="310"/>
      <c r="G3967" s="310"/>
      <c r="H3967" s="310"/>
      <c r="I3967" s="295"/>
      <c r="J3967" s="295"/>
      <c r="K3967" s="300"/>
      <c r="L3967" s="300"/>
      <c r="M3967" s="285"/>
      <c r="N3967" s="1076"/>
      <c r="O3967" s="294"/>
      <c r="P3967" s="404"/>
      <c r="Q3967" s="404"/>
    </row>
    <row r="3968" spans="1:17" ht="14.4" thickTop="1" thickBot="1" x14ac:dyDescent="0.3">
      <c r="A3968" s="292"/>
      <c r="B3968" s="296" t="s">
        <v>1575</v>
      </c>
      <c r="C3968" s="294"/>
      <c r="D3968" s="294"/>
      <c r="E3968" s="294"/>
      <c r="F3968" s="310"/>
      <c r="G3968" s="310"/>
      <c r="H3968" s="310"/>
      <c r="I3968" s="295"/>
      <c r="J3968" s="295"/>
      <c r="K3968" s="300">
        <f t="shared" si="488"/>
        <v>1.1000000000000001</v>
      </c>
      <c r="L3968" s="300">
        <f t="shared" ref="L3968:L3987" si="514">K3968*J3968</f>
        <v>0</v>
      </c>
      <c r="M3968" s="285">
        <f t="shared" ref="M3968:M3987" si="515">ROUND(L3968,0)</f>
        <v>0</v>
      </c>
      <c r="N3968" s="1076"/>
      <c r="O3968" s="294"/>
      <c r="P3968" s="404"/>
      <c r="Q3968" s="404"/>
    </row>
    <row r="3969" spans="1:17" ht="14.4" thickTop="1" thickBot="1" x14ac:dyDescent="0.3">
      <c r="A3969" s="292"/>
      <c r="B3969" s="296" t="s">
        <v>766</v>
      </c>
      <c r="C3969" s="294"/>
      <c r="D3969" s="294"/>
      <c r="E3969" s="294">
        <v>8</v>
      </c>
      <c r="F3969" s="310">
        <v>2.4</v>
      </c>
      <c r="G3969" s="310"/>
      <c r="H3969" s="310"/>
      <c r="I3969" s="295">
        <f>F3969*E3969</f>
        <v>19.2</v>
      </c>
      <c r="J3969" s="295"/>
      <c r="K3969" s="300">
        <f t="shared" si="488"/>
        <v>1.1000000000000001</v>
      </c>
      <c r="L3969" s="300">
        <f t="shared" si="514"/>
        <v>0</v>
      </c>
      <c r="M3969" s="285">
        <f t="shared" si="515"/>
        <v>0</v>
      </c>
      <c r="N3969" s="1076"/>
      <c r="O3969" s="294"/>
      <c r="P3969" s="404"/>
      <c r="Q3969" s="404"/>
    </row>
    <row r="3970" spans="1:17" ht="14.4" thickTop="1" thickBot="1" x14ac:dyDescent="0.3">
      <c r="A3970" s="292"/>
      <c r="B3970" s="296" t="s">
        <v>762</v>
      </c>
      <c r="C3970" s="294"/>
      <c r="D3970" s="294"/>
      <c r="E3970" s="294">
        <v>4</v>
      </c>
      <c r="F3970" s="310">
        <v>2.4</v>
      </c>
      <c r="G3970" s="310"/>
      <c r="H3970" s="310"/>
      <c r="I3970" s="295">
        <f t="shared" ref="I3970:I3971" si="516">F3970*E3970</f>
        <v>9.6</v>
      </c>
      <c r="J3970" s="295"/>
      <c r="K3970" s="300">
        <f t="shared" si="488"/>
        <v>1.1000000000000001</v>
      </c>
      <c r="L3970" s="300">
        <f t="shared" si="514"/>
        <v>0</v>
      </c>
      <c r="M3970" s="285">
        <f t="shared" si="515"/>
        <v>0</v>
      </c>
      <c r="N3970" s="1076"/>
      <c r="O3970" s="294"/>
      <c r="P3970" s="404"/>
      <c r="Q3970" s="404"/>
    </row>
    <row r="3971" spans="1:17" ht="14.4" thickTop="1" thickBot="1" x14ac:dyDescent="0.3">
      <c r="A3971" s="292"/>
      <c r="B3971" s="296" t="s">
        <v>769</v>
      </c>
      <c r="C3971" s="294"/>
      <c r="D3971" s="294"/>
      <c r="E3971" s="294">
        <v>2</v>
      </c>
      <c r="F3971" s="310">
        <v>2.2000000000000002</v>
      </c>
      <c r="G3971" s="310"/>
      <c r="H3971" s="310"/>
      <c r="I3971" s="295">
        <f t="shared" si="516"/>
        <v>4.4000000000000004</v>
      </c>
      <c r="J3971" s="295">
        <f>SUM(I3969:I3971)</f>
        <v>33.199999999999996</v>
      </c>
      <c r="K3971" s="300">
        <f t="shared" si="488"/>
        <v>1.1000000000000001</v>
      </c>
      <c r="L3971" s="300">
        <f t="shared" si="514"/>
        <v>36.519999999999996</v>
      </c>
      <c r="M3971" s="285">
        <f t="shared" si="515"/>
        <v>37</v>
      </c>
      <c r="N3971" s="1076"/>
      <c r="O3971" s="294"/>
      <c r="P3971" s="404"/>
      <c r="Q3971" s="404"/>
    </row>
    <row r="3972" spans="1:17" ht="14.4" thickTop="1" thickBot="1" x14ac:dyDescent="0.3">
      <c r="A3972" s="292"/>
      <c r="B3972" s="296"/>
      <c r="C3972" s="294"/>
      <c r="D3972" s="294"/>
      <c r="E3972" s="294"/>
      <c r="F3972" s="310"/>
      <c r="G3972" s="310"/>
      <c r="H3972" s="310"/>
      <c r="I3972" s="295"/>
      <c r="J3972" s="295">
        <f>J3971*3.28</f>
        <v>108.89599999999999</v>
      </c>
      <c r="K3972" s="300">
        <v>1.05</v>
      </c>
      <c r="L3972" s="300">
        <f t="shared" si="514"/>
        <v>114.34079999999999</v>
      </c>
      <c r="M3972" s="285">
        <f t="shared" si="515"/>
        <v>114</v>
      </c>
      <c r="N3972" s="1076"/>
      <c r="O3972" s="294"/>
      <c r="P3972" s="404"/>
      <c r="Q3972" s="404"/>
    </row>
    <row r="3973" spans="1:17" ht="14.4" thickTop="1" thickBot="1" x14ac:dyDescent="0.3">
      <c r="A3973" s="292"/>
      <c r="B3973" s="296"/>
      <c r="C3973" s="294"/>
      <c r="D3973" s="294"/>
      <c r="E3973" s="294"/>
      <c r="F3973" s="310"/>
      <c r="G3973" s="310"/>
      <c r="H3973" s="310"/>
      <c r="I3973" s="295"/>
      <c r="J3973" s="295"/>
      <c r="K3973" s="300">
        <f t="shared" si="488"/>
        <v>1.1000000000000001</v>
      </c>
      <c r="L3973" s="300">
        <f t="shared" si="514"/>
        <v>0</v>
      </c>
      <c r="M3973" s="285">
        <f t="shared" si="515"/>
        <v>0</v>
      </c>
      <c r="N3973" s="1076"/>
      <c r="O3973" s="294"/>
      <c r="P3973" s="404"/>
      <c r="Q3973" s="404"/>
    </row>
    <row r="3974" spans="1:17" ht="14.4" thickTop="1" thickBot="1" x14ac:dyDescent="0.3">
      <c r="A3974" s="292"/>
      <c r="B3974" s="296" t="s">
        <v>1484</v>
      </c>
      <c r="C3974" s="294"/>
      <c r="D3974" s="294"/>
      <c r="E3974" s="294"/>
      <c r="F3974" s="310"/>
      <c r="G3974" s="310"/>
      <c r="H3974" s="310"/>
      <c r="I3974" s="295"/>
      <c r="J3974" s="295"/>
      <c r="K3974" s="300">
        <f t="shared" si="488"/>
        <v>1.1000000000000001</v>
      </c>
      <c r="L3974" s="300">
        <f t="shared" si="514"/>
        <v>0</v>
      </c>
      <c r="M3974" s="285">
        <f t="shared" si="515"/>
        <v>0</v>
      </c>
      <c r="N3974" s="1076"/>
      <c r="O3974" s="294"/>
      <c r="P3974" s="404"/>
      <c r="Q3974" s="404"/>
    </row>
    <row r="3975" spans="1:17" ht="14.4" thickTop="1" thickBot="1" x14ac:dyDescent="0.3">
      <c r="A3975" s="292"/>
      <c r="B3975" s="296" t="s">
        <v>766</v>
      </c>
      <c r="C3975" s="294"/>
      <c r="D3975" s="294"/>
      <c r="E3975" s="294">
        <v>8</v>
      </c>
      <c r="F3975" s="310">
        <v>2.4</v>
      </c>
      <c r="G3975" s="310"/>
      <c r="H3975" s="310"/>
      <c r="I3975" s="295">
        <f>F3975*E3975</f>
        <v>19.2</v>
      </c>
      <c r="J3975" s="295"/>
      <c r="K3975" s="300">
        <f t="shared" si="488"/>
        <v>1.1000000000000001</v>
      </c>
      <c r="L3975" s="300">
        <f t="shared" si="514"/>
        <v>0</v>
      </c>
      <c r="M3975" s="285">
        <f t="shared" si="515"/>
        <v>0</v>
      </c>
      <c r="N3975" s="1076"/>
      <c r="O3975" s="294"/>
      <c r="P3975" s="404"/>
      <c r="Q3975" s="404"/>
    </row>
    <row r="3976" spans="1:17" ht="14.4" thickTop="1" thickBot="1" x14ac:dyDescent="0.3">
      <c r="A3976" s="292"/>
      <c r="B3976" s="296" t="s">
        <v>772</v>
      </c>
      <c r="C3976" s="294"/>
      <c r="D3976" s="294"/>
      <c r="E3976" s="294">
        <v>1</v>
      </c>
      <c r="F3976" s="310">
        <v>4.5</v>
      </c>
      <c r="G3976" s="310"/>
      <c r="H3976" s="310"/>
      <c r="I3976" s="295">
        <f t="shared" ref="I3976:I3982" si="517">F3976*E3976</f>
        <v>4.5</v>
      </c>
      <c r="J3976" s="295"/>
      <c r="K3976" s="300">
        <f t="shared" si="488"/>
        <v>1.1000000000000001</v>
      </c>
      <c r="L3976" s="300">
        <f t="shared" si="514"/>
        <v>0</v>
      </c>
      <c r="M3976" s="285">
        <f t="shared" si="515"/>
        <v>0</v>
      </c>
      <c r="N3976" s="1076"/>
      <c r="O3976" s="294"/>
      <c r="P3976" s="404"/>
      <c r="Q3976" s="404"/>
    </row>
    <row r="3977" spans="1:17" ht="14.4" thickTop="1" thickBot="1" x14ac:dyDescent="0.3">
      <c r="A3977" s="292"/>
      <c r="B3977" s="296" t="s">
        <v>770</v>
      </c>
      <c r="C3977" s="294"/>
      <c r="D3977" s="294"/>
      <c r="E3977" s="294">
        <v>2</v>
      </c>
      <c r="F3977" s="310">
        <v>0.9</v>
      </c>
      <c r="G3977" s="310"/>
      <c r="H3977" s="310"/>
      <c r="I3977" s="295">
        <f t="shared" si="517"/>
        <v>1.8</v>
      </c>
      <c r="J3977" s="295"/>
      <c r="K3977" s="300">
        <f t="shared" si="488"/>
        <v>1.1000000000000001</v>
      </c>
      <c r="L3977" s="300">
        <f t="shared" si="514"/>
        <v>0</v>
      </c>
      <c r="M3977" s="285">
        <f t="shared" si="515"/>
        <v>0</v>
      </c>
      <c r="N3977" s="1076"/>
      <c r="O3977" s="294"/>
      <c r="P3977" s="404"/>
      <c r="Q3977" s="404"/>
    </row>
    <row r="3978" spans="1:17" ht="14.4" thickTop="1" thickBot="1" x14ac:dyDescent="0.3">
      <c r="A3978" s="292"/>
      <c r="B3978" s="296" t="s">
        <v>762</v>
      </c>
      <c r="C3978" s="294"/>
      <c r="D3978" s="294"/>
      <c r="E3978" s="294">
        <v>4</v>
      </c>
      <c r="F3978" s="310">
        <v>2.4</v>
      </c>
      <c r="G3978" s="310"/>
      <c r="H3978" s="310"/>
      <c r="I3978" s="295">
        <f t="shared" si="517"/>
        <v>9.6</v>
      </c>
      <c r="J3978" s="295"/>
      <c r="K3978" s="300">
        <f t="shared" si="488"/>
        <v>1.1000000000000001</v>
      </c>
      <c r="L3978" s="300">
        <f t="shared" si="514"/>
        <v>0</v>
      </c>
      <c r="M3978" s="285">
        <f t="shared" si="515"/>
        <v>0</v>
      </c>
      <c r="N3978" s="1076"/>
      <c r="O3978" s="294"/>
      <c r="P3978" s="404"/>
      <c r="Q3978" s="404"/>
    </row>
    <row r="3979" spans="1:17" ht="14.4" thickTop="1" thickBot="1" x14ac:dyDescent="0.3">
      <c r="A3979" s="292"/>
      <c r="B3979" s="296" t="s">
        <v>768</v>
      </c>
      <c r="C3979" s="294"/>
      <c r="D3979" s="294"/>
      <c r="E3979" s="294">
        <v>1</v>
      </c>
      <c r="F3979" s="310">
        <v>2.2749999999999999</v>
      </c>
      <c r="G3979" s="310"/>
      <c r="H3979" s="310"/>
      <c r="I3979" s="295">
        <f t="shared" si="517"/>
        <v>2.2749999999999999</v>
      </c>
      <c r="J3979" s="295"/>
      <c r="K3979" s="300">
        <f t="shared" si="488"/>
        <v>1.1000000000000001</v>
      </c>
      <c r="L3979" s="300">
        <f t="shared" si="514"/>
        <v>0</v>
      </c>
      <c r="M3979" s="285">
        <f t="shared" si="515"/>
        <v>0</v>
      </c>
      <c r="N3979" s="1076"/>
      <c r="O3979" s="294"/>
      <c r="P3979" s="404"/>
      <c r="Q3979" s="404"/>
    </row>
    <row r="3980" spans="1:17" ht="14.4" thickTop="1" thickBot="1" x14ac:dyDescent="0.3">
      <c r="A3980" s="292"/>
      <c r="B3980" s="296" t="s">
        <v>769</v>
      </c>
      <c r="C3980" s="294"/>
      <c r="D3980" s="294"/>
      <c r="E3980" s="294">
        <v>2</v>
      </c>
      <c r="F3980" s="310">
        <v>2.2000000000000002</v>
      </c>
      <c r="G3980" s="310"/>
      <c r="H3980" s="310"/>
      <c r="I3980" s="295">
        <f t="shared" si="517"/>
        <v>4.4000000000000004</v>
      </c>
      <c r="J3980" s="295"/>
      <c r="K3980" s="300">
        <f t="shared" si="488"/>
        <v>1.1000000000000001</v>
      </c>
      <c r="L3980" s="300">
        <f t="shared" si="514"/>
        <v>0</v>
      </c>
      <c r="M3980" s="285">
        <f t="shared" si="515"/>
        <v>0</v>
      </c>
      <c r="N3980" s="1076"/>
      <c r="O3980" s="294"/>
      <c r="P3980" s="404"/>
      <c r="Q3980" s="404"/>
    </row>
    <row r="3981" spans="1:17" ht="14.4" thickTop="1" thickBot="1" x14ac:dyDescent="0.3">
      <c r="A3981" s="292"/>
      <c r="B3981" s="296" t="s">
        <v>773</v>
      </c>
      <c r="C3981" s="294"/>
      <c r="D3981" s="294"/>
      <c r="E3981" s="294">
        <v>1</v>
      </c>
      <c r="F3981" s="310">
        <v>1.25</v>
      </c>
      <c r="G3981" s="310"/>
      <c r="H3981" s="310"/>
      <c r="I3981" s="295">
        <f t="shared" si="517"/>
        <v>1.25</v>
      </c>
      <c r="J3981" s="295"/>
      <c r="K3981" s="300">
        <f t="shared" si="488"/>
        <v>1.1000000000000001</v>
      </c>
      <c r="L3981" s="300">
        <f t="shared" si="514"/>
        <v>0</v>
      </c>
      <c r="M3981" s="285">
        <f t="shared" si="515"/>
        <v>0</v>
      </c>
      <c r="N3981" s="1076"/>
      <c r="O3981" s="294"/>
      <c r="P3981" s="404"/>
      <c r="Q3981" s="404"/>
    </row>
    <row r="3982" spans="1:17" ht="14.4" thickTop="1" thickBot="1" x14ac:dyDescent="0.3">
      <c r="A3982" s="292"/>
      <c r="B3982" s="296" t="s">
        <v>756</v>
      </c>
      <c r="C3982" s="294"/>
      <c r="D3982" s="294"/>
      <c r="E3982" s="294">
        <v>8</v>
      </c>
      <c r="F3982" s="310">
        <f>F3923</f>
        <v>2.4500000000000002</v>
      </c>
      <c r="G3982" s="310"/>
      <c r="H3982" s="310"/>
      <c r="I3982" s="295">
        <f t="shared" si="517"/>
        <v>19.600000000000001</v>
      </c>
      <c r="J3982" s="295">
        <f>SUM(I3975:I3982)</f>
        <v>62.625</v>
      </c>
      <c r="K3982" s="300">
        <f t="shared" si="488"/>
        <v>1.1000000000000001</v>
      </c>
      <c r="L3982" s="300">
        <f t="shared" si="514"/>
        <v>68.887500000000003</v>
      </c>
      <c r="M3982" s="285">
        <f t="shared" si="515"/>
        <v>69</v>
      </c>
      <c r="N3982" s="1076"/>
      <c r="O3982" s="294"/>
      <c r="P3982" s="404"/>
      <c r="Q3982" s="404"/>
    </row>
    <row r="3983" spans="1:17" ht="14.4" thickTop="1" thickBot="1" x14ac:dyDescent="0.3">
      <c r="A3983" s="292"/>
      <c r="B3983" s="296"/>
      <c r="C3983" s="294"/>
      <c r="D3983" s="294"/>
      <c r="E3983" s="294"/>
      <c r="F3983" s="310"/>
      <c r="G3983" s="310"/>
      <c r="H3983" s="310"/>
      <c r="I3983" s="295"/>
      <c r="J3983" s="295">
        <f>J3982*3.28</f>
        <v>205.41</v>
      </c>
      <c r="K3983" s="300">
        <v>1.05</v>
      </c>
      <c r="L3983" s="300">
        <f t="shared" si="514"/>
        <v>215.68049999999999</v>
      </c>
      <c r="M3983" s="285">
        <f t="shared" si="515"/>
        <v>216</v>
      </c>
      <c r="N3983" s="1076"/>
      <c r="O3983" s="294"/>
      <c r="P3983" s="404"/>
      <c r="Q3983" s="404"/>
    </row>
    <row r="3984" spans="1:17" ht="14.4" thickTop="1" thickBot="1" x14ac:dyDescent="0.3">
      <c r="A3984" s="292"/>
      <c r="B3984" s="296"/>
      <c r="C3984" s="294"/>
      <c r="D3984" s="294"/>
      <c r="E3984" s="294"/>
      <c r="F3984" s="310"/>
      <c r="G3984" s="310"/>
      <c r="H3984" s="310"/>
      <c r="I3984" s="295"/>
      <c r="J3984" s="295"/>
      <c r="K3984" s="300">
        <f t="shared" si="488"/>
        <v>1.1000000000000001</v>
      </c>
      <c r="L3984" s="300">
        <f t="shared" si="514"/>
        <v>0</v>
      </c>
      <c r="M3984" s="285">
        <f t="shared" si="515"/>
        <v>0</v>
      </c>
      <c r="N3984" s="1076"/>
      <c r="O3984" s="294"/>
      <c r="P3984" s="404"/>
      <c r="Q3984" s="404"/>
    </row>
    <row r="3985" spans="1:19" ht="14.4" thickTop="1" thickBot="1" x14ac:dyDescent="0.3">
      <c r="A3985" s="292"/>
      <c r="B3985" s="296"/>
      <c r="C3985" s="294"/>
      <c r="D3985" s="294"/>
      <c r="E3985" s="294"/>
      <c r="F3985" s="310"/>
      <c r="G3985" s="310"/>
      <c r="H3985" s="310"/>
      <c r="I3985" s="295"/>
      <c r="J3985" s="295"/>
      <c r="K3985" s="300">
        <f t="shared" si="488"/>
        <v>1.1000000000000001</v>
      </c>
      <c r="L3985" s="300">
        <f t="shared" si="514"/>
        <v>0</v>
      </c>
      <c r="M3985" s="285">
        <f t="shared" si="515"/>
        <v>0</v>
      </c>
      <c r="N3985" s="1076"/>
      <c r="O3985" s="294"/>
      <c r="P3985" s="404"/>
      <c r="Q3985" s="404"/>
    </row>
    <row r="3986" spans="1:19" ht="14.4" thickTop="1" thickBot="1" x14ac:dyDescent="0.3">
      <c r="A3986" s="292"/>
      <c r="B3986" s="296" t="s">
        <v>774</v>
      </c>
      <c r="C3986" s="294"/>
      <c r="D3986" s="294"/>
      <c r="E3986" s="294"/>
      <c r="F3986" s="310"/>
      <c r="G3986" s="310"/>
      <c r="H3986" s="310"/>
      <c r="I3986" s="295"/>
      <c r="J3986" s="295"/>
      <c r="K3986" s="300">
        <f t="shared" si="488"/>
        <v>1.1000000000000001</v>
      </c>
      <c r="L3986" s="300">
        <f t="shared" si="514"/>
        <v>0</v>
      </c>
      <c r="M3986" s="285">
        <f t="shared" si="515"/>
        <v>0</v>
      </c>
      <c r="N3986" s="1076"/>
      <c r="O3986" s="294"/>
      <c r="P3986" s="404"/>
      <c r="Q3986" s="404"/>
    </row>
    <row r="3987" spans="1:19" ht="14.4" thickTop="1" thickBot="1" x14ac:dyDescent="0.3">
      <c r="A3987" s="292"/>
      <c r="B3987" s="296" t="s">
        <v>750</v>
      </c>
      <c r="C3987" s="294"/>
      <c r="D3987" s="294"/>
      <c r="E3987" s="294">
        <v>2</v>
      </c>
      <c r="F3987" s="310">
        <v>26.024999999999999</v>
      </c>
      <c r="G3987" s="310">
        <v>0.22500000000000001</v>
      </c>
      <c r="H3987" s="310">
        <v>4.7229999999999999</v>
      </c>
      <c r="I3987" s="295">
        <f>H3987*F3987*E3987*G3987</f>
        <v>55.312233749999997</v>
      </c>
      <c r="J3987" s="295"/>
      <c r="K3987" s="300">
        <f t="shared" si="488"/>
        <v>1.1000000000000001</v>
      </c>
      <c r="L3987" s="300">
        <f t="shared" si="514"/>
        <v>0</v>
      </c>
      <c r="M3987" s="285">
        <f t="shared" si="515"/>
        <v>0</v>
      </c>
      <c r="N3987" s="1076"/>
      <c r="O3987" s="294"/>
      <c r="P3987" s="404"/>
      <c r="Q3987" s="404"/>
    </row>
    <row r="3988" spans="1:19" ht="14.4" thickTop="1" thickBot="1" x14ac:dyDescent="0.3">
      <c r="A3988" s="292"/>
      <c r="B3988" s="296" t="s">
        <v>776</v>
      </c>
      <c r="C3988" s="294"/>
      <c r="D3988" s="294"/>
      <c r="E3988" s="294">
        <v>3</v>
      </c>
      <c r="F3988" s="310">
        <v>10.5</v>
      </c>
      <c r="G3988" s="310">
        <v>0.22500000000000001</v>
      </c>
      <c r="H3988" s="310">
        <v>4.7229999999999999</v>
      </c>
      <c r="I3988" s="295">
        <f t="shared" ref="I3988:I3993" si="518">H3988*F3988*E3988*G3988</f>
        <v>33.474262500000002</v>
      </c>
      <c r="J3988" s="295"/>
      <c r="K3988" s="300">
        <f t="shared" si="488"/>
        <v>1.1000000000000001</v>
      </c>
      <c r="L3988" s="300">
        <f t="shared" si="505"/>
        <v>0</v>
      </c>
      <c r="M3988" s="285">
        <f t="shared" si="483"/>
        <v>0</v>
      </c>
      <c r="N3988" s="1076"/>
      <c r="O3988" s="294"/>
      <c r="P3988" s="404"/>
      <c r="Q3988" s="404"/>
    </row>
    <row r="3989" spans="1:19" ht="14.4" thickTop="1" thickBot="1" x14ac:dyDescent="0.3">
      <c r="A3989" s="292"/>
      <c r="B3989" s="296" t="s">
        <v>775</v>
      </c>
      <c r="C3989" s="294"/>
      <c r="D3989" s="294"/>
      <c r="E3989" s="294">
        <v>2</v>
      </c>
      <c r="F3989" s="310">
        <f>F3988</f>
        <v>10.5</v>
      </c>
      <c r="G3989" s="310">
        <v>0.22500000000000001</v>
      </c>
      <c r="H3989" s="310">
        <v>4.7229999999999999</v>
      </c>
      <c r="I3989" s="295">
        <f t="shared" si="518"/>
        <v>22.316174999999998</v>
      </c>
      <c r="J3989" s="295"/>
      <c r="K3989" s="300">
        <f t="shared" si="488"/>
        <v>1.1000000000000001</v>
      </c>
      <c r="L3989" s="300">
        <f t="shared" si="505"/>
        <v>0</v>
      </c>
      <c r="M3989" s="285">
        <f t="shared" si="483"/>
        <v>0</v>
      </c>
      <c r="N3989" s="1076"/>
      <c r="O3989" s="294"/>
      <c r="P3989" s="404"/>
      <c r="Q3989" s="404"/>
    </row>
    <row r="3990" spans="1:19" ht="14.4" thickTop="1" thickBot="1" x14ac:dyDescent="0.3">
      <c r="A3990" s="292"/>
      <c r="B3990" s="296" t="s">
        <v>756</v>
      </c>
      <c r="C3990" s="294"/>
      <c r="D3990" s="294"/>
      <c r="E3990" s="294">
        <v>1</v>
      </c>
      <c r="F3990" s="310">
        <v>1.3</v>
      </c>
      <c r="G3990" s="310">
        <v>0.22500000000000001</v>
      </c>
      <c r="H3990" s="310">
        <v>4.7229999999999999</v>
      </c>
      <c r="I3990" s="295">
        <f t="shared" si="518"/>
        <v>1.3814774999999999</v>
      </c>
      <c r="J3990" s="295"/>
      <c r="K3990" s="300">
        <f t="shared" si="488"/>
        <v>1.1000000000000001</v>
      </c>
      <c r="L3990" s="300">
        <f t="shared" si="505"/>
        <v>0</v>
      </c>
      <c r="M3990" s="285">
        <f t="shared" si="483"/>
        <v>0</v>
      </c>
      <c r="N3990" s="1076"/>
      <c r="O3990" s="294"/>
      <c r="P3990" s="404"/>
      <c r="Q3990" s="404"/>
    </row>
    <row r="3991" spans="1:19" ht="14.4" thickTop="1" thickBot="1" x14ac:dyDescent="0.3">
      <c r="A3991" s="292"/>
      <c r="B3991" s="296" t="s">
        <v>757</v>
      </c>
      <c r="C3991" s="294"/>
      <c r="D3991" s="294"/>
      <c r="E3991" s="294">
        <v>1</v>
      </c>
      <c r="F3991" s="310">
        <v>6.5259999999999998</v>
      </c>
      <c r="G3991" s="310">
        <v>0.22500000000000001</v>
      </c>
      <c r="H3991" s="310">
        <v>4.7229999999999999</v>
      </c>
      <c r="I3991" s="295">
        <f t="shared" si="518"/>
        <v>6.935017049999999</v>
      </c>
      <c r="J3991" s="295"/>
      <c r="K3991" s="300">
        <f t="shared" si="488"/>
        <v>1.1000000000000001</v>
      </c>
      <c r="L3991" s="300">
        <f t="shared" si="505"/>
        <v>0</v>
      </c>
      <c r="M3991" s="285">
        <f t="shared" si="483"/>
        <v>0</v>
      </c>
      <c r="N3991" s="1076"/>
      <c r="O3991" s="294"/>
      <c r="P3991" s="404"/>
      <c r="Q3991" s="404"/>
    </row>
    <row r="3992" spans="1:19" ht="14.4" thickTop="1" thickBot="1" x14ac:dyDescent="0.3">
      <c r="A3992" s="292"/>
      <c r="B3992" s="296"/>
      <c r="C3992" s="294"/>
      <c r="D3992" s="294"/>
      <c r="E3992" s="294">
        <v>2</v>
      </c>
      <c r="F3992" s="310">
        <v>0.82499999999999996</v>
      </c>
      <c r="G3992" s="310">
        <v>0.22500000000000001</v>
      </c>
      <c r="H3992" s="310">
        <v>4.7229999999999999</v>
      </c>
      <c r="I3992" s="295">
        <f t="shared" si="518"/>
        <v>1.75341375</v>
      </c>
      <c r="J3992" s="295"/>
      <c r="K3992" s="300">
        <f t="shared" si="488"/>
        <v>1.1000000000000001</v>
      </c>
      <c r="L3992" s="300">
        <f t="shared" si="505"/>
        <v>0</v>
      </c>
      <c r="M3992" s="285">
        <f t="shared" si="483"/>
        <v>0</v>
      </c>
      <c r="N3992" s="1076"/>
      <c r="O3992" s="294"/>
      <c r="P3992" s="404"/>
      <c r="Q3992" s="404"/>
    </row>
    <row r="3993" spans="1:19" ht="14.4" thickTop="1" thickBot="1" x14ac:dyDescent="0.3">
      <c r="A3993" s="292"/>
      <c r="B3993" s="296" t="s">
        <v>756</v>
      </c>
      <c r="C3993" s="294"/>
      <c r="D3993" s="294"/>
      <c r="E3993" s="294">
        <v>4</v>
      </c>
      <c r="F3993" s="310">
        <f>F3923</f>
        <v>2.4500000000000002</v>
      </c>
      <c r="G3993" s="310">
        <v>0.22500000000000001</v>
      </c>
      <c r="H3993" s="310">
        <v>5</v>
      </c>
      <c r="I3993" s="295">
        <f t="shared" si="518"/>
        <v>11.025</v>
      </c>
      <c r="J3993" s="295"/>
      <c r="K3993" s="300"/>
      <c r="L3993" s="300"/>
      <c r="M3993" s="285"/>
      <c r="N3993" s="1076"/>
      <c r="O3993" s="294"/>
      <c r="P3993" s="404"/>
      <c r="Q3993" s="404"/>
    </row>
    <row r="3994" spans="1:19" ht="14.4" thickTop="1" thickBot="1" x14ac:dyDescent="0.3">
      <c r="A3994" s="292"/>
      <c r="B3994" s="296" t="s">
        <v>771</v>
      </c>
      <c r="C3994" s="294"/>
      <c r="D3994" s="294"/>
      <c r="E3994" s="294"/>
      <c r="F3994" s="310"/>
      <c r="G3994" s="310"/>
      <c r="H3994" s="310"/>
      <c r="I3994" s="295"/>
      <c r="J3994" s="295"/>
      <c r="K3994" s="300">
        <f t="shared" si="488"/>
        <v>1.1000000000000001</v>
      </c>
      <c r="L3994" s="300">
        <f t="shared" si="505"/>
        <v>0</v>
      </c>
      <c r="M3994" s="285">
        <f t="shared" si="483"/>
        <v>0</v>
      </c>
      <c r="N3994" s="1076"/>
      <c r="O3994" s="294"/>
      <c r="P3994" s="404"/>
      <c r="Q3994" s="404"/>
    </row>
    <row r="3995" spans="1:19" ht="14.4" thickTop="1" thickBot="1" x14ac:dyDescent="0.3">
      <c r="A3995" s="292"/>
      <c r="B3995" s="296" t="s">
        <v>1474</v>
      </c>
      <c r="C3995" s="294"/>
      <c r="D3995" s="294"/>
      <c r="E3995" s="294">
        <v>1</v>
      </c>
      <c r="F3995" s="310">
        <v>1.2</v>
      </c>
      <c r="G3995" s="310">
        <v>0.22500000000000001</v>
      </c>
      <c r="H3995" s="310">
        <v>2</v>
      </c>
      <c r="I3995" s="295">
        <f>-H3995*F3995*E3995*G3995</f>
        <v>-0.54</v>
      </c>
      <c r="J3995" s="295"/>
      <c r="K3995" s="300"/>
      <c r="L3995" s="300"/>
      <c r="M3995" s="285"/>
      <c r="N3995" s="1076"/>
      <c r="O3995" s="294"/>
      <c r="P3995" s="404"/>
      <c r="Q3995" s="404"/>
    </row>
    <row r="3996" spans="1:19" ht="14.4" thickTop="1" thickBot="1" x14ac:dyDescent="0.3">
      <c r="A3996" s="292"/>
      <c r="B3996" s="296" t="s">
        <v>766</v>
      </c>
      <c r="C3996" s="294"/>
      <c r="D3996" s="294"/>
      <c r="E3996" s="294">
        <v>8</v>
      </c>
      <c r="F3996" s="310">
        <v>2.4</v>
      </c>
      <c r="G3996" s="310">
        <v>0.22500000000000001</v>
      </c>
      <c r="H3996" s="310">
        <v>2.1</v>
      </c>
      <c r="I3996" s="295">
        <f>-H3996*F3996*E3996*G3996</f>
        <v>-9.072000000000001</v>
      </c>
      <c r="J3996" s="295"/>
      <c r="K3996" s="300">
        <f t="shared" si="488"/>
        <v>1.1000000000000001</v>
      </c>
      <c r="L3996" s="300">
        <f t="shared" si="505"/>
        <v>0</v>
      </c>
      <c r="M3996" s="285">
        <f t="shared" si="483"/>
        <v>0</v>
      </c>
      <c r="N3996" s="1076"/>
      <c r="O3996" s="294"/>
      <c r="P3996" s="404"/>
      <c r="Q3996" s="404"/>
    </row>
    <row r="3997" spans="1:19" ht="14.4" thickTop="1" thickBot="1" x14ac:dyDescent="0.3">
      <c r="A3997" s="292"/>
      <c r="B3997" s="296" t="s">
        <v>764</v>
      </c>
      <c r="C3997" s="294"/>
      <c r="D3997" s="294"/>
      <c r="E3997" s="294">
        <v>1</v>
      </c>
      <c r="F3997" s="310">
        <v>1.125</v>
      </c>
      <c r="G3997" s="310">
        <v>0.22500000000000001</v>
      </c>
      <c r="H3997" s="310">
        <v>3</v>
      </c>
      <c r="I3997" s="295">
        <f t="shared" ref="I3997:I4000" si="519">-H3997*F3997*E3997*G3997</f>
        <v>-0.75937500000000002</v>
      </c>
      <c r="J3997" s="295"/>
      <c r="K3997" s="300">
        <f t="shared" si="488"/>
        <v>1.1000000000000001</v>
      </c>
      <c r="L3997" s="300">
        <f t="shared" si="505"/>
        <v>0</v>
      </c>
      <c r="M3997" s="285">
        <f t="shared" si="483"/>
        <v>0</v>
      </c>
      <c r="N3997" s="1076"/>
      <c r="O3997" s="294"/>
      <c r="P3997" s="404"/>
      <c r="Q3997" s="404"/>
    </row>
    <row r="3998" spans="1:19" ht="14.4" thickTop="1" thickBot="1" x14ac:dyDescent="0.3">
      <c r="A3998" s="292"/>
      <c r="B3998" s="296" t="s">
        <v>768</v>
      </c>
      <c r="C3998" s="294"/>
      <c r="D3998" s="294"/>
      <c r="E3998" s="294">
        <v>1</v>
      </c>
      <c r="F3998" s="310">
        <v>2.2749999999999999</v>
      </c>
      <c r="G3998" s="310">
        <v>0.22500000000000001</v>
      </c>
      <c r="H3998" s="310">
        <v>3</v>
      </c>
      <c r="I3998" s="295">
        <f t="shared" si="519"/>
        <v>-1.5356249999999998</v>
      </c>
      <c r="J3998" s="295"/>
      <c r="K3998" s="300">
        <f t="shared" si="488"/>
        <v>1.1000000000000001</v>
      </c>
      <c r="L3998" s="300">
        <f t="shared" si="505"/>
        <v>0</v>
      </c>
      <c r="M3998" s="285">
        <f t="shared" ref="M3998:M4123" si="520">ROUND(L3998,0)</f>
        <v>0</v>
      </c>
      <c r="N3998" s="1076"/>
      <c r="O3998" s="294"/>
      <c r="P3998" s="404"/>
      <c r="Q3998" s="404"/>
    </row>
    <row r="3999" spans="1:19" ht="14.4" thickTop="1" thickBot="1" x14ac:dyDescent="0.3">
      <c r="A3999" s="292"/>
      <c r="B3999" s="296" t="s">
        <v>777</v>
      </c>
      <c r="C3999" s="294"/>
      <c r="D3999" s="294"/>
      <c r="E3999" s="294">
        <v>2</v>
      </c>
      <c r="F3999" s="310">
        <v>1.65</v>
      </c>
      <c r="G3999" s="310">
        <v>0.22500000000000001</v>
      </c>
      <c r="H3999" s="310">
        <v>0.6</v>
      </c>
      <c r="I3999" s="295">
        <f t="shared" si="519"/>
        <v>-0.44549999999999995</v>
      </c>
      <c r="J3999" s="295"/>
      <c r="K3999" s="300">
        <f t="shared" si="488"/>
        <v>1.1000000000000001</v>
      </c>
      <c r="L3999" s="300">
        <f t="shared" si="505"/>
        <v>0</v>
      </c>
      <c r="M3999" s="285">
        <f t="shared" si="520"/>
        <v>0</v>
      </c>
      <c r="N3999" s="1076"/>
      <c r="O3999" s="294"/>
      <c r="P3999" s="404"/>
      <c r="Q3999" s="404"/>
    </row>
    <row r="4000" spans="1:19" ht="14.4" thickTop="1" thickBot="1" x14ac:dyDescent="0.3">
      <c r="A4000" s="292"/>
      <c r="B4000" s="296" t="s">
        <v>762</v>
      </c>
      <c r="C4000" s="294"/>
      <c r="D4000" s="294"/>
      <c r="E4000" s="294">
        <v>1</v>
      </c>
      <c r="F4000" s="310">
        <v>2.4</v>
      </c>
      <c r="G4000" s="310">
        <v>0.22500000000000001</v>
      </c>
      <c r="H4000" s="310">
        <v>2.1</v>
      </c>
      <c r="I4000" s="295">
        <f t="shared" si="519"/>
        <v>-1.1340000000000001</v>
      </c>
      <c r="J4000" s="295">
        <f>SUM(I3987:I4000)</f>
        <v>118.71107955000001</v>
      </c>
      <c r="K4000" s="300">
        <f t="shared" si="488"/>
        <v>1.1000000000000001</v>
      </c>
      <c r="L4000" s="300">
        <f t="shared" si="505"/>
        <v>130.58218750500001</v>
      </c>
      <c r="M4000" s="285">
        <f t="shared" si="520"/>
        <v>131</v>
      </c>
      <c r="N4000" s="1076"/>
      <c r="O4000" s="294"/>
      <c r="P4000" s="404"/>
      <c r="Q4000" s="404"/>
      <c r="R4000" s="287">
        <v>451</v>
      </c>
      <c r="S4000" s="287">
        <f>R4000*0.225</f>
        <v>101.47500000000001</v>
      </c>
    </row>
    <row r="4001" spans="1:19" ht="14.4" thickTop="1" thickBot="1" x14ac:dyDescent="0.3">
      <c r="A4001" s="292"/>
      <c r="B4001" s="296"/>
      <c r="C4001" s="294"/>
      <c r="D4001" s="294"/>
      <c r="E4001" s="294"/>
      <c r="F4001" s="310"/>
      <c r="G4001" s="310"/>
      <c r="H4001" s="310"/>
      <c r="I4001" s="295"/>
      <c r="J4001" s="295">
        <f>J4000/2.83</f>
        <v>41.947377932862196</v>
      </c>
      <c r="K4001" s="300">
        <v>1.02</v>
      </c>
      <c r="L4001" s="300">
        <f t="shared" si="505"/>
        <v>42.786325491519442</v>
      </c>
      <c r="M4001" s="285">
        <f t="shared" si="520"/>
        <v>43</v>
      </c>
      <c r="N4001" s="1076"/>
      <c r="O4001" s="294" t="s">
        <v>875</v>
      </c>
      <c r="P4001" s="404"/>
      <c r="Q4001" s="404"/>
      <c r="S4001" s="287">
        <f>S4000/2.83</f>
        <v>35.85689045936396</v>
      </c>
    </row>
    <row r="4002" spans="1:19" ht="14.4" thickTop="1" thickBot="1" x14ac:dyDescent="0.3">
      <c r="A4002" s="292"/>
      <c r="B4002" s="296"/>
      <c r="C4002" s="294"/>
      <c r="D4002" s="294"/>
      <c r="E4002" s="294"/>
      <c r="F4002" s="310"/>
      <c r="G4002" s="310"/>
      <c r="H4002" s="310"/>
      <c r="I4002" s="295"/>
      <c r="J4002" s="295"/>
      <c r="K4002" s="300"/>
      <c r="L4002" s="300"/>
      <c r="M4002" s="285"/>
      <c r="N4002" s="1076"/>
      <c r="O4002" s="294"/>
      <c r="P4002" s="404"/>
      <c r="Q4002" s="404"/>
    </row>
    <row r="4003" spans="1:19" ht="14.4" thickTop="1" thickBot="1" x14ac:dyDescent="0.3">
      <c r="A4003" s="292"/>
      <c r="B4003" s="296" t="s">
        <v>774</v>
      </c>
      <c r="C4003" s="294"/>
      <c r="D4003" s="294"/>
      <c r="E4003" s="294"/>
      <c r="F4003" s="310"/>
      <c r="G4003" s="310"/>
      <c r="H4003" s="310"/>
      <c r="I4003" s="295"/>
      <c r="J4003" s="295"/>
      <c r="K4003" s="300">
        <f t="shared" si="488"/>
        <v>1.1000000000000001</v>
      </c>
      <c r="L4003" s="300">
        <f t="shared" ref="L4003:L4009" si="521">K4003*J4003</f>
        <v>0</v>
      </c>
      <c r="M4003" s="285">
        <f t="shared" ref="M4003:M4009" si="522">ROUND(L4003,0)</f>
        <v>0</v>
      </c>
      <c r="N4003" s="1076"/>
      <c r="O4003" s="294"/>
      <c r="P4003" s="404"/>
      <c r="Q4003" s="404"/>
    </row>
    <row r="4004" spans="1:19" ht="14.4" thickTop="1" thickBot="1" x14ac:dyDescent="0.3">
      <c r="A4004" s="292"/>
      <c r="B4004" s="296" t="s">
        <v>750</v>
      </c>
      <c r="C4004" s="294"/>
      <c r="D4004" s="294"/>
      <c r="E4004" s="294">
        <v>2</v>
      </c>
      <c r="F4004" s="310">
        <v>26.024999999999999</v>
      </c>
      <c r="G4004" s="310"/>
      <c r="H4004" s="310">
        <f>H3987</f>
        <v>4.7229999999999999</v>
      </c>
      <c r="I4004" s="295">
        <f>H4004*F4004*E4004</f>
        <v>245.83214999999998</v>
      </c>
      <c r="J4004" s="295"/>
      <c r="K4004" s="300">
        <f t="shared" si="488"/>
        <v>1.1000000000000001</v>
      </c>
      <c r="L4004" s="300">
        <f t="shared" si="521"/>
        <v>0</v>
      </c>
      <c r="M4004" s="285">
        <f t="shared" si="522"/>
        <v>0</v>
      </c>
      <c r="N4004" s="1076"/>
      <c r="O4004" s="294"/>
      <c r="P4004" s="404"/>
      <c r="Q4004" s="404"/>
    </row>
    <row r="4005" spans="1:19" ht="14.4" thickTop="1" thickBot="1" x14ac:dyDescent="0.3">
      <c r="A4005" s="292"/>
      <c r="B4005" s="296" t="s">
        <v>776</v>
      </c>
      <c r="C4005" s="294"/>
      <c r="D4005" s="294"/>
      <c r="E4005" s="294">
        <v>3</v>
      </c>
      <c r="F4005" s="310">
        <v>10.5</v>
      </c>
      <c r="G4005" s="310"/>
      <c r="H4005" s="310">
        <f t="shared" ref="H4005:H4009" si="523">H3988</f>
        <v>4.7229999999999999</v>
      </c>
      <c r="I4005" s="295">
        <f t="shared" ref="I4005:I4011" si="524">H4005*F4005*E4005</f>
        <v>148.77449999999999</v>
      </c>
      <c r="J4005" s="295"/>
      <c r="K4005" s="300">
        <f t="shared" si="488"/>
        <v>1.1000000000000001</v>
      </c>
      <c r="L4005" s="300">
        <f t="shared" si="521"/>
        <v>0</v>
      </c>
      <c r="M4005" s="285">
        <f t="shared" si="522"/>
        <v>0</v>
      </c>
      <c r="N4005" s="1076"/>
      <c r="O4005" s="294"/>
      <c r="P4005" s="404"/>
      <c r="Q4005" s="404"/>
    </row>
    <row r="4006" spans="1:19" ht="14.4" thickTop="1" thickBot="1" x14ac:dyDescent="0.3">
      <c r="A4006" s="292"/>
      <c r="B4006" s="296" t="s">
        <v>775</v>
      </c>
      <c r="C4006" s="294"/>
      <c r="D4006" s="294"/>
      <c r="E4006" s="294">
        <v>2</v>
      </c>
      <c r="F4006" s="310">
        <f>F4005</f>
        <v>10.5</v>
      </c>
      <c r="G4006" s="310"/>
      <c r="H4006" s="310">
        <f t="shared" si="523"/>
        <v>4.7229999999999999</v>
      </c>
      <c r="I4006" s="295">
        <f t="shared" si="524"/>
        <v>99.182999999999993</v>
      </c>
      <c r="J4006" s="295"/>
      <c r="K4006" s="300">
        <f t="shared" si="488"/>
        <v>1.1000000000000001</v>
      </c>
      <c r="L4006" s="300">
        <f t="shared" si="521"/>
        <v>0</v>
      </c>
      <c r="M4006" s="285">
        <f t="shared" si="522"/>
        <v>0</v>
      </c>
      <c r="N4006" s="1076"/>
      <c r="O4006" s="294"/>
      <c r="P4006" s="404"/>
      <c r="Q4006" s="404"/>
    </row>
    <row r="4007" spans="1:19" ht="14.4" thickTop="1" thickBot="1" x14ac:dyDescent="0.3">
      <c r="A4007" s="292"/>
      <c r="B4007" s="296" t="s">
        <v>756</v>
      </c>
      <c r="C4007" s="294"/>
      <c r="D4007" s="294"/>
      <c r="E4007" s="294">
        <v>1</v>
      </c>
      <c r="F4007" s="310">
        <v>1.3</v>
      </c>
      <c r="G4007" s="310"/>
      <c r="H4007" s="310">
        <f t="shared" si="523"/>
        <v>4.7229999999999999</v>
      </c>
      <c r="I4007" s="295">
        <f t="shared" si="524"/>
        <v>6.1398999999999999</v>
      </c>
      <c r="J4007" s="295"/>
      <c r="K4007" s="300">
        <f t="shared" si="488"/>
        <v>1.1000000000000001</v>
      </c>
      <c r="L4007" s="300">
        <f t="shared" si="521"/>
        <v>0</v>
      </c>
      <c r="M4007" s="285">
        <f t="shared" si="522"/>
        <v>0</v>
      </c>
      <c r="N4007" s="1076"/>
      <c r="O4007" s="294"/>
      <c r="P4007" s="404"/>
      <c r="Q4007" s="404"/>
    </row>
    <row r="4008" spans="1:19" ht="14.4" thickTop="1" thickBot="1" x14ac:dyDescent="0.3">
      <c r="A4008" s="292"/>
      <c r="B4008" s="296" t="s">
        <v>757</v>
      </c>
      <c r="C4008" s="294"/>
      <c r="D4008" s="294"/>
      <c r="E4008" s="294">
        <v>1</v>
      </c>
      <c r="F4008" s="310">
        <v>6.5259999999999998</v>
      </c>
      <c r="G4008" s="310"/>
      <c r="H4008" s="310">
        <f t="shared" si="523"/>
        <v>4.7229999999999999</v>
      </c>
      <c r="I4008" s="295">
        <f t="shared" si="524"/>
        <v>30.822297999999996</v>
      </c>
      <c r="J4008" s="295"/>
      <c r="K4008" s="300">
        <f t="shared" si="488"/>
        <v>1.1000000000000001</v>
      </c>
      <c r="L4008" s="300">
        <f t="shared" si="521"/>
        <v>0</v>
      </c>
      <c r="M4008" s="285">
        <f t="shared" si="522"/>
        <v>0</v>
      </c>
      <c r="N4008" s="1076"/>
      <c r="O4008" s="294"/>
      <c r="P4008" s="404"/>
      <c r="Q4008" s="404"/>
    </row>
    <row r="4009" spans="1:19" ht="14.4" thickTop="1" thickBot="1" x14ac:dyDescent="0.3">
      <c r="A4009" s="292"/>
      <c r="B4009" s="296"/>
      <c r="C4009" s="294"/>
      <c r="D4009" s="294"/>
      <c r="E4009" s="294">
        <v>2</v>
      </c>
      <c r="F4009" s="310">
        <v>0.82499999999999996</v>
      </c>
      <c r="G4009" s="310"/>
      <c r="H4009" s="310">
        <f t="shared" si="523"/>
        <v>4.7229999999999999</v>
      </c>
      <c r="I4009" s="295">
        <f t="shared" si="524"/>
        <v>7.7929499999999994</v>
      </c>
      <c r="J4009" s="295"/>
      <c r="K4009" s="300">
        <f t="shared" si="488"/>
        <v>1.1000000000000001</v>
      </c>
      <c r="L4009" s="300">
        <f t="shared" si="521"/>
        <v>0</v>
      </c>
      <c r="M4009" s="285">
        <f t="shared" si="522"/>
        <v>0</v>
      </c>
      <c r="N4009" s="1076"/>
      <c r="O4009" s="294"/>
      <c r="P4009" s="404"/>
      <c r="Q4009" s="404"/>
    </row>
    <row r="4010" spans="1:19" ht="14.4" thickTop="1" thickBot="1" x14ac:dyDescent="0.3">
      <c r="A4010" s="292"/>
      <c r="B4010" s="296" t="s">
        <v>756</v>
      </c>
      <c r="C4010" s="294"/>
      <c r="D4010" s="294"/>
      <c r="E4010" s="294">
        <v>4</v>
      </c>
      <c r="F4010" s="310">
        <f>F3940</f>
        <v>5</v>
      </c>
      <c r="G4010" s="310"/>
      <c r="H4010" s="310">
        <v>5</v>
      </c>
      <c r="I4010" s="295">
        <f t="shared" si="524"/>
        <v>100</v>
      </c>
      <c r="J4010" s="295"/>
      <c r="K4010" s="300"/>
      <c r="L4010" s="300"/>
      <c r="M4010" s="285"/>
      <c r="N4010" s="1076"/>
      <c r="O4010" s="294"/>
      <c r="P4010" s="404"/>
      <c r="Q4010" s="404"/>
    </row>
    <row r="4011" spans="1:19" ht="14.4" thickTop="1" thickBot="1" x14ac:dyDescent="0.3">
      <c r="A4011" s="292"/>
      <c r="B4011" s="296" t="s">
        <v>771</v>
      </c>
      <c r="C4011" s="294"/>
      <c r="D4011" s="294"/>
      <c r="E4011" s="294"/>
      <c r="F4011" s="310"/>
      <c r="G4011" s="310"/>
      <c r="H4011" s="310"/>
      <c r="I4011" s="295">
        <f t="shared" si="524"/>
        <v>0</v>
      </c>
      <c r="J4011" s="295"/>
      <c r="K4011" s="300">
        <f t="shared" si="488"/>
        <v>1.1000000000000001</v>
      </c>
      <c r="L4011" s="300">
        <f t="shared" ref="L4011" si="525">K4011*J4011</f>
        <v>0</v>
      </c>
      <c r="M4011" s="285">
        <f t="shared" ref="M4011" si="526">ROUND(L4011,0)</f>
        <v>0</v>
      </c>
      <c r="N4011" s="1076"/>
      <c r="O4011" s="294"/>
      <c r="P4011" s="404"/>
      <c r="Q4011" s="404"/>
    </row>
    <row r="4012" spans="1:19" ht="14.4" thickTop="1" thickBot="1" x14ac:dyDescent="0.3">
      <c r="A4012" s="292"/>
      <c r="B4012" s="296" t="s">
        <v>1474</v>
      </c>
      <c r="C4012" s="294"/>
      <c r="D4012" s="294"/>
      <c r="E4012" s="294">
        <v>1</v>
      </c>
      <c r="F4012" s="310">
        <v>1.2</v>
      </c>
      <c r="G4012" s="310"/>
      <c r="H4012" s="310">
        <v>2</v>
      </c>
      <c r="I4012" s="295">
        <f>-H4012*F4012*E4012</f>
        <v>-2.4</v>
      </c>
      <c r="J4012" s="295"/>
      <c r="K4012" s="300"/>
      <c r="L4012" s="300"/>
      <c r="M4012" s="285"/>
      <c r="N4012" s="1076"/>
      <c r="O4012" s="294"/>
      <c r="P4012" s="404"/>
      <c r="Q4012" s="404"/>
    </row>
    <row r="4013" spans="1:19" ht="14.4" thickTop="1" thickBot="1" x14ac:dyDescent="0.3">
      <c r="A4013" s="292"/>
      <c r="B4013" s="296" t="s">
        <v>766</v>
      </c>
      <c r="C4013" s="294"/>
      <c r="D4013" s="294"/>
      <c r="E4013" s="294">
        <v>8</v>
      </c>
      <c r="F4013" s="310">
        <v>2.4</v>
      </c>
      <c r="G4013" s="310"/>
      <c r="H4013" s="310">
        <v>2.1</v>
      </c>
      <c r="I4013" s="295">
        <f t="shared" ref="I4013:I4017" si="527">-H4013*F4013*E4013</f>
        <v>-40.32</v>
      </c>
      <c r="J4013" s="295"/>
      <c r="K4013" s="300">
        <f t="shared" si="488"/>
        <v>1.1000000000000001</v>
      </c>
      <c r="L4013" s="300">
        <f t="shared" ref="L4013:L4018" si="528">K4013*J4013</f>
        <v>0</v>
      </c>
      <c r="M4013" s="285">
        <f t="shared" ref="M4013:M4018" si="529">ROUND(L4013,0)</f>
        <v>0</v>
      </c>
      <c r="N4013" s="1076"/>
      <c r="O4013" s="294"/>
      <c r="P4013" s="404"/>
      <c r="Q4013" s="404"/>
    </row>
    <row r="4014" spans="1:19" ht="14.4" thickTop="1" thickBot="1" x14ac:dyDescent="0.3">
      <c r="A4014" s="292"/>
      <c r="B4014" s="296" t="s">
        <v>764</v>
      </c>
      <c r="C4014" s="294"/>
      <c r="D4014" s="294"/>
      <c r="E4014" s="294">
        <v>1</v>
      </c>
      <c r="F4014" s="310">
        <v>1.125</v>
      </c>
      <c r="G4014" s="310"/>
      <c r="H4014" s="310">
        <v>3</v>
      </c>
      <c r="I4014" s="295">
        <f t="shared" si="527"/>
        <v>-3.375</v>
      </c>
      <c r="J4014" s="295"/>
      <c r="K4014" s="300">
        <f t="shared" si="488"/>
        <v>1.1000000000000001</v>
      </c>
      <c r="L4014" s="300">
        <f t="shared" si="528"/>
        <v>0</v>
      </c>
      <c r="M4014" s="285">
        <f t="shared" si="529"/>
        <v>0</v>
      </c>
      <c r="N4014" s="1076"/>
      <c r="O4014" s="294"/>
      <c r="P4014" s="404"/>
      <c r="Q4014" s="404"/>
    </row>
    <row r="4015" spans="1:19" ht="14.4" thickTop="1" thickBot="1" x14ac:dyDescent="0.3">
      <c r="A4015" s="292"/>
      <c r="B4015" s="296" t="s">
        <v>768</v>
      </c>
      <c r="C4015" s="294"/>
      <c r="D4015" s="294"/>
      <c r="E4015" s="294">
        <v>1</v>
      </c>
      <c r="F4015" s="310">
        <v>2.2749999999999999</v>
      </c>
      <c r="G4015" s="310"/>
      <c r="H4015" s="310">
        <v>3</v>
      </c>
      <c r="I4015" s="295">
        <f t="shared" si="527"/>
        <v>-6.8249999999999993</v>
      </c>
      <c r="J4015" s="295"/>
      <c r="K4015" s="300">
        <f t="shared" si="488"/>
        <v>1.1000000000000001</v>
      </c>
      <c r="L4015" s="300">
        <f t="shared" si="528"/>
        <v>0</v>
      </c>
      <c r="M4015" s="285">
        <f t="shared" si="529"/>
        <v>0</v>
      </c>
      <c r="N4015" s="1076"/>
      <c r="O4015" s="294"/>
      <c r="P4015" s="404"/>
      <c r="Q4015" s="404"/>
    </row>
    <row r="4016" spans="1:19" ht="14.4" thickTop="1" thickBot="1" x14ac:dyDescent="0.3">
      <c r="A4016" s="292"/>
      <c r="B4016" s="296" t="s">
        <v>777</v>
      </c>
      <c r="C4016" s="294"/>
      <c r="D4016" s="294"/>
      <c r="E4016" s="294">
        <v>2</v>
      </c>
      <c r="F4016" s="310">
        <v>1.65</v>
      </c>
      <c r="G4016" s="310"/>
      <c r="H4016" s="310">
        <v>0.6</v>
      </c>
      <c r="I4016" s="295">
        <f t="shared" si="527"/>
        <v>-1.9799999999999998</v>
      </c>
      <c r="J4016" s="295"/>
      <c r="K4016" s="300">
        <f t="shared" si="488"/>
        <v>1.1000000000000001</v>
      </c>
      <c r="L4016" s="300">
        <f t="shared" si="528"/>
        <v>0</v>
      </c>
      <c r="M4016" s="285">
        <f t="shared" si="529"/>
        <v>0</v>
      </c>
      <c r="N4016" s="1076"/>
      <c r="O4016" s="294"/>
      <c r="P4016" s="404"/>
      <c r="Q4016" s="404"/>
    </row>
    <row r="4017" spans="1:17" ht="14.4" thickTop="1" thickBot="1" x14ac:dyDescent="0.3">
      <c r="A4017" s="292"/>
      <c r="B4017" s="296" t="s">
        <v>762</v>
      </c>
      <c r="C4017" s="294"/>
      <c r="D4017" s="294"/>
      <c r="E4017" s="294">
        <v>1</v>
      </c>
      <c r="F4017" s="310">
        <v>2.4</v>
      </c>
      <c r="G4017" s="310"/>
      <c r="H4017" s="310">
        <v>2.1</v>
      </c>
      <c r="I4017" s="295">
        <f t="shared" si="527"/>
        <v>-5.04</v>
      </c>
      <c r="J4017" s="295">
        <f>SUM(I4004:I4017)</f>
        <v>578.60479799999996</v>
      </c>
      <c r="K4017" s="300">
        <f t="shared" si="488"/>
        <v>1.1000000000000001</v>
      </c>
      <c r="L4017" s="300">
        <f t="shared" si="528"/>
        <v>636.46527779999997</v>
      </c>
      <c r="M4017" s="285">
        <f t="shared" si="529"/>
        <v>636</v>
      </c>
      <c r="N4017" s="1076"/>
      <c r="O4017" s="294"/>
      <c r="P4017" s="404"/>
      <c r="Q4017" s="404"/>
    </row>
    <row r="4018" spans="1:17" ht="14.4" thickTop="1" thickBot="1" x14ac:dyDescent="0.3">
      <c r="A4018" s="292"/>
      <c r="B4018" s="296"/>
      <c r="C4018" s="294"/>
      <c r="D4018" s="294"/>
      <c r="E4018" s="294"/>
      <c r="F4018" s="310"/>
      <c r="G4018" s="310"/>
      <c r="H4018" s="310"/>
      <c r="I4018" s="295"/>
      <c r="J4018" s="295">
        <f>J4017/9.29</f>
        <v>62.282540150699681</v>
      </c>
      <c r="K4018" s="300">
        <v>1.02</v>
      </c>
      <c r="L4018" s="300">
        <f t="shared" si="528"/>
        <v>63.528190953713676</v>
      </c>
      <c r="M4018" s="285">
        <f t="shared" si="529"/>
        <v>64</v>
      </c>
      <c r="N4018" s="1076"/>
      <c r="O4018" s="294" t="s">
        <v>875</v>
      </c>
      <c r="P4018" s="404" t="e">
        <f>3*masnry!#REF!</f>
        <v>#REF!</v>
      </c>
      <c r="Q4018" s="404"/>
    </row>
    <row r="4019" spans="1:17" ht="14.4" thickTop="1" thickBot="1" x14ac:dyDescent="0.3">
      <c r="A4019" s="292"/>
      <c r="B4019" s="296"/>
      <c r="C4019" s="294"/>
      <c r="D4019" s="294"/>
      <c r="E4019" s="294"/>
      <c r="F4019" s="310"/>
      <c r="G4019" s="310"/>
      <c r="H4019" s="310"/>
      <c r="I4019" s="295"/>
      <c r="J4019" s="295"/>
      <c r="K4019" s="300"/>
      <c r="L4019" s="300"/>
      <c r="M4019" s="285"/>
      <c r="N4019" s="1076"/>
      <c r="O4019" s="294"/>
      <c r="P4019" s="404"/>
      <c r="Q4019" s="404"/>
    </row>
    <row r="4020" spans="1:17" ht="14.4" thickTop="1" thickBot="1" x14ac:dyDescent="0.3">
      <c r="A4020" s="292"/>
      <c r="B4020" s="296"/>
      <c r="C4020" s="294"/>
      <c r="D4020" s="294"/>
      <c r="E4020" s="294"/>
      <c r="F4020" s="310"/>
      <c r="G4020" s="310"/>
      <c r="H4020" s="310"/>
      <c r="I4020" s="295"/>
      <c r="J4020" s="295"/>
      <c r="K4020" s="300"/>
      <c r="L4020" s="300"/>
      <c r="M4020" s="285"/>
      <c r="N4020" s="1076"/>
      <c r="O4020" s="294"/>
      <c r="P4020" s="404"/>
      <c r="Q4020" s="404"/>
    </row>
    <row r="4021" spans="1:17" ht="14.4" thickTop="1" thickBot="1" x14ac:dyDescent="0.3">
      <c r="A4021" s="292"/>
      <c r="B4021" s="296"/>
      <c r="C4021" s="294"/>
      <c r="D4021" s="294"/>
      <c r="E4021" s="294"/>
      <c r="F4021" s="310"/>
      <c r="G4021" s="310"/>
      <c r="H4021" s="310"/>
      <c r="I4021" s="295"/>
      <c r="J4021" s="295"/>
      <c r="K4021" s="300"/>
      <c r="L4021" s="300"/>
      <c r="M4021" s="285"/>
      <c r="N4021" s="1076"/>
      <c r="O4021" s="294"/>
      <c r="P4021" s="404"/>
      <c r="Q4021" s="404"/>
    </row>
    <row r="4022" spans="1:17" ht="14.4" thickTop="1" thickBot="1" x14ac:dyDescent="0.3">
      <c r="A4022" s="292"/>
      <c r="B4022" s="296" t="s">
        <v>1584</v>
      </c>
      <c r="C4022" s="294"/>
      <c r="D4022" s="294"/>
      <c r="E4022" s="294"/>
      <c r="F4022" s="310"/>
      <c r="G4022" s="310"/>
      <c r="H4022" s="310"/>
      <c r="I4022" s="295"/>
      <c r="J4022" s="295"/>
      <c r="K4022" s="300">
        <v>1.05</v>
      </c>
      <c r="L4022" s="300">
        <f t="shared" ref="L4022:L4039" si="530">K4022*J4022</f>
        <v>0</v>
      </c>
      <c r="M4022" s="285">
        <f t="shared" ref="M4022:M4039" si="531">ROUND(L4022,0)</f>
        <v>0</v>
      </c>
      <c r="N4022" s="1076"/>
      <c r="O4022" s="294"/>
      <c r="P4022" s="404"/>
      <c r="Q4022" s="404"/>
    </row>
    <row r="4023" spans="1:17" ht="14.4" thickTop="1" thickBot="1" x14ac:dyDescent="0.3">
      <c r="A4023" s="292"/>
      <c r="B4023" s="296" t="s">
        <v>766</v>
      </c>
      <c r="C4023" s="294"/>
      <c r="D4023" s="294"/>
      <c r="E4023" s="294">
        <v>8</v>
      </c>
      <c r="F4023" s="310">
        <v>2.4</v>
      </c>
      <c r="G4023" s="310"/>
      <c r="H4023" s="310"/>
      <c r="I4023" s="295">
        <f>F4023*E4023</f>
        <v>19.2</v>
      </c>
      <c r="J4023" s="295"/>
      <c r="K4023" s="300">
        <v>1.05</v>
      </c>
      <c r="L4023" s="300">
        <f t="shared" si="530"/>
        <v>0</v>
      </c>
      <c r="M4023" s="285">
        <f t="shared" si="531"/>
        <v>0</v>
      </c>
      <c r="N4023" s="1076"/>
      <c r="O4023" s="294"/>
      <c r="P4023" s="404"/>
      <c r="Q4023" s="404"/>
    </row>
    <row r="4024" spans="1:17" ht="14.4" thickTop="1" thickBot="1" x14ac:dyDescent="0.3">
      <c r="A4024" s="292"/>
      <c r="B4024" s="296" t="s">
        <v>777</v>
      </c>
      <c r="C4024" s="294"/>
      <c r="D4024" s="294"/>
      <c r="E4024" s="294">
        <v>2</v>
      </c>
      <c r="F4024" s="310">
        <v>1.65</v>
      </c>
      <c r="G4024" s="310"/>
      <c r="H4024" s="310"/>
      <c r="I4024" s="295">
        <f t="shared" ref="I4024:I4025" si="532">F4024*E4024</f>
        <v>3.3</v>
      </c>
      <c r="J4024" s="295"/>
      <c r="K4024" s="300">
        <v>1.05</v>
      </c>
      <c r="L4024" s="300">
        <f t="shared" si="530"/>
        <v>0</v>
      </c>
      <c r="M4024" s="285">
        <f t="shared" si="531"/>
        <v>0</v>
      </c>
      <c r="N4024" s="1076"/>
      <c r="O4024" s="294"/>
      <c r="P4024" s="404"/>
      <c r="Q4024" s="404"/>
    </row>
    <row r="4025" spans="1:17" ht="14.4" thickTop="1" thickBot="1" x14ac:dyDescent="0.3">
      <c r="A4025" s="292"/>
      <c r="B4025" s="296" t="s">
        <v>762</v>
      </c>
      <c r="C4025" s="294"/>
      <c r="D4025" s="294"/>
      <c r="E4025" s="294">
        <v>1</v>
      </c>
      <c r="F4025" s="310">
        <v>2.4</v>
      </c>
      <c r="G4025" s="310"/>
      <c r="H4025" s="310"/>
      <c r="I4025" s="295">
        <f t="shared" si="532"/>
        <v>2.4</v>
      </c>
      <c r="J4025" s="295">
        <f>SUM(I4023:I4025)</f>
        <v>24.9</v>
      </c>
      <c r="K4025" s="300">
        <v>1.05</v>
      </c>
      <c r="L4025" s="300">
        <f t="shared" si="530"/>
        <v>26.145</v>
      </c>
      <c r="M4025" s="285">
        <f t="shared" si="531"/>
        <v>26</v>
      </c>
      <c r="N4025" s="1076"/>
      <c r="O4025" s="294"/>
      <c r="P4025" s="404"/>
      <c r="Q4025" s="404"/>
    </row>
    <row r="4026" spans="1:17" ht="14.4" thickTop="1" thickBot="1" x14ac:dyDescent="0.3">
      <c r="A4026" s="292"/>
      <c r="B4026" s="296"/>
      <c r="C4026" s="294"/>
      <c r="D4026" s="294"/>
      <c r="E4026" s="294"/>
      <c r="F4026" s="310"/>
      <c r="G4026" s="310"/>
      <c r="H4026" s="310"/>
      <c r="I4026" s="295"/>
      <c r="J4026" s="295">
        <f>J4025*3.28</f>
        <v>81.671999999999997</v>
      </c>
      <c r="K4026" s="300">
        <v>1.05</v>
      </c>
      <c r="L4026" s="300">
        <f t="shared" si="530"/>
        <v>85.755600000000001</v>
      </c>
      <c r="M4026" s="285">
        <f t="shared" si="531"/>
        <v>86</v>
      </c>
      <c r="N4026" s="1076"/>
      <c r="O4026" s="294"/>
      <c r="P4026" s="404"/>
      <c r="Q4026" s="404"/>
    </row>
    <row r="4027" spans="1:17" ht="14.4" thickTop="1" thickBot="1" x14ac:dyDescent="0.3">
      <c r="A4027" s="292"/>
      <c r="B4027" s="296"/>
      <c r="C4027" s="294"/>
      <c r="D4027" s="294"/>
      <c r="E4027" s="294"/>
      <c r="F4027" s="310"/>
      <c r="G4027" s="310"/>
      <c r="H4027" s="310"/>
      <c r="I4027" s="295"/>
      <c r="J4027" s="295"/>
      <c r="K4027" s="300">
        <v>1.05</v>
      </c>
      <c r="L4027" s="300">
        <f t="shared" si="530"/>
        <v>0</v>
      </c>
      <c r="M4027" s="285">
        <f t="shared" si="531"/>
        <v>0</v>
      </c>
      <c r="N4027" s="1076"/>
      <c r="O4027" s="294"/>
      <c r="P4027" s="404"/>
      <c r="Q4027" s="404"/>
    </row>
    <row r="4028" spans="1:17" ht="14.4" thickTop="1" thickBot="1" x14ac:dyDescent="0.3">
      <c r="A4028" s="292"/>
      <c r="B4028" s="296" t="s">
        <v>1485</v>
      </c>
      <c r="C4028" s="294"/>
      <c r="D4028" s="294"/>
      <c r="E4028" s="294"/>
      <c r="F4028" s="310"/>
      <c r="G4028" s="310"/>
      <c r="H4028" s="310"/>
      <c r="I4028" s="295"/>
      <c r="J4028" s="295"/>
      <c r="K4028" s="300">
        <f t="shared" si="488"/>
        <v>1.1000000000000001</v>
      </c>
      <c r="L4028" s="300">
        <f t="shared" si="530"/>
        <v>0</v>
      </c>
      <c r="M4028" s="285">
        <f t="shared" si="531"/>
        <v>0</v>
      </c>
      <c r="N4028" s="1076"/>
      <c r="O4028" s="294"/>
      <c r="P4028" s="404"/>
      <c r="Q4028" s="404"/>
    </row>
    <row r="4029" spans="1:17" ht="14.4" thickTop="1" thickBot="1" x14ac:dyDescent="0.3">
      <c r="A4029" s="292"/>
      <c r="B4029" s="296" t="s">
        <v>766</v>
      </c>
      <c r="C4029" s="294"/>
      <c r="D4029" s="294"/>
      <c r="E4029" s="294">
        <v>8</v>
      </c>
      <c r="F4029" s="310">
        <v>2.4</v>
      </c>
      <c r="G4029" s="310"/>
      <c r="H4029" s="310"/>
      <c r="I4029" s="295">
        <f>F4029*E4029</f>
        <v>19.2</v>
      </c>
      <c r="J4029" s="295"/>
      <c r="K4029" s="300">
        <f t="shared" si="488"/>
        <v>1.1000000000000001</v>
      </c>
      <c r="L4029" s="300">
        <f t="shared" si="530"/>
        <v>0</v>
      </c>
      <c r="M4029" s="285">
        <f t="shared" si="531"/>
        <v>0</v>
      </c>
      <c r="N4029" s="1076"/>
      <c r="O4029" s="294"/>
      <c r="P4029" s="404"/>
      <c r="Q4029" s="404"/>
    </row>
    <row r="4030" spans="1:17" ht="14.4" thickTop="1" thickBot="1" x14ac:dyDescent="0.3">
      <c r="A4030" s="292"/>
      <c r="B4030" s="296" t="s">
        <v>764</v>
      </c>
      <c r="C4030" s="294"/>
      <c r="D4030" s="294"/>
      <c r="E4030" s="294">
        <v>1</v>
      </c>
      <c r="F4030" s="310">
        <v>1.125</v>
      </c>
      <c r="G4030" s="310"/>
      <c r="H4030" s="310"/>
      <c r="I4030" s="295">
        <f t="shared" ref="I4030:I4034" si="533">F4030*E4030</f>
        <v>1.125</v>
      </c>
      <c r="J4030" s="295"/>
      <c r="K4030" s="300">
        <f t="shared" si="488"/>
        <v>1.1000000000000001</v>
      </c>
      <c r="L4030" s="300">
        <f t="shared" si="530"/>
        <v>0</v>
      </c>
      <c r="M4030" s="285">
        <f t="shared" si="531"/>
        <v>0</v>
      </c>
      <c r="N4030" s="1076"/>
      <c r="O4030" s="294"/>
      <c r="P4030" s="404"/>
      <c r="Q4030" s="404"/>
    </row>
    <row r="4031" spans="1:17" ht="14.4" thickTop="1" thickBot="1" x14ac:dyDescent="0.3">
      <c r="A4031" s="292"/>
      <c r="B4031" s="296" t="s">
        <v>768</v>
      </c>
      <c r="C4031" s="294"/>
      <c r="D4031" s="294"/>
      <c r="E4031" s="294">
        <v>1</v>
      </c>
      <c r="F4031" s="310">
        <v>2.2749999999999999</v>
      </c>
      <c r="G4031" s="310"/>
      <c r="H4031" s="310"/>
      <c r="I4031" s="295">
        <f t="shared" si="533"/>
        <v>2.2749999999999999</v>
      </c>
      <c r="J4031" s="295"/>
      <c r="K4031" s="300">
        <f t="shared" si="488"/>
        <v>1.1000000000000001</v>
      </c>
      <c r="L4031" s="300">
        <f t="shared" si="530"/>
        <v>0</v>
      </c>
      <c r="M4031" s="285">
        <f t="shared" si="531"/>
        <v>0</v>
      </c>
      <c r="N4031" s="1076"/>
      <c r="O4031" s="294"/>
      <c r="P4031" s="404"/>
      <c r="Q4031" s="404"/>
    </row>
    <row r="4032" spans="1:17" ht="14.4" thickTop="1" thickBot="1" x14ac:dyDescent="0.3">
      <c r="A4032" s="292"/>
      <c r="B4032" s="296" t="s">
        <v>777</v>
      </c>
      <c r="C4032" s="294"/>
      <c r="D4032" s="294"/>
      <c r="E4032" s="294">
        <v>2</v>
      </c>
      <c r="F4032" s="310">
        <v>1.65</v>
      </c>
      <c r="G4032" s="310"/>
      <c r="H4032" s="310"/>
      <c r="I4032" s="295">
        <f t="shared" si="533"/>
        <v>3.3</v>
      </c>
      <c r="J4032" s="295"/>
      <c r="K4032" s="300">
        <f t="shared" si="488"/>
        <v>1.1000000000000001</v>
      </c>
      <c r="L4032" s="300">
        <f t="shared" si="530"/>
        <v>0</v>
      </c>
      <c r="M4032" s="285">
        <f t="shared" si="531"/>
        <v>0</v>
      </c>
      <c r="N4032" s="1076"/>
      <c r="O4032" s="294"/>
      <c r="P4032" s="404"/>
      <c r="Q4032" s="404"/>
    </row>
    <row r="4033" spans="1:17" ht="14.4" thickTop="1" thickBot="1" x14ac:dyDescent="0.3">
      <c r="A4033" s="292"/>
      <c r="B4033" s="296" t="s">
        <v>762</v>
      </c>
      <c r="C4033" s="294"/>
      <c r="D4033" s="294"/>
      <c r="E4033" s="294">
        <v>1</v>
      </c>
      <c r="F4033" s="310">
        <v>2.4</v>
      </c>
      <c r="G4033" s="310"/>
      <c r="H4033" s="310"/>
      <c r="I4033" s="295">
        <f t="shared" si="533"/>
        <v>2.4</v>
      </c>
      <c r="J4033" s="295"/>
      <c r="K4033" s="300">
        <f t="shared" si="488"/>
        <v>1.1000000000000001</v>
      </c>
      <c r="L4033" s="300">
        <f t="shared" si="530"/>
        <v>0</v>
      </c>
      <c r="M4033" s="285">
        <f t="shared" si="531"/>
        <v>0</v>
      </c>
      <c r="N4033" s="1076"/>
      <c r="O4033" s="294"/>
      <c r="P4033" s="404"/>
      <c r="Q4033" s="404"/>
    </row>
    <row r="4034" spans="1:17" ht="14.4" thickTop="1" thickBot="1" x14ac:dyDescent="0.3">
      <c r="A4034" s="292"/>
      <c r="B4034" s="296" t="s">
        <v>756</v>
      </c>
      <c r="C4034" s="294"/>
      <c r="D4034" s="294"/>
      <c r="E4034" s="294">
        <v>8</v>
      </c>
      <c r="F4034" s="310">
        <f>F3993</f>
        <v>2.4500000000000002</v>
      </c>
      <c r="G4034" s="310"/>
      <c r="H4034" s="310"/>
      <c r="I4034" s="295">
        <f t="shared" si="533"/>
        <v>19.600000000000001</v>
      </c>
      <c r="J4034" s="295">
        <f>SUM(I4029:I4034)</f>
        <v>47.9</v>
      </c>
      <c r="K4034" s="300">
        <f t="shared" si="488"/>
        <v>1.1000000000000001</v>
      </c>
      <c r="L4034" s="300">
        <f t="shared" si="530"/>
        <v>52.690000000000005</v>
      </c>
      <c r="M4034" s="285">
        <f t="shared" si="531"/>
        <v>53</v>
      </c>
      <c r="N4034" s="1076"/>
      <c r="O4034" s="294"/>
      <c r="P4034" s="404"/>
      <c r="Q4034" s="404"/>
    </row>
    <row r="4035" spans="1:17" ht="14.4" thickTop="1" thickBot="1" x14ac:dyDescent="0.3">
      <c r="A4035" s="292"/>
      <c r="B4035" s="296"/>
      <c r="C4035" s="294"/>
      <c r="D4035" s="294"/>
      <c r="E4035" s="294"/>
      <c r="F4035" s="310"/>
      <c r="G4035" s="310"/>
      <c r="H4035" s="310"/>
      <c r="I4035" s="295"/>
      <c r="J4035" s="295">
        <f>J4034*3.28</f>
        <v>157.11199999999999</v>
      </c>
      <c r="K4035" s="300">
        <v>1.05</v>
      </c>
      <c r="L4035" s="300">
        <f t="shared" si="530"/>
        <v>164.9676</v>
      </c>
      <c r="M4035" s="285">
        <f t="shared" si="531"/>
        <v>165</v>
      </c>
      <c r="N4035" s="1076"/>
      <c r="O4035" s="294"/>
      <c r="P4035" s="404"/>
      <c r="Q4035" s="404"/>
    </row>
    <row r="4036" spans="1:17" ht="14.4" thickTop="1" thickBot="1" x14ac:dyDescent="0.3">
      <c r="A4036" s="292"/>
      <c r="B4036" s="296"/>
      <c r="C4036" s="294"/>
      <c r="D4036" s="294"/>
      <c r="E4036" s="294"/>
      <c r="F4036" s="310"/>
      <c r="G4036" s="310"/>
      <c r="H4036" s="310"/>
      <c r="I4036" s="295"/>
      <c r="J4036" s="295"/>
      <c r="K4036" s="300">
        <f t="shared" si="488"/>
        <v>1.1000000000000001</v>
      </c>
      <c r="L4036" s="300">
        <f t="shared" si="530"/>
        <v>0</v>
      </c>
      <c r="M4036" s="285">
        <f t="shared" si="531"/>
        <v>0</v>
      </c>
      <c r="N4036" s="1076"/>
      <c r="O4036" s="294"/>
      <c r="P4036" s="404"/>
      <c r="Q4036" s="404"/>
    </row>
    <row r="4037" spans="1:17" ht="14.4" thickTop="1" thickBot="1" x14ac:dyDescent="0.3">
      <c r="A4037" s="292"/>
      <c r="B4037" s="296"/>
      <c r="C4037" s="294"/>
      <c r="D4037" s="294"/>
      <c r="E4037" s="294"/>
      <c r="F4037" s="310"/>
      <c r="G4037" s="310"/>
      <c r="H4037" s="310"/>
      <c r="I4037" s="295"/>
      <c r="J4037" s="295"/>
      <c r="K4037" s="300">
        <f t="shared" si="488"/>
        <v>1.1000000000000001</v>
      </c>
      <c r="L4037" s="300">
        <f t="shared" si="530"/>
        <v>0</v>
      </c>
      <c r="M4037" s="285">
        <f t="shared" si="531"/>
        <v>0</v>
      </c>
      <c r="N4037" s="1076"/>
      <c r="O4037" s="294"/>
      <c r="P4037" s="404"/>
      <c r="Q4037" s="404"/>
    </row>
    <row r="4038" spans="1:17" ht="14.4" thickTop="1" thickBot="1" x14ac:dyDescent="0.3">
      <c r="A4038" s="292"/>
      <c r="B4038" s="296"/>
      <c r="C4038" s="294"/>
      <c r="D4038" s="294"/>
      <c r="E4038" s="294"/>
      <c r="F4038" s="310"/>
      <c r="G4038" s="310"/>
      <c r="H4038" s="310"/>
      <c r="I4038" s="295"/>
      <c r="J4038" s="295"/>
      <c r="K4038" s="300">
        <f t="shared" si="488"/>
        <v>1.1000000000000001</v>
      </c>
      <c r="L4038" s="300">
        <f t="shared" si="530"/>
        <v>0</v>
      </c>
      <c r="M4038" s="285">
        <f t="shared" si="531"/>
        <v>0</v>
      </c>
      <c r="N4038" s="1076"/>
      <c r="O4038" s="294"/>
      <c r="P4038" s="404"/>
      <c r="Q4038" s="404"/>
    </row>
    <row r="4039" spans="1:17" ht="14.4" thickTop="1" thickBot="1" x14ac:dyDescent="0.3">
      <c r="A4039" s="292"/>
      <c r="B4039" s="296"/>
      <c r="C4039" s="294"/>
      <c r="D4039" s="294"/>
      <c r="E4039" s="294"/>
      <c r="F4039" s="310"/>
      <c r="G4039" s="310"/>
      <c r="H4039" s="310"/>
      <c r="I4039" s="295"/>
      <c r="J4039" s="295"/>
      <c r="K4039" s="300">
        <f t="shared" si="488"/>
        <v>1.1000000000000001</v>
      </c>
      <c r="L4039" s="300">
        <f t="shared" si="530"/>
        <v>0</v>
      </c>
      <c r="M4039" s="285">
        <f t="shared" si="531"/>
        <v>0</v>
      </c>
      <c r="N4039" s="1076"/>
      <c r="O4039" s="294"/>
      <c r="P4039" s="404"/>
      <c r="Q4039" s="404"/>
    </row>
    <row r="4040" spans="1:17" ht="14.4" thickTop="1" thickBot="1" x14ac:dyDescent="0.3">
      <c r="A4040" s="292"/>
      <c r="B4040" s="296" t="s">
        <v>778</v>
      </c>
      <c r="C4040" s="294"/>
      <c r="D4040" s="294"/>
      <c r="E4040" s="294"/>
      <c r="F4040" s="310"/>
      <c r="G4040" s="310"/>
      <c r="H4040" s="310"/>
      <c r="I4040" s="295"/>
      <c r="J4040" s="295"/>
      <c r="K4040" s="300">
        <f t="shared" si="488"/>
        <v>1.1000000000000001</v>
      </c>
      <c r="L4040" s="300">
        <f t="shared" si="505"/>
        <v>0</v>
      </c>
      <c r="M4040" s="285">
        <f t="shared" si="520"/>
        <v>0</v>
      </c>
      <c r="N4040" s="1076"/>
      <c r="O4040" s="294"/>
      <c r="P4040" s="404"/>
      <c r="Q4040" s="404"/>
    </row>
    <row r="4041" spans="1:17" ht="14.4" thickTop="1" thickBot="1" x14ac:dyDescent="0.3">
      <c r="A4041" s="292"/>
      <c r="B4041" s="296" t="s">
        <v>779</v>
      </c>
      <c r="C4041" s="294"/>
      <c r="D4041" s="294"/>
      <c r="E4041" s="294">
        <v>2</v>
      </c>
      <c r="F4041" s="310">
        <v>4.3</v>
      </c>
      <c r="G4041" s="310"/>
      <c r="H4041" s="310">
        <f>H3803</f>
        <v>3.6</v>
      </c>
      <c r="I4041" s="295">
        <f>H4041*F4041*E4041</f>
        <v>30.96</v>
      </c>
      <c r="J4041" s="295"/>
      <c r="K4041" s="300">
        <f t="shared" si="488"/>
        <v>1.1000000000000001</v>
      </c>
      <c r="L4041" s="300">
        <f t="shared" si="505"/>
        <v>0</v>
      </c>
      <c r="M4041" s="285">
        <f t="shared" si="520"/>
        <v>0</v>
      </c>
      <c r="N4041" s="1076"/>
      <c r="O4041" s="294"/>
      <c r="P4041" s="404"/>
      <c r="Q4041" s="404"/>
    </row>
    <row r="4042" spans="1:17" ht="14.4" thickTop="1" thickBot="1" x14ac:dyDescent="0.3">
      <c r="A4042" s="292"/>
      <c r="B4042" s="296" t="s">
        <v>780</v>
      </c>
      <c r="C4042" s="294"/>
      <c r="D4042" s="294"/>
      <c r="E4042" s="294">
        <v>2</v>
      </c>
      <c r="F4042" s="310">
        <v>4.5250000000000004</v>
      </c>
      <c r="G4042" s="310"/>
      <c r="H4042" s="310">
        <f>H3804</f>
        <v>3.6</v>
      </c>
      <c r="I4042" s="295">
        <f t="shared" ref="I4042:I4049" si="534">H4042*F4042*E4042</f>
        <v>32.580000000000005</v>
      </c>
      <c r="J4042" s="295"/>
      <c r="K4042" s="300">
        <f t="shared" si="488"/>
        <v>1.1000000000000001</v>
      </c>
      <c r="L4042" s="300">
        <f t="shared" si="505"/>
        <v>0</v>
      </c>
      <c r="M4042" s="285">
        <f t="shared" si="520"/>
        <v>0</v>
      </c>
      <c r="N4042" s="1076"/>
      <c r="O4042" s="294"/>
      <c r="P4042" s="404"/>
      <c r="Q4042" s="404"/>
    </row>
    <row r="4043" spans="1:17" ht="14.4" thickTop="1" thickBot="1" x14ac:dyDescent="0.3">
      <c r="A4043" s="292"/>
      <c r="B4043" s="296" t="s">
        <v>781</v>
      </c>
      <c r="C4043" s="294"/>
      <c r="D4043" s="294"/>
      <c r="E4043" s="294">
        <v>1</v>
      </c>
      <c r="F4043" s="310">
        <v>4.0620000000000003</v>
      </c>
      <c r="G4043" s="310"/>
      <c r="H4043" s="310">
        <f>H3805</f>
        <v>3.6</v>
      </c>
      <c r="I4043" s="295">
        <f t="shared" si="534"/>
        <v>14.623200000000001</v>
      </c>
      <c r="J4043" s="295"/>
      <c r="K4043" s="300">
        <f t="shared" si="488"/>
        <v>1.1000000000000001</v>
      </c>
      <c r="L4043" s="300">
        <f t="shared" si="505"/>
        <v>0</v>
      </c>
      <c r="M4043" s="285">
        <f t="shared" si="520"/>
        <v>0</v>
      </c>
      <c r="N4043" s="1076"/>
      <c r="O4043" s="294"/>
      <c r="P4043" s="404"/>
      <c r="Q4043" s="404"/>
    </row>
    <row r="4044" spans="1:17" ht="14.4" thickTop="1" thickBot="1" x14ac:dyDescent="0.3">
      <c r="A4044" s="292"/>
      <c r="B4044" s="296" t="s">
        <v>782</v>
      </c>
      <c r="C4044" s="294"/>
      <c r="D4044" s="294"/>
      <c r="E4044" s="294">
        <v>1</v>
      </c>
      <c r="F4044" s="310">
        <v>11.7</v>
      </c>
      <c r="G4044" s="310"/>
      <c r="H4044" s="310">
        <f>H3806</f>
        <v>3.6</v>
      </c>
      <c r="I4044" s="295">
        <f t="shared" si="534"/>
        <v>42.12</v>
      </c>
      <c r="J4044" s="295"/>
      <c r="K4044" s="300">
        <f t="shared" si="488"/>
        <v>1.1000000000000001</v>
      </c>
      <c r="L4044" s="300">
        <f t="shared" si="505"/>
        <v>0</v>
      </c>
      <c r="M4044" s="285">
        <f t="shared" si="520"/>
        <v>0</v>
      </c>
      <c r="N4044" s="1076"/>
      <c r="O4044" s="294"/>
      <c r="P4044" s="404"/>
      <c r="Q4044" s="404"/>
    </row>
    <row r="4045" spans="1:17" ht="14.4" thickTop="1" thickBot="1" x14ac:dyDescent="0.3">
      <c r="A4045" s="292"/>
      <c r="B4045" s="296" t="s">
        <v>702</v>
      </c>
      <c r="C4045" s="294"/>
      <c r="D4045" s="294"/>
      <c r="E4045" s="294">
        <v>1</v>
      </c>
      <c r="F4045" s="310">
        <v>6.3</v>
      </c>
      <c r="G4045" s="310"/>
      <c r="H4045" s="310">
        <v>3.6</v>
      </c>
      <c r="I4045" s="295">
        <f t="shared" si="534"/>
        <v>22.68</v>
      </c>
      <c r="J4045" s="295"/>
      <c r="K4045" s="300">
        <f t="shared" si="488"/>
        <v>1.1000000000000001</v>
      </c>
      <c r="L4045" s="300">
        <f t="shared" si="505"/>
        <v>0</v>
      </c>
      <c r="M4045" s="285"/>
      <c r="N4045" s="1076"/>
      <c r="O4045" s="294"/>
      <c r="P4045" s="404"/>
      <c r="Q4045" s="404"/>
    </row>
    <row r="4046" spans="1:17" ht="14.4" thickTop="1" thickBot="1" x14ac:dyDescent="0.3">
      <c r="A4046" s="292"/>
      <c r="B4046" s="296" t="s">
        <v>708</v>
      </c>
      <c r="C4046" s="294"/>
      <c r="D4046" s="294"/>
      <c r="E4046" s="294">
        <v>1</v>
      </c>
      <c r="F4046" s="310">
        <v>2.4300000000000002</v>
      </c>
      <c r="G4046" s="310"/>
      <c r="H4046" s="310">
        <f>H3807</f>
        <v>3.6</v>
      </c>
      <c r="I4046" s="295">
        <f t="shared" si="534"/>
        <v>8.7480000000000011</v>
      </c>
      <c r="J4046" s="295"/>
      <c r="K4046" s="300">
        <f t="shared" si="488"/>
        <v>1.1000000000000001</v>
      </c>
      <c r="L4046" s="300">
        <f t="shared" si="505"/>
        <v>0</v>
      </c>
      <c r="M4046" s="285">
        <f t="shared" si="520"/>
        <v>0</v>
      </c>
      <c r="N4046" s="1076"/>
      <c r="O4046" s="294"/>
      <c r="P4046" s="404"/>
      <c r="Q4046" s="404"/>
    </row>
    <row r="4047" spans="1:17" ht="14.4" thickTop="1" thickBot="1" x14ac:dyDescent="0.3">
      <c r="A4047" s="292"/>
      <c r="B4047" s="296"/>
      <c r="C4047" s="294"/>
      <c r="D4047" s="294"/>
      <c r="E4047" s="294">
        <v>1</v>
      </c>
      <c r="F4047" s="310">
        <v>3.5249999999999999</v>
      </c>
      <c r="G4047" s="310"/>
      <c r="H4047" s="310">
        <f>H3808</f>
        <v>3.6</v>
      </c>
      <c r="I4047" s="295">
        <f t="shared" si="534"/>
        <v>12.69</v>
      </c>
      <c r="J4047" s="295"/>
      <c r="K4047" s="300">
        <f t="shared" si="488"/>
        <v>1.1000000000000001</v>
      </c>
      <c r="L4047" s="300">
        <f t="shared" si="505"/>
        <v>0</v>
      </c>
      <c r="M4047" s="285">
        <f t="shared" si="520"/>
        <v>0</v>
      </c>
      <c r="N4047" s="1076"/>
      <c r="O4047" s="294"/>
      <c r="P4047" s="404"/>
      <c r="Q4047" s="404"/>
    </row>
    <row r="4048" spans="1:17" ht="14.4" thickTop="1" thickBot="1" x14ac:dyDescent="0.3">
      <c r="A4048" s="292"/>
      <c r="B4048" s="296"/>
      <c r="C4048" s="294"/>
      <c r="D4048" s="294"/>
      <c r="E4048" s="294">
        <v>3</v>
      </c>
      <c r="F4048" s="310">
        <v>1.3</v>
      </c>
      <c r="G4048" s="310"/>
      <c r="H4048" s="310">
        <f>H3809</f>
        <v>3.6</v>
      </c>
      <c r="I4048" s="295">
        <f t="shared" si="534"/>
        <v>14.040000000000003</v>
      </c>
      <c r="J4048" s="295"/>
      <c r="K4048" s="300">
        <f t="shared" si="488"/>
        <v>1.1000000000000001</v>
      </c>
      <c r="L4048" s="300">
        <f t="shared" si="505"/>
        <v>0</v>
      </c>
      <c r="M4048" s="285">
        <f t="shared" si="520"/>
        <v>0</v>
      </c>
      <c r="N4048" s="1076"/>
      <c r="O4048" s="294"/>
      <c r="P4048" s="404"/>
      <c r="Q4048" s="404"/>
    </row>
    <row r="4049" spans="1:20" ht="14.4" thickTop="1" thickBot="1" x14ac:dyDescent="0.3">
      <c r="A4049" s="292"/>
      <c r="B4049" s="296"/>
      <c r="C4049" s="294"/>
      <c r="D4049" s="294"/>
      <c r="E4049" s="294">
        <v>2</v>
      </c>
      <c r="F4049" s="310">
        <v>1</v>
      </c>
      <c r="G4049" s="310"/>
      <c r="H4049" s="310">
        <f>H3810</f>
        <v>3.6</v>
      </c>
      <c r="I4049" s="295">
        <f t="shared" si="534"/>
        <v>7.2</v>
      </c>
      <c r="J4049" s="295"/>
      <c r="K4049" s="300">
        <f t="shared" si="488"/>
        <v>1.1000000000000001</v>
      </c>
      <c r="L4049" s="300">
        <f t="shared" si="505"/>
        <v>0</v>
      </c>
      <c r="M4049" s="285"/>
      <c r="N4049" s="1076"/>
      <c r="O4049" s="294"/>
      <c r="P4049" s="404"/>
      <c r="Q4049" s="404"/>
    </row>
    <row r="4050" spans="1:20" ht="14.4" thickTop="1" thickBot="1" x14ac:dyDescent="0.3">
      <c r="A4050" s="292"/>
      <c r="B4050" s="296" t="s">
        <v>783</v>
      </c>
      <c r="C4050" s="294"/>
      <c r="D4050" s="294"/>
      <c r="E4050" s="294">
        <v>3</v>
      </c>
      <c r="F4050" s="310">
        <v>0.9</v>
      </c>
      <c r="G4050" s="310"/>
      <c r="H4050" s="310">
        <v>2.7</v>
      </c>
      <c r="I4050" s="295">
        <f>-H4050*F4050*E4050</f>
        <v>-7.2900000000000009</v>
      </c>
      <c r="J4050" s="295"/>
      <c r="K4050" s="300">
        <f t="shared" si="488"/>
        <v>1.1000000000000001</v>
      </c>
      <c r="L4050" s="300">
        <f t="shared" si="505"/>
        <v>0</v>
      </c>
      <c r="M4050" s="285">
        <f t="shared" si="520"/>
        <v>0</v>
      </c>
      <c r="N4050" s="1076"/>
      <c r="O4050" s="294"/>
      <c r="P4050" s="404"/>
      <c r="Q4050" s="404"/>
    </row>
    <row r="4051" spans="1:20" ht="14.4" thickTop="1" thickBot="1" x14ac:dyDescent="0.3">
      <c r="A4051" s="292"/>
      <c r="B4051" s="296" t="s">
        <v>784</v>
      </c>
      <c r="C4051" s="294"/>
      <c r="D4051" s="294"/>
      <c r="E4051" s="294">
        <v>2</v>
      </c>
      <c r="F4051" s="310">
        <v>0.9</v>
      </c>
      <c r="G4051" s="310"/>
      <c r="H4051" s="310">
        <v>2.7</v>
      </c>
      <c r="I4051" s="295">
        <f>-H4051*F4051*E4051</f>
        <v>-4.8600000000000003</v>
      </c>
      <c r="J4051" s="295"/>
      <c r="K4051" s="300">
        <f t="shared" si="488"/>
        <v>1.1000000000000001</v>
      </c>
      <c r="L4051" s="300">
        <f t="shared" si="505"/>
        <v>0</v>
      </c>
      <c r="M4051" s="285">
        <f t="shared" si="520"/>
        <v>0</v>
      </c>
      <c r="N4051" s="1076"/>
      <c r="O4051" s="294"/>
      <c r="P4051" s="404"/>
      <c r="Q4051" s="404"/>
    </row>
    <row r="4052" spans="1:20" ht="14.4" thickTop="1" thickBot="1" x14ac:dyDescent="0.3">
      <c r="A4052" s="292"/>
      <c r="B4052" s="296" t="s">
        <v>785</v>
      </c>
      <c r="C4052" s="294"/>
      <c r="D4052" s="294"/>
      <c r="E4052" s="294">
        <v>2</v>
      </c>
      <c r="F4052" s="310">
        <v>0.75</v>
      </c>
      <c r="G4052" s="310"/>
      <c r="H4052" s="310">
        <v>2.7</v>
      </c>
      <c r="I4052" s="295">
        <f>-H4052*F4052*E4052</f>
        <v>-4.0500000000000007</v>
      </c>
      <c r="J4052" s="295">
        <f>SUM(I4041:I4052)</f>
        <v>169.44119999999995</v>
      </c>
      <c r="K4052" s="300">
        <f t="shared" si="488"/>
        <v>1.1000000000000001</v>
      </c>
      <c r="L4052" s="300">
        <f t="shared" si="505"/>
        <v>186.38531999999995</v>
      </c>
      <c r="M4052" s="285">
        <f t="shared" si="520"/>
        <v>186</v>
      </c>
      <c r="N4052" s="1076"/>
      <c r="O4052" s="294" t="s">
        <v>695</v>
      </c>
      <c r="P4052" s="404"/>
      <c r="Q4052" s="404"/>
      <c r="R4052" s="301">
        <f>J4052*10.76</f>
        <v>1823.1873119999993</v>
      </c>
    </row>
    <row r="4053" spans="1:20" ht="14.4" thickTop="1" thickBot="1" x14ac:dyDescent="0.3">
      <c r="A4053" s="292"/>
      <c r="B4053" s="296"/>
      <c r="C4053" s="294"/>
      <c r="D4053" s="294"/>
      <c r="E4053" s="294"/>
      <c r="F4053" s="310"/>
      <c r="G4053" s="310"/>
      <c r="H4053" s="310"/>
      <c r="I4053" s="295"/>
      <c r="J4053" s="295">
        <f>J4052/9.29</f>
        <v>18.239095801937562</v>
      </c>
      <c r="K4053" s="300">
        <v>1.05</v>
      </c>
      <c r="L4053" s="300">
        <f t="shared" si="505"/>
        <v>19.151050592034441</v>
      </c>
      <c r="M4053" s="285">
        <f t="shared" si="520"/>
        <v>19</v>
      </c>
      <c r="N4053" s="1076"/>
      <c r="O4053" s="294" t="s">
        <v>879</v>
      </c>
      <c r="P4053" s="404"/>
      <c r="Q4053" s="404"/>
      <c r="R4053" s="301">
        <f>R4052/100</f>
        <v>18.231873119999992</v>
      </c>
      <c r="T4053" s="287">
        <f>100/10.76</f>
        <v>9.2936802973977706</v>
      </c>
    </row>
    <row r="4054" spans="1:20" ht="14.4" thickTop="1" thickBot="1" x14ac:dyDescent="0.3">
      <c r="A4054" s="292"/>
      <c r="B4054" s="296"/>
      <c r="C4054" s="294"/>
      <c r="D4054" s="294"/>
      <c r="E4054" s="294"/>
      <c r="F4054" s="310"/>
      <c r="G4054" s="310"/>
      <c r="H4054" s="310"/>
      <c r="I4054" s="295"/>
      <c r="J4054" s="295"/>
      <c r="K4054" s="300">
        <f t="shared" si="488"/>
        <v>1.1000000000000001</v>
      </c>
      <c r="L4054" s="300">
        <f t="shared" si="505"/>
        <v>0</v>
      </c>
      <c r="M4054" s="285">
        <f t="shared" si="520"/>
        <v>0</v>
      </c>
      <c r="N4054" s="1076"/>
      <c r="O4054" s="294"/>
      <c r="P4054" s="404"/>
      <c r="Q4054" s="404"/>
    </row>
    <row r="4055" spans="1:20" ht="14.4" thickTop="1" thickBot="1" x14ac:dyDescent="0.3">
      <c r="A4055" s="292"/>
      <c r="B4055" s="296" t="s">
        <v>1489</v>
      </c>
      <c r="C4055" s="294"/>
      <c r="D4055" s="294"/>
      <c r="E4055" s="294"/>
      <c r="F4055" s="310"/>
      <c r="G4055" s="310"/>
      <c r="H4055" s="310"/>
      <c r="I4055" s="295"/>
      <c r="J4055" s="295"/>
      <c r="K4055" s="300">
        <f t="shared" si="488"/>
        <v>1.1000000000000001</v>
      </c>
      <c r="L4055" s="300">
        <f t="shared" si="505"/>
        <v>0</v>
      </c>
      <c r="M4055" s="285">
        <f t="shared" si="520"/>
        <v>0</v>
      </c>
      <c r="N4055" s="1076"/>
      <c r="O4055" s="294"/>
      <c r="P4055" s="404"/>
      <c r="Q4055" s="404"/>
    </row>
    <row r="4056" spans="1:20" ht="14.4" thickTop="1" thickBot="1" x14ac:dyDescent="0.3">
      <c r="A4056" s="292"/>
      <c r="B4056" s="296" t="s">
        <v>783</v>
      </c>
      <c r="C4056" s="294"/>
      <c r="D4056" s="294"/>
      <c r="E4056" s="294">
        <v>3</v>
      </c>
      <c r="F4056" s="310">
        <f>0.9+0.3+0.3</f>
        <v>1.5</v>
      </c>
      <c r="G4056" s="310"/>
      <c r="H4056" s="310"/>
      <c r="I4056" s="295">
        <f>F4056*E4056</f>
        <v>4.5</v>
      </c>
      <c r="J4056" s="295"/>
      <c r="K4056" s="300">
        <f t="shared" si="488"/>
        <v>1.1000000000000001</v>
      </c>
      <c r="L4056" s="300">
        <f t="shared" si="505"/>
        <v>0</v>
      </c>
      <c r="M4056" s="285">
        <f t="shared" si="520"/>
        <v>0</v>
      </c>
      <c r="N4056" s="1076"/>
      <c r="O4056" s="294"/>
      <c r="P4056" s="404"/>
      <c r="Q4056" s="404"/>
    </row>
    <row r="4057" spans="1:20" ht="14.4" thickTop="1" thickBot="1" x14ac:dyDescent="0.3">
      <c r="A4057" s="292"/>
      <c r="B4057" s="296" t="s">
        <v>784</v>
      </c>
      <c r="C4057" s="294"/>
      <c r="D4057" s="294"/>
      <c r="E4057" s="294">
        <v>2</v>
      </c>
      <c r="F4057" s="310">
        <f>0.9+0.3+0.3</f>
        <v>1.5</v>
      </c>
      <c r="G4057" s="310"/>
      <c r="H4057" s="310"/>
      <c r="I4057" s="295">
        <f t="shared" ref="I4057:I4058" si="535">F4057*E4057</f>
        <v>3</v>
      </c>
      <c r="J4057" s="295"/>
      <c r="K4057" s="300">
        <f t="shared" si="488"/>
        <v>1.1000000000000001</v>
      </c>
      <c r="L4057" s="300">
        <f t="shared" si="505"/>
        <v>0</v>
      </c>
      <c r="M4057" s="285">
        <f t="shared" si="520"/>
        <v>0</v>
      </c>
      <c r="N4057" s="1076"/>
      <c r="O4057" s="294"/>
      <c r="P4057" s="404"/>
      <c r="Q4057" s="404"/>
    </row>
    <row r="4058" spans="1:20" ht="14.4" thickTop="1" thickBot="1" x14ac:dyDescent="0.3">
      <c r="A4058" s="292"/>
      <c r="B4058" s="296" t="s">
        <v>785</v>
      </c>
      <c r="C4058" s="294"/>
      <c r="D4058" s="294"/>
      <c r="E4058" s="294">
        <v>2</v>
      </c>
      <c r="F4058" s="310">
        <f>0.75+0.6</f>
        <v>1.35</v>
      </c>
      <c r="G4058" s="310"/>
      <c r="H4058" s="310"/>
      <c r="I4058" s="295">
        <f t="shared" si="535"/>
        <v>2.7</v>
      </c>
      <c r="J4058" s="295">
        <f>SUM(I4056:I4058)</f>
        <v>10.199999999999999</v>
      </c>
      <c r="K4058" s="300">
        <f t="shared" si="488"/>
        <v>1.1000000000000001</v>
      </c>
      <c r="L4058" s="300">
        <f t="shared" si="505"/>
        <v>11.22</v>
      </c>
      <c r="M4058" s="285">
        <f t="shared" si="520"/>
        <v>11</v>
      </c>
      <c r="N4058" s="1076"/>
      <c r="O4058" s="294"/>
      <c r="P4058" s="404"/>
      <c r="Q4058" s="404"/>
    </row>
    <row r="4059" spans="1:20" ht="14.4" thickTop="1" thickBot="1" x14ac:dyDescent="0.3">
      <c r="A4059" s="292"/>
      <c r="B4059" s="296"/>
      <c r="C4059" s="294"/>
      <c r="D4059" s="294"/>
      <c r="E4059" s="294"/>
      <c r="F4059" s="310"/>
      <c r="G4059" s="310"/>
      <c r="H4059" s="310"/>
      <c r="I4059" s="295"/>
      <c r="J4059" s="295">
        <f>J4058*3.28</f>
        <v>33.455999999999996</v>
      </c>
      <c r="K4059" s="300">
        <f t="shared" si="488"/>
        <v>1.1000000000000001</v>
      </c>
      <c r="L4059" s="300">
        <f t="shared" si="505"/>
        <v>36.801600000000001</v>
      </c>
      <c r="M4059" s="285">
        <f t="shared" si="520"/>
        <v>37</v>
      </c>
      <c r="N4059" s="1076"/>
      <c r="O4059" s="294"/>
      <c r="P4059" s="404"/>
      <c r="Q4059" s="404"/>
    </row>
    <row r="4060" spans="1:20" ht="14.4" thickTop="1" thickBot="1" x14ac:dyDescent="0.3">
      <c r="A4060" s="292"/>
      <c r="B4060" s="296"/>
      <c r="C4060" s="294"/>
      <c r="D4060" s="294"/>
      <c r="E4060" s="294"/>
      <c r="F4060" s="310"/>
      <c r="G4060" s="310"/>
      <c r="H4060" s="310"/>
      <c r="I4060" s="295"/>
      <c r="J4060" s="295"/>
      <c r="K4060" s="300">
        <f t="shared" si="488"/>
        <v>1.1000000000000001</v>
      </c>
      <c r="L4060" s="300">
        <f t="shared" si="505"/>
        <v>0</v>
      </c>
      <c r="M4060" s="285">
        <f t="shared" si="520"/>
        <v>0</v>
      </c>
      <c r="N4060" s="1076"/>
      <c r="O4060" s="294"/>
      <c r="P4060" s="404"/>
      <c r="Q4060" s="404"/>
    </row>
    <row r="4061" spans="1:20" ht="14.4" thickTop="1" thickBot="1" x14ac:dyDescent="0.3">
      <c r="A4061" s="292"/>
      <c r="B4061" s="296"/>
      <c r="C4061" s="294"/>
      <c r="D4061" s="294"/>
      <c r="E4061" s="294"/>
      <c r="F4061" s="310"/>
      <c r="G4061" s="310"/>
      <c r="H4061" s="310"/>
      <c r="I4061" s="295"/>
      <c r="J4061" s="295"/>
      <c r="K4061" s="300">
        <f t="shared" si="488"/>
        <v>1.1000000000000001</v>
      </c>
      <c r="L4061" s="300">
        <f t="shared" si="505"/>
        <v>0</v>
      </c>
      <c r="M4061" s="285">
        <f t="shared" si="520"/>
        <v>0</v>
      </c>
      <c r="N4061" s="1076"/>
      <c r="O4061" s="294"/>
      <c r="P4061" s="404"/>
      <c r="Q4061" s="404"/>
    </row>
    <row r="4062" spans="1:20" ht="14.4" thickTop="1" thickBot="1" x14ac:dyDescent="0.3">
      <c r="A4062" s="292"/>
      <c r="B4062" s="296"/>
      <c r="C4062" s="294"/>
      <c r="D4062" s="294"/>
      <c r="E4062" s="294"/>
      <c r="F4062" s="310"/>
      <c r="G4062" s="310"/>
      <c r="H4062" s="310"/>
      <c r="I4062" s="295"/>
      <c r="J4062" s="295"/>
      <c r="K4062" s="300">
        <f t="shared" si="488"/>
        <v>1.1000000000000001</v>
      </c>
      <c r="L4062" s="300">
        <f t="shared" si="505"/>
        <v>0</v>
      </c>
      <c r="M4062" s="285">
        <f t="shared" si="520"/>
        <v>0</v>
      </c>
      <c r="N4062" s="1076"/>
      <c r="O4062" s="294"/>
      <c r="P4062" s="404"/>
      <c r="Q4062" s="404"/>
    </row>
    <row r="4063" spans="1:20" ht="14.4" thickTop="1" thickBot="1" x14ac:dyDescent="0.3">
      <c r="A4063" s="292"/>
      <c r="B4063" s="296"/>
      <c r="C4063" s="294"/>
      <c r="D4063" s="294"/>
      <c r="E4063" s="294"/>
      <c r="F4063" s="310"/>
      <c r="G4063" s="310"/>
      <c r="H4063" s="310"/>
      <c r="I4063" s="295"/>
      <c r="J4063" s="295"/>
      <c r="K4063" s="300">
        <f t="shared" si="488"/>
        <v>1.1000000000000001</v>
      </c>
      <c r="L4063" s="300">
        <f t="shared" si="505"/>
        <v>0</v>
      </c>
      <c r="M4063" s="285">
        <f t="shared" si="520"/>
        <v>0</v>
      </c>
      <c r="N4063" s="1076"/>
      <c r="O4063" s="294"/>
      <c r="P4063" s="404"/>
      <c r="Q4063" s="404"/>
    </row>
    <row r="4064" spans="1:20" ht="14.4" thickTop="1" thickBot="1" x14ac:dyDescent="0.3">
      <c r="A4064" s="292"/>
      <c r="B4064" s="296"/>
      <c r="C4064" s="294"/>
      <c r="D4064" s="294"/>
      <c r="E4064" s="294"/>
      <c r="F4064" s="310"/>
      <c r="G4064" s="310"/>
      <c r="H4064" s="310"/>
      <c r="I4064" s="295"/>
      <c r="J4064" s="295"/>
      <c r="K4064" s="300">
        <f t="shared" si="488"/>
        <v>1.1000000000000001</v>
      </c>
      <c r="L4064" s="300">
        <f t="shared" si="505"/>
        <v>0</v>
      </c>
      <c r="M4064" s="285">
        <f t="shared" si="520"/>
        <v>0</v>
      </c>
      <c r="N4064" s="1076"/>
      <c r="O4064" s="294"/>
      <c r="P4064" s="404"/>
      <c r="Q4064" s="404"/>
    </row>
    <row r="4065" spans="1:17" ht="14.4" thickTop="1" thickBot="1" x14ac:dyDescent="0.3">
      <c r="A4065" s="292"/>
      <c r="B4065" s="296" t="s">
        <v>786</v>
      </c>
      <c r="C4065" s="294"/>
      <c r="D4065" s="294"/>
      <c r="E4065" s="294"/>
      <c r="F4065" s="310"/>
      <c r="G4065" s="310"/>
      <c r="H4065" s="310"/>
      <c r="I4065" s="295"/>
      <c r="J4065" s="295"/>
      <c r="K4065" s="300">
        <f t="shared" ref="K4065:K4139" si="536">$K$2</f>
        <v>1.1000000000000001</v>
      </c>
      <c r="L4065" s="300">
        <f t="shared" si="505"/>
        <v>0</v>
      </c>
      <c r="M4065" s="285">
        <f t="shared" si="520"/>
        <v>0</v>
      </c>
      <c r="N4065" s="1076"/>
      <c r="O4065" s="294"/>
      <c r="P4065" s="404"/>
      <c r="Q4065" s="404"/>
    </row>
    <row r="4066" spans="1:17" ht="14.4" thickTop="1" thickBot="1" x14ac:dyDescent="0.3">
      <c r="A4066" s="292"/>
      <c r="B4066" s="296" t="s">
        <v>787</v>
      </c>
      <c r="C4066" s="294"/>
      <c r="D4066" s="294"/>
      <c r="E4066" s="294">
        <v>1</v>
      </c>
      <c r="F4066" s="310">
        <v>8.9250000000000007</v>
      </c>
      <c r="G4066" s="310"/>
      <c r="H4066" s="310">
        <f>H3912</f>
        <v>3.6</v>
      </c>
      <c r="I4066" s="295">
        <f t="shared" ref="I4066:I4074" si="537">H4066*F4066*E4066</f>
        <v>32.130000000000003</v>
      </c>
      <c r="J4066" s="295"/>
      <c r="K4066" s="300">
        <f t="shared" si="536"/>
        <v>1.1000000000000001</v>
      </c>
      <c r="L4066" s="300">
        <f t="shared" si="505"/>
        <v>0</v>
      </c>
      <c r="M4066" s="285">
        <f t="shared" si="520"/>
        <v>0</v>
      </c>
      <c r="N4066" s="1076"/>
      <c r="O4066" s="294"/>
      <c r="P4066" s="404"/>
      <c r="Q4066" s="404"/>
    </row>
    <row r="4067" spans="1:17" ht="14.4" thickTop="1" thickBot="1" x14ac:dyDescent="0.3">
      <c r="A4067" s="292"/>
      <c r="B4067" s="296" t="s">
        <v>788</v>
      </c>
      <c r="C4067" s="294"/>
      <c r="D4067" s="294"/>
      <c r="E4067" s="294">
        <v>1</v>
      </c>
      <c r="F4067" s="310">
        <v>8.7140000000000004</v>
      </c>
      <c r="G4067" s="310"/>
      <c r="H4067" s="310">
        <f>H4066</f>
        <v>3.6</v>
      </c>
      <c r="I4067" s="295">
        <f t="shared" si="537"/>
        <v>31.370400000000004</v>
      </c>
      <c r="J4067" s="295"/>
      <c r="K4067" s="300">
        <f t="shared" si="536"/>
        <v>1.1000000000000001</v>
      </c>
      <c r="L4067" s="300">
        <f t="shared" si="505"/>
        <v>0</v>
      </c>
      <c r="M4067" s="285">
        <f t="shared" si="520"/>
        <v>0</v>
      </c>
      <c r="N4067" s="1076"/>
      <c r="O4067" s="294"/>
      <c r="P4067" s="404"/>
      <c r="Q4067" s="404"/>
    </row>
    <row r="4068" spans="1:17" ht="14.4" thickTop="1" thickBot="1" x14ac:dyDescent="0.3">
      <c r="A4068" s="292"/>
      <c r="B4068" s="296" t="s">
        <v>789</v>
      </c>
      <c r="C4068" s="294"/>
      <c r="D4068" s="294"/>
      <c r="E4068" s="294">
        <v>1</v>
      </c>
      <c r="F4068" s="310">
        <v>5.05</v>
      </c>
      <c r="G4068" s="310"/>
      <c r="H4068" s="310">
        <v>3.6</v>
      </c>
      <c r="I4068" s="295">
        <f t="shared" si="537"/>
        <v>18.18</v>
      </c>
      <c r="J4068" s="295"/>
      <c r="K4068" s="300">
        <f t="shared" si="536"/>
        <v>1.1000000000000001</v>
      </c>
      <c r="L4068" s="300">
        <f t="shared" si="505"/>
        <v>0</v>
      </c>
      <c r="M4068" s="285">
        <f t="shared" si="520"/>
        <v>0</v>
      </c>
      <c r="N4068" s="1076"/>
      <c r="O4068" s="294"/>
      <c r="P4068" s="404"/>
      <c r="Q4068" s="404"/>
    </row>
    <row r="4069" spans="1:17" ht="14.4" thickTop="1" thickBot="1" x14ac:dyDescent="0.3">
      <c r="A4069" s="292"/>
      <c r="B4069" s="296"/>
      <c r="C4069" s="294"/>
      <c r="D4069" s="294"/>
      <c r="E4069" s="294">
        <v>1</v>
      </c>
      <c r="F4069" s="310">
        <v>1.25</v>
      </c>
      <c r="G4069" s="310"/>
      <c r="H4069" s="310">
        <v>3.6</v>
      </c>
      <c r="I4069" s="295">
        <f t="shared" si="537"/>
        <v>4.5</v>
      </c>
      <c r="J4069" s="295"/>
      <c r="K4069" s="300">
        <f t="shared" si="536"/>
        <v>1.1000000000000001</v>
      </c>
      <c r="L4069" s="300">
        <f t="shared" si="505"/>
        <v>0</v>
      </c>
      <c r="M4069" s="285"/>
      <c r="N4069" s="1076"/>
      <c r="O4069" s="294"/>
      <c r="P4069" s="404"/>
      <c r="Q4069" s="404"/>
    </row>
    <row r="4070" spans="1:17" ht="14.4" thickTop="1" thickBot="1" x14ac:dyDescent="0.3">
      <c r="A4070" s="292"/>
      <c r="B4070" s="296" t="s">
        <v>708</v>
      </c>
      <c r="C4070" s="294"/>
      <c r="D4070" s="294"/>
      <c r="E4070" s="294">
        <v>1</v>
      </c>
      <c r="F4070" s="310">
        <v>2.4300000000000002</v>
      </c>
      <c r="G4070" s="310"/>
      <c r="H4070" s="310">
        <f>H4068</f>
        <v>3.6</v>
      </c>
      <c r="I4070" s="295">
        <f t="shared" si="537"/>
        <v>8.7480000000000011</v>
      </c>
      <c r="J4070" s="295"/>
      <c r="K4070" s="300">
        <f t="shared" si="536"/>
        <v>1.1000000000000001</v>
      </c>
      <c r="L4070" s="300">
        <f t="shared" si="505"/>
        <v>0</v>
      </c>
      <c r="M4070" s="285">
        <f t="shared" si="520"/>
        <v>0</v>
      </c>
      <c r="N4070" s="1076"/>
      <c r="O4070" s="294"/>
      <c r="P4070" s="404"/>
      <c r="Q4070" s="404"/>
    </row>
    <row r="4071" spans="1:17" ht="14.4" thickTop="1" thickBot="1" x14ac:dyDescent="0.3">
      <c r="A4071" s="292"/>
      <c r="B4071" s="296"/>
      <c r="C4071" s="294"/>
      <c r="D4071" s="294"/>
      <c r="E4071" s="294">
        <v>1</v>
      </c>
      <c r="F4071" s="310">
        <v>3.5249999999999999</v>
      </c>
      <c r="G4071" s="310"/>
      <c r="H4071" s="310">
        <v>3.6</v>
      </c>
      <c r="I4071" s="295">
        <f t="shared" si="537"/>
        <v>12.69</v>
      </c>
      <c r="J4071" s="295"/>
      <c r="K4071" s="300">
        <f t="shared" si="536"/>
        <v>1.1000000000000001</v>
      </c>
      <c r="L4071" s="300">
        <f t="shared" si="505"/>
        <v>0</v>
      </c>
      <c r="M4071" s="285">
        <f t="shared" si="520"/>
        <v>0</v>
      </c>
      <c r="N4071" s="1076"/>
      <c r="O4071" s="294"/>
      <c r="P4071" s="404"/>
      <c r="Q4071" s="404"/>
    </row>
    <row r="4072" spans="1:17" ht="14.4" thickTop="1" thickBot="1" x14ac:dyDescent="0.3">
      <c r="A4072" s="292"/>
      <c r="B4072" s="296"/>
      <c r="C4072" s="294"/>
      <c r="D4072" s="294"/>
      <c r="E4072" s="294">
        <v>3</v>
      </c>
      <c r="F4072" s="310">
        <v>1.3</v>
      </c>
      <c r="G4072" s="310"/>
      <c r="H4072" s="310">
        <f>H4071</f>
        <v>3.6</v>
      </c>
      <c r="I4072" s="295">
        <f t="shared" si="537"/>
        <v>14.040000000000003</v>
      </c>
      <c r="J4072" s="295"/>
      <c r="K4072" s="300">
        <f t="shared" si="536"/>
        <v>1.1000000000000001</v>
      </c>
      <c r="L4072" s="300">
        <f t="shared" si="505"/>
        <v>0</v>
      </c>
      <c r="M4072" s="285">
        <f t="shared" si="520"/>
        <v>0</v>
      </c>
      <c r="N4072" s="1076"/>
      <c r="O4072" s="294"/>
      <c r="P4072" s="404"/>
      <c r="Q4072" s="404"/>
    </row>
    <row r="4073" spans="1:17" ht="14.4" thickTop="1" thickBot="1" x14ac:dyDescent="0.3">
      <c r="A4073" s="292"/>
      <c r="B4073" s="296"/>
      <c r="C4073" s="294"/>
      <c r="D4073" s="294"/>
      <c r="E4073" s="294">
        <v>2</v>
      </c>
      <c r="F4073" s="310">
        <v>1</v>
      </c>
      <c r="G4073" s="310"/>
      <c r="H4073" s="310">
        <f>H4072</f>
        <v>3.6</v>
      </c>
      <c r="I4073" s="295">
        <f t="shared" si="537"/>
        <v>7.2</v>
      </c>
      <c r="J4073" s="295"/>
      <c r="K4073" s="300">
        <f t="shared" si="536"/>
        <v>1.1000000000000001</v>
      </c>
      <c r="L4073" s="300">
        <f t="shared" si="505"/>
        <v>0</v>
      </c>
      <c r="M4073" s="285">
        <f t="shared" si="520"/>
        <v>0</v>
      </c>
      <c r="N4073" s="1076"/>
      <c r="O4073" s="294"/>
      <c r="P4073" s="404"/>
      <c r="Q4073" s="404"/>
    </row>
    <row r="4074" spans="1:17" ht="14.4" thickTop="1" thickBot="1" x14ac:dyDescent="0.3">
      <c r="A4074" s="292"/>
      <c r="B4074" s="296" t="s">
        <v>790</v>
      </c>
      <c r="C4074" s="294"/>
      <c r="D4074" s="294"/>
      <c r="E4074" s="294">
        <v>1</v>
      </c>
      <c r="F4074" s="310">
        <v>3.75</v>
      </c>
      <c r="G4074" s="310"/>
      <c r="H4074" s="310">
        <f>H4073</f>
        <v>3.6</v>
      </c>
      <c r="I4074" s="295">
        <f t="shared" si="537"/>
        <v>13.5</v>
      </c>
      <c r="J4074" s="295"/>
      <c r="K4074" s="300">
        <f t="shared" si="536"/>
        <v>1.1000000000000001</v>
      </c>
      <c r="L4074" s="300">
        <f t="shared" si="505"/>
        <v>0</v>
      </c>
      <c r="M4074" s="285">
        <f t="shared" si="520"/>
        <v>0</v>
      </c>
      <c r="N4074" s="1076"/>
      <c r="O4074" s="294"/>
      <c r="P4074" s="404"/>
      <c r="Q4074" s="404"/>
    </row>
    <row r="4075" spans="1:17" ht="14.4" thickTop="1" thickBot="1" x14ac:dyDescent="0.3">
      <c r="A4075" s="292"/>
      <c r="B4075" s="296" t="s">
        <v>791</v>
      </c>
      <c r="C4075" s="294"/>
      <c r="D4075" s="294"/>
      <c r="E4075" s="294"/>
      <c r="F4075" s="310"/>
      <c r="G4075" s="310"/>
      <c r="H4075" s="310"/>
      <c r="I4075" s="295"/>
      <c r="J4075" s="295"/>
      <c r="K4075" s="300">
        <f t="shared" si="536"/>
        <v>1.1000000000000001</v>
      </c>
      <c r="L4075" s="300">
        <f t="shared" si="505"/>
        <v>0</v>
      </c>
      <c r="M4075" s="285">
        <f t="shared" si="520"/>
        <v>0</v>
      </c>
      <c r="N4075" s="1076"/>
      <c r="O4075" s="294"/>
      <c r="P4075" s="404"/>
      <c r="Q4075" s="404"/>
    </row>
    <row r="4076" spans="1:17" ht="14.4" thickTop="1" thickBot="1" x14ac:dyDescent="0.3">
      <c r="A4076" s="292"/>
      <c r="B4076" s="296" t="s">
        <v>770</v>
      </c>
      <c r="C4076" s="294"/>
      <c r="D4076" s="294"/>
      <c r="E4076" s="294">
        <v>3</v>
      </c>
      <c r="F4076" s="310">
        <v>0.9</v>
      </c>
      <c r="G4076" s="310"/>
      <c r="H4076" s="310">
        <v>2.7</v>
      </c>
      <c r="I4076" s="295">
        <f>-H4076*F4076*E4076</f>
        <v>-7.2900000000000009</v>
      </c>
      <c r="J4076" s="295"/>
      <c r="K4076" s="300">
        <f t="shared" si="536"/>
        <v>1.1000000000000001</v>
      </c>
      <c r="L4076" s="300">
        <f t="shared" si="505"/>
        <v>0</v>
      </c>
      <c r="M4076" s="285">
        <f t="shared" si="520"/>
        <v>0</v>
      </c>
      <c r="N4076" s="1076"/>
      <c r="O4076" s="294"/>
      <c r="P4076" s="404"/>
      <c r="Q4076" s="404"/>
    </row>
    <row r="4077" spans="1:17" ht="14.4" thickTop="1" thickBot="1" x14ac:dyDescent="0.3">
      <c r="A4077" s="292"/>
      <c r="B4077" s="296" t="s">
        <v>792</v>
      </c>
      <c r="C4077" s="294"/>
      <c r="D4077" s="294"/>
      <c r="E4077" s="294">
        <v>1</v>
      </c>
      <c r="F4077" s="310">
        <v>0.9</v>
      </c>
      <c r="G4077" s="310"/>
      <c r="H4077" s="310">
        <v>2.4</v>
      </c>
      <c r="I4077" s="295">
        <f t="shared" ref="I4077:I4079" si="538">-H4077*F4077*E4077</f>
        <v>-2.16</v>
      </c>
      <c r="J4077" s="295"/>
      <c r="K4077" s="300">
        <f t="shared" si="536"/>
        <v>1.1000000000000001</v>
      </c>
      <c r="L4077" s="300">
        <f t="shared" si="505"/>
        <v>0</v>
      </c>
      <c r="M4077" s="285">
        <f t="shared" si="520"/>
        <v>0</v>
      </c>
      <c r="N4077" s="1076"/>
      <c r="O4077" s="294"/>
      <c r="P4077" s="404"/>
      <c r="Q4077" s="404"/>
    </row>
    <row r="4078" spans="1:17" ht="14.4" thickTop="1" thickBot="1" x14ac:dyDescent="0.3">
      <c r="A4078" s="292"/>
      <c r="B4078" s="296" t="s">
        <v>784</v>
      </c>
      <c r="C4078" s="294"/>
      <c r="D4078" s="294"/>
      <c r="E4078" s="294">
        <v>2</v>
      </c>
      <c r="F4078" s="310">
        <v>0.9</v>
      </c>
      <c r="G4078" s="310"/>
      <c r="H4078" s="310">
        <v>2.7</v>
      </c>
      <c r="I4078" s="295">
        <f t="shared" si="538"/>
        <v>-4.8600000000000003</v>
      </c>
      <c r="J4078" s="295"/>
      <c r="K4078" s="300">
        <f t="shared" si="536"/>
        <v>1.1000000000000001</v>
      </c>
      <c r="L4078" s="300">
        <f t="shared" si="505"/>
        <v>0</v>
      </c>
      <c r="M4078" s="285">
        <f t="shared" si="520"/>
        <v>0</v>
      </c>
      <c r="N4078" s="1076"/>
      <c r="O4078" s="294"/>
      <c r="P4078" s="404"/>
      <c r="Q4078" s="404"/>
    </row>
    <row r="4079" spans="1:17" ht="14.4" thickTop="1" thickBot="1" x14ac:dyDescent="0.3">
      <c r="A4079" s="292"/>
      <c r="B4079" s="296" t="s">
        <v>785</v>
      </c>
      <c r="C4079" s="294"/>
      <c r="D4079" s="294"/>
      <c r="E4079" s="294">
        <v>2</v>
      </c>
      <c r="F4079" s="310">
        <v>0.75</v>
      </c>
      <c r="G4079" s="310"/>
      <c r="H4079" s="310">
        <v>2.7</v>
      </c>
      <c r="I4079" s="295">
        <f t="shared" si="538"/>
        <v>-4.0500000000000007</v>
      </c>
      <c r="J4079" s="295">
        <f>SUM(I4066:I4079)</f>
        <v>123.99840000000002</v>
      </c>
      <c r="K4079" s="300">
        <f t="shared" si="536"/>
        <v>1.1000000000000001</v>
      </c>
      <c r="L4079" s="300">
        <f t="shared" si="505"/>
        <v>136.39824000000004</v>
      </c>
      <c r="M4079" s="285">
        <f t="shared" si="520"/>
        <v>136</v>
      </c>
      <c r="N4079" s="1076"/>
      <c r="O4079" s="294"/>
      <c r="P4079" s="404"/>
      <c r="Q4079" s="404"/>
    </row>
    <row r="4080" spans="1:17" ht="14.4" thickTop="1" thickBot="1" x14ac:dyDescent="0.3">
      <c r="A4080" s="292"/>
      <c r="B4080" s="296"/>
      <c r="C4080" s="294"/>
      <c r="D4080" s="294"/>
      <c r="E4080" s="294"/>
      <c r="F4080" s="310"/>
      <c r="G4080" s="310"/>
      <c r="H4080" s="310"/>
      <c r="I4080" s="295"/>
      <c r="J4080" s="295">
        <f>J4079/9.29</f>
        <v>13.347513455328313</v>
      </c>
      <c r="K4080" s="300">
        <f t="shared" si="536"/>
        <v>1.1000000000000001</v>
      </c>
      <c r="L4080" s="300">
        <f t="shared" si="505"/>
        <v>14.682264800861146</v>
      </c>
      <c r="M4080" s="285">
        <f t="shared" si="520"/>
        <v>15</v>
      </c>
      <c r="N4080" s="1076"/>
      <c r="O4080" s="294"/>
      <c r="P4080" s="404"/>
      <c r="Q4080" s="404"/>
    </row>
    <row r="4081" spans="1:17" ht="14.4" thickTop="1" thickBot="1" x14ac:dyDescent="0.3">
      <c r="A4081" s="292"/>
      <c r="B4081" s="296" t="s">
        <v>1489</v>
      </c>
      <c r="C4081" s="294"/>
      <c r="D4081" s="294"/>
      <c r="E4081" s="294"/>
      <c r="F4081" s="310"/>
      <c r="G4081" s="310"/>
      <c r="H4081" s="310"/>
      <c r="I4081" s="295"/>
      <c r="J4081" s="295"/>
      <c r="K4081" s="300">
        <f t="shared" si="536"/>
        <v>1.1000000000000001</v>
      </c>
      <c r="L4081" s="300">
        <f t="shared" si="505"/>
        <v>0</v>
      </c>
      <c r="M4081" s="285">
        <f t="shared" si="520"/>
        <v>0</v>
      </c>
      <c r="N4081" s="1076"/>
      <c r="O4081" s="294"/>
      <c r="P4081" s="404"/>
      <c r="Q4081" s="404"/>
    </row>
    <row r="4082" spans="1:17" ht="14.4" thickTop="1" thickBot="1" x14ac:dyDescent="0.3">
      <c r="A4082" s="292"/>
      <c r="B4082" s="296" t="s">
        <v>770</v>
      </c>
      <c r="C4082" s="294"/>
      <c r="D4082" s="294"/>
      <c r="E4082" s="294">
        <v>3</v>
      </c>
      <c r="F4082" s="310">
        <f>0.9+0.6</f>
        <v>1.5</v>
      </c>
      <c r="G4082" s="310"/>
      <c r="H4082" s="310"/>
      <c r="I4082" s="295">
        <f>F4082*E4082</f>
        <v>4.5</v>
      </c>
      <c r="J4082" s="295"/>
      <c r="K4082" s="300">
        <f t="shared" si="536"/>
        <v>1.1000000000000001</v>
      </c>
      <c r="L4082" s="300">
        <f t="shared" si="505"/>
        <v>0</v>
      </c>
      <c r="M4082" s="285">
        <f t="shared" si="520"/>
        <v>0</v>
      </c>
      <c r="N4082" s="1076"/>
      <c r="O4082" s="294"/>
      <c r="P4082" s="404"/>
      <c r="Q4082" s="404"/>
    </row>
    <row r="4083" spans="1:17" ht="14.4" thickTop="1" thickBot="1" x14ac:dyDescent="0.3">
      <c r="A4083" s="292"/>
      <c r="B4083" s="296" t="s">
        <v>792</v>
      </c>
      <c r="C4083" s="294"/>
      <c r="D4083" s="294"/>
      <c r="E4083" s="294">
        <v>1</v>
      </c>
      <c r="F4083" s="310">
        <f>0.9+0.6</f>
        <v>1.5</v>
      </c>
      <c r="G4083" s="310"/>
      <c r="H4083" s="310"/>
      <c r="I4083" s="295">
        <f t="shared" ref="I4083:I4085" si="539">F4083*E4083</f>
        <v>1.5</v>
      </c>
      <c r="J4083" s="295"/>
      <c r="K4083" s="300">
        <f t="shared" si="536"/>
        <v>1.1000000000000001</v>
      </c>
      <c r="L4083" s="300">
        <f t="shared" si="505"/>
        <v>0</v>
      </c>
      <c r="M4083" s="285">
        <f t="shared" si="520"/>
        <v>0</v>
      </c>
      <c r="N4083" s="1076"/>
      <c r="O4083" s="294"/>
      <c r="P4083" s="404"/>
      <c r="Q4083" s="404"/>
    </row>
    <row r="4084" spans="1:17" ht="14.4" thickTop="1" thickBot="1" x14ac:dyDescent="0.3">
      <c r="A4084" s="292"/>
      <c r="B4084" s="296" t="s">
        <v>784</v>
      </c>
      <c r="C4084" s="294"/>
      <c r="D4084" s="294"/>
      <c r="E4084" s="294">
        <v>2</v>
      </c>
      <c r="F4084" s="310">
        <f>0.9+0.6</f>
        <v>1.5</v>
      </c>
      <c r="G4084" s="310"/>
      <c r="H4084" s="310"/>
      <c r="I4084" s="295">
        <f t="shared" si="539"/>
        <v>3</v>
      </c>
      <c r="J4084" s="295"/>
      <c r="K4084" s="300">
        <f t="shared" si="536"/>
        <v>1.1000000000000001</v>
      </c>
      <c r="L4084" s="300">
        <f t="shared" si="505"/>
        <v>0</v>
      </c>
      <c r="M4084" s="285">
        <f t="shared" si="520"/>
        <v>0</v>
      </c>
      <c r="N4084" s="1076"/>
      <c r="O4084" s="294"/>
      <c r="P4084" s="404"/>
      <c r="Q4084" s="404"/>
    </row>
    <row r="4085" spans="1:17" ht="14.4" thickTop="1" thickBot="1" x14ac:dyDescent="0.3">
      <c r="A4085" s="292"/>
      <c r="B4085" s="296" t="s">
        <v>785</v>
      </c>
      <c r="C4085" s="294"/>
      <c r="D4085" s="294"/>
      <c r="E4085" s="294">
        <v>2</v>
      </c>
      <c r="F4085" s="310">
        <f>0.75+0.6</f>
        <v>1.35</v>
      </c>
      <c r="G4085" s="310"/>
      <c r="H4085" s="310"/>
      <c r="I4085" s="295">
        <f t="shared" si="539"/>
        <v>2.7</v>
      </c>
      <c r="J4085" s="295">
        <f>SUM(I4082:I4085)</f>
        <v>11.7</v>
      </c>
      <c r="K4085" s="300">
        <f t="shared" si="536"/>
        <v>1.1000000000000001</v>
      </c>
      <c r="L4085" s="300">
        <f t="shared" si="505"/>
        <v>12.870000000000001</v>
      </c>
      <c r="M4085" s="285">
        <f t="shared" si="520"/>
        <v>13</v>
      </c>
      <c r="N4085" s="1076"/>
      <c r="O4085" s="294"/>
      <c r="P4085" s="404"/>
      <c r="Q4085" s="404"/>
    </row>
    <row r="4086" spans="1:17" ht="14.4" thickTop="1" thickBot="1" x14ac:dyDescent="0.3">
      <c r="A4086" s="292"/>
      <c r="B4086" s="296"/>
      <c r="C4086" s="294"/>
      <c r="D4086" s="294"/>
      <c r="E4086" s="294"/>
      <c r="F4086" s="310"/>
      <c r="G4086" s="310"/>
      <c r="H4086" s="310"/>
      <c r="I4086" s="295"/>
      <c r="J4086" s="295">
        <f>J4085*3.28</f>
        <v>38.375999999999998</v>
      </c>
      <c r="K4086" s="300">
        <f t="shared" si="536"/>
        <v>1.1000000000000001</v>
      </c>
      <c r="L4086" s="300">
        <f t="shared" si="505"/>
        <v>42.2136</v>
      </c>
      <c r="M4086" s="285">
        <f t="shared" si="520"/>
        <v>42</v>
      </c>
      <c r="N4086" s="1076"/>
      <c r="O4086" s="294"/>
      <c r="P4086" s="404"/>
      <c r="Q4086" s="404"/>
    </row>
    <row r="4087" spans="1:17" ht="14.4" thickTop="1" thickBot="1" x14ac:dyDescent="0.3">
      <c r="A4087" s="292"/>
      <c r="B4087" s="296"/>
      <c r="C4087" s="294"/>
      <c r="D4087" s="294"/>
      <c r="E4087" s="294"/>
      <c r="F4087" s="310"/>
      <c r="G4087" s="310"/>
      <c r="H4087" s="310"/>
      <c r="I4087" s="295"/>
      <c r="J4087" s="295"/>
      <c r="K4087" s="300">
        <f t="shared" si="536"/>
        <v>1.1000000000000001</v>
      </c>
      <c r="L4087" s="300">
        <f t="shared" si="505"/>
        <v>0</v>
      </c>
      <c r="M4087" s="285">
        <f t="shared" si="520"/>
        <v>0</v>
      </c>
      <c r="N4087" s="1076"/>
      <c r="O4087" s="294"/>
      <c r="P4087" s="404"/>
      <c r="Q4087" s="404"/>
    </row>
    <row r="4088" spans="1:17" ht="14.4" thickTop="1" thickBot="1" x14ac:dyDescent="0.3">
      <c r="A4088" s="292"/>
      <c r="B4088" s="296"/>
      <c r="C4088" s="294"/>
      <c r="D4088" s="294"/>
      <c r="E4088" s="294"/>
      <c r="F4088" s="310"/>
      <c r="G4088" s="310"/>
      <c r="H4088" s="310"/>
      <c r="I4088" s="295"/>
      <c r="J4088" s="295"/>
      <c r="K4088" s="300">
        <f t="shared" si="536"/>
        <v>1.1000000000000001</v>
      </c>
      <c r="L4088" s="300">
        <f t="shared" si="505"/>
        <v>0</v>
      </c>
      <c r="M4088" s="285">
        <f t="shared" si="520"/>
        <v>0</v>
      </c>
      <c r="N4088" s="1076"/>
      <c r="O4088" s="294"/>
      <c r="P4088" s="404"/>
      <c r="Q4088" s="404"/>
    </row>
    <row r="4089" spans="1:17" ht="14.4" thickTop="1" thickBot="1" x14ac:dyDescent="0.3">
      <c r="A4089" s="292"/>
      <c r="B4089" s="296"/>
      <c r="C4089" s="294"/>
      <c r="D4089" s="294"/>
      <c r="E4089" s="294"/>
      <c r="F4089" s="310"/>
      <c r="G4089" s="310"/>
      <c r="H4089" s="310"/>
      <c r="I4089" s="295"/>
      <c r="J4089" s="295"/>
      <c r="K4089" s="300">
        <f t="shared" si="536"/>
        <v>1.1000000000000001</v>
      </c>
      <c r="L4089" s="300">
        <f t="shared" si="505"/>
        <v>0</v>
      </c>
      <c r="M4089" s="285">
        <f t="shared" si="520"/>
        <v>0</v>
      </c>
      <c r="N4089" s="1076"/>
      <c r="O4089" s="294"/>
      <c r="P4089" s="404"/>
      <c r="Q4089" s="404"/>
    </row>
    <row r="4090" spans="1:17" ht="14.4" thickTop="1" thickBot="1" x14ac:dyDescent="0.3">
      <c r="A4090" s="292"/>
      <c r="B4090" s="296" t="s">
        <v>793</v>
      </c>
      <c r="C4090" s="294"/>
      <c r="D4090" s="294"/>
      <c r="E4090" s="294"/>
      <c r="F4090" s="310"/>
      <c r="G4090" s="310"/>
      <c r="H4090" s="310"/>
      <c r="I4090" s="295"/>
      <c r="J4090" s="295"/>
      <c r="K4090" s="300">
        <f t="shared" si="536"/>
        <v>1.1000000000000001</v>
      </c>
      <c r="L4090" s="300">
        <f t="shared" si="505"/>
        <v>0</v>
      </c>
      <c r="M4090" s="285">
        <f t="shared" si="520"/>
        <v>0</v>
      </c>
      <c r="N4090" s="1076"/>
      <c r="O4090" s="294"/>
      <c r="P4090" s="404"/>
      <c r="Q4090" s="404"/>
    </row>
    <row r="4091" spans="1:17" ht="14.4" thickTop="1" thickBot="1" x14ac:dyDescent="0.3">
      <c r="A4091" s="292"/>
      <c r="B4091" s="296" t="s">
        <v>789</v>
      </c>
      <c r="C4091" s="294"/>
      <c r="D4091" s="294"/>
      <c r="E4091" s="294">
        <v>1</v>
      </c>
      <c r="F4091" s="310">
        <v>5</v>
      </c>
      <c r="G4091" s="310"/>
      <c r="H4091" s="310">
        <f>H3987</f>
        <v>4.7229999999999999</v>
      </c>
      <c r="I4091" s="295">
        <f>H4091*F4091*E4091</f>
        <v>23.614999999999998</v>
      </c>
      <c r="J4091" s="295"/>
      <c r="K4091" s="300">
        <f t="shared" si="536"/>
        <v>1.1000000000000001</v>
      </c>
      <c r="L4091" s="300">
        <f t="shared" si="505"/>
        <v>0</v>
      </c>
      <c r="M4091" s="285">
        <f t="shared" si="520"/>
        <v>0</v>
      </c>
      <c r="N4091" s="1076"/>
      <c r="O4091" s="294"/>
      <c r="P4091" s="404"/>
      <c r="Q4091" s="404"/>
    </row>
    <row r="4092" spans="1:17" ht="14.4" thickTop="1" thickBot="1" x14ac:dyDescent="0.3">
      <c r="A4092" s="292"/>
      <c r="B4092" s="296" t="s">
        <v>753</v>
      </c>
      <c r="C4092" s="294"/>
      <c r="D4092" s="294"/>
      <c r="E4092" s="294">
        <v>1</v>
      </c>
      <c r="F4092" s="310">
        <v>5</v>
      </c>
      <c r="G4092" s="310"/>
      <c r="H4092" s="310">
        <f>H3988</f>
        <v>4.7229999999999999</v>
      </c>
      <c r="I4092" s="295">
        <f t="shared" ref="I4092:I4095" si="540">H4092*F4092*E4092</f>
        <v>23.614999999999998</v>
      </c>
      <c r="J4092" s="295"/>
      <c r="K4092" s="300">
        <f t="shared" si="536"/>
        <v>1.1000000000000001</v>
      </c>
      <c r="L4092" s="300">
        <f t="shared" si="505"/>
        <v>0</v>
      </c>
      <c r="M4092" s="285">
        <f t="shared" si="520"/>
        <v>0</v>
      </c>
      <c r="N4092" s="1076"/>
      <c r="O4092" s="294"/>
      <c r="P4092" s="404"/>
      <c r="Q4092" s="404"/>
    </row>
    <row r="4093" spans="1:17" ht="14.4" thickTop="1" thickBot="1" x14ac:dyDescent="0.3">
      <c r="A4093" s="292"/>
      <c r="B4093" s="296" t="s">
        <v>708</v>
      </c>
      <c r="C4093" s="294"/>
      <c r="D4093" s="294"/>
      <c r="E4093" s="294">
        <v>1</v>
      </c>
      <c r="F4093" s="310">
        <v>3.65</v>
      </c>
      <c r="G4093" s="310"/>
      <c r="H4093" s="310">
        <f>H4092</f>
        <v>4.7229999999999999</v>
      </c>
      <c r="I4093" s="295">
        <f t="shared" si="540"/>
        <v>17.238949999999999</v>
      </c>
      <c r="J4093" s="295"/>
      <c r="K4093" s="300">
        <f t="shared" si="536"/>
        <v>1.1000000000000001</v>
      </c>
      <c r="L4093" s="300">
        <f t="shared" si="505"/>
        <v>0</v>
      </c>
      <c r="M4093" s="285">
        <f t="shared" si="520"/>
        <v>0</v>
      </c>
      <c r="N4093" s="1076"/>
      <c r="O4093" s="294"/>
      <c r="P4093" s="404"/>
      <c r="Q4093" s="404"/>
    </row>
    <row r="4094" spans="1:17" ht="14.4" thickTop="1" thickBot="1" x14ac:dyDescent="0.3">
      <c r="A4094" s="292"/>
      <c r="B4094" s="296"/>
      <c r="C4094" s="294"/>
      <c r="D4094" s="294"/>
      <c r="E4094" s="294">
        <f>E4093</f>
        <v>1</v>
      </c>
      <c r="F4094" s="310">
        <v>3.4</v>
      </c>
      <c r="G4094" s="310"/>
      <c r="H4094" s="310">
        <f>H4093</f>
        <v>4.7229999999999999</v>
      </c>
      <c r="I4094" s="295">
        <f t="shared" si="540"/>
        <v>16.058199999999999</v>
      </c>
      <c r="J4094" s="295"/>
      <c r="K4094" s="300">
        <f t="shared" si="536"/>
        <v>1.1000000000000001</v>
      </c>
      <c r="L4094" s="300">
        <f t="shared" si="505"/>
        <v>0</v>
      </c>
      <c r="M4094" s="285">
        <f t="shared" si="520"/>
        <v>0</v>
      </c>
      <c r="N4094" s="1076"/>
      <c r="O4094" s="294"/>
      <c r="P4094" s="404"/>
      <c r="Q4094" s="404"/>
    </row>
    <row r="4095" spans="1:17" ht="14.4" thickTop="1" thickBot="1" x14ac:dyDescent="0.3">
      <c r="A4095" s="292"/>
      <c r="B4095" s="296" t="s">
        <v>771</v>
      </c>
      <c r="C4095" s="294"/>
      <c r="D4095" s="294"/>
      <c r="E4095" s="294"/>
      <c r="F4095" s="310"/>
      <c r="G4095" s="310"/>
      <c r="H4095" s="310"/>
      <c r="I4095" s="295">
        <f t="shared" si="540"/>
        <v>0</v>
      </c>
      <c r="J4095" s="295"/>
      <c r="K4095" s="300">
        <f t="shared" si="536"/>
        <v>1.1000000000000001</v>
      </c>
      <c r="L4095" s="300">
        <f t="shared" si="505"/>
        <v>0</v>
      </c>
      <c r="M4095" s="285">
        <f t="shared" si="520"/>
        <v>0</v>
      </c>
      <c r="N4095" s="1076"/>
      <c r="O4095" s="294"/>
      <c r="P4095" s="404"/>
      <c r="Q4095" s="404"/>
    </row>
    <row r="4096" spans="1:17" ht="14.4" thickTop="1" thickBot="1" x14ac:dyDescent="0.3">
      <c r="A4096" s="292"/>
      <c r="B4096" s="296" t="s">
        <v>784</v>
      </c>
      <c r="C4096" s="294"/>
      <c r="D4096" s="294"/>
      <c r="E4096" s="294">
        <v>2</v>
      </c>
      <c r="F4096" s="310">
        <v>0.9</v>
      </c>
      <c r="G4096" s="310"/>
      <c r="H4096" s="310">
        <v>2.7</v>
      </c>
      <c r="I4096" s="295">
        <f>-H4096*F4096*E4096</f>
        <v>-4.8600000000000003</v>
      </c>
      <c r="J4096" s="295">
        <f>SUM(I4091:I4096)</f>
        <v>75.667149999999992</v>
      </c>
      <c r="K4096" s="300">
        <f t="shared" si="536"/>
        <v>1.1000000000000001</v>
      </c>
      <c r="L4096" s="300">
        <f t="shared" si="505"/>
        <v>83.233864999999994</v>
      </c>
      <c r="M4096" s="285">
        <f t="shared" si="520"/>
        <v>83</v>
      </c>
      <c r="N4096" s="1076"/>
      <c r="O4096" s="294"/>
      <c r="P4096" s="404"/>
      <c r="Q4096" s="404"/>
    </row>
    <row r="4097" spans="1:17" ht="14.4" thickTop="1" thickBot="1" x14ac:dyDescent="0.3">
      <c r="A4097" s="292"/>
      <c r="B4097" s="296"/>
      <c r="C4097" s="294"/>
      <c r="D4097" s="294"/>
      <c r="E4097" s="294"/>
      <c r="F4097" s="310"/>
      <c r="G4097" s="310"/>
      <c r="H4097" s="310"/>
      <c r="I4097" s="295"/>
      <c r="J4097" s="295">
        <f>J4096/9.29</f>
        <v>8.1450107642626488</v>
      </c>
      <c r="K4097" s="300">
        <f t="shared" si="536"/>
        <v>1.1000000000000001</v>
      </c>
      <c r="L4097" s="300">
        <f t="shared" si="505"/>
        <v>8.9595118406889149</v>
      </c>
      <c r="M4097" s="285">
        <f t="shared" si="520"/>
        <v>9</v>
      </c>
      <c r="N4097" s="1076"/>
      <c r="O4097" s="294"/>
      <c r="P4097" s="404"/>
      <c r="Q4097" s="404"/>
    </row>
    <row r="4098" spans="1:17" ht="14.4" thickTop="1" thickBot="1" x14ac:dyDescent="0.3">
      <c r="A4098" s="292"/>
      <c r="B4098" s="296" t="s">
        <v>1495</v>
      </c>
      <c r="C4098" s="294"/>
      <c r="D4098" s="294"/>
      <c r="E4098" s="294"/>
      <c r="F4098" s="310"/>
      <c r="G4098" s="310"/>
      <c r="H4098" s="310"/>
      <c r="I4098" s="295"/>
      <c r="J4098" s="295"/>
      <c r="K4098" s="300">
        <f t="shared" si="536"/>
        <v>1.1000000000000001</v>
      </c>
      <c r="L4098" s="300">
        <f t="shared" si="505"/>
        <v>0</v>
      </c>
      <c r="M4098" s="285">
        <f t="shared" si="520"/>
        <v>0</v>
      </c>
      <c r="N4098" s="1076"/>
      <c r="O4098" s="294"/>
      <c r="P4098" s="404"/>
      <c r="Q4098" s="404"/>
    </row>
    <row r="4099" spans="1:17" ht="14.4" thickTop="1" thickBot="1" x14ac:dyDescent="0.3">
      <c r="A4099" s="292"/>
      <c r="B4099" s="296" t="s">
        <v>784</v>
      </c>
      <c r="C4099" s="294"/>
      <c r="D4099" s="294"/>
      <c r="E4099" s="294">
        <v>2</v>
      </c>
      <c r="F4099" s="310">
        <f>0.9+0.6</f>
        <v>1.5</v>
      </c>
      <c r="G4099" s="310"/>
      <c r="H4099" s="310"/>
      <c r="I4099" s="295">
        <f>F4099*E4099</f>
        <v>3</v>
      </c>
      <c r="J4099" s="295">
        <f>I4099</f>
        <v>3</v>
      </c>
      <c r="K4099" s="300">
        <f t="shared" si="536"/>
        <v>1.1000000000000001</v>
      </c>
      <c r="L4099" s="300">
        <f t="shared" si="505"/>
        <v>3.3000000000000003</v>
      </c>
      <c r="M4099" s="285">
        <f t="shared" si="520"/>
        <v>3</v>
      </c>
      <c r="N4099" s="1076"/>
      <c r="O4099" s="294"/>
      <c r="P4099" s="404"/>
      <c r="Q4099" s="404"/>
    </row>
    <row r="4100" spans="1:17" ht="14.4" thickTop="1" thickBot="1" x14ac:dyDescent="0.3">
      <c r="A4100" s="292"/>
      <c r="B4100" s="296"/>
      <c r="C4100" s="294"/>
      <c r="D4100" s="294"/>
      <c r="E4100" s="294"/>
      <c r="F4100" s="310"/>
      <c r="G4100" s="310"/>
      <c r="H4100" s="310"/>
      <c r="I4100" s="295">
        <f>I4099*3.28</f>
        <v>9.84</v>
      </c>
      <c r="J4100" s="295">
        <f>I4100</f>
        <v>9.84</v>
      </c>
      <c r="K4100" s="300">
        <v>1.05</v>
      </c>
      <c r="L4100" s="300">
        <f t="shared" si="505"/>
        <v>10.332000000000001</v>
      </c>
      <c r="M4100" s="285">
        <f t="shared" si="520"/>
        <v>10</v>
      </c>
      <c r="N4100" s="1076"/>
      <c r="O4100" s="294"/>
      <c r="P4100" s="404"/>
      <c r="Q4100" s="404"/>
    </row>
    <row r="4101" spans="1:17" ht="14.4" thickTop="1" thickBot="1" x14ac:dyDescent="0.3">
      <c r="A4101" s="292"/>
      <c r="B4101" s="296"/>
      <c r="C4101" s="294"/>
      <c r="D4101" s="294"/>
      <c r="E4101" s="294"/>
      <c r="F4101" s="310"/>
      <c r="G4101" s="310"/>
      <c r="H4101" s="310"/>
      <c r="I4101" s="295"/>
      <c r="J4101" s="295"/>
      <c r="K4101" s="300">
        <f t="shared" si="536"/>
        <v>1.1000000000000001</v>
      </c>
      <c r="L4101" s="300">
        <f t="shared" si="505"/>
        <v>0</v>
      </c>
      <c r="M4101" s="285">
        <f t="shared" si="520"/>
        <v>0</v>
      </c>
      <c r="N4101" s="1076"/>
      <c r="O4101" s="294"/>
      <c r="P4101" s="404"/>
      <c r="Q4101" s="404"/>
    </row>
    <row r="4102" spans="1:17" ht="14.4" thickTop="1" thickBot="1" x14ac:dyDescent="0.3">
      <c r="A4102" s="292"/>
      <c r="B4102" s="296"/>
      <c r="C4102" s="294"/>
      <c r="D4102" s="294"/>
      <c r="E4102" s="294"/>
      <c r="F4102" s="310"/>
      <c r="G4102" s="310"/>
      <c r="H4102" s="310"/>
      <c r="I4102" s="295"/>
      <c r="J4102" s="295"/>
      <c r="K4102" s="300">
        <f t="shared" si="536"/>
        <v>1.1000000000000001</v>
      </c>
      <c r="L4102" s="300">
        <f t="shared" si="505"/>
        <v>0</v>
      </c>
      <c r="M4102" s="285">
        <f t="shared" si="520"/>
        <v>0</v>
      </c>
      <c r="N4102" s="1076"/>
      <c r="O4102" s="294"/>
      <c r="P4102" s="404"/>
      <c r="Q4102" s="404"/>
    </row>
    <row r="4103" spans="1:17" ht="14.4" thickTop="1" thickBot="1" x14ac:dyDescent="0.3">
      <c r="A4103" s="292"/>
      <c r="B4103" s="302" t="s">
        <v>576</v>
      </c>
      <c r="C4103" s="294"/>
      <c r="D4103" s="294"/>
      <c r="E4103" s="294"/>
      <c r="F4103" s="310"/>
      <c r="G4103" s="310"/>
      <c r="H4103" s="310"/>
      <c r="I4103" s="295"/>
      <c r="J4103" s="295"/>
      <c r="K4103" s="300">
        <f t="shared" si="536"/>
        <v>1.1000000000000001</v>
      </c>
      <c r="L4103" s="300">
        <f t="shared" si="505"/>
        <v>0</v>
      </c>
      <c r="M4103" s="285">
        <f t="shared" si="520"/>
        <v>0</v>
      </c>
      <c r="N4103" s="1076"/>
      <c r="O4103" s="294"/>
      <c r="P4103" s="404"/>
      <c r="Q4103" s="404"/>
    </row>
    <row r="4104" spans="1:17" ht="14.4" thickTop="1" thickBot="1" x14ac:dyDescent="0.3">
      <c r="A4104" s="292"/>
      <c r="B4104" s="296"/>
      <c r="C4104" s="294"/>
      <c r="D4104" s="294"/>
      <c r="E4104" s="294"/>
      <c r="F4104" s="310"/>
      <c r="G4104" s="310"/>
      <c r="H4104" s="310"/>
      <c r="I4104" s="295"/>
      <c r="J4104" s="295"/>
      <c r="K4104" s="300">
        <f t="shared" si="536"/>
        <v>1.1000000000000001</v>
      </c>
      <c r="L4104" s="300">
        <f t="shared" ref="L4104:L4167" si="541">K4104*J4104</f>
        <v>0</v>
      </c>
      <c r="M4104" s="285">
        <f t="shared" si="520"/>
        <v>0</v>
      </c>
      <c r="N4104" s="1076"/>
      <c r="O4104" s="294"/>
      <c r="P4104" s="404"/>
      <c r="Q4104" s="404"/>
    </row>
    <row r="4105" spans="1:17" ht="14.4" thickTop="1" thickBot="1" x14ac:dyDescent="0.3">
      <c r="A4105" s="292"/>
      <c r="B4105" s="296" t="s">
        <v>794</v>
      </c>
      <c r="C4105" s="294"/>
      <c r="D4105" s="294"/>
      <c r="E4105" s="294"/>
      <c r="F4105" s="310"/>
      <c r="G4105" s="310"/>
      <c r="H4105" s="310"/>
      <c r="I4105" s="295"/>
      <c r="J4105" s="295"/>
      <c r="K4105" s="300">
        <f t="shared" si="536"/>
        <v>1.1000000000000001</v>
      </c>
      <c r="L4105" s="300">
        <f t="shared" si="541"/>
        <v>0</v>
      </c>
      <c r="M4105" s="285">
        <f t="shared" si="520"/>
        <v>0</v>
      </c>
      <c r="N4105" s="1076"/>
      <c r="O4105" s="294"/>
      <c r="P4105" s="404"/>
      <c r="Q4105" s="404"/>
    </row>
    <row r="4106" spans="1:17" ht="14.4" thickTop="1" thickBot="1" x14ac:dyDescent="0.3">
      <c r="A4106" s="292"/>
      <c r="B4106" s="294" t="s">
        <v>700</v>
      </c>
      <c r="C4106" s="294"/>
      <c r="D4106" s="294"/>
      <c r="E4106" s="294">
        <v>2</v>
      </c>
      <c r="F4106" s="310">
        <v>12.225</v>
      </c>
      <c r="G4106" s="310"/>
      <c r="H4106" s="310"/>
      <c r="I4106" s="295"/>
      <c r="J4106" s="295"/>
      <c r="K4106" s="300">
        <f t="shared" si="536"/>
        <v>1.1000000000000001</v>
      </c>
      <c r="L4106" s="300">
        <f t="shared" si="541"/>
        <v>0</v>
      </c>
      <c r="M4106" s="285">
        <f t="shared" si="520"/>
        <v>0</v>
      </c>
      <c r="N4106" s="1076"/>
      <c r="O4106" s="294"/>
      <c r="P4106" s="404"/>
      <c r="Q4106" s="404"/>
    </row>
    <row r="4107" spans="1:17" ht="14.4" thickTop="1" thickBot="1" x14ac:dyDescent="0.3">
      <c r="A4107" s="292"/>
      <c r="B4107" s="294" t="s">
        <v>699</v>
      </c>
      <c r="C4107" s="294"/>
      <c r="D4107" s="294"/>
      <c r="E4107" s="294">
        <v>3</v>
      </c>
      <c r="F4107" s="310">
        <v>26.024999999999999</v>
      </c>
      <c r="G4107" s="310"/>
      <c r="H4107" s="310"/>
      <c r="I4107" s="295"/>
      <c r="J4107" s="295"/>
      <c r="K4107" s="300">
        <f t="shared" si="536"/>
        <v>1.1000000000000001</v>
      </c>
      <c r="L4107" s="300">
        <f t="shared" si="541"/>
        <v>0</v>
      </c>
      <c r="M4107" s="285">
        <f t="shared" si="520"/>
        <v>0</v>
      </c>
      <c r="N4107" s="1076"/>
      <c r="O4107" s="294"/>
      <c r="P4107" s="404"/>
      <c r="Q4107" s="404"/>
    </row>
    <row r="4108" spans="1:17" ht="14.4" thickTop="1" thickBot="1" x14ac:dyDescent="0.3">
      <c r="A4108" s="292"/>
      <c r="B4108" s="294" t="s">
        <v>701</v>
      </c>
      <c r="C4108" s="294"/>
      <c r="D4108" s="294"/>
      <c r="E4108" s="294">
        <v>3</v>
      </c>
      <c r="F4108" s="310">
        <v>10.5</v>
      </c>
      <c r="G4108" s="310"/>
      <c r="H4108" s="310"/>
      <c r="I4108" s="295"/>
      <c r="J4108" s="295"/>
      <c r="K4108" s="300">
        <f t="shared" si="536"/>
        <v>1.1000000000000001</v>
      </c>
      <c r="L4108" s="300">
        <f t="shared" si="541"/>
        <v>0</v>
      </c>
      <c r="M4108" s="285">
        <f t="shared" si="520"/>
        <v>0</v>
      </c>
      <c r="N4108" s="1076"/>
      <c r="O4108" s="294"/>
      <c r="P4108" s="404"/>
      <c r="Q4108" s="404"/>
    </row>
    <row r="4109" spans="1:17" ht="14.4" thickTop="1" thickBot="1" x14ac:dyDescent="0.3">
      <c r="A4109" s="292"/>
      <c r="B4109" s="294" t="s">
        <v>702</v>
      </c>
      <c r="C4109" s="294"/>
      <c r="D4109" s="294"/>
      <c r="E4109" s="294">
        <v>1</v>
      </c>
      <c r="F4109" s="310">
        <v>6.3</v>
      </c>
      <c r="G4109" s="310"/>
      <c r="H4109" s="310"/>
      <c r="I4109" s="295"/>
      <c r="J4109" s="295"/>
      <c r="K4109" s="300">
        <f t="shared" si="536"/>
        <v>1.1000000000000001</v>
      </c>
      <c r="L4109" s="300">
        <f t="shared" si="541"/>
        <v>0</v>
      </c>
      <c r="M4109" s="285">
        <f t="shared" si="520"/>
        <v>0</v>
      </c>
      <c r="N4109" s="1076"/>
      <c r="O4109" s="294"/>
      <c r="P4109" s="404"/>
      <c r="Q4109" s="404"/>
    </row>
    <row r="4110" spans="1:17" ht="14.4" thickTop="1" thickBot="1" x14ac:dyDescent="0.3">
      <c r="A4110" s="292"/>
      <c r="B4110" s="294" t="s">
        <v>703</v>
      </c>
      <c r="C4110" s="294"/>
      <c r="D4110" s="294"/>
      <c r="E4110" s="294">
        <v>1</v>
      </c>
      <c r="F4110" s="310">
        <v>21.17</v>
      </c>
      <c r="G4110" s="310"/>
      <c r="H4110" s="310"/>
      <c r="I4110" s="295"/>
      <c r="J4110" s="295"/>
      <c r="K4110" s="300">
        <f t="shared" si="536"/>
        <v>1.1000000000000001</v>
      </c>
      <c r="L4110" s="300">
        <f t="shared" si="541"/>
        <v>0</v>
      </c>
      <c r="M4110" s="285">
        <f t="shared" si="520"/>
        <v>0</v>
      </c>
      <c r="N4110" s="1076"/>
      <c r="O4110" s="294"/>
      <c r="P4110" s="404"/>
      <c r="Q4110" s="404"/>
    </row>
    <row r="4111" spans="1:17" ht="14.4" thickTop="1" thickBot="1" x14ac:dyDescent="0.3">
      <c r="A4111" s="292"/>
      <c r="B4111" s="294" t="s">
        <v>704</v>
      </c>
      <c r="C4111" s="294"/>
      <c r="D4111" s="294"/>
      <c r="E4111" s="294">
        <v>2</v>
      </c>
      <c r="F4111" s="310">
        <v>9.375</v>
      </c>
      <c r="G4111" s="310"/>
      <c r="H4111" s="310"/>
      <c r="I4111" s="295"/>
      <c r="J4111" s="295"/>
      <c r="K4111" s="300">
        <f t="shared" si="536"/>
        <v>1.1000000000000001</v>
      </c>
      <c r="L4111" s="300">
        <f t="shared" si="541"/>
        <v>0</v>
      </c>
      <c r="M4111" s="285">
        <f t="shared" si="520"/>
        <v>0</v>
      </c>
      <c r="N4111" s="1076"/>
      <c r="O4111" s="294"/>
      <c r="P4111" s="404"/>
      <c r="Q4111" s="404"/>
    </row>
    <row r="4112" spans="1:17" ht="14.4" thickTop="1" thickBot="1" x14ac:dyDescent="0.3">
      <c r="A4112" s="292"/>
      <c r="B4112" s="294" t="s">
        <v>705</v>
      </c>
      <c r="C4112" s="294"/>
      <c r="D4112" s="294"/>
      <c r="E4112" s="294">
        <v>1</v>
      </c>
      <c r="F4112" s="310">
        <v>4.5</v>
      </c>
      <c r="G4112" s="310"/>
      <c r="H4112" s="310"/>
      <c r="I4112" s="295"/>
      <c r="J4112" s="295"/>
      <c r="K4112" s="300">
        <f t="shared" si="536"/>
        <v>1.1000000000000001</v>
      </c>
      <c r="L4112" s="300">
        <f t="shared" si="541"/>
        <v>0</v>
      </c>
      <c r="M4112" s="285">
        <f t="shared" si="520"/>
        <v>0</v>
      </c>
      <c r="N4112" s="1076"/>
      <c r="O4112" s="294"/>
      <c r="P4112" s="404"/>
      <c r="Q4112" s="404"/>
    </row>
    <row r="4113" spans="1:17" ht="14.4" thickTop="1" thickBot="1" x14ac:dyDescent="0.3">
      <c r="A4113" s="292"/>
      <c r="B4113" s="294" t="s">
        <v>706</v>
      </c>
      <c r="C4113" s="294"/>
      <c r="D4113" s="294"/>
      <c r="E4113" s="294">
        <v>1</v>
      </c>
      <c r="F4113" s="310">
        <v>4.0620000000000003</v>
      </c>
      <c r="G4113" s="310"/>
      <c r="H4113" s="310"/>
      <c r="I4113" s="295"/>
      <c r="J4113" s="295"/>
      <c r="K4113" s="300">
        <f t="shared" si="536"/>
        <v>1.1000000000000001</v>
      </c>
      <c r="L4113" s="300">
        <f t="shared" si="541"/>
        <v>0</v>
      </c>
      <c r="M4113" s="285">
        <f t="shared" si="520"/>
        <v>0</v>
      </c>
      <c r="N4113" s="1076"/>
      <c r="O4113" s="294"/>
      <c r="P4113" s="404"/>
      <c r="Q4113" s="404"/>
    </row>
    <row r="4114" spans="1:17" ht="14.4" thickTop="1" thickBot="1" x14ac:dyDescent="0.3">
      <c r="A4114" s="292"/>
      <c r="B4114" s="294" t="s">
        <v>707</v>
      </c>
      <c r="C4114" s="294"/>
      <c r="D4114" s="294"/>
      <c r="E4114" s="294">
        <v>2</v>
      </c>
      <c r="F4114" s="310">
        <v>4.6879999999999997</v>
      </c>
      <c r="G4114" s="310"/>
      <c r="H4114" s="310"/>
      <c r="I4114" s="295"/>
      <c r="J4114" s="295"/>
      <c r="K4114" s="300">
        <f t="shared" si="536"/>
        <v>1.1000000000000001</v>
      </c>
      <c r="L4114" s="300">
        <f t="shared" si="541"/>
        <v>0</v>
      </c>
      <c r="M4114" s="285">
        <f t="shared" si="520"/>
        <v>0</v>
      </c>
      <c r="N4114" s="1076"/>
      <c r="O4114" s="294"/>
      <c r="P4114" s="404"/>
      <c r="Q4114" s="404"/>
    </row>
    <row r="4115" spans="1:17" ht="14.4" thickTop="1" thickBot="1" x14ac:dyDescent="0.3">
      <c r="A4115" s="292"/>
      <c r="B4115" s="294"/>
      <c r="C4115" s="294"/>
      <c r="D4115" s="294"/>
      <c r="E4115" s="294">
        <v>1</v>
      </c>
      <c r="F4115" s="310">
        <v>4.7249999999999996</v>
      </c>
      <c r="G4115" s="310"/>
      <c r="H4115" s="310"/>
      <c r="I4115" s="295"/>
      <c r="J4115" s="295"/>
      <c r="K4115" s="300">
        <f t="shared" si="536"/>
        <v>1.1000000000000001</v>
      </c>
      <c r="L4115" s="300">
        <f t="shared" si="541"/>
        <v>0</v>
      </c>
      <c r="M4115" s="285">
        <f t="shared" si="520"/>
        <v>0</v>
      </c>
      <c r="N4115" s="1076"/>
      <c r="O4115" s="294"/>
      <c r="P4115" s="404"/>
      <c r="Q4115" s="404"/>
    </row>
    <row r="4116" spans="1:17" ht="14.4" thickTop="1" thickBot="1" x14ac:dyDescent="0.3">
      <c r="A4116" s="292"/>
      <c r="B4116" s="294" t="s">
        <v>708</v>
      </c>
      <c r="C4116" s="294"/>
      <c r="D4116" s="294"/>
      <c r="E4116" s="294">
        <v>1</v>
      </c>
      <c r="F4116" s="310">
        <v>3.5249999999999999</v>
      </c>
      <c r="G4116" s="310"/>
      <c r="H4116" s="310"/>
      <c r="I4116" s="295"/>
      <c r="J4116" s="295"/>
      <c r="K4116" s="300">
        <f t="shared" si="536"/>
        <v>1.1000000000000001</v>
      </c>
      <c r="L4116" s="300">
        <f t="shared" si="541"/>
        <v>0</v>
      </c>
      <c r="M4116" s="285">
        <f t="shared" si="520"/>
        <v>0</v>
      </c>
      <c r="N4116" s="1076"/>
      <c r="O4116" s="294"/>
      <c r="P4116" s="404"/>
      <c r="Q4116" s="404"/>
    </row>
    <row r="4117" spans="1:17" ht="14.4" thickTop="1" thickBot="1" x14ac:dyDescent="0.3">
      <c r="A4117" s="292"/>
      <c r="B4117" s="294"/>
      <c r="C4117" s="294"/>
      <c r="D4117" s="294"/>
      <c r="E4117" s="294">
        <v>1</v>
      </c>
      <c r="F4117" s="310">
        <v>2.343</v>
      </c>
      <c r="G4117" s="310"/>
      <c r="H4117" s="310"/>
      <c r="I4117" s="295"/>
      <c r="J4117" s="295"/>
      <c r="K4117" s="300">
        <f t="shared" si="536"/>
        <v>1.1000000000000001</v>
      </c>
      <c r="L4117" s="300">
        <f t="shared" si="541"/>
        <v>0</v>
      </c>
      <c r="M4117" s="285">
        <f t="shared" si="520"/>
        <v>0</v>
      </c>
      <c r="N4117" s="1076"/>
      <c r="O4117" s="294"/>
      <c r="P4117" s="404"/>
      <c r="Q4117" s="404"/>
    </row>
    <row r="4118" spans="1:17" ht="14.4" thickTop="1" thickBot="1" x14ac:dyDescent="0.3">
      <c r="A4118" s="292"/>
      <c r="B4118" s="294"/>
      <c r="C4118" s="294"/>
      <c r="D4118" s="294"/>
      <c r="E4118" s="294">
        <v>2</v>
      </c>
      <c r="F4118" s="310">
        <v>1.3</v>
      </c>
      <c r="G4118" s="310"/>
      <c r="H4118" s="310"/>
      <c r="I4118" s="295"/>
      <c r="J4118" s="295"/>
      <c r="K4118" s="300">
        <f t="shared" si="536"/>
        <v>1.1000000000000001</v>
      </c>
      <c r="L4118" s="300">
        <f t="shared" si="541"/>
        <v>0</v>
      </c>
      <c r="M4118" s="285">
        <f t="shared" si="520"/>
        <v>0</v>
      </c>
      <c r="N4118" s="1076"/>
      <c r="O4118" s="294"/>
      <c r="P4118" s="404"/>
      <c r="Q4118" s="404"/>
    </row>
    <row r="4119" spans="1:17" ht="14.4" thickTop="1" thickBot="1" x14ac:dyDescent="0.3">
      <c r="A4119" s="292"/>
      <c r="B4119" s="296"/>
      <c r="C4119" s="294"/>
      <c r="D4119" s="294"/>
      <c r="E4119" s="294"/>
      <c r="F4119" s="310"/>
      <c r="G4119" s="310"/>
      <c r="H4119" s="310"/>
      <c r="I4119" s="295"/>
      <c r="J4119" s="295"/>
      <c r="K4119" s="300">
        <f t="shared" si="536"/>
        <v>1.1000000000000001</v>
      </c>
      <c r="L4119" s="300">
        <f t="shared" si="541"/>
        <v>0</v>
      </c>
      <c r="M4119" s="285">
        <f t="shared" si="520"/>
        <v>0</v>
      </c>
      <c r="N4119" s="1076"/>
      <c r="O4119" s="294"/>
      <c r="P4119" s="404"/>
      <c r="Q4119" s="404"/>
    </row>
    <row r="4120" spans="1:17" ht="14.4" thickTop="1" thickBot="1" x14ac:dyDescent="0.3">
      <c r="A4120" s="292"/>
      <c r="B4120" s="296"/>
      <c r="C4120" s="294"/>
      <c r="D4120" s="294"/>
      <c r="E4120" s="294"/>
      <c r="F4120" s="310"/>
      <c r="G4120" s="310"/>
      <c r="H4120" s="310"/>
      <c r="I4120" s="295"/>
      <c r="J4120" s="295"/>
      <c r="K4120" s="300">
        <f t="shared" si="536"/>
        <v>1.1000000000000001</v>
      </c>
      <c r="L4120" s="300">
        <f t="shared" si="541"/>
        <v>0</v>
      </c>
      <c r="M4120" s="285">
        <f t="shared" si="520"/>
        <v>0</v>
      </c>
      <c r="N4120" s="1076"/>
      <c r="O4120" s="294"/>
      <c r="P4120" s="404"/>
      <c r="Q4120" s="404"/>
    </row>
    <row r="4121" spans="1:17" ht="14.4" thickTop="1" thickBot="1" x14ac:dyDescent="0.3">
      <c r="A4121" s="292"/>
      <c r="B4121" s="302" t="s">
        <v>795</v>
      </c>
      <c r="C4121" s="294"/>
      <c r="D4121" s="294"/>
      <c r="E4121" s="294"/>
      <c r="F4121" s="310"/>
      <c r="G4121" s="310"/>
      <c r="H4121" s="310"/>
      <c r="I4121" s="295"/>
      <c r="J4121" s="295"/>
      <c r="K4121" s="300">
        <f t="shared" si="536"/>
        <v>1.1000000000000001</v>
      </c>
      <c r="L4121" s="300">
        <f t="shared" si="541"/>
        <v>0</v>
      </c>
      <c r="M4121" s="285">
        <f t="shared" si="520"/>
        <v>0</v>
      </c>
      <c r="N4121" s="1076"/>
      <c r="O4121" s="294"/>
      <c r="P4121" s="404"/>
      <c r="Q4121" s="404"/>
    </row>
    <row r="4122" spans="1:17" ht="14.4" thickTop="1" thickBot="1" x14ac:dyDescent="0.3">
      <c r="A4122" s="292"/>
      <c r="B4122" s="296" t="s">
        <v>796</v>
      </c>
      <c r="C4122" s="294"/>
      <c r="D4122" s="294"/>
      <c r="E4122" s="294"/>
      <c r="F4122" s="310"/>
      <c r="G4122" s="310"/>
      <c r="H4122" s="310"/>
      <c r="I4122" s="295"/>
      <c r="J4122" s="295"/>
      <c r="K4122" s="300">
        <f t="shared" si="536"/>
        <v>1.1000000000000001</v>
      </c>
      <c r="L4122" s="300">
        <f t="shared" si="541"/>
        <v>0</v>
      </c>
      <c r="M4122" s="285">
        <f t="shared" si="520"/>
        <v>0</v>
      </c>
      <c r="N4122" s="1076"/>
      <c r="O4122" s="294"/>
      <c r="P4122" s="404"/>
      <c r="Q4122" s="404"/>
    </row>
    <row r="4123" spans="1:17" ht="14.4" thickTop="1" thickBot="1" x14ac:dyDescent="0.3">
      <c r="A4123" s="292"/>
      <c r="B4123" s="294" t="s">
        <v>700</v>
      </c>
      <c r="C4123" s="294"/>
      <c r="D4123" s="294"/>
      <c r="E4123" s="294">
        <v>2</v>
      </c>
      <c r="F4123" s="310">
        <v>12.225</v>
      </c>
      <c r="G4123" s="310"/>
      <c r="H4123" s="310"/>
      <c r="I4123" s="295"/>
      <c r="J4123" s="295"/>
      <c r="K4123" s="300">
        <f t="shared" si="536"/>
        <v>1.1000000000000001</v>
      </c>
      <c r="L4123" s="300">
        <f t="shared" si="541"/>
        <v>0</v>
      </c>
      <c r="M4123" s="285">
        <f t="shared" si="520"/>
        <v>0</v>
      </c>
      <c r="N4123" s="1076"/>
      <c r="O4123" s="294"/>
      <c r="P4123" s="404"/>
      <c r="Q4123" s="404"/>
    </row>
    <row r="4124" spans="1:17" ht="14.4" thickTop="1" thickBot="1" x14ac:dyDescent="0.3">
      <c r="A4124" s="292"/>
      <c r="B4124" s="294" t="s">
        <v>699</v>
      </c>
      <c r="C4124" s="294"/>
      <c r="D4124" s="294"/>
      <c r="E4124" s="294">
        <v>3</v>
      </c>
      <c r="F4124" s="310">
        <v>26.024999999999999</v>
      </c>
      <c r="G4124" s="310"/>
      <c r="H4124" s="310"/>
      <c r="I4124" s="295"/>
      <c r="J4124" s="295"/>
      <c r="K4124" s="300">
        <f t="shared" si="536"/>
        <v>1.1000000000000001</v>
      </c>
      <c r="L4124" s="300">
        <f t="shared" si="541"/>
        <v>0</v>
      </c>
      <c r="M4124" s="285">
        <f t="shared" ref="M4124:M4295" si="542">ROUND(L4124,0)</f>
        <v>0</v>
      </c>
      <c r="N4124" s="1076"/>
      <c r="O4124" s="294"/>
      <c r="P4124" s="404"/>
      <c r="Q4124" s="404"/>
    </row>
    <row r="4125" spans="1:17" ht="14.4" thickTop="1" thickBot="1" x14ac:dyDescent="0.3">
      <c r="A4125" s="292"/>
      <c r="B4125" s="294" t="s">
        <v>701</v>
      </c>
      <c r="C4125" s="294"/>
      <c r="D4125" s="294"/>
      <c r="E4125" s="294">
        <v>3</v>
      </c>
      <c r="F4125" s="310">
        <v>10.5</v>
      </c>
      <c r="G4125" s="310"/>
      <c r="H4125" s="310"/>
      <c r="I4125" s="295"/>
      <c r="J4125" s="295"/>
      <c r="K4125" s="300">
        <f t="shared" si="536"/>
        <v>1.1000000000000001</v>
      </c>
      <c r="L4125" s="300">
        <f t="shared" si="541"/>
        <v>0</v>
      </c>
      <c r="M4125" s="285">
        <f t="shared" si="542"/>
        <v>0</v>
      </c>
      <c r="N4125" s="1076"/>
      <c r="O4125" s="294"/>
      <c r="P4125" s="404"/>
      <c r="Q4125" s="404"/>
    </row>
    <row r="4126" spans="1:17" ht="14.4" thickTop="1" thickBot="1" x14ac:dyDescent="0.3">
      <c r="A4126" s="292"/>
      <c r="B4126" s="294" t="s">
        <v>702</v>
      </c>
      <c r="C4126" s="294"/>
      <c r="D4126" s="294"/>
      <c r="E4126" s="294">
        <v>1</v>
      </c>
      <c r="F4126" s="310">
        <v>6.3</v>
      </c>
      <c r="G4126" s="310"/>
      <c r="H4126" s="310"/>
      <c r="I4126" s="295"/>
      <c r="J4126" s="295"/>
      <c r="K4126" s="300">
        <f t="shared" si="536"/>
        <v>1.1000000000000001</v>
      </c>
      <c r="L4126" s="300">
        <f t="shared" si="541"/>
        <v>0</v>
      </c>
      <c r="M4126" s="285">
        <f t="shared" si="542"/>
        <v>0</v>
      </c>
      <c r="N4126" s="1076"/>
      <c r="O4126" s="294"/>
      <c r="P4126" s="404"/>
      <c r="Q4126" s="404"/>
    </row>
    <row r="4127" spans="1:17" ht="14.4" thickTop="1" thickBot="1" x14ac:dyDescent="0.3">
      <c r="A4127" s="292"/>
      <c r="B4127" s="294" t="s">
        <v>703</v>
      </c>
      <c r="C4127" s="294"/>
      <c r="D4127" s="294"/>
      <c r="E4127" s="294">
        <v>1</v>
      </c>
      <c r="F4127" s="310">
        <v>21.17</v>
      </c>
      <c r="G4127" s="310"/>
      <c r="H4127" s="310"/>
      <c r="I4127" s="295"/>
      <c r="J4127" s="295"/>
      <c r="K4127" s="300">
        <f t="shared" si="536"/>
        <v>1.1000000000000001</v>
      </c>
      <c r="L4127" s="300">
        <f t="shared" si="541"/>
        <v>0</v>
      </c>
      <c r="M4127" s="285">
        <f t="shared" si="542"/>
        <v>0</v>
      </c>
      <c r="N4127" s="1076"/>
      <c r="O4127" s="294"/>
      <c r="P4127" s="404"/>
      <c r="Q4127" s="404"/>
    </row>
    <row r="4128" spans="1:17" ht="14.4" thickTop="1" thickBot="1" x14ac:dyDescent="0.3">
      <c r="A4128" s="292"/>
      <c r="B4128" s="294" t="s">
        <v>704</v>
      </c>
      <c r="C4128" s="294"/>
      <c r="D4128" s="294"/>
      <c r="E4128" s="294">
        <v>2</v>
      </c>
      <c r="F4128" s="310">
        <v>9.375</v>
      </c>
      <c r="G4128" s="310"/>
      <c r="H4128" s="310"/>
      <c r="I4128" s="295"/>
      <c r="J4128" s="295"/>
      <c r="K4128" s="300">
        <f t="shared" si="536"/>
        <v>1.1000000000000001</v>
      </c>
      <c r="L4128" s="300">
        <f t="shared" si="541"/>
        <v>0</v>
      </c>
      <c r="M4128" s="285">
        <f t="shared" si="542"/>
        <v>0</v>
      </c>
      <c r="N4128" s="1076"/>
      <c r="O4128" s="294"/>
      <c r="P4128" s="404"/>
      <c r="Q4128" s="404"/>
    </row>
    <row r="4129" spans="1:18" ht="14.4" thickTop="1" thickBot="1" x14ac:dyDescent="0.3">
      <c r="A4129" s="292"/>
      <c r="B4129" s="294" t="s">
        <v>705</v>
      </c>
      <c r="C4129" s="294"/>
      <c r="D4129" s="294"/>
      <c r="E4129" s="294">
        <v>1</v>
      </c>
      <c r="F4129" s="310">
        <v>4.5</v>
      </c>
      <c r="G4129" s="310"/>
      <c r="H4129" s="310"/>
      <c r="I4129" s="295"/>
      <c r="J4129" s="295"/>
      <c r="K4129" s="300">
        <f t="shared" si="536"/>
        <v>1.1000000000000001</v>
      </c>
      <c r="L4129" s="300">
        <f t="shared" si="541"/>
        <v>0</v>
      </c>
      <c r="M4129" s="285">
        <f t="shared" si="542"/>
        <v>0</v>
      </c>
      <c r="N4129" s="1076"/>
      <c r="O4129" s="294"/>
      <c r="P4129" s="404"/>
      <c r="Q4129" s="404"/>
    </row>
    <row r="4130" spans="1:18" ht="14.4" thickTop="1" thickBot="1" x14ac:dyDescent="0.3">
      <c r="A4130" s="292"/>
      <c r="B4130" s="294" t="s">
        <v>706</v>
      </c>
      <c r="C4130" s="294"/>
      <c r="D4130" s="294"/>
      <c r="E4130" s="294">
        <v>1</v>
      </c>
      <c r="F4130" s="310">
        <v>4.0620000000000003</v>
      </c>
      <c r="G4130" s="310"/>
      <c r="H4130" s="310"/>
      <c r="I4130" s="295"/>
      <c r="J4130" s="295"/>
      <c r="K4130" s="300">
        <f t="shared" si="536"/>
        <v>1.1000000000000001</v>
      </c>
      <c r="L4130" s="300">
        <f t="shared" si="541"/>
        <v>0</v>
      </c>
      <c r="M4130" s="285">
        <f t="shared" si="542"/>
        <v>0</v>
      </c>
      <c r="N4130" s="1076"/>
      <c r="O4130" s="294"/>
      <c r="P4130" s="404"/>
      <c r="Q4130" s="404"/>
    </row>
    <row r="4131" spans="1:18" ht="14.4" thickTop="1" thickBot="1" x14ac:dyDescent="0.3">
      <c r="A4131" s="292"/>
      <c r="B4131" s="294" t="s">
        <v>707</v>
      </c>
      <c r="C4131" s="294"/>
      <c r="D4131" s="294"/>
      <c r="E4131" s="294">
        <v>2</v>
      </c>
      <c r="F4131" s="310">
        <v>4.6879999999999997</v>
      </c>
      <c r="G4131" s="310"/>
      <c r="H4131" s="310"/>
      <c r="I4131" s="295"/>
      <c r="J4131" s="295"/>
      <c r="K4131" s="300">
        <f t="shared" si="536"/>
        <v>1.1000000000000001</v>
      </c>
      <c r="L4131" s="300">
        <f t="shared" si="541"/>
        <v>0</v>
      </c>
      <c r="M4131" s="285">
        <f t="shared" si="542"/>
        <v>0</v>
      </c>
      <c r="N4131" s="1076"/>
      <c r="O4131" s="294"/>
      <c r="P4131" s="404"/>
      <c r="Q4131" s="404"/>
    </row>
    <row r="4132" spans="1:18" ht="14.4" thickTop="1" thickBot="1" x14ac:dyDescent="0.3">
      <c r="A4132" s="292"/>
      <c r="B4132" s="294"/>
      <c r="C4132" s="294"/>
      <c r="D4132" s="294"/>
      <c r="E4132" s="294">
        <v>1</v>
      </c>
      <c r="F4132" s="310">
        <v>4.7249999999999996</v>
      </c>
      <c r="G4132" s="310"/>
      <c r="H4132" s="310"/>
      <c r="I4132" s="295"/>
      <c r="J4132" s="295"/>
      <c r="K4132" s="300">
        <f t="shared" si="536"/>
        <v>1.1000000000000001</v>
      </c>
      <c r="L4132" s="300">
        <f t="shared" si="541"/>
        <v>0</v>
      </c>
      <c r="M4132" s="285">
        <f t="shared" si="542"/>
        <v>0</v>
      </c>
      <c r="N4132" s="1076"/>
      <c r="O4132" s="294"/>
      <c r="P4132" s="404"/>
      <c r="Q4132" s="404"/>
    </row>
    <row r="4133" spans="1:18" ht="14.4" thickTop="1" thickBot="1" x14ac:dyDescent="0.3">
      <c r="A4133" s="292"/>
      <c r="B4133" s="294" t="s">
        <v>708</v>
      </c>
      <c r="C4133" s="294"/>
      <c r="D4133" s="294"/>
      <c r="E4133" s="294">
        <v>1</v>
      </c>
      <c r="F4133" s="310">
        <v>3.5249999999999999</v>
      </c>
      <c r="G4133" s="310"/>
      <c r="H4133" s="310"/>
      <c r="I4133" s="295"/>
      <c r="J4133" s="295"/>
      <c r="K4133" s="300">
        <f t="shared" si="536"/>
        <v>1.1000000000000001</v>
      </c>
      <c r="L4133" s="300">
        <f t="shared" si="541"/>
        <v>0</v>
      </c>
      <c r="M4133" s="285">
        <f t="shared" si="542"/>
        <v>0</v>
      </c>
      <c r="N4133" s="1076"/>
      <c r="O4133" s="294"/>
      <c r="P4133" s="404"/>
      <c r="Q4133" s="404"/>
    </row>
    <row r="4134" spans="1:18" ht="14.4" thickTop="1" thickBot="1" x14ac:dyDescent="0.3">
      <c r="A4134" s="292"/>
      <c r="B4134" s="294"/>
      <c r="C4134" s="294"/>
      <c r="D4134" s="294"/>
      <c r="E4134" s="294">
        <v>1</v>
      </c>
      <c r="F4134" s="310">
        <v>2.343</v>
      </c>
      <c r="G4134" s="310"/>
      <c r="H4134" s="310"/>
      <c r="I4134" s="295"/>
      <c r="J4134" s="295"/>
      <c r="K4134" s="300">
        <f t="shared" si="536"/>
        <v>1.1000000000000001</v>
      </c>
      <c r="L4134" s="300">
        <f t="shared" si="541"/>
        <v>0</v>
      </c>
      <c r="M4134" s="285">
        <f t="shared" si="542"/>
        <v>0</v>
      </c>
      <c r="N4134" s="1076"/>
      <c r="O4134" s="294"/>
      <c r="P4134" s="404"/>
      <c r="Q4134" s="404"/>
    </row>
    <row r="4135" spans="1:18" ht="14.4" thickTop="1" thickBot="1" x14ac:dyDescent="0.3">
      <c r="A4135" s="292"/>
      <c r="B4135" s="294"/>
      <c r="C4135" s="294"/>
      <c r="D4135" s="294"/>
      <c r="E4135" s="294">
        <v>2</v>
      </c>
      <c r="F4135" s="310">
        <v>1.3</v>
      </c>
      <c r="G4135" s="310"/>
      <c r="H4135" s="310"/>
      <c r="I4135" s="295"/>
      <c r="J4135" s="295"/>
      <c r="K4135" s="300">
        <f t="shared" si="536"/>
        <v>1.1000000000000001</v>
      </c>
      <c r="L4135" s="300">
        <f t="shared" si="541"/>
        <v>0</v>
      </c>
      <c r="M4135" s="285">
        <f t="shared" si="542"/>
        <v>0</v>
      </c>
      <c r="N4135" s="1076"/>
      <c r="O4135" s="294"/>
      <c r="P4135" s="404"/>
      <c r="Q4135" s="404"/>
    </row>
    <row r="4136" spans="1:18" ht="14.4" thickTop="1" thickBot="1" x14ac:dyDescent="0.3">
      <c r="A4136" s="292"/>
      <c r="B4136" s="296"/>
      <c r="C4136" s="294"/>
      <c r="D4136" s="294"/>
      <c r="E4136" s="294"/>
      <c r="F4136" s="310"/>
      <c r="G4136" s="310"/>
      <c r="H4136" s="310"/>
      <c r="I4136" s="295"/>
      <c r="J4136" s="295"/>
      <c r="K4136" s="300">
        <f t="shared" si="536"/>
        <v>1.1000000000000001</v>
      </c>
      <c r="L4136" s="300">
        <f t="shared" si="541"/>
        <v>0</v>
      </c>
      <c r="M4136" s="285">
        <f t="shared" si="542"/>
        <v>0</v>
      </c>
      <c r="N4136" s="1076"/>
      <c r="O4136" s="294"/>
      <c r="P4136" s="404"/>
      <c r="Q4136" s="404"/>
    </row>
    <row r="4137" spans="1:18" ht="14.4" thickTop="1" thickBot="1" x14ac:dyDescent="0.3">
      <c r="A4137" s="292"/>
      <c r="B4137" s="296" t="s">
        <v>797</v>
      </c>
      <c r="C4137" s="294"/>
      <c r="D4137" s="294"/>
      <c r="E4137" s="294"/>
      <c r="F4137" s="310">
        <f>F3443</f>
        <v>27</v>
      </c>
      <c r="G4137" s="310">
        <f>G3448</f>
        <v>13.225</v>
      </c>
      <c r="H4137" s="310"/>
      <c r="I4137" s="295">
        <f>G4137*F4137</f>
        <v>357.07499999999999</v>
      </c>
      <c r="J4137" s="295"/>
      <c r="K4137" s="300">
        <f t="shared" si="536"/>
        <v>1.1000000000000001</v>
      </c>
      <c r="L4137" s="300">
        <f t="shared" si="541"/>
        <v>0</v>
      </c>
      <c r="M4137" s="285">
        <f t="shared" si="542"/>
        <v>0</v>
      </c>
      <c r="N4137" s="1076"/>
      <c r="O4137" s="294"/>
      <c r="P4137" s="404"/>
      <c r="Q4137" s="404"/>
    </row>
    <row r="4138" spans="1:18" ht="14.4" thickTop="1" thickBot="1" x14ac:dyDescent="0.3">
      <c r="A4138" s="292"/>
      <c r="B4138" s="294"/>
      <c r="C4138" s="294"/>
      <c r="D4138" s="294"/>
      <c r="E4138" s="294"/>
      <c r="F4138" s="310">
        <f>F3449</f>
        <v>6</v>
      </c>
      <c r="G4138" s="310">
        <f>G3449</f>
        <v>5</v>
      </c>
      <c r="H4138" s="310"/>
      <c r="I4138" s="295">
        <f>G4138*F4138</f>
        <v>30</v>
      </c>
      <c r="J4138" s="295">
        <f>SUM(I4137:I4138)</f>
        <v>387.07499999999999</v>
      </c>
      <c r="K4138" s="300">
        <f t="shared" si="536"/>
        <v>1.1000000000000001</v>
      </c>
      <c r="L4138" s="300">
        <f t="shared" si="541"/>
        <v>425.78250000000003</v>
      </c>
      <c r="M4138" s="285">
        <f t="shared" si="542"/>
        <v>426</v>
      </c>
      <c r="N4138" s="1076"/>
      <c r="O4138" s="294" t="s">
        <v>695</v>
      </c>
      <c r="P4138" s="404"/>
      <c r="Q4138" s="404"/>
      <c r="R4138" s="301"/>
    </row>
    <row r="4139" spans="1:18" ht="14.4" thickTop="1" thickBot="1" x14ac:dyDescent="0.3">
      <c r="A4139" s="292"/>
      <c r="B4139" s="294"/>
      <c r="C4139" s="294"/>
      <c r="D4139" s="294"/>
      <c r="E4139" s="294"/>
      <c r="F4139" s="310"/>
      <c r="G4139" s="310"/>
      <c r="H4139" s="310"/>
      <c r="I4139" s="295"/>
      <c r="J4139" s="295">
        <f>J4138/9.29</f>
        <v>41.665769644779338</v>
      </c>
      <c r="K4139" s="300">
        <f t="shared" si="536"/>
        <v>1.1000000000000001</v>
      </c>
      <c r="L4139" s="300">
        <f t="shared" si="541"/>
        <v>45.832346609257279</v>
      </c>
      <c r="M4139" s="285">
        <f t="shared" si="542"/>
        <v>46</v>
      </c>
      <c r="N4139" s="1076"/>
      <c r="O4139" s="294" t="s">
        <v>879</v>
      </c>
      <c r="P4139" s="404"/>
      <c r="Q4139" s="404"/>
      <c r="R4139" s="301"/>
    </row>
    <row r="4140" spans="1:18" ht="14.4" thickTop="1" thickBot="1" x14ac:dyDescent="0.3">
      <c r="A4140" s="292"/>
      <c r="B4140" s="296"/>
      <c r="C4140" s="294"/>
      <c r="D4140" s="294"/>
      <c r="E4140" s="294"/>
      <c r="F4140" s="310"/>
      <c r="G4140" s="310"/>
      <c r="H4140" s="310"/>
      <c r="I4140" s="295"/>
      <c r="J4140" s="295"/>
      <c r="K4140" s="300">
        <f t="shared" ref="K4140:K4208" si="543">$K$2</f>
        <v>1.1000000000000001</v>
      </c>
      <c r="L4140" s="300">
        <f t="shared" si="541"/>
        <v>0</v>
      </c>
      <c r="M4140" s="285">
        <f t="shared" si="542"/>
        <v>0</v>
      </c>
      <c r="N4140" s="1076"/>
      <c r="O4140" s="294"/>
      <c r="P4140" s="404"/>
      <c r="Q4140" s="404"/>
    </row>
    <row r="4141" spans="1:18" ht="14.4" thickTop="1" thickBot="1" x14ac:dyDescent="0.3">
      <c r="A4141" s="292"/>
      <c r="B4141" s="302" t="s">
        <v>219</v>
      </c>
      <c r="C4141" s="294"/>
      <c r="D4141" s="294"/>
      <c r="E4141" s="294"/>
      <c r="F4141" s="310"/>
      <c r="G4141" s="310"/>
      <c r="H4141" s="310"/>
      <c r="I4141" s="295"/>
      <c r="J4141" s="295"/>
      <c r="K4141" s="300">
        <f t="shared" si="543"/>
        <v>1.1000000000000001</v>
      </c>
      <c r="L4141" s="300">
        <f t="shared" si="541"/>
        <v>0</v>
      </c>
      <c r="M4141" s="285">
        <f t="shared" si="542"/>
        <v>0</v>
      </c>
      <c r="N4141" s="1076"/>
      <c r="O4141" s="294"/>
      <c r="P4141" s="404"/>
      <c r="Q4141" s="404"/>
    </row>
    <row r="4142" spans="1:18" ht="14.4" thickTop="1" thickBot="1" x14ac:dyDescent="0.3">
      <c r="A4142" s="292"/>
      <c r="B4142" s="294" t="s">
        <v>798</v>
      </c>
      <c r="C4142" s="294"/>
      <c r="D4142" s="294"/>
      <c r="E4142" s="294"/>
      <c r="F4142" s="310"/>
      <c r="G4142" s="310"/>
      <c r="H4142" s="310"/>
      <c r="I4142" s="295"/>
      <c r="J4142" s="295"/>
      <c r="K4142" s="300">
        <f t="shared" si="543"/>
        <v>1.1000000000000001</v>
      </c>
      <c r="L4142" s="300">
        <f t="shared" si="541"/>
        <v>0</v>
      </c>
      <c r="M4142" s="285">
        <f t="shared" si="542"/>
        <v>0</v>
      </c>
      <c r="N4142" s="1076"/>
      <c r="O4142" s="294"/>
      <c r="P4142" s="404"/>
      <c r="Q4142" s="404"/>
    </row>
    <row r="4143" spans="1:18" ht="14.4" thickTop="1" thickBot="1" x14ac:dyDescent="0.3">
      <c r="A4143" s="292"/>
      <c r="B4143" s="294" t="s">
        <v>799</v>
      </c>
      <c r="C4143" s="294"/>
      <c r="D4143" s="294"/>
      <c r="E4143" s="294"/>
      <c r="F4143" s="310">
        <v>4.75</v>
      </c>
      <c r="G4143" s="310">
        <v>3.5249999999999999</v>
      </c>
      <c r="H4143" s="310"/>
      <c r="I4143" s="295">
        <f>G4143*F4143</f>
        <v>16.743749999999999</v>
      </c>
      <c r="J4143" s="295"/>
      <c r="K4143" s="300">
        <f t="shared" si="543"/>
        <v>1.1000000000000001</v>
      </c>
      <c r="L4143" s="300">
        <f t="shared" si="541"/>
        <v>0</v>
      </c>
      <c r="M4143" s="285">
        <f t="shared" si="542"/>
        <v>0</v>
      </c>
      <c r="N4143" s="1076"/>
      <c r="O4143" s="294"/>
      <c r="P4143" s="404"/>
      <c r="Q4143" s="404"/>
    </row>
    <row r="4144" spans="1:18" ht="14.4" thickTop="1" thickBot="1" x14ac:dyDescent="0.3">
      <c r="A4144" s="292"/>
      <c r="B4144" s="294" t="s">
        <v>800</v>
      </c>
      <c r="C4144" s="294"/>
      <c r="D4144" s="294"/>
      <c r="E4144" s="294">
        <v>2</v>
      </c>
      <c r="F4144" s="310">
        <f>F4143</f>
        <v>4.75</v>
      </c>
      <c r="G4144" s="310"/>
      <c r="H4144" s="310">
        <v>1.5</v>
      </c>
      <c r="I4144" s="295">
        <f>H4144*F4144*E4144</f>
        <v>14.25</v>
      </c>
      <c r="J4144" s="295"/>
      <c r="K4144" s="300">
        <f t="shared" si="543"/>
        <v>1.1000000000000001</v>
      </c>
      <c r="L4144" s="300">
        <f t="shared" si="541"/>
        <v>0</v>
      </c>
      <c r="M4144" s="285">
        <f t="shared" si="542"/>
        <v>0</v>
      </c>
      <c r="N4144" s="1076"/>
      <c r="O4144" s="294"/>
      <c r="P4144" s="404"/>
      <c r="Q4144" s="404"/>
    </row>
    <row r="4145" spans="1:17" ht="14.4" thickTop="1" thickBot="1" x14ac:dyDescent="0.3">
      <c r="A4145" s="292"/>
      <c r="B4145" s="294"/>
      <c r="C4145" s="294"/>
      <c r="D4145" s="294"/>
      <c r="E4145" s="294">
        <v>2</v>
      </c>
      <c r="F4145" s="310">
        <f>G4143</f>
        <v>3.5249999999999999</v>
      </c>
      <c r="G4145" s="310"/>
      <c r="H4145" s="310">
        <v>1.5</v>
      </c>
      <c r="I4145" s="295">
        <f t="shared" ref="I4145:I4149" si="544">H4145*F4145*E4145</f>
        <v>10.574999999999999</v>
      </c>
      <c r="J4145" s="295"/>
      <c r="K4145" s="300">
        <f t="shared" si="543"/>
        <v>1.1000000000000001</v>
      </c>
      <c r="L4145" s="300">
        <f t="shared" si="541"/>
        <v>0</v>
      </c>
      <c r="M4145" s="285">
        <f t="shared" si="542"/>
        <v>0</v>
      </c>
      <c r="N4145" s="1076"/>
      <c r="O4145" s="294"/>
      <c r="P4145" s="404"/>
      <c r="Q4145" s="404"/>
    </row>
    <row r="4146" spans="1:17" ht="14.4" thickTop="1" thickBot="1" x14ac:dyDescent="0.3">
      <c r="A4146" s="292"/>
      <c r="B4146" s="294"/>
      <c r="C4146" s="294"/>
      <c r="D4146" s="294"/>
      <c r="E4146" s="294">
        <v>6</v>
      </c>
      <c r="F4146" s="310">
        <v>1.2</v>
      </c>
      <c r="G4146" s="310"/>
      <c r="H4146" s="310">
        <v>1.5</v>
      </c>
      <c r="I4146" s="295">
        <f t="shared" si="544"/>
        <v>10.799999999999999</v>
      </c>
      <c r="J4146" s="295"/>
      <c r="K4146" s="300">
        <f t="shared" si="543"/>
        <v>1.1000000000000001</v>
      </c>
      <c r="L4146" s="300">
        <f t="shared" si="541"/>
        <v>0</v>
      </c>
      <c r="M4146" s="285">
        <f t="shared" si="542"/>
        <v>0</v>
      </c>
      <c r="N4146" s="1076"/>
      <c r="O4146" s="294"/>
      <c r="P4146" s="404"/>
      <c r="Q4146" s="404"/>
    </row>
    <row r="4147" spans="1:17" ht="14.4" thickTop="1" thickBot="1" x14ac:dyDescent="0.3">
      <c r="A4147" s="292"/>
      <c r="B4147" s="294"/>
      <c r="C4147" s="294"/>
      <c r="D4147" s="294"/>
      <c r="E4147" s="294">
        <v>2</v>
      </c>
      <c r="F4147" s="310">
        <v>2.6259999999999999</v>
      </c>
      <c r="G4147" s="310"/>
      <c r="H4147" s="310">
        <v>1.5</v>
      </c>
      <c r="I4147" s="295">
        <f t="shared" si="544"/>
        <v>7.8780000000000001</v>
      </c>
      <c r="J4147" s="295"/>
      <c r="K4147" s="300">
        <f t="shared" si="543"/>
        <v>1.1000000000000001</v>
      </c>
      <c r="L4147" s="300">
        <f t="shared" si="541"/>
        <v>0</v>
      </c>
      <c r="M4147" s="285">
        <f t="shared" si="542"/>
        <v>0</v>
      </c>
      <c r="N4147" s="1076"/>
      <c r="O4147" s="294"/>
      <c r="P4147" s="404"/>
      <c r="Q4147" s="404"/>
    </row>
    <row r="4148" spans="1:17" ht="14.4" thickTop="1" thickBot="1" x14ac:dyDescent="0.3">
      <c r="A4148" s="292"/>
      <c r="B4148" s="294"/>
      <c r="C4148" s="294"/>
      <c r="D4148" s="294"/>
      <c r="E4148" s="294">
        <v>2</v>
      </c>
      <c r="F4148" s="310">
        <v>2.343</v>
      </c>
      <c r="G4148" s="310"/>
      <c r="H4148" s="310">
        <v>1.5</v>
      </c>
      <c r="I4148" s="295">
        <f t="shared" si="544"/>
        <v>7.0289999999999999</v>
      </c>
      <c r="J4148" s="295"/>
      <c r="K4148" s="300">
        <f t="shared" si="543"/>
        <v>1.1000000000000001</v>
      </c>
      <c r="L4148" s="300">
        <f t="shared" si="541"/>
        <v>0</v>
      </c>
      <c r="M4148" s="285">
        <f t="shared" si="542"/>
        <v>0</v>
      </c>
      <c r="N4148" s="1076"/>
      <c r="O4148" s="294"/>
      <c r="P4148" s="404"/>
      <c r="Q4148" s="404"/>
    </row>
    <row r="4149" spans="1:17" ht="14.4" thickTop="1" thickBot="1" x14ac:dyDescent="0.3">
      <c r="A4149" s="292"/>
      <c r="B4149" s="294"/>
      <c r="C4149" s="294"/>
      <c r="D4149" s="294"/>
      <c r="E4149" s="294">
        <v>4</v>
      </c>
      <c r="F4149" s="310">
        <v>1.3</v>
      </c>
      <c r="G4149" s="310"/>
      <c r="H4149" s="310">
        <v>1.5</v>
      </c>
      <c r="I4149" s="295">
        <f t="shared" si="544"/>
        <v>7.8000000000000007</v>
      </c>
      <c r="J4149" s="295"/>
      <c r="K4149" s="300">
        <f t="shared" si="543"/>
        <v>1.1000000000000001</v>
      </c>
      <c r="L4149" s="300">
        <f t="shared" si="541"/>
        <v>0</v>
      </c>
      <c r="M4149" s="285">
        <f t="shared" si="542"/>
        <v>0</v>
      </c>
      <c r="N4149" s="1076"/>
      <c r="O4149" s="294"/>
      <c r="P4149" s="404"/>
      <c r="Q4149" s="404"/>
    </row>
    <row r="4150" spans="1:17" ht="14.4" thickTop="1" thickBot="1" x14ac:dyDescent="0.3">
      <c r="A4150" s="292"/>
      <c r="B4150" s="294" t="s">
        <v>791</v>
      </c>
      <c r="C4150" s="294"/>
      <c r="D4150" s="294"/>
      <c r="E4150" s="294"/>
      <c r="F4150" s="310"/>
      <c r="G4150" s="310"/>
      <c r="H4150" s="310"/>
      <c r="I4150" s="295"/>
      <c r="J4150" s="295"/>
      <c r="K4150" s="300">
        <f t="shared" si="543"/>
        <v>1.1000000000000001</v>
      </c>
      <c r="L4150" s="300">
        <f t="shared" si="541"/>
        <v>0</v>
      </c>
      <c r="M4150" s="285"/>
      <c r="N4150" s="1076"/>
      <c r="O4150" s="294"/>
      <c r="P4150" s="404"/>
      <c r="Q4150" s="404"/>
    </row>
    <row r="4151" spans="1:17" ht="14.4" thickTop="1" thickBot="1" x14ac:dyDescent="0.3">
      <c r="A4151" s="292"/>
      <c r="B4151" s="294" t="s">
        <v>886</v>
      </c>
      <c r="C4151" s="294"/>
      <c r="D4151" s="294"/>
      <c r="E4151" s="294">
        <v>2</v>
      </c>
      <c r="F4151" s="310">
        <v>0.9</v>
      </c>
      <c r="G4151" s="310"/>
      <c r="H4151" s="310">
        <v>1.5</v>
      </c>
      <c r="I4151" s="295">
        <f>-H4151*F4151*E4151</f>
        <v>-2.7</v>
      </c>
      <c r="J4151" s="295"/>
      <c r="K4151" s="300">
        <f t="shared" si="543"/>
        <v>1.1000000000000001</v>
      </c>
      <c r="L4151" s="300">
        <f t="shared" si="541"/>
        <v>0</v>
      </c>
      <c r="M4151" s="285"/>
      <c r="N4151" s="1076"/>
      <c r="O4151" s="294"/>
      <c r="P4151" s="404"/>
      <c r="Q4151" s="404"/>
    </row>
    <row r="4152" spans="1:17" ht="14.4" thickTop="1" thickBot="1" x14ac:dyDescent="0.3">
      <c r="A4152" s="292"/>
      <c r="B4152" s="294" t="s">
        <v>785</v>
      </c>
      <c r="C4152" s="294"/>
      <c r="D4152" s="294"/>
      <c r="E4152" s="294">
        <v>4</v>
      </c>
      <c r="F4152" s="310">
        <v>0.75</v>
      </c>
      <c r="G4152" s="310"/>
      <c r="H4152" s="310">
        <v>1.5</v>
      </c>
      <c r="I4152" s="295">
        <f>-H4152*F4152*E4152</f>
        <v>-4.5</v>
      </c>
      <c r="J4152" s="295"/>
      <c r="K4152" s="300">
        <f t="shared" si="543"/>
        <v>1.1000000000000001</v>
      </c>
      <c r="L4152" s="300">
        <f t="shared" si="541"/>
        <v>0</v>
      </c>
      <c r="M4152" s="285"/>
      <c r="N4152" s="1076"/>
      <c r="O4152" s="294"/>
      <c r="P4152" s="404"/>
      <c r="Q4152" s="404"/>
    </row>
    <row r="4153" spans="1:17" ht="14.4" thickTop="1" thickBot="1" x14ac:dyDescent="0.3">
      <c r="A4153" s="292"/>
      <c r="B4153" s="294"/>
      <c r="C4153" s="294"/>
      <c r="D4153" s="294"/>
      <c r="E4153" s="294"/>
      <c r="F4153" s="310"/>
      <c r="G4153" s="310"/>
      <c r="H4153" s="310"/>
      <c r="I4153" s="295"/>
      <c r="J4153" s="295"/>
      <c r="K4153" s="300">
        <f t="shared" si="543"/>
        <v>1.1000000000000001</v>
      </c>
      <c r="L4153" s="300">
        <f t="shared" si="541"/>
        <v>0</v>
      </c>
      <c r="M4153" s="285"/>
      <c r="N4153" s="1076"/>
      <c r="O4153" s="294"/>
      <c r="P4153" s="404"/>
      <c r="Q4153" s="404"/>
    </row>
    <row r="4154" spans="1:17" ht="14.4" thickTop="1" thickBot="1" x14ac:dyDescent="0.3">
      <c r="A4154" s="292"/>
      <c r="B4154" s="294" t="s">
        <v>723</v>
      </c>
      <c r="C4154" s="294"/>
      <c r="D4154" s="294"/>
      <c r="E4154" s="294"/>
      <c r="F4154" s="310">
        <v>2.2250000000000001</v>
      </c>
      <c r="G4154" s="310">
        <v>2.2250000000000001</v>
      </c>
      <c r="H4154" s="310"/>
      <c r="I4154" s="295">
        <f>G4154*F4154</f>
        <v>4.9506250000000005</v>
      </c>
      <c r="J4154" s="295"/>
      <c r="K4154" s="300">
        <f t="shared" si="543"/>
        <v>1.1000000000000001</v>
      </c>
      <c r="L4154" s="300">
        <f t="shared" si="541"/>
        <v>0</v>
      </c>
      <c r="M4154" s="285">
        <f t="shared" si="542"/>
        <v>0</v>
      </c>
      <c r="N4154" s="1076"/>
      <c r="O4154" s="294"/>
      <c r="P4154" s="404"/>
      <c r="Q4154" s="404"/>
    </row>
    <row r="4155" spans="1:17" ht="14.4" thickTop="1" thickBot="1" x14ac:dyDescent="0.3">
      <c r="A4155" s="292"/>
      <c r="B4155" s="294" t="s">
        <v>801</v>
      </c>
      <c r="C4155" s="294"/>
      <c r="D4155" s="294"/>
      <c r="E4155" s="294">
        <v>8</v>
      </c>
      <c r="F4155" s="310">
        <v>2.2250000000000001</v>
      </c>
      <c r="G4155" s="310"/>
      <c r="H4155" s="310">
        <v>2</v>
      </c>
      <c r="I4155" s="295">
        <f>H4155*F4155*E4155</f>
        <v>35.6</v>
      </c>
      <c r="J4155" s="295">
        <f>SUM(I4143:I4155)</f>
        <v>108.42637499999998</v>
      </c>
      <c r="K4155" s="300">
        <f t="shared" si="543"/>
        <v>1.1000000000000001</v>
      </c>
      <c r="L4155" s="300">
        <f t="shared" si="541"/>
        <v>119.26901249999999</v>
      </c>
      <c r="M4155" s="285">
        <f t="shared" si="542"/>
        <v>119</v>
      </c>
      <c r="N4155" s="1076"/>
      <c r="O4155" s="294"/>
      <c r="P4155" s="404"/>
      <c r="Q4155" s="404"/>
    </row>
    <row r="4156" spans="1:17" ht="14.4" thickTop="1" thickBot="1" x14ac:dyDescent="0.3">
      <c r="A4156" s="292"/>
      <c r="B4156" s="294"/>
      <c r="C4156" s="294"/>
      <c r="D4156" s="294"/>
      <c r="E4156" s="294"/>
      <c r="F4156" s="310"/>
      <c r="G4156" s="310"/>
      <c r="H4156" s="310"/>
      <c r="I4156" s="295"/>
      <c r="J4156" s="295">
        <f>J4155*10.76</f>
        <v>1166.6677949999998</v>
      </c>
      <c r="K4156" s="300">
        <v>1.05</v>
      </c>
      <c r="L4156" s="300">
        <f t="shared" si="541"/>
        <v>1225.00118475</v>
      </c>
      <c r="M4156" s="285">
        <f t="shared" si="542"/>
        <v>1225</v>
      </c>
      <c r="N4156" s="1076"/>
      <c r="O4156" s="294"/>
      <c r="P4156" s="404"/>
      <c r="Q4156" s="404"/>
    </row>
    <row r="4157" spans="1:17" ht="14.4" thickTop="1" thickBot="1" x14ac:dyDescent="0.3">
      <c r="A4157" s="292"/>
      <c r="B4157" s="294"/>
      <c r="C4157" s="294"/>
      <c r="D4157" s="294"/>
      <c r="E4157" s="294"/>
      <c r="F4157" s="310"/>
      <c r="G4157" s="310"/>
      <c r="H4157" s="310"/>
      <c r="I4157" s="295"/>
      <c r="J4157" s="295"/>
      <c r="K4157" s="300">
        <f t="shared" si="543"/>
        <v>1.1000000000000001</v>
      </c>
      <c r="L4157" s="300">
        <f t="shared" si="541"/>
        <v>0</v>
      </c>
      <c r="M4157" s="285">
        <f t="shared" si="542"/>
        <v>0</v>
      </c>
      <c r="N4157" s="1076"/>
      <c r="O4157" s="294"/>
      <c r="P4157" s="404"/>
      <c r="Q4157" s="404"/>
    </row>
    <row r="4158" spans="1:17" ht="14.4" thickTop="1" thickBot="1" x14ac:dyDescent="0.3">
      <c r="A4158" s="292"/>
      <c r="B4158" s="294" t="s">
        <v>802</v>
      </c>
      <c r="C4158" s="294"/>
      <c r="D4158" s="294"/>
      <c r="E4158" s="294"/>
      <c r="F4158" s="310"/>
      <c r="G4158" s="310"/>
      <c r="H4158" s="310"/>
      <c r="I4158" s="295"/>
      <c r="J4158" s="295"/>
      <c r="K4158" s="300">
        <f t="shared" si="543"/>
        <v>1.1000000000000001</v>
      </c>
      <c r="L4158" s="300">
        <f t="shared" si="541"/>
        <v>0</v>
      </c>
      <c r="M4158" s="285">
        <f t="shared" si="542"/>
        <v>0</v>
      </c>
      <c r="N4158" s="1076"/>
      <c r="O4158" s="294"/>
      <c r="P4158" s="404"/>
      <c r="Q4158" s="404"/>
    </row>
    <row r="4159" spans="1:17" ht="14.4" thickTop="1" thickBot="1" x14ac:dyDescent="0.3">
      <c r="A4159" s="292"/>
      <c r="B4159" s="294" t="s">
        <v>708</v>
      </c>
      <c r="C4159" s="294"/>
      <c r="D4159" s="294"/>
      <c r="E4159" s="294"/>
      <c r="F4159" s="310">
        <v>4.75</v>
      </c>
      <c r="G4159" s="310">
        <v>3.5249999999999999</v>
      </c>
      <c r="H4159" s="310"/>
      <c r="I4159" s="295">
        <f>G4159*F4159</f>
        <v>16.743749999999999</v>
      </c>
      <c r="J4159" s="295"/>
      <c r="K4159" s="300">
        <f t="shared" si="543"/>
        <v>1.1000000000000001</v>
      </c>
      <c r="L4159" s="300">
        <f t="shared" si="541"/>
        <v>0</v>
      </c>
      <c r="M4159" s="285">
        <f t="shared" si="542"/>
        <v>0</v>
      </c>
      <c r="N4159" s="1076"/>
      <c r="O4159" s="294"/>
      <c r="P4159" s="404"/>
      <c r="Q4159" s="404"/>
    </row>
    <row r="4160" spans="1:17" ht="14.4" thickTop="1" thickBot="1" x14ac:dyDescent="0.3">
      <c r="A4160" s="292"/>
      <c r="B4160" s="294" t="s">
        <v>791</v>
      </c>
      <c r="C4160" s="294"/>
      <c r="D4160" s="294"/>
      <c r="E4160" s="294"/>
      <c r="F4160" s="310"/>
      <c r="G4160" s="310"/>
      <c r="H4160" s="310"/>
      <c r="I4160" s="295"/>
      <c r="J4160" s="295"/>
      <c r="K4160" s="300">
        <f t="shared" si="543"/>
        <v>1.1000000000000001</v>
      </c>
      <c r="L4160" s="300">
        <f t="shared" si="541"/>
        <v>0</v>
      </c>
      <c r="M4160" s="285"/>
      <c r="N4160" s="1076"/>
      <c r="O4160" s="294"/>
      <c r="P4160" s="404"/>
      <c r="Q4160" s="404"/>
    </row>
    <row r="4161" spans="1:17" ht="14.4" thickTop="1" thickBot="1" x14ac:dyDescent="0.3">
      <c r="A4161" s="292"/>
      <c r="B4161" s="294" t="s">
        <v>886</v>
      </c>
      <c r="C4161" s="294"/>
      <c r="D4161" s="294"/>
      <c r="E4161" s="294">
        <v>2</v>
      </c>
      <c r="F4161" s="310">
        <v>0.9</v>
      </c>
      <c r="G4161" s="310"/>
      <c r="H4161" s="310">
        <v>1.5</v>
      </c>
      <c r="I4161" s="295">
        <f>-H4161*F4161*E4161</f>
        <v>-2.7</v>
      </c>
      <c r="J4161" s="295"/>
      <c r="K4161" s="300">
        <f t="shared" si="543"/>
        <v>1.1000000000000001</v>
      </c>
      <c r="L4161" s="300">
        <f t="shared" si="541"/>
        <v>0</v>
      </c>
      <c r="M4161" s="285"/>
      <c r="N4161" s="1076"/>
      <c r="O4161" s="294"/>
      <c r="P4161" s="404"/>
      <c r="Q4161" s="404"/>
    </row>
    <row r="4162" spans="1:17" ht="14.4" thickTop="1" thickBot="1" x14ac:dyDescent="0.3">
      <c r="A4162" s="292"/>
      <c r="B4162" s="294" t="s">
        <v>785</v>
      </c>
      <c r="C4162" s="294"/>
      <c r="D4162" s="294"/>
      <c r="E4162" s="294">
        <v>4</v>
      </c>
      <c r="F4162" s="310">
        <v>0.75</v>
      </c>
      <c r="G4162" s="310"/>
      <c r="H4162" s="310">
        <v>1.5</v>
      </c>
      <c r="I4162" s="295">
        <f>-H4162*F4162*E4162</f>
        <v>-4.5</v>
      </c>
      <c r="J4162" s="295"/>
      <c r="K4162" s="300">
        <f t="shared" si="543"/>
        <v>1.1000000000000001</v>
      </c>
      <c r="L4162" s="300">
        <f t="shared" si="541"/>
        <v>0</v>
      </c>
      <c r="M4162" s="285"/>
      <c r="N4162" s="1076"/>
      <c r="O4162" s="294"/>
      <c r="P4162" s="404"/>
      <c r="Q4162" s="404"/>
    </row>
    <row r="4163" spans="1:17" ht="14.4" thickTop="1" thickBot="1" x14ac:dyDescent="0.3">
      <c r="A4163" s="292"/>
      <c r="B4163" s="294" t="s">
        <v>800</v>
      </c>
      <c r="C4163" s="294"/>
      <c r="D4163" s="294"/>
      <c r="E4163" s="294">
        <v>2</v>
      </c>
      <c r="F4163" s="310">
        <f>F4159</f>
        <v>4.75</v>
      </c>
      <c r="G4163" s="310"/>
      <c r="H4163" s="310">
        <v>1.5</v>
      </c>
      <c r="I4163" s="295">
        <f>H4163*F4163*E4163</f>
        <v>14.25</v>
      </c>
      <c r="J4163" s="295"/>
      <c r="K4163" s="300">
        <f t="shared" si="543"/>
        <v>1.1000000000000001</v>
      </c>
      <c r="L4163" s="300">
        <f t="shared" si="541"/>
        <v>0</v>
      </c>
      <c r="M4163" s="285">
        <f t="shared" si="542"/>
        <v>0</v>
      </c>
      <c r="N4163" s="1076"/>
      <c r="O4163" s="294"/>
      <c r="P4163" s="404"/>
      <c r="Q4163" s="404"/>
    </row>
    <row r="4164" spans="1:17" ht="14.4" thickTop="1" thickBot="1" x14ac:dyDescent="0.3">
      <c r="A4164" s="292"/>
      <c r="B4164" s="294"/>
      <c r="C4164" s="294"/>
      <c r="D4164" s="294"/>
      <c r="E4164" s="294">
        <v>2</v>
      </c>
      <c r="F4164" s="310">
        <f>G4159</f>
        <v>3.5249999999999999</v>
      </c>
      <c r="G4164" s="310"/>
      <c r="H4164" s="310">
        <v>1.5</v>
      </c>
      <c r="I4164" s="295">
        <f t="shared" ref="I4164:I4167" si="545">H4164*F4164*E4164</f>
        <v>10.574999999999999</v>
      </c>
      <c r="J4164" s="295"/>
      <c r="K4164" s="300">
        <f t="shared" si="543"/>
        <v>1.1000000000000001</v>
      </c>
      <c r="L4164" s="300">
        <f t="shared" si="541"/>
        <v>0</v>
      </c>
      <c r="M4164" s="285">
        <f t="shared" si="542"/>
        <v>0</v>
      </c>
      <c r="N4164" s="1076"/>
      <c r="O4164" s="294"/>
      <c r="P4164" s="404"/>
      <c r="Q4164" s="404"/>
    </row>
    <row r="4165" spans="1:17" ht="14.4" thickTop="1" thickBot="1" x14ac:dyDescent="0.3">
      <c r="A4165" s="292"/>
      <c r="B4165" s="294"/>
      <c r="C4165" s="294"/>
      <c r="D4165" s="294"/>
      <c r="E4165" s="294">
        <v>6</v>
      </c>
      <c r="F4165" s="310">
        <v>1.2</v>
      </c>
      <c r="G4165" s="310"/>
      <c r="H4165" s="310">
        <v>1.5</v>
      </c>
      <c r="I4165" s="295">
        <f t="shared" si="545"/>
        <v>10.799999999999999</v>
      </c>
      <c r="J4165" s="295"/>
      <c r="K4165" s="300">
        <f t="shared" si="543"/>
        <v>1.1000000000000001</v>
      </c>
      <c r="L4165" s="300">
        <f t="shared" si="541"/>
        <v>0</v>
      </c>
      <c r="M4165" s="285">
        <f t="shared" si="542"/>
        <v>0</v>
      </c>
      <c r="N4165" s="1076"/>
      <c r="O4165" s="294"/>
      <c r="P4165" s="404"/>
      <c r="Q4165" s="404"/>
    </row>
    <row r="4166" spans="1:17" ht="14.4" thickTop="1" thickBot="1" x14ac:dyDescent="0.3">
      <c r="A4166" s="292"/>
      <c r="B4166" s="294"/>
      <c r="C4166" s="294"/>
      <c r="D4166" s="294"/>
      <c r="E4166" s="294">
        <v>2</v>
      </c>
      <c r="F4166" s="310">
        <v>2.6259999999999999</v>
      </c>
      <c r="G4166" s="310"/>
      <c r="H4166" s="310">
        <v>1.5</v>
      </c>
      <c r="I4166" s="295">
        <f t="shared" si="545"/>
        <v>7.8780000000000001</v>
      </c>
      <c r="J4166" s="295"/>
      <c r="K4166" s="300">
        <f t="shared" si="543"/>
        <v>1.1000000000000001</v>
      </c>
      <c r="L4166" s="300">
        <f t="shared" si="541"/>
        <v>0</v>
      </c>
      <c r="M4166" s="285">
        <f t="shared" si="542"/>
        <v>0</v>
      </c>
      <c r="N4166" s="1076"/>
      <c r="O4166" s="294"/>
      <c r="P4166" s="404"/>
      <c r="Q4166" s="404"/>
    </row>
    <row r="4167" spans="1:17" ht="14.4" thickTop="1" thickBot="1" x14ac:dyDescent="0.3">
      <c r="A4167" s="292"/>
      <c r="B4167" s="294"/>
      <c r="C4167" s="294"/>
      <c r="D4167" s="294"/>
      <c r="E4167" s="294">
        <v>2</v>
      </c>
      <c r="F4167" s="310">
        <v>2.343</v>
      </c>
      <c r="G4167" s="310"/>
      <c r="H4167" s="310">
        <v>1.5</v>
      </c>
      <c r="I4167" s="295">
        <f t="shared" si="545"/>
        <v>7.0289999999999999</v>
      </c>
      <c r="J4167" s="295"/>
      <c r="K4167" s="300">
        <f t="shared" si="543"/>
        <v>1.1000000000000001</v>
      </c>
      <c r="L4167" s="300">
        <f t="shared" si="541"/>
        <v>0</v>
      </c>
      <c r="M4167" s="285">
        <f t="shared" si="542"/>
        <v>0</v>
      </c>
      <c r="N4167" s="1076"/>
      <c r="O4167" s="294"/>
      <c r="P4167" s="404"/>
      <c r="Q4167" s="404"/>
    </row>
    <row r="4168" spans="1:17" ht="14.4" thickTop="1" thickBot="1" x14ac:dyDescent="0.3">
      <c r="A4168" s="292"/>
      <c r="B4168" s="294"/>
      <c r="C4168" s="294"/>
      <c r="D4168" s="294"/>
      <c r="E4168" s="294">
        <v>4</v>
      </c>
      <c r="F4168" s="310">
        <v>1.3</v>
      </c>
      <c r="G4168" s="310"/>
      <c r="H4168" s="310">
        <v>1.5</v>
      </c>
      <c r="I4168" s="295">
        <f>H4168*F4168*E4168</f>
        <v>7.8000000000000007</v>
      </c>
      <c r="J4168" s="295">
        <f>SUM(I4159:I4168)</f>
        <v>67.875749999999996</v>
      </c>
      <c r="K4168" s="300">
        <f t="shared" si="543"/>
        <v>1.1000000000000001</v>
      </c>
      <c r="L4168" s="300">
        <f t="shared" ref="L4168:L4236" si="546">K4168*J4168</f>
        <v>74.663325</v>
      </c>
      <c r="M4168" s="285">
        <f t="shared" si="542"/>
        <v>75</v>
      </c>
      <c r="N4168" s="1076"/>
      <c r="O4168" s="294"/>
      <c r="P4168" s="404"/>
      <c r="Q4168" s="404"/>
    </row>
    <row r="4169" spans="1:17" ht="14.4" thickTop="1" thickBot="1" x14ac:dyDescent="0.3">
      <c r="A4169" s="292"/>
      <c r="B4169" s="294"/>
      <c r="C4169" s="294"/>
      <c r="D4169" s="294"/>
      <c r="E4169" s="294"/>
      <c r="F4169" s="310"/>
      <c r="G4169" s="310"/>
      <c r="H4169" s="310"/>
      <c r="I4169" s="295"/>
      <c r="J4169" s="295">
        <f>J4168*10.76</f>
        <v>730.3430699999999</v>
      </c>
      <c r="K4169" s="300">
        <v>1.05</v>
      </c>
      <c r="L4169" s="300">
        <f t="shared" si="546"/>
        <v>766.86022349999996</v>
      </c>
      <c r="M4169" s="285">
        <f t="shared" si="542"/>
        <v>767</v>
      </c>
      <c r="N4169" s="1076"/>
      <c r="O4169" s="294"/>
      <c r="P4169" s="404"/>
      <c r="Q4169" s="404"/>
    </row>
    <row r="4170" spans="1:17" ht="14.4" thickTop="1" thickBot="1" x14ac:dyDescent="0.3">
      <c r="A4170" s="292"/>
      <c r="B4170" s="294"/>
      <c r="C4170" s="294"/>
      <c r="D4170" s="294"/>
      <c r="E4170" s="294"/>
      <c r="F4170" s="310"/>
      <c r="G4170" s="310"/>
      <c r="H4170" s="310"/>
      <c r="I4170" s="295"/>
      <c r="J4170" s="295"/>
      <c r="K4170" s="300">
        <f t="shared" si="543"/>
        <v>1.1000000000000001</v>
      </c>
      <c r="L4170" s="300">
        <f t="shared" si="546"/>
        <v>0</v>
      </c>
      <c r="M4170" s="285">
        <f t="shared" si="542"/>
        <v>0</v>
      </c>
      <c r="N4170" s="1076"/>
      <c r="O4170" s="294"/>
      <c r="P4170" s="404"/>
      <c r="Q4170" s="404"/>
    </row>
    <row r="4171" spans="1:17" ht="14.4" thickTop="1" thickBot="1" x14ac:dyDescent="0.3">
      <c r="A4171" s="292"/>
      <c r="B4171" s="294" t="s">
        <v>803</v>
      </c>
      <c r="C4171" s="294"/>
      <c r="D4171" s="294"/>
      <c r="E4171" s="294"/>
      <c r="F4171" s="310">
        <v>3.4</v>
      </c>
      <c r="G4171" s="310">
        <v>3.65</v>
      </c>
      <c r="H4171" s="310"/>
      <c r="I4171" s="295">
        <f>G4171*F4171</f>
        <v>12.41</v>
      </c>
      <c r="J4171" s="295"/>
      <c r="K4171" s="300">
        <f t="shared" si="543"/>
        <v>1.1000000000000001</v>
      </c>
      <c r="L4171" s="300">
        <f t="shared" si="546"/>
        <v>0</v>
      </c>
      <c r="M4171" s="285">
        <f t="shared" si="542"/>
        <v>0</v>
      </c>
      <c r="N4171" s="1076"/>
      <c r="O4171" s="294"/>
      <c r="P4171" s="404"/>
      <c r="Q4171" s="404"/>
    </row>
    <row r="4172" spans="1:17" ht="14.4" thickTop="1" thickBot="1" x14ac:dyDescent="0.3">
      <c r="A4172" s="292"/>
      <c r="B4172" s="294" t="s">
        <v>887</v>
      </c>
      <c r="C4172" s="294"/>
      <c r="D4172" s="294"/>
      <c r="E4172" s="294"/>
      <c r="F4172" s="310"/>
      <c r="G4172" s="310"/>
      <c r="H4172" s="310"/>
      <c r="I4172" s="295"/>
      <c r="J4172" s="295"/>
      <c r="K4172" s="300">
        <f t="shared" si="543"/>
        <v>1.1000000000000001</v>
      </c>
      <c r="L4172" s="300">
        <f t="shared" si="546"/>
        <v>0</v>
      </c>
      <c r="M4172" s="285"/>
      <c r="N4172" s="1076"/>
      <c r="O4172" s="294"/>
      <c r="P4172" s="404"/>
      <c r="Q4172" s="404"/>
    </row>
    <row r="4173" spans="1:17" ht="14.4" thickTop="1" thickBot="1" x14ac:dyDescent="0.3">
      <c r="A4173" s="292"/>
      <c r="B4173" s="294" t="s">
        <v>886</v>
      </c>
      <c r="C4173" s="294"/>
      <c r="D4173" s="294"/>
      <c r="E4173" s="294">
        <v>2</v>
      </c>
      <c r="F4173" s="310">
        <v>0.9</v>
      </c>
      <c r="G4173" s="310"/>
      <c r="H4173" s="310">
        <v>1.5</v>
      </c>
      <c r="I4173" s="295">
        <f>-H4173*F4173*E4173</f>
        <v>-2.7</v>
      </c>
      <c r="J4173" s="295"/>
      <c r="K4173" s="300">
        <f t="shared" si="543"/>
        <v>1.1000000000000001</v>
      </c>
      <c r="L4173" s="300">
        <f t="shared" si="546"/>
        <v>0</v>
      </c>
      <c r="M4173" s="285"/>
      <c r="N4173" s="1076"/>
      <c r="O4173" s="294"/>
      <c r="P4173" s="404"/>
      <c r="Q4173" s="404"/>
    </row>
    <row r="4174" spans="1:17" ht="14.4" thickTop="1" thickBot="1" x14ac:dyDescent="0.3">
      <c r="A4174" s="292"/>
      <c r="B4174" s="294"/>
      <c r="C4174" s="294"/>
      <c r="D4174" s="294"/>
      <c r="E4174" s="294">
        <v>2</v>
      </c>
      <c r="F4174" s="310">
        <f>F4171</f>
        <v>3.4</v>
      </c>
      <c r="G4174" s="310"/>
      <c r="H4174" s="310">
        <v>1.5</v>
      </c>
      <c r="I4174" s="295">
        <f t="shared" ref="I4174:I4175" si="547">H4174*F4174*E4174</f>
        <v>10.199999999999999</v>
      </c>
      <c r="J4174" s="295"/>
      <c r="K4174" s="300">
        <f t="shared" si="543"/>
        <v>1.1000000000000001</v>
      </c>
      <c r="L4174" s="300">
        <f t="shared" si="546"/>
        <v>0</v>
      </c>
      <c r="M4174" s="285">
        <f t="shared" si="542"/>
        <v>0</v>
      </c>
      <c r="N4174" s="1076"/>
      <c r="O4174" s="294"/>
      <c r="P4174" s="404"/>
      <c r="Q4174" s="404"/>
    </row>
    <row r="4175" spans="1:17" ht="14.4" thickTop="1" thickBot="1" x14ac:dyDescent="0.3">
      <c r="A4175" s="292"/>
      <c r="B4175" s="294"/>
      <c r="C4175" s="294"/>
      <c r="D4175" s="294"/>
      <c r="E4175" s="294">
        <v>4</v>
      </c>
      <c r="F4175" s="310">
        <f>G4171</f>
        <v>3.65</v>
      </c>
      <c r="G4175" s="310"/>
      <c r="H4175" s="310">
        <v>1.5</v>
      </c>
      <c r="I4175" s="295">
        <f t="shared" si="547"/>
        <v>21.9</v>
      </c>
      <c r="J4175" s="295">
        <f>SUM(I4171:I4175)</f>
        <v>41.81</v>
      </c>
      <c r="K4175" s="300">
        <f t="shared" si="543"/>
        <v>1.1000000000000001</v>
      </c>
      <c r="L4175" s="300">
        <f t="shared" si="546"/>
        <v>45.991000000000007</v>
      </c>
      <c r="M4175" s="285">
        <f t="shared" si="542"/>
        <v>46</v>
      </c>
      <c r="N4175" s="1076"/>
      <c r="O4175" s="294"/>
      <c r="P4175" s="404"/>
      <c r="Q4175" s="404"/>
    </row>
    <row r="4176" spans="1:17" ht="14.4" thickTop="1" thickBot="1" x14ac:dyDescent="0.3">
      <c r="A4176" s="292"/>
      <c r="B4176" s="294"/>
      <c r="C4176" s="294"/>
      <c r="D4176" s="294"/>
      <c r="E4176" s="294"/>
      <c r="F4176" s="310"/>
      <c r="G4176" s="310"/>
      <c r="H4176" s="310"/>
      <c r="I4176" s="295"/>
      <c r="J4176" s="295">
        <f>J4175*10.76</f>
        <v>449.87560000000002</v>
      </c>
      <c r="K4176" s="300">
        <v>1.05</v>
      </c>
      <c r="L4176" s="300">
        <f t="shared" si="546"/>
        <v>472.36938000000004</v>
      </c>
      <c r="M4176" s="285">
        <f t="shared" si="542"/>
        <v>472</v>
      </c>
      <c r="N4176" s="1076"/>
      <c r="O4176" s="294"/>
      <c r="P4176" s="404"/>
      <c r="Q4176" s="404"/>
    </row>
    <row r="4177" spans="1:17" ht="14.4" thickTop="1" thickBot="1" x14ac:dyDescent="0.3">
      <c r="A4177" s="292"/>
      <c r="B4177" s="294"/>
      <c r="C4177" s="294"/>
      <c r="D4177" s="294"/>
      <c r="E4177" s="294"/>
      <c r="F4177" s="310"/>
      <c r="G4177" s="310"/>
      <c r="H4177" s="310"/>
      <c r="I4177" s="295"/>
      <c r="J4177" s="295"/>
      <c r="K4177" s="300">
        <f t="shared" si="543"/>
        <v>1.1000000000000001</v>
      </c>
      <c r="L4177" s="300">
        <f t="shared" si="546"/>
        <v>0</v>
      </c>
      <c r="M4177" s="285">
        <f t="shared" si="542"/>
        <v>0</v>
      </c>
      <c r="N4177" s="1076"/>
      <c r="O4177" s="294"/>
      <c r="P4177" s="404"/>
      <c r="Q4177" s="404"/>
    </row>
    <row r="4178" spans="1:17" ht="14.4" thickTop="1" thickBot="1" x14ac:dyDescent="0.3">
      <c r="A4178" s="292"/>
      <c r="B4178" s="294" t="s">
        <v>804</v>
      </c>
      <c r="C4178" s="294"/>
      <c r="D4178" s="294"/>
      <c r="E4178" s="294"/>
      <c r="F4178" s="310"/>
      <c r="G4178" s="310"/>
      <c r="H4178" s="310"/>
      <c r="I4178" s="295"/>
      <c r="J4178" s="295"/>
      <c r="K4178" s="300">
        <f t="shared" si="543"/>
        <v>1.1000000000000001</v>
      </c>
      <c r="L4178" s="300">
        <f t="shared" si="546"/>
        <v>0</v>
      </c>
      <c r="M4178" s="285">
        <f t="shared" si="542"/>
        <v>0</v>
      </c>
      <c r="N4178" s="1076"/>
      <c r="O4178" s="294"/>
      <c r="P4178" s="404"/>
      <c r="Q4178" s="404"/>
    </row>
    <row r="4179" spans="1:17" ht="14.4" thickTop="1" thickBot="1" x14ac:dyDescent="0.3">
      <c r="A4179" s="292"/>
      <c r="B4179" s="294" t="s">
        <v>802</v>
      </c>
      <c r="C4179" s="294"/>
      <c r="D4179" s="294"/>
      <c r="E4179" s="294"/>
      <c r="F4179" s="310"/>
      <c r="G4179" s="310"/>
      <c r="H4179" s="310"/>
      <c r="I4179" s="295"/>
      <c r="J4179" s="295"/>
      <c r="K4179" s="300">
        <f t="shared" si="543"/>
        <v>1.1000000000000001</v>
      </c>
      <c r="L4179" s="300">
        <f t="shared" si="546"/>
        <v>0</v>
      </c>
      <c r="M4179" s="285"/>
      <c r="N4179" s="1076"/>
      <c r="O4179" s="294"/>
      <c r="P4179" s="404"/>
      <c r="Q4179" s="404"/>
    </row>
    <row r="4180" spans="1:17" ht="14.4" thickTop="1" thickBot="1" x14ac:dyDescent="0.3">
      <c r="A4180" s="292"/>
      <c r="B4180" s="294" t="s">
        <v>805</v>
      </c>
      <c r="C4180" s="294"/>
      <c r="D4180" s="294"/>
      <c r="E4180" s="294"/>
      <c r="F4180" s="310">
        <v>1.5</v>
      </c>
      <c r="G4180" s="310">
        <f>F4137</f>
        <v>27</v>
      </c>
      <c r="H4180" s="310"/>
      <c r="I4180" s="295">
        <f>G4180*F4180</f>
        <v>40.5</v>
      </c>
      <c r="J4180" s="295"/>
      <c r="K4180" s="300">
        <f t="shared" si="543"/>
        <v>1.1000000000000001</v>
      </c>
      <c r="L4180" s="300">
        <f t="shared" si="546"/>
        <v>0</v>
      </c>
      <c r="M4180" s="285">
        <f t="shared" si="542"/>
        <v>0</v>
      </c>
      <c r="N4180" s="1076"/>
      <c r="O4180" s="294"/>
      <c r="P4180" s="404"/>
      <c r="Q4180" s="404"/>
    </row>
    <row r="4181" spans="1:17" ht="14.4" thickTop="1" thickBot="1" x14ac:dyDescent="0.3">
      <c r="A4181" s="292"/>
      <c r="B4181" s="294"/>
      <c r="C4181" s="294"/>
      <c r="D4181" s="294"/>
      <c r="E4181" s="294"/>
      <c r="F4181" s="310">
        <v>4.6879999999999997</v>
      </c>
      <c r="G4181" s="310">
        <v>5.6109999999999998</v>
      </c>
      <c r="H4181" s="310"/>
      <c r="I4181" s="295">
        <f t="shared" ref="I4181:I4182" si="548">G4181*F4181</f>
        <v>26.304367999999997</v>
      </c>
      <c r="J4181" s="295"/>
      <c r="K4181" s="300">
        <f t="shared" si="543"/>
        <v>1.1000000000000001</v>
      </c>
      <c r="L4181" s="300">
        <f t="shared" si="546"/>
        <v>0</v>
      </c>
      <c r="M4181" s="285">
        <f t="shared" si="542"/>
        <v>0</v>
      </c>
      <c r="N4181" s="1076"/>
      <c r="O4181" s="294"/>
      <c r="P4181" s="404"/>
      <c r="Q4181" s="404"/>
    </row>
    <row r="4182" spans="1:17" ht="14.4" thickTop="1" thickBot="1" x14ac:dyDescent="0.3">
      <c r="A4182" s="292"/>
      <c r="B4182" s="294"/>
      <c r="C4182" s="294"/>
      <c r="D4182" s="294"/>
      <c r="E4182" s="294"/>
      <c r="F4182" s="310">
        <v>1.425</v>
      </c>
      <c r="G4182" s="310">
        <v>4.5</v>
      </c>
      <c r="H4182" s="310"/>
      <c r="I4182" s="295">
        <f t="shared" si="548"/>
        <v>6.4125000000000005</v>
      </c>
      <c r="J4182" s="295"/>
      <c r="K4182" s="300">
        <f t="shared" si="543"/>
        <v>1.1000000000000001</v>
      </c>
      <c r="L4182" s="300">
        <f t="shared" si="546"/>
        <v>0</v>
      </c>
      <c r="M4182" s="285">
        <f t="shared" si="542"/>
        <v>0</v>
      </c>
      <c r="N4182" s="1076"/>
      <c r="O4182" s="294"/>
      <c r="P4182" s="404"/>
      <c r="Q4182" s="404"/>
    </row>
    <row r="4183" spans="1:17" ht="14.4" thickTop="1" thickBot="1" x14ac:dyDescent="0.3">
      <c r="A4183" s="292"/>
      <c r="B4183" s="294" t="s">
        <v>760</v>
      </c>
      <c r="C4183" s="294"/>
      <c r="D4183" s="294"/>
      <c r="E4183" s="294">
        <v>2</v>
      </c>
      <c r="F4183" s="310">
        <f>F4180</f>
        <v>1.5</v>
      </c>
      <c r="G4183" s="310"/>
      <c r="H4183" s="310">
        <v>0.3</v>
      </c>
      <c r="I4183" s="295">
        <f t="shared" ref="I4183:I4186" si="549">H4183*F4183*E4183</f>
        <v>0.89999999999999991</v>
      </c>
      <c r="J4183" s="295"/>
      <c r="K4183" s="300">
        <f t="shared" si="543"/>
        <v>1.1000000000000001</v>
      </c>
      <c r="L4183" s="300">
        <f t="shared" si="546"/>
        <v>0</v>
      </c>
      <c r="M4183" s="285">
        <f t="shared" si="542"/>
        <v>0</v>
      </c>
      <c r="N4183" s="1076"/>
      <c r="O4183" s="294"/>
      <c r="P4183" s="404"/>
      <c r="Q4183" s="404"/>
    </row>
    <row r="4184" spans="1:17" ht="14.4" thickTop="1" thickBot="1" x14ac:dyDescent="0.3">
      <c r="A4184" s="292"/>
      <c r="B4184" s="294"/>
      <c r="C4184" s="294"/>
      <c r="D4184" s="294"/>
      <c r="E4184" s="294">
        <v>2</v>
      </c>
      <c r="F4184" s="310">
        <f>G4180</f>
        <v>27</v>
      </c>
      <c r="G4184" s="310"/>
      <c r="H4184" s="310">
        <v>0.3</v>
      </c>
      <c r="I4184" s="295">
        <f t="shared" si="549"/>
        <v>16.2</v>
      </c>
      <c r="J4184" s="295"/>
      <c r="K4184" s="300">
        <f t="shared" si="543"/>
        <v>1.1000000000000001</v>
      </c>
      <c r="L4184" s="300">
        <f t="shared" si="546"/>
        <v>0</v>
      </c>
      <c r="M4184" s="285">
        <f t="shared" si="542"/>
        <v>0</v>
      </c>
      <c r="N4184" s="1076"/>
      <c r="O4184" s="294"/>
      <c r="P4184" s="404"/>
      <c r="Q4184" s="404"/>
    </row>
    <row r="4185" spans="1:17" ht="14.4" thickTop="1" thickBot="1" x14ac:dyDescent="0.3">
      <c r="A4185" s="292"/>
      <c r="B4185" s="294"/>
      <c r="C4185" s="294"/>
      <c r="D4185" s="294"/>
      <c r="E4185" s="294">
        <v>2</v>
      </c>
      <c r="F4185" s="310">
        <f>F4181</f>
        <v>4.6879999999999997</v>
      </c>
      <c r="G4185" s="310"/>
      <c r="H4185" s="310">
        <v>0.3</v>
      </c>
      <c r="I4185" s="295">
        <f t="shared" si="549"/>
        <v>2.8127999999999997</v>
      </c>
      <c r="J4185" s="295"/>
      <c r="K4185" s="300">
        <f t="shared" si="543"/>
        <v>1.1000000000000001</v>
      </c>
      <c r="L4185" s="300">
        <f t="shared" si="546"/>
        <v>0</v>
      </c>
      <c r="M4185" s="285">
        <f t="shared" si="542"/>
        <v>0</v>
      </c>
      <c r="N4185" s="1076"/>
      <c r="O4185" s="294"/>
      <c r="P4185" s="404"/>
      <c r="Q4185" s="404"/>
    </row>
    <row r="4186" spans="1:17" ht="14.4" thickTop="1" thickBot="1" x14ac:dyDescent="0.3">
      <c r="A4186" s="292"/>
      <c r="B4186" s="294"/>
      <c r="C4186" s="294"/>
      <c r="D4186" s="294"/>
      <c r="E4186" s="294">
        <v>2</v>
      </c>
      <c r="F4186" s="310">
        <f>F4182</f>
        <v>1.425</v>
      </c>
      <c r="G4186" s="310"/>
      <c r="H4186" s="310">
        <v>0.3</v>
      </c>
      <c r="I4186" s="295">
        <f t="shared" si="549"/>
        <v>0.85499999999999998</v>
      </c>
      <c r="J4186" s="295"/>
      <c r="K4186" s="300">
        <f t="shared" si="543"/>
        <v>1.1000000000000001</v>
      </c>
      <c r="L4186" s="300">
        <f t="shared" si="546"/>
        <v>0</v>
      </c>
      <c r="M4186" s="285">
        <f t="shared" si="542"/>
        <v>0</v>
      </c>
      <c r="N4186" s="1076"/>
      <c r="O4186" s="294"/>
      <c r="P4186" s="404"/>
      <c r="Q4186" s="404"/>
    </row>
    <row r="4187" spans="1:17" ht="14.4" thickTop="1" thickBot="1" x14ac:dyDescent="0.3">
      <c r="A4187" s="292"/>
      <c r="B4187" s="294" t="s">
        <v>732</v>
      </c>
      <c r="C4187" s="294"/>
      <c r="D4187" s="294"/>
      <c r="E4187" s="294">
        <v>2</v>
      </c>
      <c r="F4187" s="310">
        <v>10.5</v>
      </c>
      <c r="G4187" s="310">
        <v>0.9</v>
      </c>
      <c r="H4187" s="310"/>
      <c r="I4187" s="295">
        <f>G4187*F4187*E4187</f>
        <v>18.900000000000002</v>
      </c>
      <c r="J4187" s="295"/>
      <c r="K4187" s="300">
        <f t="shared" si="543"/>
        <v>1.1000000000000001</v>
      </c>
      <c r="L4187" s="300">
        <f t="shared" si="546"/>
        <v>0</v>
      </c>
      <c r="M4187" s="285">
        <f t="shared" si="542"/>
        <v>0</v>
      </c>
      <c r="N4187" s="1076"/>
      <c r="O4187" s="294"/>
      <c r="P4187" s="404"/>
      <c r="Q4187" s="404"/>
    </row>
    <row r="4188" spans="1:17" ht="14.4" thickTop="1" thickBot="1" x14ac:dyDescent="0.3">
      <c r="A4188" s="292"/>
      <c r="B4188" s="294"/>
      <c r="C4188" s="294"/>
      <c r="D4188" s="294"/>
      <c r="E4188" s="294">
        <v>1</v>
      </c>
      <c r="F4188" s="310">
        <f>F4184</f>
        <v>27</v>
      </c>
      <c r="G4188" s="310">
        <v>0.9</v>
      </c>
      <c r="H4188" s="310"/>
      <c r="I4188" s="295">
        <f>G4188*F4188*E4188</f>
        <v>24.3</v>
      </c>
      <c r="J4188" s="295">
        <f>SUM(I4180:I4188)</f>
        <v>137.18466800000002</v>
      </c>
      <c r="K4188" s="300">
        <f t="shared" si="543"/>
        <v>1.1000000000000001</v>
      </c>
      <c r="L4188" s="300">
        <f t="shared" si="546"/>
        <v>150.90313480000003</v>
      </c>
      <c r="M4188" s="285">
        <f t="shared" si="542"/>
        <v>151</v>
      </c>
      <c r="N4188" s="1076"/>
      <c r="O4188" s="294"/>
      <c r="P4188" s="404"/>
      <c r="Q4188" s="404"/>
    </row>
    <row r="4189" spans="1:17" ht="14.4" thickTop="1" thickBot="1" x14ac:dyDescent="0.3">
      <c r="A4189" s="292"/>
      <c r="B4189" s="294"/>
      <c r="C4189" s="294"/>
      <c r="D4189" s="294"/>
      <c r="E4189" s="294"/>
      <c r="F4189" s="310"/>
      <c r="G4189" s="310"/>
      <c r="H4189" s="310"/>
      <c r="I4189" s="295"/>
      <c r="J4189" s="295">
        <f>J4188*10.76</f>
        <v>1476.1070276800001</v>
      </c>
      <c r="K4189" s="300">
        <v>1.05</v>
      </c>
      <c r="L4189" s="300">
        <f t="shared" si="546"/>
        <v>1549.9123790640001</v>
      </c>
      <c r="M4189" s="285">
        <f t="shared" si="542"/>
        <v>1550</v>
      </c>
      <c r="N4189" s="1076"/>
      <c r="O4189" s="294"/>
      <c r="P4189" s="404"/>
      <c r="Q4189" s="404"/>
    </row>
    <row r="4190" spans="1:17" ht="14.4" thickTop="1" thickBot="1" x14ac:dyDescent="0.3">
      <c r="A4190" s="292"/>
      <c r="B4190" s="294"/>
      <c r="C4190" s="294"/>
      <c r="D4190" s="294"/>
      <c r="E4190" s="294"/>
      <c r="F4190" s="310"/>
      <c r="G4190" s="310"/>
      <c r="H4190" s="310"/>
      <c r="I4190" s="295"/>
      <c r="J4190" s="295"/>
      <c r="K4190" s="300">
        <f t="shared" si="543"/>
        <v>1.1000000000000001</v>
      </c>
      <c r="L4190" s="300">
        <f t="shared" si="546"/>
        <v>0</v>
      </c>
      <c r="M4190" s="285">
        <f t="shared" si="542"/>
        <v>0</v>
      </c>
      <c r="N4190" s="1076"/>
      <c r="O4190" s="294"/>
      <c r="P4190" s="404"/>
      <c r="Q4190" s="404"/>
    </row>
    <row r="4191" spans="1:17" ht="14.4" thickTop="1" thickBot="1" x14ac:dyDescent="0.3">
      <c r="A4191" s="292"/>
      <c r="B4191" s="294"/>
      <c r="C4191" s="294"/>
      <c r="D4191" s="294"/>
      <c r="E4191" s="294"/>
      <c r="F4191" s="310"/>
      <c r="G4191" s="310"/>
      <c r="H4191" s="310"/>
      <c r="I4191" s="295"/>
      <c r="J4191" s="295"/>
      <c r="K4191" s="300">
        <f t="shared" si="543"/>
        <v>1.1000000000000001</v>
      </c>
      <c r="L4191" s="300">
        <f t="shared" si="546"/>
        <v>0</v>
      </c>
      <c r="M4191" s="285">
        <f t="shared" si="542"/>
        <v>0</v>
      </c>
      <c r="N4191" s="1076"/>
      <c r="O4191" s="294"/>
      <c r="P4191" s="404"/>
      <c r="Q4191" s="404"/>
    </row>
    <row r="4192" spans="1:17" ht="14.4" thickTop="1" thickBot="1" x14ac:dyDescent="0.3">
      <c r="A4192" s="292"/>
      <c r="B4192" s="294" t="s">
        <v>803</v>
      </c>
      <c r="C4192" s="294"/>
      <c r="D4192" s="294"/>
      <c r="E4192" s="294">
        <v>2</v>
      </c>
      <c r="F4192" s="310">
        <f>F4187</f>
        <v>10.5</v>
      </c>
      <c r="G4192" s="310">
        <v>0.9</v>
      </c>
      <c r="H4192" s="310"/>
      <c r="I4192" s="295">
        <f>G4192*F4192*E4192</f>
        <v>18.900000000000002</v>
      </c>
      <c r="J4192" s="295"/>
      <c r="K4192" s="300">
        <f t="shared" si="543"/>
        <v>1.1000000000000001</v>
      </c>
      <c r="L4192" s="300">
        <f t="shared" si="546"/>
        <v>0</v>
      </c>
      <c r="M4192" s="285">
        <f t="shared" si="542"/>
        <v>0</v>
      </c>
      <c r="N4192" s="1076"/>
      <c r="O4192" s="294"/>
      <c r="P4192" s="404"/>
      <c r="Q4192" s="404"/>
    </row>
    <row r="4193" spans="1:17" ht="14.4" thickTop="1" thickBot="1" x14ac:dyDescent="0.3">
      <c r="A4193" s="292"/>
      <c r="B4193" s="294" t="s">
        <v>732</v>
      </c>
      <c r="C4193" s="294"/>
      <c r="D4193" s="294"/>
      <c r="E4193" s="294">
        <v>2</v>
      </c>
      <c r="F4193" s="310">
        <f>F4188</f>
        <v>27</v>
      </c>
      <c r="G4193" s="310">
        <v>0.9</v>
      </c>
      <c r="H4193" s="310"/>
      <c r="I4193" s="295">
        <f>G4193*F4193*E4193</f>
        <v>48.6</v>
      </c>
      <c r="J4193" s="295">
        <f>SUM(I4192:I4193)</f>
        <v>67.5</v>
      </c>
      <c r="K4193" s="300">
        <f t="shared" si="543"/>
        <v>1.1000000000000001</v>
      </c>
      <c r="L4193" s="300">
        <f t="shared" si="546"/>
        <v>74.25</v>
      </c>
      <c r="M4193" s="285">
        <f t="shared" si="542"/>
        <v>74</v>
      </c>
      <c r="N4193" s="1076"/>
      <c r="O4193" s="294"/>
      <c r="P4193" s="404"/>
      <c r="Q4193" s="404"/>
    </row>
    <row r="4194" spans="1:17" ht="14.4" thickTop="1" thickBot="1" x14ac:dyDescent="0.3">
      <c r="A4194" s="292"/>
      <c r="B4194" s="294"/>
      <c r="C4194" s="294"/>
      <c r="D4194" s="294"/>
      <c r="E4194" s="294"/>
      <c r="F4194" s="310"/>
      <c r="G4194" s="310"/>
      <c r="H4194" s="310"/>
      <c r="I4194" s="295"/>
      <c r="J4194" s="295">
        <f>J4193*10.76</f>
        <v>726.3</v>
      </c>
      <c r="K4194" s="300">
        <v>1.05</v>
      </c>
      <c r="L4194" s="300">
        <f t="shared" si="546"/>
        <v>762.61500000000001</v>
      </c>
      <c r="M4194" s="285">
        <f t="shared" si="542"/>
        <v>763</v>
      </c>
      <c r="N4194" s="1076"/>
      <c r="O4194" s="294"/>
      <c r="P4194" s="404"/>
      <c r="Q4194" s="404"/>
    </row>
    <row r="4195" spans="1:17" ht="14.4" thickTop="1" thickBot="1" x14ac:dyDescent="0.3">
      <c r="A4195" s="292"/>
      <c r="B4195" s="294"/>
      <c r="C4195" s="294"/>
      <c r="D4195" s="294"/>
      <c r="E4195" s="294"/>
      <c r="F4195" s="310"/>
      <c r="G4195" s="310"/>
      <c r="H4195" s="310"/>
      <c r="I4195" s="295"/>
      <c r="J4195" s="295"/>
      <c r="K4195" s="300"/>
      <c r="L4195" s="300"/>
      <c r="M4195" s="285"/>
      <c r="N4195" s="1076"/>
      <c r="O4195" s="294"/>
      <c r="P4195" s="404"/>
      <c r="Q4195" s="404"/>
    </row>
    <row r="4196" spans="1:17" ht="14.4" thickTop="1" thickBot="1" x14ac:dyDescent="0.3">
      <c r="A4196" s="292"/>
      <c r="B4196" s="294"/>
      <c r="C4196" s="294"/>
      <c r="D4196" s="294"/>
      <c r="E4196" s="294"/>
      <c r="F4196" s="310"/>
      <c r="G4196" s="310"/>
      <c r="H4196" s="310"/>
      <c r="I4196" s="295"/>
      <c r="J4196" s="295"/>
      <c r="K4196" s="300">
        <f t="shared" si="543"/>
        <v>1.1000000000000001</v>
      </c>
      <c r="L4196" s="300">
        <f t="shared" si="546"/>
        <v>0</v>
      </c>
      <c r="M4196" s="285">
        <f t="shared" si="542"/>
        <v>0</v>
      </c>
      <c r="N4196" s="1076"/>
      <c r="O4196" s="294"/>
      <c r="P4196" s="404"/>
      <c r="Q4196" s="404"/>
    </row>
    <row r="4197" spans="1:17" ht="14.4" thickTop="1" thickBot="1" x14ac:dyDescent="0.3">
      <c r="A4197" s="292"/>
      <c r="B4197" s="294" t="s">
        <v>806</v>
      </c>
      <c r="C4197" s="294"/>
      <c r="D4197" s="294"/>
      <c r="E4197" s="294">
        <v>2</v>
      </c>
      <c r="F4197" s="310">
        <v>27.3</v>
      </c>
      <c r="G4197" s="310">
        <v>0.8</v>
      </c>
      <c r="H4197" s="310"/>
      <c r="I4197" s="295">
        <f>G4197*F4197*E4197</f>
        <v>43.680000000000007</v>
      </c>
      <c r="J4197" s="295"/>
      <c r="K4197" s="300">
        <f t="shared" si="543"/>
        <v>1.1000000000000001</v>
      </c>
      <c r="L4197" s="300">
        <f t="shared" si="546"/>
        <v>0</v>
      </c>
      <c r="M4197" s="285">
        <f t="shared" si="542"/>
        <v>0</v>
      </c>
      <c r="N4197" s="1076"/>
      <c r="O4197" s="294"/>
      <c r="P4197" s="404"/>
      <c r="Q4197" s="404"/>
    </row>
    <row r="4198" spans="1:17" ht="14.4" thickTop="1" thickBot="1" x14ac:dyDescent="0.3">
      <c r="A4198" s="292"/>
      <c r="B4198" s="294"/>
      <c r="C4198" s="294"/>
      <c r="D4198" s="294"/>
      <c r="E4198" s="294">
        <f>2</f>
        <v>2</v>
      </c>
      <c r="F4198" s="310">
        <v>12.3</v>
      </c>
      <c r="G4198" s="310">
        <f>G4197</f>
        <v>0.8</v>
      </c>
      <c r="H4198" s="310"/>
      <c r="I4198" s="295">
        <f>G4198*F4198*E4198</f>
        <v>19.680000000000003</v>
      </c>
      <c r="J4198" s="295"/>
      <c r="K4198" s="300">
        <f t="shared" si="543"/>
        <v>1.1000000000000001</v>
      </c>
      <c r="L4198" s="300">
        <f t="shared" si="546"/>
        <v>0</v>
      </c>
      <c r="M4198" s="285">
        <f t="shared" si="542"/>
        <v>0</v>
      </c>
      <c r="N4198" s="1076"/>
      <c r="O4198" s="294"/>
      <c r="P4198" s="404"/>
      <c r="Q4198" s="404"/>
    </row>
    <row r="4199" spans="1:17" ht="14.4" thickTop="1" thickBot="1" x14ac:dyDescent="0.3">
      <c r="A4199" s="292"/>
      <c r="B4199" s="294" t="s">
        <v>807</v>
      </c>
      <c r="C4199" s="294"/>
      <c r="D4199" s="294"/>
      <c r="E4199" s="294">
        <v>4</v>
      </c>
      <c r="F4199" s="310">
        <f>F4197</f>
        <v>27.3</v>
      </c>
      <c r="G4199" s="310"/>
      <c r="H4199" s="310">
        <v>1.05</v>
      </c>
      <c r="I4199" s="295">
        <f>H4199*F4199*E4199</f>
        <v>114.66000000000001</v>
      </c>
      <c r="J4199" s="295"/>
      <c r="K4199" s="300">
        <f t="shared" si="543"/>
        <v>1.1000000000000001</v>
      </c>
      <c r="L4199" s="300">
        <f t="shared" si="546"/>
        <v>0</v>
      </c>
      <c r="M4199" s="285">
        <f t="shared" si="542"/>
        <v>0</v>
      </c>
      <c r="N4199" s="1076"/>
      <c r="O4199" s="294"/>
      <c r="P4199" s="404"/>
      <c r="Q4199" s="404"/>
    </row>
    <row r="4200" spans="1:17" ht="14.4" thickTop="1" thickBot="1" x14ac:dyDescent="0.3">
      <c r="A4200" s="292"/>
      <c r="B4200" s="294"/>
      <c r="C4200" s="294"/>
      <c r="D4200" s="294"/>
      <c r="E4200" s="294">
        <v>4</v>
      </c>
      <c r="F4200" s="310">
        <f>F4198</f>
        <v>12.3</v>
      </c>
      <c r="G4200" s="310"/>
      <c r="H4200" s="310">
        <v>1.05</v>
      </c>
      <c r="I4200" s="295">
        <f>H4200*F4200*E4200</f>
        <v>51.660000000000004</v>
      </c>
      <c r="J4200" s="295">
        <f>SUM(I4197:I4200)</f>
        <v>229.68000000000004</v>
      </c>
      <c r="K4200" s="300">
        <f t="shared" si="543"/>
        <v>1.1000000000000001</v>
      </c>
      <c r="L4200" s="300">
        <f t="shared" si="546"/>
        <v>252.64800000000005</v>
      </c>
      <c r="M4200" s="285">
        <f t="shared" si="542"/>
        <v>253</v>
      </c>
      <c r="N4200" s="1076"/>
      <c r="O4200" s="294"/>
      <c r="P4200" s="404"/>
      <c r="Q4200" s="404"/>
    </row>
    <row r="4201" spans="1:17" ht="14.4" thickTop="1" thickBot="1" x14ac:dyDescent="0.3">
      <c r="A4201" s="292"/>
      <c r="B4201" s="294"/>
      <c r="C4201" s="294"/>
      <c r="D4201" s="294"/>
      <c r="E4201" s="294"/>
      <c r="F4201" s="310"/>
      <c r="G4201" s="310"/>
      <c r="H4201" s="310"/>
      <c r="I4201" s="295"/>
      <c r="J4201" s="295">
        <f>J4200*10.76</f>
        <v>2471.3568000000005</v>
      </c>
      <c r="K4201" s="300">
        <v>1.05</v>
      </c>
      <c r="L4201" s="300">
        <f t="shared" si="546"/>
        <v>2594.9246400000006</v>
      </c>
      <c r="M4201" s="285">
        <f t="shared" si="542"/>
        <v>2595</v>
      </c>
      <c r="N4201" s="1076"/>
      <c r="O4201" s="294"/>
      <c r="P4201" s="413">
        <f>L4201-J4201</f>
        <v>123.56784000000016</v>
      </c>
      <c r="Q4201" s="404"/>
    </row>
    <row r="4202" spans="1:17" ht="14.4" thickTop="1" thickBot="1" x14ac:dyDescent="0.3">
      <c r="A4202" s="292"/>
      <c r="B4202" s="294"/>
      <c r="C4202" s="294"/>
      <c r="D4202" s="294"/>
      <c r="E4202" s="294"/>
      <c r="F4202" s="310"/>
      <c r="G4202" s="310"/>
      <c r="H4202" s="310"/>
      <c r="I4202" s="295"/>
      <c r="J4202" s="295"/>
      <c r="K4202" s="300">
        <f t="shared" si="543"/>
        <v>1.1000000000000001</v>
      </c>
      <c r="L4202" s="300">
        <f t="shared" si="546"/>
        <v>0</v>
      </c>
      <c r="M4202" s="285">
        <f t="shared" si="542"/>
        <v>0</v>
      </c>
      <c r="N4202" s="1076"/>
      <c r="O4202" s="294"/>
      <c r="P4202" s="404"/>
      <c r="Q4202" s="404"/>
    </row>
    <row r="4203" spans="1:17" ht="14.4" thickTop="1" thickBot="1" x14ac:dyDescent="0.3">
      <c r="A4203" s="292"/>
      <c r="B4203" s="294"/>
      <c r="C4203" s="294"/>
      <c r="D4203" s="294"/>
      <c r="E4203" s="294"/>
      <c r="F4203" s="310"/>
      <c r="G4203" s="310"/>
      <c r="H4203" s="310"/>
      <c r="I4203" s="295"/>
      <c r="J4203" s="295"/>
      <c r="K4203" s="300"/>
      <c r="L4203" s="300"/>
      <c r="M4203" s="285"/>
      <c r="N4203" s="1076"/>
      <c r="O4203" s="294"/>
      <c r="P4203" s="404"/>
      <c r="Q4203" s="404"/>
    </row>
    <row r="4204" spans="1:17" ht="14.4" thickTop="1" thickBot="1" x14ac:dyDescent="0.3">
      <c r="A4204" s="292"/>
      <c r="B4204" s="294"/>
      <c r="C4204" s="294"/>
      <c r="D4204" s="294"/>
      <c r="E4204" s="294"/>
      <c r="F4204" s="310"/>
      <c r="G4204" s="310"/>
      <c r="H4204" s="310"/>
      <c r="I4204" s="295"/>
      <c r="J4204" s="295"/>
      <c r="K4204" s="300"/>
      <c r="L4204" s="300"/>
      <c r="M4204" s="285"/>
      <c r="N4204" s="1076"/>
      <c r="O4204" s="294"/>
      <c r="P4204" s="404"/>
      <c r="Q4204" s="404"/>
    </row>
    <row r="4205" spans="1:17" ht="14.4" thickTop="1" thickBot="1" x14ac:dyDescent="0.3">
      <c r="A4205" s="292"/>
      <c r="B4205" s="294"/>
      <c r="C4205" s="294"/>
      <c r="D4205" s="294"/>
      <c r="E4205" s="294"/>
      <c r="F4205" s="310"/>
      <c r="G4205" s="310"/>
      <c r="H4205" s="310"/>
      <c r="I4205" s="295"/>
      <c r="J4205" s="295"/>
      <c r="K4205" s="300"/>
      <c r="L4205" s="300"/>
      <c r="M4205" s="285"/>
      <c r="N4205" s="1076"/>
      <c r="O4205" s="294"/>
      <c r="P4205" s="404"/>
      <c r="Q4205" s="404"/>
    </row>
    <row r="4206" spans="1:17" ht="14.4" thickTop="1" thickBot="1" x14ac:dyDescent="0.3">
      <c r="A4206" s="292"/>
      <c r="B4206" s="294"/>
      <c r="C4206" s="294"/>
      <c r="D4206" s="294"/>
      <c r="E4206" s="294"/>
      <c r="F4206" s="310"/>
      <c r="G4206" s="310"/>
      <c r="H4206" s="310"/>
      <c r="I4206" s="295"/>
      <c r="J4206" s="295"/>
      <c r="K4206" s="300"/>
      <c r="L4206" s="300"/>
      <c r="M4206" s="285"/>
      <c r="N4206" s="1076"/>
      <c r="O4206" s="294"/>
      <c r="P4206" s="404"/>
      <c r="Q4206" s="404"/>
    </row>
    <row r="4207" spans="1:17" ht="14.4" thickTop="1" thickBot="1" x14ac:dyDescent="0.3">
      <c r="A4207" s="292"/>
      <c r="B4207" s="302" t="s">
        <v>578</v>
      </c>
      <c r="C4207" s="294"/>
      <c r="D4207" s="294"/>
      <c r="E4207" s="294"/>
      <c r="F4207" s="310"/>
      <c r="G4207" s="310"/>
      <c r="H4207" s="310"/>
      <c r="I4207" s="295"/>
      <c r="J4207" s="295"/>
      <c r="K4207" s="300">
        <f t="shared" si="543"/>
        <v>1.1000000000000001</v>
      </c>
      <c r="L4207" s="300">
        <f t="shared" si="546"/>
        <v>0</v>
      </c>
      <c r="M4207" s="285">
        <f t="shared" si="542"/>
        <v>0</v>
      </c>
      <c r="N4207" s="1076"/>
      <c r="O4207" s="294"/>
      <c r="P4207" s="404"/>
      <c r="Q4207" s="404"/>
    </row>
    <row r="4208" spans="1:17" ht="14.4" thickTop="1" thickBot="1" x14ac:dyDescent="0.3">
      <c r="A4208" s="292"/>
      <c r="B4208" s="296" t="s">
        <v>809</v>
      </c>
      <c r="C4208" s="294"/>
      <c r="D4208" s="294"/>
      <c r="E4208" s="294">
        <v>2</v>
      </c>
      <c r="F4208" s="310">
        <f>F4193</f>
        <v>27</v>
      </c>
      <c r="G4208" s="310"/>
      <c r="H4208" s="310">
        <v>0.45</v>
      </c>
      <c r="I4208" s="295">
        <f>H4208*F4208*E4208</f>
        <v>24.3</v>
      </c>
      <c r="J4208" s="295"/>
      <c r="K4208" s="300">
        <f t="shared" si="543"/>
        <v>1.1000000000000001</v>
      </c>
      <c r="L4208" s="300">
        <f t="shared" si="546"/>
        <v>0</v>
      </c>
      <c r="M4208" s="285">
        <f t="shared" si="542"/>
        <v>0</v>
      </c>
      <c r="N4208" s="1076"/>
      <c r="O4208" s="294"/>
      <c r="P4208" s="404"/>
      <c r="Q4208" s="404"/>
    </row>
    <row r="4209" spans="1:17" ht="14.4" thickTop="1" thickBot="1" x14ac:dyDescent="0.3">
      <c r="A4209" s="292"/>
      <c r="B4209" s="302"/>
      <c r="C4209" s="294"/>
      <c r="D4209" s="294"/>
      <c r="E4209" s="294">
        <v>2</v>
      </c>
      <c r="F4209" s="310">
        <f>F4192</f>
        <v>10.5</v>
      </c>
      <c r="G4209" s="310"/>
      <c r="H4209" s="310">
        <v>0.45</v>
      </c>
      <c r="I4209" s="295">
        <f>H4209*F4209*E4209</f>
        <v>9.4500000000000011</v>
      </c>
      <c r="J4209" s="295">
        <f>SUM(I4208:I4209)</f>
        <v>33.75</v>
      </c>
      <c r="K4209" s="300">
        <v>1.05</v>
      </c>
      <c r="L4209" s="300">
        <f t="shared" si="546"/>
        <v>35.4375</v>
      </c>
      <c r="M4209" s="285">
        <f t="shared" si="542"/>
        <v>35</v>
      </c>
      <c r="N4209" s="1076"/>
      <c r="O4209" s="294"/>
      <c r="P4209" s="404"/>
      <c r="Q4209" s="404"/>
    </row>
    <row r="4210" spans="1:17" ht="14.4" thickTop="1" thickBot="1" x14ac:dyDescent="0.3">
      <c r="A4210" s="292"/>
      <c r="B4210" s="302"/>
      <c r="C4210" s="294"/>
      <c r="D4210" s="294"/>
      <c r="E4210" s="294"/>
      <c r="F4210" s="310"/>
      <c r="G4210" s="310"/>
      <c r="H4210" s="310"/>
      <c r="I4210" s="295"/>
      <c r="J4210" s="295"/>
      <c r="K4210" s="300">
        <f t="shared" ref="K4210:K4273" si="550">$K$2</f>
        <v>1.1000000000000001</v>
      </c>
      <c r="L4210" s="300">
        <f t="shared" si="546"/>
        <v>0</v>
      </c>
      <c r="M4210" s="285">
        <f t="shared" si="542"/>
        <v>0</v>
      </c>
      <c r="N4210" s="1076"/>
      <c r="O4210" s="294"/>
      <c r="P4210" s="404"/>
      <c r="Q4210" s="404"/>
    </row>
    <row r="4211" spans="1:17" ht="14.4" thickTop="1" thickBot="1" x14ac:dyDescent="0.3">
      <c r="A4211" s="292"/>
      <c r="B4211" s="302" t="s">
        <v>808</v>
      </c>
      <c r="C4211" s="294"/>
      <c r="D4211" s="294"/>
      <c r="E4211" s="294"/>
      <c r="F4211" s="310"/>
      <c r="G4211" s="310"/>
      <c r="H4211" s="310"/>
      <c r="I4211" s="295"/>
      <c r="J4211" s="295"/>
      <c r="K4211" s="300">
        <f t="shared" si="550"/>
        <v>1.1000000000000001</v>
      </c>
      <c r="L4211" s="300">
        <f t="shared" si="546"/>
        <v>0</v>
      </c>
      <c r="M4211" s="285">
        <f t="shared" si="542"/>
        <v>0</v>
      </c>
      <c r="N4211" s="1076"/>
      <c r="O4211" s="294"/>
      <c r="P4211" s="404"/>
      <c r="Q4211" s="404"/>
    </row>
    <row r="4212" spans="1:17" ht="14.4" thickTop="1" thickBot="1" x14ac:dyDescent="0.3">
      <c r="A4212" s="292"/>
      <c r="B4212" s="294" t="s">
        <v>799</v>
      </c>
      <c r="C4212" s="294"/>
      <c r="D4212" s="294"/>
      <c r="E4212" s="294">
        <v>2</v>
      </c>
      <c r="F4212" s="310">
        <f>F4188</f>
        <v>27</v>
      </c>
      <c r="G4212" s="310"/>
      <c r="H4212" s="310">
        <f>H3912</f>
        <v>3.6</v>
      </c>
      <c r="I4212" s="295">
        <f>H4212*F4212*E4212</f>
        <v>194.4</v>
      </c>
      <c r="J4212" s="295"/>
      <c r="K4212" s="300">
        <f t="shared" si="550"/>
        <v>1.1000000000000001</v>
      </c>
      <c r="L4212" s="300">
        <f t="shared" si="546"/>
        <v>0</v>
      </c>
      <c r="M4212" s="285">
        <f t="shared" si="542"/>
        <v>0</v>
      </c>
      <c r="N4212" s="1076"/>
      <c r="O4212" s="294"/>
      <c r="P4212" s="404"/>
      <c r="Q4212" s="404"/>
    </row>
    <row r="4213" spans="1:17" ht="14.4" thickTop="1" thickBot="1" x14ac:dyDescent="0.3">
      <c r="A4213" s="292"/>
      <c r="B4213" s="294"/>
      <c r="C4213" s="294"/>
      <c r="D4213" s="294"/>
      <c r="E4213" s="294">
        <v>2</v>
      </c>
      <c r="F4213" s="310">
        <f>F4192</f>
        <v>10.5</v>
      </c>
      <c r="G4213" s="310"/>
      <c r="H4213" s="310">
        <f>H4212</f>
        <v>3.6</v>
      </c>
      <c r="I4213" s="295">
        <f>H4213*F4213*E4213</f>
        <v>75.600000000000009</v>
      </c>
      <c r="J4213" s="295"/>
      <c r="K4213" s="300">
        <f t="shared" si="550"/>
        <v>1.1000000000000001</v>
      </c>
      <c r="L4213" s="300">
        <f t="shared" si="546"/>
        <v>0</v>
      </c>
      <c r="M4213" s="285">
        <f t="shared" si="542"/>
        <v>0</v>
      </c>
      <c r="N4213" s="1076"/>
      <c r="O4213" s="294"/>
      <c r="P4213" s="404"/>
      <c r="Q4213" s="404"/>
    </row>
    <row r="4214" spans="1:17" ht="14.4" thickTop="1" thickBot="1" x14ac:dyDescent="0.3">
      <c r="A4214" s="292"/>
      <c r="B4214" s="294" t="s">
        <v>810</v>
      </c>
      <c r="C4214" s="294"/>
      <c r="D4214" s="294"/>
      <c r="E4214" s="294"/>
      <c r="F4214" s="310"/>
      <c r="G4214" s="310"/>
      <c r="H4214" s="310"/>
      <c r="I4214" s="295"/>
      <c r="J4214" s="295"/>
      <c r="K4214" s="300">
        <f t="shared" si="550"/>
        <v>1.1000000000000001</v>
      </c>
      <c r="L4214" s="300">
        <f t="shared" si="546"/>
        <v>0</v>
      </c>
      <c r="M4214" s="285">
        <f t="shared" si="542"/>
        <v>0</v>
      </c>
      <c r="N4214" s="1076"/>
      <c r="O4214" s="294"/>
      <c r="P4214" s="404"/>
      <c r="Q4214" s="404"/>
    </row>
    <row r="4215" spans="1:17" ht="14.4" thickTop="1" thickBot="1" x14ac:dyDescent="0.3">
      <c r="A4215" s="292"/>
      <c r="B4215" s="294" t="s">
        <v>762</v>
      </c>
      <c r="C4215" s="294"/>
      <c r="D4215" s="294"/>
      <c r="E4215" s="294">
        <v>6</v>
      </c>
      <c r="F4215" s="310">
        <v>2.4</v>
      </c>
      <c r="G4215" s="310"/>
      <c r="H4215" s="310">
        <v>2.1</v>
      </c>
      <c r="I4215" s="295">
        <f>-H4215*F4215*E4215</f>
        <v>-30.240000000000002</v>
      </c>
      <c r="J4215" s="295"/>
      <c r="K4215" s="300">
        <f t="shared" si="550"/>
        <v>1.1000000000000001</v>
      </c>
      <c r="L4215" s="300">
        <f t="shared" si="546"/>
        <v>0</v>
      </c>
      <c r="M4215" s="285">
        <f t="shared" si="542"/>
        <v>0</v>
      </c>
      <c r="N4215" s="1076"/>
      <c r="O4215" s="294"/>
      <c r="P4215" s="404"/>
      <c r="Q4215" s="404"/>
    </row>
    <row r="4216" spans="1:17" ht="14.4" thickTop="1" thickBot="1" x14ac:dyDescent="0.3">
      <c r="A4216" s="292"/>
      <c r="B4216" s="294" t="s">
        <v>763</v>
      </c>
      <c r="C4216" s="294"/>
      <c r="D4216" s="294"/>
      <c r="E4216" s="294">
        <v>5</v>
      </c>
      <c r="F4216" s="310">
        <v>0.9</v>
      </c>
      <c r="G4216" s="310"/>
      <c r="H4216" s="310">
        <v>2.7</v>
      </c>
      <c r="I4216" s="295">
        <f t="shared" ref="I4216:I4222" si="551">-H4216*F4216*E4216</f>
        <v>-12.15</v>
      </c>
      <c r="J4216" s="295"/>
      <c r="K4216" s="300">
        <f t="shared" si="550"/>
        <v>1.1000000000000001</v>
      </c>
      <c r="L4216" s="300">
        <f t="shared" si="546"/>
        <v>0</v>
      </c>
      <c r="M4216" s="285">
        <f t="shared" si="542"/>
        <v>0</v>
      </c>
      <c r="N4216" s="1076"/>
      <c r="O4216" s="294"/>
      <c r="P4216" s="404"/>
      <c r="Q4216" s="404"/>
    </row>
    <row r="4217" spans="1:17" ht="14.4" thickTop="1" thickBot="1" x14ac:dyDescent="0.3">
      <c r="A4217" s="292"/>
      <c r="B4217" s="294" t="s">
        <v>764</v>
      </c>
      <c r="C4217" s="294"/>
      <c r="D4217" s="294"/>
      <c r="E4217" s="294">
        <v>2</v>
      </c>
      <c r="F4217" s="310">
        <v>1.125</v>
      </c>
      <c r="G4217" s="310"/>
      <c r="H4217" s="310">
        <v>3</v>
      </c>
      <c r="I4217" s="295">
        <f t="shared" si="551"/>
        <v>-6.75</v>
      </c>
      <c r="J4217" s="295"/>
      <c r="K4217" s="300">
        <f t="shared" si="550"/>
        <v>1.1000000000000001</v>
      </c>
      <c r="L4217" s="300">
        <f t="shared" si="546"/>
        <v>0</v>
      </c>
      <c r="M4217" s="285">
        <f t="shared" si="542"/>
        <v>0</v>
      </c>
      <c r="N4217" s="1076"/>
      <c r="O4217" s="294"/>
      <c r="P4217" s="404"/>
      <c r="Q4217" s="404"/>
    </row>
    <row r="4218" spans="1:17" ht="14.4" thickTop="1" thickBot="1" x14ac:dyDescent="0.3">
      <c r="A4218" s="292"/>
      <c r="B4218" s="294" t="s">
        <v>765</v>
      </c>
      <c r="C4218" s="294"/>
      <c r="D4218" s="294"/>
      <c r="E4218" s="294">
        <v>1</v>
      </c>
      <c r="F4218" s="310">
        <v>1.8</v>
      </c>
      <c r="G4218" s="310"/>
      <c r="H4218" s="310">
        <v>2.7</v>
      </c>
      <c r="I4218" s="295">
        <f t="shared" si="551"/>
        <v>-4.8600000000000003</v>
      </c>
      <c r="J4218" s="295"/>
      <c r="K4218" s="300">
        <f t="shared" si="550"/>
        <v>1.1000000000000001</v>
      </c>
      <c r="L4218" s="300">
        <f t="shared" si="546"/>
        <v>0</v>
      </c>
      <c r="M4218" s="285">
        <f t="shared" si="542"/>
        <v>0</v>
      </c>
      <c r="N4218" s="1076"/>
      <c r="O4218" s="294"/>
      <c r="P4218" s="404"/>
      <c r="Q4218" s="404"/>
    </row>
    <row r="4219" spans="1:17" ht="14.4" thickTop="1" thickBot="1" x14ac:dyDescent="0.3">
      <c r="A4219" s="292"/>
      <c r="B4219" s="294" t="s">
        <v>811</v>
      </c>
      <c r="C4219" s="294"/>
      <c r="D4219" s="294"/>
      <c r="E4219" s="294">
        <v>1</v>
      </c>
      <c r="F4219" s="310">
        <v>4.8</v>
      </c>
      <c r="G4219" s="310"/>
      <c r="H4219" s="310">
        <v>3</v>
      </c>
      <c r="I4219" s="295">
        <f t="shared" si="551"/>
        <v>-14.399999999999999</v>
      </c>
      <c r="J4219" s="295"/>
      <c r="K4219" s="300">
        <f t="shared" si="550"/>
        <v>1.1000000000000001</v>
      </c>
      <c r="L4219" s="300">
        <f t="shared" si="546"/>
        <v>0</v>
      </c>
      <c r="M4219" s="285">
        <f t="shared" si="542"/>
        <v>0</v>
      </c>
      <c r="N4219" s="1076"/>
      <c r="O4219" s="294"/>
      <c r="P4219" s="404"/>
      <c r="Q4219" s="404"/>
    </row>
    <row r="4220" spans="1:17" ht="14.4" thickTop="1" thickBot="1" x14ac:dyDescent="0.3">
      <c r="A4220" s="292"/>
      <c r="B4220" s="294" t="s">
        <v>766</v>
      </c>
      <c r="C4220" s="294"/>
      <c r="D4220" s="294"/>
      <c r="E4220" s="294">
        <v>4</v>
      </c>
      <c r="F4220" s="310">
        <v>2.4</v>
      </c>
      <c r="G4220" s="310"/>
      <c r="H4220" s="310">
        <v>1.625</v>
      </c>
      <c r="I4220" s="295">
        <f t="shared" si="551"/>
        <v>-15.6</v>
      </c>
      <c r="J4220" s="295"/>
      <c r="K4220" s="300">
        <f t="shared" si="550"/>
        <v>1.1000000000000001</v>
      </c>
      <c r="L4220" s="300">
        <f t="shared" si="546"/>
        <v>0</v>
      </c>
      <c r="M4220" s="285">
        <f t="shared" si="542"/>
        <v>0</v>
      </c>
      <c r="N4220" s="1076"/>
      <c r="O4220" s="294"/>
      <c r="P4220" s="404"/>
      <c r="Q4220" s="404"/>
    </row>
    <row r="4221" spans="1:17" ht="14.4" thickTop="1" thickBot="1" x14ac:dyDescent="0.3">
      <c r="A4221" s="292"/>
      <c r="B4221" s="294" t="s">
        <v>768</v>
      </c>
      <c r="C4221" s="294"/>
      <c r="D4221" s="294"/>
      <c r="E4221" s="294">
        <v>1</v>
      </c>
      <c r="F4221" s="310">
        <v>2.2749999999999999</v>
      </c>
      <c r="G4221" s="310"/>
      <c r="H4221" s="310">
        <v>3</v>
      </c>
      <c r="I4221" s="295">
        <f t="shared" si="551"/>
        <v>-6.8249999999999993</v>
      </c>
      <c r="J4221" s="295"/>
      <c r="K4221" s="300">
        <f t="shared" si="550"/>
        <v>1.1000000000000001</v>
      </c>
      <c r="L4221" s="300">
        <f t="shared" si="546"/>
        <v>0</v>
      </c>
      <c r="M4221" s="285">
        <f t="shared" si="542"/>
        <v>0</v>
      </c>
      <c r="N4221" s="1076"/>
      <c r="O4221" s="294"/>
      <c r="P4221" s="404"/>
      <c r="Q4221" s="404"/>
    </row>
    <row r="4222" spans="1:17" ht="14.4" thickTop="1" thickBot="1" x14ac:dyDescent="0.3">
      <c r="A4222" s="292"/>
      <c r="B4222" s="294" t="s">
        <v>769</v>
      </c>
      <c r="C4222" s="294"/>
      <c r="D4222" s="294"/>
      <c r="E4222" s="294">
        <v>2</v>
      </c>
      <c r="F4222" s="310">
        <v>2.2000000000000002</v>
      </c>
      <c r="G4222" s="310"/>
      <c r="H4222" s="310">
        <v>0.6</v>
      </c>
      <c r="I4222" s="295">
        <f t="shared" si="551"/>
        <v>-2.64</v>
      </c>
      <c r="J4222" s="295">
        <f>SUM(I4212:I4222)</f>
        <v>176.535</v>
      </c>
      <c r="K4222" s="300">
        <f t="shared" si="550"/>
        <v>1.1000000000000001</v>
      </c>
      <c r="L4222" s="300">
        <f t="shared" si="546"/>
        <v>194.1885</v>
      </c>
      <c r="M4222" s="285">
        <f t="shared" si="542"/>
        <v>194</v>
      </c>
      <c r="N4222" s="1076"/>
      <c r="O4222" s="294"/>
      <c r="P4222" s="404">
        <f>3.28*3.28</f>
        <v>10.758399999999998</v>
      </c>
      <c r="Q4222" s="404">
        <f>100/P4222</f>
        <v>9.295062462819752</v>
      </c>
    </row>
    <row r="4223" spans="1:17" ht="14.4" thickTop="1" thickBot="1" x14ac:dyDescent="0.3">
      <c r="A4223" s="292"/>
      <c r="B4223" s="294"/>
      <c r="C4223" s="294"/>
      <c r="D4223" s="294"/>
      <c r="E4223" s="294"/>
      <c r="F4223" s="310"/>
      <c r="G4223" s="310"/>
      <c r="H4223" s="310"/>
      <c r="I4223" s="295"/>
      <c r="J4223" s="295">
        <f>J4222/9.29</f>
        <v>19.002691065662003</v>
      </c>
      <c r="K4223" s="300">
        <v>1.05</v>
      </c>
      <c r="L4223" s="300">
        <f t="shared" si="546"/>
        <v>19.952825618945102</v>
      </c>
      <c r="M4223" s="285">
        <f t="shared" si="542"/>
        <v>20</v>
      </c>
      <c r="N4223" s="1076"/>
      <c r="O4223" s="294"/>
      <c r="P4223" s="404"/>
      <c r="Q4223" s="404"/>
    </row>
    <row r="4224" spans="1:17" ht="14.4" thickTop="1" thickBot="1" x14ac:dyDescent="0.3">
      <c r="A4224" s="292"/>
      <c r="B4224" s="294" t="s">
        <v>840</v>
      </c>
      <c r="C4224" s="294"/>
      <c r="D4224" s="294"/>
      <c r="E4224" s="294"/>
      <c r="F4224" s="310"/>
      <c r="G4224" s="310"/>
      <c r="H4224" s="310"/>
      <c r="I4224" s="295"/>
      <c r="J4224" s="295"/>
      <c r="K4224" s="300">
        <f t="shared" si="550"/>
        <v>1.1000000000000001</v>
      </c>
      <c r="L4224" s="300">
        <f t="shared" si="546"/>
        <v>0</v>
      </c>
      <c r="M4224" s="285">
        <f t="shared" si="542"/>
        <v>0</v>
      </c>
      <c r="N4224" s="1076"/>
      <c r="O4224" s="294"/>
      <c r="P4224" s="404"/>
      <c r="Q4224" s="404"/>
    </row>
    <row r="4225" spans="1:17" ht="14.4" thickTop="1" thickBot="1" x14ac:dyDescent="0.3">
      <c r="A4225" s="292"/>
      <c r="B4225" s="294" t="s">
        <v>762</v>
      </c>
      <c r="C4225" s="294"/>
      <c r="D4225" s="294"/>
      <c r="E4225" s="294">
        <f>E4215</f>
        <v>6</v>
      </c>
      <c r="F4225" s="310">
        <f>(F4215+H4215+F4215+H4215)</f>
        <v>9</v>
      </c>
      <c r="G4225" s="310"/>
      <c r="H4225" s="310"/>
      <c r="I4225" s="295">
        <f>F4225*E4225</f>
        <v>54</v>
      </c>
      <c r="J4225" s="295"/>
      <c r="K4225" s="300">
        <f t="shared" si="550"/>
        <v>1.1000000000000001</v>
      </c>
      <c r="L4225" s="300">
        <f t="shared" si="546"/>
        <v>0</v>
      </c>
      <c r="M4225" s="285">
        <f t="shared" si="542"/>
        <v>0</v>
      </c>
      <c r="N4225" s="1076"/>
      <c r="O4225" s="294"/>
      <c r="P4225" s="404"/>
      <c r="Q4225" s="404"/>
    </row>
    <row r="4226" spans="1:17" ht="14.4" thickTop="1" thickBot="1" x14ac:dyDescent="0.3">
      <c r="A4226" s="292"/>
      <c r="B4226" s="294" t="s">
        <v>763</v>
      </c>
      <c r="C4226" s="294"/>
      <c r="D4226" s="294"/>
      <c r="E4226" s="294">
        <f>E4216</f>
        <v>5</v>
      </c>
      <c r="F4226" s="310">
        <f>F4216+H4216+H4216</f>
        <v>6.3000000000000007</v>
      </c>
      <c r="G4226" s="310"/>
      <c r="H4226" s="310"/>
      <c r="I4226" s="295">
        <f t="shared" ref="I4226:I4232" si="552">F4226*E4226</f>
        <v>31.500000000000004</v>
      </c>
      <c r="J4226" s="295"/>
      <c r="K4226" s="300">
        <f t="shared" si="550"/>
        <v>1.1000000000000001</v>
      </c>
      <c r="L4226" s="300">
        <f t="shared" si="546"/>
        <v>0</v>
      </c>
      <c r="M4226" s="285">
        <f t="shared" si="542"/>
        <v>0</v>
      </c>
      <c r="N4226" s="1076"/>
      <c r="O4226" s="294"/>
      <c r="P4226" s="404"/>
      <c r="Q4226" s="404"/>
    </row>
    <row r="4227" spans="1:17" ht="14.4" thickTop="1" thickBot="1" x14ac:dyDescent="0.3">
      <c r="A4227" s="292"/>
      <c r="B4227" s="294" t="s">
        <v>764</v>
      </c>
      <c r="C4227" s="294"/>
      <c r="D4227" s="294"/>
      <c r="E4227" s="294">
        <f>E4217</f>
        <v>2</v>
      </c>
      <c r="F4227" s="310">
        <f>F4217+F4217+H4217+H4217</f>
        <v>8.25</v>
      </c>
      <c r="G4227" s="310"/>
      <c r="H4227" s="310"/>
      <c r="I4227" s="295">
        <f t="shared" si="552"/>
        <v>16.5</v>
      </c>
      <c r="J4227" s="295"/>
      <c r="K4227" s="300">
        <f t="shared" si="550"/>
        <v>1.1000000000000001</v>
      </c>
      <c r="L4227" s="300">
        <f t="shared" si="546"/>
        <v>0</v>
      </c>
      <c r="M4227" s="285">
        <f t="shared" si="542"/>
        <v>0</v>
      </c>
      <c r="N4227" s="1076"/>
      <c r="O4227" s="294"/>
      <c r="P4227" s="404"/>
      <c r="Q4227" s="404"/>
    </row>
    <row r="4228" spans="1:17" ht="14.4" thickTop="1" thickBot="1" x14ac:dyDescent="0.3">
      <c r="A4228" s="292"/>
      <c r="B4228" s="294" t="s">
        <v>765</v>
      </c>
      <c r="C4228" s="294"/>
      <c r="D4228" s="294"/>
      <c r="E4228" s="294">
        <v>1</v>
      </c>
      <c r="F4228" s="310">
        <f>F4218+H4218+H4218</f>
        <v>7.2</v>
      </c>
      <c r="G4228" s="310"/>
      <c r="H4228" s="310"/>
      <c r="I4228" s="295">
        <f t="shared" si="552"/>
        <v>7.2</v>
      </c>
      <c r="J4228" s="295"/>
      <c r="K4228" s="300">
        <f t="shared" si="550"/>
        <v>1.1000000000000001</v>
      </c>
      <c r="L4228" s="300">
        <f t="shared" si="546"/>
        <v>0</v>
      </c>
      <c r="M4228" s="285">
        <f t="shared" si="542"/>
        <v>0</v>
      </c>
      <c r="N4228" s="1076"/>
      <c r="O4228" s="294"/>
      <c r="P4228" s="404"/>
      <c r="Q4228" s="404"/>
    </row>
    <row r="4229" spans="1:17" ht="14.4" thickTop="1" thickBot="1" x14ac:dyDescent="0.3">
      <c r="A4229" s="292"/>
      <c r="B4229" s="294" t="s">
        <v>811</v>
      </c>
      <c r="C4229" s="294"/>
      <c r="D4229" s="294"/>
      <c r="E4229" s="294">
        <v>1</v>
      </c>
      <c r="F4229" s="310">
        <f>F4219+H4219+H4219</f>
        <v>10.8</v>
      </c>
      <c r="G4229" s="310"/>
      <c r="H4229" s="310"/>
      <c r="I4229" s="295">
        <f t="shared" si="552"/>
        <v>10.8</v>
      </c>
      <c r="J4229" s="295"/>
      <c r="K4229" s="300">
        <f t="shared" si="550"/>
        <v>1.1000000000000001</v>
      </c>
      <c r="L4229" s="300">
        <f t="shared" si="546"/>
        <v>0</v>
      </c>
      <c r="M4229" s="285">
        <f t="shared" si="542"/>
        <v>0</v>
      </c>
      <c r="N4229" s="1076"/>
      <c r="O4229" s="294"/>
      <c r="P4229" s="404"/>
      <c r="Q4229" s="404"/>
    </row>
    <row r="4230" spans="1:17" ht="14.4" thickTop="1" thickBot="1" x14ac:dyDescent="0.3">
      <c r="A4230" s="292"/>
      <c r="B4230" s="294" t="s">
        <v>766</v>
      </c>
      <c r="C4230" s="294"/>
      <c r="D4230" s="294"/>
      <c r="E4230" s="294">
        <v>4</v>
      </c>
      <c r="F4230" s="310">
        <f>F4220+F4220+H4220+H4220</f>
        <v>8.0500000000000007</v>
      </c>
      <c r="G4230" s="310"/>
      <c r="H4230" s="310"/>
      <c r="I4230" s="295">
        <f t="shared" si="552"/>
        <v>32.200000000000003</v>
      </c>
      <c r="J4230" s="295"/>
      <c r="K4230" s="300">
        <f t="shared" si="550"/>
        <v>1.1000000000000001</v>
      </c>
      <c r="L4230" s="300">
        <f t="shared" si="546"/>
        <v>0</v>
      </c>
      <c r="M4230" s="285">
        <f t="shared" si="542"/>
        <v>0</v>
      </c>
      <c r="N4230" s="1076"/>
      <c r="O4230" s="294"/>
      <c r="P4230" s="404"/>
      <c r="Q4230" s="404"/>
    </row>
    <row r="4231" spans="1:17" ht="14.4" thickTop="1" thickBot="1" x14ac:dyDescent="0.3">
      <c r="A4231" s="292"/>
      <c r="B4231" s="294" t="s">
        <v>768</v>
      </c>
      <c r="C4231" s="294"/>
      <c r="D4231" s="294"/>
      <c r="E4231" s="294">
        <v>1</v>
      </c>
      <c r="F4231" s="310">
        <f>F4221+F4221+H4221+H4221</f>
        <v>10.55</v>
      </c>
      <c r="G4231" s="310"/>
      <c r="H4231" s="310"/>
      <c r="I4231" s="295">
        <f t="shared" si="552"/>
        <v>10.55</v>
      </c>
      <c r="J4231" s="295"/>
      <c r="K4231" s="300">
        <f t="shared" si="550"/>
        <v>1.1000000000000001</v>
      </c>
      <c r="L4231" s="300">
        <f t="shared" si="546"/>
        <v>0</v>
      </c>
      <c r="M4231" s="285">
        <f t="shared" si="542"/>
        <v>0</v>
      </c>
      <c r="N4231" s="1076"/>
      <c r="O4231" s="294"/>
      <c r="P4231" s="404"/>
      <c r="Q4231" s="404"/>
    </row>
    <row r="4232" spans="1:17" ht="14.4" thickTop="1" thickBot="1" x14ac:dyDescent="0.3">
      <c r="A4232" s="292"/>
      <c r="B4232" s="294" t="s">
        <v>769</v>
      </c>
      <c r="C4232" s="294"/>
      <c r="D4232" s="294"/>
      <c r="E4232" s="294">
        <v>2</v>
      </c>
      <c r="F4232" s="310">
        <f>F4222+F4222+H4222+H4222</f>
        <v>5.6</v>
      </c>
      <c r="G4232" s="310"/>
      <c r="H4232" s="310"/>
      <c r="I4232" s="295">
        <f t="shared" si="552"/>
        <v>11.2</v>
      </c>
      <c r="J4232" s="295">
        <f>SUM(I4225:I4232)</f>
        <v>173.95</v>
      </c>
      <c r="K4232" s="300">
        <f t="shared" si="550"/>
        <v>1.1000000000000001</v>
      </c>
      <c r="L4232" s="300">
        <f t="shared" si="546"/>
        <v>191.345</v>
      </c>
      <c r="M4232" s="285">
        <f t="shared" si="542"/>
        <v>191</v>
      </c>
      <c r="N4232" s="1076"/>
      <c r="O4232" s="294"/>
      <c r="P4232" s="404"/>
      <c r="Q4232" s="404"/>
    </row>
    <row r="4233" spans="1:17" ht="14.4" thickTop="1" thickBot="1" x14ac:dyDescent="0.3">
      <c r="A4233" s="292"/>
      <c r="B4233" s="294"/>
      <c r="C4233" s="294"/>
      <c r="D4233" s="294"/>
      <c r="E4233" s="294"/>
      <c r="F4233" s="310"/>
      <c r="G4233" s="310"/>
      <c r="H4233" s="310"/>
      <c r="I4233" s="295"/>
      <c r="J4233" s="295">
        <f>J4232*3.28</f>
        <v>570.55599999999993</v>
      </c>
      <c r="K4233" s="300">
        <v>1.05</v>
      </c>
      <c r="L4233" s="300">
        <f t="shared" si="546"/>
        <v>599.0838</v>
      </c>
      <c r="M4233" s="285">
        <f t="shared" si="542"/>
        <v>599</v>
      </c>
      <c r="N4233" s="1076"/>
      <c r="O4233" s="294"/>
      <c r="P4233" s="404"/>
      <c r="Q4233" s="404"/>
    </row>
    <row r="4234" spans="1:17" ht="14.4" thickTop="1" thickBot="1" x14ac:dyDescent="0.3">
      <c r="A4234" s="292"/>
      <c r="B4234" s="294"/>
      <c r="C4234" s="294"/>
      <c r="D4234" s="294"/>
      <c r="E4234" s="294"/>
      <c r="F4234" s="310"/>
      <c r="G4234" s="310"/>
      <c r="H4234" s="310"/>
      <c r="I4234" s="295"/>
      <c r="J4234" s="295"/>
      <c r="K4234" s="300">
        <f t="shared" si="550"/>
        <v>1.1000000000000001</v>
      </c>
      <c r="L4234" s="300">
        <f t="shared" si="546"/>
        <v>0</v>
      </c>
      <c r="M4234" s="285">
        <f t="shared" si="542"/>
        <v>0</v>
      </c>
      <c r="N4234" s="1076"/>
      <c r="O4234" s="294"/>
      <c r="P4234" s="404"/>
      <c r="Q4234" s="404"/>
    </row>
    <row r="4235" spans="1:17" ht="14.4" thickTop="1" thickBot="1" x14ac:dyDescent="0.3">
      <c r="A4235" s="292"/>
      <c r="B4235" s="294" t="s">
        <v>802</v>
      </c>
      <c r="C4235" s="294"/>
      <c r="D4235" s="294"/>
      <c r="E4235" s="294">
        <f>E4212</f>
        <v>2</v>
      </c>
      <c r="F4235" s="310">
        <f>F4212</f>
        <v>27</v>
      </c>
      <c r="G4235" s="310"/>
      <c r="H4235" s="310">
        <f>H4212</f>
        <v>3.6</v>
      </c>
      <c r="I4235" s="295">
        <f>H4235*F4235*E4235</f>
        <v>194.4</v>
      </c>
      <c r="J4235" s="295"/>
      <c r="K4235" s="300">
        <f t="shared" si="550"/>
        <v>1.1000000000000001</v>
      </c>
      <c r="L4235" s="300">
        <f t="shared" si="546"/>
        <v>0</v>
      </c>
      <c r="M4235" s="285">
        <f t="shared" si="542"/>
        <v>0</v>
      </c>
      <c r="N4235" s="1076"/>
      <c r="O4235" s="294"/>
      <c r="P4235" s="404"/>
      <c r="Q4235" s="404"/>
    </row>
    <row r="4236" spans="1:17" ht="14.4" thickTop="1" thickBot="1" x14ac:dyDescent="0.3">
      <c r="A4236" s="292"/>
      <c r="B4236" s="294"/>
      <c r="C4236" s="294"/>
      <c r="D4236" s="294"/>
      <c r="E4236" s="294">
        <f>E4213</f>
        <v>2</v>
      </c>
      <c r="F4236" s="310">
        <f>F4213</f>
        <v>10.5</v>
      </c>
      <c r="G4236" s="310"/>
      <c r="H4236" s="310">
        <f>H4213</f>
        <v>3.6</v>
      </c>
      <c r="I4236" s="295">
        <f>H4236*F4236*E4236</f>
        <v>75.600000000000009</v>
      </c>
      <c r="J4236" s="295"/>
      <c r="K4236" s="300">
        <f t="shared" si="550"/>
        <v>1.1000000000000001</v>
      </c>
      <c r="L4236" s="300">
        <f t="shared" si="546"/>
        <v>0</v>
      </c>
      <c r="M4236" s="285">
        <f t="shared" si="542"/>
        <v>0</v>
      </c>
      <c r="N4236" s="1076"/>
      <c r="O4236" s="294"/>
      <c r="P4236" s="404"/>
      <c r="Q4236" s="404"/>
    </row>
    <row r="4237" spans="1:17" ht="14.4" thickTop="1" thickBot="1" x14ac:dyDescent="0.3">
      <c r="A4237" s="292"/>
      <c r="B4237" s="294"/>
      <c r="C4237" s="294"/>
      <c r="D4237" s="294"/>
      <c r="E4237" s="294">
        <v>2</v>
      </c>
      <c r="F4237" s="310">
        <v>1.425</v>
      </c>
      <c r="G4237" s="310"/>
      <c r="H4237" s="310">
        <f>H4236</f>
        <v>3.6</v>
      </c>
      <c r="I4237" s="295">
        <f>H4237*F4237*E4237</f>
        <v>10.26</v>
      </c>
      <c r="J4237" s="295"/>
      <c r="K4237" s="300">
        <f t="shared" si="550"/>
        <v>1.1000000000000001</v>
      </c>
      <c r="L4237" s="300">
        <f t="shared" ref="L4237:L4300" si="553">K4237*J4237</f>
        <v>0</v>
      </c>
      <c r="M4237" s="285">
        <f t="shared" si="542"/>
        <v>0</v>
      </c>
      <c r="N4237" s="1076"/>
      <c r="O4237" s="294"/>
      <c r="P4237" s="404"/>
      <c r="Q4237" s="404"/>
    </row>
    <row r="4238" spans="1:17" ht="14.4" thickTop="1" thickBot="1" x14ac:dyDescent="0.3">
      <c r="A4238" s="292"/>
      <c r="B4238" s="294" t="s">
        <v>760</v>
      </c>
      <c r="C4238" s="294"/>
      <c r="D4238" s="294"/>
      <c r="E4238" s="294">
        <f>E4235</f>
        <v>2</v>
      </c>
      <c r="F4238" s="310">
        <f>F4235</f>
        <v>27</v>
      </c>
      <c r="G4238" s="310"/>
      <c r="H4238" s="310">
        <v>1</v>
      </c>
      <c r="I4238" s="295">
        <f t="shared" ref="I4238:I4239" si="554">H4238*F4238*E4238</f>
        <v>54</v>
      </c>
      <c r="J4238" s="295"/>
      <c r="K4238" s="300">
        <f t="shared" si="550"/>
        <v>1.1000000000000001</v>
      </c>
      <c r="L4238" s="300">
        <f t="shared" si="553"/>
        <v>0</v>
      </c>
      <c r="M4238" s="285">
        <f t="shared" si="542"/>
        <v>0</v>
      </c>
      <c r="N4238" s="1076"/>
      <c r="O4238" s="294"/>
      <c r="P4238" s="404"/>
      <c r="Q4238" s="404"/>
    </row>
    <row r="4239" spans="1:17" ht="14.4" thickTop="1" thickBot="1" x14ac:dyDescent="0.3">
      <c r="A4239" s="292"/>
      <c r="B4239" s="294"/>
      <c r="C4239" s="294"/>
      <c r="D4239" s="294"/>
      <c r="E4239" s="294">
        <v>4</v>
      </c>
      <c r="F4239" s="310">
        <v>4.6879999999999997</v>
      </c>
      <c r="G4239" s="310"/>
      <c r="H4239" s="310">
        <v>1</v>
      </c>
      <c r="I4239" s="295">
        <f t="shared" si="554"/>
        <v>18.751999999999999</v>
      </c>
      <c r="J4239" s="295"/>
      <c r="K4239" s="300">
        <f t="shared" si="550"/>
        <v>1.1000000000000001</v>
      </c>
      <c r="L4239" s="300">
        <f t="shared" si="553"/>
        <v>0</v>
      </c>
      <c r="M4239" s="285">
        <f t="shared" si="542"/>
        <v>0</v>
      </c>
      <c r="N4239" s="1076"/>
      <c r="O4239" s="294"/>
      <c r="P4239" s="404"/>
      <c r="Q4239" s="404"/>
    </row>
    <row r="4240" spans="1:17" ht="14.4" thickTop="1" thickBot="1" x14ac:dyDescent="0.3">
      <c r="A4240" s="292"/>
      <c r="B4240" s="294" t="s">
        <v>771</v>
      </c>
      <c r="C4240" s="294"/>
      <c r="D4240" s="294"/>
      <c r="E4240" s="294"/>
      <c r="F4240" s="310"/>
      <c r="G4240" s="310"/>
      <c r="H4240" s="310"/>
      <c r="I4240" s="295"/>
      <c r="J4240" s="295"/>
      <c r="K4240" s="300">
        <f t="shared" si="550"/>
        <v>1.1000000000000001</v>
      </c>
      <c r="L4240" s="300">
        <f t="shared" si="553"/>
        <v>0</v>
      </c>
      <c r="M4240" s="285">
        <f t="shared" si="542"/>
        <v>0</v>
      </c>
      <c r="N4240" s="1076"/>
      <c r="O4240" s="294"/>
      <c r="P4240" s="404"/>
      <c r="Q4240" s="404"/>
    </row>
    <row r="4241" spans="1:18" ht="14.4" thickTop="1" thickBot="1" x14ac:dyDescent="0.3">
      <c r="A4241" s="292"/>
      <c r="B4241" s="294" t="s">
        <v>770</v>
      </c>
      <c r="C4241" s="294"/>
      <c r="D4241" s="294"/>
      <c r="E4241" s="294">
        <v>2</v>
      </c>
      <c r="F4241" s="310">
        <v>0.9</v>
      </c>
      <c r="G4241" s="310"/>
      <c r="H4241" s="310">
        <v>2.7</v>
      </c>
      <c r="I4241" s="295">
        <f>-H4241*F4241*E4241</f>
        <v>-4.8600000000000003</v>
      </c>
      <c r="J4241" s="295"/>
      <c r="K4241" s="300">
        <f t="shared" si="550"/>
        <v>1.1000000000000001</v>
      </c>
      <c r="L4241" s="300">
        <f t="shared" si="553"/>
        <v>0</v>
      </c>
      <c r="M4241" s="285"/>
      <c r="N4241" s="1076"/>
      <c r="O4241" s="294"/>
      <c r="P4241" s="404"/>
      <c r="Q4241" s="404"/>
    </row>
    <row r="4242" spans="1:18" ht="14.4" thickTop="1" thickBot="1" x14ac:dyDescent="0.3">
      <c r="A4242" s="292"/>
      <c r="B4242" s="294" t="s">
        <v>766</v>
      </c>
      <c r="C4242" s="294"/>
      <c r="D4242" s="294"/>
      <c r="E4242" s="294">
        <v>8</v>
      </c>
      <c r="F4242" s="310">
        <v>2.4</v>
      </c>
      <c r="G4242" s="310"/>
      <c r="H4242" s="310">
        <v>1.625</v>
      </c>
      <c r="I4242" s="295">
        <f t="shared" ref="I4242" si="555">-H4242*F4242*E4242</f>
        <v>-31.2</v>
      </c>
      <c r="J4242" s="295"/>
      <c r="K4242" s="300">
        <f t="shared" si="550"/>
        <v>1.1000000000000001</v>
      </c>
      <c r="L4242" s="300">
        <f t="shared" si="553"/>
        <v>0</v>
      </c>
      <c r="M4242" s="285">
        <f t="shared" si="542"/>
        <v>0</v>
      </c>
      <c r="N4242" s="1076"/>
      <c r="O4242" s="294"/>
      <c r="P4242" s="404"/>
      <c r="Q4242" s="404"/>
    </row>
    <row r="4243" spans="1:18" ht="14.4" thickTop="1" thickBot="1" x14ac:dyDescent="0.3">
      <c r="A4243" s="292"/>
      <c r="B4243" s="294" t="s">
        <v>762</v>
      </c>
      <c r="C4243" s="294"/>
      <c r="D4243" s="294"/>
      <c r="E4243" s="294">
        <v>4</v>
      </c>
      <c r="F4243" s="310">
        <v>2.4</v>
      </c>
      <c r="G4243" s="310"/>
      <c r="H4243" s="310">
        <v>2.1</v>
      </c>
      <c r="I4243" s="295">
        <f>-H4243*F4243*E4243</f>
        <v>-20.16</v>
      </c>
      <c r="J4243" s="295"/>
      <c r="K4243" s="300">
        <f t="shared" si="550"/>
        <v>1.1000000000000001</v>
      </c>
      <c r="L4243" s="300">
        <f t="shared" si="553"/>
        <v>0</v>
      </c>
      <c r="M4243" s="285">
        <f t="shared" si="542"/>
        <v>0</v>
      </c>
      <c r="N4243" s="1076"/>
      <c r="O4243" s="294"/>
      <c r="P4243" s="404"/>
      <c r="Q4243" s="404"/>
    </row>
    <row r="4244" spans="1:18" ht="14.4" thickTop="1" thickBot="1" x14ac:dyDescent="0.3">
      <c r="A4244" s="292"/>
      <c r="B4244" s="294" t="s">
        <v>768</v>
      </c>
      <c r="C4244" s="294"/>
      <c r="D4244" s="294"/>
      <c r="E4244" s="294">
        <v>1</v>
      </c>
      <c r="F4244" s="310">
        <v>2.2749999999999999</v>
      </c>
      <c r="G4244" s="310"/>
      <c r="H4244" s="310">
        <v>3</v>
      </c>
      <c r="I4244" s="295">
        <f t="shared" ref="I4244:I4245" si="556">-H4244*F4244*E4244</f>
        <v>-6.8249999999999993</v>
      </c>
      <c r="J4244" s="295"/>
      <c r="K4244" s="300">
        <f t="shared" si="550"/>
        <v>1.1000000000000001</v>
      </c>
      <c r="L4244" s="300">
        <f t="shared" si="553"/>
        <v>0</v>
      </c>
      <c r="M4244" s="285">
        <f t="shared" si="542"/>
        <v>0</v>
      </c>
      <c r="N4244" s="1076"/>
      <c r="O4244" s="294"/>
      <c r="P4244" s="404"/>
      <c r="Q4244" s="404"/>
    </row>
    <row r="4245" spans="1:18" ht="14.4" thickTop="1" thickBot="1" x14ac:dyDescent="0.3">
      <c r="A4245" s="292"/>
      <c r="B4245" s="294" t="s">
        <v>769</v>
      </c>
      <c r="C4245" s="294"/>
      <c r="D4245" s="294"/>
      <c r="E4245" s="294">
        <v>2</v>
      </c>
      <c r="F4245" s="310">
        <v>2.2000000000000002</v>
      </c>
      <c r="G4245" s="310"/>
      <c r="H4245" s="310">
        <v>0.6</v>
      </c>
      <c r="I4245" s="295">
        <f t="shared" si="556"/>
        <v>-2.64</v>
      </c>
      <c r="J4245" s="295">
        <f>SUM(I4235:I4245)</f>
        <v>287.327</v>
      </c>
      <c r="K4245" s="300">
        <f t="shared" si="550"/>
        <v>1.1000000000000001</v>
      </c>
      <c r="L4245" s="300">
        <f t="shared" si="553"/>
        <v>316.05970000000002</v>
      </c>
      <c r="M4245" s="285">
        <f t="shared" si="542"/>
        <v>316</v>
      </c>
      <c r="N4245" s="1076"/>
      <c r="O4245" s="294"/>
      <c r="P4245" s="404"/>
      <c r="Q4245" s="404"/>
      <c r="R4245" s="301">
        <f>M4245*10.76</f>
        <v>3400.16</v>
      </c>
    </row>
    <row r="4246" spans="1:18" ht="14.4" thickTop="1" thickBot="1" x14ac:dyDescent="0.3">
      <c r="A4246" s="292"/>
      <c r="B4246" s="294"/>
      <c r="C4246" s="294"/>
      <c r="D4246" s="294"/>
      <c r="E4246" s="294"/>
      <c r="F4246" s="310"/>
      <c r="G4246" s="310"/>
      <c r="H4246" s="310"/>
      <c r="I4246" s="295"/>
      <c r="J4246" s="295">
        <f>J4245/9.29</f>
        <v>30.928632938643705</v>
      </c>
      <c r="K4246" s="300">
        <v>1.05</v>
      </c>
      <c r="L4246" s="300">
        <f t="shared" si="553"/>
        <v>32.475064585575893</v>
      </c>
      <c r="M4246" s="285">
        <f t="shared" si="542"/>
        <v>32</v>
      </c>
      <c r="N4246" s="1076"/>
      <c r="O4246" s="294"/>
      <c r="P4246" s="404"/>
      <c r="Q4246" s="404"/>
      <c r="R4246" s="301">
        <f>M4246*100</f>
        <v>3200</v>
      </c>
    </row>
    <row r="4247" spans="1:18" ht="14.4" thickTop="1" thickBot="1" x14ac:dyDescent="0.3">
      <c r="A4247" s="292"/>
      <c r="B4247" s="294" t="s">
        <v>839</v>
      </c>
      <c r="C4247" s="294"/>
      <c r="D4247" s="294"/>
      <c r="E4247" s="294"/>
      <c r="F4247" s="310"/>
      <c r="G4247" s="310"/>
      <c r="H4247" s="310"/>
      <c r="I4247" s="295"/>
      <c r="J4247" s="295"/>
      <c r="K4247" s="300">
        <f t="shared" si="550"/>
        <v>1.1000000000000001</v>
      </c>
      <c r="L4247" s="300">
        <f t="shared" si="553"/>
        <v>0</v>
      </c>
      <c r="M4247" s="285">
        <f t="shared" si="542"/>
        <v>0</v>
      </c>
      <c r="N4247" s="1076"/>
      <c r="O4247" s="294"/>
      <c r="P4247" s="404"/>
      <c r="Q4247" s="404"/>
    </row>
    <row r="4248" spans="1:18" ht="14.4" thickTop="1" thickBot="1" x14ac:dyDescent="0.3">
      <c r="A4248" s="292"/>
      <c r="B4248" s="294" t="s">
        <v>766</v>
      </c>
      <c r="C4248" s="294"/>
      <c r="D4248" s="294"/>
      <c r="E4248" s="294">
        <v>8</v>
      </c>
      <c r="F4248" s="310">
        <f>F4242+F4242+H4242+H4242</f>
        <v>8.0500000000000007</v>
      </c>
      <c r="G4248" s="310"/>
      <c r="H4248" s="310"/>
      <c r="I4248" s="295">
        <f>F4248*E4248</f>
        <v>64.400000000000006</v>
      </c>
      <c r="J4248" s="295"/>
      <c r="K4248" s="300">
        <f t="shared" si="550"/>
        <v>1.1000000000000001</v>
      </c>
      <c r="L4248" s="300">
        <f t="shared" si="553"/>
        <v>0</v>
      </c>
      <c r="M4248" s="285">
        <f t="shared" si="542"/>
        <v>0</v>
      </c>
      <c r="N4248" s="1076"/>
      <c r="O4248" s="294"/>
      <c r="P4248" s="404"/>
      <c r="Q4248" s="404"/>
    </row>
    <row r="4249" spans="1:18" ht="14.4" thickTop="1" thickBot="1" x14ac:dyDescent="0.3">
      <c r="A4249" s="292"/>
      <c r="B4249" s="294" t="s">
        <v>762</v>
      </c>
      <c r="C4249" s="294"/>
      <c r="D4249" s="294"/>
      <c r="E4249" s="294">
        <v>4</v>
      </c>
      <c r="F4249" s="310">
        <f>F4243+F4243+H4243+H4243</f>
        <v>9</v>
      </c>
      <c r="G4249" s="310"/>
      <c r="H4249" s="310"/>
      <c r="I4249" s="295">
        <f t="shared" ref="I4249:I4252" si="557">F4249*E4249</f>
        <v>36</v>
      </c>
      <c r="J4249" s="295"/>
      <c r="K4249" s="300">
        <f t="shared" si="550"/>
        <v>1.1000000000000001</v>
      </c>
      <c r="L4249" s="300">
        <f t="shared" si="553"/>
        <v>0</v>
      </c>
      <c r="M4249" s="285">
        <f t="shared" si="542"/>
        <v>0</v>
      </c>
      <c r="N4249" s="1076"/>
      <c r="O4249" s="294"/>
      <c r="P4249" s="404"/>
      <c r="Q4249" s="404"/>
    </row>
    <row r="4250" spans="1:18" ht="14.4" thickTop="1" thickBot="1" x14ac:dyDescent="0.3">
      <c r="A4250" s="292"/>
      <c r="B4250" s="294" t="s">
        <v>768</v>
      </c>
      <c r="C4250" s="294"/>
      <c r="D4250" s="294"/>
      <c r="E4250" s="294">
        <v>1</v>
      </c>
      <c r="F4250" s="310">
        <f>F4244+F4244+H4244+H4244</f>
        <v>10.55</v>
      </c>
      <c r="G4250" s="310"/>
      <c r="H4250" s="310"/>
      <c r="I4250" s="295">
        <f t="shared" si="557"/>
        <v>10.55</v>
      </c>
      <c r="J4250" s="295"/>
      <c r="K4250" s="300">
        <f t="shared" si="550"/>
        <v>1.1000000000000001</v>
      </c>
      <c r="L4250" s="300">
        <f t="shared" si="553"/>
        <v>0</v>
      </c>
      <c r="M4250" s="285">
        <f t="shared" si="542"/>
        <v>0</v>
      </c>
      <c r="N4250" s="1076"/>
      <c r="O4250" s="294"/>
      <c r="P4250" s="404"/>
      <c r="Q4250" s="404"/>
    </row>
    <row r="4251" spans="1:18" ht="14.4" thickTop="1" thickBot="1" x14ac:dyDescent="0.3">
      <c r="A4251" s="292"/>
      <c r="B4251" s="294" t="s">
        <v>769</v>
      </c>
      <c r="C4251" s="294"/>
      <c r="D4251" s="294"/>
      <c r="E4251" s="294">
        <v>2</v>
      </c>
      <c r="F4251" s="310">
        <f>F4245+F4245+H4245+H4245</f>
        <v>5.6</v>
      </c>
      <c r="G4251" s="310"/>
      <c r="H4251" s="310"/>
      <c r="I4251" s="295">
        <f t="shared" si="557"/>
        <v>11.2</v>
      </c>
      <c r="J4251" s="295"/>
      <c r="K4251" s="300">
        <f t="shared" si="550"/>
        <v>1.1000000000000001</v>
      </c>
      <c r="L4251" s="300">
        <f t="shared" si="553"/>
        <v>0</v>
      </c>
      <c r="M4251" s="285">
        <f t="shared" si="542"/>
        <v>0</v>
      </c>
      <c r="N4251" s="1076"/>
      <c r="O4251" s="294"/>
      <c r="P4251" s="404"/>
      <c r="Q4251" s="404"/>
    </row>
    <row r="4252" spans="1:18" ht="14.4" thickTop="1" thickBot="1" x14ac:dyDescent="0.3">
      <c r="A4252" s="292"/>
      <c r="B4252" s="294" t="s">
        <v>770</v>
      </c>
      <c r="C4252" s="294"/>
      <c r="D4252" s="294"/>
      <c r="E4252" s="294">
        <v>2</v>
      </c>
      <c r="F4252" s="310">
        <f>F4241+H4241+H4241</f>
        <v>6.3000000000000007</v>
      </c>
      <c r="G4252" s="310"/>
      <c r="H4252" s="310"/>
      <c r="I4252" s="295">
        <f t="shared" si="557"/>
        <v>12.600000000000001</v>
      </c>
      <c r="J4252" s="295">
        <f>SUM(I4248:I4252)</f>
        <v>134.75</v>
      </c>
      <c r="K4252" s="300">
        <f t="shared" si="550"/>
        <v>1.1000000000000001</v>
      </c>
      <c r="L4252" s="300">
        <f t="shared" si="553"/>
        <v>148.22500000000002</v>
      </c>
      <c r="M4252" s="285">
        <f t="shared" si="542"/>
        <v>148</v>
      </c>
      <c r="N4252" s="1076"/>
      <c r="O4252" s="294"/>
      <c r="P4252" s="404"/>
      <c r="Q4252" s="404"/>
    </row>
    <row r="4253" spans="1:18" ht="14.4" thickTop="1" thickBot="1" x14ac:dyDescent="0.3">
      <c r="A4253" s="292"/>
      <c r="B4253" s="294"/>
      <c r="C4253" s="294"/>
      <c r="D4253" s="294"/>
      <c r="E4253" s="294"/>
      <c r="F4253" s="310"/>
      <c r="G4253" s="310"/>
      <c r="H4253" s="310"/>
      <c r="I4253" s="295"/>
      <c r="J4253" s="295">
        <f>J4252*3.28</f>
        <v>441.97999999999996</v>
      </c>
      <c r="K4253" s="300">
        <v>1.05</v>
      </c>
      <c r="L4253" s="300">
        <f t="shared" si="553"/>
        <v>464.07899999999995</v>
      </c>
      <c r="M4253" s="285">
        <f t="shared" si="542"/>
        <v>464</v>
      </c>
      <c r="N4253" s="1076"/>
      <c r="O4253" s="294"/>
      <c r="P4253" s="404"/>
      <c r="Q4253" s="404"/>
    </row>
    <row r="4254" spans="1:18" ht="14.4" thickTop="1" thickBot="1" x14ac:dyDescent="0.3">
      <c r="A4254" s="292"/>
      <c r="B4254" s="294"/>
      <c r="C4254" s="294"/>
      <c r="D4254" s="294"/>
      <c r="E4254" s="294"/>
      <c r="F4254" s="310"/>
      <c r="G4254" s="310"/>
      <c r="H4254" s="310"/>
      <c r="I4254" s="295"/>
      <c r="J4254" s="295"/>
      <c r="K4254" s="300">
        <f t="shared" si="550"/>
        <v>1.1000000000000001</v>
      </c>
      <c r="L4254" s="300">
        <f t="shared" si="553"/>
        <v>0</v>
      </c>
      <c r="M4254" s="285">
        <f t="shared" si="542"/>
        <v>0</v>
      </c>
      <c r="N4254" s="1076"/>
      <c r="O4254" s="294"/>
      <c r="P4254" s="404"/>
      <c r="Q4254" s="404"/>
    </row>
    <row r="4255" spans="1:18" ht="14.4" thickTop="1" thickBot="1" x14ac:dyDescent="0.3">
      <c r="A4255" s="292"/>
      <c r="B4255" s="294" t="s">
        <v>803</v>
      </c>
      <c r="C4255" s="294"/>
      <c r="D4255" s="294"/>
      <c r="E4255" s="294">
        <f>E4235</f>
        <v>2</v>
      </c>
      <c r="F4255" s="310">
        <f>F4235</f>
        <v>27</v>
      </c>
      <c r="G4255" s="310"/>
      <c r="H4255" s="310">
        <f>H4091</f>
        <v>4.7229999999999999</v>
      </c>
      <c r="I4255" s="295">
        <f>H4255*F4255*E4255</f>
        <v>255.042</v>
      </c>
      <c r="J4255" s="295"/>
      <c r="K4255" s="300">
        <f t="shared" si="550"/>
        <v>1.1000000000000001</v>
      </c>
      <c r="L4255" s="300">
        <f t="shared" si="553"/>
        <v>0</v>
      </c>
      <c r="M4255" s="285">
        <f t="shared" si="542"/>
        <v>0</v>
      </c>
      <c r="N4255" s="1076"/>
      <c r="O4255" s="294"/>
      <c r="P4255" s="404"/>
      <c r="Q4255" s="404"/>
    </row>
    <row r="4256" spans="1:18" ht="14.4" thickTop="1" thickBot="1" x14ac:dyDescent="0.3">
      <c r="A4256" s="292"/>
      <c r="B4256" s="294"/>
      <c r="C4256" s="294"/>
      <c r="D4256" s="294"/>
      <c r="E4256" s="294">
        <f>E4236</f>
        <v>2</v>
      </c>
      <c r="F4256" s="310">
        <f>F4236</f>
        <v>10.5</v>
      </c>
      <c r="G4256" s="310"/>
      <c r="H4256" s="310">
        <f>H4255</f>
        <v>4.7229999999999999</v>
      </c>
      <c r="I4256" s="295">
        <f>H4256*F4256*E4256</f>
        <v>99.182999999999993</v>
      </c>
      <c r="J4256" s="295"/>
      <c r="K4256" s="300">
        <f t="shared" si="550"/>
        <v>1.1000000000000001</v>
      </c>
      <c r="L4256" s="300">
        <f t="shared" si="553"/>
        <v>0</v>
      </c>
      <c r="M4256" s="285">
        <f t="shared" si="542"/>
        <v>0</v>
      </c>
      <c r="N4256" s="1076"/>
      <c r="O4256" s="294"/>
      <c r="P4256" s="404"/>
      <c r="Q4256" s="404"/>
    </row>
    <row r="4257" spans="1:17" ht="14.4" thickTop="1" thickBot="1" x14ac:dyDescent="0.3">
      <c r="A4257" s="292"/>
      <c r="B4257" s="294" t="s">
        <v>771</v>
      </c>
      <c r="C4257" s="294"/>
      <c r="D4257" s="294"/>
      <c r="E4257" s="294"/>
      <c r="F4257" s="310"/>
      <c r="G4257" s="310"/>
      <c r="H4257" s="310"/>
      <c r="I4257" s="295"/>
      <c r="J4257" s="295"/>
      <c r="K4257" s="300">
        <f t="shared" si="550"/>
        <v>1.1000000000000001</v>
      </c>
      <c r="L4257" s="300">
        <f t="shared" si="553"/>
        <v>0</v>
      </c>
      <c r="M4257" s="285">
        <f t="shared" si="542"/>
        <v>0</v>
      </c>
      <c r="N4257" s="1076"/>
      <c r="O4257" s="294"/>
      <c r="P4257" s="404"/>
      <c r="Q4257" s="404"/>
    </row>
    <row r="4258" spans="1:17" ht="14.4" thickTop="1" thickBot="1" x14ac:dyDescent="0.3">
      <c r="A4258" s="292"/>
      <c r="B4258" s="294" t="s">
        <v>766</v>
      </c>
      <c r="C4258" s="294"/>
      <c r="D4258" s="294"/>
      <c r="E4258" s="294">
        <v>8</v>
      </c>
      <c r="F4258" s="310">
        <v>2.4</v>
      </c>
      <c r="G4258" s="310"/>
      <c r="H4258" s="310">
        <v>1.625</v>
      </c>
      <c r="I4258" s="295">
        <f>-H4258*F4258*E4258</f>
        <v>-31.2</v>
      </c>
      <c r="J4258" s="295"/>
      <c r="K4258" s="300">
        <f t="shared" si="550"/>
        <v>1.1000000000000001</v>
      </c>
      <c r="L4258" s="300">
        <f t="shared" si="553"/>
        <v>0</v>
      </c>
      <c r="M4258" s="285">
        <f t="shared" si="542"/>
        <v>0</v>
      </c>
      <c r="N4258" s="1076"/>
      <c r="O4258" s="294"/>
      <c r="P4258" s="404"/>
      <c r="Q4258" s="404"/>
    </row>
    <row r="4259" spans="1:17" ht="14.4" thickTop="1" thickBot="1" x14ac:dyDescent="0.3">
      <c r="A4259" s="292"/>
      <c r="B4259" s="294" t="s">
        <v>764</v>
      </c>
      <c r="C4259" s="294"/>
      <c r="D4259" s="294"/>
      <c r="E4259" s="294">
        <v>1</v>
      </c>
      <c r="F4259" s="310">
        <v>1.125</v>
      </c>
      <c r="G4259" s="310"/>
      <c r="H4259" s="310">
        <v>3</v>
      </c>
      <c r="I4259" s="295">
        <f t="shared" ref="I4259:I4261" si="558">-H4259*F4259*E4259</f>
        <v>-3.375</v>
      </c>
      <c r="J4259" s="295"/>
      <c r="K4259" s="300">
        <f t="shared" si="550"/>
        <v>1.1000000000000001</v>
      </c>
      <c r="L4259" s="300">
        <f t="shared" si="553"/>
        <v>0</v>
      </c>
      <c r="M4259" s="285">
        <f t="shared" si="542"/>
        <v>0</v>
      </c>
      <c r="N4259" s="1076"/>
      <c r="O4259" s="294"/>
      <c r="P4259" s="404"/>
      <c r="Q4259" s="404"/>
    </row>
    <row r="4260" spans="1:17" ht="14.4" thickTop="1" thickBot="1" x14ac:dyDescent="0.3">
      <c r="A4260" s="292"/>
      <c r="B4260" s="294" t="s">
        <v>768</v>
      </c>
      <c r="C4260" s="294"/>
      <c r="D4260" s="294"/>
      <c r="E4260" s="294">
        <v>1</v>
      </c>
      <c r="F4260" s="310">
        <v>2.2749999999999999</v>
      </c>
      <c r="G4260" s="310"/>
      <c r="H4260" s="310">
        <v>3</v>
      </c>
      <c r="I4260" s="295">
        <f t="shared" si="558"/>
        <v>-6.8249999999999993</v>
      </c>
      <c r="J4260" s="295"/>
      <c r="K4260" s="300">
        <f t="shared" si="550"/>
        <v>1.1000000000000001</v>
      </c>
      <c r="L4260" s="300">
        <f t="shared" si="553"/>
        <v>0</v>
      </c>
      <c r="M4260" s="285">
        <f t="shared" si="542"/>
        <v>0</v>
      </c>
      <c r="N4260" s="1076"/>
      <c r="O4260" s="294"/>
      <c r="P4260" s="404"/>
      <c r="Q4260" s="404"/>
    </row>
    <row r="4261" spans="1:17" ht="14.4" thickTop="1" thickBot="1" x14ac:dyDescent="0.3">
      <c r="A4261" s="292"/>
      <c r="B4261" s="294" t="s">
        <v>777</v>
      </c>
      <c r="C4261" s="294"/>
      <c r="D4261" s="294"/>
      <c r="E4261" s="294">
        <v>2</v>
      </c>
      <c r="F4261" s="310">
        <v>1.65</v>
      </c>
      <c r="G4261" s="310"/>
      <c r="H4261" s="310">
        <v>0.6</v>
      </c>
      <c r="I4261" s="295">
        <f t="shared" si="558"/>
        <v>-1.9799999999999998</v>
      </c>
      <c r="J4261" s="295"/>
      <c r="K4261" s="300">
        <f t="shared" si="550"/>
        <v>1.1000000000000001</v>
      </c>
      <c r="L4261" s="300">
        <f t="shared" si="553"/>
        <v>0</v>
      </c>
      <c r="M4261" s="285">
        <f t="shared" si="542"/>
        <v>0</v>
      </c>
      <c r="N4261" s="1076"/>
      <c r="O4261" s="294"/>
      <c r="P4261" s="404"/>
      <c r="Q4261" s="404"/>
    </row>
    <row r="4262" spans="1:17" ht="14.4" thickTop="1" thickBot="1" x14ac:dyDescent="0.3">
      <c r="A4262" s="292"/>
      <c r="B4262" s="294" t="s">
        <v>762</v>
      </c>
      <c r="C4262" s="294"/>
      <c r="D4262" s="294"/>
      <c r="E4262" s="294">
        <v>1</v>
      </c>
      <c r="F4262" s="310">
        <v>2.4</v>
      </c>
      <c r="G4262" s="310"/>
      <c r="H4262" s="310">
        <v>2.1</v>
      </c>
      <c r="I4262" s="295">
        <f>-H4262*F4262*E4262</f>
        <v>-5.04</v>
      </c>
      <c r="J4262" s="295">
        <f>SUM(I4255:I4262)</f>
        <v>305.80500000000001</v>
      </c>
      <c r="K4262" s="300">
        <f t="shared" si="550"/>
        <v>1.1000000000000001</v>
      </c>
      <c r="L4262" s="300">
        <f t="shared" si="553"/>
        <v>336.38550000000004</v>
      </c>
      <c r="M4262" s="285">
        <f t="shared" si="542"/>
        <v>336</v>
      </c>
      <c r="N4262" s="1076"/>
      <c r="O4262" s="294"/>
      <c r="P4262" s="404"/>
      <c r="Q4262" s="404"/>
    </row>
    <row r="4263" spans="1:17" ht="14.4" thickTop="1" thickBot="1" x14ac:dyDescent="0.3">
      <c r="A4263" s="292"/>
      <c r="B4263" s="294"/>
      <c r="C4263" s="294"/>
      <c r="D4263" s="294"/>
      <c r="E4263" s="294"/>
      <c r="F4263" s="310"/>
      <c r="G4263" s="310"/>
      <c r="H4263" s="310"/>
      <c r="I4263" s="295"/>
      <c r="J4263" s="295">
        <f>J4262/9.29</f>
        <v>32.917653390742736</v>
      </c>
      <c r="K4263" s="300">
        <v>1.05</v>
      </c>
      <c r="L4263" s="300">
        <f t="shared" si="553"/>
        <v>34.563536060279873</v>
      </c>
      <c r="M4263" s="285">
        <f t="shared" si="542"/>
        <v>35</v>
      </c>
      <c r="N4263" s="1076"/>
      <c r="O4263" s="294"/>
      <c r="P4263" s="404"/>
      <c r="Q4263" s="404"/>
    </row>
    <row r="4264" spans="1:17" ht="14.4" thickTop="1" thickBot="1" x14ac:dyDescent="0.3">
      <c r="A4264" s="292"/>
      <c r="B4264" s="294" t="s">
        <v>841</v>
      </c>
      <c r="C4264" s="294"/>
      <c r="D4264" s="294"/>
      <c r="E4264" s="294"/>
      <c r="F4264" s="310"/>
      <c r="G4264" s="310"/>
      <c r="H4264" s="310"/>
      <c r="I4264" s="295"/>
      <c r="J4264" s="295"/>
      <c r="K4264" s="300">
        <f t="shared" si="550"/>
        <v>1.1000000000000001</v>
      </c>
      <c r="L4264" s="300">
        <f t="shared" si="553"/>
        <v>0</v>
      </c>
      <c r="M4264" s="285">
        <f t="shared" si="542"/>
        <v>0</v>
      </c>
      <c r="N4264" s="1076"/>
      <c r="O4264" s="294"/>
      <c r="P4264" s="404"/>
      <c r="Q4264" s="404"/>
    </row>
    <row r="4265" spans="1:17" ht="14.4" thickTop="1" thickBot="1" x14ac:dyDescent="0.3">
      <c r="A4265" s="292"/>
      <c r="B4265" s="294" t="s">
        <v>766</v>
      </c>
      <c r="C4265" s="294"/>
      <c r="D4265" s="294"/>
      <c r="E4265" s="294">
        <v>8</v>
      </c>
      <c r="F4265" s="310">
        <f>F4258+F4258+H4258+H4258</f>
        <v>8.0500000000000007</v>
      </c>
      <c r="G4265" s="310"/>
      <c r="H4265" s="310"/>
      <c r="I4265" s="295">
        <f>F4265*E4265</f>
        <v>64.400000000000006</v>
      </c>
      <c r="J4265" s="295"/>
      <c r="K4265" s="300">
        <f t="shared" si="550"/>
        <v>1.1000000000000001</v>
      </c>
      <c r="L4265" s="300">
        <f t="shared" si="553"/>
        <v>0</v>
      </c>
      <c r="M4265" s="285">
        <f t="shared" si="542"/>
        <v>0</v>
      </c>
      <c r="N4265" s="1076"/>
      <c r="O4265" s="294"/>
      <c r="P4265" s="404"/>
      <c r="Q4265" s="404"/>
    </row>
    <row r="4266" spans="1:17" ht="14.4" thickTop="1" thickBot="1" x14ac:dyDescent="0.3">
      <c r="A4266" s="292"/>
      <c r="B4266" s="294" t="s">
        <v>764</v>
      </c>
      <c r="C4266" s="294"/>
      <c r="D4266" s="294"/>
      <c r="E4266" s="294">
        <v>1</v>
      </c>
      <c r="F4266" s="310">
        <f>F4259+F4259+H4259+H4259</f>
        <v>8.25</v>
      </c>
      <c r="G4266" s="310"/>
      <c r="H4266" s="310"/>
      <c r="I4266" s="295">
        <f t="shared" ref="I4266:I4269" si="559">F4266*E4266</f>
        <v>8.25</v>
      </c>
      <c r="J4266" s="295"/>
      <c r="K4266" s="300">
        <f t="shared" si="550"/>
        <v>1.1000000000000001</v>
      </c>
      <c r="L4266" s="300">
        <f t="shared" si="553"/>
        <v>0</v>
      </c>
      <c r="M4266" s="285">
        <f t="shared" si="542"/>
        <v>0</v>
      </c>
      <c r="N4266" s="1076"/>
      <c r="O4266" s="294"/>
      <c r="P4266" s="404"/>
      <c r="Q4266" s="404"/>
    </row>
    <row r="4267" spans="1:17" ht="14.4" thickTop="1" thickBot="1" x14ac:dyDescent="0.3">
      <c r="A4267" s="292"/>
      <c r="B4267" s="294" t="s">
        <v>768</v>
      </c>
      <c r="C4267" s="294"/>
      <c r="D4267" s="294"/>
      <c r="E4267" s="294">
        <v>1</v>
      </c>
      <c r="F4267" s="310">
        <f>F4260+F4260+H4260+H4260</f>
        <v>10.55</v>
      </c>
      <c r="G4267" s="310"/>
      <c r="H4267" s="310"/>
      <c r="I4267" s="295">
        <f t="shared" si="559"/>
        <v>10.55</v>
      </c>
      <c r="J4267" s="295"/>
      <c r="K4267" s="300">
        <f t="shared" si="550"/>
        <v>1.1000000000000001</v>
      </c>
      <c r="L4267" s="300">
        <f t="shared" si="553"/>
        <v>0</v>
      </c>
      <c r="M4267" s="285">
        <f t="shared" si="542"/>
        <v>0</v>
      </c>
      <c r="N4267" s="1076"/>
      <c r="O4267" s="294"/>
      <c r="P4267" s="404"/>
      <c r="Q4267" s="404"/>
    </row>
    <row r="4268" spans="1:17" ht="14.4" thickTop="1" thickBot="1" x14ac:dyDescent="0.3">
      <c r="A4268" s="292"/>
      <c r="B4268" s="294" t="s">
        <v>777</v>
      </c>
      <c r="C4268" s="294"/>
      <c r="D4268" s="294"/>
      <c r="E4268" s="294">
        <v>2</v>
      </c>
      <c r="F4268" s="310">
        <f>F4261+F4261+H4261+H4261</f>
        <v>4.5</v>
      </c>
      <c r="G4268" s="310"/>
      <c r="H4268" s="310"/>
      <c r="I4268" s="295">
        <f t="shared" si="559"/>
        <v>9</v>
      </c>
      <c r="J4268" s="295"/>
      <c r="K4268" s="300">
        <f t="shared" si="550"/>
        <v>1.1000000000000001</v>
      </c>
      <c r="L4268" s="300">
        <f t="shared" si="553"/>
        <v>0</v>
      </c>
      <c r="M4268" s="285">
        <f t="shared" si="542"/>
        <v>0</v>
      </c>
      <c r="N4268" s="1076"/>
      <c r="O4268" s="294"/>
      <c r="P4268" s="404"/>
      <c r="Q4268" s="404"/>
    </row>
    <row r="4269" spans="1:17" ht="14.4" thickTop="1" thickBot="1" x14ac:dyDescent="0.3">
      <c r="A4269" s="292"/>
      <c r="B4269" s="294" t="s">
        <v>762</v>
      </c>
      <c r="C4269" s="294"/>
      <c r="D4269" s="294"/>
      <c r="E4269" s="294">
        <v>1</v>
      </c>
      <c r="F4269" s="310">
        <f>F4262+F4262+H4262+H4262</f>
        <v>9</v>
      </c>
      <c r="G4269" s="310"/>
      <c r="H4269" s="310"/>
      <c r="I4269" s="295">
        <f t="shared" si="559"/>
        <v>9</v>
      </c>
      <c r="J4269" s="295">
        <f>SUM(I4265:I4269)</f>
        <v>101.2</v>
      </c>
      <c r="K4269" s="300">
        <f t="shared" si="550"/>
        <v>1.1000000000000001</v>
      </c>
      <c r="L4269" s="300">
        <f t="shared" si="553"/>
        <v>111.32000000000001</v>
      </c>
      <c r="M4269" s="285">
        <f t="shared" si="542"/>
        <v>111</v>
      </c>
      <c r="N4269" s="1076"/>
      <c r="O4269" s="294"/>
      <c r="P4269" s="404"/>
      <c r="Q4269" s="404"/>
    </row>
    <row r="4270" spans="1:17" ht="14.4" thickTop="1" thickBot="1" x14ac:dyDescent="0.3">
      <c r="A4270" s="292"/>
      <c r="B4270" s="294"/>
      <c r="C4270" s="294"/>
      <c r="D4270" s="294"/>
      <c r="E4270" s="294"/>
      <c r="F4270" s="310"/>
      <c r="G4270" s="310"/>
      <c r="H4270" s="310"/>
      <c r="I4270" s="295"/>
      <c r="J4270" s="295">
        <f>J4269*3.28</f>
        <v>331.93599999999998</v>
      </c>
      <c r="K4270" s="300">
        <v>1.05</v>
      </c>
      <c r="L4270" s="300">
        <f t="shared" si="553"/>
        <v>348.53280000000001</v>
      </c>
      <c r="M4270" s="285">
        <f t="shared" si="542"/>
        <v>349</v>
      </c>
      <c r="N4270" s="1076"/>
      <c r="O4270" s="294"/>
      <c r="P4270" s="404"/>
      <c r="Q4270" s="404"/>
    </row>
    <row r="4271" spans="1:17" ht="14.4" thickTop="1" thickBot="1" x14ac:dyDescent="0.3">
      <c r="A4271" s="292"/>
      <c r="B4271" s="294"/>
      <c r="C4271" s="294"/>
      <c r="D4271" s="294"/>
      <c r="E4271" s="294"/>
      <c r="F4271" s="310"/>
      <c r="G4271" s="310"/>
      <c r="H4271" s="310"/>
      <c r="I4271" s="295"/>
      <c r="J4271" s="295"/>
      <c r="K4271" s="300">
        <f t="shared" si="550"/>
        <v>1.1000000000000001</v>
      </c>
      <c r="L4271" s="300">
        <f t="shared" si="553"/>
        <v>0</v>
      </c>
      <c r="M4271" s="285">
        <f t="shared" si="542"/>
        <v>0</v>
      </c>
      <c r="N4271" s="1076"/>
      <c r="O4271" s="294"/>
      <c r="P4271" s="404"/>
      <c r="Q4271" s="404"/>
    </row>
    <row r="4272" spans="1:17" ht="14.4" thickTop="1" thickBot="1" x14ac:dyDescent="0.3">
      <c r="A4272" s="292"/>
      <c r="B4272" s="302" t="s">
        <v>812</v>
      </c>
      <c r="C4272" s="294"/>
      <c r="D4272" s="294"/>
      <c r="E4272" s="294"/>
      <c r="F4272" s="310"/>
      <c r="G4272" s="310"/>
      <c r="H4272" s="310"/>
      <c r="I4272" s="295"/>
      <c r="J4272" s="295"/>
      <c r="K4272" s="300">
        <f t="shared" si="550"/>
        <v>1.1000000000000001</v>
      </c>
      <c r="L4272" s="300">
        <f t="shared" si="553"/>
        <v>0</v>
      </c>
      <c r="M4272" s="285">
        <f t="shared" si="542"/>
        <v>0</v>
      </c>
      <c r="N4272" s="1076"/>
      <c r="O4272" s="294"/>
      <c r="P4272" s="404"/>
      <c r="Q4272" s="404"/>
    </row>
    <row r="4273" spans="1:17" ht="14.4" thickTop="1" thickBot="1" x14ac:dyDescent="0.3">
      <c r="A4273" s="292"/>
      <c r="B4273" s="294" t="s">
        <v>799</v>
      </c>
      <c r="C4273" s="294"/>
      <c r="D4273" s="294"/>
      <c r="E4273" s="294">
        <v>2</v>
      </c>
      <c r="F4273" s="310">
        <v>4.3</v>
      </c>
      <c r="G4273" s="310"/>
      <c r="H4273" s="310">
        <v>3.6</v>
      </c>
      <c r="I4273" s="295">
        <f>H4273*F4273*E4273</f>
        <v>30.96</v>
      </c>
      <c r="J4273" s="295"/>
      <c r="K4273" s="300">
        <f t="shared" si="550"/>
        <v>1.1000000000000001</v>
      </c>
      <c r="L4273" s="300">
        <f t="shared" si="553"/>
        <v>0</v>
      </c>
      <c r="M4273" s="285">
        <f t="shared" si="542"/>
        <v>0</v>
      </c>
      <c r="N4273" s="1076"/>
      <c r="O4273" s="294"/>
      <c r="P4273" s="404"/>
      <c r="Q4273" s="404"/>
    </row>
    <row r="4274" spans="1:17" ht="14.4" thickTop="1" thickBot="1" x14ac:dyDescent="0.3">
      <c r="A4274" s="292"/>
      <c r="B4274" s="294"/>
      <c r="C4274" s="294"/>
      <c r="D4274" s="294"/>
      <c r="E4274" s="294">
        <v>2</v>
      </c>
      <c r="F4274" s="310">
        <v>1.8</v>
      </c>
      <c r="G4274" s="310"/>
      <c r="H4274" s="310">
        <v>3.6</v>
      </c>
      <c r="I4274" s="295">
        <f>H4274*F4274*E4274</f>
        <v>12.96</v>
      </c>
      <c r="J4274" s="295"/>
      <c r="K4274" s="300">
        <f t="shared" ref="K4274:K4343" si="560">$K$2</f>
        <v>1.1000000000000001</v>
      </c>
      <c r="L4274" s="300">
        <f t="shared" si="553"/>
        <v>0</v>
      </c>
      <c r="M4274" s="285">
        <f t="shared" si="542"/>
        <v>0</v>
      </c>
      <c r="N4274" s="1076"/>
      <c r="O4274" s="294"/>
      <c r="P4274" s="404"/>
      <c r="Q4274" s="404"/>
    </row>
    <row r="4275" spans="1:17" ht="14.4" thickTop="1" thickBot="1" x14ac:dyDescent="0.3">
      <c r="A4275" s="292"/>
      <c r="B4275" s="294" t="s">
        <v>762</v>
      </c>
      <c r="C4275" s="294"/>
      <c r="D4275" s="294"/>
      <c r="E4275" s="294">
        <v>1</v>
      </c>
      <c r="F4275" s="310">
        <v>2.4</v>
      </c>
      <c r="G4275" s="310"/>
      <c r="H4275" s="310">
        <v>2.1</v>
      </c>
      <c r="I4275" s="295">
        <f>-H4275*F4275*E4275</f>
        <v>-5.04</v>
      </c>
      <c r="J4275" s="295"/>
      <c r="K4275" s="300">
        <f t="shared" si="560"/>
        <v>1.1000000000000001</v>
      </c>
      <c r="L4275" s="300">
        <f t="shared" si="553"/>
        <v>0</v>
      </c>
      <c r="M4275" s="285">
        <f t="shared" si="542"/>
        <v>0</v>
      </c>
      <c r="N4275" s="1076"/>
      <c r="O4275" s="294"/>
      <c r="P4275" s="404"/>
      <c r="Q4275" s="404"/>
    </row>
    <row r="4276" spans="1:17" ht="14.4" thickTop="1" thickBot="1" x14ac:dyDescent="0.3">
      <c r="A4276" s="292"/>
      <c r="B4276" s="294" t="s">
        <v>763</v>
      </c>
      <c r="C4276" s="294"/>
      <c r="D4276" s="294"/>
      <c r="E4276" s="294">
        <v>1</v>
      </c>
      <c r="F4276" s="310">
        <v>0.9</v>
      </c>
      <c r="G4276" s="310"/>
      <c r="H4276" s="310">
        <v>2.7</v>
      </c>
      <c r="I4276" s="295">
        <f>-H4276*F4276*E4276</f>
        <v>-2.4300000000000002</v>
      </c>
      <c r="J4276" s="295"/>
      <c r="K4276" s="300">
        <f t="shared" si="560"/>
        <v>1.1000000000000001</v>
      </c>
      <c r="L4276" s="300">
        <f t="shared" si="553"/>
        <v>0</v>
      </c>
      <c r="M4276" s="285">
        <f t="shared" si="542"/>
        <v>0</v>
      </c>
      <c r="N4276" s="1076"/>
      <c r="O4276" s="294"/>
      <c r="P4276" s="404"/>
      <c r="Q4276" s="404"/>
    </row>
    <row r="4277" spans="1:17" ht="14.4" thickTop="1" thickBot="1" x14ac:dyDescent="0.3">
      <c r="A4277" s="292"/>
      <c r="B4277" s="294" t="s">
        <v>813</v>
      </c>
      <c r="C4277" s="294"/>
      <c r="D4277" s="294"/>
      <c r="E4277" s="294">
        <v>2</v>
      </c>
      <c r="F4277" s="310">
        <v>4.3</v>
      </c>
      <c r="G4277" s="310"/>
      <c r="H4277" s="310">
        <v>3.6</v>
      </c>
      <c r="I4277" s="295">
        <f t="shared" ref="I4277:I4278" si="561">H4277*F4277*E4277</f>
        <v>30.96</v>
      </c>
      <c r="J4277" s="295"/>
      <c r="K4277" s="300">
        <f t="shared" si="560"/>
        <v>1.1000000000000001</v>
      </c>
      <c r="L4277" s="300">
        <f t="shared" si="553"/>
        <v>0</v>
      </c>
      <c r="M4277" s="285">
        <f t="shared" si="542"/>
        <v>0</v>
      </c>
      <c r="N4277" s="1076"/>
      <c r="O4277" s="294"/>
      <c r="P4277" s="404"/>
      <c r="Q4277" s="404"/>
    </row>
    <row r="4278" spans="1:17" ht="14.4" thickTop="1" thickBot="1" x14ac:dyDescent="0.3">
      <c r="A4278" s="292"/>
      <c r="B4278" s="294"/>
      <c r="C4278" s="294"/>
      <c r="D4278" s="294"/>
      <c r="E4278" s="294">
        <v>2</v>
      </c>
      <c r="F4278" s="310">
        <v>3.05</v>
      </c>
      <c r="G4278" s="310"/>
      <c r="H4278" s="310">
        <v>3.6</v>
      </c>
      <c r="I4278" s="295">
        <f t="shared" si="561"/>
        <v>21.96</v>
      </c>
      <c r="J4278" s="295"/>
      <c r="K4278" s="300">
        <f t="shared" si="560"/>
        <v>1.1000000000000001</v>
      </c>
      <c r="L4278" s="300">
        <f t="shared" si="553"/>
        <v>0</v>
      </c>
      <c r="M4278" s="285">
        <f t="shared" si="542"/>
        <v>0</v>
      </c>
      <c r="N4278" s="1076"/>
      <c r="O4278" s="294"/>
      <c r="P4278" s="404"/>
      <c r="Q4278" s="404"/>
    </row>
    <row r="4279" spans="1:17" ht="14.4" thickTop="1" thickBot="1" x14ac:dyDescent="0.3">
      <c r="A4279" s="292"/>
      <c r="B4279" s="294" t="s">
        <v>766</v>
      </c>
      <c r="C4279" s="294"/>
      <c r="D4279" s="294"/>
      <c r="E4279" s="294">
        <v>1</v>
      </c>
      <c r="F4279" s="310">
        <v>2.4</v>
      </c>
      <c r="G4279" s="310"/>
      <c r="H4279" s="310">
        <v>1.625</v>
      </c>
      <c r="I4279" s="295">
        <f>-H4279*F4279*E4279</f>
        <v>-3.9</v>
      </c>
      <c r="J4279" s="295"/>
      <c r="K4279" s="300">
        <f t="shared" si="560"/>
        <v>1.1000000000000001</v>
      </c>
      <c r="L4279" s="300">
        <f t="shared" si="553"/>
        <v>0</v>
      </c>
      <c r="M4279" s="285">
        <f t="shared" si="542"/>
        <v>0</v>
      </c>
      <c r="N4279" s="1076"/>
      <c r="O4279" s="294"/>
      <c r="P4279" s="404"/>
      <c r="Q4279" s="404"/>
    </row>
    <row r="4280" spans="1:17" ht="14.4" thickTop="1" thickBot="1" x14ac:dyDescent="0.3">
      <c r="A4280" s="292"/>
      <c r="B4280" s="294" t="s">
        <v>763</v>
      </c>
      <c r="C4280" s="294"/>
      <c r="D4280" s="294"/>
      <c r="E4280" s="294">
        <v>1</v>
      </c>
      <c r="F4280" s="310">
        <v>0.9</v>
      </c>
      <c r="G4280" s="310"/>
      <c r="H4280" s="310">
        <v>2.7</v>
      </c>
      <c r="I4280" s="295">
        <f>-H4280*F4280*E4280</f>
        <v>-2.4300000000000002</v>
      </c>
      <c r="J4280" s="295"/>
      <c r="K4280" s="300">
        <f t="shared" si="560"/>
        <v>1.1000000000000001</v>
      </c>
      <c r="L4280" s="300">
        <f t="shared" si="553"/>
        <v>0</v>
      </c>
      <c r="M4280" s="285">
        <f t="shared" si="542"/>
        <v>0</v>
      </c>
      <c r="N4280" s="1076"/>
      <c r="O4280" s="294"/>
      <c r="P4280" s="404"/>
      <c r="Q4280" s="404"/>
    </row>
    <row r="4281" spans="1:17" ht="14.4" thickTop="1" thickBot="1" x14ac:dyDescent="0.3">
      <c r="A4281" s="292"/>
      <c r="B4281" s="294" t="s">
        <v>814</v>
      </c>
      <c r="C4281" s="294"/>
      <c r="D4281" s="294"/>
      <c r="E4281" s="294">
        <v>2</v>
      </c>
      <c r="F4281" s="310">
        <v>5</v>
      </c>
      <c r="G4281" s="310"/>
      <c r="H4281" s="310">
        <v>3.6</v>
      </c>
      <c r="I4281" s="295">
        <f t="shared" ref="I4281:I4282" si="562">H4281*F4281*E4281</f>
        <v>36</v>
      </c>
      <c r="J4281" s="295"/>
      <c r="K4281" s="300">
        <f t="shared" si="560"/>
        <v>1.1000000000000001</v>
      </c>
      <c r="L4281" s="300">
        <f t="shared" si="553"/>
        <v>0</v>
      </c>
      <c r="M4281" s="285">
        <f t="shared" si="542"/>
        <v>0</v>
      </c>
      <c r="N4281" s="1076"/>
      <c r="O4281" s="294"/>
      <c r="P4281" s="404"/>
      <c r="Q4281" s="404"/>
    </row>
    <row r="4282" spans="1:17" ht="14.4" thickTop="1" thickBot="1" x14ac:dyDescent="0.3">
      <c r="A4282" s="292"/>
      <c r="B4282" s="294"/>
      <c r="C4282" s="294"/>
      <c r="D4282" s="294"/>
      <c r="E4282" s="294">
        <v>2</v>
      </c>
      <c r="F4282" s="310">
        <v>4.1749999999999998</v>
      </c>
      <c r="G4282" s="310"/>
      <c r="H4282" s="310">
        <v>3.6</v>
      </c>
      <c r="I4282" s="295">
        <f t="shared" si="562"/>
        <v>30.06</v>
      </c>
      <c r="J4282" s="295"/>
      <c r="K4282" s="300">
        <f t="shared" si="560"/>
        <v>1.1000000000000001</v>
      </c>
      <c r="L4282" s="300">
        <f t="shared" si="553"/>
        <v>0</v>
      </c>
      <c r="M4282" s="285">
        <f t="shared" si="542"/>
        <v>0</v>
      </c>
      <c r="N4282" s="1076"/>
      <c r="O4282" s="294"/>
      <c r="P4282" s="404"/>
      <c r="Q4282" s="404"/>
    </row>
    <row r="4283" spans="1:17" ht="14.4" thickTop="1" thickBot="1" x14ac:dyDescent="0.3">
      <c r="A4283" s="292"/>
      <c r="B4283" s="294" t="s">
        <v>766</v>
      </c>
      <c r="C4283" s="294"/>
      <c r="D4283" s="294"/>
      <c r="E4283" s="294">
        <v>1</v>
      </c>
      <c r="F4283" s="310">
        <v>2.4</v>
      </c>
      <c r="G4283" s="310"/>
      <c r="H4283" s="310">
        <v>1.625</v>
      </c>
      <c r="I4283" s="295">
        <f>-H4283*F4283*E4283</f>
        <v>-3.9</v>
      </c>
      <c r="J4283" s="295"/>
      <c r="K4283" s="300">
        <f t="shared" si="560"/>
        <v>1.1000000000000001</v>
      </c>
      <c r="L4283" s="300">
        <f t="shared" si="553"/>
        <v>0</v>
      </c>
      <c r="M4283" s="285">
        <f t="shared" si="542"/>
        <v>0</v>
      </c>
      <c r="N4283" s="1076"/>
      <c r="O4283" s="294"/>
      <c r="P4283" s="404"/>
      <c r="Q4283" s="404"/>
    </row>
    <row r="4284" spans="1:17" ht="14.4" thickTop="1" thickBot="1" x14ac:dyDescent="0.3">
      <c r="A4284" s="292"/>
      <c r="B4284" s="294" t="s">
        <v>770</v>
      </c>
      <c r="C4284" s="294"/>
      <c r="D4284" s="294"/>
      <c r="E4284" s="294">
        <v>1</v>
      </c>
      <c r="F4284" s="310">
        <v>0.9</v>
      </c>
      <c r="G4284" s="310"/>
      <c r="H4284" s="310">
        <v>2.7</v>
      </c>
      <c r="I4284" s="295">
        <f>-H4284*F4284*E4284</f>
        <v>-2.4300000000000002</v>
      </c>
      <c r="J4284" s="295"/>
      <c r="K4284" s="300">
        <f t="shared" si="560"/>
        <v>1.1000000000000001</v>
      </c>
      <c r="L4284" s="300">
        <f t="shared" si="553"/>
        <v>0</v>
      </c>
      <c r="M4284" s="285">
        <f t="shared" si="542"/>
        <v>0</v>
      </c>
      <c r="N4284" s="1076"/>
      <c r="O4284" s="294"/>
      <c r="P4284" s="404"/>
      <c r="Q4284" s="404"/>
    </row>
    <row r="4285" spans="1:17" ht="14.4" thickTop="1" thickBot="1" x14ac:dyDescent="0.3">
      <c r="A4285" s="292"/>
      <c r="B4285" s="294" t="s">
        <v>763</v>
      </c>
      <c r="C4285" s="294"/>
      <c r="D4285" s="294"/>
      <c r="E4285" s="294">
        <v>1</v>
      </c>
      <c r="F4285" s="310">
        <v>0.9</v>
      </c>
      <c r="G4285" s="310"/>
      <c r="H4285" s="310">
        <v>2.7</v>
      </c>
      <c r="I4285" s="295">
        <f>-H4285*F4285*E4285</f>
        <v>-2.4300000000000002</v>
      </c>
      <c r="J4285" s="295"/>
      <c r="K4285" s="300">
        <f t="shared" si="560"/>
        <v>1.1000000000000001</v>
      </c>
      <c r="L4285" s="300">
        <f t="shared" si="553"/>
        <v>0</v>
      </c>
      <c r="M4285" s="285">
        <f t="shared" si="542"/>
        <v>0</v>
      </c>
      <c r="N4285" s="1076"/>
      <c r="O4285" s="294"/>
      <c r="P4285" s="404"/>
      <c r="Q4285" s="404"/>
    </row>
    <row r="4286" spans="1:17" ht="14.4" thickTop="1" thickBot="1" x14ac:dyDescent="0.3">
      <c r="A4286" s="292"/>
      <c r="B4286" s="294" t="s">
        <v>762</v>
      </c>
      <c r="C4286" s="294"/>
      <c r="D4286" s="294"/>
      <c r="E4286" s="294">
        <v>1</v>
      </c>
      <c r="F4286" s="310">
        <v>2.4</v>
      </c>
      <c r="G4286" s="310"/>
      <c r="H4286" s="310">
        <v>2.1</v>
      </c>
      <c r="I4286" s="295">
        <f>-H4286*F4286*E4286</f>
        <v>-5.04</v>
      </c>
      <c r="J4286" s="295"/>
      <c r="K4286" s="300">
        <f t="shared" si="560"/>
        <v>1.1000000000000001</v>
      </c>
      <c r="L4286" s="300">
        <f t="shared" si="553"/>
        <v>0</v>
      </c>
      <c r="M4286" s="285">
        <f t="shared" si="542"/>
        <v>0</v>
      </c>
      <c r="N4286" s="1076"/>
      <c r="O4286" s="294"/>
      <c r="P4286" s="404"/>
      <c r="Q4286" s="404"/>
    </row>
    <row r="4287" spans="1:17" ht="14.4" thickTop="1" thickBot="1" x14ac:dyDescent="0.3">
      <c r="A4287" s="292"/>
      <c r="B4287" s="294" t="s">
        <v>815</v>
      </c>
      <c r="C4287" s="294"/>
      <c r="D4287" s="294"/>
      <c r="E4287" s="294">
        <v>2</v>
      </c>
      <c r="F4287" s="310">
        <v>4.5250000000000004</v>
      </c>
      <c r="G4287" s="310"/>
      <c r="H4287" s="310">
        <v>3.6</v>
      </c>
      <c r="I4287" s="295">
        <f t="shared" ref="I4287:I4288" si="563">H4287*F4287*E4287</f>
        <v>32.580000000000005</v>
      </c>
      <c r="J4287" s="295"/>
      <c r="K4287" s="300">
        <f t="shared" si="560"/>
        <v>1.1000000000000001</v>
      </c>
      <c r="L4287" s="300">
        <f t="shared" si="553"/>
        <v>0</v>
      </c>
      <c r="M4287" s="285">
        <f t="shared" si="542"/>
        <v>0</v>
      </c>
      <c r="N4287" s="1076"/>
      <c r="O4287" s="294"/>
      <c r="P4287" s="404"/>
      <c r="Q4287" s="404"/>
    </row>
    <row r="4288" spans="1:17" ht="14.4" thickTop="1" thickBot="1" x14ac:dyDescent="0.3">
      <c r="A4288" s="292"/>
      <c r="B4288" s="294"/>
      <c r="C4288" s="294"/>
      <c r="D4288" s="294"/>
      <c r="E4288" s="294">
        <v>2</v>
      </c>
      <c r="F4288" s="310">
        <v>2.3220000000000001</v>
      </c>
      <c r="G4288" s="310"/>
      <c r="H4288" s="310">
        <v>3.6</v>
      </c>
      <c r="I4288" s="295">
        <f t="shared" si="563"/>
        <v>16.718400000000003</v>
      </c>
      <c r="J4288" s="295"/>
      <c r="K4288" s="300">
        <f t="shared" si="560"/>
        <v>1.1000000000000001</v>
      </c>
      <c r="L4288" s="300">
        <f t="shared" si="553"/>
        <v>0</v>
      </c>
      <c r="M4288" s="285">
        <f t="shared" si="542"/>
        <v>0</v>
      </c>
      <c r="N4288" s="1076"/>
      <c r="O4288" s="294"/>
      <c r="P4288" s="404"/>
      <c r="Q4288" s="404"/>
    </row>
    <row r="4289" spans="1:17" ht="14.4" thickTop="1" thickBot="1" x14ac:dyDescent="0.3">
      <c r="A4289" s="292"/>
      <c r="B4289" s="294" t="s">
        <v>763</v>
      </c>
      <c r="C4289" s="294"/>
      <c r="D4289" s="294"/>
      <c r="E4289" s="294">
        <v>1</v>
      </c>
      <c r="F4289" s="310">
        <v>0.9</v>
      </c>
      <c r="G4289" s="310"/>
      <c r="H4289" s="310">
        <v>2.7</v>
      </c>
      <c r="I4289" s="295">
        <f>-H4289*F4289*E4289</f>
        <v>-2.4300000000000002</v>
      </c>
      <c r="J4289" s="295"/>
      <c r="K4289" s="300">
        <f t="shared" si="560"/>
        <v>1.1000000000000001</v>
      </c>
      <c r="L4289" s="300">
        <f t="shared" si="553"/>
        <v>0</v>
      </c>
      <c r="M4289" s="285">
        <f t="shared" si="542"/>
        <v>0</v>
      </c>
      <c r="N4289" s="1076"/>
      <c r="O4289" s="294"/>
      <c r="P4289" s="404"/>
      <c r="Q4289" s="404"/>
    </row>
    <row r="4290" spans="1:17" ht="14.4" thickTop="1" thickBot="1" x14ac:dyDescent="0.3">
      <c r="A4290" s="292"/>
      <c r="B4290" s="294" t="s">
        <v>762</v>
      </c>
      <c r="C4290" s="294"/>
      <c r="D4290" s="294"/>
      <c r="E4290" s="294">
        <v>1</v>
      </c>
      <c r="F4290" s="310">
        <v>2.4</v>
      </c>
      <c r="G4290" s="310"/>
      <c r="H4290" s="310">
        <v>2.1</v>
      </c>
      <c r="I4290" s="295">
        <f>-H4290*F4290*E4290</f>
        <v>-5.04</v>
      </c>
      <c r="J4290" s="295"/>
      <c r="K4290" s="300">
        <f t="shared" si="560"/>
        <v>1.1000000000000001</v>
      </c>
      <c r="L4290" s="300">
        <f t="shared" si="553"/>
        <v>0</v>
      </c>
      <c r="M4290" s="285">
        <f t="shared" si="542"/>
        <v>0</v>
      </c>
      <c r="N4290" s="1076"/>
      <c r="O4290" s="294"/>
      <c r="P4290" s="404"/>
      <c r="Q4290" s="404"/>
    </row>
    <row r="4291" spans="1:17" ht="14.4" thickTop="1" thickBot="1" x14ac:dyDescent="0.3">
      <c r="A4291" s="292"/>
      <c r="B4291" s="294" t="s">
        <v>816</v>
      </c>
      <c r="C4291" s="294"/>
      <c r="D4291" s="294"/>
      <c r="E4291" s="294">
        <v>2</v>
      </c>
      <c r="F4291" s="310">
        <v>4.5259999999999998</v>
      </c>
      <c r="G4291" s="310"/>
      <c r="H4291" s="310">
        <v>3.6</v>
      </c>
      <c r="I4291" s="295">
        <f t="shared" ref="I4291:I4292" si="564">H4291*F4291*E4291</f>
        <v>32.587200000000003</v>
      </c>
      <c r="J4291" s="295"/>
      <c r="K4291" s="300">
        <f t="shared" si="560"/>
        <v>1.1000000000000001</v>
      </c>
      <c r="L4291" s="300">
        <f t="shared" si="553"/>
        <v>0</v>
      </c>
      <c r="M4291" s="285">
        <f t="shared" si="542"/>
        <v>0</v>
      </c>
      <c r="N4291" s="1076"/>
      <c r="O4291" s="294"/>
      <c r="P4291" s="404"/>
      <c r="Q4291" s="404"/>
    </row>
    <row r="4292" spans="1:17" ht="14.4" thickTop="1" thickBot="1" x14ac:dyDescent="0.3">
      <c r="A4292" s="292"/>
      <c r="B4292" s="294"/>
      <c r="C4292" s="294"/>
      <c r="D4292" s="294"/>
      <c r="E4292" s="294">
        <v>2</v>
      </c>
      <c r="F4292" s="310">
        <v>2.516</v>
      </c>
      <c r="G4292" s="310"/>
      <c r="H4292" s="310">
        <v>3.6</v>
      </c>
      <c r="I4292" s="295">
        <f t="shared" si="564"/>
        <v>18.115200000000002</v>
      </c>
      <c r="J4292" s="295"/>
      <c r="K4292" s="300">
        <f t="shared" si="560"/>
        <v>1.1000000000000001</v>
      </c>
      <c r="L4292" s="300">
        <f t="shared" si="553"/>
        <v>0</v>
      </c>
      <c r="M4292" s="285">
        <f t="shared" si="542"/>
        <v>0</v>
      </c>
      <c r="N4292" s="1076"/>
      <c r="O4292" s="294"/>
      <c r="P4292" s="404"/>
      <c r="Q4292" s="404"/>
    </row>
    <row r="4293" spans="1:17" ht="14.4" thickTop="1" thickBot="1" x14ac:dyDescent="0.3">
      <c r="A4293" s="292"/>
      <c r="B4293" s="294" t="s">
        <v>770</v>
      </c>
      <c r="C4293" s="294"/>
      <c r="D4293" s="294"/>
      <c r="E4293" s="294">
        <v>1</v>
      </c>
      <c r="F4293" s="310">
        <v>0.9</v>
      </c>
      <c r="G4293" s="310"/>
      <c r="H4293" s="310">
        <v>2.7</v>
      </c>
      <c r="I4293" s="295">
        <f>-H4293*F4293*E4293</f>
        <v>-2.4300000000000002</v>
      </c>
      <c r="J4293" s="295"/>
      <c r="K4293" s="300">
        <f t="shared" si="560"/>
        <v>1.1000000000000001</v>
      </c>
      <c r="L4293" s="300">
        <f t="shared" si="553"/>
        <v>0</v>
      </c>
      <c r="M4293" s="285">
        <f t="shared" si="542"/>
        <v>0</v>
      </c>
      <c r="N4293" s="1076"/>
      <c r="O4293" s="294"/>
      <c r="P4293" s="404"/>
      <c r="Q4293" s="404"/>
    </row>
    <row r="4294" spans="1:17" ht="14.4" thickTop="1" thickBot="1" x14ac:dyDescent="0.3">
      <c r="A4294" s="292"/>
      <c r="B4294" s="294" t="s">
        <v>817</v>
      </c>
      <c r="C4294" s="294"/>
      <c r="D4294" s="294"/>
      <c r="E4294" s="294">
        <v>2</v>
      </c>
      <c r="F4294" s="310">
        <v>4.5</v>
      </c>
      <c r="G4294" s="310"/>
      <c r="H4294" s="310">
        <v>3.6</v>
      </c>
      <c r="I4294" s="295">
        <f t="shared" ref="I4294:I4296" si="565">H4294*F4294*E4294</f>
        <v>32.4</v>
      </c>
      <c r="J4294" s="295"/>
      <c r="K4294" s="300">
        <f t="shared" si="560"/>
        <v>1.1000000000000001</v>
      </c>
      <c r="L4294" s="300">
        <f t="shared" si="553"/>
        <v>0</v>
      </c>
      <c r="M4294" s="285">
        <f t="shared" si="542"/>
        <v>0</v>
      </c>
      <c r="N4294" s="1076"/>
      <c r="O4294" s="294"/>
      <c r="P4294" s="404"/>
      <c r="Q4294" s="404"/>
    </row>
    <row r="4295" spans="1:17" ht="14.4" thickTop="1" thickBot="1" x14ac:dyDescent="0.3">
      <c r="A4295" s="292"/>
      <c r="B4295" s="294"/>
      <c r="C4295" s="294"/>
      <c r="D4295" s="294"/>
      <c r="E4295" s="294">
        <v>1</v>
      </c>
      <c r="F4295" s="310">
        <v>3.625</v>
      </c>
      <c r="G4295" s="310"/>
      <c r="H4295" s="310">
        <v>3.6</v>
      </c>
      <c r="I4295" s="295">
        <f t="shared" si="565"/>
        <v>13.05</v>
      </c>
      <c r="J4295" s="295"/>
      <c r="K4295" s="300">
        <f t="shared" si="560"/>
        <v>1.1000000000000001</v>
      </c>
      <c r="L4295" s="300">
        <f t="shared" si="553"/>
        <v>0</v>
      </c>
      <c r="M4295" s="285">
        <f t="shared" si="542"/>
        <v>0</v>
      </c>
      <c r="N4295" s="1076"/>
      <c r="O4295" s="294"/>
      <c r="P4295" s="404"/>
      <c r="Q4295" s="404"/>
    </row>
    <row r="4296" spans="1:17" ht="14.4" thickTop="1" thickBot="1" x14ac:dyDescent="0.3">
      <c r="A4296" s="292"/>
      <c r="B4296" s="294"/>
      <c r="C4296" s="294"/>
      <c r="D4296" s="294"/>
      <c r="E4296" s="294">
        <v>1</v>
      </c>
      <c r="F4296" s="310">
        <v>4.875</v>
      </c>
      <c r="G4296" s="310"/>
      <c r="H4296" s="310">
        <v>3.6</v>
      </c>
      <c r="I4296" s="295">
        <f t="shared" si="565"/>
        <v>17.55</v>
      </c>
      <c r="J4296" s="295"/>
      <c r="K4296" s="300">
        <f t="shared" si="560"/>
        <v>1.1000000000000001</v>
      </c>
      <c r="L4296" s="300">
        <f t="shared" si="553"/>
        <v>0</v>
      </c>
      <c r="M4296" s="285">
        <f t="shared" ref="M4296:M4383" si="566">ROUND(L4296,0)</f>
        <v>0</v>
      </c>
      <c r="N4296" s="1076"/>
      <c r="O4296" s="294"/>
      <c r="P4296" s="404"/>
      <c r="Q4296" s="404"/>
    </row>
    <row r="4297" spans="1:17" ht="14.4" thickTop="1" thickBot="1" x14ac:dyDescent="0.3">
      <c r="A4297" s="292"/>
      <c r="B4297" s="294" t="s">
        <v>764</v>
      </c>
      <c r="C4297" s="294"/>
      <c r="D4297" s="294"/>
      <c r="E4297" s="294">
        <v>2</v>
      </c>
      <c r="F4297" s="310">
        <v>1.125</v>
      </c>
      <c r="G4297" s="310"/>
      <c r="H4297" s="310">
        <v>3</v>
      </c>
      <c r="I4297" s="295">
        <f t="shared" ref="I4297:I4298" si="567">-H4297*F4297*E4297</f>
        <v>-6.75</v>
      </c>
      <c r="J4297" s="295"/>
      <c r="K4297" s="300">
        <f t="shared" si="560"/>
        <v>1.1000000000000001</v>
      </c>
      <c r="L4297" s="300">
        <f t="shared" si="553"/>
        <v>0</v>
      </c>
      <c r="M4297" s="285"/>
      <c r="N4297" s="1076"/>
      <c r="O4297" s="294"/>
      <c r="P4297" s="404"/>
      <c r="Q4297" s="404"/>
    </row>
    <row r="4298" spans="1:17" ht="14.4" thickTop="1" thickBot="1" x14ac:dyDescent="0.3">
      <c r="A4298" s="292"/>
      <c r="B4298" s="294" t="s">
        <v>765</v>
      </c>
      <c r="C4298" s="294"/>
      <c r="D4298" s="294"/>
      <c r="E4298" s="294">
        <v>1</v>
      </c>
      <c r="F4298" s="310">
        <v>1.8</v>
      </c>
      <c r="G4298" s="310"/>
      <c r="H4298" s="310">
        <v>2.7</v>
      </c>
      <c r="I4298" s="295">
        <f t="shared" si="567"/>
        <v>-4.8600000000000003</v>
      </c>
      <c r="J4298" s="295"/>
      <c r="K4298" s="300">
        <f t="shared" si="560"/>
        <v>1.1000000000000001</v>
      </c>
      <c r="L4298" s="300">
        <f t="shared" si="553"/>
        <v>0</v>
      </c>
      <c r="M4298" s="285"/>
      <c r="N4298" s="1076"/>
      <c r="O4298" s="294"/>
      <c r="P4298" s="404"/>
      <c r="Q4298" s="404"/>
    </row>
    <row r="4299" spans="1:17" ht="14.4" thickTop="1" thickBot="1" x14ac:dyDescent="0.3">
      <c r="A4299" s="292"/>
      <c r="B4299" s="294" t="s">
        <v>770</v>
      </c>
      <c r="C4299" s="294"/>
      <c r="D4299" s="294"/>
      <c r="E4299" s="294">
        <v>1</v>
      </c>
      <c r="F4299" s="310">
        <v>0.9</v>
      </c>
      <c r="G4299" s="310"/>
      <c r="H4299" s="310">
        <v>2.7</v>
      </c>
      <c r="I4299" s="295">
        <f>-H4299*F4299*E4299</f>
        <v>-2.4300000000000002</v>
      </c>
      <c r="J4299" s="295"/>
      <c r="K4299" s="300">
        <f t="shared" si="560"/>
        <v>1.1000000000000001</v>
      </c>
      <c r="L4299" s="300">
        <f t="shared" si="553"/>
        <v>0</v>
      </c>
      <c r="M4299" s="285"/>
      <c r="N4299" s="1076"/>
      <c r="O4299" s="294"/>
      <c r="P4299" s="404"/>
      <c r="Q4299" s="404"/>
    </row>
    <row r="4300" spans="1:17" ht="14.4" thickTop="1" thickBot="1" x14ac:dyDescent="0.3">
      <c r="A4300" s="292"/>
      <c r="B4300" s="294" t="s">
        <v>818</v>
      </c>
      <c r="C4300" s="294"/>
      <c r="D4300" s="294"/>
      <c r="E4300" s="294">
        <v>2</v>
      </c>
      <c r="F4300" s="310">
        <v>4.75</v>
      </c>
      <c r="G4300" s="310"/>
      <c r="H4300" s="310">
        <v>3.6</v>
      </c>
      <c r="I4300" s="295">
        <f t="shared" ref="I4300:I4301" si="568">H4300*F4300*E4300</f>
        <v>34.200000000000003</v>
      </c>
      <c r="J4300" s="295"/>
      <c r="K4300" s="300">
        <f t="shared" si="560"/>
        <v>1.1000000000000001</v>
      </c>
      <c r="L4300" s="300">
        <f t="shared" si="553"/>
        <v>0</v>
      </c>
      <c r="M4300" s="285">
        <f t="shared" si="566"/>
        <v>0</v>
      </c>
      <c r="N4300" s="1076"/>
      <c r="O4300" s="294"/>
      <c r="P4300" s="404"/>
      <c r="Q4300" s="404"/>
    </row>
    <row r="4301" spans="1:17" ht="14.4" thickTop="1" thickBot="1" x14ac:dyDescent="0.3">
      <c r="A4301" s="292"/>
      <c r="B4301" s="294"/>
      <c r="C4301" s="294"/>
      <c r="D4301" s="294"/>
      <c r="E4301" s="294">
        <v>1</v>
      </c>
      <c r="F4301" s="310">
        <v>1.25</v>
      </c>
      <c r="G4301" s="310"/>
      <c r="H4301" s="310">
        <v>3.6</v>
      </c>
      <c r="I4301" s="295">
        <f t="shared" si="568"/>
        <v>4.5</v>
      </c>
      <c r="J4301" s="295"/>
      <c r="K4301" s="300">
        <f t="shared" si="560"/>
        <v>1.1000000000000001</v>
      </c>
      <c r="L4301" s="300">
        <f t="shared" ref="L4301:L4370" si="569">K4301*J4301</f>
        <v>0</v>
      </c>
      <c r="M4301" s="285">
        <f t="shared" si="566"/>
        <v>0</v>
      </c>
      <c r="N4301" s="1076"/>
      <c r="O4301" s="294"/>
      <c r="P4301" s="404"/>
      <c r="Q4301" s="404"/>
    </row>
    <row r="4302" spans="1:17" ht="14.4" thickTop="1" thickBot="1" x14ac:dyDescent="0.3">
      <c r="A4302" s="292"/>
      <c r="B4302" s="294" t="s">
        <v>770</v>
      </c>
      <c r="C4302" s="294"/>
      <c r="D4302" s="294"/>
      <c r="E4302" s="294">
        <v>2</v>
      </c>
      <c r="F4302" s="310">
        <v>0.9</v>
      </c>
      <c r="G4302" s="310"/>
      <c r="H4302" s="310">
        <v>2.7</v>
      </c>
      <c r="I4302" s="295">
        <f>-H4302*F4302*E4302</f>
        <v>-4.8600000000000003</v>
      </c>
      <c r="J4302" s="295"/>
      <c r="K4302" s="300">
        <f t="shared" si="560"/>
        <v>1.1000000000000001</v>
      </c>
      <c r="L4302" s="300">
        <f t="shared" si="569"/>
        <v>0</v>
      </c>
      <c r="M4302" s="285">
        <f t="shared" si="566"/>
        <v>0</v>
      </c>
      <c r="N4302" s="1076"/>
      <c r="O4302" s="294"/>
      <c r="P4302" s="404"/>
      <c r="Q4302" s="404"/>
    </row>
    <row r="4303" spans="1:17" ht="14.4" thickTop="1" thickBot="1" x14ac:dyDescent="0.3">
      <c r="A4303" s="292"/>
      <c r="B4303" s="294" t="s">
        <v>708</v>
      </c>
      <c r="C4303" s="294"/>
      <c r="D4303" s="294"/>
      <c r="E4303" s="294">
        <v>3</v>
      </c>
      <c r="F4303" s="310">
        <v>4.75</v>
      </c>
      <c r="G4303" s="310"/>
      <c r="H4303" s="310">
        <v>3.6</v>
      </c>
      <c r="I4303" s="295">
        <f t="shared" ref="I4303:I4306" si="570">H4303*F4303*E4303</f>
        <v>51.300000000000004</v>
      </c>
      <c r="J4303" s="295"/>
      <c r="K4303" s="300">
        <f t="shared" si="560"/>
        <v>1.1000000000000001</v>
      </c>
      <c r="L4303" s="300">
        <f t="shared" si="569"/>
        <v>0</v>
      </c>
      <c r="M4303" s="285">
        <f t="shared" si="566"/>
        <v>0</v>
      </c>
      <c r="N4303" s="1076"/>
      <c r="O4303" s="294"/>
      <c r="P4303" s="404"/>
      <c r="Q4303" s="404"/>
    </row>
    <row r="4304" spans="1:17" ht="14.4" thickTop="1" thickBot="1" x14ac:dyDescent="0.3">
      <c r="A4304" s="292"/>
      <c r="B4304" s="294"/>
      <c r="C4304" s="294"/>
      <c r="D4304" s="294"/>
      <c r="E4304" s="294">
        <v>4</v>
      </c>
      <c r="F4304" s="310">
        <v>3.5249999999999999</v>
      </c>
      <c r="G4304" s="310"/>
      <c r="H4304" s="310">
        <v>3.6</v>
      </c>
      <c r="I4304" s="295">
        <f t="shared" si="570"/>
        <v>50.76</v>
      </c>
      <c r="J4304" s="295"/>
      <c r="K4304" s="300">
        <f t="shared" si="560"/>
        <v>1.1000000000000001</v>
      </c>
      <c r="L4304" s="300">
        <f t="shared" si="569"/>
        <v>0</v>
      </c>
      <c r="M4304" s="285">
        <f t="shared" si="566"/>
        <v>0</v>
      </c>
      <c r="N4304" s="1076"/>
      <c r="O4304" s="294"/>
      <c r="P4304" s="404"/>
      <c r="Q4304" s="404"/>
    </row>
    <row r="4305" spans="1:17" ht="14.4" thickTop="1" thickBot="1" x14ac:dyDescent="0.3">
      <c r="A4305" s="292"/>
      <c r="B4305" s="294"/>
      <c r="C4305" s="294"/>
      <c r="D4305" s="294"/>
      <c r="E4305" s="294">
        <v>8</v>
      </c>
      <c r="F4305" s="310">
        <v>1.3</v>
      </c>
      <c r="G4305" s="310"/>
      <c r="H4305" s="310">
        <v>3.6</v>
      </c>
      <c r="I4305" s="295">
        <f t="shared" si="570"/>
        <v>37.440000000000005</v>
      </c>
      <c r="J4305" s="295"/>
      <c r="K4305" s="300">
        <f t="shared" si="560"/>
        <v>1.1000000000000001</v>
      </c>
      <c r="L4305" s="300">
        <f t="shared" si="569"/>
        <v>0</v>
      </c>
      <c r="M4305" s="285">
        <f t="shared" si="566"/>
        <v>0</v>
      </c>
      <c r="N4305" s="1076"/>
      <c r="O4305" s="294"/>
      <c r="P4305" s="404"/>
      <c r="Q4305" s="404"/>
    </row>
    <row r="4306" spans="1:17" ht="14.4" thickTop="1" thickBot="1" x14ac:dyDescent="0.3">
      <c r="A4306" s="292"/>
      <c r="B4306" s="294"/>
      <c r="C4306" s="294"/>
      <c r="D4306" s="294"/>
      <c r="E4306" s="294">
        <v>4</v>
      </c>
      <c r="F4306" s="310">
        <v>1</v>
      </c>
      <c r="G4306" s="310"/>
      <c r="H4306" s="310">
        <v>3.6</v>
      </c>
      <c r="I4306" s="295">
        <f t="shared" si="570"/>
        <v>14.4</v>
      </c>
      <c r="J4306" s="295"/>
      <c r="K4306" s="300">
        <f t="shared" si="560"/>
        <v>1.1000000000000001</v>
      </c>
      <c r="L4306" s="300">
        <f t="shared" si="569"/>
        <v>0</v>
      </c>
      <c r="M4306" s="285"/>
      <c r="N4306" s="1076"/>
      <c r="O4306" s="294"/>
      <c r="P4306" s="404"/>
      <c r="Q4306" s="404"/>
    </row>
    <row r="4307" spans="1:17" ht="14.4" thickTop="1" thickBot="1" x14ac:dyDescent="0.3">
      <c r="A4307" s="292"/>
      <c r="B4307" s="294" t="s">
        <v>769</v>
      </c>
      <c r="C4307" s="294"/>
      <c r="D4307" s="294"/>
      <c r="E4307" s="294">
        <v>2</v>
      </c>
      <c r="F4307" s="310">
        <v>2.2000000000000002</v>
      </c>
      <c r="G4307" s="310"/>
      <c r="H4307" s="310">
        <v>0.6</v>
      </c>
      <c r="I4307" s="295">
        <f t="shared" ref="I4307:I4309" si="571">-H4307*F4307*E4307</f>
        <v>-2.64</v>
      </c>
      <c r="J4307" s="295"/>
      <c r="K4307" s="300">
        <f t="shared" si="560"/>
        <v>1.1000000000000001</v>
      </c>
      <c r="L4307" s="300">
        <f t="shared" si="569"/>
        <v>0</v>
      </c>
      <c r="M4307" s="285">
        <f t="shared" si="566"/>
        <v>0</v>
      </c>
      <c r="N4307" s="1076"/>
      <c r="O4307" s="294"/>
      <c r="P4307" s="404"/>
      <c r="Q4307" s="404"/>
    </row>
    <row r="4308" spans="1:17" ht="14.4" thickTop="1" thickBot="1" x14ac:dyDescent="0.3">
      <c r="A4308" s="292"/>
      <c r="B4308" s="294" t="s">
        <v>784</v>
      </c>
      <c r="C4308" s="294"/>
      <c r="D4308" s="294"/>
      <c r="E4308" s="294">
        <v>4</v>
      </c>
      <c r="F4308" s="310">
        <v>0.9</v>
      </c>
      <c r="G4308" s="310"/>
      <c r="H4308" s="310">
        <v>2.7</v>
      </c>
      <c r="I4308" s="295">
        <f t="shared" si="571"/>
        <v>-9.7200000000000006</v>
      </c>
      <c r="J4308" s="295"/>
      <c r="K4308" s="300">
        <f t="shared" si="560"/>
        <v>1.1000000000000001</v>
      </c>
      <c r="L4308" s="300">
        <f t="shared" si="569"/>
        <v>0</v>
      </c>
      <c r="M4308" s="285">
        <f t="shared" si="566"/>
        <v>0</v>
      </c>
      <c r="N4308" s="1076"/>
      <c r="O4308" s="294"/>
      <c r="P4308" s="404"/>
      <c r="Q4308" s="404"/>
    </row>
    <row r="4309" spans="1:17" ht="14.4" thickTop="1" thickBot="1" x14ac:dyDescent="0.3">
      <c r="A4309" s="292"/>
      <c r="B4309" s="294" t="s">
        <v>785</v>
      </c>
      <c r="C4309" s="294"/>
      <c r="D4309" s="294"/>
      <c r="E4309" s="294">
        <v>4</v>
      </c>
      <c r="F4309" s="310">
        <v>0.75</v>
      </c>
      <c r="G4309" s="310"/>
      <c r="H4309" s="310">
        <v>2.7</v>
      </c>
      <c r="I4309" s="295">
        <f t="shared" si="571"/>
        <v>-8.1000000000000014</v>
      </c>
      <c r="J4309" s="295"/>
      <c r="K4309" s="300">
        <f t="shared" si="560"/>
        <v>1.1000000000000001</v>
      </c>
      <c r="L4309" s="300">
        <f t="shared" si="569"/>
        <v>0</v>
      </c>
      <c r="M4309" s="285">
        <f t="shared" si="566"/>
        <v>0</v>
      </c>
      <c r="N4309" s="1076"/>
      <c r="O4309" s="294"/>
      <c r="P4309" s="404"/>
      <c r="Q4309" s="404"/>
    </row>
    <row r="4310" spans="1:17" ht="14.4" thickTop="1" thickBot="1" x14ac:dyDescent="0.3">
      <c r="A4310" s="292"/>
      <c r="B4310" s="294" t="s">
        <v>819</v>
      </c>
      <c r="C4310" s="294"/>
      <c r="D4310" s="294"/>
      <c r="E4310" s="294">
        <v>1</v>
      </c>
      <c r="F4310" s="310">
        <v>2.2749999999999999</v>
      </c>
      <c r="G4310" s="310"/>
      <c r="H4310" s="310">
        <v>3.6</v>
      </c>
      <c r="I4310" s="295">
        <f t="shared" ref="I4310:I4311" si="572">H4310*F4310*E4310</f>
        <v>8.19</v>
      </c>
      <c r="J4310" s="295"/>
      <c r="K4310" s="300">
        <f t="shared" si="560"/>
        <v>1.1000000000000001</v>
      </c>
      <c r="L4310" s="300">
        <f t="shared" si="569"/>
        <v>0</v>
      </c>
      <c r="M4310" s="285">
        <f t="shared" si="566"/>
        <v>0</v>
      </c>
      <c r="N4310" s="1076"/>
      <c r="O4310" s="294"/>
      <c r="P4310" s="404"/>
      <c r="Q4310" s="404"/>
    </row>
    <row r="4311" spans="1:17" ht="14.4" thickTop="1" thickBot="1" x14ac:dyDescent="0.3">
      <c r="A4311" s="292"/>
      <c r="B4311" s="294"/>
      <c r="C4311" s="294"/>
      <c r="D4311" s="294"/>
      <c r="E4311" s="294">
        <v>2</v>
      </c>
      <c r="F4311" s="310">
        <v>3.75</v>
      </c>
      <c r="G4311" s="310"/>
      <c r="H4311" s="310">
        <v>3.6</v>
      </c>
      <c r="I4311" s="295">
        <f t="shared" si="572"/>
        <v>27</v>
      </c>
      <c r="J4311" s="295"/>
      <c r="K4311" s="300">
        <f t="shared" si="560"/>
        <v>1.1000000000000001</v>
      </c>
      <c r="L4311" s="300">
        <f t="shared" si="569"/>
        <v>0</v>
      </c>
      <c r="M4311" s="285">
        <f t="shared" si="566"/>
        <v>0</v>
      </c>
      <c r="N4311" s="1076"/>
      <c r="O4311" s="294"/>
      <c r="P4311" s="404"/>
      <c r="Q4311" s="404"/>
    </row>
    <row r="4312" spans="1:17" ht="14.4" thickTop="1" thickBot="1" x14ac:dyDescent="0.3">
      <c r="A4312" s="292"/>
      <c r="B4312" s="294" t="s">
        <v>820</v>
      </c>
      <c r="C4312" s="294"/>
      <c r="D4312" s="294"/>
      <c r="E4312" s="294">
        <v>2</v>
      </c>
      <c r="F4312" s="310">
        <v>3.3679999999999999</v>
      </c>
      <c r="G4312" s="310">
        <v>1.1000000000000001</v>
      </c>
      <c r="H4312" s="310"/>
      <c r="I4312" s="295">
        <f>G4312*F4312*E4312</f>
        <v>7.4096000000000002</v>
      </c>
      <c r="J4312" s="295"/>
      <c r="K4312" s="300">
        <f t="shared" si="560"/>
        <v>1.1000000000000001</v>
      </c>
      <c r="L4312" s="300">
        <f t="shared" si="569"/>
        <v>0</v>
      </c>
      <c r="M4312" s="285">
        <f t="shared" si="566"/>
        <v>0</v>
      </c>
      <c r="N4312" s="1076"/>
      <c r="O4312" s="294"/>
      <c r="P4312" s="404"/>
      <c r="Q4312" s="404"/>
    </row>
    <row r="4313" spans="1:17" ht="14.4" thickTop="1" thickBot="1" x14ac:dyDescent="0.3">
      <c r="A4313" s="292"/>
      <c r="B4313" s="294" t="s">
        <v>821</v>
      </c>
      <c r="C4313" s="294"/>
      <c r="D4313" s="294"/>
      <c r="E4313" s="294">
        <v>1</v>
      </c>
      <c r="F4313" s="310">
        <f>F4310</f>
        <v>2.2749999999999999</v>
      </c>
      <c r="G4313" s="310">
        <v>1</v>
      </c>
      <c r="H4313" s="310"/>
      <c r="I4313" s="295">
        <f>G4313*F4313*E4313</f>
        <v>2.2749999999999999</v>
      </c>
      <c r="J4313" s="295"/>
      <c r="K4313" s="300">
        <f t="shared" si="560"/>
        <v>1.1000000000000001</v>
      </c>
      <c r="L4313" s="300">
        <f t="shared" si="569"/>
        <v>0</v>
      </c>
      <c r="M4313" s="285">
        <f t="shared" si="566"/>
        <v>0</v>
      </c>
      <c r="N4313" s="1076"/>
      <c r="O4313" s="294"/>
      <c r="P4313" s="404"/>
      <c r="Q4313" s="404"/>
    </row>
    <row r="4314" spans="1:17" ht="14.4" thickTop="1" thickBot="1" x14ac:dyDescent="0.3">
      <c r="A4314" s="292"/>
      <c r="B4314" s="294" t="s">
        <v>768</v>
      </c>
      <c r="C4314" s="294"/>
      <c r="D4314" s="294"/>
      <c r="E4314" s="294">
        <v>1</v>
      </c>
      <c r="F4314" s="310">
        <v>2.2749999999999999</v>
      </c>
      <c r="G4314" s="310"/>
      <c r="H4314" s="310">
        <v>3</v>
      </c>
      <c r="I4314" s="295">
        <f>-H4314*F4314*E4314</f>
        <v>-6.8249999999999993</v>
      </c>
      <c r="J4314" s="295"/>
      <c r="K4314" s="300">
        <f t="shared" si="560"/>
        <v>1.1000000000000001</v>
      </c>
      <c r="L4314" s="300">
        <f t="shared" si="569"/>
        <v>0</v>
      </c>
      <c r="M4314" s="285">
        <f t="shared" si="566"/>
        <v>0</v>
      </c>
      <c r="N4314" s="1076"/>
      <c r="O4314" s="294"/>
      <c r="P4314" s="404"/>
      <c r="Q4314" s="404"/>
    </row>
    <row r="4315" spans="1:17" ht="14.4" thickTop="1" thickBot="1" x14ac:dyDescent="0.3">
      <c r="A4315" s="292"/>
      <c r="B4315" s="294" t="s">
        <v>822</v>
      </c>
      <c r="C4315" s="294"/>
      <c r="D4315" s="294"/>
      <c r="E4315" s="294">
        <v>1</v>
      </c>
      <c r="F4315" s="310">
        <v>2.2250000000000001</v>
      </c>
      <c r="G4315" s="310"/>
      <c r="H4315" s="310">
        <v>3.6</v>
      </c>
      <c r="I4315" s="295">
        <f t="shared" ref="I4315:I4317" si="573">H4315*F4315*E4315</f>
        <v>8.01</v>
      </c>
      <c r="J4315" s="295"/>
      <c r="K4315" s="300">
        <f t="shared" si="560"/>
        <v>1.1000000000000001</v>
      </c>
      <c r="L4315" s="300">
        <f t="shared" si="569"/>
        <v>0</v>
      </c>
      <c r="M4315" s="285">
        <f t="shared" si="566"/>
        <v>0</v>
      </c>
      <c r="N4315" s="1076"/>
      <c r="O4315" s="294"/>
      <c r="P4315" s="404"/>
      <c r="Q4315" s="404"/>
    </row>
    <row r="4316" spans="1:17" ht="14.4" thickTop="1" thickBot="1" x14ac:dyDescent="0.3">
      <c r="A4316" s="292"/>
      <c r="B4316" s="294" t="s">
        <v>823</v>
      </c>
      <c r="C4316" s="294"/>
      <c r="D4316" s="294"/>
      <c r="E4316" s="294">
        <v>2</v>
      </c>
      <c r="F4316" s="310">
        <v>4.0609999999999999</v>
      </c>
      <c r="G4316" s="310"/>
      <c r="H4316" s="310">
        <v>3.6</v>
      </c>
      <c r="I4316" s="295">
        <f t="shared" si="573"/>
        <v>29.2392</v>
      </c>
      <c r="J4316" s="295"/>
      <c r="K4316" s="300">
        <f t="shared" si="560"/>
        <v>1.1000000000000001</v>
      </c>
      <c r="L4316" s="300">
        <f t="shared" si="569"/>
        <v>0</v>
      </c>
      <c r="M4316" s="285">
        <f t="shared" si="566"/>
        <v>0</v>
      </c>
      <c r="N4316" s="1076"/>
      <c r="O4316" s="294"/>
      <c r="P4316" s="404"/>
      <c r="Q4316" s="404"/>
    </row>
    <row r="4317" spans="1:17" ht="14.4" thickTop="1" thickBot="1" x14ac:dyDescent="0.3">
      <c r="A4317" s="292"/>
      <c r="B4317" s="294"/>
      <c r="C4317" s="294"/>
      <c r="D4317" s="294"/>
      <c r="E4317" s="294">
        <v>2</v>
      </c>
      <c r="F4317" s="310">
        <v>3.1</v>
      </c>
      <c r="G4317" s="310"/>
      <c r="H4317" s="310">
        <v>3.6</v>
      </c>
      <c r="I4317" s="295">
        <f t="shared" si="573"/>
        <v>22.32</v>
      </c>
      <c r="J4317" s="295"/>
      <c r="K4317" s="300">
        <f t="shared" si="560"/>
        <v>1.1000000000000001</v>
      </c>
      <c r="L4317" s="300">
        <f t="shared" si="569"/>
        <v>0</v>
      </c>
      <c r="M4317" s="285">
        <f t="shared" si="566"/>
        <v>0</v>
      </c>
      <c r="N4317" s="1076"/>
      <c r="O4317" s="294"/>
      <c r="P4317" s="404"/>
      <c r="Q4317" s="404"/>
    </row>
    <row r="4318" spans="1:17" ht="14.4" thickTop="1" thickBot="1" x14ac:dyDescent="0.3">
      <c r="A4318" s="292"/>
      <c r="B4318" s="294" t="s">
        <v>762</v>
      </c>
      <c r="C4318" s="294"/>
      <c r="D4318" s="294"/>
      <c r="E4318" s="294">
        <v>1</v>
      </c>
      <c r="F4318" s="310">
        <v>2.4</v>
      </c>
      <c r="G4318" s="310"/>
      <c r="H4318" s="310">
        <v>2.1</v>
      </c>
      <c r="I4318" s="295">
        <f>-H4318*F4318*E4318</f>
        <v>-5.04</v>
      </c>
      <c r="J4318" s="295"/>
      <c r="K4318" s="300">
        <f t="shared" si="560"/>
        <v>1.1000000000000001</v>
      </c>
      <c r="L4318" s="300">
        <f t="shared" si="569"/>
        <v>0</v>
      </c>
      <c r="M4318" s="285">
        <f t="shared" si="566"/>
        <v>0</v>
      </c>
      <c r="N4318" s="1076"/>
      <c r="O4318" s="294"/>
      <c r="P4318" s="404"/>
      <c r="Q4318" s="404"/>
    </row>
    <row r="4319" spans="1:17" ht="14.4" thickTop="1" thickBot="1" x14ac:dyDescent="0.3">
      <c r="A4319" s="292"/>
      <c r="B4319" s="294" t="s">
        <v>763</v>
      </c>
      <c r="C4319" s="294"/>
      <c r="D4319" s="294"/>
      <c r="E4319" s="294">
        <v>1</v>
      </c>
      <c r="F4319" s="310">
        <v>0.9</v>
      </c>
      <c r="G4319" s="310"/>
      <c r="H4319" s="310">
        <v>2.7</v>
      </c>
      <c r="I4319" s="295">
        <f>-H4319*F4319*E4319</f>
        <v>-2.4300000000000002</v>
      </c>
      <c r="J4319" s="295"/>
      <c r="K4319" s="300">
        <f t="shared" si="560"/>
        <v>1.1000000000000001</v>
      </c>
      <c r="L4319" s="300">
        <f t="shared" si="569"/>
        <v>0</v>
      </c>
      <c r="M4319" s="285">
        <f t="shared" si="566"/>
        <v>0</v>
      </c>
      <c r="N4319" s="1076"/>
      <c r="O4319" s="294"/>
      <c r="P4319" s="404"/>
      <c r="Q4319" s="404"/>
    </row>
    <row r="4320" spans="1:17" ht="14.4" thickTop="1" thickBot="1" x14ac:dyDescent="0.3">
      <c r="A4320" s="292"/>
      <c r="B4320" s="294" t="s">
        <v>824</v>
      </c>
      <c r="C4320" s="294"/>
      <c r="D4320" s="294"/>
      <c r="E4320" s="294">
        <v>2</v>
      </c>
      <c r="F4320" s="310">
        <v>4.0609999999999999</v>
      </c>
      <c r="G4320" s="310"/>
      <c r="H4320" s="310">
        <v>3.6</v>
      </c>
      <c r="I4320" s="295">
        <f t="shared" ref="I4320:I4321" si="574">H4320*F4320*E4320</f>
        <v>29.2392</v>
      </c>
      <c r="J4320" s="295"/>
      <c r="K4320" s="300">
        <f t="shared" si="560"/>
        <v>1.1000000000000001</v>
      </c>
      <c r="L4320" s="300">
        <f t="shared" si="569"/>
        <v>0</v>
      </c>
      <c r="M4320" s="285">
        <f t="shared" si="566"/>
        <v>0</v>
      </c>
      <c r="N4320" s="1076"/>
      <c r="O4320" s="294"/>
      <c r="P4320" s="404"/>
      <c r="Q4320" s="404"/>
    </row>
    <row r="4321" spans="1:17" ht="14.4" thickTop="1" thickBot="1" x14ac:dyDescent="0.3">
      <c r="A4321" s="292"/>
      <c r="B4321" s="294"/>
      <c r="C4321" s="294"/>
      <c r="D4321" s="294"/>
      <c r="E4321" s="294">
        <v>2</v>
      </c>
      <c r="F4321" s="310">
        <v>3.1</v>
      </c>
      <c r="G4321" s="310"/>
      <c r="H4321" s="310">
        <v>3.6</v>
      </c>
      <c r="I4321" s="295">
        <f t="shared" si="574"/>
        <v>22.32</v>
      </c>
      <c r="J4321" s="295"/>
      <c r="K4321" s="300">
        <f t="shared" si="560"/>
        <v>1.1000000000000001</v>
      </c>
      <c r="L4321" s="300">
        <f t="shared" si="569"/>
        <v>0</v>
      </c>
      <c r="M4321" s="285">
        <f t="shared" si="566"/>
        <v>0</v>
      </c>
      <c r="N4321" s="1076"/>
      <c r="O4321" s="294"/>
      <c r="P4321" s="404"/>
      <c r="Q4321" s="404"/>
    </row>
    <row r="4322" spans="1:17" ht="14.4" thickTop="1" thickBot="1" x14ac:dyDescent="0.3">
      <c r="A4322" s="292"/>
      <c r="B4322" s="294" t="s">
        <v>770</v>
      </c>
      <c r="C4322" s="294"/>
      <c r="D4322" s="294"/>
      <c r="E4322" s="294">
        <v>3</v>
      </c>
      <c r="F4322" s="310">
        <v>0.9</v>
      </c>
      <c r="G4322" s="310"/>
      <c r="H4322" s="310">
        <v>2.7</v>
      </c>
      <c r="I4322" s="295">
        <f>-H4322*F4322*E4322</f>
        <v>-7.2900000000000009</v>
      </c>
      <c r="J4322" s="295"/>
      <c r="K4322" s="300">
        <f t="shared" si="560"/>
        <v>1.1000000000000001</v>
      </c>
      <c r="L4322" s="300">
        <f t="shared" si="569"/>
        <v>0</v>
      </c>
      <c r="M4322" s="285">
        <f t="shared" si="566"/>
        <v>0</v>
      </c>
      <c r="N4322" s="1076"/>
      <c r="O4322" s="294"/>
      <c r="P4322" s="404"/>
      <c r="Q4322" s="404"/>
    </row>
    <row r="4323" spans="1:17" ht="14.4" thickTop="1" thickBot="1" x14ac:dyDescent="0.3">
      <c r="A4323" s="292"/>
      <c r="B4323" s="294" t="s">
        <v>825</v>
      </c>
      <c r="C4323" s="294"/>
      <c r="D4323" s="294"/>
      <c r="E4323" s="294">
        <v>2</v>
      </c>
      <c r="F4323" s="310">
        <v>13.925000000000001</v>
      </c>
      <c r="G4323" s="310"/>
      <c r="H4323" s="310">
        <v>3.6</v>
      </c>
      <c r="I4323" s="295">
        <f>H4323*F4323*E4323</f>
        <v>100.26</v>
      </c>
      <c r="J4323" s="295"/>
      <c r="K4323" s="300">
        <f t="shared" si="560"/>
        <v>1.1000000000000001</v>
      </c>
      <c r="L4323" s="300">
        <f t="shared" si="569"/>
        <v>0</v>
      </c>
      <c r="M4323" s="285">
        <f t="shared" si="566"/>
        <v>0</v>
      </c>
      <c r="N4323" s="1076"/>
      <c r="O4323" s="294"/>
      <c r="P4323" s="404"/>
      <c r="Q4323" s="404"/>
    </row>
    <row r="4324" spans="1:17" ht="14.4" thickTop="1" thickBot="1" x14ac:dyDescent="0.3">
      <c r="A4324" s="292"/>
      <c r="B4324" s="294"/>
      <c r="C4324" s="294"/>
      <c r="D4324" s="294"/>
      <c r="E4324" s="294">
        <v>2</v>
      </c>
      <c r="F4324" s="310">
        <v>3.65</v>
      </c>
      <c r="G4324" s="310"/>
      <c r="H4324" s="310">
        <v>3.6</v>
      </c>
      <c r="I4324" s="295">
        <f t="shared" ref="I4324" si="575">H4324*F4324*E4324</f>
        <v>26.28</v>
      </c>
      <c r="J4324" s="295"/>
      <c r="K4324" s="300">
        <f t="shared" si="560"/>
        <v>1.1000000000000001</v>
      </c>
      <c r="L4324" s="300">
        <f t="shared" si="569"/>
        <v>0</v>
      </c>
      <c r="M4324" s="285">
        <f t="shared" si="566"/>
        <v>0</v>
      </c>
      <c r="N4324" s="1076"/>
      <c r="O4324" s="294"/>
      <c r="P4324" s="404"/>
      <c r="Q4324" s="404"/>
    </row>
    <row r="4325" spans="1:17" ht="14.4" thickTop="1" thickBot="1" x14ac:dyDescent="0.3">
      <c r="A4325" s="292"/>
      <c r="B4325" s="294" t="s">
        <v>770</v>
      </c>
      <c r="C4325" s="294"/>
      <c r="D4325" s="294"/>
      <c r="E4325" s="294">
        <v>1</v>
      </c>
      <c r="F4325" s="310">
        <v>0.9</v>
      </c>
      <c r="G4325" s="310"/>
      <c r="H4325" s="310">
        <v>2.7</v>
      </c>
      <c r="I4325" s="295">
        <f>-H4325*F4325*E4325</f>
        <v>-2.4300000000000002</v>
      </c>
      <c r="J4325" s="295"/>
      <c r="K4325" s="300">
        <f t="shared" si="560"/>
        <v>1.1000000000000001</v>
      </c>
      <c r="L4325" s="300">
        <f t="shared" si="569"/>
        <v>0</v>
      </c>
      <c r="M4325" s="285">
        <f t="shared" si="566"/>
        <v>0</v>
      </c>
      <c r="N4325" s="1076"/>
      <c r="O4325" s="294"/>
      <c r="P4325" s="404"/>
      <c r="Q4325" s="404"/>
    </row>
    <row r="4326" spans="1:17" ht="14.4" thickTop="1" thickBot="1" x14ac:dyDescent="0.3">
      <c r="A4326" s="292"/>
      <c r="B4326" s="294" t="s">
        <v>762</v>
      </c>
      <c r="C4326" s="294"/>
      <c r="D4326" s="294"/>
      <c r="E4326" s="294">
        <v>2</v>
      </c>
      <c r="F4326" s="310">
        <v>2.4</v>
      </c>
      <c r="G4326" s="310"/>
      <c r="H4326" s="310">
        <v>2.1</v>
      </c>
      <c r="I4326" s="295">
        <f>-H4326*F4326*E4326</f>
        <v>-10.08</v>
      </c>
      <c r="J4326" s="295"/>
      <c r="K4326" s="300">
        <f t="shared" si="560"/>
        <v>1.1000000000000001</v>
      </c>
      <c r="L4326" s="300">
        <f t="shared" si="569"/>
        <v>0</v>
      </c>
      <c r="M4326" s="285">
        <f t="shared" si="566"/>
        <v>0</v>
      </c>
      <c r="N4326" s="1076"/>
      <c r="O4326" s="294"/>
      <c r="P4326" s="404"/>
      <c r="Q4326" s="404"/>
    </row>
    <row r="4327" spans="1:17" ht="14.4" thickTop="1" thickBot="1" x14ac:dyDescent="0.3">
      <c r="A4327" s="292"/>
      <c r="B4327" s="294" t="s">
        <v>766</v>
      </c>
      <c r="C4327" s="294"/>
      <c r="D4327" s="294"/>
      <c r="E4327" s="294">
        <v>1</v>
      </c>
      <c r="F4327" s="310">
        <v>2.4</v>
      </c>
      <c r="G4327" s="310"/>
      <c r="H4327" s="310">
        <v>1.625</v>
      </c>
      <c r="I4327" s="295">
        <f>-H4327*F4327*E4327</f>
        <v>-3.9</v>
      </c>
      <c r="J4327" s="295"/>
      <c r="K4327" s="300">
        <f t="shared" si="560"/>
        <v>1.1000000000000001</v>
      </c>
      <c r="L4327" s="300">
        <f t="shared" si="569"/>
        <v>0</v>
      </c>
      <c r="M4327" s="285">
        <f t="shared" si="566"/>
        <v>0</v>
      </c>
      <c r="N4327" s="1076"/>
      <c r="O4327" s="294"/>
      <c r="P4327" s="404"/>
      <c r="Q4327" s="404"/>
    </row>
    <row r="4328" spans="1:17" ht="14.4" thickTop="1" thickBot="1" x14ac:dyDescent="0.3">
      <c r="A4328" s="292"/>
      <c r="B4328" s="294" t="s">
        <v>826</v>
      </c>
      <c r="C4328" s="294"/>
      <c r="D4328" s="294"/>
      <c r="E4328" s="294">
        <v>2</v>
      </c>
      <c r="F4328" s="310">
        <v>6.3</v>
      </c>
      <c r="G4328" s="310"/>
      <c r="H4328" s="310">
        <v>3.6</v>
      </c>
      <c r="I4328" s="295">
        <f>H4328*F4328*E4328</f>
        <v>45.36</v>
      </c>
      <c r="J4328" s="295"/>
      <c r="K4328" s="300">
        <f t="shared" si="560"/>
        <v>1.1000000000000001</v>
      </c>
      <c r="L4328" s="300">
        <f t="shared" si="569"/>
        <v>0</v>
      </c>
      <c r="M4328" s="285">
        <f t="shared" si="566"/>
        <v>0</v>
      </c>
      <c r="N4328" s="1076"/>
      <c r="O4328" s="294"/>
      <c r="P4328" s="404"/>
      <c r="Q4328" s="404"/>
    </row>
    <row r="4329" spans="1:17" ht="14.4" thickTop="1" thickBot="1" x14ac:dyDescent="0.3">
      <c r="A4329" s="292"/>
      <c r="B4329" s="294"/>
      <c r="C4329" s="294"/>
      <c r="D4329" s="294"/>
      <c r="E4329" s="294">
        <v>2</v>
      </c>
      <c r="F4329" s="310">
        <v>7.5</v>
      </c>
      <c r="G4329" s="310"/>
      <c r="H4329" s="310">
        <v>3.6</v>
      </c>
      <c r="I4329" s="295">
        <f>H4329*F4329*E4329</f>
        <v>54</v>
      </c>
      <c r="J4329" s="295"/>
      <c r="K4329" s="300">
        <f t="shared" si="560"/>
        <v>1.1000000000000001</v>
      </c>
      <c r="L4329" s="300">
        <f t="shared" si="569"/>
        <v>0</v>
      </c>
      <c r="M4329" s="285">
        <f t="shared" si="566"/>
        <v>0</v>
      </c>
      <c r="N4329" s="1076"/>
      <c r="O4329" s="294"/>
      <c r="P4329" s="404"/>
      <c r="Q4329" s="404"/>
    </row>
    <row r="4330" spans="1:17" ht="14.4" thickTop="1" thickBot="1" x14ac:dyDescent="0.3">
      <c r="A4330" s="292"/>
      <c r="B4330" s="294" t="s">
        <v>766</v>
      </c>
      <c r="C4330" s="294"/>
      <c r="D4330" s="294"/>
      <c r="E4330" s="294">
        <v>1</v>
      </c>
      <c r="F4330" s="310">
        <v>2.4</v>
      </c>
      <c r="G4330" s="310"/>
      <c r="H4330" s="310">
        <v>1.625</v>
      </c>
      <c r="I4330" s="295">
        <f>-H4330*F4330*E4330</f>
        <v>-3.9</v>
      </c>
      <c r="J4330" s="295"/>
      <c r="K4330" s="300">
        <f t="shared" si="560"/>
        <v>1.1000000000000001</v>
      </c>
      <c r="L4330" s="300">
        <f t="shared" si="569"/>
        <v>0</v>
      </c>
      <c r="M4330" s="285">
        <f t="shared" si="566"/>
        <v>0</v>
      </c>
      <c r="N4330" s="1076"/>
      <c r="O4330" s="294"/>
      <c r="P4330" s="404"/>
      <c r="Q4330" s="404"/>
    </row>
    <row r="4331" spans="1:17" ht="14.4" thickTop="1" thickBot="1" x14ac:dyDescent="0.3">
      <c r="A4331" s="292"/>
      <c r="B4331" s="294" t="s">
        <v>827</v>
      </c>
      <c r="C4331" s="294"/>
      <c r="D4331" s="294"/>
      <c r="E4331" s="294">
        <v>1</v>
      </c>
      <c r="F4331" s="310">
        <v>4.8</v>
      </c>
      <c r="G4331" s="310"/>
      <c r="H4331" s="310">
        <v>3</v>
      </c>
      <c r="I4331" s="295">
        <f t="shared" ref="I4331:I4332" si="576">-H4331*F4331*E4331</f>
        <v>-14.399999999999999</v>
      </c>
      <c r="J4331" s="295"/>
      <c r="K4331" s="300">
        <f t="shared" si="560"/>
        <v>1.1000000000000001</v>
      </c>
      <c r="L4331" s="300">
        <f t="shared" si="569"/>
        <v>0</v>
      </c>
      <c r="M4331" s="285">
        <f t="shared" si="566"/>
        <v>0</v>
      </c>
      <c r="N4331" s="1076"/>
      <c r="O4331" s="294"/>
      <c r="P4331" s="404"/>
      <c r="Q4331" s="404"/>
    </row>
    <row r="4332" spans="1:17" ht="14.4" thickTop="1" thickBot="1" x14ac:dyDescent="0.3">
      <c r="A4332" s="292"/>
      <c r="B4332" s="294" t="s">
        <v>770</v>
      </c>
      <c r="C4332" s="294"/>
      <c r="D4332" s="294"/>
      <c r="E4332" s="294">
        <v>1</v>
      </c>
      <c r="F4332" s="310">
        <v>0.9</v>
      </c>
      <c r="G4332" s="310"/>
      <c r="H4332" s="310">
        <v>2.7</v>
      </c>
      <c r="I4332" s="295">
        <f t="shared" si="576"/>
        <v>-2.4300000000000002</v>
      </c>
      <c r="J4332" s="295">
        <f>SUM(I4273:I4332)</f>
        <v>764.81880000000024</v>
      </c>
      <c r="K4332" s="300">
        <f t="shared" si="560"/>
        <v>1.1000000000000001</v>
      </c>
      <c r="L4332" s="300">
        <f t="shared" si="569"/>
        <v>841.30068000000028</v>
      </c>
      <c r="M4332" s="285">
        <f t="shared" si="566"/>
        <v>841</v>
      </c>
      <c r="N4332" s="1076"/>
      <c r="O4332" s="294"/>
      <c r="P4332" s="404"/>
      <c r="Q4332" s="404"/>
    </row>
    <row r="4333" spans="1:17" ht="14.4" thickTop="1" thickBot="1" x14ac:dyDescent="0.3">
      <c r="A4333" s="292"/>
      <c r="B4333" s="294"/>
      <c r="C4333" s="294"/>
      <c r="D4333" s="294"/>
      <c r="E4333" s="294"/>
      <c r="F4333" s="310"/>
      <c r="G4333" s="310"/>
      <c r="H4333" s="310"/>
      <c r="I4333" s="295"/>
      <c r="J4333" s="295">
        <f>J4332/9.29</f>
        <v>82.327104413347712</v>
      </c>
      <c r="K4333" s="300">
        <v>1.05</v>
      </c>
      <c r="L4333" s="300">
        <f t="shared" si="569"/>
        <v>86.443459634015099</v>
      </c>
      <c r="M4333" s="285">
        <f t="shared" si="566"/>
        <v>86</v>
      </c>
      <c r="N4333" s="1076"/>
      <c r="O4333" s="294"/>
      <c r="P4333" s="404"/>
      <c r="Q4333" s="404"/>
    </row>
    <row r="4334" spans="1:17" ht="14.4" thickTop="1" thickBot="1" x14ac:dyDescent="0.3">
      <c r="A4334" s="292"/>
      <c r="B4334" s="294"/>
      <c r="C4334" s="294"/>
      <c r="D4334" s="294"/>
      <c r="E4334" s="294"/>
      <c r="F4334" s="310"/>
      <c r="G4334" s="310"/>
      <c r="H4334" s="310"/>
      <c r="I4334" s="295"/>
      <c r="J4334" s="295"/>
      <c r="K4334" s="300">
        <f t="shared" si="560"/>
        <v>1.1000000000000001</v>
      </c>
      <c r="L4334" s="300">
        <f t="shared" si="569"/>
        <v>0</v>
      </c>
      <c r="M4334" s="285"/>
      <c r="N4334" s="1076"/>
      <c r="O4334" s="294"/>
      <c r="P4334" s="404"/>
      <c r="Q4334" s="404"/>
    </row>
    <row r="4335" spans="1:17" ht="14.4" thickTop="1" thickBot="1" x14ac:dyDescent="0.3">
      <c r="A4335" s="292"/>
      <c r="B4335" s="294"/>
      <c r="C4335" s="294"/>
      <c r="D4335" s="294"/>
      <c r="E4335" s="294"/>
      <c r="F4335" s="310"/>
      <c r="G4335" s="310"/>
      <c r="H4335" s="310"/>
      <c r="I4335" s="295"/>
      <c r="J4335" s="295"/>
      <c r="K4335" s="300">
        <f t="shared" si="560"/>
        <v>1.1000000000000001</v>
      </c>
      <c r="L4335" s="300">
        <f t="shared" si="569"/>
        <v>0</v>
      </c>
      <c r="M4335" s="285"/>
      <c r="N4335" s="1076"/>
      <c r="O4335" s="294"/>
      <c r="P4335" s="404"/>
      <c r="Q4335" s="404"/>
    </row>
    <row r="4336" spans="1:17" ht="14.4" thickTop="1" thickBot="1" x14ac:dyDescent="0.3">
      <c r="A4336" s="292"/>
      <c r="B4336" s="294"/>
      <c r="C4336" s="294"/>
      <c r="D4336" s="294"/>
      <c r="E4336" s="294"/>
      <c r="F4336" s="310"/>
      <c r="G4336" s="310"/>
      <c r="H4336" s="310"/>
      <c r="I4336" s="295"/>
      <c r="J4336" s="295"/>
      <c r="K4336" s="300">
        <f t="shared" si="560"/>
        <v>1.1000000000000001</v>
      </c>
      <c r="L4336" s="300">
        <f t="shared" si="569"/>
        <v>0</v>
      </c>
      <c r="M4336" s="285"/>
      <c r="N4336" s="1076"/>
      <c r="O4336" s="294"/>
      <c r="P4336" s="404"/>
      <c r="Q4336" s="404"/>
    </row>
    <row r="4337" spans="1:17" ht="14.4" thickTop="1" thickBot="1" x14ac:dyDescent="0.3">
      <c r="A4337" s="292"/>
      <c r="B4337" s="294"/>
      <c r="C4337" s="294"/>
      <c r="D4337" s="294"/>
      <c r="E4337" s="294"/>
      <c r="F4337" s="310"/>
      <c r="G4337" s="310"/>
      <c r="H4337" s="310"/>
      <c r="I4337" s="295"/>
      <c r="J4337" s="295"/>
      <c r="K4337" s="300">
        <f t="shared" si="560"/>
        <v>1.1000000000000001</v>
      </c>
      <c r="L4337" s="300">
        <f t="shared" si="569"/>
        <v>0</v>
      </c>
      <c r="M4337" s="285"/>
      <c r="N4337" s="1076"/>
      <c r="O4337" s="294"/>
      <c r="P4337" s="404"/>
      <c r="Q4337" s="404"/>
    </row>
    <row r="4338" spans="1:17" ht="14.4" thickTop="1" thickBot="1" x14ac:dyDescent="0.3">
      <c r="A4338" s="292"/>
      <c r="B4338" s="294"/>
      <c r="C4338" s="294"/>
      <c r="D4338" s="294"/>
      <c r="E4338" s="294"/>
      <c r="F4338" s="310"/>
      <c r="G4338" s="310"/>
      <c r="H4338" s="310"/>
      <c r="I4338" s="295"/>
      <c r="J4338" s="295"/>
      <c r="K4338" s="300">
        <f t="shared" si="560"/>
        <v>1.1000000000000001</v>
      </c>
      <c r="L4338" s="300">
        <f t="shared" si="569"/>
        <v>0</v>
      </c>
      <c r="M4338" s="285"/>
      <c r="N4338" s="1076"/>
      <c r="O4338" s="294"/>
      <c r="P4338" s="404"/>
      <c r="Q4338" s="404"/>
    </row>
    <row r="4339" spans="1:17" ht="14.4" thickTop="1" thickBot="1" x14ac:dyDescent="0.3">
      <c r="A4339" s="292"/>
      <c r="B4339" s="294"/>
      <c r="C4339" s="294"/>
      <c r="D4339" s="294"/>
      <c r="E4339" s="294"/>
      <c r="F4339" s="310"/>
      <c r="G4339" s="310"/>
      <c r="H4339" s="310"/>
      <c r="I4339" s="295"/>
      <c r="J4339" s="295"/>
      <c r="K4339" s="300">
        <f t="shared" si="560"/>
        <v>1.1000000000000001</v>
      </c>
      <c r="L4339" s="300">
        <f t="shared" si="569"/>
        <v>0</v>
      </c>
      <c r="M4339" s="285"/>
      <c r="N4339" s="1076"/>
      <c r="O4339" s="294"/>
      <c r="P4339" s="404"/>
      <c r="Q4339" s="404"/>
    </row>
    <row r="4340" spans="1:17" ht="14.4" thickTop="1" thickBot="1" x14ac:dyDescent="0.3">
      <c r="A4340" s="292"/>
      <c r="B4340" s="294"/>
      <c r="C4340" s="294"/>
      <c r="D4340" s="294"/>
      <c r="E4340" s="294"/>
      <c r="F4340" s="310"/>
      <c r="G4340" s="310"/>
      <c r="H4340" s="310"/>
      <c r="I4340" s="295"/>
      <c r="J4340" s="295"/>
      <c r="K4340" s="300">
        <f t="shared" si="560"/>
        <v>1.1000000000000001</v>
      </c>
      <c r="L4340" s="300">
        <f t="shared" si="569"/>
        <v>0</v>
      </c>
      <c r="M4340" s="285"/>
      <c r="N4340" s="1076"/>
      <c r="O4340" s="294"/>
      <c r="P4340" s="404"/>
      <c r="Q4340" s="404"/>
    </row>
    <row r="4341" spans="1:17" ht="14.4" thickTop="1" thickBot="1" x14ac:dyDescent="0.3">
      <c r="A4341" s="292"/>
      <c r="B4341" s="294" t="s">
        <v>842</v>
      </c>
      <c r="C4341" s="294"/>
      <c r="D4341" s="294"/>
      <c r="E4341" s="294"/>
      <c r="F4341" s="310"/>
      <c r="G4341" s="310"/>
      <c r="H4341" s="310"/>
      <c r="I4341" s="295"/>
      <c r="J4341" s="295"/>
      <c r="K4341" s="300">
        <f t="shared" si="560"/>
        <v>1.1000000000000001</v>
      </c>
      <c r="L4341" s="300">
        <f t="shared" si="569"/>
        <v>0</v>
      </c>
      <c r="M4341" s="285"/>
      <c r="N4341" s="1076"/>
      <c r="O4341" s="294"/>
      <c r="P4341" s="404"/>
      <c r="Q4341" s="404"/>
    </row>
    <row r="4342" spans="1:17" ht="14.4" thickTop="1" thickBot="1" x14ac:dyDescent="0.3">
      <c r="A4342" s="292"/>
      <c r="B4342" s="294" t="s">
        <v>762</v>
      </c>
      <c r="C4342" s="294"/>
      <c r="D4342" s="294"/>
      <c r="E4342" s="294">
        <v>6</v>
      </c>
      <c r="F4342" s="310">
        <f>F4326+F4326+H4326+H4326</f>
        <v>9</v>
      </c>
      <c r="G4342" s="310"/>
      <c r="H4342" s="310"/>
      <c r="I4342" s="295">
        <f>F4342*E4342</f>
        <v>54</v>
      </c>
      <c r="J4342" s="295"/>
      <c r="K4342" s="300">
        <f t="shared" si="560"/>
        <v>1.1000000000000001</v>
      </c>
      <c r="L4342" s="300">
        <f t="shared" si="569"/>
        <v>0</v>
      </c>
      <c r="M4342" s="285">
        <f t="shared" si="566"/>
        <v>0</v>
      </c>
      <c r="N4342" s="1076"/>
      <c r="O4342" s="294"/>
      <c r="P4342" s="404"/>
      <c r="Q4342" s="404"/>
    </row>
    <row r="4343" spans="1:17" ht="14.4" thickTop="1" thickBot="1" x14ac:dyDescent="0.3">
      <c r="A4343" s="292"/>
      <c r="B4343" s="294" t="s">
        <v>763</v>
      </c>
      <c r="C4343" s="294"/>
      <c r="D4343" s="294"/>
      <c r="E4343" s="294">
        <v>5</v>
      </c>
      <c r="F4343" s="310">
        <f>F4319+H4319+H4319</f>
        <v>6.3000000000000007</v>
      </c>
      <c r="G4343" s="310"/>
      <c r="H4343" s="310"/>
      <c r="I4343" s="295">
        <f t="shared" ref="I4343:I4353" si="577">F4343*E4343</f>
        <v>31.500000000000004</v>
      </c>
      <c r="J4343" s="295"/>
      <c r="K4343" s="300">
        <f t="shared" si="560"/>
        <v>1.1000000000000001</v>
      </c>
      <c r="L4343" s="300">
        <f t="shared" si="569"/>
        <v>0</v>
      </c>
      <c r="M4343" s="285">
        <f t="shared" si="566"/>
        <v>0</v>
      </c>
      <c r="N4343" s="1076"/>
      <c r="O4343" s="294"/>
      <c r="P4343" s="404"/>
      <c r="Q4343" s="404"/>
    </row>
    <row r="4344" spans="1:17" ht="14.4" thickTop="1" thickBot="1" x14ac:dyDescent="0.3">
      <c r="A4344" s="292"/>
      <c r="B4344" s="294" t="s">
        <v>764</v>
      </c>
      <c r="C4344" s="294"/>
      <c r="D4344" s="294"/>
      <c r="E4344" s="294">
        <v>2</v>
      </c>
      <c r="F4344" s="310">
        <f>F4297+H4297+F4297+H4297</f>
        <v>8.25</v>
      </c>
      <c r="G4344" s="310"/>
      <c r="H4344" s="310"/>
      <c r="I4344" s="295">
        <f t="shared" si="577"/>
        <v>16.5</v>
      </c>
      <c r="J4344" s="295"/>
      <c r="K4344" s="300">
        <f t="shared" ref="K4344:K4407" si="578">$K$2</f>
        <v>1.1000000000000001</v>
      </c>
      <c r="L4344" s="300">
        <f t="shared" si="569"/>
        <v>0</v>
      </c>
      <c r="M4344" s="285">
        <f t="shared" si="566"/>
        <v>0</v>
      </c>
      <c r="N4344" s="1076"/>
      <c r="O4344" s="294"/>
      <c r="P4344" s="404"/>
      <c r="Q4344" s="404"/>
    </row>
    <row r="4345" spans="1:17" ht="14.4" thickTop="1" thickBot="1" x14ac:dyDescent="0.3">
      <c r="A4345" s="292"/>
      <c r="B4345" s="294" t="s">
        <v>765</v>
      </c>
      <c r="C4345" s="294"/>
      <c r="D4345" s="294"/>
      <c r="E4345" s="294">
        <v>1</v>
      </c>
      <c r="F4345" s="310">
        <f>F4298+H4298+H4298</f>
        <v>7.2</v>
      </c>
      <c r="G4345" s="310"/>
      <c r="H4345" s="310"/>
      <c r="I4345" s="295">
        <f t="shared" si="577"/>
        <v>7.2</v>
      </c>
      <c r="J4345" s="295"/>
      <c r="K4345" s="300">
        <f t="shared" si="578"/>
        <v>1.1000000000000001</v>
      </c>
      <c r="L4345" s="300">
        <f t="shared" si="569"/>
        <v>0</v>
      </c>
      <c r="M4345" s="285">
        <f t="shared" si="566"/>
        <v>0</v>
      </c>
      <c r="N4345" s="1076"/>
      <c r="O4345" s="294"/>
      <c r="P4345" s="404"/>
      <c r="Q4345" s="404"/>
    </row>
    <row r="4346" spans="1:17" ht="14.4" thickTop="1" thickBot="1" x14ac:dyDescent="0.3">
      <c r="A4346" s="292"/>
      <c r="B4346" s="294" t="s">
        <v>811</v>
      </c>
      <c r="C4346" s="294"/>
      <c r="D4346" s="294"/>
      <c r="E4346" s="294">
        <v>1</v>
      </c>
      <c r="F4346" s="310">
        <f>4.8+3+3</f>
        <v>10.8</v>
      </c>
      <c r="G4346" s="310"/>
      <c r="H4346" s="310"/>
      <c r="I4346" s="295">
        <f t="shared" si="577"/>
        <v>10.8</v>
      </c>
      <c r="J4346" s="295"/>
      <c r="K4346" s="300">
        <f t="shared" si="578"/>
        <v>1.1000000000000001</v>
      </c>
      <c r="L4346" s="300">
        <f t="shared" si="569"/>
        <v>0</v>
      </c>
      <c r="M4346" s="285">
        <f t="shared" si="566"/>
        <v>0</v>
      </c>
      <c r="N4346" s="1076"/>
      <c r="O4346" s="294"/>
      <c r="P4346" s="404"/>
      <c r="Q4346" s="404"/>
    </row>
    <row r="4347" spans="1:17" ht="14.4" thickTop="1" thickBot="1" x14ac:dyDescent="0.3">
      <c r="A4347" s="292"/>
      <c r="B4347" s="294" t="s">
        <v>766</v>
      </c>
      <c r="C4347" s="294"/>
      <c r="D4347" s="294"/>
      <c r="E4347" s="294">
        <v>3</v>
      </c>
      <c r="F4347" s="310">
        <f>F4327+F4327+H4327+H4327</f>
        <v>8.0500000000000007</v>
      </c>
      <c r="G4347" s="310"/>
      <c r="H4347" s="310"/>
      <c r="I4347" s="295">
        <f t="shared" si="577"/>
        <v>24.150000000000002</v>
      </c>
      <c r="J4347" s="295"/>
      <c r="K4347" s="300">
        <f t="shared" si="578"/>
        <v>1.1000000000000001</v>
      </c>
      <c r="L4347" s="300">
        <f t="shared" si="569"/>
        <v>0</v>
      </c>
      <c r="M4347" s="285">
        <f t="shared" si="566"/>
        <v>0</v>
      </c>
      <c r="N4347" s="1076"/>
      <c r="O4347" s="294"/>
      <c r="P4347" s="404"/>
      <c r="Q4347" s="404"/>
    </row>
    <row r="4348" spans="1:17" ht="14.4" thickTop="1" thickBot="1" x14ac:dyDescent="0.3">
      <c r="A4348" s="292"/>
      <c r="B4348" s="294" t="s">
        <v>843</v>
      </c>
      <c r="C4348" s="294"/>
      <c r="D4348" s="294"/>
      <c r="E4348" s="294">
        <v>1</v>
      </c>
      <c r="F4348" s="310">
        <f>1.75+1.75+1.625+1.625</f>
        <v>6.75</v>
      </c>
      <c r="G4348" s="310"/>
      <c r="H4348" s="310"/>
      <c r="I4348" s="295">
        <f t="shared" si="577"/>
        <v>6.75</v>
      </c>
      <c r="J4348" s="295"/>
      <c r="K4348" s="300">
        <f t="shared" si="578"/>
        <v>1.1000000000000001</v>
      </c>
      <c r="L4348" s="300">
        <f t="shared" si="569"/>
        <v>0</v>
      </c>
      <c r="M4348" s="285"/>
      <c r="N4348" s="1076"/>
      <c r="O4348" s="294"/>
      <c r="P4348" s="404"/>
      <c r="Q4348" s="404"/>
    </row>
    <row r="4349" spans="1:17" ht="14.4" thickTop="1" thickBot="1" x14ac:dyDescent="0.3">
      <c r="A4349" s="292"/>
      <c r="B4349" s="294" t="s">
        <v>768</v>
      </c>
      <c r="C4349" s="294"/>
      <c r="D4349" s="294"/>
      <c r="E4349" s="294">
        <v>1</v>
      </c>
      <c r="F4349" s="310">
        <f>F4314+F4314+H4314+H4314</f>
        <v>10.55</v>
      </c>
      <c r="G4349" s="310"/>
      <c r="H4349" s="310"/>
      <c r="I4349" s="295">
        <f t="shared" si="577"/>
        <v>10.55</v>
      </c>
      <c r="J4349" s="295"/>
      <c r="K4349" s="300">
        <f t="shared" si="578"/>
        <v>1.1000000000000001</v>
      </c>
      <c r="L4349" s="300">
        <f t="shared" si="569"/>
        <v>0</v>
      </c>
      <c r="M4349" s="285">
        <f t="shared" si="566"/>
        <v>0</v>
      </c>
      <c r="N4349" s="1076"/>
      <c r="O4349" s="294"/>
      <c r="P4349" s="404"/>
      <c r="Q4349" s="404"/>
    </row>
    <row r="4350" spans="1:17" ht="14.4" thickTop="1" thickBot="1" x14ac:dyDescent="0.3">
      <c r="A4350" s="292"/>
      <c r="B4350" s="294" t="s">
        <v>769</v>
      </c>
      <c r="C4350" s="294"/>
      <c r="D4350" s="294"/>
      <c r="E4350" s="294">
        <v>2</v>
      </c>
      <c r="F4350" s="310">
        <f>F4307+F4307+H4307+H4307</f>
        <v>5.6</v>
      </c>
      <c r="G4350" s="310"/>
      <c r="H4350" s="310"/>
      <c r="I4350" s="295">
        <f t="shared" si="577"/>
        <v>11.2</v>
      </c>
      <c r="J4350" s="295"/>
      <c r="K4350" s="300">
        <f t="shared" si="578"/>
        <v>1.1000000000000001</v>
      </c>
      <c r="L4350" s="300">
        <f t="shared" si="569"/>
        <v>0</v>
      </c>
      <c r="M4350" s="285">
        <f t="shared" si="566"/>
        <v>0</v>
      </c>
      <c r="N4350" s="1076"/>
      <c r="O4350" s="294"/>
      <c r="P4350" s="404"/>
      <c r="Q4350" s="404"/>
    </row>
    <row r="4351" spans="1:17" ht="14.4" thickTop="1" thickBot="1" x14ac:dyDescent="0.3">
      <c r="A4351" s="292"/>
      <c r="B4351" s="294" t="s">
        <v>770</v>
      </c>
      <c r="C4351" s="294"/>
      <c r="D4351" s="294"/>
      <c r="E4351" s="294">
        <v>5</v>
      </c>
      <c r="F4351" s="310">
        <f>F4322+H4322+H4322</f>
        <v>6.3000000000000007</v>
      </c>
      <c r="G4351" s="310"/>
      <c r="H4351" s="310"/>
      <c r="I4351" s="295">
        <f t="shared" si="577"/>
        <v>31.500000000000004</v>
      </c>
      <c r="J4351" s="295"/>
      <c r="K4351" s="300">
        <f t="shared" si="578"/>
        <v>1.1000000000000001</v>
      </c>
      <c r="L4351" s="300">
        <f t="shared" si="569"/>
        <v>0</v>
      </c>
      <c r="M4351" s="285">
        <f t="shared" si="566"/>
        <v>0</v>
      </c>
      <c r="N4351" s="1076"/>
      <c r="O4351" s="294"/>
      <c r="P4351" s="404"/>
      <c r="Q4351" s="404"/>
    </row>
    <row r="4352" spans="1:17" ht="14.4" thickTop="1" thickBot="1" x14ac:dyDescent="0.3">
      <c r="A4352" s="292"/>
      <c r="B4352" s="294" t="s">
        <v>784</v>
      </c>
      <c r="C4352" s="294"/>
      <c r="D4352" s="294"/>
      <c r="E4352" s="294">
        <v>2</v>
      </c>
      <c r="F4352" s="310">
        <f>F4308+H4308+H4308</f>
        <v>6.3000000000000007</v>
      </c>
      <c r="G4352" s="310"/>
      <c r="H4352" s="310"/>
      <c r="I4352" s="295">
        <f t="shared" si="577"/>
        <v>12.600000000000001</v>
      </c>
      <c r="J4352" s="295"/>
      <c r="K4352" s="300">
        <f t="shared" si="578"/>
        <v>1.1000000000000001</v>
      </c>
      <c r="L4352" s="300">
        <f t="shared" si="569"/>
        <v>0</v>
      </c>
      <c r="M4352" s="285">
        <f t="shared" si="566"/>
        <v>0</v>
      </c>
      <c r="N4352" s="1076"/>
      <c r="O4352" s="294"/>
      <c r="P4352" s="404"/>
      <c r="Q4352" s="404"/>
    </row>
    <row r="4353" spans="1:17" ht="14.4" thickTop="1" thickBot="1" x14ac:dyDescent="0.3">
      <c r="A4353" s="292"/>
      <c r="B4353" s="294" t="s">
        <v>785</v>
      </c>
      <c r="C4353" s="294"/>
      <c r="D4353" s="294"/>
      <c r="E4353" s="294">
        <v>2</v>
      </c>
      <c r="F4353" s="310">
        <f>F4309+H4309+H4309</f>
        <v>6.15</v>
      </c>
      <c r="G4353" s="310"/>
      <c r="H4353" s="310"/>
      <c r="I4353" s="295">
        <f t="shared" si="577"/>
        <v>12.3</v>
      </c>
      <c r="J4353" s="295">
        <f>SUM(I4342:I4353)</f>
        <v>229.05</v>
      </c>
      <c r="K4353" s="300">
        <f t="shared" si="578"/>
        <v>1.1000000000000001</v>
      </c>
      <c r="L4353" s="300">
        <f t="shared" si="569"/>
        <v>251.95500000000004</v>
      </c>
      <c r="M4353" s="285">
        <f t="shared" si="566"/>
        <v>252</v>
      </c>
      <c r="N4353" s="1076"/>
      <c r="O4353" s="294"/>
      <c r="P4353" s="404"/>
      <c r="Q4353" s="404"/>
    </row>
    <row r="4354" spans="1:17" ht="14.4" thickTop="1" thickBot="1" x14ac:dyDescent="0.3">
      <c r="A4354" s="292"/>
      <c r="B4354" s="294"/>
      <c r="C4354" s="294"/>
      <c r="D4354" s="294"/>
      <c r="E4354" s="294"/>
      <c r="F4354" s="310"/>
      <c r="G4354" s="310"/>
      <c r="H4354" s="310"/>
      <c r="I4354" s="295"/>
      <c r="J4354" s="295">
        <f>J4353*3.28</f>
        <v>751.28399999999999</v>
      </c>
      <c r="K4354" s="300">
        <v>1.05</v>
      </c>
      <c r="L4354" s="300">
        <f t="shared" si="569"/>
        <v>788.84820000000002</v>
      </c>
      <c r="M4354" s="285">
        <f t="shared" si="566"/>
        <v>789</v>
      </c>
      <c r="N4354" s="1076"/>
      <c r="O4354" s="294"/>
      <c r="P4354" s="404"/>
      <c r="Q4354" s="404"/>
    </row>
    <row r="4355" spans="1:17" ht="14.4" thickTop="1" thickBot="1" x14ac:dyDescent="0.3">
      <c r="A4355" s="292"/>
      <c r="B4355" s="294" t="s">
        <v>802</v>
      </c>
      <c r="C4355" s="294"/>
      <c r="D4355" s="294"/>
      <c r="E4355" s="294"/>
      <c r="F4355" s="310"/>
      <c r="G4355" s="310"/>
      <c r="H4355" s="310"/>
      <c r="I4355" s="295"/>
      <c r="J4355" s="295"/>
      <c r="K4355" s="300">
        <f t="shared" si="578"/>
        <v>1.1000000000000001</v>
      </c>
      <c r="L4355" s="300">
        <f t="shared" si="569"/>
        <v>0</v>
      </c>
      <c r="M4355" s="285">
        <f t="shared" si="566"/>
        <v>0</v>
      </c>
      <c r="N4355" s="1076"/>
      <c r="O4355" s="294"/>
      <c r="P4355" s="404"/>
      <c r="Q4355" s="404"/>
    </row>
    <row r="4356" spans="1:17" ht="14.4" thickTop="1" thickBot="1" x14ac:dyDescent="0.3">
      <c r="A4356" s="292"/>
      <c r="B4356" s="294" t="s">
        <v>828</v>
      </c>
      <c r="C4356" s="294"/>
      <c r="D4356" s="294"/>
      <c r="E4356" s="294">
        <v>2</v>
      </c>
      <c r="F4356" s="310">
        <v>4.95</v>
      </c>
      <c r="G4356" s="310"/>
      <c r="H4356" s="310">
        <v>3.6</v>
      </c>
      <c r="I4356" s="295">
        <f>H4356*F4356*E4356</f>
        <v>35.64</v>
      </c>
      <c r="J4356" s="295"/>
      <c r="K4356" s="300">
        <f t="shared" si="578"/>
        <v>1.1000000000000001</v>
      </c>
      <c r="L4356" s="300">
        <f t="shared" si="569"/>
        <v>0</v>
      </c>
      <c r="M4356" s="285">
        <f t="shared" si="566"/>
        <v>0</v>
      </c>
      <c r="N4356" s="1076"/>
      <c r="O4356" s="294"/>
      <c r="P4356" s="404"/>
      <c r="Q4356" s="404"/>
    </row>
    <row r="4357" spans="1:17" ht="14.4" thickTop="1" thickBot="1" x14ac:dyDescent="0.3">
      <c r="A4357" s="292"/>
      <c r="B4357" s="294"/>
      <c r="C4357" s="294"/>
      <c r="D4357" s="294"/>
      <c r="E4357" s="294">
        <v>2</v>
      </c>
      <c r="F4357" s="310">
        <v>5.65</v>
      </c>
      <c r="G4357" s="310"/>
      <c r="H4357" s="310">
        <v>3.6</v>
      </c>
      <c r="I4357" s="295">
        <f>H4357*F4357*E4357</f>
        <v>40.680000000000007</v>
      </c>
      <c r="J4357" s="295"/>
      <c r="K4357" s="300">
        <f t="shared" si="578"/>
        <v>1.1000000000000001</v>
      </c>
      <c r="L4357" s="300">
        <f t="shared" si="569"/>
        <v>0</v>
      </c>
      <c r="M4357" s="285">
        <f t="shared" si="566"/>
        <v>0</v>
      </c>
      <c r="N4357" s="1076"/>
      <c r="O4357" s="294"/>
      <c r="P4357" s="404"/>
      <c r="Q4357" s="404"/>
    </row>
    <row r="4358" spans="1:17" ht="14.4" thickTop="1" thickBot="1" x14ac:dyDescent="0.3">
      <c r="A4358" s="292"/>
      <c r="B4358" s="294" t="s">
        <v>766</v>
      </c>
      <c r="C4358" s="294"/>
      <c r="D4358" s="294"/>
      <c r="E4358" s="294">
        <v>1</v>
      </c>
      <c r="F4358" s="310">
        <v>2.4</v>
      </c>
      <c r="G4358" s="310"/>
      <c r="H4358" s="310">
        <v>1.625</v>
      </c>
      <c r="I4358" s="295">
        <f>-H4358*F4358*E4358</f>
        <v>-3.9</v>
      </c>
      <c r="J4358" s="295"/>
      <c r="K4358" s="300">
        <f t="shared" si="578"/>
        <v>1.1000000000000001</v>
      </c>
      <c r="L4358" s="300">
        <f t="shared" si="569"/>
        <v>0</v>
      </c>
      <c r="M4358" s="285">
        <f t="shared" si="566"/>
        <v>0</v>
      </c>
      <c r="N4358" s="1076"/>
      <c r="O4358" s="294"/>
      <c r="P4358" s="404"/>
      <c r="Q4358" s="404"/>
    </row>
    <row r="4359" spans="1:17" ht="14.4" thickTop="1" thickBot="1" x14ac:dyDescent="0.3">
      <c r="A4359" s="292"/>
      <c r="B4359" s="294" t="s">
        <v>770</v>
      </c>
      <c r="C4359" s="294"/>
      <c r="D4359" s="294"/>
      <c r="E4359" s="294">
        <v>1</v>
      </c>
      <c r="F4359" s="310">
        <v>0.9</v>
      </c>
      <c r="G4359" s="310"/>
      <c r="H4359" s="310">
        <v>2.7</v>
      </c>
      <c r="I4359" s="295">
        <f>-H4359*F4359*E4359</f>
        <v>-2.4300000000000002</v>
      </c>
      <c r="J4359" s="295"/>
      <c r="K4359" s="300">
        <f t="shared" si="578"/>
        <v>1.1000000000000001</v>
      </c>
      <c r="L4359" s="300">
        <f t="shared" si="569"/>
        <v>0</v>
      </c>
      <c r="M4359" s="285">
        <f t="shared" si="566"/>
        <v>0</v>
      </c>
      <c r="N4359" s="1076"/>
      <c r="O4359" s="294"/>
      <c r="P4359" s="404"/>
      <c r="Q4359" s="404"/>
    </row>
    <row r="4360" spans="1:17" ht="14.4" thickTop="1" thickBot="1" x14ac:dyDescent="0.3">
      <c r="A4360" s="292"/>
      <c r="B4360" s="294" t="s">
        <v>829</v>
      </c>
      <c r="C4360" s="294"/>
      <c r="D4360" s="294"/>
      <c r="E4360" s="294">
        <v>2</v>
      </c>
      <c r="F4360" s="310">
        <v>3.1760000000000002</v>
      </c>
      <c r="G4360" s="310"/>
      <c r="H4360" s="310">
        <v>3.6</v>
      </c>
      <c r="I4360" s="295">
        <f t="shared" ref="I4360:I4361" si="579">H4360*F4360*E4360</f>
        <v>22.8672</v>
      </c>
      <c r="J4360" s="295"/>
      <c r="K4360" s="300">
        <f t="shared" si="578"/>
        <v>1.1000000000000001</v>
      </c>
      <c r="L4360" s="300">
        <f t="shared" si="569"/>
        <v>0</v>
      </c>
      <c r="M4360" s="285">
        <f t="shared" si="566"/>
        <v>0</v>
      </c>
      <c r="N4360" s="1076"/>
      <c r="O4360" s="294"/>
      <c r="P4360" s="404"/>
      <c r="Q4360" s="404"/>
    </row>
    <row r="4361" spans="1:17" ht="14.4" thickTop="1" thickBot="1" x14ac:dyDescent="0.3">
      <c r="A4361" s="292"/>
      <c r="B4361" s="294"/>
      <c r="C4361" s="294"/>
      <c r="D4361" s="294"/>
      <c r="E4361" s="294">
        <v>2</v>
      </c>
      <c r="F4361" s="310">
        <f>F4356</f>
        <v>4.95</v>
      </c>
      <c r="G4361" s="310"/>
      <c r="H4361" s="310">
        <v>3.6</v>
      </c>
      <c r="I4361" s="295">
        <f t="shared" si="579"/>
        <v>35.64</v>
      </c>
      <c r="J4361" s="295"/>
      <c r="K4361" s="300">
        <f t="shared" si="578"/>
        <v>1.1000000000000001</v>
      </c>
      <c r="L4361" s="300">
        <f t="shared" si="569"/>
        <v>0</v>
      </c>
      <c r="M4361" s="285">
        <f t="shared" si="566"/>
        <v>0</v>
      </c>
      <c r="N4361" s="1076"/>
      <c r="O4361" s="294"/>
      <c r="P4361" s="404"/>
      <c r="Q4361" s="404"/>
    </row>
    <row r="4362" spans="1:17" ht="14.4" thickTop="1" thickBot="1" x14ac:dyDescent="0.3">
      <c r="A4362" s="292"/>
      <c r="B4362" s="294" t="s">
        <v>766</v>
      </c>
      <c r="C4362" s="294"/>
      <c r="D4362" s="294"/>
      <c r="E4362" s="294">
        <v>1</v>
      </c>
      <c r="F4362" s="310">
        <v>2.4</v>
      </c>
      <c r="G4362" s="310"/>
      <c r="H4362" s="310">
        <v>1.625</v>
      </c>
      <c r="I4362" s="295">
        <f>-H4362*F4362*E4362</f>
        <v>-3.9</v>
      </c>
      <c r="J4362" s="295"/>
      <c r="K4362" s="300">
        <f t="shared" si="578"/>
        <v>1.1000000000000001</v>
      </c>
      <c r="L4362" s="300">
        <f t="shared" si="569"/>
        <v>0</v>
      </c>
      <c r="M4362" s="285">
        <f t="shared" si="566"/>
        <v>0</v>
      </c>
      <c r="N4362" s="1076"/>
      <c r="O4362" s="294"/>
      <c r="P4362" s="404"/>
      <c r="Q4362" s="404"/>
    </row>
    <row r="4363" spans="1:17" ht="14.4" thickTop="1" thickBot="1" x14ac:dyDescent="0.3">
      <c r="A4363" s="292"/>
      <c r="B4363" s="294" t="s">
        <v>770</v>
      </c>
      <c r="C4363" s="294"/>
      <c r="D4363" s="294"/>
      <c r="E4363" s="294">
        <v>2</v>
      </c>
      <c r="F4363" s="310">
        <v>0.9</v>
      </c>
      <c r="G4363" s="310"/>
      <c r="H4363" s="310">
        <v>2.7</v>
      </c>
      <c r="I4363" s="295">
        <f>-H4363*F4363*E4363</f>
        <v>-4.8600000000000003</v>
      </c>
      <c r="J4363" s="295"/>
      <c r="K4363" s="300">
        <f t="shared" si="578"/>
        <v>1.1000000000000001</v>
      </c>
      <c r="L4363" s="300">
        <f t="shared" si="569"/>
        <v>0</v>
      </c>
      <c r="M4363" s="285">
        <f t="shared" si="566"/>
        <v>0</v>
      </c>
      <c r="N4363" s="1076"/>
      <c r="O4363" s="294"/>
      <c r="P4363" s="404"/>
      <c r="Q4363" s="404"/>
    </row>
    <row r="4364" spans="1:17" ht="14.4" thickTop="1" thickBot="1" x14ac:dyDescent="0.3">
      <c r="A4364" s="292"/>
      <c r="B4364" s="294" t="s">
        <v>830</v>
      </c>
      <c r="C4364" s="294"/>
      <c r="D4364" s="294"/>
      <c r="E4364" s="294">
        <v>2</v>
      </c>
      <c r="F4364" s="310">
        <v>4.1749999999999998</v>
      </c>
      <c r="G4364" s="310"/>
      <c r="H4364" s="310">
        <v>3.6</v>
      </c>
      <c r="I4364" s="295">
        <f>H4364*F4364*E4364</f>
        <v>30.06</v>
      </c>
      <c r="J4364" s="295"/>
      <c r="K4364" s="300">
        <f t="shared" si="578"/>
        <v>1.1000000000000001</v>
      </c>
      <c r="L4364" s="300">
        <f t="shared" si="569"/>
        <v>0</v>
      </c>
      <c r="M4364" s="285">
        <f t="shared" si="566"/>
        <v>0</v>
      </c>
      <c r="N4364" s="1076"/>
      <c r="O4364" s="294"/>
      <c r="P4364" s="404"/>
      <c r="Q4364" s="404"/>
    </row>
    <row r="4365" spans="1:17" ht="14.4" thickTop="1" thickBot="1" x14ac:dyDescent="0.3">
      <c r="A4365" s="292"/>
      <c r="B4365" s="294"/>
      <c r="C4365" s="294"/>
      <c r="D4365" s="294"/>
      <c r="E4365" s="294">
        <v>2</v>
      </c>
      <c r="F4365" s="310">
        <v>5</v>
      </c>
      <c r="G4365" s="310"/>
      <c r="H4365" s="310">
        <v>3.6</v>
      </c>
      <c r="I4365" s="295">
        <f>H4365*F4365*E4365</f>
        <v>36</v>
      </c>
      <c r="J4365" s="295"/>
      <c r="K4365" s="300">
        <f t="shared" si="578"/>
        <v>1.1000000000000001</v>
      </c>
      <c r="L4365" s="300">
        <f t="shared" si="569"/>
        <v>0</v>
      </c>
      <c r="M4365" s="285">
        <f t="shared" si="566"/>
        <v>0</v>
      </c>
      <c r="N4365" s="1076"/>
      <c r="O4365" s="294"/>
      <c r="P4365" s="404"/>
      <c r="Q4365" s="404"/>
    </row>
    <row r="4366" spans="1:17" ht="14.4" thickTop="1" thickBot="1" x14ac:dyDescent="0.3">
      <c r="A4366" s="292"/>
      <c r="B4366" s="294" t="s">
        <v>766</v>
      </c>
      <c r="C4366" s="294"/>
      <c r="D4366" s="294"/>
      <c r="E4366" s="294">
        <v>1</v>
      </c>
      <c r="F4366" s="310">
        <v>2.4</v>
      </c>
      <c r="G4366" s="310"/>
      <c r="H4366" s="310">
        <v>1.625</v>
      </c>
      <c r="I4366" s="295">
        <f>-H4366*F4366*E4366</f>
        <v>-3.9</v>
      </c>
      <c r="J4366" s="295"/>
      <c r="K4366" s="300">
        <f t="shared" si="578"/>
        <v>1.1000000000000001</v>
      </c>
      <c r="L4366" s="300">
        <f t="shared" si="569"/>
        <v>0</v>
      </c>
      <c r="M4366" s="285">
        <f t="shared" si="566"/>
        <v>0</v>
      </c>
      <c r="N4366" s="1076"/>
      <c r="O4366" s="294"/>
      <c r="P4366" s="404"/>
      <c r="Q4366" s="404"/>
    </row>
    <row r="4367" spans="1:17" ht="14.4" thickTop="1" thickBot="1" x14ac:dyDescent="0.3">
      <c r="A4367" s="292"/>
      <c r="B4367" s="294" t="s">
        <v>770</v>
      </c>
      <c r="C4367" s="294"/>
      <c r="D4367" s="294"/>
      <c r="E4367" s="294">
        <v>1</v>
      </c>
      <c r="F4367" s="310">
        <v>0.9</v>
      </c>
      <c r="G4367" s="310"/>
      <c r="H4367" s="310">
        <v>2.7</v>
      </c>
      <c r="I4367" s="295">
        <f>-H4367*F4367*E4367</f>
        <v>-2.4300000000000002</v>
      </c>
      <c r="J4367" s="295"/>
      <c r="K4367" s="300">
        <f t="shared" si="578"/>
        <v>1.1000000000000001</v>
      </c>
      <c r="L4367" s="300">
        <f t="shared" si="569"/>
        <v>0</v>
      </c>
      <c r="M4367" s="285">
        <f t="shared" si="566"/>
        <v>0</v>
      </c>
      <c r="N4367" s="1076"/>
      <c r="O4367" s="294"/>
      <c r="P4367" s="404"/>
      <c r="Q4367" s="404"/>
    </row>
    <row r="4368" spans="1:17" ht="14.4" thickTop="1" thickBot="1" x14ac:dyDescent="0.3">
      <c r="A4368" s="292"/>
      <c r="B4368" s="294" t="s">
        <v>762</v>
      </c>
      <c r="C4368" s="294"/>
      <c r="D4368" s="294"/>
      <c r="E4368" s="294">
        <v>1</v>
      </c>
      <c r="F4368" s="310">
        <v>2.4</v>
      </c>
      <c r="G4368" s="310"/>
      <c r="H4368" s="310">
        <v>2.1</v>
      </c>
      <c r="I4368" s="295">
        <f>-H4368*F4368*E4368</f>
        <v>-5.04</v>
      </c>
      <c r="J4368" s="295"/>
      <c r="K4368" s="300">
        <f t="shared" si="578"/>
        <v>1.1000000000000001</v>
      </c>
      <c r="L4368" s="300">
        <f t="shared" si="569"/>
        <v>0</v>
      </c>
      <c r="M4368" s="285">
        <f t="shared" si="566"/>
        <v>0</v>
      </c>
      <c r="N4368" s="1076"/>
      <c r="O4368" s="294"/>
      <c r="P4368" s="404"/>
      <c r="Q4368" s="404"/>
    </row>
    <row r="4369" spans="1:17" ht="14.4" thickTop="1" thickBot="1" x14ac:dyDescent="0.3">
      <c r="A4369" s="292"/>
      <c r="B4369" s="294" t="s">
        <v>708</v>
      </c>
      <c r="C4369" s="294"/>
      <c r="D4369" s="294"/>
      <c r="E4369" s="294">
        <v>3</v>
      </c>
      <c r="F4369" s="310">
        <v>4.75</v>
      </c>
      <c r="G4369" s="310"/>
      <c r="H4369" s="310">
        <v>3.6</v>
      </c>
      <c r="I4369" s="295">
        <f t="shared" ref="I4369:I4372" si="580">H4369*F4369*E4369</f>
        <v>51.300000000000004</v>
      </c>
      <c r="J4369" s="295"/>
      <c r="K4369" s="300">
        <f t="shared" si="578"/>
        <v>1.1000000000000001</v>
      </c>
      <c r="L4369" s="300">
        <f t="shared" si="569"/>
        <v>0</v>
      </c>
      <c r="M4369" s="285">
        <f t="shared" si="566"/>
        <v>0</v>
      </c>
      <c r="N4369" s="1076"/>
      <c r="O4369" s="294"/>
      <c r="P4369" s="404"/>
      <c r="Q4369" s="404"/>
    </row>
    <row r="4370" spans="1:17" ht="14.4" thickTop="1" thickBot="1" x14ac:dyDescent="0.3">
      <c r="A4370" s="292"/>
      <c r="B4370" s="294"/>
      <c r="C4370" s="294"/>
      <c r="D4370" s="294"/>
      <c r="E4370" s="294">
        <v>4</v>
      </c>
      <c r="F4370" s="310">
        <v>3.5249999999999999</v>
      </c>
      <c r="G4370" s="310"/>
      <c r="H4370" s="310">
        <v>3.6</v>
      </c>
      <c r="I4370" s="295">
        <f t="shared" si="580"/>
        <v>50.76</v>
      </c>
      <c r="J4370" s="295"/>
      <c r="K4370" s="300">
        <f t="shared" si="578"/>
        <v>1.1000000000000001</v>
      </c>
      <c r="L4370" s="300">
        <f t="shared" si="569"/>
        <v>0</v>
      </c>
      <c r="M4370" s="285">
        <f t="shared" si="566"/>
        <v>0</v>
      </c>
      <c r="N4370" s="1076"/>
      <c r="O4370" s="294"/>
      <c r="P4370" s="404"/>
      <c r="Q4370" s="404"/>
    </row>
    <row r="4371" spans="1:17" ht="14.4" thickTop="1" thickBot="1" x14ac:dyDescent="0.3">
      <c r="A4371" s="292"/>
      <c r="B4371" s="294"/>
      <c r="C4371" s="294"/>
      <c r="D4371" s="294"/>
      <c r="E4371" s="294">
        <v>8</v>
      </c>
      <c r="F4371" s="310">
        <v>1.3</v>
      </c>
      <c r="G4371" s="310"/>
      <c r="H4371" s="310">
        <v>3.6</v>
      </c>
      <c r="I4371" s="295">
        <f t="shared" si="580"/>
        <v>37.440000000000005</v>
      </c>
      <c r="J4371" s="295"/>
      <c r="K4371" s="300">
        <f t="shared" si="578"/>
        <v>1.1000000000000001</v>
      </c>
      <c r="L4371" s="300">
        <f t="shared" ref="L4371:L4434" si="581">K4371*J4371</f>
        <v>0</v>
      </c>
      <c r="M4371" s="285">
        <f t="shared" si="566"/>
        <v>0</v>
      </c>
      <c r="N4371" s="1076"/>
      <c r="O4371" s="294"/>
      <c r="P4371" s="404"/>
      <c r="Q4371" s="404"/>
    </row>
    <row r="4372" spans="1:17" ht="14.4" thickTop="1" thickBot="1" x14ac:dyDescent="0.3">
      <c r="A4372" s="292"/>
      <c r="B4372" s="294"/>
      <c r="C4372" s="294"/>
      <c r="D4372" s="294"/>
      <c r="E4372" s="294">
        <v>4</v>
      </c>
      <c r="F4372" s="310">
        <v>1</v>
      </c>
      <c r="G4372" s="310"/>
      <c r="H4372" s="310">
        <v>3.6</v>
      </c>
      <c r="I4372" s="295">
        <f t="shared" si="580"/>
        <v>14.4</v>
      </c>
      <c r="J4372" s="295"/>
      <c r="K4372" s="300">
        <f t="shared" si="578"/>
        <v>1.1000000000000001</v>
      </c>
      <c r="L4372" s="300">
        <f t="shared" si="581"/>
        <v>0</v>
      </c>
      <c r="M4372" s="285">
        <f t="shared" si="566"/>
        <v>0</v>
      </c>
      <c r="N4372" s="1076"/>
      <c r="O4372" s="294"/>
      <c r="P4372" s="404"/>
      <c r="Q4372" s="404"/>
    </row>
    <row r="4373" spans="1:17" ht="14.4" thickTop="1" thickBot="1" x14ac:dyDescent="0.3">
      <c r="A4373" s="292"/>
      <c r="B4373" s="294" t="s">
        <v>769</v>
      </c>
      <c r="C4373" s="294"/>
      <c r="D4373" s="294"/>
      <c r="E4373" s="294">
        <v>2</v>
      </c>
      <c r="F4373" s="310">
        <v>2.2000000000000002</v>
      </c>
      <c r="G4373" s="310"/>
      <c r="H4373" s="310">
        <v>0.6</v>
      </c>
      <c r="I4373" s="295">
        <f t="shared" ref="I4373:I4375" si="582">-H4373*F4373*E4373</f>
        <v>-2.64</v>
      </c>
      <c r="J4373" s="295"/>
      <c r="K4373" s="300">
        <f t="shared" si="578"/>
        <v>1.1000000000000001</v>
      </c>
      <c r="L4373" s="300">
        <f t="shared" si="581"/>
        <v>0</v>
      </c>
      <c r="M4373" s="285">
        <f t="shared" si="566"/>
        <v>0</v>
      </c>
      <c r="N4373" s="1076"/>
      <c r="O4373" s="294"/>
      <c r="P4373" s="404"/>
      <c r="Q4373" s="404"/>
    </row>
    <row r="4374" spans="1:17" ht="14.4" thickTop="1" thickBot="1" x14ac:dyDescent="0.3">
      <c r="A4374" s="292"/>
      <c r="B4374" s="294" t="s">
        <v>784</v>
      </c>
      <c r="C4374" s="294"/>
      <c r="D4374" s="294"/>
      <c r="E4374" s="294">
        <v>4</v>
      </c>
      <c r="F4374" s="310">
        <v>0.9</v>
      </c>
      <c r="G4374" s="310"/>
      <c r="H4374" s="310">
        <v>2.7</v>
      </c>
      <c r="I4374" s="295">
        <f t="shared" si="582"/>
        <v>-9.7200000000000006</v>
      </c>
      <c r="J4374" s="295"/>
      <c r="K4374" s="300">
        <f t="shared" si="578"/>
        <v>1.1000000000000001</v>
      </c>
      <c r="L4374" s="300">
        <f t="shared" si="581"/>
        <v>0</v>
      </c>
      <c r="M4374" s="285">
        <f t="shared" si="566"/>
        <v>0</v>
      </c>
      <c r="N4374" s="1076"/>
      <c r="O4374" s="294"/>
      <c r="P4374" s="404"/>
      <c r="Q4374" s="404"/>
    </row>
    <row r="4375" spans="1:17" ht="14.4" thickTop="1" thickBot="1" x14ac:dyDescent="0.3">
      <c r="A4375" s="292"/>
      <c r="B4375" s="294" t="s">
        <v>785</v>
      </c>
      <c r="C4375" s="294"/>
      <c r="D4375" s="294"/>
      <c r="E4375" s="294">
        <v>4</v>
      </c>
      <c r="F4375" s="310">
        <v>0.75</v>
      </c>
      <c r="G4375" s="310"/>
      <c r="H4375" s="310">
        <v>2.7</v>
      </c>
      <c r="I4375" s="295">
        <f t="shared" si="582"/>
        <v>-8.1000000000000014</v>
      </c>
      <c r="J4375" s="295"/>
      <c r="K4375" s="300">
        <f t="shared" si="578"/>
        <v>1.1000000000000001</v>
      </c>
      <c r="L4375" s="300">
        <f t="shared" si="581"/>
        <v>0</v>
      </c>
      <c r="M4375" s="285">
        <f t="shared" si="566"/>
        <v>0</v>
      </c>
      <c r="N4375" s="1076"/>
      <c r="O4375" s="294"/>
      <c r="P4375" s="404"/>
      <c r="Q4375" s="404"/>
    </row>
    <row r="4376" spans="1:17" ht="14.4" thickTop="1" thickBot="1" x14ac:dyDescent="0.3">
      <c r="A4376" s="292"/>
      <c r="B4376" s="294" t="s">
        <v>819</v>
      </c>
      <c r="C4376" s="294"/>
      <c r="D4376" s="294"/>
      <c r="E4376" s="294">
        <v>1</v>
      </c>
      <c r="F4376" s="310">
        <v>2.2749999999999999</v>
      </c>
      <c r="G4376" s="310"/>
      <c r="H4376" s="310">
        <v>3.6</v>
      </c>
      <c r="I4376" s="295">
        <f t="shared" ref="I4376:I4377" si="583">H4376*F4376*E4376</f>
        <v>8.19</v>
      </c>
      <c r="J4376" s="295"/>
      <c r="K4376" s="300">
        <f t="shared" si="578"/>
        <v>1.1000000000000001</v>
      </c>
      <c r="L4376" s="300">
        <f t="shared" si="581"/>
        <v>0</v>
      </c>
      <c r="M4376" s="285">
        <f t="shared" si="566"/>
        <v>0</v>
      </c>
      <c r="N4376" s="1076"/>
      <c r="O4376" s="294"/>
      <c r="P4376" s="404"/>
      <c r="Q4376" s="404"/>
    </row>
    <row r="4377" spans="1:17" ht="14.4" thickTop="1" thickBot="1" x14ac:dyDescent="0.3">
      <c r="A4377" s="292"/>
      <c r="B4377" s="294"/>
      <c r="C4377" s="294"/>
      <c r="D4377" s="294"/>
      <c r="E4377" s="294">
        <v>2</v>
      </c>
      <c r="F4377" s="310">
        <v>3.75</v>
      </c>
      <c r="G4377" s="310"/>
      <c r="H4377" s="310">
        <v>3.6</v>
      </c>
      <c r="I4377" s="295">
        <f t="shared" si="583"/>
        <v>27</v>
      </c>
      <c r="J4377" s="295"/>
      <c r="K4377" s="300">
        <f t="shared" si="578"/>
        <v>1.1000000000000001</v>
      </c>
      <c r="L4377" s="300">
        <f t="shared" si="581"/>
        <v>0</v>
      </c>
      <c r="M4377" s="285">
        <f t="shared" si="566"/>
        <v>0</v>
      </c>
      <c r="N4377" s="1076"/>
      <c r="O4377" s="294"/>
      <c r="P4377" s="404"/>
      <c r="Q4377" s="404"/>
    </row>
    <row r="4378" spans="1:17" ht="14.4" thickTop="1" thickBot="1" x14ac:dyDescent="0.3">
      <c r="A4378" s="292"/>
      <c r="B4378" s="294" t="s">
        <v>820</v>
      </c>
      <c r="C4378" s="294"/>
      <c r="D4378" s="294"/>
      <c r="E4378" s="294">
        <v>2</v>
      </c>
      <c r="F4378" s="310">
        <v>3.3679999999999999</v>
      </c>
      <c r="G4378" s="310">
        <v>1.1000000000000001</v>
      </c>
      <c r="H4378" s="310"/>
      <c r="I4378" s="295">
        <f>G4378*F4378*E4378</f>
        <v>7.4096000000000002</v>
      </c>
      <c r="J4378" s="295"/>
      <c r="K4378" s="300">
        <f t="shared" si="578"/>
        <v>1.1000000000000001</v>
      </c>
      <c r="L4378" s="300">
        <f t="shared" si="581"/>
        <v>0</v>
      </c>
      <c r="M4378" s="285">
        <f t="shared" si="566"/>
        <v>0</v>
      </c>
      <c r="N4378" s="1076"/>
      <c r="O4378" s="294"/>
      <c r="P4378" s="404"/>
      <c r="Q4378" s="404"/>
    </row>
    <row r="4379" spans="1:17" ht="14.4" thickTop="1" thickBot="1" x14ac:dyDescent="0.3">
      <c r="A4379" s="292"/>
      <c r="B4379" s="294" t="s">
        <v>821</v>
      </c>
      <c r="C4379" s="294"/>
      <c r="D4379" s="294"/>
      <c r="E4379" s="294">
        <v>1</v>
      </c>
      <c r="F4379" s="310">
        <f>F4376</f>
        <v>2.2749999999999999</v>
      </c>
      <c r="G4379" s="310">
        <v>1</v>
      </c>
      <c r="H4379" s="310"/>
      <c r="I4379" s="295">
        <f>G4379*F4379*E4379</f>
        <v>2.2749999999999999</v>
      </c>
      <c r="J4379" s="295"/>
      <c r="K4379" s="300">
        <f t="shared" si="578"/>
        <v>1.1000000000000001</v>
      </c>
      <c r="L4379" s="300">
        <f t="shared" si="581"/>
        <v>0</v>
      </c>
      <c r="M4379" s="285">
        <f t="shared" si="566"/>
        <v>0</v>
      </c>
      <c r="N4379" s="1076"/>
      <c r="O4379" s="294"/>
      <c r="P4379" s="404"/>
      <c r="Q4379" s="404"/>
    </row>
    <row r="4380" spans="1:17" ht="14.4" thickTop="1" thickBot="1" x14ac:dyDescent="0.3">
      <c r="A4380" s="292"/>
      <c r="B4380" s="294" t="s">
        <v>768</v>
      </c>
      <c r="C4380" s="294"/>
      <c r="D4380" s="294"/>
      <c r="E4380" s="294">
        <v>1</v>
      </c>
      <c r="F4380" s="310">
        <v>2.2749999999999999</v>
      </c>
      <c r="G4380" s="310"/>
      <c r="H4380" s="310">
        <v>3</v>
      </c>
      <c r="I4380" s="295">
        <f>-H4380*F4380*E4380</f>
        <v>-6.8249999999999993</v>
      </c>
      <c r="J4380" s="295"/>
      <c r="K4380" s="300">
        <f t="shared" si="578"/>
        <v>1.1000000000000001</v>
      </c>
      <c r="L4380" s="300">
        <f t="shared" si="581"/>
        <v>0</v>
      </c>
      <c r="M4380" s="285">
        <f t="shared" si="566"/>
        <v>0</v>
      </c>
      <c r="N4380" s="1076"/>
      <c r="O4380" s="294"/>
      <c r="P4380" s="404"/>
      <c r="Q4380" s="404"/>
    </row>
    <row r="4381" spans="1:17" ht="14.4" thickTop="1" thickBot="1" x14ac:dyDescent="0.3">
      <c r="A4381" s="292"/>
      <c r="B4381" s="294" t="s">
        <v>817</v>
      </c>
      <c r="C4381" s="294"/>
      <c r="D4381" s="294"/>
      <c r="E4381" s="294">
        <v>1</v>
      </c>
      <c r="F4381" s="310">
        <v>4.5</v>
      </c>
      <c r="G4381" s="310"/>
      <c r="H4381" s="310">
        <v>3.6</v>
      </c>
      <c r="I4381" s="295">
        <f t="shared" ref="I4381:I4390" si="584">H4381*F4381*E4381</f>
        <v>16.2</v>
      </c>
      <c r="J4381" s="295"/>
      <c r="K4381" s="300">
        <f t="shared" si="578"/>
        <v>1.1000000000000001</v>
      </c>
      <c r="L4381" s="300">
        <f t="shared" si="581"/>
        <v>0</v>
      </c>
      <c r="M4381" s="285">
        <f t="shared" si="566"/>
        <v>0</v>
      </c>
      <c r="N4381" s="1076"/>
      <c r="O4381" s="294"/>
      <c r="P4381" s="404"/>
      <c r="Q4381" s="404"/>
    </row>
    <row r="4382" spans="1:17" ht="14.4" thickTop="1" thickBot="1" x14ac:dyDescent="0.3">
      <c r="A4382" s="292"/>
      <c r="B4382" s="294"/>
      <c r="C4382" s="294"/>
      <c r="D4382" s="294"/>
      <c r="E4382" s="294">
        <v>1</v>
      </c>
      <c r="F4382" s="310">
        <v>4.875</v>
      </c>
      <c r="G4382" s="310"/>
      <c r="H4382" s="310">
        <v>3.6</v>
      </c>
      <c r="I4382" s="295">
        <f t="shared" si="584"/>
        <v>17.55</v>
      </c>
      <c r="J4382" s="295"/>
      <c r="K4382" s="300">
        <f t="shared" si="578"/>
        <v>1.1000000000000001</v>
      </c>
      <c r="L4382" s="300">
        <f t="shared" si="581"/>
        <v>0</v>
      </c>
      <c r="M4382" s="285">
        <f t="shared" si="566"/>
        <v>0</v>
      </c>
      <c r="N4382" s="1076"/>
      <c r="O4382" s="294"/>
      <c r="P4382" s="404"/>
      <c r="Q4382" s="404"/>
    </row>
    <row r="4383" spans="1:17" ht="14.4" thickTop="1" thickBot="1" x14ac:dyDescent="0.3">
      <c r="A4383" s="292"/>
      <c r="B4383" s="294"/>
      <c r="C4383" s="294"/>
      <c r="D4383" s="294"/>
      <c r="E4383" s="294">
        <v>1</v>
      </c>
      <c r="F4383" s="310">
        <v>3.625</v>
      </c>
      <c r="G4383" s="310"/>
      <c r="H4383" s="310">
        <v>3.6</v>
      </c>
      <c r="I4383" s="295">
        <f t="shared" si="584"/>
        <v>13.05</v>
      </c>
      <c r="J4383" s="295"/>
      <c r="K4383" s="300">
        <f t="shared" si="578"/>
        <v>1.1000000000000001</v>
      </c>
      <c r="L4383" s="300">
        <f t="shared" si="581"/>
        <v>0</v>
      </c>
      <c r="M4383" s="285">
        <f t="shared" si="566"/>
        <v>0</v>
      </c>
      <c r="N4383" s="1076"/>
      <c r="O4383" s="294"/>
      <c r="P4383" s="404"/>
      <c r="Q4383" s="404"/>
    </row>
    <row r="4384" spans="1:17" ht="14.4" thickTop="1" thickBot="1" x14ac:dyDescent="0.3">
      <c r="A4384" s="292"/>
      <c r="B4384" s="294" t="s">
        <v>772</v>
      </c>
      <c r="C4384" s="294"/>
      <c r="D4384" s="294"/>
      <c r="E4384" s="294">
        <v>1</v>
      </c>
      <c r="F4384" s="310">
        <v>4.5</v>
      </c>
      <c r="G4384" s="310"/>
      <c r="H4384" s="310">
        <v>3</v>
      </c>
      <c r="I4384" s="295">
        <f>-H4384*F4384*E4384</f>
        <v>-13.5</v>
      </c>
      <c r="J4384" s="295"/>
      <c r="K4384" s="300">
        <f t="shared" si="578"/>
        <v>1.1000000000000001</v>
      </c>
      <c r="L4384" s="300">
        <f t="shared" si="581"/>
        <v>0</v>
      </c>
      <c r="M4384" s="285">
        <f t="shared" ref="M4384:M4460" si="585">ROUND(L4384,0)</f>
        <v>0</v>
      </c>
      <c r="N4384" s="1076"/>
      <c r="O4384" s="294"/>
      <c r="P4384" s="404"/>
      <c r="Q4384" s="404"/>
    </row>
    <row r="4385" spans="1:17" ht="14.4" thickTop="1" thickBot="1" x14ac:dyDescent="0.3">
      <c r="A4385" s="292"/>
      <c r="B4385" s="294" t="s">
        <v>818</v>
      </c>
      <c r="C4385" s="294"/>
      <c r="D4385" s="294"/>
      <c r="E4385" s="294">
        <v>2</v>
      </c>
      <c r="F4385" s="310">
        <v>4.875</v>
      </c>
      <c r="G4385" s="310"/>
      <c r="H4385" s="310">
        <f>H4382</f>
        <v>3.6</v>
      </c>
      <c r="I4385" s="295">
        <f t="shared" si="584"/>
        <v>35.1</v>
      </c>
      <c r="J4385" s="295"/>
      <c r="K4385" s="300">
        <f t="shared" si="578"/>
        <v>1.1000000000000001</v>
      </c>
      <c r="L4385" s="300">
        <f t="shared" si="581"/>
        <v>0</v>
      </c>
      <c r="M4385" s="285">
        <f t="shared" si="585"/>
        <v>0</v>
      </c>
      <c r="N4385" s="1076"/>
      <c r="O4385" s="294"/>
      <c r="P4385" s="404"/>
      <c r="Q4385" s="404"/>
    </row>
    <row r="4386" spans="1:17" ht="14.4" thickTop="1" thickBot="1" x14ac:dyDescent="0.3">
      <c r="A4386" s="292"/>
      <c r="B4386" s="294"/>
      <c r="C4386" s="294"/>
      <c r="D4386" s="294"/>
      <c r="E4386" s="294">
        <v>1</v>
      </c>
      <c r="F4386" s="310">
        <v>1.25</v>
      </c>
      <c r="G4386" s="310"/>
      <c r="H4386" s="310">
        <v>3.6</v>
      </c>
      <c r="I4386" s="295">
        <f t="shared" si="584"/>
        <v>4.5</v>
      </c>
      <c r="J4386" s="295"/>
      <c r="K4386" s="300">
        <f t="shared" si="578"/>
        <v>1.1000000000000001</v>
      </c>
      <c r="L4386" s="300">
        <f t="shared" si="581"/>
        <v>0</v>
      </c>
      <c r="M4386" s="285"/>
      <c r="N4386" s="1076"/>
      <c r="O4386" s="294"/>
      <c r="P4386" s="404"/>
      <c r="Q4386" s="404"/>
    </row>
    <row r="4387" spans="1:17" ht="14.4" thickTop="1" thickBot="1" x14ac:dyDescent="0.3">
      <c r="A4387" s="292"/>
      <c r="B4387" s="294" t="s">
        <v>770</v>
      </c>
      <c r="C4387" s="294"/>
      <c r="D4387" s="294"/>
      <c r="E4387" s="294">
        <v>3</v>
      </c>
      <c r="F4387" s="310">
        <v>0.9</v>
      </c>
      <c r="G4387" s="310"/>
      <c r="H4387" s="310">
        <v>2.7</v>
      </c>
      <c r="I4387" s="295">
        <f>-H4387*F4387*E4387</f>
        <v>-7.2900000000000009</v>
      </c>
      <c r="J4387" s="295"/>
      <c r="K4387" s="300">
        <f t="shared" si="578"/>
        <v>1.1000000000000001</v>
      </c>
      <c r="L4387" s="300">
        <f t="shared" si="581"/>
        <v>0</v>
      </c>
      <c r="M4387" s="285">
        <f t="shared" si="585"/>
        <v>0</v>
      </c>
      <c r="N4387" s="1076"/>
      <c r="O4387" s="294"/>
      <c r="P4387" s="404"/>
      <c r="Q4387" s="404"/>
    </row>
    <row r="4388" spans="1:17" ht="14.4" thickTop="1" thickBot="1" x14ac:dyDescent="0.3">
      <c r="A4388" s="292"/>
      <c r="B4388" s="294" t="s">
        <v>822</v>
      </c>
      <c r="C4388" s="294"/>
      <c r="D4388" s="294"/>
      <c r="E4388" s="294">
        <v>1</v>
      </c>
      <c r="F4388" s="310">
        <v>2.4500000000000002</v>
      </c>
      <c r="G4388" s="310"/>
      <c r="H4388" s="310">
        <v>3.6</v>
      </c>
      <c r="I4388" s="295">
        <f t="shared" si="584"/>
        <v>8.82</v>
      </c>
      <c r="J4388" s="295"/>
      <c r="K4388" s="300">
        <f t="shared" si="578"/>
        <v>1.1000000000000001</v>
      </c>
      <c r="L4388" s="300">
        <f t="shared" si="581"/>
        <v>0</v>
      </c>
      <c r="M4388" s="285">
        <f t="shared" si="585"/>
        <v>0</v>
      </c>
      <c r="N4388" s="1076"/>
      <c r="O4388" s="294"/>
      <c r="P4388" s="404"/>
      <c r="Q4388" s="404"/>
    </row>
    <row r="4389" spans="1:17" ht="14.4" thickTop="1" thickBot="1" x14ac:dyDescent="0.3">
      <c r="A4389" s="292"/>
      <c r="B4389" s="294" t="s">
        <v>831</v>
      </c>
      <c r="C4389" s="294"/>
      <c r="D4389" s="294"/>
      <c r="E4389" s="294">
        <v>1</v>
      </c>
      <c r="F4389" s="310">
        <v>11.725</v>
      </c>
      <c r="G4389" s="310"/>
      <c r="H4389" s="310">
        <v>3.6</v>
      </c>
      <c r="I4389" s="295">
        <f t="shared" si="584"/>
        <v>42.21</v>
      </c>
      <c r="J4389" s="295"/>
      <c r="K4389" s="300">
        <f t="shared" si="578"/>
        <v>1.1000000000000001</v>
      </c>
      <c r="L4389" s="300">
        <f t="shared" si="581"/>
        <v>0</v>
      </c>
      <c r="M4389" s="285">
        <f t="shared" si="585"/>
        <v>0</v>
      </c>
      <c r="N4389" s="1076"/>
      <c r="O4389" s="294"/>
      <c r="P4389" s="404"/>
      <c r="Q4389" s="404"/>
    </row>
    <row r="4390" spans="1:17" ht="14.4" thickTop="1" thickBot="1" x14ac:dyDescent="0.3">
      <c r="A4390" s="292"/>
      <c r="B4390" s="294"/>
      <c r="C4390" s="294"/>
      <c r="D4390" s="294"/>
      <c r="E4390" s="294">
        <v>2</v>
      </c>
      <c r="F4390" s="310">
        <v>4.8499999999999996</v>
      </c>
      <c r="G4390" s="310"/>
      <c r="H4390" s="310">
        <v>3.6</v>
      </c>
      <c r="I4390" s="295">
        <f t="shared" si="584"/>
        <v>34.92</v>
      </c>
      <c r="J4390" s="295"/>
      <c r="K4390" s="300">
        <f t="shared" si="578"/>
        <v>1.1000000000000001</v>
      </c>
      <c r="L4390" s="300">
        <f t="shared" si="581"/>
        <v>0</v>
      </c>
      <c r="M4390" s="285">
        <f t="shared" si="585"/>
        <v>0</v>
      </c>
      <c r="N4390" s="1076"/>
      <c r="O4390" s="294"/>
      <c r="P4390" s="404"/>
      <c r="Q4390" s="404"/>
    </row>
    <row r="4391" spans="1:17" ht="14.4" thickTop="1" thickBot="1" x14ac:dyDescent="0.3">
      <c r="A4391" s="292"/>
      <c r="B4391" s="294" t="s">
        <v>770</v>
      </c>
      <c r="C4391" s="294"/>
      <c r="D4391" s="294"/>
      <c r="E4391" s="294">
        <v>1</v>
      </c>
      <c r="F4391" s="310">
        <v>0.9</v>
      </c>
      <c r="G4391" s="310"/>
      <c r="H4391" s="310">
        <v>2.7</v>
      </c>
      <c r="I4391" s="295">
        <f>-H4391*F4391*E4391</f>
        <v>-2.4300000000000002</v>
      </c>
      <c r="J4391" s="295"/>
      <c r="K4391" s="300">
        <f t="shared" si="578"/>
        <v>1.1000000000000001</v>
      </c>
      <c r="L4391" s="300">
        <f t="shared" si="581"/>
        <v>0</v>
      </c>
      <c r="M4391" s="285">
        <f t="shared" si="585"/>
        <v>0</v>
      </c>
      <c r="N4391" s="1076"/>
      <c r="O4391" s="294"/>
      <c r="P4391" s="404"/>
      <c r="Q4391" s="404"/>
    </row>
    <row r="4392" spans="1:17" ht="14.4" thickTop="1" thickBot="1" x14ac:dyDescent="0.3">
      <c r="A4392" s="292"/>
      <c r="B4392" s="294" t="s">
        <v>766</v>
      </c>
      <c r="C4392" s="294"/>
      <c r="D4392" s="294"/>
      <c r="E4392" s="294">
        <v>4</v>
      </c>
      <c r="F4392" s="310">
        <v>2.4</v>
      </c>
      <c r="G4392" s="310"/>
      <c r="H4392" s="310">
        <v>1.625</v>
      </c>
      <c r="I4392" s="295">
        <f>-H4392*F4392*E4392</f>
        <v>-15.6</v>
      </c>
      <c r="J4392" s="295"/>
      <c r="K4392" s="300">
        <f t="shared" si="578"/>
        <v>1.1000000000000001</v>
      </c>
      <c r="L4392" s="300">
        <f t="shared" si="581"/>
        <v>0</v>
      </c>
      <c r="M4392" s="285">
        <f t="shared" si="585"/>
        <v>0</v>
      </c>
      <c r="N4392" s="1076"/>
      <c r="O4392" s="294"/>
      <c r="P4392" s="404"/>
      <c r="Q4392" s="404"/>
    </row>
    <row r="4393" spans="1:17" ht="14.4" thickTop="1" thickBot="1" x14ac:dyDescent="0.3">
      <c r="A4393" s="292"/>
      <c r="B4393" s="294" t="s">
        <v>818</v>
      </c>
      <c r="C4393" s="294"/>
      <c r="D4393" s="294"/>
      <c r="E4393" s="294">
        <v>1</v>
      </c>
      <c r="F4393" s="310">
        <v>1.25</v>
      </c>
      <c r="G4393" s="310"/>
      <c r="H4393" s="310">
        <v>3.6</v>
      </c>
      <c r="I4393" s="295">
        <f>H4393*F4393*E4393</f>
        <v>4.5</v>
      </c>
      <c r="J4393" s="295"/>
      <c r="K4393" s="300">
        <f t="shared" si="578"/>
        <v>1.1000000000000001</v>
      </c>
      <c r="L4393" s="300">
        <f t="shared" si="581"/>
        <v>0</v>
      </c>
      <c r="M4393" s="285">
        <f t="shared" si="585"/>
        <v>0</v>
      </c>
      <c r="N4393" s="1076"/>
      <c r="O4393" s="294"/>
      <c r="P4393" s="404"/>
      <c r="Q4393" s="404"/>
    </row>
    <row r="4394" spans="1:17" ht="14.4" thickTop="1" thickBot="1" x14ac:dyDescent="0.3">
      <c r="A4394" s="292"/>
      <c r="B4394" s="294"/>
      <c r="C4394" s="294"/>
      <c r="D4394" s="294"/>
      <c r="E4394" s="294">
        <v>1</v>
      </c>
      <c r="F4394" s="310">
        <v>8.7140000000000004</v>
      </c>
      <c r="G4394" s="310"/>
      <c r="H4394" s="310">
        <v>3.6</v>
      </c>
      <c r="I4394" s="295">
        <f>H4394*F4394*E4394</f>
        <v>31.370400000000004</v>
      </c>
      <c r="J4394" s="295"/>
      <c r="K4394" s="300">
        <f t="shared" si="578"/>
        <v>1.1000000000000001</v>
      </c>
      <c r="L4394" s="300">
        <f t="shared" si="581"/>
        <v>0</v>
      </c>
      <c r="M4394" s="285">
        <f t="shared" si="585"/>
        <v>0</v>
      </c>
      <c r="N4394" s="1076"/>
      <c r="O4394" s="294"/>
      <c r="P4394" s="404"/>
      <c r="Q4394" s="404"/>
    </row>
    <row r="4395" spans="1:17" ht="14.4" thickTop="1" thickBot="1" x14ac:dyDescent="0.3">
      <c r="A4395" s="292"/>
      <c r="B4395" s="294" t="s">
        <v>832</v>
      </c>
      <c r="C4395" s="294"/>
      <c r="D4395" s="294"/>
      <c r="E4395" s="294">
        <v>2</v>
      </c>
      <c r="F4395" s="310">
        <v>5.2359999999999998</v>
      </c>
      <c r="G4395" s="310"/>
      <c r="H4395" s="310">
        <v>3.6</v>
      </c>
      <c r="I4395" s="295">
        <f t="shared" ref="I4395:I4396" si="586">H4395*F4395*E4395</f>
        <v>37.699199999999998</v>
      </c>
      <c r="J4395" s="295"/>
      <c r="K4395" s="300">
        <f t="shared" si="578"/>
        <v>1.1000000000000001</v>
      </c>
      <c r="L4395" s="300">
        <f t="shared" si="581"/>
        <v>0</v>
      </c>
      <c r="M4395" s="285">
        <f t="shared" si="585"/>
        <v>0</v>
      </c>
      <c r="N4395" s="1076"/>
      <c r="O4395" s="294"/>
      <c r="P4395" s="404"/>
      <c r="Q4395" s="404"/>
    </row>
    <row r="4396" spans="1:17" ht="14.4" thickTop="1" thickBot="1" x14ac:dyDescent="0.3">
      <c r="A4396" s="292"/>
      <c r="B4396" s="294"/>
      <c r="C4396" s="294"/>
      <c r="D4396" s="294"/>
      <c r="E4396" s="294">
        <v>2</v>
      </c>
      <c r="F4396" s="310">
        <v>3.75</v>
      </c>
      <c r="G4396" s="310"/>
      <c r="H4396" s="310">
        <v>3.6</v>
      </c>
      <c r="I4396" s="295">
        <f t="shared" si="586"/>
        <v>27</v>
      </c>
      <c r="J4396" s="295"/>
      <c r="K4396" s="300">
        <f t="shared" si="578"/>
        <v>1.1000000000000001</v>
      </c>
      <c r="L4396" s="300">
        <f t="shared" si="581"/>
        <v>0</v>
      </c>
      <c r="M4396" s="285">
        <f t="shared" si="585"/>
        <v>0</v>
      </c>
      <c r="N4396" s="1076"/>
      <c r="O4396" s="294"/>
      <c r="P4396" s="404"/>
      <c r="Q4396" s="404"/>
    </row>
    <row r="4397" spans="1:17" ht="14.4" thickTop="1" thickBot="1" x14ac:dyDescent="0.3">
      <c r="A4397" s="292"/>
      <c r="B4397" s="294" t="s">
        <v>762</v>
      </c>
      <c r="C4397" s="294"/>
      <c r="D4397" s="294"/>
      <c r="E4397" s="294">
        <v>1</v>
      </c>
      <c r="F4397" s="310">
        <v>2.4</v>
      </c>
      <c r="G4397" s="310"/>
      <c r="H4397" s="310">
        <v>2.1</v>
      </c>
      <c r="I4397" s="295">
        <f>-H4397*F4397*E4397</f>
        <v>-5.04</v>
      </c>
      <c r="J4397" s="295"/>
      <c r="K4397" s="300">
        <f t="shared" si="578"/>
        <v>1.1000000000000001</v>
      </c>
      <c r="L4397" s="300">
        <f t="shared" si="581"/>
        <v>0</v>
      </c>
      <c r="M4397" s="285">
        <f t="shared" si="585"/>
        <v>0</v>
      </c>
      <c r="N4397" s="1076"/>
      <c r="O4397" s="294"/>
      <c r="P4397" s="404"/>
      <c r="Q4397" s="404"/>
    </row>
    <row r="4398" spans="1:17" ht="14.4" thickTop="1" thickBot="1" x14ac:dyDescent="0.3">
      <c r="A4398" s="292"/>
      <c r="B4398" s="294" t="s">
        <v>792</v>
      </c>
      <c r="C4398" s="294"/>
      <c r="D4398" s="294"/>
      <c r="E4398" s="294">
        <v>1</v>
      </c>
      <c r="F4398" s="310">
        <v>0.9</v>
      </c>
      <c r="G4398" s="310"/>
      <c r="H4398" s="310">
        <v>2.4</v>
      </c>
      <c r="I4398" s="295">
        <f>-H4398*F4398*E4398</f>
        <v>-2.16</v>
      </c>
      <c r="J4398" s="295"/>
      <c r="K4398" s="300">
        <f t="shared" si="578"/>
        <v>1.1000000000000001</v>
      </c>
      <c r="L4398" s="300">
        <f t="shared" si="581"/>
        <v>0</v>
      </c>
      <c r="M4398" s="285">
        <f t="shared" si="585"/>
        <v>0</v>
      </c>
      <c r="N4398" s="1076"/>
      <c r="O4398" s="294"/>
      <c r="P4398" s="404"/>
      <c r="Q4398" s="404"/>
    </row>
    <row r="4399" spans="1:17" ht="14.4" thickTop="1" thickBot="1" x14ac:dyDescent="0.3">
      <c r="A4399" s="292"/>
      <c r="B4399" s="294" t="s">
        <v>833</v>
      </c>
      <c r="C4399" s="294"/>
      <c r="D4399" s="294"/>
      <c r="E4399" s="294">
        <v>2</v>
      </c>
      <c r="F4399" s="310">
        <v>8.7140000000000004</v>
      </c>
      <c r="G4399" s="310"/>
      <c r="H4399" s="310">
        <v>3.6</v>
      </c>
      <c r="I4399" s="295">
        <f t="shared" ref="I4399:I4400" si="587">H4399*F4399*E4399</f>
        <v>62.740800000000007</v>
      </c>
      <c r="J4399" s="295"/>
      <c r="K4399" s="300">
        <f t="shared" si="578"/>
        <v>1.1000000000000001</v>
      </c>
      <c r="L4399" s="300">
        <f t="shared" si="581"/>
        <v>0</v>
      </c>
      <c r="M4399" s="285">
        <f t="shared" si="585"/>
        <v>0</v>
      </c>
      <c r="N4399" s="1076"/>
      <c r="O4399" s="294"/>
      <c r="P4399" s="404"/>
      <c r="Q4399" s="404"/>
    </row>
    <row r="4400" spans="1:17" ht="14.4" thickTop="1" thickBot="1" x14ac:dyDescent="0.3">
      <c r="A4400" s="292"/>
      <c r="B4400" s="294"/>
      <c r="C4400" s="294"/>
      <c r="D4400" s="294"/>
      <c r="E4400" s="294">
        <v>2</v>
      </c>
      <c r="F4400" s="310">
        <f>F4396</f>
        <v>3.75</v>
      </c>
      <c r="G4400" s="310"/>
      <c r="H4400" s="310">
        <v>3.6</v>
      </c>
      <c r="I4400" s="295">
        <f t="shared" si="587"/>
        <v>27</v>
      </c>
      <c r="J4400" s="295"/>
      <c r="K4400" s="300">
        <f t="shared" si="578"/>
        <v>1.1000000000000001</v>
      </c>
      <c r="L4400" s="300">
        <f t="shared" si="581"/>
        <v>0</v>
      </c>
      <c r="M4400" s="285">
        <f t="shared" si="585"/>
        <v>0</v>
      </c>
      <c r="N4400" s="1076"/>
      <c r="O4400" s="294"/>
      <c r="P4400" s="404"/>
      <c r="Q4400" s="404"/>
    </row>
    <row r="4401" spans="1:17" ht="14.4" thickTop="1" thickBot="1" x14ac:dyDescent="0.3">
      <c r="A4401" s="292"/>
      <c r="B4401" s="294" t="s">
        <v>762</v>
      </c>
      <c r="C4401" s="294"/>
      <c r="D4401" s="294"/>
      <c r="E4401" s="294">
        <v>2</v>
      </c>
      <c r="F4401" s="310">
        <v>2.4</v>
      </c>
      <c r="G4401" s="310"/>
      <c r="H4401" s="310">
        <v>2.1</v>
      </c>
      <c r="I4401" s="295">
        <f>-H4401*F4401*E4401</f>
        <v>-10.08</v>
      </c>
      <c r="J4401" s="295"/>
      <c r="K4401" s="300">
        <f t="shared" si="578"/>
        <v>1.1000000000000001</v>
      </c>
      <c r="L4401" s="300">
        <f t="shared" si="581"/>
        <v>0</v>
      </c>
      <c r="M4401" s="285">
        <f t="shared" si="585"/>
        <v>0</v>
      </c>
      <c r="N4401" s="1076"/>
      <c r="O4401" s="294"/>
      <c r="P4401" s="404"/>
      <c r="Q4401" s="404"/>
    </row>
    <row r="4402" spans="1:17" ht="14.4" thickTop="1" thickBot="1" x14ac:dyDescent="0.3">
      <c r="A4402" s="292"/>
      <c r="B4402" s="294" t="s">
        <v>766</v>
      </c>
      <c r="C4402" s="294"/>
      <c r="D4402" s="294"/>
      <c r="E4402" s="294">
        <v>1</v>
      </c>
      <c r="F4402" s="310">
        <v>2.4</v>
      </c>
      <c r="G4402" s="310"/>
      <c r="H4402" s="310">
        <v>1.625</v>
      </c>
      <c r="I4402" s="295">
        <f>-H4402*F4402*E4402</f>
        <v>-3.9</v>
      </c>
      <c r="J4402" s="295"/>
      <c r="K4402" s="300">
        <f t="shared" si="578"/>
        <v>1.1000000000000001</v>
      </c>
      <c r="L4402" s="300">
        <f t="shared" si="581"/>
        <v>0</v>
      </c>
      <c r="M4402" s="285">
        <f t="shared" si="585"/>
        <v>0</v>
      </c>
      <c r="N4402" s="1076"/>
      <c r="O4402" s="294"/>
      <c r="P4402" s="404"/>
      <c r="Q4402" s="404"/>
    </row>
    <row r="4403" spans="1:17" ht="14.4" thickTop="1" thickBot="1" x14ac:dyDescent="0.3">
      <c r="A4403" s="292"/>
      <c r="B4403" s="294" t="s">
        <v>792</v>
      </c>
      <c r="C4403" s="294"/>
      <c r="D4403" s="294"/>
      <c r="E4403" s="294">
        <v>1</v>
      </c>
      <c r="F4403" s="310">
        <v>0.9</v>
      </c>
      <c r="G4403" s="310"/>
      <c r="H4403" s="310">
        <v>2.4</v>
      </c>
      <c r="I4403" s="295">
        <f>-H4403*F4403*E4403</f>
        <v>-2.16</v>
      </c>
      <c r="J4403" s="295">
        <f>SUM(I4356:I4403)</f>
        <v>646.41719999999998</v>
      </c>
      <c r="K4403" s="300">
        <f t="shared" si="578"/>
        <v>1.1000000000000001</v>
      </c>
      <c r="L4403" s="300">
        <f t="shared" si="581"/>
        <v>711.05892000000006</v>
      </c>
      <c r="M4403" s="285">
        <f t="shared" si="585"/>
        <v>711</v>
      </c>
      <c r="N4403" s="1076"/>
      <c r="O4403" s="294"/>
      <c r="P4403" s="404"/>
      <c r="Q4403" s="404"/>
    </row>
    <row r="4404" spans="1:17" ht="14.4" thickTop="1" thickBot="1" x14ac:dyDescent="0.3">
      <c r="A4404" s="292"/>
      <c r="B4404" s="294"/>
      <c r="C4404" s="294"/>
      <c r="D4404" s="294"/>
      <c r="E4404" s="294"/>
      <c r="F4404" s="310"/>
      <c r="G4404" s="310"/>
      <c r="H4404" s="310"/>
      <c r="I4404" s="295"/>
      <c r="J4404" s="295">
        <f>J4403/9.29</f>
        <v>69.582045209903129</v>
      </c>
      <c r="K4404" s="300">
        <v>1.05</v>
      </c>
      <c r="L4404" s="300">
        <f t="shared" si="581"/>
        <v>73.061147470398282</v>
      </c>
      <c r="M4404" s="285">
        <f t="shared" si="585"/>
        <v>73</v>
      </c>
      <c r="N4404" s="1076"/>
      <c r="O4404" s="294"/>
      <c r="P4404" s="404"/>
      <c r="Q4404" s="404"/>
    </row>
    <row r="4405" spans="1:17" ht="14.4" thickTop="1" thickBot="1" x14ac:dyDescent="0.3">
      <c r="A4405" s="292"/>
      <c r="B4405" s="294" t="s">
        <v>839</v>
      </c>
      <c r="C4405" s="294"/>
      <c r="D4405" s="294"/>
      <c r="E4405" s="294"/>
      <c r="F4405" s="310"/>
      <c r="G4405" s="310"/>
      <c r="H4405" s="310"/>
      <c r="I4405" s="295"/>
      <c r="J4405" s="295"/>
      <c r="K4405" s="300">
        <f t="shared" si="578"/>
        <v>1.1000000000000001</v>
      </c>
      <c r="L4405" s="300">
        <f t="shared" si="581"/>
        <v>0</v>
      </c>
      <c r="M4405" s="285">
        <f t="shared" si="585"/>
        <v>0</v>
      </c>
      <c r="N4405" s="1076"/>
      <c r="O4405" s="294"/>
      <c r="P4405" s="404"/>
      <c r="Q4405" s="404"/>
    </row>
    <row r="4406" spans="1:17" ht="14.4" thickTop="1" thickBot="1" x14ac:dyDescent="0.3">
      <c r="A4406" s="292"/>
      <c r="B4406" s="294" t="s">
        <v>766</v>
      </c>
      <c r="C4406" s="294"/>
      <c r="D4406" s="294"/>
      <c r="E4406" s="294">
        <v>8</v>
      </c>
      <c r="F4406" s="310">
        <f>F4402+F4402+H4402+H4402</f>
        <v>8.0500000000000007</v>
      </c>
      <c r="G4406" s="310"/>
      <c r="H4406" s="310"/>
      <c r="I4406" s="295">
        <f>F4406*E4406</f>
        <v>64.400000000000006</v>
      </c>
      <c r="J4406" s="295"/>
      <c r="K4406" s="300">
        <f t="shared" si="578"/>
        <v>1.1000000000000001</v>
      </c>
      <c r="L4406" s="300">
        <f t="shared" si="581"/>
        <v>0</v>
      </c>
      <c r="M4406" s="285">
        <f t="shared" si="585"/>
        <v>0</v>
      </c>
      <c r="N4406" s="1076"/>
      <c r="O4406" s="294"/>
      <c r="P4406" s="404"/>
      <c r="Q4406" s="404"/>
    </row>
    <row r="4407" spans="1:17" ht="14.4" thickTop="1" thickBot="1" x14ac:dyDescent="0.3">
      <c r="A4407" s="292"/>
      <c r="B4407" s="294" t="s">
        <v>762</v>
      </c>
      <c r="C4407" s="294"/>
      <c r="D4407" s="294"/>
      <c r="E4407" s="294">
        <v>4</v>
      </c>
      <c r="F4407" s="310">
        <f>F4401+F4401+H4401+H4401</f>
        <v>9</v>
      </c>
      <c r="G4407" s="310"/>
      <c r="H4407" s="310"/>
      <c r="I4407" s="295">
        <f t="shared" ref="I4407:I4412" si="588">F4407*E4407</f>
        <v>36</v>
      </c>
      <c r="J4407" s="295"/>
      <c r="K4407" s="300">
        <f t="shared" si="578"/>
        <v>1.1000000000000001</v>
      </c>
      <c r="L4407" s="300">
        <f t="shared" si="581"/>
        <v>0</v>
      </c>
      <c r="M4407" s="285">
        <f t="shared" si="585"/>
        <v>0</v>
      </c>
      <c r="N4407" s="1076"/>
      <c r="O4407" s="294"/>
      <c r="P4407" s="404"/>
      <c r="Q4407" s="404"/>
    </row>
    <row r="4408" spans="1:17" ht="14.4" thickTop="1" thickBot="1" x14ac:dyDescent="0.3">
      <c r="A4408" s="292"/>
      <c r="B4408" s="294" t="s">
        <v>768</v>
      </c>
      <c r="C4408" s="294"/>
      <c r="D4408" s="294"/>
      <c r="E4408" s="294">
        <v>1</v>
      </c>
      <c r="F4408" s="310">
        <f>F4380+F4380+H4380+H4380</f>
        <v>10.55</v>
      </c>
      <c r="G4408" s="310"/>
      <c r="H4408" s="310"/>
      <c r="I4408" s="295">
        <f t="shared" si="588"/>
        <v>10.55</v>
      </c>
      <c r="J4408" s="295"/>
      <c r="K4408" s="300">
        <f t="shared" ref="K4408:K4469" si="589">$K$2</f>
        <v>1.1000000000000001</v>
      </c>
      <c r="L4408" s="300">
        <f t="shared" si="581"/>
        <v>0</v>
      </c>
      <c r="M4408" s="285">
        <f t="shared" si="585"/>
        <v>0</v>
      </c>
      <c r="N4408" s="1076"/>
      <c r="O4408" s="294"/>
      <c r="P4408" s="404"/>
      <c r="Q4408" s="404"/>
    </row>
    <row r="4409" spans="1:17" ht="14.4" thickTop="1" thickBot="1" x14ac:dyDescent="0.3">
      <c r="A4409" s="292"/>
      <c r="B4409" s="294" t="s">
        <v>769</v>
      </c>
      <c r="C4409" s="294"/>
      <c r="D4409" s="294"/>
      <c r="E4409" s="294">
        <v>2</v>
      </c>
      <c r="F4409" s="310">
        <f>F4373+F4373+H4373+H4373</f>
        <v>5.6</v>
      </c>
      <c r="G4409" s="310"/>
      <c r="H4409" s="310"/>
      <c r="I4409" s="295">
        <f t="shared" si="588"/>
        <v>11.2</v>
      </c>
      <c r="J4409" s="295"/>
      <c r="K4409" s="300">
        <f t="shared" si="589"/>
        <v>1.1000000000000001</v>
      </c>
      <c r="L4409" s="300">
        <f t="shared" si="581"/>
        <v>0</v>
      </c>
      <c r="M4409" s="285">
        <f t="shared" si="585"/>
        <v>0</v>
      </c>
      <c r="N4409" s="1076"/>
      <c r="O4409" s="294"/>
      <c r="P4409" s="404"/>
      <c r="Q4409" s="404"/>
    </row>
    <row r="4410" spans="1:17" ht="14.4" thickTop="1" thickBot="1" x14ac:dyDescent="0.3">
      <c r="A4410" s="292"/>
      <c r="B4410" s="294" t="s">
        <v>770</v>
      </c>
      <c r="C4410" s="294"/>
      <c r="D4410" s="294"/>
      <c r="E4410" s="294">
        <v>5</v>
      </c>
      <c r="F4410" s="310">
        <f>F4391+H4391+H4391</f>
        <v>6.3000000000000007</v>
      </c>
      <c r="G4410" s="310"/>
      <c r="H4410" s="310"/>
      <c r="I4410" s="295">
        <f t="shared" si="588"/>
        <v>31.500000000000004</v>
      </c>
      <c r="J4410" s="295"/>
      <c r="K4410" s="300">
        <f t="shared" si="589"/>
        <v>1.1000000000000001</v>
      </c>
      <c r="L4410" s="300">
        <f t="shared" si="581"/>
        <v>0</v>
      </c>
      <c r="M4410" s="285">
        <f t="shared" si="585"/>
        <v>0</v>
      </c>
      <c r="N4410" s="1076"/>
      <c r="O4410" s="294"/>
      <c r="P4410" s="404"/>
      <c r="Q4410" s="404"/>
    </row>
    <row r="4411" spans="1:17" ht="14.4" thickTop="1" thickBot="1" x14ac:dyDescent="0.3">
      <c r="A4411" s="292"/>
      <c r="B4411" s="294" t="s">
        <v>784</v>
      </c>
      <c r="C4411" s="294"/>
      <c r="D4411" s="294"/>
      <c r="E4411" s="294">
        <v>2</v>
      </c>
      <c r="F4411" s="310">
        <f>F4374+H4374+H4374</f>
        <v>6.3000000000000007</v>
      </c>
      <c r="G4411" s="310"/>
      <c r="H4411" s="310"/>
      <c r="I4411" s="295">
        <f t="shared" si="588"/>
        <v>12.600000000000001</v>
      </c>
      <c r="J4411" s="295"/>
      <c r="K4411" s="300">
        <f t="shared" si="589"/>
        <v>1.1000000000000001</v>
      </c>
      <c r="L4411" s="300">
        <f t="shared" si="581"/>
        <v>0</v>
      </c>
      <c r="M4411" s="285">
        <f t="shared" si="585"/>
        <v>0</v>
      </c>
      <c r="N4411" s="1076"/>
      <c r="O4411" s="294"/>
      <c r="P4411" s="404"/>
      <c r="Q4411" s="404"/>
    </row>
    <row r="4412" spans="1:17" ht="14.4" thickTop="1" thickBot="1" x14ac:dyDescent="0.3">
      <c r="A4412" s="292"/>
      <c r="B4412" s="294" t="s">
        <v>785</v>
      </c>
      <c r="C4412" s="294"/>
      <c r="D4412" s="294"/>
      <c r="E4412" s="294">
        <v>3</v>
      </c>
      <c r="F4412" s="310">
        <f>F4375+H4375+H4375</f>
        <v>6.15</v>
      </c>
      <c r="G4412" s="310"/>
      <c r="H4412" s="310"/>
      <c r="I4412" s="295">
        <f t="shared" si="588"/>
        <v>18.450000000000003</v>
      </c>
      <c r="J4412" s="295">
        <f>SUM(I4406:I4412)</f>
        <v>184.7</v>
      </c>
      <c r="K4412" s="300">
        <f t="shared" si="589"/>
        <v>1.1000000000000001</v>
      </c>
      <c r="L4412" s="300">
        <f t="shared" si="581"/>
        <v>203.17000000000002</v>
      </c>
      <c r="M4412" s="285">
        <f t="shared" si="585"/>
        <v>203</v>
      </c>
      <c r="N4412" s="1076"/>
      <c r="O4412" s="294"/>
      <c r="P4412" s="404"/>
      <c r="Q4412" s="404"/>
    </row>
    <row r="4413" spans="1:17" ht="14.4" thickTop="1" thickBot="1" x14ac:dyDescent="0.3">
      <c r="A4413" s="292"/>
      <c r="B4413" s="294"/>
      <c r="C4413" s="294"/>
      <c r="D4413" s="294"/>
      <c r="E4413" s="294"/>
      <c r="F4413" s="310"/>
      <c r="G4413" s="310"/>
      <c r="H4413" s="310"/>
      <c r="I4413" s="295"/>
      <c r="J4413" s="295">
        <f>J4412*3.28</f>
        <v>605.81599999999992</v>
      </c>
      <c r="K4413" s="300">
        <v>1.05</v>
      </c>
      <c r="L4413" s="300">
        <f t="shared" si="581"/>
        <v>636.10679999999991</v>
      </c>
      <c r="M4413" s="285">
        <f t="shared" si="585"/>
        <v>636</v>
      </c>
      <c r="N4413" s="1076"/>
      <c r="O4413" s="294"/>
      <c r="P4413" s="404"/>
      <c r="Q4413" s="404"/>
    </row>
    <row r="4414" spans="1:17" ht="14.4" thickTop="1" thickBot="1" x14ac:dyDescent="0.3">
      <c r="A4414" s="292"/>
      <c r="B4414" s="294" t="s">
        <v>803</v>
      </c>
      <c r="C4414" s="294"/>
      <c r="D4414" s="294"/>
      <c r="E4414" s="294"/>
      <c r="F4414" s="310"/>
      <c r="G4414" s="310"/>
      <c r="H4414" s="310"/>
      <c r="I4414" s="295"/>
      <c r="J4414" s="295"/>
      <c r="K4414" s="300">
        <f t="shared" si="589"/>
        <v>1.1000000000000001</v>
      </c>
      <c r="L4414" s="300">
        <f t="shared" si="581"/>
        <v>0</v>
      </c>
      <c r="M4414" s="285">
        <f t="shared" si="585"/>
        <v>0</v>
      </c>
      <c r="N4414" s="1076"/>
      <c r="O4414" s="294"/>
      <c r="P4414" s="404"/>
      <c r="Q4414" s="404"/>
    </row>
    <row r="4415" spans="1:17" ht="14.4" thickTop="1" thickBot="1" x14ac:dyDescent="0.3">
      <c r="A4415" s="292"/>
      <c r="B4415" s="294" t="s">
        <v>834</v>
      </c>
      <c r="C4415" s="294"/>
      <c r="D4415" s="294"/>
      <c r="E4415" s="294">
        <v>2</v>
      </c>
      <c r="F4415" s="310">
        <v>4.95</v>
      </c>
      <c r="G4415" s="310"/>
      <c r="H4415" s="310">
        <v>4.2750000000000004</v>
      </c>
      <c r="I4415" s="295">
        <f>H4415*F4415*E4415</f>
        <v>42.322500000000005</v>
      </c>
      <c r="J4415" s="295"/>
      <c r="K4415" s="300">
        <f t="shared" si="589"/>
        <v>1.1000000000000001</v>
      </c>
      <c r="L4415" s="300">
        <f t="shared" si="581"/>
        <v>0</v>
      </c>
      <c r="M4415" s="285">
        <f t="shared" si="585"/>
        <v>0</v>
      </c>
      <c r="N4415" s="1076"/>
      <c r="O4415" s="294"/>
      <c r="P4415" s="404"/>
      <c r="Q4415" s="404"/>
    </row>
    <row r="4416" spans="1:17" ht="14.4" thickTop="1" thickBot="1" x14ac:dyDescent="0.3">
      <c r="A4416" s="292"/>
      <c r="B4416" s="294"/>
      <c r="C4416" s="294"/>
      <c r="D4416" s="294"/>
      <c r="E4416" s="294">
        <v>2</v>
      </c>
      <c r="F4416" s="310">
        <v>4.3</v>
      </c>
      <c r="G4416" s="310"/>
      <c r="H4416" s="310">
        <f>H4415</f>
        <v>4.2750000000000004</v>
      </c>
      <c r="I4416" s="295">
        <f>H4416*F4416*E4416</f>
        <v>36.765000000000001</v>
      </c>
      <c r="J4416" s="295"/>
      <c r="K4416" s="300">
        <f t="shared" si="589"/>
        <v>1.1000000000000001</v>
      </c>
      <c r="L4416" s="300">
        <f t="shared" si="581"/>
        <v>0</v>
      </c>
      <c r="M4416" s="285">
        <f t="shared" si="585"/>
        <v>0</v>
      </c>
      <c r="N4416" s="1076"/>
      <c r="O4416" s="294"/>
      <c r="P4416" s="404"/>
      <c r="Q4416" s="404"/>
    </row>
    <row r="4417" spans="1:17" ht="14.4" thickTop="1" thickBot="1" x14ac:dyDescent="0.3">
      <c r="A4417" s="292"/>
      <c r="B4417" s="294" t="s">
        <v>766</v>
      </c>
      <c r="C4417" s="294"/>
      <c r="D4417" s="294"/>
      <c r="E4417" s="294">
        <v>1</v>
      </c>
      <c r="F4417" s="310">
        <v>2.4</v>
      </c>
      <c r="G4417" s="310"/>
      <c r="H4417" s="310">
        <v>1.625</v>
      </c>
      <c r="I4417" s="295">
        <f>-H4417*F4417*E4417</f>
        <v>-3.9</v>
      </c>
      <c r="J4417" s="295"/>
      <c r="K4417" s="300">
        <f t="shared" si="589"/>
        <v>1.1000000000000001</v>
      </c>
      <c r="L4417" s="300">
        <f t="shared" si="581"/>
        <v>0</v>
      </c>
      <c r="M4417" s="285">
        <f t="shared" si="585"/>
        <v>0</v>
      </c>
      <c r="N4417" s="1076"/>
      <c r="O4417" s="294"/>
      <c r="P4417" s="404"/>
      <c r="Q4417" s="404"/>
    </row>
    <row r="4418" spans="1:17" ht="14.4" thickTop="1" thickBot="1" x14ac:dyDescent="0.3">
      <c r="A4418" s="292"/>
      <c r="B4418" s="294" t="s">
        <v>770</v>
      </c>
      <c r="C4418" s="294"/>
      <c r="D4418" s="294"/>
      <c r="E4418" s="294">
        <v>2</v>
      </c>
      <c r="F4418" s="310">
        <v>0.9</v>
      </c>
      <c r="G4418" s="310"/>
      <c r="H4418" s="310">
        <v>2.7</v>
      </c>
      <c r="I4418" s="295">
        <f>-H4418*F4418*E4418</f>
        <v>-4.8600000000000003</v>
      </c>
      <c r="J4418" s="295"/>
      <c r="K4418" s="300">
        <f t="shared" si="589"/>
        <v>1.1000000000000001</v>
      </c>
      <c r="L4418" s="300">
        <f t="shared" si="581"/>
        <v>0</v>
      </c>
      <c r="M4418" s="285">
        <f t="shared" si="585"/>
        <v>0</v>
      </c>
      <c r="N4418" s="1076"/>
      <c r="O4418" s="294"/>
      <c r="P4418" s="404"/>
      <c r="Q4418" s="404"/>
    </row>
    <row r="4419" spans="1:17" ht="14.4" thickTop="1" thickBot="1" x14ac:dyDescent="0.3">
      <c r="A4419" s="292"/>
      <c r="B4419" s="294" t="s">
        <v>835</v>
      </c>
      <c r="C4419" s="294"/>
      <c r="D4419" s="294"/>
      <c r="E4419" s="294">
        <v>2</v>
      </c>
      <c r="F4419" s="310">
        <v>4.5250000000000004</v>
      </c>
      <c r="G4419" s="310"/>
      <c r="H4419" s="310">
        <v>4.2750000000000004</v>
      </c>
      <c r="I4419" s="295">
        <f>H4419*F4419*E4419</f>
        <v>38.688750000000006</v>
      </c>
      <c r="J4419" s="295"/>
      <c r="K4419" s="300">
        <f t="shared" si="589"/>
        <v>1.1000000000000001</v>
      </c>
      <c r="L4419" s="300">
        <f t="shared" si="581"/>
        <v>0</v>
      </c>
      <c r="M4419" s="285">
        <f t="shared" si="585"/>
        <v>0</v>
      </c>
      <c r="N4419" s="1076"/>
      <c r="O4419" s="294"/>
      <c r="P4419" s="404"/>
      <c r="Q4419" s="404"/>
    </row>
    <row r="4420" spans="1:17" ht="14.4" thickTop="1" thickBot="1" x14ac:dyDescent="0.3">
      <c r="A4420" s="292"/>
      <c r="B4420" s="294"/>
      <c r="C4420" s="294"/>
      <c r="D4420" s="294"/>
      <c r="E4420" s="294">
        <v>2</v>
      </c>
      <c r="F4420" s="310">
        <v>4.95</v>
      </c>
      <c r="G4420" s="310"/>
      <c r="H4420" s="310">
        <v>4.2750000000000004</v>
      </c>
      <c r="I4420" s="295">
        <f>H4420*F4420*E4420</f>
        <v>42.322500000000005</v>
      </c>
      <c r="J4420" s="295"/>
      <c r="K4420" s="300">
        <f t="shared" si="589"/>
        <v>1.1000000000000001</v>
      </c>
      <c r="L4420" s="300">
        <f t="shared" si="581"/>
        <v>0</v>
      </c>
      <c r="M4420" s="285">
        <f t="shared" si="585"/>
        <v>0</v>
      </c>
      <c r="N4420" s="1076"/>
      <c r="O4420" s="294"/>
      <c r="P4420" s="404"/>
      <c r="Q4420" s="404"/>
    </row>
    <row r="4421" spans="1:17" ht="14.4" thickTop="1" thickBot="1" x14ac:dyDescent="0.3">
      <c r="A4421" s="292"/>
      <c r="B4421" s="294" t="s">
        <v>766</v>
      </c>
      <c r="C4421" s="294"/>
      <c r="D4421" s="294"/>
      <c r="E4421" s="294">
        <v>1</v>
      </c>
      <c r="F4421" s="310">
        <v>2.4</v>
      </c>
      <c r="G4421" s="310"/>
      <c r="H4421" s="310">
        <v>1.625</v>
      </c>
      <c r="I4421" s="295">
        <f>-H4421*F4421*E4421</f>
        <v>-3.9</v>
      </c>
      <c r="J4421" s="295"/>
      <c r="K4421" s="300">
        <f t="shared" si="589"/>
        <v>1.1000000000000001</v>
      </c>
      <c r="L4421" s="300">
        <f t="shared" si="581"/>
        <v>0</v>
      </c>
      <c r="M4421" s="285">
        <f t="shared" si="585"/>
        <v>0</v>
      </c>
      <c r="N4421" s="1076"/>
      <c r="O4421" s="294"/>
      <c r="P4421" s="404"/>
      <c r="Q4421" s="404"/>
    </row>
    <row r="4422" spans="1:17" ht="14.4" thickTop="1" thickBot="1" x14ac:dyDescent="0.3">
      <c r="A4422" s="292"/>
      <c r="B4422" s="294" t="s">
        <v>770</v>
      </c>
      <c r="C4422" s="294"/>
      <c r="D4422" s="294"/>
      <c r="E4422" s="294">
        <v>2</v>
      </c>
      <c r="F4422" s="310">
        <v>0.9</v>
      </c>
      <c r="G4422" s="310"/>
      <c r="H4422" s="310">
        <v>2.7</v>
      </c>
      <c r="I4422" s="295">
        <f>-H4422*F4422*E4422</f>
        <v>-4.8600000000000003</v>
      </c>
      <c r="J4422" s="295"/>
      <c r="K4422" s="300">
        <f t="shared" si="589"/>
        <v>1.1000000000000001</v>
      </c>
      <c r="L4422" s="300">
        <f t="shared" si="581"/>
        <v>0</v>
      </c>
      <c r="M4422" s="285">
        <f t="shared" si="585"/>
        <v>0</v>
      </c>
      <c r="N4422" s="1076"/>
      <c r="O4422" s="294"/>
      <c r="P4422" s="404"/>
      <c r="Q4422" s="404"/>
    </row>
    <row r="4423" spans="1:17" ht="14.4" thickTop="1" thickBot="1" x14ac:dyDescent="0.3">
      <c r="A4423" s="292"/>
      <c r="B4423" s="294" t="s">
        <v>836</v>
      </c>
      <c r="C4423" s="294"/>
      <c r="D4423" s="294"/>
      <c r="E4423" s="294">
        <v>2</v>
      </c>
      <c r="F4423" s="310">
        <v>5</v>
      </c>
      <c r="G4423" s="310"/>
      <c r="H4423" s="310">
        <v>4.2750000000000004</v>
      </c>
      <c r="I4423" s="295">
        <f t="shared" ref="I4423:I4424" si="590">H4423*F4423*E4423</f>
        <v>42.75</v>
      </c>
      <c r="J4423" s="295"/>
      <c r="K4423" s="300">
        <f t="shared" si="589"/>
        <v>1.1000000000000001</v>
      </c>
      <c r="L4423" s="300">
        <f t="shared" si="581"/>
        <v>0</v>
      </c>
      <c r="M4423" s="285">
        <f t="shared" si="585"/>
        <v>0</v>
      </c>
      <c r="N4423" s="1076"/>
      <c r="O4423" s="294"/>
      <c r="P4423" s="404"/>
      <c r="Q4423" s="404"/>
    </row>
    <row r="4424" spans="1:17" ht="14.4" thickTop="1" thickBot="1" x14ac:dyDescent="0.3">
      <c r="A4424" s="292"/>
      <c r="B4424" s="294"/>
      <c r="C4424" s="294"/>
      <c r="D4424" s="294"/>
      <c r="E4424" s="294">
        <v>2</v>
      </c>
      <c r="F4424" s="310">
        <v>5.43</v>
      </c>
      <c r="G4424" s="310"/>
      <c r="H4424" s="310">
        <v>4.2750000000000004</v>
      </c>
      <c r="I4424" s="295">
        <f t="shared" si="590"/>
        <v>46.426500000000004</v>
      </c>
      <c r="J4424" s="295"/>
      <c r="K4424" s="300">
        <f t="shared" si="589"/>
        <v>1.1000000000000001</v>
      </c>
      <c r="L4424" s="300">
        <f t="shared" si="581"/>
        <v>0</v>
      </c>
      <c r="M4424" s="285">
        <f t="shared" si="585"/>
        <v>0</v>
      </c>
      <c r="N4424" s="1076"/>
      <c r="O4424" s="294"/>
      <c r="P4424" s="404"/>
      <c r="Q4424" s="404"/>
    </row>
    <row r="4425" spans="1:17" ht="14.4" thickTop="1" thickBot="1" x14ac:dyDescent="0.3">
      <c r="A4425" s="292"/>
      <c r="B4425" s="294" t="s">
        <v>762</v>
      </c>
      <c r="C4425" s="294"/>
      <c r="D4425" s="294"/>
      <c r="E4425" s="294">
        <v>1</v>
      </c>
      <c r="F4425" s="310">
        <v>2.4</v>
      </c>
      <c r="G4425" s="310"/>
      <c r="H4425" s="310">
        <v>2.1</v>
      </c>
      <c r="I4425" s="295">
        <f>-H4425*F4425*E4425</f>
        <v>-5.04</v>
      </c>
      <c r="J4425" s="295"/>
      <c r="K4425" s="300">
        <f t="shared" si="589"/>
        <v>1.1000000000000001</v>
      </c>
      <c r="L4425" s="300">
        <f t="shared" si="581"/>
        <v>0</v>
      </c>
      <c r="M4425" s="285">
        <f t="shared" si="585"/>
        <v>0</v>
      </c>
      <c r="N4425" s="1076"/>
      <c r="O4425" s="294"/>
      <c r="P4425" s="404"/>
      <c r="Q4425" s="404"/>
    </row>
    <row r="4426" spans="1:17" ht="14.4" thickTop="1" thickBot="1" x14ac:dyDescent="0.3">
      <c r="A4426" s="292"/>
      <c r="B4426" s="294" t="s">
        <v>784</v>
      </c>
      <c r="C4426" s="294"/>
      <c r="D4426" s="294"/>
      <c r="E4426" s="294">
        <v>1</v>
      </c>
      <c r="F4426" s="310">
        <v>0.9</v>
      </c>
      <c r="G4426" s="310"/>
      <c r="H4426" s="310">
        <v>2.7</v>
      </c>
      <c r="I4426" s="295">
        <f t="shared" ref="I4426" si="591">-H4426*F4426*E4426</f>
        <v>-2.4300000000000002</v>
      </c>
      <c r="J4426" s="295"/>
      <c r="K4426" s="300">
        <f t="shared" si="589"/>
        <v>1.1000000000000001</v>
      </c>
      <c r="L4426" s="300">
        <f t="shared" si="581"/>
        <v>0</v>
      </c>
      <c r="M4426" s="285">
        <f t="shared" si="585"/>
        <v>0</v>
      </c>
      <c r="N4426" s="1076"/>
      <c r="O4426" s="294"/>
      <c r="P4426" s="404"/>
      <c r="Q4426" s="404"/>
    </row>
    <row r="4427" spans="1:17" ht="14.4" thickTop="1" thickBot="1" x14ac:dyDescent="0.3">
      <c r="A4427" s="292"/>
      <c r="B4427" s="294" t="s">
        <v>770</v>
      </c>
      <c r="C4427" s="294"/>
      <c r="D4427" s="294"/>
      <c r="E4427" s="294">
        <v>1</v>
      </c>
      <c r="F4427" s="310">
        <v>0.9</v>
      </c>
      <c r="G4427" s="310"/>
      <c r="H4427" s="310">
        <v>2.7</v>
      </c>
      <c r="I4427" s="295">
        <f>-H4427*F4427*E4427</f>
        <v>-2.4300000000000002</v>
      </c>
      <c r="J4427" s="295"/>
      <c r="K4427" s="300">
        <f t="shared" si="589"/>
        <v>1.1000000000000001</v>
      </c>
      <c r="L4427" s="300">
        <f t="shared" si="581"/>
        <v>0</v>
      </c>
      <c r="M4427" s="285">
        <f t="shared" si="585"/>
        <v>0</v>
      </c>
      <c r="N4427" s="1076"/>
      <c r="O4427" s="294"/>
      <c r="P4427" s="404"/>
      <c r="Q4427" s="404"/>
    </row>
    <row r="4428" spans="1:17" ht="14.4" thickTop="1" thickBot="1" x14ac:dyDescent="0.3">
      <c r="A4428" s="292"/>
      <c r="B4428" s="294" t="s">
        <v>708</v>
      </c>
      <c r="C4428" s="294"/>
      <c r="D4428" s="294"/>
      <c r="E4428" s="294">
        <v>4</v>
      </c>
      <c r="F4428" s="310">
        <v>3.65</v>
      </c>
      <c r="G4428" s="310"/>
      <c r="H4428" s="310">
        <v>4.2750000000000004</v>
      </c>
      <c r="I4428" s="295">
        <f t="shared" ref="I4428:I4429" si="592">H4428*F4428*E4428</f>
        <v>62.415000000000006</v>
      </c>
      <c r="J4428" s="295"/>
      <c r="K4428" s="300">
        <f t="shared" si="589"/>
        <v>1.1000000000000001</v>
      </c>
      <c r="L4428" s="300">
        <f t="shared" si="581"/>
        <v>0</v>
      </c>
      <c r="M4428" s="285">
        <f t="shared" si="585"/>
        <v>0</v>
      </c>
      <c r="N4428" s="1076"/>
      <c r="O4428" s="294"/>
      <c r="P4428" s="404"/>
      <c r="Q4428" s="404"/>
    </row>
    <row r="4429" spans="1:17" ht="14.4" thickTop="1" thickBot="1" x14ac:dyDescent="0.3">
      <c r="A4429" s="292"/>
      <c r="B4429" s="294"/>
      <c r="C4429" s="294"/>
      <c r="D4429" s="294"/>
      <c r="E4429" s="294">
        <v>2</v>
      </c>
      <c r="F4429" s="310">
        <v>3.4</v>
      </c>
      <c r="G4429" s="310"/>
      <c r="H4429" s="310">
        <v>4.2750000000000004</v>
      </c>
      <c r="I4429" s="295">
        <f t="shared" si="592"/>
        <v>29.07</v>
      </c>
      <c r="J4429" s="295"/>
      <c r="K4429" s="300">
        <f t="shared" si="589"/>
        <v>1.1000000000000001</v>
      </c>
      <c r="L4429" s="300">
        <f t="shared" si="581"/>
        <v>0</v>
      </c>
      <c r="M4429" s="285">
        <f t="shared" si="585"/>
        <v>0</v>
      </c>
      <c r="N4429" s="1076"/>
      <c r="O4429" s="294"/>
      <c r="P4429" s="404"/>
      <c r="Q4429" s="404"/>
    </row>
    <row r="4430" spans="1:17" ht="14.4" thickTop="1" thickBot="1" x14ac:dyDescent="0.3">
      <c r="A4430" s="292"/>
      <c r="B4430" s="294" t="s">
        <v>784</v>
      </c>
      <c r="C4430" s="294"/>
      <c r="D4430" s="294"/>
      <c r="E4430" s="294">
        <v>2</v>
      </c>
      <c r="F4430" s="310">
        <v>0.9</v>
      </c>
      <c r="G4430" s="310"/>
      <c r="H4430" s="310">
        <v>2.7</v>
      </c>
      <c r="I4430" s="295">
        <f t="shared" ref="I4430:I4431" si="593">-H4430*F4430*E4430</f>
        <v>-4.8600000000000003</v>
      </c>
      <c r="J4430" s="295"/>
      <c r="K4430" s="300">
        <f t="shared" si="589"/>
        <v>1.1000000000000001</v>
      </c>
      <c r="L4430" s="300">
        <f t="shared" si="581"/>
        <v>0</v>
      </c>
      <c r="M4430" s="285">
        <f t="shared" si="585"/>
        <v>0</v>
      </c>
      <c r="N4430" s="1076"/>
      <c r="O4430" s="294"/>
      <c r="P4430" s="404"/>
      <c r="Q4430" s="404"/>
    </row>
    <row r="4431" spans="1:17" ht="14.4" thickTop="1" thickBot="1" x14ac:dyDescent="0.3">
      <c r="A4431" s="292"/>
      <c r="B4431" s="294" t="s">
        <v>777</v>
      </c>
      <c r="C4431" s="294"/>
      <c r="D4431" s="294"/>
      <c r="E4431" s="294">
        <v>2</v>
      </c>
      <c r="F4431" s="310">
        <v>1.65</v>
      </c>
      <c r="G4431" s="310"/>
      <c r="H4431" s="310">
        <v>0.6</v>
      </c>
      <c r="I4431" s="295">
        <f t="shared" si="593"/>
        <v>-1.9799999999999998</v>
      </c>
      <c r="J4431" s="295"/>
      <c r="K4431" s="300">
        <f t="shared" si="589"/>
        <v>1.1000000000000001</v>
      </c>
      <c r="L4431" s="300">
        <f t="shared" si="581"/>
        <v>0</v>
      </c>
      <c r="M4431" s="285">
        <f t="shared" si="585"/>
        <v>0</v>
      </c>
      <c r="N4431" s="1076"/>
      <c r="O4431" s="294"/>
      <c r="P4431" s="404"/>
      <c r="Q4431" s="404"/>
    </row>
    <row r="4432" spans="1:17" ht="14.4" thickTop="1" thickBot="1" x14ac:dyDescent="0.3">
      <c r="A4432" s="292"/>
      <c r="B4432" s="294" t="s">
        <v>818</v>
      </c>
      <c r="C4432" s="294"/>
      <c r="D4432" s="294"/>
      <c r="E4432" s="294">
        <v>2</v>
      </c>
      <c r="F4432" s="310">
        <v>3.4</v>
      </c>
      <c r="G4432" s="310"/>
      <c r="H4432" s="310">
        <v>4.2750000000000004</v>
      </c>
      <c r="I4432" s="295">
        <f t="shared" ref="I4432:I4433" si="594">H4432*F4432*E4432</f>
        <v>29.07</v>
      </c>
      <c r="J4432" s="295"/>
      <c r="K4432" s="300">
        <f t="shared" si="589"/>
        <v>1.1000000000000001</v>
      </c>
      <c r="L4432" s="300">
        <f t="shared" si="581"/>
        <v>0</v>
      </c>
      <c r="M4432" s="285">
        <f t="shared" si="585"/>
        <v>0</v>
      </c>
      <c r="N4432" s="1076"/>
      <c r="O4432" s="294"/>
      <c r="P4432" s="404"/>
      <c r="Q4432" s="404"/>
    </row>
    <row r="4433" spans="1:21" ht="14.4" thickTop="1" thickBot="1" x14ac:dyDescent="0.3">
      <c r="A4433" s="292"/>
      <c r="B4433" s="294"/>
      <c r="C4433" s="294"/>
      <c r="D4433" s="294"/>
      <c r="E4433" s="294">
        <v>2</v>
      </c>
      <c r="F4433" s="310">
        <v>1.25</v>
      </c>
      <c r="G4433" s="310"/>
      <c r="H4433" s="310">
        <v>4.2750000000000004</v>
      </c>
      <c r="I4433" s="295">
        <f t="shared" si="594"/>
        <v>10.6875</v>
      </c>
      <c r="J4433" s="295"/>
      <c r="K4433" s="300">
        <f t="shared" si="589"/>
        <v>1.1000000000000001</v>
      </c>
      <c r="L4433" s="300">
        <f t="shared" si="581"/>
        <v>0</v>
      </c>
      <c r="M4433" s="285">
        <f t="shared" si="585"/>
        <v>0</v>
      </c>
      <c r="N4433" s="1076"/>
      <c r="O4433" s="294"/>
      <c r="P4433" s="404"/>
      <c r="Q4433" s="404"/>
    </row>
    <row r="4434" spans="1:21" ht="14.4" thickTop="1" thickBot="1" x14ac:dyDescent="0.3">
      <c r="A4434" s="292"/>
      <c r="B4434" s="294" t="s">
        <v>770</v>
      </c>
      <c r="C4434" s="294"/>
      <c r="D4434" s="294"/>
      <c r="E4434" s="294">
        <v>3</v>
      </c>
      <c r="F4434" s="310">
        <v>0.9</v>
      </c>
      <c r="G4434" s="310"/>
      <c r="H4434" s="310">
        <v>2.7</v>
      </c>
      <c r="I4434" s="295">
        <f>-H4434*F4434*E4434</f>
        <v>-7.2900000000000009</v>
      </c>
      <c r="J4434" s="295"/>
      <c r="K4434" s="300">
        <f t="shared" si="589"/>
        <v>1.1000000000000001</v>
      </c>
      <c r="L4434" s="300">
        <f t="shared" si="581"/>
        <v>0</v>
      </c>
      <c r="M4434" s="285">
        <f t="shared" si="585"/>
        <v>0</v>
      </c>
      <c r="N4434" s="1076"/>
      <c r="O4434" s="294"/>
      <c r="P4434" s="404"/>
      <c r="Q4434" s="404"/>
    </row>
    <row r="4435" spans="1:21" ht="14.4" thickTop="1" thickBot="1" x14ac:dyDescent="0.3">
      <c r="A4435" s="292"/>
      <c r="B4435" s="294" t="s">
        <v>784</v>
      </c>
      <c r="C4435" s="294"/>
      <c r="D4435" s="294"/>
      <c r="E4435" s="294">
        <v>1</v>
      </c>
      <c r="F4435" s="310">
        <v>0.9</v>
      </c>
      <c r="G4435" s="310"/>
      <c r="H4435" s="310">
        <v>2.7</v>
      </c>
      <c r="I4435" s="295">
        <f t="shared" ref="I4435" si="595">-H4435*F4435*E4435</f>
        <v>-2.4300000000000002</v>
      </c>
      <c r="J4435" s="295"/>
      <c r="K4435" s="300">
        <f t="shared" si="589"/>
        <v>1.1000000000000001</v>
      </c>
      <c r="L4435" s="300">
        <f t="shared" ref="L4435:L4498" si="596">K4435*J4435</f>
        <v>0</v>
      </c>
      <c r="M4435" s="285">
        <f t="shared" si="585"/>
        <v>0</v>
      </c>
      <c r="N4435" s="1076"/>
      <c r="O4435" s="294"/>
      <c r="P4435" s="404"/>
      <c r="Q4435" s="404"/>
    </row>
    <row r="4436" spans="1:21" ht="14.4" thickTop="1" thickBot="1" x14ac:dyDescent="0.3">
      <c r="A4436" s="292"/>
      <c r="B4436" s="294" t="s">
        <v>844</v>
      </c>
      <c r="C4436" s="294"/>
      <c r="D4436" s="294"/>
      <c r="E4436" s="294">
        <v>2</v>
      </c>
      <c r="F4436" s="310">
        <v>4.5</v>
      </c>
      <c r="G4436" s="310"/>
      <c r="H4436" s="310">
        <f>H4432</f>
        <v>4.2750000000000004</v>
      </c>
      <c r="I4436" s="295">
        <f t="shared" ref="I4436:I4437" si="597">H4436*F4436*E4436</f>
        <v>38.475000000000001</v>
      </c>
      <c r="J4436" s="295"/>
      <c r="K4436" s="300">
        <f t="shared" si="589"/>
        <v>1.1000000000000001</v>
      </c>
      <c r="L4436" s="300">
        <f t="shared" si="596"/>
        <v>0</v>
      </c>
      <c r="M4436" s="285"/>
      <c r="N4436" s="1076"/>
      <c r="O4436" s="294"/>
      <c r="P4436" s="404"/>
      <c r="Q4436" s="404"/>
    </row>
    <row r="4437" spans="1:21" ht="14.4" thickTop="1" thickBot="1" x14ac:dyDescent="0.3">
      <c r="A4437" s="292"/>
      <c r="B4437" s="294"/>
      <c r="C4437" s="294"/>
      <c r="D4437" s="294"/>
      <c r="E4437" s="294">
        <v>2</v>
      </c>
      <c r="F4437" s="310">
        <v>2.2999999999999998</v>
      </c>
      <c r="G4437" s="310"/>
      <c r="H4437" s="310">
        <f>H4433</f>
        <v>4.2750000000000004</v>
      </c>
      <c r="I4437" s="295">
        <f t="shared" si="597"/>
        <v>19.664999999999999</v>
      </c>
      <c r="J4437" s="295"/>
      <c r="K4437" s="300">
        <f t="shared" si="589"/>
        <v>1.1000000000000001</v>
      </c>
      <c r="L4437" s="300">
        <f t="shared" si="596"/>
        <v>0</v>
      </c>
      <c r="M4437" s="285"/>
      <c r="N4437" s="1076"/>
      <c r="O4437" s="294"/>
      <c r="P4437" s="404"/>
      <c r="Q4437" s="404"/>
    </row>
    <row r="4438" spans="1:21" ht="14.4" thickTop="1" thickBot="1" x14ac:dyDescent="0.3">
      <c r="A4438" s="292"/>
      <c r="B4438" s="294" t="s">
        <v>768</v>
      </c>
      <c r="C4438" s="294"/>
      <c r="D4438" s="294"/>
      <c r="E4438" s="294">
        <v>1</v>
      </c>
      <c r="F4438" s="310">
        <v>2.2749999999999999</v>
      </c>
      <c r="G4438" s="310"/>
      <c r="H4438" s="310">
        <v>3</v>
      </c>
      <c r="I4438" s="295">
        <f>-H4438*F4438*E4438</f>
        <v>-6.8249999999999993</v>
      </c>
      <c r="J4438" s="295"/>
      <c r="K4438" s="300">
        <f t="shared" si="589"/>
        <v>1.1000000000000001</v>
      </c>
      <c r="L4438" s="300">
        <f t="shared" si="596"/>
        <v>0</v>
      </c>
      <c r="M4438" s="285"/>
      <c r="N4438" s="1076"/>
      <c r="O4438" s="294"/>
      <c r="P4438" s="404"/>
      <c r="Q4438" s="404"/>
    </row>
    <row r="4439" spans="1:21" ht="14.4" thickTop="1" thickBot="1" x14ac:dyDescent="0.3">
      <c r="A4439" s="292"/>
      <c r="B4439" s="294" t="s">
        <v>817</v>
      </c>
      <c r="C4439" s="294"/>
      <c r="D4439" s="294"/>
      <c r="E4439" s="294">
        <v>2</v>
      </c>
      <c r="F4439" s="310">
        <v>4.875</v>
      </c>
      <c r="G4439" s="310"/>
      <c r="H4439" s="310">
        <v>4.2750000000000004</v>
      </c>
      <c r="I4439" s="295">
        <f t="shared" ref="I4439:I4441" si="598">H4439*F4439*E4439</f>
        <v>41.681250000000006</v>
      </c>
      <c r="J4439" s="295"/>
      <c r="K4439" s="300">
        <f t="shared" si="589"/>
        <v>1.1000000000000001</v>
      </c>
      <c r="L4439" s="300">
        <f t="shared" si="596"/>
        <v>0</v>
      </c>
      <c r="M4439" s="285">
        <f t="shared" si="585"/>
        <v>0</v>
      </c>
      <c r="N4439" s="1076"/>
      <c r="O4439" s="294"/>
      <c r="P4439" s="404"/>
      <c r="Q4439" s="404"/>
    </row>
    <row r="4440" spans="1:21" ht="14.4" thickTop="1" thickBot="1" x14ac:dyDescent="0.3">
      <c r="A4440" s="292"/>
      <c r="B4440" s="294"/>
      <c r="C4440" s="294"/>
      <c r="D4440" s="294"/>
      <c r="E4440" s="294">
        <v>1</v>
      </c>
      <c r="F4440" s="310">
        <v>4.5</v>
      </c>
      <c r="G4440" s="310"/>
      <c r="H4440" s="310">
        <v>4.2750000000000004</v>
      </c>
      <c r="I4440" s="295">
        <f t="shared" si="598"/>
        <v>19.237500000000001</v>
      </c>
      <c r="J4440" s="295"/>
      <c r="K4440" s="300">
        <f t="shared" si="589"/>
        <v>1.1000000000000001</v>
      </c>
      <c r="L4440" s="300">
        <f t="shared" si="596"/>
        <v>0</v>
      </c>
      <c r="M4440" s="285">
        <f t="shared" si="585"/>
        <v>0</v>
      </c>
      <c r="N4440" s="1076"/>
      <c r="O4440" s="294"/>
      <c r="P4440" s="404"/>
      <c r="Q4440" s="404"/>
    </row>
    <row r="4441" spans="1:21" ht="14.4" thickTop="1" thickBot="1" x14ac:dyDescent="0.3">
      <c r="A4441" s="292"/>
      <c r="B4441" s="294" t="s">
        <v>756</v>
      </c>
      <c r="C4441" s="294"/>
      <c r="D4441" s="294"/>
      <c r="E4441" s="294">
        <v>1</v>
      </c>
      <c r="F4441" s="310">
        <v>2.25</v>
      </c>
      <c r="G4441" s="310"/>
      <c r="H4441" s="310">
        <v>4.2750000000000004</v>
      </c>
      <c r="I4441" s="295">
        <f t="shared" si="598"/>
        <v>9.6187500000000004</v>
      </c>
      <c r="J4441" s="295"/>
      <c r="K4441" s="300">
        <f t="shared" si="589"/>
        <v>1.1000000000000001</v>
      </c>
      <c r="L4441" s="300">
        <f t="shared" si="596"/>
        <v>0</v>
      </c>
      <c r="M4441" s="285">
        <f t="shared" si="585"/>
        <v>0</v>
      </c>
      <c r="N4441" s="1076"/>
      <c r="O4441" s="294"/>
      <c r="P4441" s="404"/>
      <c r="Q4441" s="404"/>
    </row>
    <row r="4442" spans="1:21" ht="14.4" thickTop="1" thickBot="1" x14ac:dyDescent="0.3">
      <c r="A4442" s="292"/>
      <c r="B4442" s="294" t="s">
        <v>764</v>
      </c>
      <c r="C4442" s="294"/>
      <c r="D4442" s="294"/>
      <c r="E4442" s="294">
        <v>1</v>
      </c>
      <c r="F4442" s="310">
        <v>1.125</v>
      </c>
      <c r="G4442" s="310"/>
      <c r="H4442" s="310">
        <v>3</v>
      </c>
      <c r="I4442" s="295">
        <f t="shared" ref="I4442" si="599">-H4442*F4442*E4442</f>
        <v>-3.375</v>
      </c>
      <c r="J4442" s="295"/>
      <c r="K4442" s="300">
        <f t="shared" si="589"/>
        <v>1.1000000000000001</v>
      </c>
      <c r="L4442" s="300">
        <f t="shared" si="596"/>
        <v>0</v>
      </c>
      <c r="M4442" s="285">
        <f t="shared" si="585"/>
        <v>0</v>
      </c>
      <c r="N4442" s="1076"/>
      <c r="O4442" s="294"/>
      <c r="P4442" s="404"/>
      <c r="Q4442" s="404"/>
    </row>
    <row r="4443" spans="1:21" ht="14.4" thickTop="1" thickBot="1" x14ac:dyDescent="0.3">
      <c r="A4443" s="292"/>
      <c r="B4443" s="294" t="s">
        <v>770</v>
      </c>
      <c r="C4443" s="294"/>
      <c r="D4443" s="294"/>
      <c r="E4443" s="294">
        <v>1</v>
      </c>
      <c r="F4443" s="310">
        <v>0.9</v>
      </c>
      <c r="G4443" s="310"/>
      <c r="H4443" s="310">
        <v>2.7</v>
      </c>
      <c r="I4443" s="295">
        <f>-H4443*F4443*E4443</f>
        <v>-2.4300000000000002</v>
      </c>
      <c r="J4443" s="295"/>
      <c r="K4443" s="300">
        <f t="shared" si="589"/>
        <v>1.1000000000000001</v>
      </c>
      <c r="L4443" s="300">
        <f t="shared" si="596"/>
        <v>0</v>
      </c>
      <c r="M4443" s="285">
        <f t="shared" si="585"/>
        <v>0</v>
      </c>
      <c r="N4443" s="1076"/>
      <c r="O4443" s="294"/>
      <c r="P4443" s="404"/>
      <c r="Q4443" s="404"/>
    </row>
    <row r="4444" spans="1:21" ht="14.4" thickTop="1" thickBot="1" x14ac:dyDescent="0.3">
      <c r="A4444" s="292"/>
      <c r="B4444" s="294" t="s">
        <v>837</v>
      </c>
      <c r="C4444" s="294"/>
      <c r="D4444" s="294"/>
      <c r="E4444" s="294">
        <v>1</v>
      </c>
      <c r="F4444" s="310">
        <v>1.25</v>
      </c>
      <c r="G4444" s="310"/>
      <c r="H4444" s="310">
        <v>2.7</v>
      </c>
      <c r="I4444" s="295">
        <f>-H4444*F4444*E4444</f>
        <v>-3.375</v>
      </c>
      <c r="J4444" s="295"/>
      <c r="K4444" s="300">
        <f t="shared" si="589"/>
        <v>1.1000000000000001</v>
      </c>
      <c r="L4444" s="300">
        <f t="shared" si="596"/>
        <v>0</v>
      </c>
      <c r="M4444" s="285">
        <f t="shared" si="585"/>
        <v>0</v>
      </c>
      <c r="N4444" s="1076"/>
      <c r="O4444" s="294"/>
      <c r="P4444" s="404"/>
      <c r="Q4444" s="404"/>
    </row>
    <row r="4445" spans="1:21" ht="14.4" thickTop="1" thickBot="1" x14ac:dyDescent="0.3">
      <c r="A4445" s="292"/>
      <c r="B4445" s="294" t="s">
        <v>838</v>
      </c>
      <c r="C4445" s="294"/>
      <c r="D4445" s="294"/>
      <c r="E4445" s="294">
        <v>2</v>
      </c>
      <c r="F4445" s="310">
        <v>11.7</v>
      </c>
      <c r="G4445" s="310"/>
      <c r="H4445" s="310">
        <v>4.2750000000000004</v>
      </c>
      <c r="I4445" s="295">
        <f t="shared" ref="I4445" si="600">H4445*F4445*E4445</f>
        <v>100.035</v>
      </c>
      <c r="J4445" s="295"/>
      <c r="K4445" s="300">
        <f t="shared" si="589"/>
        <v>1.1000000000000001</v>
      </c>
      <c r="L4445" s="300">
        <f t="shared" si="596"/>
        <v>0</v>
      </c>
      <c r="M4445" s="285">
        <f t="shared" si="585"/>
        <v>0</v>
      </c>
      <c r="N4445" s="1076"/>
      <c r="O4445" s="294"/>
      <c r="P4445" s="404"/>
      <c r="Q4445" s="404"/>
    </row>
    <row r="4446" spans="1:21" ht="14.4" thickTop="1" thickBot="1" x14ac:dyDescent="0.3">
      <c r="A4446" s="292"/>
      <c r="B4446" s="294"/>
      <c r="C4446" s="294"/>
      <c r="D4446" s="294"/>
      <c r="E4446" s="294">
        <v>2</v>
      </c>
      <c r="F4446" s="310">
        <v>10.5</v>
      </c>
      <c r="G4446" s="310"/>
      <c r="H4446" s="310">
        <v>4.2750000000000004</v>
      </c>
      <c r="I4446" s="295">
        <f>H4446*F4446*E4446</f>
        <v>89.775000000000006</v>
      </c>
      <c r="J4446" s="295"/>
      <c r="K4446" s="300">
        <f t="shared" si="589"/>
        <v>1.1000000000000001</v>
      </c>
      <c r="L4446" s="300">
        <f t="shared" si="596"/>
        <v>0</v>
      </c>
      <c r="M4446" s="285">
        <f t="shared" si="585"/>
        <v>0</v>
      </c>
      <c r="N4446" s="1076"/>
      <c r="O4446" s="294"/>
      <c r="P4446" s="404"/>
      <c r="Q4446" s="404"/>
      <c r="U4446" s="303"/>
    </row>
    <row r="4447" spans="1:21" ht="14.4" thickTop="1" thickBot="1" x14ac:dyDescent="0.3">
      <c r="A4447" s="292"/>
      <c r="B4447" s="294"/>
      <c r="C4447" s="294"/>
      <c r="D4447" s="294"/>
      <c r="E4447" s="294">
        <v>2</v>
      </c>
      <c r="F4447" s="310">
        <v>2</v>
      </c>
      <c r="G4447" s="310"/>
      <c r="H4447" s="310">
        <v>4.2750000000000004</v>
      </c>
      <c r="I4447" s="295">
        <f>H4447*F4447*E4447</f>
        <v>17.100000000000001</v>
      </c>
      <c r="J4447" s="295"/>
      <c r="K4447" s="300">
        <f t="shared" si="589"/>
        <v>1.1000000000000001</v>
      </c>
      <c r="L4447" s="300">
        <f t="shared" si="596"/>
        <v>0</v>
      </c>
      <c r="M4447" s="285">
        <f t="shared" si="585"/>
        <v>0</v>
      </c>
      <c r="N4447" s="1076"/>
      <c r="O4447" s="294"/>
      <c r="P4447" s="404"/>
      <c r="Q4447" s="404"/>
    </row>
    <row r="4448" spans="1:21" ht="14.4" thickTop="1" thickBot="1" x14ac:dyDescent="0.3">
      <c r="A4448" s="292"/>
      <c r="B4448" s="294"/>
      <c r="C4448" s="294"/>
      <c r="D4448" s="294"/>
      <c r="E4448" s="294">
        <v>4</v>
      </c>
      <c r="F4448" s="310">
        <v>0.9</v>
      </c>
      <c r="G4448" s="310"/>
      <c r="H4448" s="310">
        <v>4.2750000000000004</v>
      </c>
      <c r="I4448" s="295">
        <f>H4448*F4448*E4448</f>
        <v>15.390000000000002</v>
      </c>
      <c r="J4448" s="295"/>
      <c r="K4448" s="300">
        <f t="shared" si="589"/>
        <v>1.1000000000000001</v>
      </c>
      <c r="L4448" s="300">
        <f t="shared" si="596"/>
        <v>0</v>
      </c>
      <c r="M4448" s="285">
        <f t="shared" si="585"/>
        <v>0</v>
      </c>
      <c r="N4448" s="1076"/>
      <c r="O4448" s="294"/>
      <c r="P4448" s="404"/>
      <c r="Q4448" s="404"/>
    </row>
    <row r="4449" spans="1:17" ht="14.4" thickTop="1" thickBot="1" x14ac:dyDescent="0.3">
      <c r="A4449" s="292"/>
      <c r="B4449" s="294" t="s">
        <v>766</v>
      </c>
      <c r="C4449" s="294"/>
      <c r="D4449" s="294"/>
      <c r="E4449" s="294">
        <v>6</v>
      </c>
      <c r="F4449" s="310">
        <v>2.4</v>
      </c>
      <c r="G4449" s="310"/>
      <c r="H4449" s="310">
        <v>1.625</v>
      </c>
      <c r="I4449" s="295">
        <f>-H4449*F4449*E4449</f>
        <v>-23.4</v>
      </c>
      <c r="J4449" s="295"/>
      <c r="K4449" s="300">
        <f t="shared" si="589"/>
        <v>1.1000000000000001</v>
      </c>
      <c r="L4449" s="300">
        <f t="shared" si="596"/>
        <v>0</v>
      </c>
      <c r="M4449" s="285">
        <f t="shared" si="585"/>
        <v>0</v>
      </c>
      <c r="N4449" s="1076"/>
      <c r="O4449" s="294"/>
      <c r="P4449" s="404"/>
      <c r="Q4449" s="404"/>
    </row>
    <row r="4450" spans="1:17" ht="14.4" thickTop="1" thickBot="1" x14ac:dyDescent="0.3">
      <c r="A4450" s="292"/>
      <c r="B4450" s="294" t="s">
        <v>837</v>
      </c>
      <c r="C4450" s="294"/>
      <c r="D4450" s="294"/>
      <c r="E4450" s="294">
        <v>1</v>
      </c>
      <c r="F4450" s="310">
        <v>1.25</v>
      </c>
      <c r="G4450" s="310"/>
      <c r="H4450" s="310">
        <v>2.7</v>
      </c>
      <c r="I4450" s="295">
        <f>-H4450*F4450*E4450</f>
        <v>-3.375</v>
      </c>
      <c r="J4450" s="295">
        <f>SUM(I4415:I4450)</f>
        <v>644.73524999999995</v>
      </c>
      <c r="K4450" s="300">
        <f t="shared" si="589"/>
        <v>1.1000000000000001</v>
      </c>
      <c r="L4450" s="300">
        <f t="shared" si="596"/>
        <v>709.20877500000006</v>
      </c>
      <c r="M4450" s="285">
        <f t="shared" si="585"/>
        <v>709</v>
      </c>
      <c r="N4450" s="1076"/>
      <c r="O4450" s="294"/>
      <c r="P4450" s="404"/>
      <c r="Q4450" s="404"/>
    </row>
    <row r="4451" spans="1:17" ht="14.4" thickTop="1" thickBot="1" x14ac:dyDescent="0.3">
      <c r="A4451" s="292"/>
      <c r="B4451" s="294"/>
      <c r="C4451" s="294"/>
      <c r="D4451" s="294"/>
      <c r="E4451" s="294"/>
      <c r="F4451" s="310"/>
      <c r="G4451" s="310"/>
      <c r="H4451" s="310"/>
      <c r="I4451" s="295"/>
      <c r="J4451" s="295">
        <f>J4450/9.29</f>
        <v>69.400995694294949</v>
      </c>
      <c r="K4451" s="300">
        <v>1.05</v>
      </c>
      <c r="L4451" s="300">
        <f t="shared" si="596"/>
        <v>72.871045479009695</v>
      </c>
      <c r="M4451" s="285">
        <f t="shared" si="585"/>
        <v>73</v>
      </c>
      <c r="N4451" s="1076"/>
      <c r="O4451" s="294"/>
      <c r="P4451" s="404"/>
      <c r="Q4451" s="404"/>
    </row>
    <row r="4452" spans="1:17" ht="14.4" thickTop="1" thickBot="1" x14ac:dyDescent="0.3">
      <c r="A4452" s="292"/>
      <c r="B4452" s="294" t="s">
        <v>839</v>
      </c>
      <c r="C4452" s="294"/>
      <c r="D4452" s="294"/>
      <c r="E4452" s="294"/>
      <c r="F4452" s="310"/>
      <c r="G4452" s="310"/>
      <c r="H4452" s="310"/>
      <c r="I4452" s="295"/>
      <c r="J4452" s="295"/>
      <c r="K4452" s="300">
        <f t="shared" si="589"/>
        <v>1.1000000000000001</v>
      </c>
      <c r="L4452" s="300">
        <f t="shared" si="596"/>
        <v>0</v>
      </c>
      <c r="M4452" s="285">
        <f t="shared" si="585"/>
        <v>0</v>
      </c>
      <c r="N4452" s="1076"/>
      <c r="O4452" s="294"/>
      <c r="P4452" s="404"/>
      <c r="Q4452" s="404"/>
    </row>
    <row r="4453" spans="1:17" ht="14.4" thickTop="1" thickBot="1" x14ac:dyDescent="0.3">
      <c r="A4453" s="292"/>
      <c r="B4453" s="294" t="s">
        <v>766</v>
      </c>
      <c r="C4453" s="294"/>
      <c r="D4453" s="294"/>
      <c r="E4453" s="294">
        <v>8</v>
      </c>
      <c r="F4453" s="310">
        <f>F4449+F4449+H4449+H4449</f>
        <v>8.0500000000000007</v>
      </c>
      <c r="G4453" s="310"/>
      <c r="H4453" s="310"/>
      <c r="I4453" s="295">
        <f>F4453*E4453</f>
        <v>64.400000000000006</v>
      </c>
      <c r="J4453" s="295"/>
      <c r="K4453" s="300">
        <f t="shared" si="589"/>
        <v>1.1000000000000001</v>
      </c>
      <c r="L4453" s="300">
        <f t="shared" si="596"/>
        <v>0</v>
      </c>
      <c r="M4453" s="285">
        <f t="shared" si="585"/>
        <v>0</v>
      </c>
      <c r="N4453" s="1076"/>
      <c r="O4453" s="294"/>
      <c r="P4453" s="404"/>
      <c r="Q4453" s="404"/>
    </row>
    <row r="4454" spans="1:17" ht="14.4" thickTop="1" thickBot="1" x14ac:dyDescent="0.3">
      <c r="A4454" s="292"/>
      <c r="B4454" s="294" t="s">
        <v>764</v>
      </c>
      <c r="C4454" s="294"/>
      <c r="D4454" s="294"/>
      <c r="E4454" s="294">
        <v>1</v>
      </c>
      <c r="F4454" s="310">
        <f>F4442+F4442+H4442+H4442</f>
        <v>8.25</v>
      </c>
      <c r="G4454" s="310"/>
      <c r="H4454" s="310"/>
      <c r="I4454" s="295">
        <f t="shared" ref="I4454:I4459" si="601">F4454*E4454</f>
        <v>8.25</v>
      </c>
      <c r="J4454" s="295"/>
      <c r="K4454" s="300">
        <f t="shared" si="589"/>
        <v>1.1000000000000001</v>
      </c>
      <c r="L4454" s="300">
        <f t="shared" si="596"/>
        <v>0</v>
      </c>
      <c r="M4454" s="285">
        <f t="shared" si="585"/>
        <v>0</v>
      </c>
      <c r="N4454" s="1076"/>
      <c r="O4454" s="294"/>
      <c r="P4454" s="404"/>
      <c r="Q4454" s="404"/>
    </row>
    <row r="4455" spans="1:17" ht="14.4" thickTop="1" thickBot="1" x14ac:dyDescent="0.3">
      <c r="A4455" s="292"/>
      <c r="B4455" s="294" t="s">
        <v>768</v>
      </c>
      <c r="C4455" s="294"/>
      <c r="D4455" s="294"/>
      <c r="E4455" s="294">
        <v>1</v>
      </c>
      <c r="F4455" s="310">
        <f>F4438+F4438+H4438+H4438</f>
        <v>10.55</v>
      </c>
      <c r="G4455" s="310"/>
      <c r="H4455" s="310"/>
      <c r="I4455" s="295">
        <f t="shared" si="601"/>
        <v>10.55</v>
      </c>
      <c r="J4455" s="295"/>
      <c r="K4455" s="300">
        <f t="shared" si="589"/>
        <v>1.1000000000000001</v>
      </c>
      <c r="L4455" s="300">
        <f t="shared" si="596"/>
        <v>0</v>
      </c>
      <c r="M4455" s="285">
        <f t="shared" si="585"/>
        <v>0</v>
      </c>
      <c r="N4455" s="1076"/>
      <c r="O4455" s="294"/>
      <c r="P4455" s="404"/>
      <c r="Q4455" s="404"/>
    </row>
    <row r="4456" spans="1:17" ht="14.4" thickTop="1" thickBot="1" x14ac:dyDescent="0.3">
      <c r="A4456" s="292"/>
      <c r="B4456" s="294" t="s">
        <v>777</v>
      </c>
      <c r="C4456" s="294"/>
      <c r="D4456" s="294"/>
      <c r="E4456" s="294">
        <v>2</v>
      </c>
      <c r="F4456" s="310">
        <f>F4431+F4431+H4431+H4431</f>
        <v>4.5</v>
      </c>
      <c r="G4456" s="310"/>
      <c r="H4456" s="310"/>
      <c r="I4456" s="295">
        <f t="shared" si="601"/>
        <v>9</v>
      </c>
      <c r="J4456" s="295"/>
      <c r="K4456" s="300">
        <f t="shared" si="589"/>
        <v>1.1000000000000001</v>
      </c>
      <c r="L4456" s="300">
        <f t="shared" si="596"/>
        <v>0</v>
      </c>
      <c r="M4456" s="285">
        <f t="shared" si="585"/>
        <v>0</v>
      </c>
      <c r="N4456" s="1076"/>
      <c r="O4456" s="294"/>
      <c r="P4456" s="404"/>
      <c r="Q4456" s="404"/>
    </row>
    <row r="4457" spans="1:17" ht="14.4" thickTop="1" thickBot="1" x14ac:dyDescent="0.3">
      <c r="A4457" s="292"/>
      <c r="B4457" s="294" t="s">
        <v>762</v>
      </c>
      <c r="C4457" s="294"/>
      <c r="D4457" s="294"/>
      <c r="E4457" s="294">
        <v>1</v>
      </c>
      <c r="F4457" s="310">
        <f>F4425+F4425+H4425+H4425</f>
        <v>9</v>
      </c>
      <c r="G4457" s="310"/>
      <c r="H4457" s="310"/>
      <c r="I4457" s="295">
        <f t="shared" si="601"/>
        <v>9</v>
      </c>
      <c r="J4457" s="295"/>
      <c r="K4457" s="300">
        <f t="shared" si="589"/>
        <v>1.1000000000000001</v>
      </c>
      <c r="L4457" s="300">
        <f t="shared" si="596"/>
        <v>0</v>
      </c>
      <c r="M4457" s="285">
        <f t="shared" si="585"/>
        <v>0</v>
      </c>
      <c r="N4457" s="1076"/>
      <c r="O4457" s="294"/>
      <c r="P4457" s="404"/>
      <c r="Q4457" s="404"/>
    </row>
    <row r="4458" spans="1:17" ht="14.4" thickTop="1" thickBot="1" x14ac:dyDescent="0.3">
      <c r="A4458" s="292"/>
      <c r="B4458" s="294" t="s">
        <v>770</v>
      </c>
      <c r="C4458" s="294"/>
      <c r="D4458" s="294"/>
      <c r="E4458" s="294">
        <v>4</v>
      </c>
      <c r="F4458" s="310">
        <f>F4443+H4443+H4443</f>
        <v>6.3000000000000007</v>
      </c>
      <c r="G4458" s="310"/>
      <c r="H4458" s="310"/>
      <c r="I4458" s="295">
        <f t="shared" si="601"/>
        <v>25.200000000000003</v>
      </c>
      <c r="J4458" s="295"/>
      <c r="K4458" s="300">
        <f t="shared" si="589"/>
        <v>1.1000000000000001</v>
      </c>
      <c r="L4458" s="300">
        <f t="shared" si="596"/>
        <v>0</v>
      </c>
      <c r="M4458" s="285">
        <f t="shared" si="585"/>
        <v>0</v>
      </c>
      <c r="N4458" s="1076"/>
      <c r="O4458" s="294"/>
      <c r="P4458" s="404"/>
      <c r="Q4458" s="404"/>
    </row>
    <row r="4459" spans="1:17" ht="14.4" thickTop="1" thickBot="1" x14ac:dyDescent="0.3">
      <c r="A4459" s="292"/>
      <c r="B4459" s="294" t="s">
        <v>784</v>
      </c>
      <c r="C4459" s="294"/>
      <c r="D4459" s="294"/>
      <c r="E4459" s="294">
        <v>2</v>
      </c>
      <c r="F4459" s="310">
        <f>F4435+H4435+H4435</f>
        <v>6.3000000000000007</v>
      </c>
      <c r="G4459" s="310"/>
      <c r="H4459" s="310"/>
      <c r="I4459" s="295">
        <f t="shared" si="601"/>
        <v>12.600000000000001</v>
      </c>
      <c r="J4459" s="295">
        <f>SUM(I4453:I4459)</f>
        <v>139</v>
      </c>
      <c r="K4459" s="300">
        <f t="shared" si="589"/>
        <v>1.1000000000000001</v>
      </c>
      <c r="L4459" s="300">
        <f t="shared" si="596"/>
        <v>152.9</v>
      </c>
      <c r="M4459" s="285">
        <f t="shared" si="585"/>
        <v>153</v>
      </c>
      <c r="N4459" s="1076"/>
      <c r="O4459" s="294"/>
      <c r="P4459" s="404"/>
      <c r="Q4459" s="404"/>
    </row>
    <row r="4460" spans="1:17" ht="14.4" thickTop="1" thickBot="1" x14ac:dyDescent="0.3">
      <c r="A4460" s="292"/>
      <c r="B4460" s="294"/>
      <c r="C4460" s="294"/>
      <c r="D4460" s="294"/>
      <c r="E4460" s="294"/>
      <c r="F4460" s="310"/>
      <c r="G4460" s="310"/>
      <c r="H4460" s="310"/>
      <c r="I4460" s="295"/>
      <c r="J4460" s="295">
        <f>J4459*3.28</f>
        <v>455.91999999999996</v>
      </c>
      <c r="K4460" s="300">
        <v>1.05</v>
      </c>
      <c r="L4460" s="300">
        <f t="shared" si="596"/>
        <v>478.71599999999995</v>
      </c>
      <c r="M4460" s="285">
        <f t="shared" si="585"/>
        <v>479</v>
      </c>
      <c r="N4460" s="1076"/>
      <c r="O4460" s="294"/>
      <c r="P4460" s="404"/>
      <c r="Q4460" s="404"/>
    </row>
    <row r="4461" spans="1:17" ht="14.4" thickTop="1" thickBot="1" x14ac:dyDescent="0.3">
      <c r="A4461" s="292"/>
      <c r="B4461" s="302" t="s">
        <v>579</v>
      </c>
      <c r="C4461" s="294"/>
      <c r="D4461" s="294"/>
      <c r="E4461" s="294"/>
      <c r="F4461" s="310"/>
      <c r="G4461" s="310"/>
      <c r="H4461" s="310"/>
      <c r="I4461" s="295"/>
      <c r="J4461" s="295"/>
      <c r="K4461" s="300">
        <f t="shared" si="589"/>
        <v>1.1000000000000001</v>
      </c>
      <c r="L4461" s="300">
        <f t="shared" si="596"/>
        <v>0</v>
      </c>
      <c r="M4461" s="285">
        <f t="shared" ref="M4461:M4524" si="602">ROUND(L4461,0)</f>
        <v>0</v>
      </c>
      <c r="N4461" s="1076"/>
      <c r="O4461" s="294"/>
      <c r="P4461" s="404"/>
      <c r="Q4461" s="404"/>
    </row>
    <row r="4462" spans="1:17" ht="14.4" thickTop="1" thickBot="1" x14ac:dyDescent="0.3">
      <c r="A4462" s="292"/>
      <c r="B4462" s="302" t="s">
        <v>845</v>
      </c>
      <c r="C4462" s="294"/>
      <c r="D4462" s="294"/>
      <c r="E4462" s="294"/>
      <c r="F4462" s="310"/>
      <c r="G4462" s="310"/>
      <c r="H4462" s="310"/>
      <c r="I4462" s="295"/>
      <c r="J4462" s="295"/>
      <c r="K4462" s="300">
        <f t="shared" si="589"/>
        <v>1.1000000000000001</v>
      </c>
      <c r="L4462" s="300">
        <f t="shared" si="596"/>
        <v>0</v>
      </c>
      <c r="M4462" s="285">
        <f t="shared" si="602"/>
        <v>0</v>
      </c>
      <c r="N4462" s="1076"/>
      <c r="O4462" s="294"/>
      <c r="P4462" s="404"/>
      <c r="Q4462" s="404"/>
    </row>
    <row r="4463" spans="1:17" ht="14.4" thickTop="1" thickBot="1" x14ac:dyDescent="0.3">
      <c r="A4463" s="292"/>
      <c r="B4463" s="294" t="s">
        <v>799</v>
      </c>
      <c r="C4463" s="294"/>
      <c r="D4463" s="294"/>
      <c r="E4463" s="294"/>
      <c r="F4463" s="310"/>
      <c r="G4463" s="310"/>
      <c r="H4463" s="310"/>
      <c r="I4463" s="295"/>
      <c r="J4463" s="295"/>
      <c r="K4463" s="300">
        <f t="shared" si="589"/>
        <v>1.1000000000000001</v>
      </c>
      <c r="L4463" s="300">
        <f t="shared" si="596"/>
        <v>0</v>
      </c>
      <c r="M4463" s="285">
        <f t="shared" si="602"/>
        <v>0</v>
      </c>
      <c r="N4463" s="1076"/>
      <c r="O4463" s="294"/>
      <c r="P4463" s="404"/>
      <c r="Q4463" s="404"/>
    </row>
    <row r="4464" spans="1:17" ht="14.4" thickTop="1" thickBot="1" x14ac:dyDescent="0.3">
      <c r="A4464" s="292"/>
      <c r="B4464" s="294" t="s">
        <v>708</v>
      </c>
      <c r="C4464" s="294"/>
      <c r="D4464" s="294"/>
      <c r="E4464" s="294">
        <v>4</v>
      </c>
      <c r="F4464" s="310">
        <v>3.5249999999999999</v>
      </c>
      <c r="G4464" s="310"/>
      <c r="H4464" s="310">
        <f>8*0.3</f>
        <v>2.4</v>
      </c>
      <c r="I4464" s="295">
        <f>H4464*F4464*E4464</f>
        <v>33.839999999999996</v>
      </c>
      <c r="J4464" s="295"/>
      <c r="K4464" s="300">
        <f t="shared" si="589"/>
        <v>1.1000000000000001</v>
      </c>
      <c r="L4464" s="300">
        <f t="shared" si="596"/>
        <v>0</v>
      </c>
      <c r="M4464" s="285">
        <f t="shared" si="602"/>
        <v>0</v>
      </c>
      <c r="N4464" s="1076"/>
      <c r="O4464" s="294"/>
      <c r="P4464" s="404"/>
      <c r="Q4464" s="404"/>
    </row>
    <row r="4465" spans="1:17" ht="14.4" thickTop="1" thickBot="1" x14ac:dyDescent="0.3">
      <c r="A4465" s="292"/>
      <c r="B4465" s="294"/>
      <c r="C4465" s="294"/>
      <c r="D4465" s="294"/>
      <c r="E4465" s="294">
        <v>2</v>
      </c>
      <c r="F4465" s="310">
        <v>4.5250000000000004</v>
      </c>
      <c r="G4465" s="310"/>
      <c r="H4465" s="310">
        <f>H4464</f>
        <v>2.4</v>
      </c>
      <c r="I4465" s="295">
        <f t="shared" ref="I4465:I4467" si="603">H4465*F4465*E4465</f>
        <v>21.720000000000002</v>
      </c>
      <c r="J4465" s="295"/>
      <c r="K4465" s="300">
        <f t="shared" si="589"/>
        <v>1.1000000000000001</v>
      </c>
      <c r="L4465" s="300">
        <f t="shared" si="596"/>
        <v>0</v>
      </c>
      <c r="M4465" s="285">
        <f t="shared" si="602"/>
        <v>0</v>
      </c>
      <c r="N4465" s="1076"/>
      <c r="O4465" s="294"/>
      <c r="P4465" s="404"/>
      <c r="Q4465" s="404"/>
    </row>
    <row r="4466" spans="1:17" ht="14.4" thickTop="1" thickBot="1" x14ac:dyDescent="0.3">
      <c r="A4466" s="292"/>
      <c r="B4466" s="294"/>
      <c r="C4466" s="294"/>
      <c r="D4466" s="294"/>
      <c r="E4466" s="294">
        <v>4</v>
      </c>
      <c r="F4466" s="310">
        <v>1.3</v>
      </c>
      <c r="G4466" s="310"/>
      <c r="H4466" s="310">
        <f>H4465</f>
        <v>2.4</v>
      </c>
      <c r="I4466" s="295">
        <f t="shared" si="603"/>
        <v>12.48</v>
      </c>
      <c r="J4466" s="295"/>
      <c r="K4466" s="300">
        <f t="shared" si="589"/>
        <v>1.1000000000000001</v>
      </c>
      <c r="L4466" s="300">
        <f t="shared" si="596"/>
        <v>0</v>
      </c>
      <c r="M4466" s="285">
        <f t="shared" si="602"/>
        <v>0</v>
      </c>
      <c r="N4466" s="1076"/>
      <c r="O4466" s="294"/>
      <c r="P4466" s="404"/>
      <c r="Q4466" s="404"/>
    </row>
    <row r="4467" spans="1:17" ht="14.4" thickTop="1" thickBot="1" x14ac:dyDescent="0.3">
      <c r="A4467" s="292"/>
      <c r="B4467" s="294" t="s">
        <v>846</v>
      </c>
      <c r="C4467" s="294"/>
      <c r="D4467" s="294"/>
      <c r="E4467" s="294"/>
      <c r="F4467" s="310"/>
      <c r="G4467" s="310"/>
      <c r="H4467" s="310"/>
      <c r="I4467" s="295">
        <f t="shared" si="603"/>
        <v>0</v>
      </c>
      <c r="J4467" s="295"/>
      <c r="K4467" s="300">
        <f t="shared" si="589"/>
        <v>1.1000000000000001</v>
      </c>
      <c r="L4467" s="300">
        <f t="shared" si="596"/>
        <v>0</v>
      </c>
      <c r="M4467" s="285">
        <f t="shared" si="602"/>
        <v>0</v>
      </c>
      <c r="N4467" s="1076"/>
      <c r="O4467" s="294"/>
      <c r="P4467" s="404"/>
      <c r="Q4467" s="404"/>
    </row>
    <row r="4468" spans="1:17" ht="14.4" thickTop="1" thickBot="1" x14ac:dyDescent="0.3">
      <c r="A4468" s="292"/>
      <c r="B4468" s="294" t="s">
        <v>784</v>
      </c>
      <c r="C4468" s="294"/>
      <c r="D4468" s="294"/>
      <c r="E4468" s="294">
        <v>2</v>
      </c>
      <c r="F4468" s="310">
        <v>0.9</v>
      </c>
      <c r="G4468" s="310"/>
      <c r="H4468" s="310">
        <v>2.4</v>
      </c>
      <c r="I4468" s="295">
        <f>-H4468*F4468*E4468</f>
        <v>-4.32</v>
      </c>
      <c r="J4468" s="295"/>
      <c r="K4468" s="300">
        <f t="shared" si="589"/>
        <v>1.1000000000000001</v>
      </c>
      <c r="L4468" s="300">
        <f t="shared" si="596"/>
        <v>0</v>
      </c>
      <c r="M4468" s="285">
        <f t="shared" si="602"/>
        <v>0</v>
      </c>
      <c r="N4468" s="1076"/>
      <c r="O4468" s="294"/>
      <c r="P4468" s="404"/>
      <c r="Q4468" s="404"/>
    </row>
    <row r="4469" spans="1:17" ht="14.4" thickTop="1" thickBot="1" x14ac:dyDescent="0.3">
      <c r="A4469" s="292"/>
      <c r="B4469" s="294" t="s">
        <v>785</v>
      </c>
      <c r="C4469" s="294"/>
      <c r="D4469" s="294"/>
      <c r="E4469" s="294">
        <v>6</v>
      </c>
      <c r="F4469" s="310">
        <v>0.75</v>
      </c>
      <c r="G4469" s="310"/>
      <c r="H4469" s="310">
        <v>2.4</v>
      </c>
      <c r="I4469" s="295">
        <f>-H4469*F4469*E4469</f>
        <v>-10.799999999999999</v>
      </c>
      <c r="J4469" s="295">
        <f>SUM(I4464:I4469)</f>
        <v>52.920000000000009</v>
      </c>
      <c r="K4469" s="300">
        <f t="shared" si="589"/>
        <v>1.1000000000000001</v>
      </c>
      <c r="L4469" s="300">
        <f t="shared" si="596"/>
        <v>58.212000000000018</v>
      </c>
      <c r="M4469" s="285">
        <f t="shared" si="602"/>
        <v>58</v>
      </c>
      <c r="N4469" s="1076"/>
      <c r="O4469" s="294"/>
      <c r="P4469" s="404"/>
      <c r="Q4469" s="404"/>
    </row>
    <row r="4470" spans="1:17" ht="14.4" thickTop="1" thickBot="1" x14ac:dyDescent="0.3">
      <c r="A4470" s="292"/>
      <c r="B4470" s="294"/>
      <c r="C4470" s="294"/>
      <c r="D4470" s="294"/>
      <c r="E4470" s="294"/>
      <c r="F4470" s="310"/>
      <c r="G4470" s="310"/>
      <c r="H4470" s="310"/>
      <c r="I4470" s="295"/>
      <c r="J4470" s="295">
        <f>J4469/9.29</f>
        <v>5.6964477933261586</v>
      </c>
      <c r="K4470" s="300">
        <v>1.05</v>
      </c>
      <c r="L4470" s="300">
        <f t="shared" si="596"/>
        <v>5.9812701829924668</v>
      </c>
      <c r="M4470" s="285">
        <f t="shared" si="602"/>
        <v>6</v>
      </c>
      <c r="N4470" s="1076"/>
      <c r="O4470" s="294"/>
      <c r="P4470" s="404"/>
      <c r="Q4470" s="404"/>
    </row>
    <row r="4471" spans="1:17" ht="14.4" thickTop="1" thickBot="1" x14ac:dyDescent="0.3">
      <c r="A4471" s="292"/>
      <c r="B4471" s="294"/>
      <c r="C4471" s="294"/>
      <c r="D4471" s="294"/>
      <c r="E4471" s="294"/>
      <c r="F4471" s="310"/>
      <c r="G4471" s="310"/>
      <c r="H4471" s="310"/>
      <c r="I4471" s="295"/>
      <c r="J4471" s="295"/>
      <c r="K4471" s="300">
        <f t="shared" ref="K4471:K4535" si="604">$K$2</f>
        <v>1.1000000000000001</v>
      </c>
      <c r="L4471" s="300">
        <f t="shared" si="596"/>
        <v>0</v>
      </c>
      <c r="M4471" s="285">
        <f t="shared" si="602"/>
        <v>0</v>
      </c>
      <c r="N4471" s="1076"/>
      <c r="O4471" s="294"/>
      <c r="P4471" s="404"/>
      <c r="Q4471" s="404"/>
    </row>
    <row r="4472" spans="1:17" ht="14.4" thickTop="1" thickBot="1" x14ac:dyDescent="0.3">
      <c r="A4472" s="292"/>
      <c r="B4472" s="294" t="s">
        <v>802</v>
      </c>
      <c r="C4472" s="294"/>
      <c r="D4472" s="294"/>
      <c r="E4472" s="294"/>
      <c r="F4472" s="310"/>
      <c r="G4472" s="310"/>
      <c r="H4472" s="310"/>
      <c r="I4472" s="295"/>
      <c r="J4472" s="295"/>
      <c r="K4472" s="300">
        <f t="shared" si="604"/>
        <v>1.1000000000000001</v>
      </c>
      <c r="L4472" s="300">
        <f t="shared" si="596"/>
        <v>0</v>
      </c>
      <c r="M4472" s="285">
        <f t="shared" si="602"/>
        <v>0</v>
      </c>
      <c r="N4472" s="1076"/>
      <c r="O4472" s="294"/>
      <c r="P4472" s="404"/>
      <c r="Q4472" s="404"/>
    </row>
    <row r="4473" spans="1:17" ht="14.4" thickTop="1" thickBot="1" x14ac:dyDescent="0.3">
      <c r="A4473" s="292"/>
      <c r="B4473" s="294" t="s">
        <v>708</v>
      </c>
      <c r="C4473" s="294"/>
      <c r="D4473" s="294"/>
      <c r="E4473" s="294">
        <v>4</v>
      </c>
      <c r="F4473" s="310">
        <v>3.5249999999999999</v>
      </c>
      <c r="G4473" s="310"/>
      <c r="H4473" s="310">
        <f>8*0.3</f>
        <v>2.4</v>
      </c>
      <c r="I4473" s="295">
        <f>H4473*F4473*E4473</f>
        <v>33.839999999999996</v>
      </c>
      <c r="J4473" s="295"/>
      <c r="K4473" s="300">
        <f t="shared" si="604"/>
        <v>1.1000000000000001</v>
      </c>
      <c r="L4473" s="300">
        <f t="shared" si="596"/>
        <v>0</v>
      </c>
      <c r="M4473" s="285">
        <f t="shared" si="602"/>
        <v>0</v>
      </c>
      <c r="N4473" s="1076"/>
      <c r="O4473" s="294"/>
      <c r="P4473" s="404"/>
      <c r="Q4473" s="404"/>
    </row>
    <row r="4474" spans="1:17" ht="14.4" thickTop="1" thickBot="1" x14ac:dyDescent="0.3">
      <c r="A4474" s="292"/>
      <c r="B4474" s="294"/>
      <c r="C4474" s="294"/>
      <c r="D4474" s="294"/>
      <c r="E4474" s="294">
        <v>2</v>
      </c>
      <c r="F4474" s="310">
        <v>4.5250000000000004</v>
      </c>
      <c r="G4474" s="310"/>
      <c r="H4474" s="310">
        <f>H4473</f>
        <v>2.4</v>
      </c>
      <c r="I4474" s="295">
        <f t="shared" ref="I4474:I4476" si="605">H4474*F4474*E4474</f>
        <v>21.720000000000002</v>
      </c>
      <c r="J4474" s="295"/>
      <c r="K4474" s="300">
        <f t="shared" si="604"/>
        <v>1.1000000000000001</v>
      </c>
      <c r="L4474" s="300">
        <f t="shared" si="596"/>
        <v>0</v>
      </c>
      <c r="M4474" s="285">
        <f t="shared" si="602"/>
        <v>0</v>
      </c>
      <c r="N4474" s="1076"/>
      <c r="O4474" s="294"/>
      <c r="P4474" s="404"/>
      <c r="Q4474" s="404"/>
    </row>
    <row r="4475" spans="1:17" ht="14.4" thickTop="1" thickBot="1" x14ac:dyDescent="0.3">
      <c r="A4475" s="292"/>
      <c r="B4475" s="294"/>
      <c r="C4475" s="294"/>
      <c r="D4475" s="294"/>
      <c r="E4475" s="294">
        <v>4</v>
      </c>
      <c r="F4475" s="310">
        <v>1.3</v>
      </c>
      <c r="G4475" s="310"/>
      <c r="H4475" s="310">
        <f>H4474</f>
        <v>2.4</v>
      </c>
      <c r="I4475" s="295">
        <f t="shared" si="605"/>
        <v>12.48</v>
      </c>
      <c r="J4475" s="295"/>
      <c r="K4475" s="300">
        <f t="shared" si="604"/>
        <v>1.1000000000000001</v>
      </c>
      <c r="L4475" s="300">
        <f t="shared" si="596"/>
        <v>0</v>
      </c>
      <c r="M4475" s="285">
        <f t="shared" si="602"/>
        <v>0</v>
      </c>
      <c r="N4475" s="1076"/>
      <c r="O4475" s="294"/>
      <c r="P4475" s="404"/>
      <c r="Q4475" s="404"/>
    </row>
    <row r="4476" spans="1:17" ht="14.4" thickTop="1" thickBot="1" x14ac:dyDescent="0.3">
      <c r="A4476" s="292"/>
      <c r="B4476" s="294" t="s">
        <v>846</v>
      </c>
      <c r="C4476" s="294"/>
      <c r="D4476" s="294"/>
      <c r="E4476" s="294"/>
      <c r="F4476" s="310"/>
      <c r="G4476" s="310"/>
      <c r="H4476" s="310"/>
      <c r="I4476" s="295">
        <f t="shared" si="605"/>
        <v>0</v>
      </c>
      <c r="J4476" s="295"/>
      <c r="K4476" s="300">
        <f t="shared" si="604"/>
        <v>1.1000000000000001</v>
      </c>
      <c r="L4476" s="300">
        <f t="shared" si="596"/>
        <v>0</v>
      </c>
      <c r="M4476" s="285">
        <f t="shared" si="602"/>
        <v>0</v>
      </c>
      <c r="N4476" s="1076"/>
      <c r="O4476" s="294"/>
      <c r="P4476" s="404"/>
      <c r="Q4476" s="404"/>
    </row>
    <row r="4477" spans="1:17" ht="14.4" thickTop="1" thickBot="1" x14ac:dyDescent="0.3">
      <c r="A4477" s="292"/>
      <c r="B4477" s="294" t="s">
        <v>784</v>
      </c>
      <c r="C4477" s="294"/>
      <c r="D4477" s="294"/>
      <c r="E4477" s="294">
        <v>2</v>
      </c>
      <c r="F4477" s="310">
        <v>0.9</v>
      </c>
      <c r="G4477" s="310"/>
      <c r="H4477" s="310">
        <v>2.4</v>
      </c>
      <c r="I4477" s="295">
        <f>-H4477*F4477*E4477</f>
        <v>-4.32</v>
      </c>
      <c r="J4477" s="295"/>
      <c r="K4477" s="300">
        <f t="shared" si="604"/>
        <v>1.1000000000000001</v>
      </c>
      <c r="L4477" s="300">
        <f t="shared" si="596"/>
        <v>0</v>
      </c>
      <c r="M4477" s="285">
        <f t="shared" si="602"/>
        <v>0</v>
      </c>
      <c r="N4477" s="1076"/>
      <c r="O4477" s="294"/>
      <c r="P4477" s="404"/>
      <c r="Q4477" s="404"/>
    </row>
    <row r="4478" spans="1:17" ht="14.4" thickTop="1" thickBot="1" x14ac:dyDescent="0.3">
      <c r="A4478" s="292"/>
      <c r="B4478" s="294" t="s">
        <v>785</v>
      </c>
      <c r="C4478" s="294"/>
      <c r="D4478" s="294"/>
      <c r="E4478" s="294">
        <v>6</v>
      </c>
      <c r="F4478" s="310">
        <v>0.75</v>
      </c>
      <c r="G4478" s="310"/>
      <c r="H4478" s="310">
        <v>2.4</v>
      </c>
      <c r="I4478" s="295">
        <f>-H4478*F4478*E4478</f>
        <v>-10.799999999999999</v>
      </c>
      <c r="J4478" s="295">
        <f>SUM(I4473:I4478)</f>
        <v>52.920000000000009</v>
      </c>
      <c r="K4478" s="300">
        <f t="shared" si="604"/>
        <v>1.1000000000000001</v>
      </c>
      <c r="L4478" s="300">
        <f t="shared" si="596"/>
        <v>58.212000000000018</v>
      </c>
      <c r="M4478" s="285">
        <f t="shared" si="602"/>
        <v>58</v>
      </c>
      <c r="N4478" s="1076"/>
      <c r="O4478" s="294"/>
      <c r="P4478" s="404"/>
      <c r="Q4478" s="404"/>
    </row>
    <row r="4479" spans="1:17" ht="14.4" thickTop="1" thickBot="1" x14ac:dyDescent="0.3">
      <c r="A4479" s="292"/>
      <c r="B4479" s="294"/>
      <c r="C4479" s="294"/>
      <c r="D4479" s="294"/>
      <c r="E4479" s="294"/>
      <c r="F4479" s="310"/>
      <c r="G4479" s="310"/>
      <c r="H4479" s="310"/>
      <c r="I4479" s="295"/>
      <c r="J4479" s="295">
        <f>J4478/9.29</f>
        <v>5.6964477933261586</v>
      </c>
      <c r="K4479" s="300">
        <f t="shared" si="604"/>
        <v>1.1000000000000001</v>
      </c>
      <c r="L4479" s="300">
        <f t="shared" si="596"/>
        <v>6.2660925726587751</v>
      </c>
      <c r="M4479" s="285">
        <f t="shared" si="602"/>
        <v>6</v>
      </c>
      <c r="N4479" s="1076"/>
      <c r="O4479" s="294"/>
      <c r="P4479" s="404"/>
      <c r="Q4479" s="404"/>
    </row>
    <row r="4480" spans="1:17" ht="14.4" thickTop="1" thickBot="1" x14ac:dyDescent="0.3">
      <c r="A4480" s="292"/>
      <c r="B4480" s="294"/>
      <c r="C4480" s="294"/>
      <c r="D4480" s="294"/>
      <c r="E4480" s="294"/>
      <c r="F4480" s="310"/>
      <c r="G4480" s="310"/>
      <c r="H4480" s="310"/>
      <c r="I4480" s="295"/>
      <c r="J4480" s="295"/>
      <c r="K4480" s="300">
        <f t="shared" si="604"/>
        <v>1.1000000000000001</v>
      </c>
      <c r="L4480" s="300">
        <f t="shared" si="596"/>
        <v>0</v>
      </c>
      <c r="M4480" s="285">
        <f t="shared" si="602"/>
        <v>0</v>
      </c>
      <c r="N4480" s="1076"/>
      <c r="O4480" s="294"/>
      <c r="P4480" s="404"/>
      <c r="Q4480" s="404"/>
    </row>
    <row r="4481" spans="1:17" ht="14.4" thickTop="1" thickBot="1" x14ac:dyDescent="0.3">
      <c r="A4481" s="292"/>
      <c r="B4481" s="294" t="s">
        <v>803</v>
      </c>
      <c r="C4481" s="294"/>
      <c r="D4481" s="294"/>
      <c r="E4481" s="294">
        <v>4</v>
      </c>
      <c r="F4481" s="310">
        <v>3.65</v>
      </c>
      <c r="G4481" s="310"/>
      <c r="H4481" s="310">
        <f>H4478</f>
        <v>2.4</v>
      </c>
      <c r="I4481" s="295">
        <f>H4481*F4481*E4481</f>
        <v>35.04</v>
      </c>
      <c r="J4481" s="295"/>
      <c r="K4481" s="300">
        <f t="shared" si="604"/>
        <v>1.1000000000000001</v>
      </c>
      <c r="L4481" s="300">
        <f t="shared" si="596"/>
        <v>0</v>
      </c>
      <c r="M4481" s="285">
        <f t="shared" si="602"/>
        <v>0</v>
      </c>
      <c r="N4481" s="1076"/>
      <c r="O4481" s="294"/>
      <c r="P4481" s="404"/>
      <c r="Q4481" s="404"/>
    </row>
    <row r="4482" spans="1:17" ht="14.4" thickTop="1" thickBot="1" x14ac:dyDescent="0.3">
      <c r="A4482" s="292"/>
      <c r="B4482" s="294"/>
      <c r="C4482" s="294"/>
      <c r="D4482" s="294"/>
      <c r="E4482" s="294">
        <v>2</v>
      </c>
      <c r="F4482" s="310">
        <v>3.4</v>
      </c>
      <c r="G4482" s="310"/>
      <c r="H4482" s="310">
        <f>H4481</f>
        <v>2.4</v>
      </c>
      <c r="I4482" s="295">
        <f>H4482*F4482*E4482</f>
        <v>16.32</v>
      </c>
      <c r="J4482" s="295"/>
      <c r="K4482" s="300">
        <f t="shared" si="604"/>
        <v>1.1000000000000001</v>
      </c>
      <c r="L4482" s="300">
        <f t="shared" si="596"/>
        <v>0</v>
      </c>
      <c r="M4482" s="285">
        <f t="shared" si="602"/>
        <v>0</v>
      </c>
      <c r="N4482" s="1076"/>
      <c r="O4482" s="294"/>
      <c r="P4482" s="404"/>
      <c r="Q4482" s="404"/>
    </row>
    <row r="4483" spans="1:17" ht="14.4" thickTop="1" thickBot="1" x14ac:dyDescent="0.3">
      <c r="A4483" s="292"/>
      <c r="B4483" s="294" t="s">
        <v>784</v>
      </c>
      <c r="C4483" s="294"/>
      <c r="D4483" s="294"/>
      <c r="E4483" s="294">
        <v>2</v>
      </c>
      <c r="F4483" s="310">
        <v>0.9</v>
      </c>
      <c r="G4483" s="310"/>
      <c r="H4483" s="310">
        <v>2.4</v>
      </c>
      <c r="I4483" s="295">
        <f>-H4483*F4483*E4483</f>
        <v>-4.32</v>
      </c>
      <c r="J4483" s="295">
        <f>SUM(I4481:I4483)</f>
        <v>47.04</v>
      </c>
      <c r="K4483" s="300">
        <f t="shared" si="604"/>
        <v>1.1000000000000001</v>
      </c>
      <c r="L4483" s="300">
        <f t="shared" si="596"/>
        <v>51.744</v>
      </c>
      <c r="M4483" s="285">
        <f t="shared" si="602"/>
        <v>52</v>
      </c>
      <c r="N4483" s="1076"/>
      <c r="O4483" s="294"/>
      <c r="P4483" s="404"/>
      <c r="Q4483" s="404"/>
    </row>
    <row r="4484" spans="1:17" ht="14.4" thickTop="1" thickBot="1" x14ac:dyDescent="0.3">
      <c r="A4484" s="292"/>
      <c r="B4484" s="294"/>
      <c r="C4484" s="294"/>
      <c r="D4484" s="294"/>
      <c r="E4484" s="294"/>
      <c r="F4484" s="310"/>
      <c r="G4484" s="310"/>
      <c r="H4484" s="310"/>
      <c r="I4484" s="295"/>
      <c r="J4484" s="295">
        <f>J4483/9.29</f>
        <v>5.0635091496232514</v>
      </c>
      <c r="K4484" s="300">
        <f t="shared" si="604"/>
        <v>1.1000000000000001</v>
      </c>
      <c r="L4484" s="300">
        <f t="shared" si="596"/>
        <v>5.5698600645855771</v>
      </c>
      <c r="M4484" s="285">
        <f t="shared" si="602"/>
        <v>6</v>
      </c>
      <c r="N4484" s="1076"/>
      <c r="O4484" s="294"/>
      <c r="P4484" s="404"/>
      <c r="Q4484" s="404"/>
    </row>
    <row r="4485" spans="1:17" ht="14.4" thickTop="1" thickBot="1" x14ac:dyDescent="0.3">
      <c r="A4485" s="292"/>
      <c r="B4485" s="302" t="s">
        <v>847</v>
      </c>
      <c r="C4485" s="294"/>
      <c r="D4485" s="294"/>
      <c r="E4485" s="294"/>
      <c r="F4485" s="310"/>
      <c r="G4485" s="310"/>
      <c r="H4485" s="310"/>
      <c r="I4485" s="295"/>
      <c r="J4485" s="295"/>
      <c r="K4485" s="300">
        <f t="shared" si="604"/>
        <v>1.1000000000000001</v>
      </c>
      <c r="L4485" s="300">
        <f t="shared" si="596"/>
        <v>0</v>
      </c>
      <c r="M4485" s="285">
        <f t="shared" si="602"/>
        <v>0</v>
      </c>
      <c r="N4485" s="1076"/>
      <c r="O4485" s="294"/>
      <c r="P4485" s="404"/>
      <c r="Q4485" s="404"/>
    </row>
    <row r="4486" spans="1:17" ht="14.4" thickTop="1" thickBot="1" x14ac:dyDescent="0.3">
      <c r="A4486" s="292"/>
      <c r="B4486" s="302"/>
      <c r="C4486" s="294"/>
      <c r="D4486" s="294"/>
      <c r="E4486" s="294"/>
      <c r="F4486" s="310"/>
      <c r="G4486" s="310"/>
      <c r="H4486" s="310"/>
      <c r="I4486" s="295"/>
      <c r="J4486" s="295"/>
      <c r="K4486" s="300">
        <f t="shared" si="604"/>
        <v>1.1000000000000001</v>
      </c>
      <c r="L4486" s="300">
        <f t="shared" si="596"/>
        <v>0</v>
      </c>
      <c r="M4486" s="285"/>
      <c r="N4486" s="1076"/>
      <c r="O4486" s="294"/>
      <c r="P4486" s="404"/>
      <c r="Q4486" s="404"/>
    </row>
    <row r="4487" spans="1:17" ht="14.4" thickTop="1" thickBot="1" x14ac:dyDescent="0.3">
      <c r="A4487" s="292"/>
      <c r="B4487" s="294" t="s">
        <v>848</v>
      </c>
      <c r="C4487" s="294"/>
      <c r="D4487" s="294"/>
      <c r="E4487" s="294"/>
      <c r="F4487" s="310"/>
      <c r="G4487" s="310"/>
      <c r="H4487" s="310"/>
      <c r="I4487" s="295"/>
      <c r="J4487" s="295"/>
      <c r="K4487" s="300">
        <f t="shared" si="604"/>
        <v>1.1000000000000001</v>
      </c>
      <c r="L4487" s="300">
        <f t="shared" si="596"/>
        <v>0</v>
      </c>
      <c r="M4487" s="285"/>
      <c r="N4487" s="1076"/>
      <c r="O4487" s="294"/>
      <c r="P4487" s="404"/>
      <c r="Q4487" s="404"/>
    </row>
    <row r="4488" spans="1:17" ht="14.4" thickTop="1" thickBot="1" x14ac:dyDescent="0.3">
      <c r="A4488" s="292"/>
      <c r="B4488" s="294" t="s">
        <v>799</v>
      </c>
      <c r="C4488" s="294"/>
      <c r="D4488" s="294"/>
      <c r="E4488" s="294"/>
      <c r="F4488" s="310">
        <v>4.5250000000000004</v>
      </c>
      <c r="G4488" s="310">
        <v>3.5249999999999999</v>
      </c>
      <c r="H4488" s="310"/>
      <c r="I4488" s="295">
        <f>G4488*F4488</f>
        <v>15.950625</v>
      </c>
      <c r="J4488" s="295">
        <f>I4488</f>
        <v>15.950625</v>
      </c>
      <c r="K4488" s="300">
        <v>1.05</v>
      </c>
      <c r="L4488" s="300">
        <f t="shared" si="596"/>
        <v>16.748156250000001</v>
      </c>
      <c r="M4488" s="285">
        <f t="shared" si="602"/>
        <v>17</v>
      </c>
      <c r="N4488" s="1076"/>
      <c r="O4488" s="294"/>
      <c r="P4488" s="404"/>
      <c r="Q4488" s="404"/>
    </row>
    <row r="4489" spans="1:17" ht="14.4" thickTop="1" thickBot="1" x14ac:dyDescent="0.3">
      <c r="A4489" s="292"/>
      <c r="B4489" s="294"/>
      <c r="C4489" s="294"/>
      <c r="D4489" s="294"/>
      <c r="E4489" s="294"/>
      <c r="F4489" s="310"/>
      <c r="G4489" s="310"/>
      <c r="H4489" s="310"/>
      <c r="I4489" s="295"/>
      <c r="J4489" s="295"/>
      <c r="K4489" s="300">
        <f t="shared" si="604"/>
        <v>1.1000000000000001</v>
      </c>
      <c r="L4489" s="300">
        <f t="shared" si="596"/>
        <v>0</v>
      </c>
      <c r="M4489" s="285">
        <f t="shared" si="602"/>
        <v>0</v>
      </c>
      <c r="N4489" s="1076"/>
      <c r="O4489" s="294"/>
      <c r="P4489" s="404"/>
      <c r="Q4489" s="404"/>
    </row>
    <row r="4490" spans="1:17" ht="14.4" thickTop="1" thickBot="1" x14ac:dyDescent="0.3">
      <c r="A4490" s="292"/>
      <c r="B4490" s="294" t="s">
        <v>802</v>
      </c>
      <c r="C4490" s="294"/>
      <c r="D4490" s="294"/>
      <c r="E4490" s="294"/>
      <c r="F4490" s="310">
        <v>4.5250000000000004</v>
      </c>
      <c r="G4490" s="310">
        <v>3.5249999999999999</v>
      </c>
      <c r="H4490" s="310"/>
      <c r="I4490" s="295">
        <f>G4490*F4490</f>
        <v>15.950625</v>
      </c>
      <c r="J4490" s="295">
        <f>I4490</f>
        <v>15.950625</v>
      </c>
      <c r="K4490" s="300">
        <v>1.05</v>
      </c>
      <c r="L4490" s="300">
        <f t="shared" si="596"/>
        <v>16.748156250000001</v>
      </c>
      <c r="M4490" s="285">
        <f t="shared" si="602"/>
        <v>17</v>
      </c>
      <c r="N4490" s="1076"/>
      <c r="O4490" s="294"/>
      <c r="P4490" s="404"/>
      <c r="Q4490" s="404"/>
    </row>
    <row r="4491" spans="1:17" ht="14.4" thickTop="1" thickBot="1" x14ac:dyDescent="0.3">
      <c r="A4491" s="292"/>
      <c r="B4491" s="294"/>
      <c r="C4491" s="294"/>
      <c r="D4491" s="294"/>
      <c r="E4491" s="294"/>
      <c r="F4491" s="310"/>
      <c r="G4491" s="310"/>
      <c r="H4491" s="310"/>
      <c r="I4491" s="295"/>
      <c r="J4491" s="295"/>
      <c r="K4491" s="300">
        <f t="shared" si="604"/>
        <v>1.1000000000000001</v>
      </c>
      <c r="L4491" s="300">
        <f t="shared" si="596"/>
        <v>0</v>
      </c>
      <c r="M4491" s="285">
        <f t="shared" si="602"/>
        <v>0</v>
      </c>
      <c r="N4491" s="1076"/>
      <c r="O4491" s="294"/>
      <c r="P4491" s="404"/>
      <c r="Q4491" s="404"/>
    </row>
    <row r="4492" spans="1:17" ht="14.4" thickTop="1" thickBot="1" x14ac:dyDescent="0.3">
      <c r="A4492" s="292"/>
      <c r="B4492" s="294" t="s">
        <v>803</v>
      </c>
      <c r="C4492" s="294"/>
      <c r="D4492" s="294"/>
      <c r="E4492" s="294"/>
      <c r="F4492" s="310">
        <v>3.65</v>
      </c>
      <c r="G4492" s="310">
        <v>3.4</v>
      </c>
      <c r="H4492" s="310"/>
      <c r="I4492" s="295">
        <f>G4492*F4492</f>
        <v>12.41</v>
      </c>
      <c r="J4492" s="295">
        <f>I4492</f>
        <v>12.41</v>
      </c>
      <c r="K4492" s="300">
        <v>1.05</v>
      </c>
      <c r="L4492" s="300">
        <f t="shared" si="596"/>
        <v>13.0305</v>
      </c>
      <c r="M4492" s="285">
        <f t="shared" si="602"/>
        <v>13</v>
      </c>
      <c r="N4492" s="1076"/>
      <c r="O4492" s="294"/>
      <c r="P4492" s="404"/>
      <c r="Q4492" s="404"/>
    </row>
    <row r="4493" spans="1:17" ht="14.4" thickTop="1" thickBot="1" x14ac:dyDescent="0.3">
      <c r="A4493" s="292"/>
      <c r="B4493" s="294"/>
      <c r="C4493" s="294"/>
      <c r="D4493" s="294"/>
      <c r="E4493" s="294"/>
      <c r="F4493" s="310"/>
      <c r="G4493" s="310"/>
      <c r="H4493" s="310"/>
      <c r="I4493" s="295"/>
      <c r="J4493" s="295"/>
      <c r="K4493" s="300">
        <f t="shared" si="604"/>
        <v>1.1000000000000001</v>
      </c>
      <c r="L4493" s="300">
        <f t="shared" si="596"/>
        <v>0</v>
      </c>
      <c r="M4493" s="285">
        <f t="shared" si="602"/>
        <v>0</v>
      </c>
      <c r="N4493" s="1076"/>
      <c r="O4493" s="294"/>
      <c r="P4493" s="404"/>
      <c r="Q4493" s="404"/>
    </row>
    <row r="4494" spans="1:17" ht="14.4" thickTop="1" thickBot="1" x14ac:dyDescent="0.3">
      <c r="A4494" s="292"/>
      <c r="B4494" s="294" t="s">
        <v>849</v>
      </c>
      <c r="C4494" s="294"/>
      <c r="D4494" s="294"/>
      <c r="E4494" s="294"/>
      <c r="F4494" s="310"/>
      <c r="G4494" s="310"/>
      <c r="H4494" s="310"/>
      <c r="I4494" s="295"/>
      <c r="J4494" s="295"/>
      <c r="K4494" s="300">
        <f t="shared" si="604"/>
        <v>1.1000000000000001</v>
      </c>
      <c r="L4494" s="300">
        <f t="shared" si="596"/>
        <v>0</v>
      </c>
      <c r="M4494" s="285">
        <f t="shared" si="602"/>
        <v>0</v>
      </c>
      <c r="N4494" s="1076"/>
      <c r="O4494" s="294"/>
      <c r="P4494" s="404"/>
      <c r="Q4494" s="404"/>
    </row>
    <row r="4495" spans="1:17" ht="14.4" thickTop="1" thickBot="1" x14ac:dyDescent="0.3">
      <c r="A4495" s="292"/>
      <c r="B4495" s="294" t="s">
        <v>850</v>
      </c>
      <c r="C4495" s="294"/>
      <c r="D4495" s="294"/>
      <c r="E4495" s="294">
        <v>1</v>
      </c>
      <c r="F4495" s="310">
        <v>2.2749999999999999</v>
      </c>
      <c r="G4495" s="310">
        <v>1</v>
      </c>
      <c r="H4495" s="310"/>
      <c r="I4495" s="295">
        <f>G4495*F4495*E4495</f>
        <v>2.2749999999999999</v>
      </c>
      <c r="J4495" s="295"/>
      <c r="K4495" s="300">
        <f t="shared" si="604"/>
        <v>1.1000000000000001</v>
      </c>
      <c r="L4495" s="300">
        <f t="shared" si="596"/>
        <v>0</v>
      </c>
      <c r="M4495" s="285">
        <f t="shared" si="602"/>
        <v>0</v>
      </c>
      <c r="N4495" s="1076"/>
      <c r="O4495" s="294"/>
      <c r="P4495" s="404"/>
      <c r="Q4495" s="404"/>
    </row>
    <row r="4496" spans="1:17" ht="14.4" thickTop="1" thickBot="1" x14ac:dyDescent="0.3">
      <c r="A4496" s="292"/>
      <c r="B4496" s="294" t="s">
        <v>851</v>
      </c>
      <c r="C4496" s="294"/>
      <c r="D4496" s="294"/>
      <c r="E4496" s="294">
        <v>22</v>
      </c>
      <c r="F4496" s="310">
        <v>1.1000000000000001</v>
      </c>
      <c r="G4496" s="310">
        <v>0.25</v>
      </c>
      <c r="H4496" s="310"/>
      <c r="I4496" s="295">
        <f t="shared" ref="I4496:I4498" si="606">G4496*F4496*E4496</f>
        <v>6.0500000000000007</v>
      </c>
      <c r="J4496" s="295"/>
      <c r="K4496" s="300">
        <f t="shared" si="604"/>
        <v>1.1000000000000001</v>
      </c>
      <c r="L4496" s="300">
        <f t="shared" si="596"/>
        <v>0</v>
      </c>
      <c r="M4496" s="285">
        <f t="shared" si="602"/>
        <v>0</v>
      </c>
      <c r="N4496" s="1076"/>
      <c r="O4496" s="294"/>
      <c r="P4496" s="404"/>
      <c r="Q4496" s="404"/>
    </row>
    <row r="4497" spans="1:17" ht="14.4" thickTop="1" thickBot="1" x14ac:dyDescent="0.3">
      <c r="A4497" s="292"/>
      <c r="B4497" s="294"/>
      <c r="C4497" s="294"/>
      <c r="D4497" s="294"/>
      <c r="E4497" s="294">
        <v>21</v>
      </c>
      <c r="F4497" s="310">
        <f>F4496</f>
        <v>1.1000000000000001</v>
      </c>
      <c r="G4497" s="310">
        <v>0.15</v>
      </c>
      <c r="H4497" s="310"/>
      <c r="I4497" s="295">
        <f t="shared" si="606"/>
        <v>3.4650000000000003</v>
      </c>
      <c r="J4497" s="295"/>
      <c r="K4497" s="300">
        <f t="shared" si="604"/>
        <v>1.1000000000000001</v>
      </c>
      <c r="L4497" s="300">
        <f t="shared" si="596"/>
        <v>0</v>
      </c>
      <c r="M4497" s="285">
        <f t="shared" si="602"/>
        <v>0</v>
      </c>
      <c r="N4497" s="1076"/>
      <c r="O4497" s="294"/>
      <c r="P4497" s="404"/>
      <c r="Q4497" s="404"/>
    </row>
    <row r="4498" spans="1:17" ht="14.4" thickTop="1" thickBot="1" x14ac:dyDescent="0.3">
      <c r="A4498" s="292"/>
      <c r="B4498" s="294"/>
      <c r="C4498" s="294"/>
      <c r="D4498" s="294"/>
      <c r="E4498" s="294">
        <v>2</v>
      </c>
      <c r="F4498" s="310">
        <v>3.3679999999999999</v>
      </c>
      <c r="G4498" s="310">
        <v>0.2</v>
      </c>
      <c r="H4498" s="310"/>
      <c r="I4498" s="295">
        <f t="shared" si="606"/>
        <v>1.3472</v>
      </c>
      <c r="J4498" s="295">
        <f>SUM(I4495:I4498)</f>
        <v>13.1372</v>
      </c>
      <c r="K4498" s="300">
        <f t="shared" si="604"/>
        <v>1.1000000000000001</v>
      </c>
      <c r="L4498" s="300">
        <f t="shared" si="596"/>
        <v>14.450920000000002</v>
      </c>
      <c r="M4498" s="285">
        <f t="shared" si="602"/>
        <v>14</v>
      </c>
      <c r="N4498" s="1076"/>
      <c r="O4498" s="294"/>
      <c r="P4498" s="413">
        <f>J4498*10.76</f>
        <v>141.35627199999999</v>
      </c>
      <c r="Q4498" s="404"/>
    </row>
    <row r="4499" spans="1:17" ht="14.4" thickTop="1" thickBot="1" x14ac:dyDescent="0.3">
      <c r="A4499" s="292"/>
      <c r="B4499" s="294"/>
      <c r="C4499" s="294"/>
      <c r="D4499" s="294"/>
      <c r="E4499" s="294"/>
      <c r="F4499" s="310"/>
      <c r="G4499" s="310"/>
      <c r="H4499" s="310"/>
      <c r="I4499" s="295"/>
      <c r="J4499" s="295">
        <f>J4498/9.29</f>
        <v>1.4141227125941875</v>
      </c>
      <c r="K4499" s="300">
        <v>1.05</v>
      </c>
      <c r="L4499" s="300">
        <f t="shared" ref="L4499:L4562" si="607">K4499*J4499</f>
        <v>1.4848288482238969</v>
      </c>
      <c r="M4499" s="285">
        <f t="shared" si="602"/>
        <v>1</v>
      </c>
      <c r="N4499" s="1076"/>
      <c r="O4499" s="294"/>
      <c r="P4499" s="413">
        <f>P4498/100</f>
        <v>1.4135627199999998</v>
      </c>
      <c r="Q4499" s="404"/>
    </row>
    <row r="4500" spans="1:17" ht="14.4" thickTop="1" thickBot="1" x14ac:dyDescent="0.3">
      <c r="A4500" s="292"/>
      <c r="B4500" s="294"/>
      <c r="C4500" s="294"/>
      <c r="D4500" s="294"/>
      <c r="E4500" s="294"/>
      <c r="F4500" s="310"/>
      <c r="G4500" s="310"/>
      <c r="H4500" s="310"/>
      <c r="I4500" s="295"/>
      <c r="J4500" s="295"/>
      <c r="K4500" s="300">
        <f t="shared" si="604"/>
        <v>1.1000000000000001</v>
      </c>
      <c r="L4500" s="300">
        <f t="shared" si="607"/>
        <v>0</v>
      </c>
      <c r="M4500" s="285">
        <f t="shared" si="602"/>
        <v>0</v>
      </c>
      <c r="N4500" s="1076"/>
      <c r="O4500" s="294"/>
      <c r="P4500" s="404"/>
      <c r="Q4500" s="404"/>
    </row>
    <row r="4501" spans="1:17" ht="14.4" thickTop="1" thickBot="1" x14ac:dyDescent="0.3">
      <c r="A4501" s="292"/>
      <c r="B4501" s="294" t="s">
        <v>852</v>
      </c>
      <c r="C4501" s="294"/>
      <c r="D4501" s="294"/>
      <c r="E4501" s="294">
        <v>1</v>
      </c>
      <c r="F4501" s="310">
        <v>2.2749999999999999</v>
      </c>
      <c r="G4501" s="310">
        <v>1</v>
      </c>
      <c r="H4501" s="310"/>
      <c r="I4501" s="295">
        <f>G4501*F4501*E4501</f>
        <v>2.2749999999999999</v>
      </c>
      <c r="J4501" s="295"/>
      <c r="K4501" s="300">
        <f t="shared" si="604"/>
        <v>1.1000000000000001</v>
      </c>
      <c r="L4501" s="300">
        <f t="shared" si="607"/>
        <v>0</v>
      </c>
      <c r="M4501" s="285">
        <f t="shared" si="602"/>
        <v>0</v>
      </c>
      <c r="N4501" s="1076"/>
      <c r="O4501" s="294"/>
      <c r="P4501" s="404"/>
      <c r="Q4501" s="404"/>
    </row>
    <row r="4502" spans="1:17" ht="14.4" thickTop="1" thickBot="1" x14ac:dyDescent="0.3">
      <c r="A4502" s="292"/>
      <c r="B4502" s="294" t="s">
        <v>851</v>
      </c>
      <c r="C4502" s="294"/>
      <c r="D4502" s="294"/>
      <c r="E4502" s="294">
        <v>22</v>
      </c>
      <c r="F4502" s="310">
        <v>1.1000000000000001</v>
      </c>
      <c r="G4502" s="310">
        <v>0.25</v>
      </c>
      <c r="H4502" s="310"/>
      <c r="I4502" s="295">
        <f t="shared" ref="I4502:I4504" si="608">G4502*F4502*E4502</f>
        <v>6.0500000000000007</v>
      </c>
      <c r="J4502" s="295"/>
      <c r="K4502" s="300">
        <f t="shared" si="604"/>
        <v>1.1000000000000001</v>
      </c>
      <c r="L4502" s="300">
        <f t="shared" si="607"/>
        <v>0</v>
      </c>
      <c r="M4502" s="285">
        <f t="shared" si="602"/>
        <v>0</v>
      </c>
      <c r="N4502" s="1076"/>
      <c r="O4502" s="294"/>
      <c r="P4502" s="404"/>
      <c r="Q4502" s="404"/>
    </row>
    <row r="4503" spans="1:17" ht="14.4" thickTop="1" thickBot="1" x14ac:dyDescent="0.3">
      <c r="A4503" s="292"/>
      <c r="B4503" s="294"/>
      <c r="C4503" s="294"/>
      <c r="D4503" s="294"/>
      <c r="E4503" s="294">
        <v>21</v>
      </c>
      <c r="F4503" s="310">
        <f>F4502</f>
        <v>1.1000000000000001</v>
      </c>
      <c r="G4503" s="310">
        <v>0.15</v>
      </c>
      <c r="H4503" s="310"/>
      <c r="I4503" s="295">
        <f t="shared" si="608"/>
        <v>3.4650000000000003</v>
      </c>
      <c r="J4503" s="295"/>
      <c r="K4503" s="300">
        <f t="shared" si="604"/>
        <v>1.1000000000000001</v>
      </c>
      <c r="L4503" s="300">
        <f t="shared" si="607"/>
        <v>0</v>
      </c>
      <c r="M4503" s="285">
        <f t="shared" si="602"/>
        <v>0</v>
      </c>
      <c r="N4503" s="1076"/>
      <c r="O4503" s="294"/>
      <c r="P4503" s="404"/>
      <c r="Q4503" s="404"/>
    </row>
    <row r="4504" spans="1:17" ht="14.4" thickTop="1" thickBot="1" x14ac:dyDescent="0.3">
      <c r="A4504" s="292"/>
      <c r="B4504" s="294"/>
      <c r="C4504" s="294"/>
      <c r="D4504" s="294"/>
      <c r="E4504" s="294">
        <v>2</v>
      </c>
      <c r="F4504" s="310">
        <v>3.3679999999999999</v>
      </c>
      <c r="G4504" s="310">
        <v>0.2</v>
      </c>
      <c r="H4504" s="310"/>
      <c r="I4504" s="295">
        <f t="shared" si="608"/>
        <v>1.3472</v>
      </c>
      <c r="J4504" s="295">
        <f>SUM(I4501:I4504)</f>
        <v>13.1372</v>
      </c>
      <c r="K4504" s="300">
        <v>1.05</v>
      </c>
      <c r="L4504" s="300">
        <f t="shared" si="607"/>
        <v>13.79406</v>
      </c>
      <c r="M4504" s="285">
        <f t="shared" si="602"/>
        <v>14</v>
      </c>
      <c r="N4504" s="1076"/>
      <c r="O4504" s="294"/>
      <c r="P4504" s="404"/>
      <c r="Q4504" s="404"/>
    </row>
    <row r="4505" spans="1:17" ht="14.4" thickTop="1" thickBot="1" x14ac:dyDescent="0.3">
      <c r="A4505" s="292"/>
      <c r="B4505" s="294"/>
      <c r="C4505" s="294"/>
      <c r="D4505" s="294"/>
      <c r="E4505" s="294"/>
      <c r="F4505" s="310"/>
      <c r="G4505" s="310"/>
      <c r="H4505" s="310"/>
      <c r="I4505" s="295"/>
      <c r="J4505" s="295"/>
      <c r="K4505" s="300">
        <f t="shared" si="604"/>
        <v>1.1000000000000001</v>
      </c>
      <c r="L4505" s="300">
        <f t="shared" si="607"/>
        <v>0</v>
      </c>
      <c r="M4505" s="285">
        <f t="shared" si="602"/>
        <v>0</v>
      </c>
      <c r="N4505" s="1076"/>
      <c r="O4505" s="294"/>
      <c r="P4505" s="404"/>
      <c r="Q4505" s="404"/>
    </row>
    <row r="4506" spans="1:17" ht="14.4" thickTop="1" thickBot="1" x14ac:dyDescent="0.3">
      <c r="A4506" s="292"/>
      <c r="B4506" s="302" t="s">
        <v>853</v>
      </c>
      <c r="C4506" s="294"/>
      <c r="D4506" s="294"/>
      <c r="E4506" s="294"/>
      <c r="F4506" s="310"/>
      <c r="G4506" s="310"/>
      <c r="H4506" s="310"/>
      <c r="I4506" s="295"/>
      <c r="J4506" s="295"/>
      <c r="K4506" s="300">
        <f t="shared" si="604"/>
        <v>1.1000000000000001</v>
      </c>
      <c r="L4506" s="300">
        <f t="shared" si="607"/>
        <v>0</v>
      </c>
      <c r="M4506" s="285">
        <f t="shared" si="602"/>
        <v>0</v>
      </c>
      <c r="N4506" s="1076"/>
      <c r="O4506" s="294"/>
      <c r="P4506" s="404"/>
      <c r="Q4506" s="404"/>
    </row>
    <row r="4507" spans="1:17" ht="14.4" thickTop="1" thickBot="1" x14ac:dyDescent="0.3">
      <c r="A4507" s="292"/>
      <c r="B4507" s="302" t="s">
        <v>799</v>
      </c>
      <c r="C4507" s="294"/>
      <c r="D4507" s="294"/>
      <c r="E4507" s="294"/>
      <c r="F4507" s="310"/>
      <c r="G4507" s="310"/>
      <c r="H4507" s="310"/>
      <c r="I4507" s="295">
        <v>167</v>
      </c>
      <c r="J4507" s="295"/>
      <c r="K4507" s="300">
        <f t="shared" si="604"/>
        <v>1.1000000000000001</v>
      </c>
      <c r="L4507" s="300">
        <f t="shared" si="607"/>
        <v>0</v>
      </c>
      <c r="M4507" s="285"/>
      <c r="N4507" s="1076"/>
      <c r="O4507" s="294"/>
      <c r="P4507" s="404"/>
      <c r="Q4507" s="404"/>
    </row>
    <row r="4508" spans="1:17" ht="14.4" thickTop="1" thickBot="1" x14ac:dyDescent="0.3">
      <c r="A4508" s="292"/>
      <c r="B4508" s="294" t="s">
        <v>856</v>
      </c>
      <c r="C4508" s="294"/>
      <c r="D4508" s="294"/>
      <c r="E4508" s="294"/>
      <c r="F4508" s="310"/>
      <c r="G4508" s="310"/>
      <c r="H4508" s="310"/>
      <c r="I4508" s="295">
        <v>70</v>
      </c>
      <c r="J4508" s="295"/>
      <c r="K4508" s="300">
        <f t="shared" si="604"/>
        <v>1.1000000000000001</v>
      </c>
      <c r="L4508" s="300">
        <f t="shared" si="607"/>
        <v>0</v>
      </c>
      <c r="M4508" s="285"/>
      <c r="N4508" s="1076"/>
      <c r="O4508" s="294"/>
      <c r="P4508" s="404"/>
      <c r="Q4508" s="404"/>
    </row>
    <row r="4509" spans="1:17" ht="14.4" thickTop="1" thickBot="1" x14ac:dyDescent="0.3">
      <c r="A4509" s="292"/>
      <c r="B4509" s="294" t="s">
        <v>857</v>
      </c>
      <c r="C4509" s="294"/>
      <c r="D4509" s="294"/>
      <c r="E4509" s="294">
        <v>1</v>
      </c>
      <c r="F4509" s="310">
        <v>28</v>
      </c>
      <c r="G4509" s="310">
        <v>1</v>
      </c>
      <c r="H4509" s="310"/>
      <c r="I4509" s="295">
        <f>G4509*F4509*E4509</f>
        <v>28</v>
      </c>
      <c r="J4509" s="295"/>
      <c r="K4509" s="300">
        <f t="shared" si="604"/>
        <v>1.1000000000000001</v>
      </c>
      <c r="L4509" s="300">
        <f t="shared" si="607"/>
        <v>0</v>
      </c>
      <c r="M4509" s="285"/>
      <c r="N4509" s="1076"/>
      <c r="O4509" s="294"/>
      <c r="P4509" s="404"/>
      <c r="Q4509" s="404"/>
    </row>
    <row r="4510" spans="1:17" ht="14.4" thickTop="1" thickBot="1" x14ac:dyDescent="0.3">
      <c r="A4510" s="292"/>
      <c r="B4510" s="294"/>
      <c r="C4510" s="294"/>
      <c r="D4510" s="294"/>
      <c r="E4510" s="294">
        <v>2</v>
      </c>
      <c r="F4510" s="310">
        <v>14</v>
      </c>
      <c r="G4510" s="310">
        <v>1</v>
      </c>
      <c r="H4510" s="310"/>
      <c r="I4510" s="295">
        <f>G4510*F4510*E4510</f>
        <v>28</v>
      </c>
      <c r="J4510" s="295">
        <f>SUM(I4507:I4510)</f>
        <v>293</v>
      </c>
      <c r="K4510" s="300">
        <f t="shared" si="604"/>
        <v>1.1000000000000001</v>
      </c>
      <c r="L4510" s="300">
        <f t="shared" si="607"/>
        <v>322.3</v>
      </c>
      <c r="M4510" s="285">
        <f t="shared" si="602"/>
        <v>322</v>
      </c>
      <c r="N4510" s="1076"/>
      <c r="O4510" s="294"/>
      <c r="P4510" s="404"/>
      <c r="Q4510" s="404"/>
    </row>
    <row r="4511" spans="1:17" ht="14.4" thickTop="1" thickBot="1" x14ac:dyDescent="0.3">
      <c r="A4511" s="292"/>
      <c r="B4511" s="294"/>
      <c r="C4511" s="294"/>
      <c r="D4511" s="294"/>
      <c r="E4511" s="294"/>
      <c r="F4511" s="310"/>
      <c r="G4511" s="310"/>
      <c r="H4511" s="310"/>
      <c r="I4511" s="295"/>
      <c r="J4511" s="295">
        <f>J4510/9.29</f>
        <v>31.539289558665235</v>
      </c>
      <c r="K4511" s="300">
        <v>1.05</v>
      </c>
      <c r="L4511" s="300">
        <f t="shared" si="607"/>
        <v>33.116254036598498</v>
      </c>
      <c r="M4511" s="285">
        <f t="shared" si="602"/>
        <v>33</v>
      </c>
      <c r="N4511" s="1076"/>
      <c r="O4511" s="294"/>
      <c r="P4511" s="404"/>
      <c r="Q4511" s="404"/>
    </row>
    <row r="4512" spans="1:17" ht="14.4" thickTop="1" thickBot="1" x14ac:dyDescent="0.3">
      <c r="A4512" s="292"/>
      <c r="B4512" s="294"/>
      <c r="C4512" s="294"/>
      <c r="D4512" s="294"/>
      <c r="E4512" s="294"/>
      <c r="F4512" s="310"/>
      <c r="G4512" s="310"/>
      <c r="H4512" s="310"/>
      <c r="I4512" s="295"/>
      <c r="J4512" s="295"/>
      <c r="K4512" s="300">
        <f t="shared" si="604"/>
        <v>1.1000000000000001</v>
      </c>
      <c r="L4512" s="300">
        <f t="shared" si="607"/>
        <v>0</v>
      </c>
      <c r="M4512" s="285"/>
      <c r="N4512" s="1076"/>
      <c r="O4512" s="294"/>
      <c r="P4512" s="404"/>
      <c r="Q4512" s="404"/>
    </row>
    <row r="4513" spans="1:19" ht="14.4" thickTop="1" thickBot="1" x14ac:dyDescent="0.3">
      <c r="A4513" s="292"/>
      <c r="B4513" s="294"/>
      <c r="C4513" s="294"/>
      <c r="D4513" s="294"/>
      <c r="E4513" s="294"/>
      <c r="F4513" s="310"/>
      <c r="G4513" s="310"/>
      <c r="H4513" s="310"/>
      <c r="I4513" s="295"/>
      <c r="J4513" s="295"/>
      <c r="K4513" s="300">
        <f t="shared" si="604"/>
        <v>1.1000000000000001</v>
      </c>
      <c r="L4513" s="300">
        <f t="shared" si="607"/>
        <v>0</v>
      </c>
      <c r="M4513" s="285"/>
      <c r="N4513" s="1076"/>
      <c r="O4513" s="294"/>
      <c r="P4513" s="404"/>
      <c r="Q4513" s="404"/>
    </row>
    <row r="4514" spans="1:19" ht="14.4" thickTop="1" thickBot="1" x14ac:dyDescent="0.3">
      <c r="A4514" s="292"/>
      <c r="B4514" s="302" t="s">
        <v>802</v>
      </c>
      <c r="C4514" s="294"/>
      <c r="D4514" s="294"/>
      <c r="E4514" s="294"/>
      <c r="F4514" s="310"/>
      <c r="G4514" s="310"/>
      <c r="H4514" s="310"/>
      <c r="I4514" s="295">
        <v>222</v>
      </c>
      <c r="J4514" s="295"/>
      <c r="K4514" s="300">
        <f t="shared" si="604"/>
        <v>1.1000000000000001</v>
      </c>
      <c r="L4514" s="300">
        <f t="shared" si="607"/>
        <v>0</v>
      </c>
      <c r="M4514" s="285">
        <f t="shared" si="602"/>
        <v>0</v>
      </c>
      <c r="N4514" s="1076"/>
      <c r="O4514" s="294"/>
      <c r="P4514" s="404"/>
      <c r="Q4514" s="404"/>
    </row>
    <row r="4515" spans="1:19" ht="14.4" thickTop="1" thickBot="1" x14ac:dyDescent="0.3">
      <c r="A4515" s="292"/>
      <c r="B4515" s="294" t="s">
        <v>858</v>
      </c>
      <c r="C4515" s="294"/>
      <c r="D4515" s="294"/>
      <c r="E4515" s="294"/>
      <c r="F4515" s="310"/>
      <c r="G4515" s="310"/>
      <c r="H4515" s="310"/>
      <c r="I4515" s="295">
        <v>70</v>
      </c>
      <c r="J4515" s="295">
        <f>SUM(I4514:I4515)</f>
        <v>292</v>
      </c>
      <c r="K4515" s="300">
        <f t="shared" si="604"/>
        <v>1.1000000000000001</v>
      </c>
      <c r="L4515" s="300">
        <f t="shared" si="607"/>
        <v>321.20000000000005</v>
      </c>
      <c r="M4515" s="285">
        <f t="shared" si="602"/>
        <v>321</v>
      </c>
      <c r="N4515" s="1076"/>
      <c r="O4515" s="294"/>
      <c r="P4515" s="404"/>
      <c r="Q4515" s="404"/>
    </row>
    <row r="4516" spans="1:19" ht="14.4" thickTop="1" thickBot="1" x14ac:dyDescent="0.3">
      <c r="A4516" s="292"/>
      <c r="B4516" s="294"/>
      <c r="C4516" s="294"/>
      <c r="D4516" s="294"/>
      <c r="E4516" s="294"/>
      <c r="F4516" s="310"/>
      <c r="G4516" s="310"/>
      <c r="H4516" s="310"/>
      <c r="I4516" s="295"/>
      <c r="J4516" s="295">
        <f>J4515/9.29</f>
        <v>31.431646932185149</v>
      </c>
      <c r="K4516" s="300">
        <v>1.05</v>
      </c>
      <c r="L4516" s="300">
        <f>K4516*J4516</f>
        <v>33.003229278794407</v>
      </c>
      <c r="M4516" s="285">
        <f t="shared" si="602"/>
        <v>33</v>
      </c>
      <c r="N4516" s="1076"/>
      <c r="O4516" s="294"/>
      <c r="P4516" s="404"/>
      <c r="Q4516" s="404"/>
      <c r="S4516" s="301">
        <f>M4516+M4515</f>
        <v>354</v>
      </c>
    </row>
    <row r="4517" spans="1:19" ht="14.4" thickTop="1" thickBot="1" x14ac:dyDescent="0.3">
      <c r="A4517" s="292"/>
      <c r="B4517" s="294"/>
      <c r="C4517" s="294"/>
      <c r="D4517" s="294"/>
      <c r="E4517" s="294"/>
      <c r="F4517" s="310"/>
      <c r="G4517" s="310"/>
      <c r="H4517" s="310"/>
      <c r="I4517" s="295"/>
      <c r="J4517" s="295"/>
      <c r="K4517" s="300">
        <f t="shared" si="604"/>
        <v>1.1000000000000001</v>
      </c>
      <c r="L4517" s="300">
        <f t="shared" si="607"/>
        <v>0</v>
      </c>
      <c r="M4517" s="285">
        <f t="shared" si="602"/>
        <v>0</v>
      </c>
      <c r="N4517" s="1076"/>
      <c r="O4517" s="294"/>
      <c r="P4517" s="404"/>
      <c r="Q4517" s="404"/>
    </row>
    <row r="4518" spans="1:19" ht="14.4" thickTop="1" thickBot="1" x14ac:dyDescent="0.3">
      <c r="A4518" s="292"/>
      <c r="B4518" s="294"/>
      <c r="C4518" s="294"/>
      <c r="D4518" s="294"/>
      <c r="E4518" s="294"/>
      <c r="F4518" s="310"/>
      <c r="G4518" s="310"/>
      <c r="H4518" s="310"/>
      <c r="I4518" s="295"/>
      <c r="J4518" s="295"/>
      <c r="K4518" s="300">
        <f t="shared" si="604"/>
        <v>1.1000000000000001</v>
      </c>
      <c r="L4518" s="300">
        <f t="shared" si="607"/>
        <v>0</v>
      </c>
      <c r="M4518" s="285">
        <f t="shared" si="602"/>
        <v>0</v>
      </c>
      <c r="N4518" s="1076"/>
      <c r="O4518" s="294"/>
      <c r="P4518" s="404"/>
      <c r="Q4518" s="404"/>
    </row>
    <row r="4519" spans="1:19" ht="14.4" thickTop="1" thickBot="1" x14ac:dyDescent="0.3">
      <c r="A4519" s="292"/>
      <c r="B4519" s="302" t="s">
        <v>803</v>
      </c>
      <c r="C4519" s="294"/>
      <c r="D4519" s="294"/>
      <c r="E4519" s="294"/>
      <c r="F4519" s="310"/>
      <c r="G4519" s="310"/>
      <c r="H4519" s="310"/>
      <c r="I4519" s="295"/>
      <c r="J4519" s="295">
        <v>230</v>
      </c>
      <c r="K4519" s="300">
        <f t="shared" si="604"/>
        <v>1.1000000000000001</v>
      </c>
      <c r="L4519" s="300">
        <f t="shared" si="607"/>
        <v>253.00000000000003</v>
      </c>
      <c r="M4519" s="285">
        <f t="shared" si="602"/>
        <v>253</v>
      </c>
      <c r="N4519" s="1076"/>
      <c r="O4519" s="294"/>
      <c r="P4519" s="404"/>
      <c r="Q4519" s="404"/>
    </row>
    <row r="4520" spans="1:19" ht="14.4" thickTop="1" thickBot="1" x14ac:dyDescent="0.3">
      <c r="A4520" s="292"/>
      <c r="B4520" s="294"/>
      <c r="C4520" s="294"/>
      <c r="D4520" s="294"/>
      <c r="E4520" s="294"/>
      <c r="F4520" s="310"/>
      <c r="G4520" s="310"/>
      <c r="H4520" s="310"/>
      <c r="I4520" s="295"/>
      <c r="J4520" s="295">
        <f>J4519/9.29</f>
        <v>24.757804090419807</v>
      </c>
      <c r="K4520" s="300">
        <v>1.05</v>
      </c>
      <c r="L4520" s="300">
        <f t="shared" si="607"/>
        <v>25.995694294940797</v>
      </c>
      <c r="M4520" s="285">
        <f t="shared" si="602"/>
        <v>26</v>
      </c>
      <c r="N4520" s="1076"/>
      <c r="O4520" s="294"/>
      <c r="P4520" s="413"/>
      <c r="Q4520" s="404"/>
    </row>
    <row r="4521" spans="1:19" ht="14.4" thickTop="1" thickBot="1" x14ac:dyDescent="0.3">
      <c r="A4521" s="292"/>
      <c r="B4521" s="294"/>
      <c r="C4521" s="294"/>
      <c r="D4521" s="294"/>
      <c r="E4521" s="294"/>
      <c r="F4521" s="310"/>
      <c r="G4521" s="310"/>
      <c r="H4521" s="310"/>
      <c r="I4521" s="295"/>
      <c r="J4521" s="295"/>
      <c r="K4521" s="300">
        <f t="shared" si="604"/>
        <v>1.1000000000000001</v>
      </c>
      <c r="L4521" s="300">
        <f t="shared" si="607"/>
        <v>0</v>
      </c>
      <c r="M4521" s="285"/>
      <c r="N4521" s="1076"/>
      <c r="O4521" s="294"/>
      <c r="P4521" s="404"/>
      <c r="Q4521" s="404"/>
    </row>
    <row r="4522" spans="1:19" ht="14.4" thickTop="1" thickBot="1" x14ac:dyDescent="0.3">
      <c r="A4522" s="292"/>
      <c r="B4522" s="302" t="s">
        <v>854</v>
      </c>
      <c r="C4522" s="294"/>
      <c r="D4522" s="294"/>
      <c r="E4522" s="294"/>
      <c r="F4522" s="310"/>
      <c r="G4522" s="310"/>
      <c r="H4522" s="310"/>
      <c r="I4522" s="295"/>
      <c r="J4522" s="295"/>
      <c r="K4522" s="300">
        <f t="shared" si="604"/>
        <v>1.1000000000000001</v>
      </c>
      <c r="L4522" s="300">
        <f t="shared" si="607"/>
        <v>0</v>
      </c>
      <c r="M4522" s="285">
        <f t="shared" si="602"/>
        <v>0</v>
      </c>
      <c r="N4522" s="1076"/>
      <c r="O4522" s="294"/>
      <c r="P4522" s="404"/>
      <c r="Q4522" s="404"/>
    </row>
    <row r="4523" spans="1:19" ht="14.4" thickTop="1" thickBot="1" x14ac:dyDescent="0.3">
      <c r="A4523" s="292"/>
      <c r="B4523" s="294" t="s">
        <v>799</v>
      </c>
      <c r="C4523" s="294"/>
      <c r="D4523" s="294"/>
      <c r="E4523" s="294"/>
      <c r="F4523" s="310"/>
      <c r="G4523" s="310"/>
      <c r="H4523" s="310"/>
      <c r="I4523" s="295"/>
      <c r="J4523" s="295"/>
      <c r="K4523" s="300">
        <f t="shared" si="604"/>
        <v>1.1000000000000001</v>
      </c>
      <c r="L4523" s="300">
        <f t="shared" si="607"/>
        <v>0</v>
      </c>
      <c r="M4523" s="285">
        <f t="shared" si="602"/>
        <v>0</v>
      </c>
      <c r="N4523" s="1076"/>
      <c r="O4523" s="294"/>
      <c r="P4523" s="404"/>
      <c r="Q4523" s="404"/>
    </row>
    <row r="4524" spans="1:19" ht="14.4" thickTop="1" thickBot="1" x14ac:dyDescent="0.3">
      <c r="A4524" s="292"/>
      <c r="B4524" s="294" t="s">
        <v>855</v>
      </c>
      <c r="C4524" s="294"/>
      <c r="D4524" s="294"/>
      <c r="E4524" s="294"/>
      <c r="F4524" s="310"/>
      <c r="G4524" s="310"/>
      <c r="H4524" s="310"/>
      <c r="I4524" s="295"/>
      <c r="J4524" s="295">
        <v>48</v>
      </c>
      <c r="K4524" s="300">
        <v>1.05</v>
      </c>
      <c r="L4524" s="300">
        <f t="shared" si="607"/>
        <v>50.400000000000006</v>
      </c>
      <c r="M4524" s="285">
        <f t="shared" si="602"/>
        <v>50</v>
      </c>
      <c r="N4524" s="1076"/>
      <c r="O4524" s="294"/>
      <c r="P4524" s="404"/>
      <c r="Q4524" s="404"/>
    </row>
    <row r="4525" spans="1:19" ht="14.4" thickTop="1" thickBot="1" x14ac:dyDescent="0.3">
      <c r="A4525" s="292"/>
      <c r="B4525" s="294"/>
      <c r="C4525" s="294"/>
      <c r="D4525" s="294"/>
      <c r="E4525" s="294"/>
      <c r="F4525" s="310"/>
      <c r="G4525" s="310"/>
      <c r="H4525" s="310"/>
      <c r="I4525" s="295"/>
      <c r="J4525" s="295"/>
      <c r="K4525" s="300">
        <f t="shared" si="604"/>
        <v>1.1000000000000001</v>
      </c>
      <c r="L4525" s="300">
        <f t="shared" si="607"/>
        <v>0</v>
      </c>
      <c r="M4525" s="285">
        <f t="shared" ref="M4525:M4542" si="609">ROUND(L4525,0)</f>
        <v>0</v>
      </c>
      <c r="N4525" s="1076"/>
      <c r="O4525" s="294"/>
      <c r="P4525" s="404"/>
      <c r="Q4525" s="404"/>
    </row>
    <row r="4526" spans="1:19" ht="14.4" thickTop="1" thickBot="1" x14ac:dyDescent="0.3">
      <c r="A4526" s="292"/>
      <c r="B4526" s="302" t="s">
        <v>859</v>
      </c>
      <c r="C4526" s="294"/>
      <c r="D4526" s="294"/>
      <c r="E4526" s="294"/>
      <c r="F4526" s="310"/>
      <c r="G4526" s="310"/>
      <c r="H4526" s="310"/>
      <c r="I4526" s="295"/>
      <c r="J4526" s="295"/>
      <c r="K4526" s="300">
        <f t="shared" si="604"/>
        <v>1.1000000000000001</v>
      </c>
      <c r="L4526" s="300">
        <f t="shared" si="607"/>
        <v>0</v>
      </c>
      <c r="M4526" s="285">
        <f t="shared" si="609"/>
        <v>0</v>
      </c>
      <c r="N4526" s="1076"/>
      <c r="O4526" s="294"/>
      <c r="P4526" s="404"/>
      <c r="Q4526" s="404"/>
    </row>
    <row r="4527" spans="1:19" ht="14.4" thickTop="1" thickBot="1" x14ac:dyDescent="0.3">
      <c r="A4527" s="292"/>
      <c r="B4527" s="294" t="s">
        <v>799</v>
      </c>
      <c r="C4527" s="294"/>
      <c r="D4527" s="294"/>
      <c r="E4527" s="294"/>
      <c r="F4527" s="310">
        <v>12.2</v>
      </c>
      <c r="G4527" s="310"/>
      <c r="H4527" s="310"/>
      <c r="I4527" s="295">
        <f>F4527</f>
        <v>12.2</v>
      </c>
      <c r="J4527" s="295"/>
      <c r="K4527" s="300">
        <f t="shared" si="604"/>
        <v>1.1000000000000001</v>
      </c>
      <c r="L4527" s="300">
        <f t="shared" si="607"/>
        <v>0</v>
      </c>
      <c r="M4527" s="285">
        <f t="shared" si="609"/>
        <v>0</v>
      </c>
      <c r="N4527" s="1076"/>
      <c r="O4527" s="294"/>
      <c r="P4527" s="404"/>
      <c r="Q4527" s="404"/>
    </row>
    <row r="4528" spans="1:19" ht="14.4" thickTop="1" thickBot="1" x14ac:dyDescent="0.3">
      <c r="A4528" s="292"/>
      <c r="B4528" s="294"/>
      <c r="C4528" s="294"/>
      <c r="D4528" s="294"/>
      <c r="E4528" s="294"/>
      <c r="F4528" s="310">
        <v>14.7</v>
      </c>
      <c r="G4528" s="310"/>
      <c r="H4528" s="310"/>
      <c r="I4528" s="295">
        <f t="shared" ref="I4528:I4536" si="610">F4528</f>
        <v>14.7</v>
      </c>
      <c r="J4528" s="295"/>
      <c r="K4528" s="300">
        <f t="shared" si="604"/>
        <v>1.1000000000000001</v>
      </c>
      <c r="L4528" s="300">
        <f t="shared" si="607"/>
        <v>0</v>
      </c>
      <c r="M4528" s="285">
        <f t="shared" si="609"/>
        <v>0</v>
      </c>
      <c r="N4528" s="1076"/>
      <c r="O4528" s="294"/>
      <c r="P4528" s="404"/>
      <c r="Q4528" s="404"/>
    </row>
    <row r="4529" spans="1:17" ht="14.4" thickTop="1" thickBot="1" x14ac:dyDescent="0.3">
      <c r="A4529" s="292"/>
      <c r="B4529" s="294"/>
      <c r="C4529" s="294"/>
      <c r="D4529" s="294"/>
      <c r="E4529" s="294"/>
      <c r="F4529" s="310">
        <v>18.5</v>
      </c>
      <c r="G4529" s="310"/>
      <c r="H4529" s="310"/>
      <c r="I4529" s="295">
        <f t="shared" si="610"/>
        <v>18.5</v>
      </c>
      <c r="J4529" s="295"/>
      <c r="K4529" s="300">
        <f t="shared" si="604"/>
        <v>1.1000000000000001</v>
      </c>
      <c r="L4529" s="300">
        <f t="shared" si="607"/>
        <v>0</v>
      </c>
      <c r="M4529" s="285">
        <f t="shared" si="609"/>
        <v>0</v>
      </c>
      <c r="N4529" s="1076"/>
      <c r="O4529" s="294"/>
      <c r="P4529" s="404"/>
      <c r="Q4529" s="404"/>
    </row>
    <row r="4530" spans="1:17" ht="14.4" thickTop="1" thickBot="1" x14ac:dyDescent="0.3">
      <c r="A4530" s="292"/>
      <c r="B4530" s="294"/>
      <c r="C4530" s="294"/>
      <c r="D4530" s="294"/>
      <c r="E4530" s="294"/>
      <c r="F4530" s="310">
        <v>13.7</v>
      </c>
      <c r="G4530" s="310"/>
      <c r="H4530" s="310"/>
      <c r="I4530" s="295">
        <f t="shared" si="610"/>
        <v>13.7</v>
      </c>
      <c r="J4530" s="295"/>
      <c r="K4530" s="300">
        <f t="shared" si="604"/>
        <v>1.1000000000000001</v>
      </c>
      <c r="L4530" s="300">
        <f t="shared" si="607"/>
        <v>0</v>
      </c>
      <c r="M4530" s="285">
        <f t="shared" si="609"/>
        <v>0</v>
      </c>
      <c r="N4530" s="1076"/>
      <c r="O4530" s="294"/>
      <c r="P4530" s="404"/>
      <c r="Q4530" s="404"/>
    </row>
    <row r="4531" spans="1:17" ht="14.4" thickTop="1" thickBot="1" x14ac:dyDescent="0.3">
      <c r="A4531" s="292"/>
      <c r="B4531" s="294"/>
      <c r="C4531" s="294"/>
      <c r="D4531" s="294"/>
      <c r="E4531" s="294"/>
      <c r="F4531" s="310">
        <v>14.1</v>
      </c>
      <c r="G4531" s="310"/>
      <c r="H4531" s="310"/>
      <c r="I4531" s="295">
        <f t="shared" si="610"/>
        <v>14.1</v>
      </c>
      <c r="J4531" s="295"/>
      <c r="K4531" s="300">
        <f t="shared" si="604"/>
        <v>1.1000000000000001</v>
      </c>
      <c r="L4531" s="300">
        <f t="shared" si="607"/>
        <v>0</v>
      </c>
      <c r="M4531" s="285">
        <f t="shared" si="609"/>
        <v>0</v>
      </c>
      <c r="N4531" s="1076"/>
      <c r="O4531" s="294"/>
      <c r="P4531" s="404"/>
      <c r="Q4531" s="404"/>
    </row>
    <row r="4532" spans="1:17" ht="14.4" thickTop="1" thickBot="1" x14ac:dyDescent="0.3">
      <c r="A4532" s="292"/>
      <c r="B4532" s="294"/>
      <c r="C4532" s="294"/>
      <c r="D4532" s="294"/>
      <c r="E4532" s="294"/>
      <c r="F4532" s="310">
        <v>28.4</v>
      </c>
      <c r="G4532" s="310"/>
      <c r="H4532" s="310"/>
      <c r="I4532" s="295">
        <f t="shared" si="610"/>
        <v>28.4</v>
      </c>
      <c r="J4532" s="295"/>
      <c r="K4532" s="300">
        <f t="shared" si="604"/>
        <v>1.1000000000000001</v>
      </c>
      <c r="L4532" s="300">
        <f t="shared" si="607"/>
        <v>0</v>
      </c>
      <c r="M4532" s="285">
        <f t="shared" si="609"/>
        <v>0</v>
      </c>
      <c r="N4532" s="1076"/>
      <c r="O4532" s="294"/>
      <c r="P4532" s="404"/>
      <c r="Q4532" s="404"/>
    </row>
    <row r="4533" spans="1:17" ht="14.4" thickTop="1" thickBot="1" x14ac:dyDescent="0.3">
      <c r="A4533" s="292"/>
      <c r="B4533" s="294"/>
      <c r="C4533" s="294"/>
      <c r="D4533" s="294"/>
      <c r="E4533" s="294"/>
      <c r="F4533" s="310">
        <v>14.4</v>
      </c>
      <c r="G4533" s="310"/>
      <c r="H4533" s="310"/>
      <c r="I4533" s="295">
        <f t="shared" si="610"/>
        <v>14.4</v>
      </c>
      <c r="J4533" s="295"/>
      <c r="K4533" s="300">
        <f t="shared" si="604"/>
        <v>1.1000000000000001</v>
      </c>
      <c r="L4533" s="300">
        <f t="shared" si="607"/>
        <v>0</v>
      </c>
      <c r="M4533" s="285">
        <f t="shared" si="609"/>
        <v>0</v>
      </c>
      <c r="N4533" s="1076"/>
      <c r="O4533" s="294"/>
      <c r="P4533" s="404"/>
      <c r="Q4533" s="404"/>
    </row>
    <row r="4534" spans="1:17" ht="14.4" thickTop="1" thickBot="1" x14ac:dyDescent="0.3">
      <c r="A4534" s="292"/>
      <c r="B4534" s="294"/>
      <c r="C4534" s="294"/>
      <c r="D4534" s="294"/>
      <c r="E4534" s="294"/>
      <c r="F4534" s="310">
        <v>14.4</v>
      </c>
      <c r="G4534" s="310"/>
      <c r="H4534" s="310"/>
      <c r="I4534" s="295">
        <f t="shared" si="610"/>
        <v>14.4</v>
      </c>
      <c r="J4534" s="295"/>
      <c r="K4534" s="300">
        <f t="shared" si="604"/>
        <v>1.1000000000000001</v>
      </c>
      <c r="L4534" s="300">
        <f t="shared" si="607"/>
        <v>0</v>
      </c>
      <c r="M4534" s="285">
        <f t="shared" si="609"/>
        <v>0</v>
      </c>
      <c r="N4534" s="1076"/>
      <c r="O4534" s="294"/>
      <c r="P4534" s="404"/>
      <c r="Q4534" s="404"/>
    </row>
    <row r="4535" spans="1:17" ht="14.4" thickTop="1" thickBot="1" x14ac:dyDescent="0.3">
      <c r="A4535" s="292"/>
      <c r="B4535" s="294"/>
      <c r="C4535" s="294"/>
      <c r="D4535" s="294"/>
      <c r="E4535" s="294"/>
      <c r="F4535" s="310">
        <v>27.8</v>
      </c>
      <c r="G4535" s="310"/>
      <c r="H4535" s="310"/>
      <c r="I4535" s="295">
        <f t="shared" si="610"/>
        <v>27.8</v>
      </c>
      <c r="J4535" s="295"/>
      <c r="K4535" s="300">
        <f t="shared" si="604"/>
        <v>1.1000000000000001</v>
      </c>
      <c r="L4535" s="300">
        <f t="shared" si="607"/>
        <v>0</v>
      </c>
      <c r="M4535" s="285">
        <f t="shared" si="609"/>
        <v>0</v>
      </c>
      <c r="N4535" s="1076"/>
      <c r="O4535" s="294"/>
      <c r="P4535" s="404"/>
      <c r="Q4535" s="404"/>
    </row>
    <row r="4536" spans="1:17" ht="14.4" thickTop="1" thickBot="1" x14ac:dyDescent="0.3">
      <c r="A4536" s="292"/>
      <c r="B4536" s="294"/>
      <c r="C4536" s="294"/>
      <c r="D4536" s="294"/>
      <c r="E4536" s="294"/>
      <c r="F4536" s="310">
        <v>35.15</v>
      </c>
      <c r="G4536" s="310"/>
      <c r="H4536" s="310"/>
      <c r="I4536" s="295">
        <f t="shared" si="610"/>
        <v>35.15</v>
      </c>
      <c r="J4536" s="295">
        <f>SUM(I4527:I4536)</f>
        <v>193.35000000000002</v>
      </c>
      <c r="K4536" s="300">
        <f t="shared" ref="K4536:K4608" si="611">$K$2</f>
        <v>1.1000000000000001</v>
      </c>
      <c r="L4536" s="300">
        <f t="shared" si="607"/>
        <v>212.68500000000003</v>
      </c>
      <c r="M4536" s="285">
        <f t="shared" si="609"/>
        <v>213</v>
      </c>
      <c r="N4536" s="1076"/>
      <c r="O4536" s="294"/>
      <c r="P4536" s="404"/>
      <c r="Q4536" s="404"/>
    </row>
    <row r="4537" spans="1:17" ht="14.4" thickTop="1" thickBot="1" x14ac:dyDescent="0.3">
      <c r="A4537" s="292"/>
      <c r="B4537" s="294"/>
      <c r="C4537" s="294"/>
      <c r="D4537" s="294"/>
      <c r="E4537" s="294"/>
      <c r="F4537" s="310"/>
      <c r="G4537" s="310"/>
      <c r="H4537" s="310"/>
      <c r="I4537" s="295"/>
      <c r="J4537" s="295">
        <f>J4536*3.28</f>
        <v>634.18799999999999</v>
      </c>
      <c r="K4537" s="300">
        <v>1.05</v>
      </c>
      <c r="L4537" s="300">
        <f t="shared" si="607"/>
        <v>665.89740000000006</v>
      </c>
      <c r="M4537" s="285">
        <f t="shared" si="609"/>
        <v>666</v>
      </c>
      <c r="N4537" s="1076"/>
      <c r="O4537" s="294"/>
      <c r="P4537" s="404"/>
      <c r="Q4537" s="404"/>
    </row>
    <row r="4538" spans="1:17" ht="14.4" thickTop="1" thickBot="1" x14ac:dyDescent="0.3">
      <c r="A4538" s="292"/>
      <c r="B4538" s="294"/>
      <c r="C4538" s="294"/>
      <c r="D4538" s="294"/>
      <c r="E4538" s="294"/>
      <c r="F4538" s="310"/>
      <c r="G4538" s="310"/>
      <c r="H4538" s="310"/>
      <c r="I4538" s="295"/>
      <c r="J4538" s="295"/>
      <c r="K4538" s="300">
        <f t="shared" si="611"/>
        <v>1.1000000000000001</v>
      </c>
      <c r="L4538" s="300">
        <f t="shared" si="607"/>
        <v>0</v>
      </c>
      <c r="M4538" s="285">
        <f t="shared" si="609"/>
        <v>0</v>
      </c>
      <c r="N4538" s="1076"/>
      <c r="O4538" s="294"/>
      <c r="P4538" s="404"/>
      <c r="Q4538" s="404"/>
    </row>
    <row r="4539" spans="1:17" ht="14.4" thickTop="1" thickBot="1" x14ac:dyDescent="0.3">
      <c r="A4539" s="292"/>
      <c r="B4539" s="294" t="s">
        <v>860</v>
      </c>
      <c r="C4539" s="294"/>
      <c r="D4539" s="294"/>
      <c r="E4539" s="294">
        <v>1</v>
      </c>
      <c r="F4539" s="310">
        <v>2.2799999999999998</v>
      </c>
      <c r="G4539" s="310"/>
      <c r="H4539" s="310"/>
      <c r="I4539" s="295">
        <f>F4539*E4539</f>
        <v>2.2799999999999998</v>
      </c>
      <c r="J4539" s="295"/>
      <c r="K4539" s="300">
        <f t="shared" si="611"/>
        <v>1.1000000000000001</v>
      </c>
      <c r="L4539" s="300">
        <f t="shared" si="607"/>
        <v>0</v>
      </c>
      <c r="M4539" s="285">
        <f t="shared" si="609"/>
        <v>0</v>
      </c>
      <c r="N4539" s="1076"/>
      <c r="O4539" s="294"/>
      <c r="P4539" s="404"/>
      <c r="Q4539" s="404"/>
    </row>
    <row r="4540" spans="1:17" ht="14.4" thickTop="1" thickBot="1" x14ac:dyDescent="0.3">
      <c r="A4540" s="292"/>
      <c r="B4540" s="294"/>
      <c r="C4540" s="294"/>
      <c r="D4540" s="294"/>
      <c r="E4540" s="294">
        <v>2</v>
      </c>
      <c r="F4540" s="310">
        <v>1</v>
      </c>
      <c r="G4540" s="310"/>
      <c r="H4540" s="310"/>
      <c r="I4540" s="295">
        <f t="shared" ref="I4540:I4541" si="612">F4540*E4540</f>
        <v>2</v>
      </c>
      <c r="J4540" s="295"/>
      <c r="K4540" s="300">
        <f t="shared" si="611"/>
        <v>1.1000000000000001</v>
      </c>
      <c r="L4540" s="300">
        <f t="shared" si="607"/>
        <v>0</v>
      </c>
      <c r="M4540" s="285">
        <f t="shared" si="609"/>
        <v>0</v>
      </c>
      <c r="N4540" s="1076"/>
      <c r="O4540" s="294"/>
      <c r="P4540" s="404"/>
      <c r="Q4540" s="404"/>
    </row>
    <row r="4541" spans="1:17" ht="14.4" thickTop="1" thickBot="1" x14ac:dyDescent="0.3">
      <c r="A4541" s="292"/>
      <c r="B4541" s="294"/>
      <c r="C4541" s="294"/>
      <c r="D4541" s="294"/>
      <c r="E4541" s="294">
        <v>2</v>
      </c>
      <c r="F4541" s="310">
        <v>4</v>
      </c>
      <c r="G4541" s="310"/>
      <c r="H4541" s="310"/>
      <c r="I4541" s="295">
        <f t="shared" si="612"/>
        <v>8</v>
      </c>
      <c r="J4541" s="295">
        <f>SUM(I4539:I4541)</f>
        <v>12.28</v>
      </c>
      <c r="K4541" s="300">
        <f t="shared" si="611"/>
        <v>1.1000000000000001</v>
      </c>
      <c r="L4541" s="300">
        <f t="shared" si="607"/>
        <v>13.508000000000001</v>
      </c>
      <c r="M4541" s="285">
        <f t="shared" si="609"/>
        <v>14</v>
      </c>
      <c r="N4541" s="1076"/>
      <c r="O4541" s="294"/>
      <c r="P4541" s="404"/>
      <c r="Q4541" s="404"/>
    </row>
    <row r="4542" spans="1:17" ht="14.4" thickTop="1" thickBot="1" x14ac:dyDescent="0.3">
      <c r="A4542" s="292"/>
      <c r="B4542" s="294"/>
      <c r="C4542" s="294"/>
      <c r="D4542" s="294"/>
      <c r="E4542" s="294"/>
      <c r="F4542" s="310"/>
      <c r="G4542" s="310"/>
      <c r="H4542" s="310"/>
      <c r="I4542" s="295"/>
      <c r="J4542" s="295">
        <f>J4541*3.28</f>
        <v>40.278399999999998</v>
      </c>
      <c r="K4542" s="300">
        <v>1.05</v>
      </c>
      <c r="L4542" s="300">
        <f t="shared" si="607"/>
        <v>42.292319999999997</v>
      </c>
      <c r="M4542" s="285">
        <f t="shared" si="609"/>
        <v>42</v>
      </c>
      <c r="N4542" s="1076"/>
      <c r="O4542" s="294"/>
      <c r="P4542" s="404"/>
      <c r="Q4542" s="404"/>
    </row>
    <row r="4543" spans="1:17" ht="14.4" thickTop="1" thickBot="1" x14ac:dyDescent="0.3">
      <c r="A4543" s="292"/>
      <c r="B4543" s="294"/>
      <c r="C4543" s="294"/>
      <c r="D4543" s="294"/>
      <c r="E4543" s="294"/>
      <c r="F4543" s="310"/>
      <c r="G4543" s="310"/>
      <c r="H4543" s="310"/>
      <c r="I4543" s="295"/>
      <c r="J4543" s="295"/>
      <c r="K4543" s="300">
        <f t="shared" si="611"/>
        <v>1.1000000000000001</v>
      </c>
      <c r="L4543" s="300">
        <f t="shared" si="607"/>
        <v>0</v>
      </c>
      <c r="M4543" s="285"/>
      <c r="N4543" s="1076"/>
      <c r="O4543" s="294"/>
      <c r="P4543" s="404"/>
      <c r="Q4543" s="404"/>
    </row>
    <row r="4544" spans="1:17" ht="14.4" thickTop="1" thickBot="1" x14ac:dyDescent="0.3">
      <c r="A4544" s="292"/>
      <c r="B4544" s="294" t="s">
        <v>802</v>
      </c>
      <c r="C4544" s="294"/>
      <c r="D4544" s="294"/>
      <c r="E4544" s="294"/>
      <c r="F4544" s="310">
        <v>21.2</v>
      </c>
      <c r="G4544" s="310"/>
      <c r="H4544" s="310"/>
      <c r="I4544" s="295">
        <f>F4544</f>
        <v>21.2</v>
      </c>
      <c r="J4544" s="295"/>
      <c r="K4544" s="300">
        <f t="shared" si="611"/>
        <v>1.1000000000000001</v>
      </c>
      <c r="L4544" s="300">
        <f t="shared" si="607"/>
        <v>0</v>
      </c>
      <c r="M4544" s="285">
        <f t="shared" ref="M4544:M4644" si="613">ROUND(L4544,0)</f>
        <v>0</v>
      </c>
      <c r="N4544" s="1076"/>
      <c r="O4544" s="294"/>
      <c r="P4544" s="404"/>
      <c r="Q4544" s="404"/>
    </row>
    <row r="4545" spans="1:17" ht="14.4" thickTop="1" thickBot="1" x14ac:dyDescent="0.3">
      <c r="A4545" s="292"/>
      <c r="B4545" s="294"/>
      <c r="C4545" s="294"/>
      <c r="D4545" s="294"/>
      <c r="E4545" s="294"/>
      <c r="F4545" s="1131">
        <v>18.350000000000001</v>
      </c>
      <c r="G4545" s="310"/>
      <c r="H4545" s="310"/>
      <c r="I4545" s="295">
        <f t="shared" ref="I4545:I4548" si="614">F4545</f>
        <v>18.350000000000001</v>
      </c>
      <c r="J4545" s="295"/>
      <c r="K4545" s="300">
        <f t="shared" si="611"/>
        <v>1.1000000000000001</v>
      </c>
      <c r="L4545" s="300">
        <f t="shared" si="607"/>
        <v>0</v>
      </c>
      <c r="M4545" s="285">
        <f t="shared" si="613"/>
        <v>0</v>
      </c>
      <c r="N4545" s="1076"/>
      <c r="O4545" s="294"/>
      <c r="P4545" s="404"/>
      <c r="Q4545" s="404"/>
    </row>
    <row r="4546" spans="1:17" ht="14.4" thickTop="1" thickBot="1" x14ac:dyDescent="0.3">
      <c r="A4546" s="292"/>
      <c r="B4546" s="294"/>
      <c r="C4546" s="294"/>
      <c r="D4546" s="294"/>
      <c r="E4546" s="294"/>
      <c r="F4546" s="310">
        <v>16.25</v>
      </c>
      <c r="G4546" s="310"/>
      <c r="H4546" s="310"/>
      <c r="I4546" s="295">
        <f t="shared" si="614"/>
        <v>16.25</v>
      </c>
      <c r="J4546" s="295"/>
      <c r="K4546" s="300">
        <f t="shared" si="611"/>
        <v>1.1000000000000001</v>
      </c>
      <c r="L4546" s="300">
        <f t="shared" si="607"/>
        <v>0</v>
      </c>
      <c r="M4546" s="285">
        <f t="shared" si="613"/>
        <v>0</v>
      </c>
      <c r="N4546" s="1076"/>
      <c r="O4546" s="294"/>
      <c r="P4546" s="404"/>
      <c r="Q4546" s="404"/>
    </row>
    <row r="4547" spans="1:17" ht="14.4" thickTop="1" thickBot="1" x14ac:dyDescent="0.3">
      <c r="A4547" s="292"/>
      <c r="B4547" s="294"/>
      <c r="C4547" s="294"/>
      <c r="D4547" s="294"/>
      <c r="E4547" s="294"/>
      <c r="F4547" s="310">
        <v>100</v>
      </c>
      <c r="G4547" s="310"/>
      <c r="H4547" s="310"/>
      <c r="I4547" s="295">
        <f t="shared" si="614"/>
        <v>100</v>
      </c>
      <c r="J4547" s="295"/>
      <c r="K4547" s="300">
        <f t="shared" si="611"/>
        <v>1.1000000000000001</v>
      </c>
      <c r="L4547" s="300">
        <f t="shared" si="607"/>
        <v>0</v>
      </c>
      <c r="M4547" s="285">
        <f t="shared" si="613"/>
        <v>0</v>
      </c>
      <c r="N4547" s="1076"/>
      <c r="O4547" s="294"/>
      <c r="P4547" s="404"/>
      <c r="Q4547" s="404"/>
    </row>
    <row r="4548" spans="1:17" ht="14.4" thickTop="1" thickBot="1" x14ac:dyDescent="0.3">
      <c r="A4548" s="292"/>
      <c r="B4548" s="294"/>
      <c r="C4548" s="294"/>
      <c r="D4548" s="294"/>
      <c r="E4548" s="294"/>
      <c r="F4548" s="310">
        <v>66.400000000000006</v>
      </c>
      <c r="G4548" s="310"/>
      <c r="H4548" s="310"/>
      <c r="I4548" s="295">
        <f t="shared" si="614"/>
        <v>66.400000000000006</v>
      </c>
      <c r="J4548" s="295">
        <f>SUM(I4544:I4548)</f>
        <v>222.20000000000002</v>
      </c>
      <c r="K4548" s="300">
        <f t="shared" si="611"/>
        <v>1.1000000000000001</v>
      </c>
      <c r="L4548" s="300">
        <f t="shared" si="607"/>
        <v>244.42000000000004</v>
      </c>
      <c r="M4548" s="285">
        <f t="shared" si="613"/>
        <v>244</v>
      </c>
      <c r="N4548" s="1076"/>
      <c r="O4548" s="294"/>
      <c r="P4548" s="404"/>
      <c r="Q4548" s="404"/>
    </row>
    <row r="4549" spans="1:17" ht="14.4" thickTop="1" thickBot="1" x14ac:dyDescent="0.3">
      <c r="A4549" s="292"/>
      <c r="B4549" s="294"/>
      <c r="C4549" s="294"/>
      <c r="D4549" s="294"/>
      <c r="E4549" s="294"/>
      <c r="F4549" s="310"/>
      <c r="G4549" s="310"/>
      <c r="H4549" s="310"/>
      <c r="I4549" s="295"/>
      <c r="J4549" s="295">
        <f>J4548*3.28</f>
        <v>728.81600000000003</v>
      </c>
      <c r="K4549" s="300">
        <v>1.05</v>
      </c>
      <c r="L4549" s="300">
        <f t="shared" si="607"/>
        <v>765.25680000000011</v>
      </c>
      <c r="M4549" s="285">
        <f t="shared" si="613"/>
        <v>765</v>
      </c>
      <c r="N4549" s="1076"/>
      <c r="O4549" s="294"/>
      <c r="P4549" s="404"/>
      <c r="Q4549" s="404"/>
    </row>
    <row r="4550" spans="1:17" ht="14.4" thickTop="1" thickBot="1" x14ac:dyDescent="0.3">
      <c r="A4550" s="292"/>
      <c r="B4550" s="294"/>
      <c r="C4550" s="294"/>
      <c r="D4550" s="294"/>
      <c r="E4550" s="294"/>
      <c r="F4550" s="310"/>
      <c r="G4550" s="310"/>
      <c r="H4550" s="310"/>
      <c r="I4550" s="295"/>
      <c r="J4550" s="295"/>
      <c r="K4550" s="300">
        <f t="shared" si="611"/>
        <v>1.1000000000000001</v>
      </c>
      <c r="L4550" s="300">
        <f t="shared" si="607"/>
        <v>0</v>
      </c>
      <c r="M4550" s="285">
        <f t="shared" si="613"/>
        <v>0</v>
      </c>
      <c r="N4550" s="1076"/>
      <c r="O4550" s="294"/>
      <c r="P4550" s="404"/>
      <c r="Q4550" s="404"/>
    </row>
    <row r="4551" spans="1:17" ht="14.4" thickTop="1" thickBot="1" x14ac:dyDescent="0.3">
      <c r="A4551" s="292"/>
      <c r="B4551" s="294" t="s">
        <v>860</v>
      </c>
      <c r="C4551" s="294"/>
      <c r="D4551" s="294"/>
      <c r="E4551" s="294">
        <v>1</v>
      </c>
      <c r="F4551" s="310">
        <v>2.2799999999999998</v>
      </c>
      <c r="G4551" s="310"/>
      <c r="H4551" s="310"/>
      <c r="I4551" s="295">
        <f>F4551*E4551</f>
        <v>2.2799999999999998</v>
      </c>
      <c r="J4551" s="295"/>
      <c r="K4551" s="300">
        <f t="shared" si="611"/>
        <v>1.1000000000000001</v>
      </c>
      <c r="L4551" s="300">
        <f t="shared" si="607"/>
        <v>0</v>
      </c>
      <c r="M4551" s="285">
        <f t="shared" si="613"/>
        <v>0</v>
      </c>
      <c r="N4551" s="1076"/>
      <c r="O4551" s="294"/>
      <c r="P4551" s="404"/>
      <c r="Q4551" s="404"/>
    </row>
    <row r="4552" spans="1:17" ht="14.4" thickTop="1" thickBot="1" x14ac:dyDescent="0.3">
      <c r="A4552" s="292"/>
      <c r="B4552" s="294"/>
      <c r="C4552" s="294"/>
      <c r="D4552" s="294"/>
      <c r="E4552" s="294">
        <v>2</v>
      </c>
      <c r="F4552" s="310">
        <v>1</v>
      </c>
      <c r="G4552" s="310"/>
      <c r="H4552" s="310"/>
      <c r="I4552" s="295">
        <f t="shared" ref="I4552:I4553" si="615">F4552*E4552</f>
        <v>2</v>
      </c>
      <c r="J4552" s="295"/>
      <c r="K4552" s="300">
        <f t="shared" si="611"/>
        <v>1.1000000000000001</v>
      </c>
      <c r="L4552" s="300">
        <f t="shared" si="607"/>
        <v>0</v>
      </c>
      <c r="M4552" s="285">
        <f t="shared" si="613"/>
        <v>0</v>
      </c>
      <c r="N4552" s="1076"/>
      <c r="O4552" s="294"/>
      <c r="P4552" s="404"/>
      <c r="Q4552" s="404"/>
    </row>
    <row r="4553" spans="1:17" ht="14.4" thickTop="1" thickBot="1" x14ac:dyDescent="0.3">
      <c r="A4553" s="292"/>
      <c r="B4553" s="294"/>
      <c r="C4553" s="294"/>
      <c r="D4553" s="294"/>
      <c r="E4553" s="294">
        <v>2</v>
      </c>
      <c r="F4553" s="310">
        <v>4</v>
      </c>
      <c r="G4553" s="310"/>
      <c r="H4553" s="310"/>
      <c r="I4553" s="295">
        <f t="shared" si="615"/>
        <v>8</v>
      </c>
      <c r="J4553" s="295">
        <f>SUM(I4551:I4553)</f>
        <v>12.28</v>
      </c>
      <c r="K4553" s="300">
        <f t="shared" si="611"/>
        <v>1.1000000000000001</v>
      </c>
      <c r="L4553" s="300">
        <f t="shared" si="607"/>
        <v>13.508000000000001</v>
      </c>
      <c r="M4553" s="285">
        <f t="shared" si="613"/>
        <v>14</v>
      </c>
      <c r="N4553" s="1076"/>
      <c r="O4553" s="294"/>
      <c r="P4553" s="404"/>
      <c r="Q4553" s="404"/>
    </row>
    <row r="4554" spans="1:17" ht="14.4" thickTop="1" thickBot="1" x14ac:dyDescent="0.3">
      <c r="A4554" s="292"/>
      <c r="B4554" s="294"/>
      <c r="C4554" s="294"/>
      <c r="D4554" s="294"/>
      <c r="E4554" s="294"/>
      <c r="F4554" s="310"/>
      <c r="G4554" s="310"/>
      <c r="H4554" s="310"/>
      <c r="I4554" s="295"/>
      <c r="J4554" s="295">
        <f>J4553*3.28</f>
        <v>40.278399999999998</v>
      </c>
      <c r="K4554" s="300">
        <v>1.05</v>
      </c>
      <c r="L4554" s="300">
        <f t="shared" si="607"/>
        <v>42.292319999999997</v>
      </c>
      <c r="M4554" s="285">
        <f t="shared" si="613"/>
        <v>42</v>
      </c>
      <c r="N4554" s="1076"/>
      <c r="O4554" s="294"/>
      <c r="P4554" s="404"/>
      <c r="Q4554" s="404"/>
    </row>
    <row r="4555" spans="1:17" ht="14.4" thickTop="1" thickBot="1" x14ac:dyDescent="0.3">
      <c r="A4555" s="292"/>
      <c r="B4555" s="294"/>
      <c r="C4555" s="294"/>
      <c r="D4555" s="294"/>
      <c r="E4555" s="294"/>
      <c r="F4555" s="310"/>
      <c r="G4555" s="310"/>
      <c r="H4555" s="310"/>
      <c r="I4555" s="295"/>
      <c r="J4555" s="295"/>
      <c r="K4555" s="300">
        <f t="shared" si="611"/>
        <v>1.1000000000000001</v>
      </c>
      <c r="L4555" s="300">
        <f t="shared" si="607"/>
        <v>0</v>
      </c>
      <c r="M4555" s="285"/>
      <c r="N4555" s="1076"/>
      <c r="O4555" s="294"/>
      <c r="P4555" s="404"/>
      <c r="Q4555" s="404"/>
    </row>
    <row r="4556" spans="1:17" ht="14.4" thickTop="1" thickBot="1" x14ac:dyDescent="0.3">
      <c r="A4556" s="292"/>
      <c r="B4556" s="294" t="s">
        <v>803</v>
      </c>
      <c r="C4556" s="294"/>
      <c r="D4556" s="294"/>
      <c r="E4556" s="294"/>
      <c r="F4556" s="310">
        <v>128</v>
      </c>
      <c r="G4556" s="310"/>
      <c r="H4556" s="310"/>
      <c r="I4556" s="295">
        <f>F4556</f>
        <v>128</v>
      </c>
      <c r="J4556" s="295">
        <f>I4556</f>
        <v>128</v>
      </c>
      <c r="K4556" s="300">
        <f t="shared" si="611"/>
        <v>1.1000000000000001</v>
      </c>
      <c r="L4556" s="300">
        <f t="shared" si="607"/>
        <v>140.80000000000001</v>
      </c>
      <c r="M4556" s="285">
        <f t="shared" si="613"/>
        <v>141</v>
      </c>
      <c r="N4556" s="1076"/>
      <c r="O4556" s="294"/>
      <c r="P4556" s="404"/>
      <c r="Q4556" s="404"/>
    </row>
    <row r="4557" spans="1:17" ht="14.4" thickTop="1" thickBot="1" x14ac:dyDescent="0.3">
      <c r="A4557" s="292"/>
      <c r="B4557" s="294"/>
      <c r="C4557" s="294"/>
      <c r="D4557" s="294"/>
      <c r="E4557" s="294"/>
      <c r="F4557" s="310"/>
      <c r="G4557" s="310"/>
      <c r="H4557" s="310"/>
      <c r="I4557" s="295"/>
      <c r="J4557" s="295">
        <f>J4556*3.28</f>
        <v>419.84</v>
      </c>
      <c r="K4557" s="300">
        <v>1.05</v>
      </c>
      <c r="L4557" s="300">
        <f t="shared" si="607"/>
        <v>440.83199999999999</v>
      </c>
      <c r="M4557" s="285">
        <f t="shared" si="613"/>
        <v>441</v>
      </c>
      <c r="N4557" s="1076"/>
      <c r="O4557" s="294"/>
      <c r="P4557" s="404"/>
      <c r="Q4557" s="404"/>
    </row>
    <row r="4558" spans="1:17" ht="14.4" thickTop="1" thickBot="1" x14ac:dyDescent="0.3">
      <c r="A4558" s="292"/>
      <c r="B4558" s="294"/>
      <c r="C4558" s="294"/>
      <c r="D4558" s="294"/>
      <c r="E4558" s="294"/>
      <c r="F4558" s="310"/>
      <c r="G4558" s="310"/>
      <c r="H4558" s="310"/>
      <c r="I4558" s="295"/>
      <c r="J4558" s="295"/>
      <c r="K4558" s="300">
        <f t="shared" si="611"/>
        <v>1.1000000000000001</v>
      </c>
      <c r="L4558" s="300">
        <f t="shared" si="607"/>
        <v>0</v>
      </c>
      <c r="M4558" s="285">
        <f t="shared" si="613"/>
        <v>0</v>
      </c>
      <c r="N4558" s="1076"/>
      <c r="O4558" s="294"/>
      <c r="P4558" s="404"/>
      <c r="Q4558" s="404"/>
    </row>
    <row r="4559" spans="1:17" ht="14.4" thickTop="1" thickBot="1" x14ac:dyDescent="0.3">
      <c r="A4559" s="292"/>
      <c r="B4559" s="302" t="s">
        <v>990</v>
      </c>
      <c r="C4559" s="294"/>
      <c r="D4559" s="294"/>
      <c r="E4559" s="294"/>
      <c r="F4559" s="310"/>
      <c r="G4559" s="310"/>
      <c r="H4559" s="310"/>
      <c r="I4559" s="295"/>
      <c r="J4559" s="295"/>
      <c r="K4559" s="300">
        <f t="shared" si="611"/>
        <v>1.1000000000000001</v>
      </c>
      <c r="L4559" s="300">
        <f t="shared" si="607"/>
        <v>0</v>
      </c>
      <c r="M4559" s="285">
        <f t="shared" si="613"/>
        <v>0</v>
      </c>
      <c r="N4559" s="1076"/>
      <c r="O4559" s="294"/>
      <c r="P4559" s="404"/>
      <c r="Q4559" s="404"/>
    </row>
    <row r="4560" spans="1:17" ht="14.4" thickTop="1" thickBot="1" x14ac:dyDescent="0.3">
      <c r="A4560" s="292"/>
      <c r="B4560" s="294" t="s">
        <v>991</v>
      </c>
      <c r="C4560" s="294"/>
      <c r="D4560" s="294"/>
      <c r="E4560" s="294">
        <v>2</v>
      </c>
      <c r="F4560" s="310">
        <v>27.3</v>
      </c>
      <c r="G4560" s="310">
        <v>1.175</v>
      </c>
      <c r="H4560" s="310"/>
      <c r="I4560" s="295">
        <f>G4560*F4560*E4560</f>
        <v>64.155000000000001</v>
      </c>
      <c r="J4560" s="295"/>
      <c r="K4560" s="300">
        <f t="shared" si="611"/>
        <v>1.1000000000000001</v>
      </c>
      <c r="L4560" s="300">
        <f t="shared" si="607"/>
        <v>0</v>
      </c>
      <c r="M4560" s="285">
        <f t="shared" si="613"/>
        <v>0</v>
      </c>
      <c r="N4560" s="1076"/>
      <c r="O4560" s="294"/>
      <c r="P4560" s="404"/>
      <c r="Q4560" s="404"/>
    </row>
    <row r="4561" spans="1:17" ht="14.4" thickTop="1" thickBot="1" x14ac:dyDescent="0.3">
      <c r="A4561" s="292"/>
      <c r="B4561" s="294"/>
      <c r="C4561" s="294"/>
      <c r="D4561" s="294"/>
      <c r="E4561" s="294">
        <v>2</v>
      </c>
      <c r="F4561" s="310">
        <f>F4560</f>
        <v>27.3</v>
      </c>
      <c r="G4561" s="310">
        <v>0.9</v>
      </c>
      <c r="H4561" s="310"/>
      <c r="I4561" s="295">
        <f t="shared" ref="I4561:I4563" si="616">G4561*F4561*E4561</f>
        <v>49.14</v>
      </c>
      <c r="J4561" s="295"/>
      <c r="K4561" s="300">
        <f t="shared" si="611"/>
        <v>1.1000000000000001</v>
      </c>
      <c r="L4561" s="300">
        <f t="shared" si="607"/>
        <v>0</v>
      </c>
      <c r="M4561" s="285"/>
      <c r="N4561" s="1076"/>
      <c r="O4561" s="294"/>
      <c r="P4561" s="404"/>
      <c r="Q4561" s="404"/>
    </row>
    <row r="4562" spans="1:17" ht="14.4" thickTop="1" thickBot="1" x14ac:dyDescent="0.3">
      <c r="A4562" s="292"/>
      <c r="B4562" s="294"/>
      <c r="C4562" s="294"/>
      <c r="D4562" s="294"/>
      <c r="E4562" s="294">
        <v>2</v>
      </c>
      <c r="F4562" s="310">
        <v>12.3</v>
      </c>
      <c r="G4562" s="310">
        <v>1.175</v>
      </c>
      <c r="H4562" s="310"/>
      <c r="I4562" s="295">
        <f t="shared" si="616"/>
        <v>28.905000000000001</v>
      </c>
      <c r="J4562" s="295"/>
      <c r="K4562" s="300">
        <f t="shared" si="611"/>
        <v>1.1000000000000001</v>
      </c>
      <c r="L4562" s="300">
        <f t="shared" si="607"/>
        <v>0</v>
      </c>
      <c r="M4562" s="285">
        <f t="shared" si="613"/>
        <v>0</v>
      </c>
      <c r="N4562" s="1076"/>
      <c r="O4562" s="294"/>
      <c r="P4562" s="404"/>
      <c r="Q4562" s="404"/>
    </row>
    <row r="4563" spans="1:17" ht="14.4" thickTop="1" thickBot="1" x14ac:dyDescent="0.3">
      <c r="A4563" s="292"/>
      <c r="B4563" s="294"/>
      <c r="C4563" s="294"/>
      <c r="D4563" s="294"/>
      <c r="E4563" s="294">
        <v>2</v>
      </c>
      <c r="F4563" s="310">
        <v>12.3</v>
      </c>
      <c r="G4563" s="310">
        <v>0.9</v>
      </c>
      <c r="H4563" s="310"/>
      <c r="I4563" s="295">
        <f t="shared" si="616"/>
        <v>22.14</v>
      </c>
      <c r="J4563" s="295">
        <f>SUM(I4560:I4563)</f>
        <v>164.33999999999997</v>
      </c>
      <c r="K4563" s="300">
        <f t="shared" si="611"/>
        <v>1.1000000000000001</v>
      </c>
      <c r="L4563" s="300">
        <f t="shared" ref="L4563:L4626" si="617">K4563*J4563</f>
        <v>180.774</v>
      </c>
      <c r="M4563" s="285">
        <f t="shared" si="613"/>
        <v>181</v>
      </c>
      <c r="N4563" s="1076"/>
      <c r="O4563" s="294"/>
      <c r="P4563" s="404"/>
      <c r="Q4563" s="404"/>
    </row>
    <row r="4564" spans="1:17" ht="14.4" thickTop="1" thickBot="1" x14ac:dyDescent="0.3">
      <c r="A4564" s="292"/>
      <c r="B4564" s="294"/>
      <c r="C4564" s="294"/>
      <c r="D4564" s="294"/>
      <c r="E4564" s="294"/>
      <c r="F4564" s="310"/>
      <c r="G4564" s="310"/>
      <c r="H4564" s="310"/>
      <c r="I4564" s="295"/>
      <c r="J4564" s="295">
        <f>J4563/9.29</f>
        <v>17.68998923573735</v>
      </c>
      <c r="K4564" s="300">
        <v>1.05</v>
      </c>
      <c r="L4564" s="300">
        <f t="shared" si="617"/>
        <v>18.57448869752422</v>
      </c>
      <c r="M4564" s="285">
        <f t="shared" si="613"/>
        <v>19</v>
      </c>
      <c r="N4564" s="1076"/>
      <c r="O4564" s="294"/>
      <c r="P4564" s="404"/>
      <c r="Q4564" s="404"/>
    </row>
    <row r="4565" spans="1:17" ht="14.4" thickTop="1" thickBot="1" x14ac:dyDescent="0.3">
      <c r="A4565" s="292"/>
      <c r="B4565" s="294"/>
      <c r="C4565" s="294"/>
      <c r="D4565" s="294"/>
      <c r="E4565" s="294"/>
      <c r="F4565" s="310"/>
      <c r="G4565" s="310"/>
      <c r="H4565" s="310"/>
      <c r="I4565" s="295"/>
      <c r="J4565" s="295"/>
      <c r="K4565" s="300">
        <f t="shared" si="611"/>
        <v>1.1000000000000001</v>
      </c>
      <c r="L4565" s="300">
        <f t="shared" si="617"/>
        <v>0</v>
      </c>
      <c r="M4565" s="285">
        <f t="shared" si="613"/>
        <v>0</v>
      </c>
      <c r="N4565" s="1076"/>
      <c r="O4565" s="294"/>
      <c r="P4565" s="404"/>
      <c r="Q4565" s="404"/>
    </row>
    <row r="4566" spans="1:17" ht="14.4" thickTop="1" thickBot="1" x14ac:dyDescent="0.3">
      <c r="A4566" s="292"/>
      <c r="B4566" s="294"/>
      <c r="C4566" s="294"/>
      <c r="D4566" s="294"/>
      <c r="E4566" s="294"/>
      <c r="F4566" s="310"/>
      <c r="G4566" s="310"/>
      <c r="H4566" s="310"/>
      <c r="I4566" s="295"/>
      <c r="J4566" s="295"/>
      <c r="K4566" s="300">
        <f t="shared" si="611"/>
        <v>1.1000000000000001</v>
      </c>
      <c r="L4566" s="300">
        <f t="shared" si="617"/>
        <v>0</v>
      </c>
      <c r="M4566" s="285">
        <f t="shared" si="613"/>
        <v>0</v>
      </c>
      <c r="N4566" s="1076"/>
      <c r="O4566" s="294"/>
      <c r="P4566" s="404"/>
      <c r="Q4566" s="404"/>
    </row>
    <row r="4567" spans="1:17" ht="14.4" thickTop="1" thickBot="1" x14ac:dyDescent="0.3">
      <c r="A4567" s="292"/>
      <c r="B4567" s="294"/>
      <c r="C4567" s="294"/>
      <c r="D4567" s="294"/>
      <c r="E4567" s="294"/>
      <c r="F4567" s="310"/>
      <c r="G4567" s="310"/>
      <c r="H4567" s="310"/>
      <c r="I4567" s="295"/>
      <c r="J4567" s="295"/>
      <c r="K4567" s="300">
        <f t="shared" si="611"/>
        <v>1.1000000000000001</v>
      </c>
      <c r="L4567" s="300">
        <f t="shared" si="617"/>
        <v>0</v>
      </c>
      <c r="M4567" s="285">
        <f t="shared" si="613"/>
        <v>0</v>
      </c>
      <c r="N4567" s="1076"/>
      <c r="O4567" s="294"/>
      <c r="P4567" s="404"/>
      <c r="Q4567" s="404"/>
    </row>
    <row r="4568" spans="1:17" ht="14.4" thickTop="1" thickBot="1" x14ac:dyDescent="0.3">
      <c r="A4568" s="292"/>
      <c r="B4568" s="302" t="s">
        <v>580</v>
      </c>
      <c r="C4568" s="294"/>
      <c r="D4568" s="294"/>
      <c r="E4568" s="294"/>
      <c r="F4568" s="310"/>
      <c r="G4568" s="310"/>
      <c r="H4568" s="310"/>
      <c r="I4568" s="295"/>
      <c r="J4568" s="295"/>
      <c r="K4568" s="300">
        <f t="shared" si="611"/>
        <v>1.1000000000000001</v>
      </c>
      <c r="L4568" s="300">
        <f t="shared" si="617"/>
        <v>0</v>
      </c>
      <c r="M4568" s="285">
        <f t="shared" si="613"/>
        <v>0</v>
      </c>
      <c r="N4568" s="1076"/>
      <c r="O4568" s="294"/>
      <c r="P4568" s="404"/>
      <c r="Q4568" s="404"/>
    </row>
    <row r="4569" spans="1:17" ht="14.4" thickTop="1" thickBot="1" x14ac:dyDescent="0.3">
      <c r="A4569" s="292"/>
      <c r="B4569" s="302" t="s">
        <v>862</v>
      </c>
      <c r="C4569" s="294"/>
      <c r="D4569" s="294"/>
      <c r="E4569" s="294"/>
      <c r="F4569" s="310"/>
      <c r="G4569" s="310"/>
      <c r="H4569" s="310"/>
      <c r="I4569" s="295"/>
      <c r="J4569" s="295"/>
      <c r="K4569" s="300">
        <f t="shared" si="611"/>
        <v>1.1000000000000001</v>
      </c>
      <c r="L4569" s="300">
        <f t="shared" si="617"/>
        <v>0</v>
      </c>
      <c r="M4569" s="285">
        <f t="shared" si="613"/>
        <v>0</v>
      </c>
      <c r="N4569" s="1076"/>
      <c r="O4569" s="294"/>
      <c r="P4569" s="404"/>
      <c r="Q4569" s="404"/>
    </row>
    <row r="4570" spans="1:17" ht="14.4" thickTop="1" thickBot="1" x14ac:dyDescent="0.3">
      <c r="A4570" s="292"/>
      <c r="B4570" s="294" t="s">
        <v>861</v>
      </c>
      <c r="C4570" s="294"/>
      <c r="D4570" s="294"/>
      <c r="E4570" s="294"/>
      <c r="F4570" s="310"/>
      <c r="G4570" s="310"/>
      <c r="H4570" s="310"/>
      <c r="I4570" s="295">
        <f>J4332</f>
        <v>764.81880000000024</v>
      </c>
      <c r="J4570" s="295">
        <f>I4570</f>
        <v>764.81880000000024</v>
      </c>
      <c r="K4570" s="300">
        <f t="shared" si="611"/>
        <v>1.1000000000000001</v>
      </c>
      <c r="L4570" s="300">
        <f t="shared" si="617"/>
        <v>841.30068000000028</v>
      </c>
      <c r="M4570" s="285">
        <f t="shared" si="613"/>
        <v>841</v>
      </c>
      <c r="N4570" s="1076"/>
      <c r="O4570" s="294"/>
      <c r="P4570" s="404"/>
      <c r="Q4570" s="404"/>
    </row>
    <row r="4571" spans="1:17" ht="14.4" thickTop="1" thickBot="1" x14ac:dyDescent="0.3">
      <c r="A4571" s="292"/>
      <c r="B4571" s="294"/>
      <c r="C4571" s="294"/>
      <c r="D4571" s="294"/>
      <c r="E4571" s="294"/>
      <c r="F4571" s="310"/>
      <c r="G4571" s="310"/>
      <c r="H4571" s="310"/>
      <c r="I4571" s="295"/>
      <c r="J4571" s="295">
        <f>J4570/9.29</f>
        <v>82.327104413347712</v>
      </c>
      <c r="K4571" s="300">
        <v>1.05</v>
      </c>
      <c r="L4571" s="300">
        <f t="shared" si="617"/>
        <v>86.443459634015099</v>
      </c>
      <c r="M4571" s="285">
        <f t="shared" si="613"/>
        <v>86</v>
      </c>
      <c r="N4571" s="1076"/>
      <c r="O4571" s="294"/>
      <c r="P4571" s="404"/>
      <c r="Q4571" s="404"/>
    </row>
    <row r="4572" spans="1:17" ht="14.4" thickTop="1" thickBot="1" x14ac:dyDescent="0.3">
      <c r="A4572" s="292"/>
      <c r="B4572" s="294"/>
      <c r="C4572" s="294"/>
      <c r="D4572" s="294"/>
      <c r="E4572" s="294"/>
      <c r="F4572" s="310"/>
      <c r="G4572" s="310"/>
      <c r="H4572" s="310"/>
      <c r="I4572" s="295"/>
      <c r="J4572" s="295"/>
      <c r="K4572" s="300">
        <f t="shared" si="611"/>
        <v>1.1000000000000001</v>
      </c>
      <c r="L4572" s="300">
        <f t="shared" si="617"/>
        <v>0</v>
      </c>
      <c r="M4572" s="285">
        <f t="shared" si="613"/>
        <v>0</v>
      </c>
      <c r="N4572" s="1076"/>
      <c r="O4572" s="294"/>
      <c r="P4572" s="404"/>
      <c r="Q4572" s="404"/>
    </row>
    <row r="4573" spans="1:17" ht="14.4" thickTop="1" thickBot="1" x14ac:dyDescent="0.3">
      <c r="A4573" s="292"/>
      <c r="B4573" s="294"/>
      <c r="C4573" s="294"/>
      <c r="D4573" s="294"/>
      <c r="E4573" s="294"/>
      <c r="F4573" s="310"/>
      <c r="G4573" s="310"/>
      <c r="H4573" s="310"/>
      <c r="I4573" s="295"/>
      <c r="J4573" s="295"/>
      <c r="K4573" s="300">
        <f t="shared" si="611"/>
        <v>1.1000000000000001</v>
      </c>
      <c r="L4573" s="300">
        <f t="shared" si="617"/>
        <v>0</v>
      </c>
      <c r="M4573" s="285">
        <f t="shared" si="613"/>
        <v>0</v>
      </c>
      <c r="N4573" s="1076"/>
      <c r="O4573" s="294"/>
      <c r="P4573" s="404"/>
      <c r="Q4573" s="404"/>
    </row>
    <row r="4574" spans="1:17" ht="14.4" thickTop="1" thickBot="1" x14ac:dyDescent="0.3">
      <c r="A4574" s="292"/>
      <c r="B4574" s="294" t="s">
        <v>863</v>
      </c>
      <c r="C4574" s="294"/>
      <c r="D4574" s="294"/>
      <c r="E4574" s="294"/>
      <c r="F4574" s="310"/>
      <c r="G4574" s="310"/>
      <c r="H4574" s="310"/>
      <c r="I4574" s="295">
        <v>245</v>
      </c>
      <c r="J4574" s="295">
        <f>I4574</f>
        <v>245</v>
      </c>
      <c r="K4574" s="300">
        <f t="shared" si="611"/>
        <v>1.1000000000000001</v>
      </c>
      <c r="L4574" s="300">
        <f t="shared" si="617"/>
        <v>269.5</v>
      </c>
      <c r="M4574" s="285">
        <f t="shared" si="613"/>
        <v>270</v>
      </c>
      <c r="N4574" s="1076"/>
      <c r="O4574" s="294"/>
      <c r="P4574" s="404"/>
      <c r="Q4574" s="404"/>
    </row>
    <row r="4575" spans="1:17" ht="14.4" thickTop="1" thickBot="1" x14ac:dyDescent="0.3">
      <c r="A4575" s="292"/>
      <c r="B4575" s="294"/>
      <c r="C4575" s="294"/>
      <c r="D4575" s="294"/>
      <c r="E4575" s="294"/>
      <c r="F4575" s="310"/>
      <c r="G4575" s="310"/>
      <c r="H4575" s="310"/>
      <c r="I4575" s="295"/>
      <c r="J4575" s="295">
        <f>J4574/9.29</f>
        <v>26.372443487621101</v>
      </c>
      <c r="K4575" s="300">
        <v>1.05</v>
      </c>
      <c r="L4575" s="300">
        <f t="shared" si="617"/>
        <v>27.691065662002156</v>
      </c>
      <c r="M4575" s="285">
        <f t="shared" si="613"/>
        <v>28</v>
      </c>
      <c r="N4575" s="1076"/>
      <c r="O4575" s="294"/>
      <c r="P4575" s="404"/>
      <c r="Q4575" s="404"/>
    </row>
    <row r="4576" spans="1:17" ht="14.4" thickTop="1" thickBot="1" x14ac:dyDescent="0.3">
      <c r="A4576" s="292"/>
      <c r="B4576" s="294"/>
      <c r="C4576" s="294"/>
      <c r="D4576" s="294"/>
      <c r="E4576" s="294"/>
      <c r="F4576" s="310"/>
      <c r="G4576" s="310"/>
      <c r="H4576" s="310"/>
      <c r="I4576" s="295"/>
      <c r="J4576" s="295"/>
      <c r="K4576" s="300">
        <f t="shared" si="611"/>
        <v>1.1000000000000001</v>
      </c>
      <c r="L4576" s="300">
        <f t="shared" si="617"/>
        <v>0</v>
      </c>
      <c r="M4576" s="285">
        <f t="shared" si="613"/>
        <v>0</v>
      </c>
      <c r="N4576" s="1076"/>
      <c r="O4576" s="294"/>
      <c r="P4576" s="404"/>
      <c r="Q4576" s="404"/>
    </row>
    <row r="4577" spans="1:17" ht="14.4" thickTop="1" thickBot="1" x14ac:dyDescent="0.3">
      <c r="A4577" s="292"/>
      <c r="B4577" s="294"/>
      <c r="C4577" s="294"/>
      <c r="D4577" s="294"/>
      <c r="E4577" s="294"/>
      <c r="F4577" s="310"/>
      <c r="G4577" s="310"/>
      <c r="H4577" s="310"/>
      <c r="I4577" s="295"/>
      <c r="J4577" s="295"/>
      <c r="K4577" s="300">
        <f t="shared" si="611"/>
        <v>1.1000000000000001</v>
      </c>
      <c r="L4577" s="300">
        <f t="shared" si="617"/>
        <v>0</v>
      </c>
      <c r="M4577" s="285">
        <f t="shared" si="613"/>
        <v>0</v>
      </c>
      <c r="N4577" s="1076"/>
      <c r="O4577" s="294"/>
      <c r="P4577" s="404"/>
      <c r="Q4577" s="404"/>
    </row>
    <row r="4578" spans="1:17" ht="14.4" thickTop="1" thickBot="1" x14ac:dyDescent="0.3">
      <c r="A4578" s="292"/>
      <c r="B4578" s="294" t="s">
        <v>802</v>
      </c>
      <c r="C4578" s="294"/>
      <c r="D4578" s="294"/>
      <c r="E4578" s="294"/>
      <c r="F4578" s="310"/>
      <c r="G4578" s="310"/>
      <c r="H4578" s="310"/>
      <c r="I4578" s="295">
        <f>J4403</f>
        <v>646.41719999999998</v>
      </c>
      <c r="J4578" s="295">
        <f>I4578</f>
        <v>646.41719999999998</v>
      </c>
      <c r="K4578" s="300">
        <f t="shared" si="611"/>
        <v>1.1000000000000001</v>
      </c>
      <c r="L4578" s="300">
        <f t="shared" si="617"/>
        <v>711.05892000000006</v>
      </c>
      <c r="M4578" s="285">
        <f t="shared" si="613"/>
        <v>711</v>
      </c>
      <c r="N4578" s="1076"/>
      <c r="O4578" s="294"/>
      <c r="P4578" s="404"/>
      <c r="Q4578" s="404"/>
    </row>
    <row r="4579" spans="1:17" ht="14.4" thickTop="1" thickBot="1" x14ac:dyDescent="0.3">
      <c r="A4579" s="292"/>
      <c r="B4579" s="294"/>
      <c r="C4579" s="294"/>
      <c r="D4579" s="294"/>
      <c r="E4579" s="294"/>
      <c r="F4579" s="310"/>
      <c r="G4579" s="310"/>
      <c r="H4579" s="310"/>
      <c r="I4579" s="295"/>
      <c r="J4579" s="295">
        <f>J4578/9.29</f>
        <v>69.582045209903129</v>
      </c>
      <c r="K4579" s="300">
        <v>1.05</v>
      </c>
      <c r="L4579" s="300">
        <f t="shared" si="617"/>
        <v>73.061147470398282</v>
      </c>
      <c r="M4579" s="285">
        <f t="shared" si="613"/>
        <v>73</v>
      </c>
      <c r="N4579" s="1076"/>
      <c r="O4579" s="294"/>
      <c r="P4579" s="404"/>
      <c r="Q4579" s="404"/>
    </row>
    <row r="4580" spans="1:17" ht="14.4" thickTop="1" thickBot="1" x14ac:dyDescent="0.3">
      <c r="A4580" s="292"/>
      <c r="B4580" s="294"/>
      <c r="C4580" s="294"/>
      <c r="D4580" s="294"/>
      <c r="E4580" s="294"/>
      <c r="F4580" s="310"/>
      <c r="G4580" s="310"/>
      <c r="H4580" s="310"/>
      <c r="I4580" s="295"/>
      <c r="J4580" s="295"/>
      <c r="K4580" s="300">
        <f t="shared" si="611"/>
        <v>1.1000000000000001</v>
      </c>
      <c r="L4580" s="300">
        <f t="shared" si="617"/>
        <v>0</v>
      </c>
      <c r="M4580" s="285">
        <f t="shared" si="613"/>
        <v>0</v>
      </c>
      <c r="N4580" s="1076"/>
      <c r="O4580" s="294"/>
      <c r="P4580" s="404"/>
      <c r="Q4580" s="404"/>
    </row>
    <row r="4581" spans="1:17" ht="14.4" thickTop="1" thickBot="1" x14ac:dyDescent="0.3">
      <c r="A4581" s="292"/>
      <c r="B4581" s="294"/>
      <c r="C4581" s="294"/>
      <c r="D4581" s="294"/>
      <c r="E4581" s="294"/>
      <c r="F4581" s="310"/>
      <c r="G4581" s="310"/>
      <c r="H4581" s="310"/>
      <c r="I4581" s="295"/>
      <c r="J4581" s="295"/>
      <c r="K4581" s="300">
        <f t="shared" si="611"/>
        <v>1.1000000000000001</v>
      </c>
      <c r="L4581" s="300">
        <f t="shared" si="617"/>
        <v>0</v>
      </c>
      <c r="M4581" s="285">
        <f t="shared" si="613"/>
        <v>0</v>
      </c>
      <c r="N4581" s="1076"/>
      <c r="O4581" s="294"/>
      <c r="P4581" s="404"/>
      <c r="Q4581" s="404"/>
    </row>
    <row r="4582" spans="1:17" ht="14.4" thickTop="1" thickBot="1" x14ac:dyDescent="0.3">
      <c r="A4582" s="292"/>
      <c r="B4582" s="294" t="s">
        <v>863</v>
      </c>
      <c r="C4582" s="294"/>
      <c r="D4582" s="294"/>
      <c r="E4582" s="294"/>
      <c r="F4582" s="310"/>
      <c r="G4582" s="310"/>
      <c r="H4582" s="310"/>
      <c r="I4582" s="295">
        <v>244</v>
      </c>
      <c r="J4582" s="295">
        <f>I4582</f>
        <v>244</v>
      </c>
      <c r="K4582" s="300">
        <f t="shared" si="611"/>
        <v>1.1000000000000001</v>
      </c>
      <c r="L4582" s="300">
        <f t="shared" si="617"/>
        <v>268.40000000000003</v>
      </c>
      <c r="M4582" s="285">
        <f t="shared" si="613"/>
        <v>268</v>
      </c>
      <c r="N4582" s="1076"/>
      <c r="O4582" s="294"/>
      <c r="P4582" s="404"/>
      <c r="Q4582" s="404"/>
    </row>
    <row r="4583" spans="1:17" ht="14.4" thickTop="1" thickBot="1" x14ac:dyDescent="0.3">
      <c r="A4583" s="292"/>
      <c r="B4583" s="294"/>
      <c r="C4583" s="294"/>
      <c r="D4583" s="294"/>
      <c r="E4583" s="294"/>
      <c r="F4583" s="310"/>
      <c r="G4583" s="310"/>
      <c r="H4583" s="310"/>
      <c r="I4583" s="295"/>
      <c r="J4583" s="295">
        <f>J4582/9.29</f>
        <v>26.264800861141016</v>
      </c>
      <c r="K4583" s="300">
        <v>1.05</v>
      </c>
      <c r="L4583" s="300">
        <f t="shared" si="617"/>
        <v>27.578040904198069</v>
      </c>
      <c r="M4583" s="285">
        <f t="shared" si="613"/>
        <v>28</v>
      </c>
      <c r="N4583" s="1076"/>
      <c r="O4583" s="294"/>
      <c r="P4583" s="404"/>
      <c r="Q4583" s="404"/>
    </row>
    <row r="4584" spans="1:17" ht="14.4" thickTop="1" thickBot="1" x14ac:dyDescent="0.3">
      <c r="A4584" s="292"/>
      <c r="B4584" s="294"/>
      <c r="C4584" s="294"/>
      <c r="D4584" s="294"/>
      <c r="E4584" s="294"/>
      <c r="F4584" s="310"/>
      <c r="G4584" s="310"/>
      <c r="H4584" s="310"/>
      <c r="I4584" s="295"/>
      <c r="J4584" s="295"/>
      <c r="K4584" s="300">
        <f t="shared" si="611"/>
        <v>1.1000000000000001</v>
      </c>
      <c r="L4584" s="300">
        <f t="shared" si="617"/>
        <v>0</v>
      </c>
      <c r="M4584" s="285">
        <f t="shared" si="613"/>
        <v>0</v>
      </c>
      <c r="N4584" s="1076"/>
      <c r="O4584" s="294"/>
      <c r="P4584" s="404"/>
      <c r="Q4584" s="404"/>
    </row>
    <row r="4585" spans="1:17" ht="14.4" thickTop="1" thickBot="1" x14ac:dyDescent="0.3">
      <c r="A4585" s="292"/>
      <c r="B4585" s="294"/>
      <c r="C4585" s="294"/>
      <c r="D4585" s="294"/>
      <c r="E4585" s="294"/>
      <c r="F4585" s="310"/>
      <c r="G4585" s="310"/>
      <c r="H4585" s="310"/>
      <c r="I4585" s="295"/>
      <c r="J4585" s="295"/>
      <c r="K4585" s="300">
        <f t="shared" si="611"/>
        <v>1.1000000000000001</v>
      </c>
      <c r="L4585" s="300">
        <f t="shared" si="617"/>
        <v>0</v>
      </c>
      <c r="M4585" s="285">
        <f t="shared" si="613"/>
        <v>0</v>
      </c>
      <c r="N4585" s="1076"/>
      <c r="O4585" s="294"/>
      <c r="P4585" s="404"/>
      <c r="Q4585" s="404"/>
    </row>
    <row r="4586" spans="1:17" ht="14.4" thickTop="1" thickBot="1" x14ac:dyDescent="0.3">
      <c r="A4586" s="292"/>
      <c r="B4586" s="294" t="s">
        <v>803</v>
      </c>
      <c r="C4586" s="294"/>
      <c r="D4586" s="294"/>
      <c r="E4586" s="294"/>
      <c r="F4586" s="310"/>
      <c r="G4586" s="310"/>
      <c r="H4586" s="310"/>
      <c r="I4586" s="295">
        <f>J4450</f>
        <v>644.73524999999995</v>
      </c>
      <c r="J4586" s="295">
        <f>I4586</f>
        <v>644.73524999999995</v>
      </c>
      <c r="K4586" s="300">
        <f t="shared" si="611"/>
        <v>1.1000000000000001</v>
      </c>
      <c r="L4586" s="300">
        <f t="shared" si="617"/>
        <v>709.20877500000006</v>
      </c>
      <c r="M4586" s="285">
        <f t="shared" si="613"/>
        <v>709</v>
      </c>
      <c r="N4586" s="1076"/>
      <c r="O4586" s="294"/>
      <c r="P4586" s="404"/>
      <c r="Q4586" s="404"/>
    </row>
    <row r="4587" spans="1:17" ht="14.4" thickTop="1" thickBot="1" x14ac:dyDescent="0.3">
      <c r="A4587" s="292"/>
      <c r="B4587" s="294"/>
      <c r="C4587" s="294"/>
      <c r="D4587" s="294"/>
      <c r="E4587" s="294"/>
      <c r="F4587" s="310"/>
      <c r="G4587" s="310"/>
      <c r="H4587" s="310"/>
      <c r="I4587" s="295"/>
      <c r="J4587" s="295">
        <f>J4586/9.29</f>
        <v>69.400995694294949</v>
      </c>
      <c r="K4587" s="300">
        <v>1.05</v>
      </c>
      <c r="L4587" s="300">
        <f t="shared" si="617"/>
        <v>72.871045479009695</v>
      </c>
      <c r="M4587" s="285">
        <f t="shared" si="613"/>
        <v>73</v>
      </c>
      <c r="N4587" s="1076"/>
      <c r="O4587" s="294"/>
      <c r="P4587" s="404"/>
      <c r="Q4587" s="404"/>
    </row>
    <row r="4588" spans="1:17" ht="14.4" thickTop="1" thickBot="1" x14ac:dyDescent="0.3">
      <c r="A4588" s="292"/>
      <c r="B4588" s="294"/>
      <c r="C4588" s="294"/>
      <c r="D4588" s="294"/>
      <c r="E4588" s="294"/>
      <c r="F4588" s="310"/>
      <c r="G4588" s="310"/>
      <c r="H4588" s="310"/>
      <c r="I4588" s="295"/>
      <c r="J4588" s="295"/>
      <c r="K4588" s="300">
        <f t="shared" si="611"/>
        <v>1.1000000000000001</v>
      </c>
      <c r="L4588" s="300">
        <f t="shared" si="617"/>
        <v>0</v>
      </c>
      <c r="M4588" s="285">
        <f t="shared" si="613"/>
        <v>0</v>
      </c>
      <c r="N4588" s="1076"/>
      <c r="O4588" s="294"/>
      <c r="P4588" s="404"/>
      <c r="Q4588" s="404"/>
    </row>
    <row r="4589" spans="1:17" ht="14.4" thickTop="1" thickBot="1" x14ac:dyDescent="0.3">
      <c r="A4589" s="292"/>
      <c r="B4589" s="294" t="s">
        <v>863</v>
      </c>
      <c r="C4589" s="294"/>
      <c r="D4589" s="294"/>
      <c r="E4589" s="294"/>
      <c r="F4589" s="310"/>
      <c r="G4589" s="310"/>
      <c r="H4589" s="310"/>
      <c r="I4589" s="295">
        <v>40</v>
      </c>
      <c r="J4589" s="295">
        <f>I4589</f>
        <v>40</v>
      </c>
      <c r="K4589" s="300">
        <f t="shared" si="611"/>
        <v>1.1000000000000001</v>
      </c>
      <c r="L4589" s="300">
        <f t="shared" si="617"/>
        <v>44</v>
      </c>
      <c r="M4589" s="285">
        <f t="shared" si="613"/>
        <v>44</v>
      </c>
      <c r="N4589" s="1076"/>
      <c r="O4589" s="294"/>
      <c r="P4589" s="404"/>
      <c r="Q4589" s="404"/>
    </row>
    <row r="4590" spans="1:17" ht="14.4" thickTop="1" thickBot="1" x14ac:dyDescent="0.3">
      <c r="A4590" s="292"/>
      <c r="B4590" s="294"/>
      <c r="C4590" s="294"/>
      <c r="D4590" s="294"/>
      <c r="E4590" s="294"/>
      <c r="F4590" s="310"/>
      <c r="G4590" s="310"/>
      <c r="H4590" s="310"/>
      <c r="I4590" s="295"/>
      <c r="J4590" s="295">
        <f>J4589/9.29</f>
        <v>4.3057050592034454</v>
      </c>
      <c r="K4590" s="300">
        <v>1.05</v>
      </c>
      <c r="L4590" s="300">
        <f t="shared" si="617"/>
        <v>4.5209903121636179</v>
      </c>
      <c r="M4590" s="285">
        <f t="shared" si="613"/>
        <v>5</v>
      </c>
      <c r="N4590" s="1076"/>
      <c r="O4590" s="294"/>
      <c r="P4590" s="404"/>
      <c r="Q4590" s="404"/>
    </row>
    <row r="4591" spans="1:17" ht="14.4" thickTop="1" thickBot="1" x14ac:dyDescent="0.3">
      <c r="A4591" s="292"/>
      <c r="B4591" s="294"/>
      <c r="C4591" s="294"/>
      <c r="D4591" s="294"/>
      <c r="E4591" s="294"/>
      <c r="F4591" s="310"/>
      <c r="G4591" s="310"/>
      <c r="H4591" s="310"/>
      <c r="I4591" s="295"/>
      <c r="J4591" s="295"/>
      <c r="K4591" s="300"/>
      <c r="L4591" s="300"/>
      <c r="M4591" s="285"/>
      <c r="N4591" s="1076"/>
      <c r="O4591" s="294"/>
      <c r="P4591" s="404"/>
      <c r="Q4591" s="404"/>
    </row>
    <row r="4592" spans="1:17" ht="14.4" thickTop="1" thickBot="1" x14ac:dyDescent="0.3">
      <c r="A4592" s="292"/>
      <c r="B4592" s="294"/>
      <c r="C4592" s="294"/>
      <c r="D4592" s="294"/>
      <c r="E4592" s="294"/>
      <c r="F4592" s="310"/>
      <c r="G4592" s="310"/>
      <c r="H4592" s="310"/>
      <c r="I4592" s="295"/>
      <c r="J4592" s="295"/>
      <c r="K4592" s="300"/>
      <c r="L4592" s="300"/>
      <c r="M4592" s="285"/>
      <c r="N4592" s="1076"/>
      <c r="O4592" s="294"/>
      <c r="P4592" s="404"/>
      <c r="Q4592" s="404"/>
    </row>
    <row r="4593" spans="1:17" ht="14.4" thickTop="1" thickBot="1" x14ac:dyDescent="0.3">
      <c r="A4593" s="292"/>
      <c r="B4593" s="294"/>
      <c r="C4593" s="294"/>
      <c r="D4593" s="294"/>
      <c r="E4593" s="294"/>
      <c r="F4593" s="310"/>
      <c r="G4593" s="310"/>
      <c r="H4593" s="310"/>
      <c r="I4593" s="295"/>
      <c r="J4593" s="295"/>
      <c r="K4593" s="300">
        <f t="shared" si="611"/>
        <v>1.1000000000000001</v>
      </c>
      <c r="L4593" s="300">
        <f t="shared" si="617"/>
        <v>0</v>
      </c>
      <c r="M4593" s="285">
        <f t="shared" si="613"/>
        <v>0</v>
      </c>
      <c r="N4593" s="1076"/>
      <c r="O4593" s="294"/>
      <c r="P4593" s="404"/>
      <c r="Q4593" s="404"/>
    </row>
    <row r="4594" spans="1:17" ht="14.4" thickTop="1" thickBot="1" x14ac:dyDescent="0.3">
      <c r="A4594" s="292"/>
      <c r="B4594" s="302" t="s">
        <v>864</v>
      </c>
      <c r="C4594" s="294"/>
      <c r="D4594" s="294"/>
      <c r="E4594" s="294"/>
      <c r="F4594" s="310"/>
      <c r="G4594" s="310"/>
      <c r="H4594" s="310"/>
      <c r="I4594" s="295"/>
      <c r="J4594" s="295"/>
      <c r="K4594" s="300">
        <f t="shared" si="611"/>
        <v>1.1000000000000001</v>
      </c>
      <c r="L4594" s="300">
        <f t="shared" si="617"/>
        <v>0</v>
      </c>
      <c r="M4594" s="285">
        <f t="shared" si="613"/>
        <v>0</v>
      </c>
      <c r="N4594" s="1076"/>
      <c r="O4594" s="294"/>
      <c r="P4594" s="404"/>
      <c r="Q4594" s="404"/>
    </row>
    <row r="4595" spans="1:17" ht="14.4" thickTop="1" thickBot="1" x14ac:dyDescent="0.3">
      <c r="A4595" s="292"/>
      <c r="B4595" s="294" t="s">
        <v>861</v>
      </c>
      <c r="C4595" s="294"/>
      <c r="D4595" s="294"/>
      <c r="E4595" s="294"/>
      <c r="F4595" s="310"/>
      <c r="G4595" s="310"/>
      <c r="H4595" s="310"/>
      <c r="I4595" s="295">
        <f>J4222</f>
        <v>176.535</v>
      </c>
      <c r="J4595" s="295">
        <f>I4595</f>
        <v>176.535</v>
      </c>
      <c r="K4595" s="300">
        <f t="shared" si="611"/>
        <v>1.1000000000000001</v>
      </c>
      <c r="L4595" s="300">
        <f t="shared" si="617"/>
        <v>194.1885</v>
      </c>
      <c r="M4595" s="285">
        <f t="shared" si="613"/>
        <v>194</v>
      </c>
      <c r="N4595" s="1076"/>
      <c r="O4595" s="294"/>
      <c r="P4595" s="404"/>
      <c r="Q4595" s="404"/>
    </row>
    <row r="4596" spans="1:17" ht="14.4" thickTop="1" thickBot="1" x14ac:dyDescent="0.3">
      <c r="A4596" s="292"/>
      <c r="B4596" s="294"/>
      <c r="C4596" s="294"/>
      <c r="D4596" s="294"/>
      <c r="E4596" s="294"/>
      <c r="F4596" s="310"/>
      <c r="G4596" s="310"/>
      <c r="H4596" s="310"/>
      <c r="I4596" s="295"/>
      <c r="J4596" s="295">
        <f>J4595/9.29</f>
        <v>19.002691065662003</v>
      </c>
      <c r="K4596" s="300">
        <v>1.05</v>
      </c>
      <c r="L4596" s="300">
        <f t="shared" si="617"/>
        <v>19.952825618945102</v>
      </c>
      <c r="M4596" s="285">
        <f t="shared" si="613"/>
        <v>20</v>
      </c>
      <c r="N4596" s="1076"/>
      <c r="O4596" s="294"/>
      <c r="P4596" s="404"/>
      <c r="Q4596" s="404"/>
    </row>
    <row r="4597" spans="1:17" ht="14.4" thickTop="1" thickBot="1" x14ac:dyDescent="0.3">
      <c r="A4597" s="292"/>
      <c r="B4597" s="294"/>
      <c r="C4597" s="294"/>
      <c r="D4597" s="294"/>
      <c r="E4597" s="294"/>
      <c r="F4597" s="310"/>
      <c r="G4597" s="310"/>
      <c r="H4597" s="310"/>
      <c r="I4597" s="295"/>
      <c r="J4597" s="295"/>
      <c r="K4597" s="300">
        <f t="shared" si="611"/>
        <v>1.1000000000000001</v>
      </c>
      <c r="L4597" s="300">
        <f t="shared" si="617"/>
        <v>0</v>
      </c>
      <c r="M4597" s="285">
        <f t="shared" si="613"/>
        <v>0</v>
      </c>
      <c r="N4597" s="1076"/>
      <c r="O4597" s="294"/>
      <c r="P4597" s="404"/>
      <c r="Q4597" s="404"/>
    </row>
    <row r="4598" spans="1:17" ht="14.4" thickTop="1" thickBot="1" x14ac:dyDescent="0.3">
      <c r="A4598" s="292"/>
      <c r="B4598" s="294" t="s">
        <v>732</v>
      </c>
      <c r="C4598" s="294"/>
      <c r="D4598" s="294"/>
      <c r="E4598" s="294"/>
      <c r="F4598" s="310">
        <v>28.024999999999999</v>
      </c>
      <c r="G4598" s="310">
        <v>0.9</v>
      </c>
      <c r="H4598" s="310"/>
      <c r="I4598" s="295">
        <f>G4598*F4598</f>
        <v>25.2225</v>
      </c>
      <c r="J4598" s="295"/>
      <c r="K4598" s="300">
        <f t="shared" si="611"/>
        <v>1.1000000000000001</v>
      </c>
      <c r="L4598" s="300">
        <f t="shared" si="617"/>
        <v>0</v>
      </c>
      <c r="M4598" s="285">
        <f t="shared" si="613"/>
        <v>0</v>
      </c>
      <c r="N4598" s="1076"/>
      <c r="O4598" s="294"/>
      <c r="P4598" s="404"/>
      <c r="Q4598" s="404"/>
    </row>
    <row r="4599" spans="1:17" ht="14.4" thickTop="1" thickBot="1" x14ac:dyDescent="0.3">
      <c r="A4599" s="292"/>
      <c r="B4599" s="294"/>
      <c r="C4599" s="294"/>
      <c r="D4599" s="294"/>
      <c r="E4599" s="294">
        <v>2</v>
      </c>
      <c r="F4599" s="310">
        <v>10.5</v>
      </c>
      <c r="G4599" s="310">
        <v>0.9</v>
      </c>
      <c r="H4599" s="310"/>
      <c r="I4599" s="295">
        <f>G4599*F4599*E4599</f>
        <v>18.900000000000002</v>
      </c>
      <c r="J4599" s="295">
        <f>SUM(I4598:I4599)</f>
        <v>44.122500000000002</v>
      </c>
      <c r="K4599" s="300">
        <f t="shared" si="611"/>
        <v>1.1000000000000001</v>
      </c>
      <c r="L4599" s="300">
        <f t="shared" si="617"/>
        <v>48.53475000000001</v>
      </c>
      <c r="M4599" s="285">
        <f t="shared" si="613"/>
        <v>49</v>
      </c>
      <c r="N4599" s="1076"/>
      <c r="O4599" s="294"/>
      <c r="P4599" s="413">
        <f>I4598+I4599+I4600</f>
        <v>44.122500000000002</v>
      </c>
      <c r="Q4599" s="404"/>
    </row>
    <row r="4600" spans="1:17" ht="14.4" thickTop="1" thickBot="1" x14ac:dyDescent="0.3">
      <c r="A4600" s="292"/>
      <c r="B4600" s="294"/>
      <c r="C4600" s="294"/>
      <c r="D4600" s="294"/>
      <c r="E4600" s="294"/>
      <c r="F4600" s="310"/>
      <c r="G4600" s="310"/>
      <c r="H4600" s="310"/>
      <c r="I4600" s="295"/>
      <c r="J4600" s="295">
        <f>J4599/9.29</f>
        <v>4.7494617868676006</v>
      </c>
      <c r="K4600" s="300">
        <f t="shared" si="611"/>
        <v>1.1000000000000001</v>
      </c>
      <c r="L4600" s="300">
        <f t="shared" si="617"/>
        <v>5.2244079655543612</v>
      </c>
      <c r="M4600" s="285">
        <f t="shared" si="613"/>
        <v>5</v>
      </c>
      <c r="N4600" s="1076"/>
      <c r="O4600" s="294"/>
      <c r="P4600" s="404"/>
      <c r="Q4600" s="404"/>
    </row>
    <row r="4601" spans="1:17" ht="14.4" thickTop="1" thickBot="1" x14ac:dyDescent="0.3">
      <c r="A4601" s="292"/>
      <c r="B4601" s="294"/>
      <c r="C4601" s="294"/>
      <c r="D4601" s="294"/>
      <c r="E4601" s="294"/>
      <c r="F4601" s="310"/>
      <c r="G4601" s="310"/>
      <c r="H4601" s="310"/>
      <c r="I4601" s="295"/>
      <c r="J4601" s="295"/>
      <c r="K4601" s="300">
        <f t="shared" si="611"/>
        <v>1.1000000000000001</v>
      </c>
      <c r="L4601" s="300">
        <f t="shared" si="617"/>
        <v>0</v>
      </c>
      <c r="M4601" s="285">
        <f t="shared" si="613"/>
        <v>0</v>
      </c>
      <c r="N4601" s="1076"/>
      <c r="O4601" s="294"/>
      <c r="P4601" s="404"/>
      <c r="Q4601" s="404"/>
    </row>
    <row r="4602" spans="1:17" ht="14.4" thickTop="1" thickBot="1" x14ac:dyDescent="0.3">
      <c r="A4602" s="292"/>
      <c r="B4602" s="294"/>
      <c r="C4602" s="294"/>
      <c r="D4602" s="294"/>
      <c r="E4602" s="294"/>
      <c r="F4602" s="310"/>
      <c r="G4602" s="310"/>
      <c r="H4602" s="310"/>
      <c r="I4602" s="295"/>
      <c r="J4602" s="295"/>
      <c r="K4602" s="300">
        <f t="shared" si="611"/>
        <v>1.1000000000000001</v>
      </c>
      <c r="L4602" s="300">
        <f t="shared" si="617"/>
        <v>0</v>
      </c>
      <c r="M4602" s="285">
        <f t="shared" si="613"/>
        <v>0</v>
      </c>
      <c r="N4602" s="1076"/>
      <c r="O4602" s="294"/>
      <c r="P4602" s="404"/>
      <c r="Q4602" s="404"/>
    </row>
    <row r="4603" spans="1:17" ht="14.4" thickTop="1" thickBot="1" x14ac:dyDescent="0.3">
      <c r="A4603" s="292"/>
      <c r="B4603" s="294" t="s">
        <v>863</v>
      </c>
      <c r="C4603" s="294"/>
      <c r="D4603" s="294"/>
      <c r="E4603" s="294"/>
      <c r="F4603" s="310"/>
      <c r="G4603" s="310"/>
      <c r="H4603" s="310"/>
      <c r="I4603" s="295">
        <v>77</v>
      </c>
      <c r="J4603" s="295">
        <f>I4603</f>
        <v>77</v>
      </c>
      <c r="K4603" s="300">
        <f t="shared" si="611"/>
        <v>1.1000000000000001</v>
      </c>
      <c r="L4603" s="300">
        <f t="shared" si="617"/>
        <v>84.7</v>
      </c>
      <c r="M4603" s="285">
        <f t="shared" si="613"/>
        <v>85</v>
      </c>
      <c r="N4603" s="1076"/>
      <c r="O4603" s="294"/>
      <c r="P4603" s="404"/>
      <c r="Q4603" s="404"/>
    </row>
    <row r="4604" spans="1:17" ht="14.4" thickTop="1" thickBot="1" x14ac:dyDescent="0.3">
      <c r="A4604" s="292"/>
      <c r="B4604" s="294"/>
      <c r="C4604" s="294"/>
      <c r="D4604" s="294"/>
      <c r="E4604" s="294"/>
      <c r="F4604" s="310"/>
      <c r="G4604" s="310"/>
      <c r="H4604" s="310"/>
      <c r="I4604" s="295"/>
      <c r="J4604" s="295">
        <f>J4603/9.29</f>
        <v>8.2884822389666315</v>
      </c>
      <c r="K4604" s="300">
        <v>1.05</v>
      </c>
      <c r="L4604" s="300">
        <f t="shared" si="617"/>
        <v>8.7029063509149633</v>
      </c>
      <c r="M4604" s="285">
        <f t="shared" si="613"/>
        <v>9</v>
      </c>
      <c r="N4604" s="1076"/>
      <c r="O4604" s="294"/>
      <c r="P4604" s="404"/>
      <c r="Q4604" s="404"/>
    </row>
    <row r="4605" spans="1:17" ht="14.4" thickTop="1" thickBot="1" x14ac:dyDescent="0.3">
      <c r="A4605" s="292"/>
      <c r="B4605" s="294"/>
      <c r="C4605" s="294"/>
      <c r="D4605" s="294"/>
      <c r="E4605" s="294"/>
      <c r="F4605" s="310"/>
      <c r="G4605" s="310"/>
      <c r="H4605" s="310"/>
      <c r="I4605" s="295"/>
      <c r="J4605" s="295"/>
      <c r="K4605" s="300">
        <f t="shared" si="611"/>
        <v>1.1000000000000001</v>
      </c>
      <c r="L4605" s="300">
        <f t="shared" si="617"/>
        <v>0</v>
      </c>
      <c r="M4605" s="285">
        <f t="shared" si="613"/>
        <v>0</v>
      </c>
      <c r="N4605" s="1076"/>
      <c r="O4605" s="294"/>
      <c r="P4605" s="404"/>
      <c r="Q4605" s="404"/>
    </row>
    <row r="4606" spans="1:17" ht="14.4" thickTop="1" thickBot="1" x14ac:dyDescent="0.3">
      <c r="A4606" s="292"/>
      <c r="B4606" s="294" t="s">
        <v>802</v>
      </c>
      <c r="C4606" s="294"/>
      <c r="D4606" s="294"/>
      <c r="E4606" s="294"/>
      <c r="F4606" s="310"/>
      <c r="G4606" s="310"/>
      <c r="H4606" s="310"/>
      <c r="I4606" s="295">
        <f>J4245</f>
        <v>287.327</v>
      </c>
      <c r="J4606" s="295">
        <f>I4606</f>
        <v>287.327</v>
      </c>
      <c r="K4606" s="300">
        <f t="shared" si="611"/>
        <v>1.1000000000000001</v>
      </c>
      <c r="L4606" s="300">
        <f t="shared" si="617"/>
        <v>316.05970000000002</v>
      </c>
      <c r="M4606" s="285">
        <f t="shared" si="613"/>
        <v>316</v>
      </c>
      <c r="N4606" s="1076"/>
      <c r="O4606" s="294"/>
      <c r="P4606" s="404"/>
      <c r="Q4606" s="404"/>
    </row>
    <row r="4607" spans="1:17" ht="14.4" thickTop="1" thickBot="1" x14ac:dyDescent="0.3">
      <c r="A4607" s="292"/>
      <c r="B4607" s="294"/>
      <c r="C4607" s="294"/>
      <c r="D4607" s="294"/>
      <c r="E4607" s="294"/>
      <c r="F4607" s="310"/>
      <c r="G4607" s="310"/>
      <c r="H4607" s="310"/>
      <c r="I4607" s="295"/>
      <c r="J4607" s="295">
        <f>J4606/9.29</f>
        <v>30.928632938643705</v>
      </c>
      <c r="K4607" s="300">
        <v>1.05</v>
      </c>
      <c r="L4607" s="300">
        <f t="shared" si="617"/>
        <v>32.475064585575893</v>
      </c>
      <c r="M4607" s="285">
        <f t="shared" si="613"/>
        <v>32</v>
      </c>
      <c r="N4607" s="1076"/>
      <c r="O4607" s="294"/>
      <c r="P4607" s="404"/>
      <c r="Q4607" s="404"/>
    </row>
    <row r="4608" spans="1:17" ht="14.4" thickTop="1" thickBot="1" x14ac:dyDescent="0.3">
      <c r="A4608" s="292"/>
      <c r="B4608" s="294"/>
      <c r="C4608" s="294"/>
      <c r="D4608" s="294"/>
      <c r="E4608" s="294"/>
      <c r="F4608" s="310"/>
      <c r="G4608" s="310"/>
      <c r="H4608" s="310"/>
      <c r="I4608" s="295"/>
      <c r="J4608" s="295"/>
      <c r="K4608" s="300">
        <f t="shared" si="611"/>
        <v>1.1000000000000001</v>
      </c>
      <c r="L4608" s="300">
        <f t="shared" si="617"/>
        <v>0</v>
      </c>
      <c r="M4608" s="285">
        <f t="shared" si="613"/>
        <v>0</v>
      </c>
      <c r="N4608" s="1076"/>
      <c r="O4608" s="294"/>
      <c r="P4608" s="404"/>
      <c r="Q4608" s="404"/>
    </row>
    <row r="4609" spans="1:17" ht="14.4" thickTop="1" thickBot="1" x14ac:dyDescent="0.3">
      <c r="A4609" s="292"/>
      <c r="B4609" s="294" t="s">
        <v>803</v>
      </c>
      <c r="C4609" s="294"/>
      <c r="D4609" s="294"/>
      <c r="E4609" s="294"/>
      <c r="F4609" s="310"/>
      <c r="G4609" s="310"/>
      <c r="H4609" s="310"/>
      <c r="I4609" s="295">
        <f>J4262</f>
        <v>305.80500000000001</v>
      </c>
      <c r="J4609" s="295">
        <f>I4609</f>
        <v>305.80500000000001</v>
      </c>
      <c r="K4609" s="300">
        <f t="shared" ref="K4609:K4685" si="618">$K$2</f>
        <v>1.1000000000000001</v>
      </c>
      <c r="L4609" s="300">
        <f t="shared" si="617"/>
        <v>336.38550000000004</v>
      </c>
      <c r="M4609" s="285">
        <f t="shared" si="613"/>
        <v>336</v>
      </c>
      <c r="N4609" s="1076"/>
      <c r="O4609" s="294"/>
      <c r="P4609" s="404"/>
      <c r="Q4609" s="404"/>
    </row>
    <row r="4610" spans="1:17" ht="14.4" thickTop="1" thickBot="1" x14ac:dyDescent="0.3">
      <c r="A4610" s="292"/>
      <c r="B4610" s="294"/>
      <c r="C4610" s="294"/>
      <c r="D4610" s="294"/>
      <c r="E4610" s="294"/>
      <c r="F4610" s="310"/>
      <c r="G4610" s="310"/>
      <c r="H4610" s="310"/>
      <c r="I4610" s="295"/>
      <c r="J4610" s="295">
        <f>J4609/9.29</f>
        <v>32.917653390742736</v>
      </c>
      <c r="K4610" s="300">
        <v>1.05</v>
      </c>
      <c r="L4610" s="300">
        <f t="shared" si="617"/>
        <v>34.563536060279873</v>
      </c>
      <c r="M4610" s="285">
        <f t="shared" si="613"/>
        <v>35</v>
      </c>
      <c r="N4610" s="1076"/>
      <c r="O4610" s="294"/>
      <c r="P4610" s="404"/>
      <c r="Q4610" s="404"/>
    </row>
    <row r="4611" spans="1:17" ht="14.4" thickTop="1" thickBot="1" x14ac:dyDescent="0.3">
      <c r="A4611" s="292"/>
      <c r="B4611" s="294"/>
      <c r="C4611" s="294"/>
      <c r="D4611" s="294"/>
      <c r="E4611" s="294"/>
      <c r="F4611" s="310"/>
      <c r="G4611" s="310"/>
      <c r="H4611" s="310"/>
      <c r="I4611" s="295"/>
      <c r="J4611" s="295"/>
      <c r="K4611" s="300">
        <f t="shared" si="618"/>
        <v>1.1000000000000001</v>
      </c>
      <c r="L4611" s="300">
        <f t="shared" si="617"/>
        <v>0</v>
      </c>
      <c r="M4611" s="285">
        <f t="shared" si="613"/>
        <v>0</v>
      </c>
      <c r="N4611" s="1076"/>
      <c r="O4611" s="294"/>
      <c r="P4611" s="404"/>
      <c r="Q4611" s="404"/>
    </row>
    <row r="4612" spans="1:17" ht="14.4" thickTop="1" thickBot="1" x14ac:dyDescent="0.3">
      <c r="A4612" s="292"/>
      <c r="B4612" s="302" t="s">
        <v>1468</v>
      </c>
      <c r="C4612" s="294"/>
      <c r="D4612" s="294"/>
      <c r="E4612" s="294">
        <v>2</v>
      </c>
      <c r="F4612" s="310">
        <f>28</f>
        <v>28</v>
      </c>
      <c r="G4612" s="310"/>
      <c r="H4612" s="310">
        <v>1</v>
      </c>
      <c r="I4612" s="295">
        <f>H4612*F4612*E4612</f>
        <v>56</v>
      </c>
      <c r="J4612" s="295"/>
      <c r="K4612" s="300">
        <f t="shared" si="618"/>
        <v>1.1000000000000001</v>
      </c>
      <c r="L4612" s="300">
        <f t="shared" si="617"/>
        <v>0</v>
      </c>
      <c r="M4612" s="285">
        <f t="shared" si="613"/>
        <v>0</v>
      </c>
      <c r="N4612" s="1076"/>
      <c r="O4612" s="294"/>
      <c r="P4612" s="404"/>
      <c r="Q4612" s="404"/>
    </row>
    <row r="4613" spans="1:17" ht="14.4" thickTop="1" thickBot="1" x14ac:dyDescent="0.3">
      <c r="A4613" s="292"/>
      <c r="B4613" s="294"/>
      <c r="C4613" s="294"/>
      <c r="D4613" s="294"/>
      <c r="E4613" s="294">
        <v>2</v>
      </c>
      <c r="F4613" s="310">
        <f>12+2</f>
        <v>14</v>
      </c>
      <c r="G4613" s="310"/>
      <c r="H4613" s="310">
        <v>1</v>
      </c>
      <c r="I4613" s="295">
        <f>H4613*F4613*E4613</f>
        <v>28</v>
      </c>
      <c r="J4613" s="295">
        <f>SUM(I4612:I4613)</f>
        <v>84</v>
      </c>
      <c r="K4613" s="300">
        <f t="shared" si="618"/>
        <v>1.1000000000000001</v>
      </c>
      <c r="L4613" s="300">
        <f t="shared" si="617"/>
        <v>92.4</v>
      </c>
      <c r="M4613" s="285">
        <f t="shared" si="613"/>
        <v>92</v>
      </c>
      <c r="N4613" s="1076"/>
      <c r="O4613" s="294"/>
      <c r="P4613" s="413">
        <f>J4613*10.76</f>
        <v>903.84</v>
      </c>
      <c r="Q4613" s="404"/>
    </row>
    <row r="4614" spans="1:17" ht="14.4" thickTop="1" thickBot="1" x14ac:dyDescent="0.3">
      <c r="A4614" s="292"/>
      <c r="B4614" s="294"/>
      <c r="C4614" s="294"/>
      <c r="D4614" s="294"/>
      <c r="E4614" s="294"/>
      <c r="F4614" s="310"/>
      <c r="G4614" s="310"/>
      <c r="H4614" s="310"/>
      <c r="I4614" s="295"/>
      <c r="J4614" s="295">
        <f>J4613/9.29</f>
        <v>9.041980624327234</v>
      </c>
      <c r="K4614" s="300">
        <v>1.05</v>
      </c>
      <c r="L4614" s="300">
        <f t="shared" si="617"/>
        <v>9.4940796555435956</v>
      </c>
      <c r="M4614" s="285">
        <f t="shared" si="613"/>
        <v>9</v>
      </c>
      <c r="N4614" s="1076"/>
      <c r="O4614" s="294"/>
      <c r="P4614" s="413">
        <f>P4613/100</f>
        <v>9.0384000000000011</v>
      </c>
      <c r="Q4614" s="404"/>
    </row>
    <row r="4615" spans="1:17" ht="14.4" thickTop="1" thickBot="1" x14ac:dyDescent="0.3">
      <c r="A4615" s="292"/>
      <c r="B4615" s="294"/>
      <c r="C4615" s="294"/>
      <c r="D4615" s="294"/>
      <c r="E4615" s="294"/>
      <c r="F4615" s="310"/>
      <c r="G4615" s="310"/>
      <c r="H4615" s="310"/>
      <c r="I4615" s="295"/>
      <c r="J4615" s="295"/>
      <c r="K4615" s="300">
        <f t="shared" si="618"/>
        <v>1.1000000000000001</v>
      </c>
      <c r="L4615" s="300">
        <f t="shared" si="617"/>
        <v>0</v>
      </c>
      <c r="M4615" s="285">
        <f t="shared" si="613"/>
        <v>0</v>
      </c>
      <c r="N4615" s="1076"/>
      <c r="O4615" s="294"/>
      <c r="P4615" s="404"/>
      <c r="Q4615" s="404"/>
    </row>
    <row r="4616" spans="1:17" ht="14.4" thickTop="1" thickBot="1" x14ac:dyDescent="0.3">
      <c r="A4616" s="292"/>
      <c r="B4616" s="294" t="s">
        <v>1471</v>
      </c>
      <c r="C4616" s="294"/>
      <c r="D4616" s="294"/>
      <c r="E4616" s="294"/>
      <c r="F4616" s="310"/>
      <c r="G4616" s="310"/>
      <c r="H4616" s="310"/>
      <c r="I4616" s="295"/>
      <c r="J4616" s="295"/>
      <c r="K4616" s="300">
        <f t="shared" si="618"/>
        <v>1.1000000000000001</v>
      </c>
      <c r="L4616" s="300">
        <f t="shared" si="617"/>
        <v>0</v>
      </c>
      <c r="M4616" s="285">
        <f t="shared" si="613"/>
        <v>0</v>
      </c>
      <c r="N4616" s="1076"/>
      <c r="O4616" s="294"/>
      <c r="P4616" s="404"/>
      <c r="Q4616" s="404"/>
    </row>
    <row r="4617" spans="1:17" ht="14.4" thickTop="1" thickBot="1" x14ac:dyDescent="0.3">
      <c r="A4617" s="292"/>
      <c r="B4617" s="294" t="s">
        <v>1472</v>
      </c>
      <c r="C4617" s="294"/>
      <c r="D4617" s="294"/>
      <c r="E4617" s="294">
        <v>2</v>
      </c>
      <c r="F4617" s="310">
        <v>0.6</v>
      </c>
      <c r="G4617" s="310">
        <v>1.4</v>
      </c>
      <c r="H4617" s="310"/>
      <c r="I4617" s="295">
        <f>G4617*F4617*E4617</f>
        <v>1.68</v>
      </c>
      <c r="J4617" s="295">
        <f>I4617</f>
        <v>1.68</v>
      </c>
      <c r="K4617" s="300">
        <f t="shared" si="618"/>
        <v>1.1000000000000001</v>
      </c>
      <c r="L4617" s="300">
        <f t="shared" si="617"/>
        <v>1.8480000000000001</v>
      </c>
      <c r="M4617" s="285">
        <f t="shared" si="613"/>
        <v>2</v>
      </c>
      <c r="N4617" s="1076"/>
      <c r="O4617" s="294"/>
      <c r="P4617" s="404"/>
      <c r="Q4617" s="404"/>
    </row>
    <row r="4618" spans="1:17" ht="14.4" thickTop="1" thickBot="1" x14ac:dyDescent="0.3">
      <c r="A4618" s="292"/>
      <c r="B4618" s="294"/>
      <c r="C4618" s="294"/>
      <c r="D4618" s="294"/>
      <c r="E4618" s="294"/>
      <c r="F4618" s="310"/>
      <c r="G4618" s="310"/>
      <c r="H4618" s="310"/>
      <c r="I4618" s="295"/>
      <c r="J4618" s="295">
        <f>J4617/9.29</f>
        <v>0.18083961248654468</v>
      </c>
      <c r="K4618" s="300">
        <v>1.05</v>
      </c>
      <c r="L4618" s="300">
        <f t="shared" si="617"/>
        <v>0.18988159311087191</v>
      </c>
      <c r="M4618" s="285">
        <f t="shared" si="613"/>
        <v>0</v>
      </c>
      <c r="N4618" s="1076"/>
      <c r="O4618" s="294"/>
      <c r="P4618" s="404"/>
      <c r="Q4618" s="404"/>
    </row>
    <row r="4619" spans="1:17" ht="14.4" thickTop="1" thickBot="1" x14ac:dyDescent="0.3">
      <c r="A4619" s="292"/>
      <c r="B4619" s="294"/>
      <c r="C4619" s="294"/>
      <c r="D4619" s="294"/>
      <c r="E4619" s="294"/>
      <c r="F4619" s="310"/>
      <c r="G4619" s="310"/>
      <c r="H4619" s="310"/>
      <c r="I4619" s="295"/>
      <c r="J4619" s="295"/>
      <c r="K4619" s="300">
        <f t="shared" si="618"/>
        <v>1.1000000000000001</v>
      </c>
      <c r="L4619" s="300">
        <f t="shared" si="617"/>
        <v>0</v>
      </c>
      <c r="M4619" s="285">
        <f t="shared" si="613"/>
        <v>0</v>
      </c>
      <c r="N4619" s="1076"/>
      <c r="O4619" s="294"/>
      <c r="P4619" s="404"/>
      <c r="Q4619" s="404"/>
    </row>
    <row r="4620" spans="1:17" ht="14.4" thickTop="1" thickBot="1" x14ac:dyDescent="0.3">
      <c r="A4620" s="292"/>
      <c r="B4620" s="294" t="s">
        <v>1473</v>
      </c>
      <c r="C4620" s="294"/>
      <c r="D4620" s="294"/>
      <c r="E4620" s="294">
        <v>2</v>
      </c>
      <c r="F4620" s="310">
        <v>0.6</v>
      </c>
      <c r="G4620" s="310">
        <v>1.4</v>
      </c>
      <c r="H4620" s="310"/>
      <c r="I4620" s="295">
        <f>G4620*F4620*E4620</f>
        <v>1.68</v>
      </c>
      <c r="J4620" s="295"/>
      <c r="K4620" s="300">
        <f t="shared" si="618"/>
        <v>1.1000000000000001</v>
      </c>
      <c r="L4620" s="300">
        <f t="shared" si="617"/>
        <v>0</v>
      </c>
      <c r="M4620" s="285">
        <f t="shared" si="613"/>
        <v>0</v>
      </c>
      <c r="N4620" s="1076"/>
      <c r="O4620" s="294"/>
      <c r="P4620" s="404"/>
      <c r="Q4620" s="404"/>
    </row>
    <row r="4621" spans="1:17" ht="14.4" thickTop="1" thickBot="1" x14ac:dyDescent="0.3">
      <c r="A4621" s="292"/>
      <c r="B4621" s="294"/>
      <c r="C4621" s="294"/>
      <c r="D4621" s="294"/>
      <c r="E4621" s="294"/>
      <c r="F4621" s="310"/>
      <c r="G4621" s="310"/>
      <c r="H4621" s="310"/>
      <c r="I4621" s="295"/>
      <c r="J4621" s="295"/>
      <c r="K4621" s="300">
        <f t="shared" si="618"/>
        <v>1.1000000000000001</v>
      </c>
      <c r="L4621" s="300">
        <f t="shared" si="617"/>
        <v>0</v>
      </c>
      <c r="M4621" s="285">
        <f t="shared" si="613"/>
        <v>0</v>
      </c>
      <c r="N4621" s="1076"/>
      <c r="O4621" s="294"/>
      <c r="P4621" s="404"/>
      <c r="Q4621" s="404"/>
    </row>
    <row r="4622" spans="1:17" ht="14.4" thickTop="1" thickBot="1" x14ac:dyDescent="0.3">
      <c r="A4622" s="292"/>
      <c r="B4622" s="294"/>
      <c r="C4622" s="294"/>
      <c r="D4622" s="294"/>
      <c r="E4622" s="294"/>
      <c r="F4622" s="310"/>
      <c r="G4622" s="310"/>
      <c r="H4622" s="310"/>
      <c r="I4622" s="295"/>
      <c r="J4622" s="295"/>
      <c r="K4622" s="300">
        <f t="shared" si="618"/>
        <v>1.1000000000000001</v>
      </c>
      <c r="L4622" s="300">
        <f t="shared" si="617"/>
        <v>0</v>
      </c>
      <c r="M4622" s="285">
        <f t="shared" si="613"/>
        <v>0</v>
      </c>
      <c r="N4622" s="1076"/>
      <c r="O4622" s="294"/>
      <c r="P4622" s="404"/>
      <c r="Q4622" s="404"/>
    </row>
    <row r="4623" spans="1:17" ht="14.4" thickTop="1" thickBot="1" x14ac:dyDescent="0.3">
      <c r="A4623" s="292"/>
      <c r="B4623" s="294"/>
      <c r="C4623" s="294"/>
      <c r="D4623" s="294"/>
      <c r="E4623" s="294"/>
      <c r="F4623" s="310"/>
      <c r="G4623" s="310"/>
      <c r="H4623" s="310"/>
      <c r="I4623" s="295"/>
      <c r="J4623" s="295"/>
      <c r="K4623" s="300">
        <f t="shared" si="618"/>
        <v>1.1000000000000001</v>
      </c>
      <c r="L4623" s="300">
        <f t="shared" si="617"/>
        <v>0</v>
      </c>
      <c r="M4623" s="285">
        <f t="shared" si="613"/>
        <v>0</v>
      </c>
      <c r="N4623" s="1076"/>
      <c r="O4623" s="294"/>
      <c r="P4623" s="404"/>
      <c r="Q4623" s="404"/>
    </row>
    <row r="4624" spans="1:17" ht="14.4" thickTop="1" thickBot="1" x14ac:dyDescent="0.3">
      <c r="A4624" s="292"/>
      <c r="B4624" s="294"/>
      <c r="C4624" s="294"/>
      <c r="D4624" s="294"/>
      <c r="E4624" s="294"/>
      <c r="F4624" s="310"/>
      <c r="G4624" s="310"/>
      <c r="H4624" s="310"/>
      <c r="I4624" s="295"/>
      <c r="J4624" s="295"/>
      <c r="K4624" s="300">
        <f t="shared" si="618"/>
        <v>1.1000000000000001</v>
      </c>
      <c r="L4624" s="300">
        <f t="shared" si="617"/>
        <v>0</v>
      </c>
      <c r="M4624" s="285">
        <f t="shared" si="613"/>
        <v>0</v>
      </c>
      <c r="N4624" s="1076"/>
      <c r="O4624" s="294"/>
      <c r="P4624" s="404"/>
      <c r="Q4624" s="404"/>
    </row>
    <row r="4625" spans="1:17" ht="14.4" thickTop="1" thickBot="1" x14ac:dyDescent="0.3">
      <c r="A4625" s="292"/>
      <c r="B4625" s="294"/>
      <c r="C4625" s="294"/>
      <c r="D4625" s="294"/>
      <c r="E4625" s="294"/>
      <c r="F4625" s="310"/>
      <c r="G4625" s="310"/>
      <c r="H4625" s="310"/>
      <c r="I4625" s="295"/>
      <c r="J4625" s="295"/>
      <c r="K4625" s="300">
        <f t="shared" si="618"/>
        <v>1.1000000000000001</v>
      </c>
      <c r="L4625" s="300">
        <f t="shared" si="617"/>
        <v>0</v>
      </c>
      <c r="M4625" s="285">
        <f t="shared" si="613"/>
        <v>0</v>
      </c>
      <c r="N4625" s="1076"/>
      <c r="O4625" s="294"/>
      <c r="P4625" s="404"/>
      <c r="Q4625" s="404"/>
    </row>
    <row r="4626" spans="1:17" ht="14.4" thickTop="1" thickBot="1" x14ac:dyDescent="0.3">
      <c r="A4626" s="292"/>
      <c r="B4626" s="294"/>
      <c r="C4626" s="294"/>
      <c r="D4626" s="294"/>
      <c r="E4626" s="294"/>
      <c r="F4626" s="310"/>
      <c r="G4626" s="310"/>
      <c r="H4626" s="310"/>
      <c r="I4626" s="295"/>
      <c r="J4626" s="295"/>
      <c r="K4626" s="300">
        <f t="shared" si="618"/>
        <v>1.1000000000000001</v>
      </c>
      <c r="L4626" s="300">
        <f t="shared" si="617"/>
        <v>0</v>
      </c>
      <c r="M4626" s="285">
        <f t="shared" si="613"/>
        <v>0</v>
      </c>
      <c r="N4626" s="1076"/>
      <c r="O4626" s="294"/>
      <c r="P4626" s="404">
        <f>P4627/9.29</f>
        <v>0</v>
      </c>
      <c r="Q4626" s="413">
        <f>P4626*M4627</f>
        <v>0</v>
      </c>
    </row>
    <row r="4627" spans="1:17" ht="14.4" thickTop="1" thickBot="1" x14ac:dyDescent="0.3">
      <c r="A4627" s="292"/>
      <c r="B4627" s="294" t="s">
        <v>1028</v>
      </c>
      <c r="C4627" s="294"/>
      <c r="D4627" s="294"/>
      <c r="E4627" s="294"/>
      <c r="F4627" s="310"/>
      <c r="G4627" s="310"/>
      <c r="H4627" s="310"/>
      <c r="I4627" s="295"/>
      <c r="J4627" s="295">
        <v>241</v>
      </c>
      <c r="K4627" s="300">
        <v>1.05</v>
      </c>
      <c r="L4627" s="300">
        <f t="shared" ref="L4627:L4700" si="619">K4627*J4627</f>
        <v>253.05</v>
      </c>
      <c r="M4627" s="285">
        <f t="shared" si="613"/>
        <v>253</v>
      </c>
      <c r="N4627" s="1076"/>
      <c r="O4627" s="294" t="s">
        <v>695</v>
      </c>
      <c r="P4627" s="404">
        <f>metal!E34</f>
        <v>0</v>
      </c>
      <c r="Q4627" s="404"/>
    </row>
    <row r="4628" spans="1:17" ht="14.4" thickTop="1" thickBot="1" x14ac:dyDescent="0.3">
      <c r="A4628" s="292"/>
      <c r="B4628" s="294"/>
      <c r="C4628" s="294"/>
      <c r="D4628" s="294"/>
      <c r="E4628" s="294"/>
      <c r="F4628" s="310"/>
      <c r="G4628" s="310"/>
      <c r="H4628" s="310"/>
      <c r="I4628" s="295"/>
      <c r="J4628" s="295">
        <f>J4627/9.29</f>
        <v>25.941872981700755</v>
      </c>
      <c r="K4628" s="300">
        <v>1.05</v>
      </c>
      <c r="L4628" s="300">
        <f t="shared" si="619"/>
        <v>27.238966630785793</v>
      </c>
      <c r="M4628" s="285">
        <f t="shared" si="613"/>
        <v>27</v>
      </c>
      <c r="N4628" s="1076"/>
      <c r="O4628" s="294" t="s">
        <v>879</v>
      </c>
      <c r="P4628" s="404"/>
      <c r="Q4628" s="413">
        <f>P4627*M4628</f>
        <v>0</v>
      </c>
    </row>
    <row r="4629" spans="1:17" ht="14.4" thickTop="1" thickBot="1" x14ac:dyDescent="0.3">
      <c r="A4629" s="292"/>
      <c r="B4629" s="294"/>
      <c r="C4629" s="294"/>
      <c r="D4629" s="294"/>
      <c r="E4629" s="294"/>
      <c r="F4629" s="310"/>
      <c r="G4629" s="310"/>
      <c r="H4629" s="310"/>
      <c r="I4629" s="295"/>
      <c r="J4629" s="295"/>
      <c r="K4629" s="300">
        <f t="shared" si="618"/>
        <v>1.1000000000000001</v>
      </c>
      <c r="L4629" s="300">
        <f t="shared" si="619"/>
        <v>0</v>
      </c>
      <c r="M4629" s="285">
        <f t="shared" si="613"/>
        <v>0</v>
      </c>
      <c r="N4629" s="1076"/>
      <c r="O4629" s="294"/>
      <c r="P4629" s="404"/>
      <c r="Q4629" s="404"/>
    </row>
    <row r="4630" spans="1:17" ht="14.4" thickTop="1" thickBot="1" x14ac:dyDescent="0.3">
      <c r="A4630" s="292"/>
      <c r="B4630" s="294"/>
      <c r="C4630" s="294"/>
      <c r="D4630" s="294"/>
      <c r="E4630" s="294"/>
      <c r="F4630" s="310"/>
      <c r="G4630" s="310"/>
      <c r="H4630" s="310"/>
      <c r="I4630" s="295"/>
      <c r="J4630" s="295"/>
      <c r="K4630" s="300">
        <f t="shared" si="618"/>
        <v>1.1000000000000001</v>
      </c>
      <c r="L4630" s="300">
        <f t="shared" si="619"/>
        <v>0</v>
      </c>
      <c r="M4630" s="285">
        <f t="shared" si="613"/>
        <v>0</v>
      </c>
      <c r="N4630" s="1076"/>
      <c r="O4630" s="294"/>
      <c r="P4630" s="404"/>
      <c r="Q4630" s="404"/>
    </row>
    <row r="4631" spans="1:17" ht="14.4" thickTop="1" thickBot="1" x14ac:dyDescent="0.3">
      <c r="A4631" s="292"/>
      <c r="B4631" s="294" t="s">
        <v>1097</v>
      </c>
      <c r="C4631" s="294"/>
      <c r="D4631" s="294"/>
      <c r="E4631" s="294"/>
      <c r="F4631" s="310"/>
      <c r="G4631" s="310"/>
      <c r="H4631" s="310"/>
      <c r="I4631" s="295">
        <v>25</v>
      </c>
      <c r="J4631" s="295"/>
      <c r="K4631" s="300">
        <f t="shared" si="618"/>
        <v>1.1000000000000001</v>
      </c>
      <c r="L4631" s="300">
        <f t="shared" si="619"/>
        <v>0</v>
      </c>
      <c r="M4631" s="285">
        <f t="shared" si="613"/>
        <v>0</v>
      </c>
      <c r="N4631" s="1076"/>
      <c r="O4631" s="294"/>
      <c r="P4631" s="404"/>
      <c r="Q4631" s="404"/>
    </row>
    <row r="4632" spans="1:17" ht="14.4" thickTop="1" thickBot="1" x14ac:dyDescent="0.3">
      <c r="A4632" s="292"/>
      <c r="B4632" s="294"/>
      <c r="C4632" s="294"/>
      <c r="D4632" s="294"/>
      <c r="E4632" s="294"/>
      <c r="F4632" s="310"/>
      <c r="G4632" s="310"/>
      <c r="H4632" s="310"/>
      <c r="I4632" s="295">
        <v>9.5</v>
      </c>
      <c r="J4632" s="295"/>
      <c r="K4632" s="300">
        <f t="shared" si="618"/>
        <v>1.1000000000000001</v>
      </c>
      <c r="L4632" s="300">
        <f t="shared" si="619"/>
        <v>0</v>
      </c>
      <c r="M4632" s="285">
        <f t="shared" si="613"/>
        <v>0</v>
      </c>
      <c r="N4632" s="1076"/>
      <c r="O4632" s="294"/>
      <c r="P4632" s="404"/>
      <c r="Q4632" s="404"/>
    </row>
    <row r="4633" spans="1:17" ht="14.4" thickTop="1" thickBot="1" x14ac:dyDescent="0.3">
      <c r="A4633" s="292"/>
      <c r="B4633" s="294"/>
      <c r="C4633" s="294"/>
      <c r="D4633" s="294"/>
      <c r="E4633" s="294"/>
      <c r="F4633" s="310"/>
      <c r="G4633" s="310"/>
      <c r="H4633" s="310"/>
      <c r="I4633" s="295">
        <f>30*0.3</f>
        <v>9</v>
      </c>
      <c r="J4633" s="295"/>
      <c r="K4633" s="300"/>
      <c r="L4633" s="300"/>
      <c r="M4633" s="285"/>
      <c r="N4633" s="1076"/>
      <c r="O4633" s="294"/>
      <c r="P4633" s="404"/>
      <c r="Q4633" s="404"/>
    </row>
    <row r="4634" spans="1:17" ht="14.4" thickTop="1" thickBot="1" x14ac:dyDescent="0.3">
      <c r="A4634" s="292"/>
      <c r="B4634" s="294"/>
      <c r="C4634" s="294"/>
      <c r="D4634" s="294"/>
      <c r="E4634" s="294"/>
      <c r="F4634" s="310"/>
      <c r="G4634" s="310"/>
      <c r="H4634" s="310"/>
      <c r="I4634" s="295">
        <v>14</v>
      </c>
      <c r="J4634" s="295"/>
      <c r="K4634" s="300">
        <f t="shared" si="618"/>
        <v>1.1000000000000001</v>
      </c>
      <c r="L4634" s="300">
        <f t="shared" si="619"/>
        <v>0</v>
      </c>
      <c r="M4634" s="285">
        <f t="shared" si="613"/>
        <v>0</v>
      </c>
      <c r="N4634" s="1076"/>
      <c r="O4634" s="294"/>
      <c r="P4634" s="404"/>
      <c r="Q4634" s="404"/>
    </row>
    <row r="4635" spans="1:17" ht="14.4" thickTop="1" thickBot="1" x14ac:dyDescent="0.3">
      <c r="A4635" s="292"/>
      <c r="B4635" s="294"/>
      <c r="C4635" s="294"/>
      <c r="D4635" s="294"/>
      <c r="E4635" s="294"/>
      <c r="F4635" s="310"/>
      <c r="G4635" s="310"/>
      <c r="H4635" s="310"/>
      <c r="I4635" s="295">
        <v>4</v>
      </c>
      <c r="J4635" s="295">
        <f>SUM(I4631:I4635)</f>
        <v>61.5</v>
      </c>
      <c r="K4635" s="300">
        <v>1.05</v>
      </c>
      <c r="L4635" s="300">
        <f t="shared" si="619"/>
        <v>64.575000000000003</v>
      </c>
      <c r="M4635" s="285">
        <f t="shared" si="613"/>
        <v>65</v>
      </c>
      <c r="N4635" s="1076"/>
      <c r="O4635" s="294"/>
      <c r="P4635" s="404"/>
      <c r="Q4635" s="404"/>
    </row>
    <row r="4636" spans="1:17" ht="14.4" thickTop="1" thickBot="1" x14ac:dyDescent="0.3">
      <c r="A4636" s="292"/>
      <c r="B4636" s="294"/>
      <c r="C4636" s="294"/>
      <c r="D4636" s="294"/>
      <c r="E4636" s="294"/>
      <c r="F4636" s="310"/>
      <c r="G4636" s="310"/>
      <c r="H4636" s="310"/>
      <c r="I4636" s="295"/>
      <c r="J4636" s="295"/>
      <c r="K4636" s="300">
        <f t="shared" si="618"/>
        <v>1.1000000000000001</v>
      </c>
      <c r="L4636" s="300">
        <f t="shared" si="619"/>
        <v>0</v>
      </c>
      <c r="M4636" s="285">
        <f t="shared" si="613"/>
        <v>0</v>
      </c>
      <c r="N4636" s="1076"/>
      <c r="O4636" s="294"/>
      <c r="P4636" s="404"/>
      <c r="Q4636" s="404"/>
    </row>
    <row r="4637" spans="1:17" ht="14.4" thickTop="1" thickBot="1" x14ac:dyDescent="0.3">
      <c r="A4637" s="292"/>
      <c r="B4637" s="294" t="s">
        <v>1315</v>
      </c>
      <c r="C4637" s="294"/>
      <c r="D4637" s="294"/>
      <c r="E4637" s="294">
        <v>2</v>
      </c>
      <c r="F4637" s="310">
        <v>27.6</v>
      </c>
      <c r="G4637" s="310"/>
      <c r="H4637" s="310">
        <v>6.3049999999999997</v>
      </c>
      <c r="I4637" s="295">
        <f>H4637*F4637*E4637</f>
        <v>348.036</v>
      </c>
      <c r="J4637" s="295">
        <f>I4637</f>
        <v>348.036</v>
      </c>
      <c r="K4637" s="300">
        <f t="shared" si="618"/>
        <v>1.1000000000000001</v>
      </c>
      <c r="L4637" s="300">
        <f t="shared" si="619"/>
        <v>382.83960000000002</v>
      </c>
      <c r="M4637" s="285">
        <f t="shared" si="613"/>
        <v>383</v>
      </c>
      <c r="N4637" s="1076"/>
      <c r="O4637" s="294"/>
      <c r="P4637" s="413">
        <f>J4637*10.76</f>
        <v>3744.8673599999997</v>
      </c>
      <c r="Q4637" s="404"/>
    </row>
    <row r="4638" spans="1:17" ht="14.4" thickTop="1" thickBot="1" x14ac:dyDescent="0.3">
      <c r="A4638" s="292"/>
      <c r="B4638" s="294"/>
      <c r="C4638" s="294"/>
      <c r="D4638" s="294"/>
      <c r="E4638" s="294"/>
      <c r="F4638" s="310"/>
      <c r="G4638" s="310"/>
      <c r="H4638" s="310"/>
      <c r="I4638" s="295"/>
      <c r="J4638" s="295">
        <f>J4637/9.29</f>
        <v>37.463509149623256</v>
      </c>
      <c r="K4638" s="300">
        <v>1.05</v>
      </c>
      <c r="L4638" s="300">
        <f t="shared" si="619"/>
        <v>39.336684607104424</v>
      </c>
      <c r="M4638" s="285">
        <f t="shared" si="613"/>
        <v>39</v>
      </c>
      <c r="N4638" s="1076"/>
      <c r="O4638" s="294"/>
      <c r="P4638" s="413">
        <f>P4637/100</f>
        <v>37.448673599999999</v>
      </c>
      <c r="Q4638" s="404"/>
    </row>
    <row r="4639" spans="1:17" ht="14.4" thickTop="1" thickBot="1" x14ac:dyDescent="0.3">
      <c r="A4639" s="292"/>
      <c r="B4639" s="294"/>
      <c r="C4639" s="294"/>
      <c r="D4639" s="294"/>
      <c r="E4639" s="294"/>
      <c r="F4639" s="310"/>
      <c r="G4639" s="310"/>
      <c r="H4639" s="310"/>
      <c r="I4639" s="295"/>
      <c r="J4639" s="295"/>
      <c r="K4639" s="300">
        <f t="shared" si="618"/>
        <v>1.1000000000000001</v>
      </c>
      <c r="L4639" s="300">
        <f t="shared" si="619"/>
        <v>0</v>
      </c>
      <c r="M4639" s="285">
        <f t="shared" si="613"/>
        <v>0</v>
      </c>
      <c r="N4639" s="1076"/>
      <c r="O4639" s="294"/>
      <c r="P4639" s="404"/>
      <c r="Q4639" s="404"/>
    </row>
    <row r="4640" spans="1:17" ht="14.4" thickTop="1" thickBot="1" x14ac:dyDescent="0.3">
      <c r="A4640" s="292"/>
      <c r="B4640" s="294"/>
      <c r="C4640" s="294"/>
      <c r="D4640" s="294"/>
      <c r="E4640" s="294"/>
      <c r="F4640" s="310"/>
      <c r="G4640" s="310"/>
      <c r="H4640" s="310"/>
      <c r="I4640" s="295"/>
      <c r="J4640" s="295"/>
      <c r="K4640" s="300">
        <f t="shared" si="618"/>
        <v>1.1000000000000001</v>
      </c>
      <c r="L4640" s="300">
        <f t="shared" si="619"/>
        <v>0</v>
      </c>
      <c r="M4640" s="285">
        <f t="shared" si="613"/>
        <v>0</v>
      </c>
      <c r="N4640" s="1076"/>
      <c r="O4640" s="294"/>
      <c r="P4640" s="404"/>
      <c r="Q4640" s="404"/>
    </row>
    <row r="4641" spans="1:17" ht="14.4" thickTop="1" thickBot="1" x14ac:dyDescent="0.3">
      <c r="A4641" s="292"/>
      <c r="B4641" s="294"/>
      <c r="C4641" s="294"/>
      <c r="D4641" s="294"/>
      <c r="E4641" s="294"/>
      <c r="F4641" s="310"/>
      <c r="G4641" s="310"/>
      <c r="H4641" s="310"/>
      <c r="I4641" s="295"/>
      <c r="J4641" s="295"/>
      <c r="K4641" s="300">
        <f t="shared" si="618"/>
        <v>1.1000000000000001</v>
      </c>
      <c r="L4641" s="300">
        <f t="shared" si="619"/>
        <v>0</v>
      </c>
      <c r="M4641" s="285">
        <f t="shared" si="613"/>
        <v>0</v>
      </c>
      <c r="N4641" s="1076"/>
      <c r="O4641" s="294"/>
      <c r="P4641" s="404"/>
      <c r="Q4641" s="404"/>
    </row>
    <row r="4642" spans="1:17" ht="14.4" thickTop="1" thickBot="1" x14ac:dyDescent="0.3">
      <c r="A4642" s="292"/>
      <c r="B4642" s="294" t="s">
        <v>1316</v>
      </c>
      <c r="C4642" s="294"/>
      <c r="D4642" s="294"/>
      <c r="E4642" s="294">
        <v>4</v>
      </c>
      <c r="F4642" s="310">
        <v>6.3049999999999997</v>
      </c>
      <c r="G4642" s="310"/>
      <c r="H4642" s="310"/>
      <c r="I4642" s="295">
        <f>F4642*E4642</f>
        <v>25.22</v>
      </c>
      <c r="J4642" s="295"/>
      <c r="K4642" s="300">
        <f t="shared" si="618"/>
        <v>1.1000000000000001</v>
      </c>
      <c r="L4642" s="300">
        <f t="shared" si="619"/>
        <v>0</v>
      </c>
      <c r="M4642" s="285">
        <f t="shared" si="613"/>
        <v>0</v>
      </c>
      <c r="N4642" s="1076"/>
      <c r="O4642" s="294"/>
      <c r="P4642" s="404"/>
      <c r="Q4642" s="404"/>
    </row>
    <row r="4643" spans="1:17" ht="14.4" thickTop="1" thickBot="1" x14ac:dyDescent="0.3">
      <c r="A4643" s="292"/>
      <c r="B4643" s="294"/>
      <c r="C4643" s="294"/>
      <c r="D4643" s="294"/>
      <c r="E4643" s="294">
        <v>1</v>
      </c>
      <c r="F4643" s="310">
        <v>19</v>
      </c>
      <c r="G4643" s="310"/>
      <c r="H4643" s="310"/>
      <c r="I4643" s="295">
        <f>F4643*E4643</f>
        <v>19</v>
      </c>
      <c r="J4643" s="295">
        <f>SUM(I4642:I4643)</f>
        <v>44.22</v>
      </c>
      <c r="K4643" s="300">
        <f t="shared" si="618"/>
        <v>1.1000000000000001</v>
      </c>
      <c r="L4643" s="300">
        <f t="shared" si="619"/>
        <v>48.642000000000003</v>
      </c>
      <c r="M4643" s="285">
        <f t="shared" si="613"/>
        <v>49</v>
      </c>
      <c r="N4643" s="1076"/>
      <c r="O4643" s="294"/>
      <c r="P4643" s="404"/>
      <c r="Q4643" s="404"/>
    </row>
    <row r="4644" spans="1:17" ht="14.4" thickTop="1" thickBot="1" x14ac:dyDescent="0.3">
      <c r="A4644" s="292"/>
      <c r="B4644" s="294"/>
      <c r="C4644" s="294"/>
      <c r="D4644" s="294"/>
      <c r="E4644" s="294"/>
      <c r="F4644" s="310"/>
      <c r="G4644" s="310"/>
      <c r="H4644" s="310"/>
      <c r="I4644" s="295"/>
      <c r="J4644" s="295">
        <f>J4643*3.28</f>
        <v>145.04159999999999</v>
      </c>
      <c r="K4644" s="300">
        <v>1.05</v>
      </c>
      <c r="L4644" s="300">
        <f t="shared" si="619"/>
        <v>152.29367999999999</v>
      </c>
      <c r="M4644" s="285">
        <f t="shared" si="613"/>
        <v>152</v>
      </c>
      <c r="N4644" s="1076"/>
      <c r="O4644" s="294"/>
      <c r="P4644" s="404"/>
      <c r="Q4644" s="404"/>
    </row>
    <row r="4645" spans="1:17" ht="14.4" thickTop="1" thickBot="1" x14ac:dyDescent="0.3">
      <c r="A4645" s="292"/>
      <c r="B4645" s="294"/>
      <c r="C4645" s="294"/>
      <c r="D4645" s="294"/>
      <c r="E4645" s="294"/>
      <c r="F4645" s="310"/>
      <c r="G4645" s="310"/>
      <c r="H4645" s="310"/>
      <c r="I4645" s="295"/>
      <c r="J4645" s="295"/>
      <c r="K4645" s="300"/>
      <c r="L4645" s="300"/>
      <c r="M4645" s="285"/>
      <c r="N4645" s="1076"/>
      <c r="O4645" s="294"/>
      <c r="P4645" s="404"/>
      <c r="Q4645" s="404"/>
    </row>
    <row r="4646" spans="1:17" ht="14.4" thickTop="1" thickBot="1" x14ac:dyDescent="0.3">
      <c r="A4646" s="292"/>
      <c r="B4646" s="294"/>
      <c r="C4646" s="294"/>
      <c r="D4646" s="294"/>
      <c r="E4646" s="294"/>
      <c r="F4646" s="310"/>
      <c r="G4646" s="310"/>
      <c r="H4646" s="310"/>
      <c r="I4646" s="295"/>
      <c r="J4646" s="295"/>
      <c r="K4646" s="300"/>
      <c r="L4646" s="300"/>
      <c r="M4646" s="285"/>
      <c r="N4646" s="1076"/>
      <c r="O4646" s="294"/>
      <c r="P4646" s="404"/>
      <c r="Q4646" s="404"/>
    </row>
    <row r="4647" spans="1:17" ht="14.4" thickTop="1" thickBot="1" x14ac:dyDescent="0.3">
      <c r="A4647" s="292"/>
      <c r="B4647" s="294" t="s">
        <v>1317</v>
      </c>
      <c r="C4647" s="294"/>
      <c r="D4647" s="294"/>
      <c r="E4647" s="294">
        <v>2</v>
      </c>
      <c r="F4647" s="310">
        <v>12.3</v>
      </c>
      <c r="G4647" s="310"/>
      <c r="H4647" s="310"/>
      <c r="I4647" s="295">
        <f>F4647*E4647</f>
        <v>24.6</v>
      </c>
      <c r="J4647" s="295"/>
      <c r="K4647" s="300">
        <f t="shared" si="618"/>
        <v>1.1000000000000001</v>
      </c>
      <c r="L4647" s="300">
        <f t="shared" si="619"/>
        <v>0</v>
      </c>
      <c r="M4647" s="285">
        <f t="shared" ref="M4647:M4710" si="620">ROUND(L4647,0)</f>
        <v>0</v>
      </c>
      <c r="N4647" s="1076"/>
      <c r="O4647" s="294"/>
      <c r="P4647" s="404"/>
      <c r="Q4647" s="404"/>
    </row>
    <row r="4648" spans="1:17" ht="14.4" thickTop="1" thickBot="1" x14ac:dyDescent="0.3">
      <c r="A4648" s="292"/>
      <c r="B4648" s="294"/>
      <c r="C4648" s="294"/>
      <c r="D4648" s="294"/>
      <c r="E4648" s="294">
        <v>2</v>
      </c>
      <c r="F4648" s="310">
        <f>F4637</f>
        <v>27.6</v>
      </c>
      <c r="G4648" s="310"/>
      <c r="H4648" s="310"/>
      <c r="I4648" s="295">
        <f>F4648*E4648</f>
        <v>55.2</v>
      </c>
      <c r="J4648" s="295">
        <f>SUM(I4647:I4648)</f>
        <v>79.800000000000011</v>
      </c>
      <c r="K4648" s="300">
        <f t="shared" si="618"/>
        <v>1.1000000000000001</v>
      </c>
      <c r="L4648" s="300">
        <f t="shared" si="619"/>
        <v>87.780000000000015</v>
      </c>
      <c r="M4648" s="285">
        <f t="shared" si="620"/>
        <v>88</v>
      </c>
      <c r="N4648" s="1076"/>
      <c r="O4648" s="294"/>
      <c r="P4648" s="404"/>
      <c r="Q4648" s="404"/>
    </row>
    <row r="4649" spans="1:17" ht="14.4" thickTop="1" thickBot="1" x14ac:dyDescent="0.3">
      <c r="A4649" s="292"/>
      <c r="B4649" s="294"/>
      <c r="C4649" s="294"/>
      <c r="D4649" s="294"/>
      <c r="E4649" s="294"/>
      <c r="F4649" s="310"/>
      <c r="G4649" s="310"/>
      <c r="H4649" s="310"/>
      <c r="I4649" s="295"/>
      <c r="J4649" s="295">
        <f>J4648*3.28</f>
        <v>261.74400000000003</v>
      </c>
      <c r="K4649" s="300">
        <v>1.05</v>
      </c>
      <c r="L4649" s="300">
        <f t="shared" si="619"/>
        <v>274.83120000000002</v>
      </c>
      <c r="M4649" s="285">
        <f t="shared" si="620"/>
        <v>275</v>
      </c>
      <c r="N4649" s="1076"/>
      <c r="O4649" s="294"/>
      <c r="P4649" s="404"/>
      <c r="Q4649" s="404"/>
    </row>
    <row r="4650" spans="1:17" ht="14.4" thickTop="1" thickBot="1" x14ac:dyDescent="0.3">
      <c r="A4650" s="292"/>
      <c r="B4650" s="294"/>
      <c r="C4650" s="294"/>
      <c r="D4650" s="294"/>
      <c r="E4650" s="294"/>
      <c r="F4650" s="310"/>
      <c r="G4650" s="310"/>
      <c r="H4650" s="310"/>
      <c r="I4650" s="295"/>
      <c r="J4650" s="295"/>
      <c r="K4650" s="300">
        <f t="shared" si="618"/>
        <v>1.1000000000000001</v>
      </c>
      <c r="L4650" s="300">
        <f t="shared" si="619"/>
        <v>0</v>
      </c>
      <c r="M4650" s="285">
        <f t="shared" si="620"/>
        <v>0</v>
      </c>
      <c r="N4650" s="1076"/>
      <c r="O4650" s="294"/>
      <c r="P4650" s="404"/>
      <c r="Q4650" s="404"/>
    </row>
    <row r="4651" spans="1:17" ht="14.4" thickTop="1" thickBot="1" x14ac:dyDescent="0.3">
      <c r="A4651" s="292"/>
      <c r="B4651" s="294" t="s">
        <v>1319</v>
      </c>
      <c r="C4651" s="294"/>
      <c r="D4651" s="294"/>
      <c r="E4651" s="294">
        <v>2</v>
      </c>
      <c r="F4651" s="310">
        <v>12.3</v>
      </c>
      <c r="G4651" s="310"/>
      <c r="H4651" s="310"/>
      <c r="I4651" s="295">
        <f>F4651*E4651</f>
        <v>24.6</v>
      </c>
      <c r="J4651" s="295"/>
      <c r="K4651" s="300">
        <f t="shared" si="618"/>
        <v>1.1000000000000001</v>
      </c>
      <c r="L4651" s="300">
        <f t="shared" si="619"/>
        <v>0</v>
      </c>
      <c r="M4651" s="285">
        <f t="shared" si="620"/>
        <v>0</v>
      </c>
      <c r="N4651" s="1076"/>
      <c r="O4651" s="294"/>
      <c r="P4651" s="404"/>
      <c r="Q4651" s="404"/>
    </row>
    <row r="4652" spans="1:17" ht="14.4" thickTop="1" thickBot="1" x14ac:dyDescent="0.3">
      <c r="A4652" s="292"/>
      <c r="B4652" s="294"/>
      <c r="C4652" s="294"/>
      <c r="D4652" s="294"/>
      <c r="E4652" s="294">
        <v>2</v>
      </c>
      <c r="F4652" s="310">
        <f>F4648</f>
        <v>27.6</v>
      </c>
      <c r="G4652" s="310"/>
      <c r="H4652" s="310"/>
      <c r="I4652" s="295">
        <f>F4652*E4652</f>
        <v>55.2</v>
      </c>
      <c r="J4652" s="295">
        <f>SUM(I4651:I4652)</f>
        <v>79.800000000000011</v>
      </c>
      <c r="K4652" s="300">
        <f t="shared" si="618"/>
        <v>1.1000000000000001</v>
      </c>
      <c r="L4652" s="300">
        <f t="shared" si="619"/>
        <v>87.780000000000015</v>
      </c>
      <c r="M4652" s="285">
        <f t="shared" si="620"/>
        <v>88</v>
      </c>
      <c r="N4652" s="1076"/>
      <c r="O4652" s="294"/>
      <c r="P4652" s="404"/>
      <c r="Q4652" s="404"/>
    </row>
    <row r="4653" spans="1:17" ht="14.4" thickTop="1" thickBot="1" x14ac:dyDescent="0.3">
      <c r="A4653" s="292"/>
      <c r="B4653" s="294"/>
      <c r="C4653" s="294"/>
      <c r="D4653" s="294"/>
      <c r="E4653" s="294"/>
      <c r="F4653" s="310"/>
      <c r="G4653" s="310"/>
      <c r="H4653" s="310"/>
      <c r="I4653" s="295"/>
      <c r="J4653" s="295">
        <f>J4652*3.28</f>
        <v>261.74400000000003</v>
      </c>
      <c r="K4653" s="300">
        <v>1.05</v>
      </c>
      <c r="L4653" s="300">
        <f t="shared" si="619"/>
        <v>274.83120000000002</v>
      </c>
      <c r="M4653" s="285">
        <f t="shared" si="620"/>
        <v>275</v>
      </c>
      <c r="N4653" s="1076"/>
      <c r="O4653" s="294"/>
      <c r="P4653" s="404"/>
      <c r="Q4653" s="404"/>
    </row>
    <row r="4654" spans="1:17" ht="14.4" thickTop="1" thickBot="1" x14ac:dyDescent="0.3">
      <c r="A4654" s="292"/>
      <c r="B4654" s="294"/>
      <c r="C4654" s="294"/>
      <c r="D4654" s="294"/>
      <c r="E4654" s="294"/>
      <c r="F4654" s="310"/>
      <c r="G4654" s="310"/>
      <c r="H4654" s="310"/>
      <c r="I4654" s="295"/>
      <c r="J4654" s="295"/>
      <c r="K4654" s="300"/>
      <c r="L4654" s="300"/>
      <c r="M4654" s="285"/>
      <c r="N4654" s="1076"/>
      <c r="O4654" s="294"/>
      <c r="P4654" s="404"/>
      <c r="Q4654" s="404"/>
    </row>
    <row r="4655" spans="1:17" ht="14.4" thickTop="1" thickBot="1" x14ac:dyDescent="0.3">
      <c r="A4655" s="292"/>
      <c r="B4655" s="294"/>
      <c r="C4655" s="294"/>
      <c r="D4655" s="294"/>
      <c r="E4655" s="294"/>
      <c r="F4655" s="310"/>
      <c r="G4655" s="310"/>
      <c r="H4655" s="310"/>
      <c r="I4655" s="295"/>
      <c r="J4655" s="295"/>
      <c r="K4655" s="300"/>
      <c r="L4655" s="300"/>
      <c r="M4655" s="285"/>
      <c r="N4655" s="1076"/>
      <c r="O4655" s="294"/>
      <c r="P4655" s="404"/>
      <c r="Q4655" s="404"/>
    </row>
    <row r="4656" spans="1:17" ht="14.4" thickTop="1" thickBot="1" x14ac:dyDescent="0.3">
      <c r="A4656" s="292"/>
      <c r="B4656" s="294" t="s">
        <v>1318</v>
      </c>
      <c r="C4656" s="294"/>
      <c r="D4656" s="294"/>
      <c r="E4656" s="294">
        <v>10</v>
      </c>
      <c r="F4656" s="310"/>
      <c r="G4656" s="310"/>
      <c r="H4656" s="310">
        <v>15</v>
      </c>
      <c r="I4656" s="295">
        <f>H4656*E4656</f>
        <v>150</v>
      </c>
      <c r="J4656" s="295">
        <f>I4656</f>
        <v>150</v>
      </c>
      <c r="K4656" s="300">
        <f t="shared" si="618"/>
        <v>1.1000000000000001</v>
      </c>
      <c r="L4656" s="300">
        <f t="shared" si="619"/>
        <v>165</v>
      </c>
      <c r="M4656" s="285">
        <f t="shared" si="620"/>
        <v>165</v>
      </c>
      <c r="N4656" s="1076"/>
      <c r="O4656" s="294"/>
      <c r="P4656" s="404"/>
      <c r="Q4656" s="404"/>
    </row>
    <row r="4657" spans="1:17" ht="14.4" thickTop="1" thickBot="1" x14ac:dyDescent="0.3">
      <c r="A4657" s="292"/>
      <c r="B4657" s="294"/>
      <c r="C4657" s="294"/>
      <c r="D4657" s="294"/>
      <c r="E4657" s="294"/>
      <c r="F4657" s="310"/>
      <c r="G4657" s="310"/>
      <c r="H4657" s="310"/>
      <c r="I4657" s="295"/>
      <c r="J4657" s="295">
        <f>J4656*3.28</f>
        <v>491.99999999999994</v>
      </c>
      <c r="K4657" s="300">
        <v>1.05</v>
      </c>
      <c r="L4657" s="300">
        <f t="shared" si="619"/>
        <v>516.59999999999991</v>
      </c>
      <c r="M4657" s="285">
        <f t="shared" si="620"/>
        <v>517</v>
      </c>
      <c r="N4657" s="1076"/>
      <c r="O4657" s="294"/>
      <c r="P4657" s="404"/>
      <c r="Q4657" s="404"/>
    </row>
    <row r="4658" spans="1:17" ht="14.4" thickTop="1" thickBot="1" x14ac:dyDescent="0.3">
      <c r="A4658" s="292"/>
      <c r="B4658" s="294"/>
      <c r="C4658" s="294"/>
      <c r="D4658" s="294"/>
      <c r="E4658" s="294"/>
      <c r="F4658" s="310"/>
      <c r="G4658" s="310"/>
      <c r="H4658" s="310"/>
      <c r="I4658" s="295"/>
      <c r="J4658" s="295"/>
      <c r="K4658" s="300">
        <f t="shared" si="618"/>
        <v>1.1000000000000001</v>
      </c>
      <c r="L4658" s="300">
        <f t="shared" si="619"/>
        <v>0</v>
      </c>
      <c r="M4658" s="285">
        <f t="shared" si="620"/>
        <v>0</v>
      </c>
      <c r="N4658" s="1076"/>
      <c r="O4658" s="294"/>
      <c r="P4658" s="404"/>
      <c r="Q4658" s="404"/>
    </row>
    <row r="4659" spans="1:17" ht="14.4" thickTop="1" thickBot="1" x14ac:dyDescent="0.3">
      <c r="A4659" s="292"/>
      <c r="B4659" s="294"/>
      <c r="C4659" s="294"/>
      <c r="D4659" s="294"/>
      <c r="E4659" s="294"/>
      <c r="F4659" s="310"/>
      <c r="G4659" s="310"/>
      <c r="H4659" s="310"/>
      <c r="I4659" s="295"/>
      <c r="J4659" s="295"/>
      <c r="K4659" s="300">
        <f t="shared" si="618"/>
        <v>1.1000000000000001</v>
      </c>
      <c r="L4659" s="300">
        <f t="shared" si="619"/>
        <v>0</v>
      </c>
      <c r="M4659" s="285">
        <f t="shared" si="620"/>
        <v>0</v>
      </c>
      <c r="N4659" s="1076"/>
      <c r="O4659" s="294"/>
      <c r="P4659" s="404"/>
      <c r="Q4659" s="404"/>
    </row>
    <row r="4660" spans="1:17" ht="14.4" thickTop="1" thickBot="1" x14ac:dyDescent="0.3">
      <c r="A4660" s="292"/>
      <c r="B4660" s="302" t="s">
        <v>1389</v>
      </c>
      <c r="C4660" s="294"/>
      <c r="D4660" s="294"/>
      <c r="E4660" s="294"/>
      <c r="F4660" s="310"/>
      <c r="G4660" s="310"/>
      <c r="H4660" s="310"/>
      <c r="I4660" s="295"/>
      <c r="J4660" s="295"/>
      <c r="K4660" s="300">
        <f t="shared" si="618"/>
        <v>1.1000000000000001</v>
      </c>
      <c r="L4660" s="300">
        <f t="shared" si="619"/>
        <v>0</v>
      </c>
      <c r="M4660" s="285">
        <f t="shared" si="620"/>
        <v>0</v>
      </c>
      <c r="N4660" s="1076"/>
      <c r="O4660" s="294"/>
      <c r="P4660" s="404"/>
      <c r="Q4660" s="404"/>
    </row>
    <row r="4661" spans="1:17" ht="14.4" thickTop="1" thickBot="1" x14ac:dyDescent="0.3">
      <c r="A4661" s="292"/>
      <c r="B4661" s="302" t="s">
        <v>1066</v>
      </c>
      <c r="C4661" s="294"/>
      <c r="D4661" s="294"/>
      <c r="E4661" s="294"/>
      <c r="F4661" s="310"/>
      <c r="G4661" s="310"/>
      <c r="H4661" s="310"/>
      <c r="I4661" s="295"/>
      <c r="J4661" s="295"/>
      <c r="K4661" s="300"/>
      <c r="L4661" s="300"/>
      <c r="M4661" s="285"/>
      <c r="N4661" s="1076"/>
      <c r="O4661" s="294"/>
      <c r="P4661" s="404"/>
      <c r="Q4661" s="404"/>
    </row>
    <row r="4662" spans="1:17" ht="14.4" thickTop="1" thickBot="1" x14ac:dyDescent="0.3">
      <c r="A4662" s="292">
        <v>1</v>
      </c>
      <c r="B4662" s="294" t="s">
        <v>1390</v>
      </c>
      <c r="C4662" s="294"/>
      <c r="D4662" s="294"/>
      <c r="E4662" s="294"/>
      <c r="F4662" s="310"/>
      <c r="G4662" s="310"/>
      <c r="H4662" s="310"/>
      <c r="I4662" s="295"/>
      <c r="J4662" s="295"/>
      <c r="K4662" s="300">
        <f t="shared" si="618"/>
        <v>1.1000000000000001</v>
      </c>
      <c r="L4662" s="300">
        <f t="shared" si="619"/>
        <v>0</v>
      </c>
      <c r="M4662" s="285">
        <f t="shared" si="620"/>
        <v>0</v>
      </c>
      <c r="N4662" s="1076"/>
      <c r="O4662" s="294"/>
      <c r="P4662" s="404"/>
      <c r="Q4662" s="404"/>
    </row>
    <row r="4663" spans="1:17" ht="14.4" thickTop="1" thickBot="1" x14ac:dyDescent="0.3">
      <c r="A4663" s="292"/>
      <c r="B4663" s="294" t="s">
        <v>1391</v>
      </c>
      <c r="C4663" s="294"/>
      <c r="D4663" s="294"/>
      <c r="E4663" s="294">
        <v>6</v>
      </c>
      <c r="F4663" s="1131" t="s">
        <v>1392</v>
      </c>
      <c r="G4663" s="310"/>
      <c r="H4663" s="310"/>
      <c r="I4663" s="295"/>
      <c r="J4663" s="295"/>
      <c r="K4663" s="300">
        <f t="shared" si="618"/>
        <v>1.1000000000000001</v>
      </c>
      <c r="L4663" s="300">
        <f t="shared" si="619"/>
        <v>0</v>
      </c>
      <c r="M4663" s="285">
        <f t="shared" si="620"/>
        <v>0</v>
      </c>
      <c r="N4663" s="1076"/>
      <c r="O4663" s="294"/>
      <c r="P4663" s="404"/>
      <c r="Q4663" s="404"/>
    </row>
    <row r="4664" spans="1:17" ht="14.4" thickTop="1" thickBot="1" x14ac:dyDescent="0.3">
      <c r="A4664" s="292"/>
      <c r="B4664" s="294"/>
      <c r="C4664" s="294"/>
      <c r="D4664" s="294"/>
      <c r="E4664" s="294"/>
      <c r="F4664" s="310"/>
      <c r="G4664" s="310"/>
      <c r="H4664" s="310"/>
      <c r="I4664" s="295"/>
      <c r="J4664" s="295"/>
      <c r="K4664" s="300">
        <f t="shared" si="618"/>
        <v>1.1000000000000001</v>
      </c>
      <c r="L4664" s="300">
        <f t="shared" si="619"/>
        <v>0</v>
      </c>
      <c r="M4664" s="285">
        <f t="shared" si="620"/>
        <v>0</v>
      </c>
      <c r="N4664" s="1076"/>
      <c r="O4664" s="294"/>
      <c r="P4664" s="404"/>
      <c r="Q4664" s="404"/>
    </row>
    <row r="4665" spans="1:17" ht="14.4" thickTop="1" thickBot="1" x14ac:dyDescent="0.3">
      <c r="A4665" s="292"/>
      <c r="B4665" s="294" t="s">
        <v>1396</v>
      </c>
      <c r="C4665" s="294"/>
      <c r="D4665" s="294"/>
      <c r="E4665" s="294"/>
      <c r="F4665" s="310"/>
      <c r="G4665" s="310"/>
      <c r="H4665" s="310"/>
      <c r="I4665" s="295"/>
      <c r="J4665" s="295"/>
      <c r="K4665" s="300">
        <f t="shared" si="618"/>
        <v>1.1000000000000001</v>
      </c>
      <c r="L4665" s="300">
        <f t="shared" si="619"/>
        <v>0</v>
      </c>
      <c r="M4665" s="285">
        <f t="shared" si="620"/>
        <v>0</v>
      </c>
      <c r="N4665" s="1076"/>
      <c r="O4665" s="294"/>
      <c r="P4665" s="404"/>
      <c r="Q4665" s="404"/>
    </row>
    <row r="4666" spans="1:17" ht="14.4" thickTop="1" thickBot="1" x14ac:dyDescent="0.3">
      <c r="A4666" s="292"/>
      <c r="B4666" s="294" t="s">
        <v>1393</v>
      </c>
      <c r="C4666" s="294"/>
      <c r="D4666" s="294"/>
      <c r="E4666" s="294">
        <v>2</v>
      </c>
      <c r="F4666" s="1131" t="s">
        <v>1394</v>
      </c>
      <c r="G4666" s="310"/>
      <c r="H4666" s="310"/>
      <c r="I4666" s="295"/>
      <c r="J4666" s="295"/>
      <c r="K4666" s="300">
        <f t="shared" si="618"/>
        <v>1.1000000000000001</v>
      </c>
      <c r="L4666" s="300">
        <f t="shared" si="619"/>
        <v>0</v>
      </c>
      <c r="M4666" s="285">
        <f t="shared" si="620"/>
        <v>0</v>
      </c>
      <c r="N4666" s="1076"/>
      <c r="O4666" s="294"/>
      <c r="P4666" s="404"/>
      <c r="Q4666" s="404"/>
    </row>
    <row r="4667" spans="1:17" ht="14.4" thickTop="1" thickBot="1" x14ac:dyDescent="0.3">
      <c r="A4667" s="292"/>
      <c r="B4667" s="294"/>
      <c r="C4667" s="294"/>
      <c r="D4667" s="294"/>
      <c r="E4667" s="294"/>
      <c r="F4667" s="310"/>
      <c r="G4667" s="310"/>
      <c r="H4667" s="310"/>
      <c r="I4667" s="295"/>
      <c r="J4667" s="295"/>
      <c r="K4667" s="300">
        <f t="shared" si="618"/>
        <v>1.1000000000000001</v>
      </c>
      <c r="L4667" s="300">
        <f t="shared" si="619"/>
        <v>0</v>
      </c>
      <c r="M4667" s="285">
        <f t="shared" si="620"/>
        <v>0</v>
      </c>
      <c r="N4667" s="1076"/>
      <c r="O4667" s="294"/>
      <c r="P4667" s="404"/>
      <c r="Q4667" s="404"/>
    </row>
    <row r="4668" spans="1:17" ht="14.4" thickTop="1" thickBot="1" x14ac:dyDescent="0.3">
      <c r="A4668" s="292"/>
      <c r="B4668" s="294" t="s">
        <v>1397</v>
      </c>
      <c r="C4668" s="294"/>
      <c r="D4668" s="294"/>
      <c r="E4668" s="294"/>
      <c r="F4668" s="310"/>
      <c r="G4668" s="310"/>
      <c r="H4668" s="310"/>
      <c r="I4668" s="295"/>
      <c r="J4668" s="295"/>
      <c r="K4668" s="300">
        <f t="shared" si="618"/>
        <v>1.1000000000000001</v>
      </c>
      <c r="L4668" s="300">
        <f t="shared" si="619"/>
        <v>0</v>
      </c>
      <c r="M4668" s="285">
        <f t="shared" si="620"/>
        <v>0</v>
      </c>
      <c r="N4668" s="1076"/>
      <c r="O4668" s="294"/>
      <c r="P4668" s="404"/>
      <c r="Q4668" s="404"/>
    </row>
    <row r="4669" spans="1:17" ht="14.4" thickTop="1" thickBot="1" x14ac:dyDescent="0.3">
      <c r="A4669" s="292"/>
      <c r="B4669" s="294" t="s">
        <v>1395</v>
      </c>
      <c r="C4669" s="294"/>
      <c r="D4669" s="294"/>
      <c r="E4669" s="294">
        <v>2</v>
      </c>
      <c r="F4669" s="1131" t="s">
        <v>1392</v>
      </c>
      <c r="G4669" s="310"/>
      <c r="H4669" s="310"/>
      <c r="I4669" s="295"/>
      <c r="J4669" s="295"/>
      <c r="K4669" s="300">
        <f t="shared" si="618"/>
        <v>1.1000000000000001</v>
      </c>
      <c r="L4669" s="300">
        <f t="shared" si="619"/>
        <v>0</v>
      </c>
      <c r="M4669" s="285">
        <f t="shared" si="620"/>
        <v>0</v>
      </c>
      <c r="N4669" s="1076"/>
      <c r="O4669" s="294"/>
      <c r="P4669" s="404"/>
      <c r="Q4669" s="404"/>
    </row>
    <row r="4670" spans="1:17" ht="14.4" thickTop="1" thickBot="1" x14ac:dyDescent="0.3">
      <c r="A4670" s="292"/>
      <c r="B4670" s="294"/>
      <c r="C4670" s="294"/>
      <c r="D4670" s="294"/>
      <c r="E4670" s="294"/>
      <c r="F4670" s="310"/>
      <c r="G4670" s="310"/>
      <c r="H4670" s="310"/>
      <c r="I4670" s="295"/>
      <c r="J4670" s="295"/>
      <c r="K4670" s="300">
        <f t="shared" si="618"/>
        <v>1.1000000000000001</v>
      </c>
      <c r="L4670" s="300">
        <f t="shared" si="619"/>
        <v>0</v>
      </c>
      <c r="M4670" s="285">
        <f t="shared" si="620"/>
        <v>0</v>
      </c>
      <c r="N4670" s="1076"/>
      <c r="O4670" s="294"/>
      <c r="P4670" s="404"/>
      <c r="Q4670" s="404"/>
    </row>
    <row r="4671" spans="1:17" ht="14.4" thickTop="1" thickBot="1" x14ac:dyDescent="0.3">
      <c r="A4671" s="292"/>
      <c r="B4671" s="294" t="s">
        <v>1398</v>
      </c>
      <c r="C4671" s="294"/>
      <c r="D4671" s="294"/>
      <c r="E4671" s="294"/>
      <c r="F4671" s="310"/>
      <c r="G4671" s="310"/>
      <c r="H4671" s="310"/>
      <c r="I4671" s="295"/>
      <c r="J4671" s="295"/>
      <c r="K4671" s="300">
        <f t="shared" si="618"/>
        <v>1.1000000000000001</v>
      </c>
      <c r="L4671" s="300">
        <f t="shared" si="619"/>
        <v>0</v>
      </c>
      <c r="M4671" s="285">
        <f t="shared" si="620"/>
        <v>0</v>
      </c>
      <c r="N4671" s="1076"/>
      <c r="O4671" s="294"/>
      <c r="P4671" s="404"/>
      <c r="Q4671" s="404"/>
    </row>
    <row r="4672" spans="1:17" ht="14.4" thickTop="1" thickBot="1" x14ac:dyDescent="0.3">
      <c r="A4672" s="292"/>
      <c r="B4672" s="294" t="s">
        <v>1399</v>
      </c>
      <c r="C4672" s="294"/>
      <c r="D4672" s="294"/>
      <c r="E4672" s="294">
        <v>2</v>
      </c>
      <c r="F4672" s="1131" t="s">
        <v>1394</v>
      </c>
      <c r="G4672" s="310"/>
      <c r="H4672" s="310"/>
      <c r="I4672" s="295"/>
      <c r="J4672" s="295"/>
      <c r="K4672" s="300">
        <f t="shared" si="618"/>
        <v>1.1000000000000001</v>
      </c>
      <c r="L4672" s="300">
        <f t="shared" si="619"/>
        <v>0</v>
      </c>
      <c r="M4672" s="285">
        <f t="shared" si="620"/>
        <v>0</v>
      </c>
      <c r="N4672" s="1076"/>
      <c r="O4672" s="294"/>
      <c r="P4672" s="404"/>
      <c r="Q4672" s="404"/>
    </row>
    <row r="4673" spans="1:17" ht="14.4" thickTop="1" thickBot="1" x14ac:dyDescent="0.3">
      <c r="A4673" s="292"/>
      <c r="B4673" s="294"/>
      <c r="C4673" s="294"/>
      <c r="D4673" s="294"/>
      <c r="E4673" s="294"/>
      <c r="F4673" s="310"/>
      <c r="G4673" s="310"/>
      <c r="H4673" s="310"/>
      <c r="I4673" s="295"/>
      <c r="J4673" s="295"/>
      <c r="K4673" s="300">
        <f t="shared" si="618"/>
        <v>1.1000000000000001</v>
      </c>
      <c r="L4673" s="300">
        <f t="shared" si="619"/>
        <v>0</v>
      </c>
      <c r="M4673" s="285">
        <f t="shared" si="620"/>
        <v>0</v>
      </c>
      <c r="N4673" s="1076"/>
      <c r="O4673" s="294"/>
      <c r="P4673" s="404"/>
      <c r="Q4673" s="404"/>
    </row>
    <row r="4674" spans="1:17" ht="14.4" thickTop="1" thickBot="1" x14ac:dyDescent="0.3">
      <c r="A4674" s="292"/>
      <c r="B4674" s="294" t="s">
        <v>1400</v>
      </c>
      <c r="C4674" s="294"/>
      <c r="D4674" s="294"/>
      <c r="E4674" s="294"/>
      <c r="F4674" s="310"/>
      <c r="G4674" s="310"/>
      <c r="H4674" s="310"/>
      <c r="I4674" s="295"/>
      <c r="J4674" s="295"/>
      <c r="K4674" s="300">
        <f t="shared" si="618"/>
        <v>1.1000000000000001</v>
      </c>
      <c r="L4674" s="300">
        <f t="shared" si="619"/>
        <v>0</v>
      </c>
      <c r="M4674" s="285">
        <f t="shared" si="620"/>
        <v>0</v>
      </c>
      <c r="N4674" s="1076"/>
      <c r="O4674" s="294"/>
      <c r="P4674" s="404"/>
      <c r="Q4674" s="404"/>
    </row>
    <row r="4675" spans="1:17" ht="14.4" thickTop="1" thickBot="1" x14ac:dyDescent="0.3">
      <c r="A4675" s="292"/>
      <c r="B4675" s="294" t="s">
        <v>1401</v>
      </c>
      <c r="C4675" s="294"/>
      <c r="D4675" s="294"/>
      <c r="E4675" s="294">
        <v>2</v>
      </c>
      <c r="F4675" s="1131" t="s">
        <v>1394</v>
      </c>
      <c r="G4675" s="310"/>
      <c r="H4675" s="310"/>
      <c r="I4675" s="295"/>
      <c r="J4675" s="295"/>
      <c r="K4675" s="300">
        <f t="shared" si="618"/>
        <v>1.1000000000000001</v>
      </c>
      <c r="L4675" s="300">
        <f t="shared" si="619"/>
        <v>0</v>
      </c>
      <c r="M4675" s="285">
        <f t="shared" si="620"/>
        <v>0</v>
      </c>
      <c r="N4675" s="1076"/>
      <c r="O4675" s="294"/>
      <c r="P4675" s="404"/>
      <c r="Q4675" s="404"/>
    </row>
    <row r="4676" spans="1:17" ht="14.4" thickTop="1" thickBot="1" x14ac:dyDescent="0.3">
      <c r="A4676" s="292"/>
      <c r="B4676" s="294"/>
      <c r="C4676" s="294"/>
      <c r="D4676" s="294"/>
      <c r="E4676" s="294"/>
      <c r="F4676" s="310"/>
      <c r="G4676" s="310"/>
      <c r="H4676" s="310"/>
      <c r="I4676" s="295"/>
      <c r="J4676" s="295"/>
      <c r="K4676" s="300">
        <f t="shared" si="618"/>
        <v>1.1000000000000001</v>
      </c>
      <c r="L4676" s="300">
        <f t="shared" si="619"/>
        <v>0</v>
      </c>
      <c r="M4676" s="285">
        <f t="shared" si="620"/>
        <v>0</v>
      </c>
      <c r="N4676" s="1076"/>
      <c r="O4676" s="294"/>
      <c r="P4676" s="404"/>
      <c r="Q4676" s="404"/>
    </row>
    <row r="4677" spans="1:17" ht="14.4" thickTop="1" thickBot="1" x14ac:dyDescent="0.3">
      <c r="A4677" s="292"/>
      <c r="B4677" s="294" t="s">
        <v>1402</v>
      </c>
      <c r="C4677" s="294"/>
      <c r="D4677" s="294"/>
      <c r="E4677" s="294"/>
      <c r="F4677" s="310"/>
      <c r="G4677" s="310"/>
      <c r="H4677" s="310"/>
      <c r="I4677" s="295"/>
      <c r="J4677" s="295"/>
      <c r="K4677" s="300">
        <f t="shared" si="618"/>
        <v>1.1000000000000001</v>
      </c>
      <c r="L4677" s="300">
        <f t="shared" si="619"/>
        <v>0</v>
      </c>
      <c r="M4677" s="285">
        <f t="shared" si="620"/>
        <v>0</v>
      </c>
      <c r="N4677" s="1076"/>
      <c r="O4677" s="294"/>
      <c r="P4677" s="404"/>
      <c r="Q4677" s="404"/>
    </row>
    <row r="4678" spans="1:17" ht="14.4" thickTop="1" thickBot="1" x14ac:dyDescent="0.3">
      <c r="A4678" s="292"/>
      <c r="B4678" s="294" t="s">
        <v>1403</v>
      </c>
      <c r="C4678" s="294"/>
      <c r="D4678" s="294"/>
      <c r="E4678" s="294">
        <v>4</v>
      </c>
      <c r="F4678" s="1131" t="s">
        <v>1404</v>
      </c>
      <c r="G4678" s="310"/>
      <c r="H4678" s="310"/>
      <c r="I4678" s="295"/>
      <c r="J4678" s="295"/>
      <c r="K4678" s="300">
        <f t="shared" si="618"/>
        <v>1.1000000000000001</v>
      </c>
      <c r="L4678" s="300">
        <f t="shared" si="619"/>
        <v>0</v>
      </c>
      <c r="M4678" s="285">
        <f t="shared" si="620"/>
        <v>0</v>
      </c>
      <c r="N4678" s="1076"/>
      <c r="O4678" s="294"/>
      <c r="P4678" s="404"/>
      <c r="Q4678" s="404"/>
    </row>
    <row r="4679" spans="1:17" ht="14.4" thickTop="1" thickBot="1" x14ac:dyDescent="0.3">
      <c r="A4679" s="292"/>
      <c r="B4679" s="294"/>
      <c r="C4679" s="294"/>
      <c r="D4679" s="294"/>
      <c r="E4679" s="294">
        <v>3</v>
      </c>
      <c r="F4679" s="1131" t="s">
        <v>1392</v>
      </c>
      <c r="G4679" s="310"/>
      <c r="H4679" s="310"/>
      <c r="I4679" s="295"/>
      <c r="J4679" s="295"/>
      <c r="K4679" s="300">
        <f t="shared" si="618"/>
        <v>1.1000000000000001</v>
      </c>
      <c r="L4679" s="300">
        <f t="shared" si="619"/>
        <v>0</v>
      </c>
      <c r="M4679" s="285">
        <f t="shared" si="620"/>
        <v>0</v>
      </c>
      <c r="N4679" s="1076"/>
      <c r="O4679" s="294"/>
      <c r="P4679" s="404"/>
      <c r="Q4679" s="404"/>
    </row>
    <row r="4680" spans="1:17" ht="14.4" thickTop="1" thickBot="1" x14ac:dyDescent="0.3">
      <c r="A4680" s="292"/>
      <c r="B4680" s="294"/>
      <c r="C4680" s="294"/>
      <c r="D4680" s="294"/>
      <c r="E4680" s="294"/>
      <c r="F4680" s="310"/>
      <c r="G4680" s="310"/>
      <c r="H4680" s="310"/>
      <c r="I4680" s="295"/>
      <c r="J4680" s="295"/>
      <c r="K4680" s="300">
        <f t="shared" si="618"/>
        <v>1.1000000000000001</v>
      </c>
      <c r="L4680" s="300">
        <f t="shared" si="619"/>
        <v>0</v>
      </c>
      <c r="M4680" s="285">
        <f t="shared" si="620"/>
        <v>0</v>
      </c>
      <c r="N4680" s="1076"/>
      <c r="O4680" s="294"/>
      <c r="P4680" s="404"/>
      <c r="Q4680" s="404"/>
    </row>
    <row r="4681" spans="1:17" ht="14.4" thickTop="1" thickBot="1" x14ac:dyDescent="0.3">
      <c r="A4681" s="292"/>
      <c r="B4681" s="294" t="s">
        <v>817</v>
      </c>
      <c r="C4681" s="294"/>
      <c r="D4681" s="294"/>
      <c r="E4681" s="294"/>
      <c r="F4681" s="310"/>
      <c r="G4681" s="310"/>
      <c r="H4681" s="310"/>
      <c r="I4681" s="295"/>
      <c r="J4681" s="295"/>
      <c r="K4681" s="300">
        <f t="shared" si="618"/>
        <v>1.1000000000000001</v>
      </c>
      <c r="L4681" s="300">
        <f t="shared" si="619"/>
        <v>0</v>
      </c>
      <c r="M4681" s="285">
        <f t="shared" si="620"/>
        <v>0</v>
      </c>
      <c r="N4681" s="1076"/>
      <c r="O4681" s="294"/>
      <c r="P4681" s="404"/>
      <c r="Q4681" s="404"/>
    </row>
    <row r="4682" spans="1:17" ht="14.4" thickTop="1" thickBot="1" x14ac:dyDescent="0.3">
      <c r="A4682" s="292"/>
      <c r="B4682" s="294" t="s">
        <v>1405</v>
      </c>
      <c r="C4682" s="294"/>
      <c r="D4682" s="294"/>
      <c r="E4682" s="294">
        <v>6</v>
      </c>
      <c r="F4682" s="1131" t="s">
        <v>1392</v>
      </c>
      <c r="G4682" s="310"/>
      <c r="H4682" s="310"/>
      <c r="I4682" s="295"/>
      <c r="J4682" s="295"/>
      <c r="K4682" s="300">
        <f t="shared" si="618"/>
        <v>1.1000000000000001</v>
      </c>
      <c r="L4682" s="300">
        <f t="shared" si="619"/>
        <v>0</v>
      </c>
      <c r="M4682" s="285">
        <f t="shared" si="620"/>
        <v>0</v>
      </c>
      <c r="N4682" s="1076"/>
      <c r="O4682" s="294"/>
      <c r="P4682" s="404"/>
      <c r="Q4682" s="404"/>
    </row>
    <row r="4683" spans="1:17" ht="14.4" thickTop="1" thickBot="1" x14ac:dyDescent="0.3">
      <c r="A4683" s="292"/>
      <c r="B4683" s="294"/>
      <c r="C4683" s="294"/>
      <c r="D4683" s="294"/>
      <c r="E4683" s="294">
        <v>0</v>
      </c>
      <c r="F4683" s="1131" t="s">
        <v>1404</v>
      </c>
      <c r="G4683" s="310"/>
      <c r="H4683" s="310"/>
      <c r="I4683" s="295"/>
      <c r="J4683" s="295"/>
      <c r="K4683" s="300">
        <f t="shared" si="618"/>
        <v>1.1000000000000001</v>
      </c>
      <c r="L4683" s="300">
        <f t="shared" si="619"/>
        <v>0</v>
      </c>
      <c r="M4683" s="285">
        <f t="shared" si="620"/>
        <v>0</v>
      </c>
      <c r="N4683" s="1076"/>
      <c r="O4683" s="294"/>
      <c r="P4683" s="404"/>
      <c r="Q4683" s="404"/>
    </row>
    <row r="4684" spans="1:17" ht="14.4" thickTop="1" thickBot="1" x14ac:dyDescent="0.3">
      <c r="A4684" s="292"/>
      <c r="B4684" s="294" t="s">
        <v>818</v>
      </c>
      <c r="C4684" s="294"/>
      <c r="D4684" s="294"/>
      <c r="E4684" s="294"/>
      <c r="F4684" s="310"/>
      <c r="G4684" s="310"/>
      <c r="H4684" s="310"/>
      <c r="I4684" s="295"/>
      <c r="J4684" s="295"/>
      <c r="K4684" s="300">
        <f t="shared" si="618"/>
        <v>1.1000000000000001</v>
      </c>
      <c r="L4684" s="300">
        <f t="shared" si="619"/>
        <v>0</v>
      </c>
      <c r="M4684" s="285">
        <f t="shared" si="620"/>
        <v>0</v>
      </c>
      <c r="N4684" s="1076"/>
      <c r="O4684" s="294"/>
      <c r="P4684" s="404"/>
      <c r="Q4684" s="404"/>
    </row>
    <row r="4685" spans="1:17" ht="14.4" thickTop="1" thickBot="1" x14ac:dyDescent="0.3">
      <c r="A4685" s="292"/>
      <c r="B4685" s="294" t="s">
        <v>1406</v>
      </c>
      <c r="C4685" s="294"/>
      <c r="D4685" s="294"/>
      <c r="E4685" s="294">
        <v>2</v>
      </c>
      <c r="F4685" s="1131" t="s">
        <v>1392</v>
      </c>
      <c r="G4685" s="310"/>
      <c r="H4685" s="310"/>
      <c r="I4685" s="295"/>
      <c r="J4685" s="295"/>
      <c r="K4685" s="300">
        <f t="shared" si="618"/>
        <v>1.1000000000000001</v>
      </c>
      <c r="L4685" s="300">
        <f t="shared" si="619"/>
        <v>0</v>
      </c>
      <c r="M4685" s="285">
        <f t="shared" si="620"/>
        <v>0</v>
      </c>
      <c r="N4685" s="1076"/>
      <c r="O4685" s="294"/>
      <c r="P4685" s="404"/>
      <c r="Q4685" s="404"/>
    </row>
    <row r="4686" spans="1:17" ht="14.4" thickTop="1" thickBot="1" x14ac:dyDescent="0.3">
      <c r="A4686" s="292"/>
      <c r="B4686" s="294"/>
      <c r="C4686" s="294"/>
      <c r="D4686" s="294"/>
      <c r="E4686" s="294"/>
      <c r="F4686" s="310"/>
      <c r="G4686" s="310"/>
      <c r="H4686" s="310"/>
      <c r="I4686" s="295"/>
      <c r="J4686" s="295"/>
      <c r="K4686" s="300">
        <f t="shared" ref="K4686:K4752" si="621">$K$2</f>
        <v>1.1000000000000001</v>
      </c>
      <c r="L4686" s="300">
        <f t="shared" si="619"/>
        <v>0</v>
      </c>
      <c r="M4686" s="285">
        <f t="shared" si="620"/>
        <v>0</v>
      </c>
      <c r="N4686" s="1076"/>
      <c r="O4686" s="294"/>
      <c r="P4686" s="404"/>
      <c r="Q4686" s="404"/>
    </row>
    <row r="4687" spans="1:17" ht="14.4" thickTop="1" thickBot="1" x14ac:dyDescent="0.3">
      <c r="A4687" s="292"/>
      <c r="B4687" s="294" t="s">
        <v>823</v>
      </c>
      <c r="C4687" s="294"/>
      <c r="D4687" s="294"/>
      <c r="E4687" s="294"/>
      <c r="F4687" s="310"/>
      <c r="G4687" s="310"/>
      <c r="H4687" s="310"/>
      <c r="I4687" s="295"/>
      <c r="J4687" s="295"/>
      <c r="K4687" s="300">
        <f t="shared" si="621"/>
        <v>1.1000000000000001</v>
      </c>
      <c r="L4687" s="300">
        <f t="shared" si="619"/>
        <v>0</v>
      </c>
      <c r="M4687" s="285">
        <f t="shared" si="620"/>
        <v>0</v>
      </c>
      <c r="N4687" s="1076"/>
      <c r="O4687" s="294"/>
      <c r="P4687" s="404"/>
      <c r="Q4687" s="404"/>
    </row>
    <row r="4688" spans="1:17" ht="14.4" thickTop="1" thickBot="1" x14ac:dyDescent="0.3">
      <c r="A4688" s="292"/>
      <c r="B4688" s="294" t="s">
        <v>1454</v>
      </c>
      <c r="C4688" s="294"/>
      <c r="D4688" s="294"/>
      <c r="E4688" s="294">
        <v>2</v>
      </c>
      <c r="F4688" s="1131" t="s">
        <v>1394</v>
      </c>
      <c r="G4688" s="310"/>
      <c r="H4688" s="310"/>
      <c r="I4688" s="295"/>
      <c r="J4688" s="295"/>
      <c r="K4688" s="300">
        <f t="shared" si="621"/>
        <v>1.1000000000000001</v>
      </c>
      <c r="L4688" s="300">
        <f t="shared" si="619"/>
        <v>0</v>
      </c>
      <c r="M4688" s="285">
        <f t="shared" si="620"/>
        <v>0</v>
      </c>
      <c r="N4688" s="1076"/>
      <c r="O4688" s="294"/>
      <c r="P4688" s="404"/>
      <c r="Q4688" s="404"/>
    </row>
    <row r="4689" spans="1:17" ht="14.4" thickTop="1" thickBot="1" x14ac:dyDescent="0.3">
      <c r="A4689" s="292"/>
      <c r="B4689" s="294"/>
      <c r="C4689" s="294"/>
      <c r="D4689" s="294"/>
      <c r="E4689" s="294"/>
      <c r="F4689" s="310"/>
      <c r="G4689" s="310"/>
      <c r="H4689" s="310"/>
      <c r="I4689" s="295"/>
      <c r="J4689" s="295"/>
      <c r="K4689" s="300">
        <f t="shared" si="621"/>
        <v>1.1000000000000001</v>
      </c>
      <c r="L4689" s="300">
        <f t="shared" si="619"/>
        <v>0</v>
      </c>
      <c r="M4689" s="285">
        <f t="shared" si="620"/>
        <v>0</v>
      </c>
      <c r="N4689" s="1076"/>
      <c r="O4689" s="294"/>
      <c r="P4689" s="404"/>
      <c r="Q4689" s="404"/>
    </row>
    <row r="4690" spans="1:17" ht="14.4" thickTop="1" thickBot="1" x14ac:dyDescent="0.3">
      <c r="A4690" s="292"/>
      <c r="B4690" s="294" t="s">
        <v>1407</v>
      </c>
      <c r="C4690" s="294"/>
      <c r="D4690" s="294"/>
      <c r="E4690" s="294"/>
      <c r="F4690" s="310"/>
      <c r="G4690" s="310"/>
      <c r="H4690" s="310"/>
      <c r="I4690" s="295"/>
      <c r="J4690" s="295"/>
      <c r="K4690" s="300">
        <f t="shared" si="621"/>
        <v>1.1000000000000001</v>
      </c>
      <c r="L4690" s="300">
        <f t="shared" si="619"/>
        <v>0</v>
      </c>
      <c r="M4690" s="285">
        <f t="shared" si="620"/>
        <v>0</v>
      </c>
      <c r="N4690" s="1076"/>
      <c r="O4690" s="294"/>
      <c r="P4690" s="404"/>
      <c r="Q4690" s="404"/>
    </row>
    <row r="4691" spans="1:17" ht="14.4" thickTop="1" thickBot="1" x14ac:dyDescent="0.3">
      <c r="A4691" s="292"/>
      <c r="B4691" s="294" t="s">
        <v>1408</v>
      </c>
      <c r="C4691" s="294"/>
      <c r="D4691" s="294"/>
      <c r="E4691" s="294">
        <v>4</v>
      </c>
      <c r="F4691" s="1131" t="s">
        <v>1392</v>
      </c>
      <c r="G4691" s="310"/>
      <c r="H4691" s="310"/>
      <c r="I4691" s="295"/>
      <c r="J4691" s="295"/>
      <c r="K4691" s="300">
        <f t="shared" si="621"/>
        <v>1.1000000000000001</v>
      </c>
      <c r="L4691" s="300">
        <f t="shared" si="619"/>
        <v>0</v>
      </c>
      <c r="M4691" s="285">
        <f t="shared" si="620"/>
        <v>0</v>
      </c>
      <c r="N4691" s="1076"/>
      <c r="O4691" s="294"/>
      <c r="P4691" s="404"/>
      <c r="Q4691" s="404"/>
    </row>
    <row r="4692" spans="1:17" ht="14.4" thickTop="1" thickBot="1" x14ac:dyDescent="0.3">
      <c r="A4692" s="292"/>
      <c r="B4692" s="294"/>
      <c r="C4692" s="294"/>
      <c r="D4692" s="294"/>
      <c r="E4692" s="294"/>
      <c r="F4692" s="310"/>
      <c r="G4692" s="310"/>
      <c r="H4692" s="310"/>
      <c r="I4692" s="295"/>
      <c r="J4692" s="295"/>
      <c r="K4692" s="300">
        <f t="shared" si="621"/>
        <v>1.1000000000000001</v>
      </c>
      <c r="L4692" s="300">
        <f t="shared" si="619"/>
        <v>0</v>
      </c>
      <c r="M4692" s="285">
        <f t="shared" si="620"/>
        <v>0</v>
      </c>
      <c r="N4692" s="1076"/>
      <c r="O4692" s="294"/>
      <c r="P4692" s="404"/>
      <c r="Q4692" s="404"/>
    </row>
    <row r="4693" spans="1:17" ht="14.4" thickTop="1" thickBot="1" x14ac:dyDescent="0.3">
      <c r="A4693" s="292"/>
      <c r="B4693" s="294" t="s">
        <v>1410</v>
      </c>
      <c r="C4693" s="294"/>
      <c r="D4693" s="294"/>
      <c r="E4693" s="294"/>
      <c r="F4693" s="310"/>
      <c r="G4693" s="310"/>
      <c r="H4693" s="310"/>
      <c r="I4693" s="295"/>
      <c r="J4693" s="295"/>
      <c r="K4693" s="300">
        <f t="shared" si="621"/>
        <v>1.1000000000000001</v>
      </c>
      <c r="L4693" s="300">
        <f t="shared" si="619"/>
        <v>0</v>
      </c>
      <c r="M4693" s="285">
        <f t="shared" si="620"/>
        <v>0</v>
      </c>
      <c r="N4693" s="1076"/>
      <c r="O4693" s="294"/>
      <c r="P4693" s="404"/>
      <c r="Q4693" s="404"/>
    </row>
    <row r="4694" spans="1:17" ht="14.4" thickTop="1" thickBot="1" x14ac:dyDescent="0.3">
      <c r="A4694" s="292"/>
      <c r="B4694" s="294" t="s">
        <v>1409</v>
      </c>
      <c r="C4694" s="294"/>
      <c r="D4694" s="294"/>
      <c r="E4694" s="294">
        <v>12</v>
      </c>
      <c r="F4694" s="1131" t="s">
        <v>1394</v>
      </c>
      <c r="G4694" s="310"/>
      <c r="H4694" s="310"/>
      <c r="I4694" s="295"/>
      <c r="J4694" s="295"/>
      <c r="K4694" s="300">
        <f t="shared" si="621"/>
        <v>1.1000000000000001</v>
      </c>
      <c r="L4694" s="300">
        <f t="shared" si="619"/>
        <v>0</v>
      </c>
      <c r="M4694" s="285">
        <f t="shared" si="620"/>
        <v>0</v>
      </c>
      <c r="N4694" s="1076"/>
      <c r="O4694" s="294"/>
      <c r="P4694" s="404"/>
      <c r="Q4694" s="404"/>
    </row>
    <row r="4695" spans="1:17" ht="14.4" thickTop="1" thickBot="1" x14ac:dyDescent="0.3">
      <c r="A4695" s="292"/>
      <c r="B4695" s="294"/>
      <c r="C4695" s="294"/>
      <c r="D4695" s="294"/>
      <c r="E4695" s="294"/>
      <c r="F4695" s="310"/>
      <c r="G4695" s="310"/>
      <c r="H4695" s="310"/>
      <c r="I4695" s="295"/>
      <c r="J4695" s="295"/>
      <c r="K4695" s="300">
        <f t="shared" si="621"/>
        <v>1.1000000000000001</v>
      </c>
      <c r="L4695" s="300">
        <f t="shared" si="619"/>
        <v>0</v>
      </c>
      <c r="M4695" s="285">
        <f t="shared" si="620"/>
        <v>0</v>
      </c>
      <c r="N4695" s="1076"/>
      <c r="O4695" s="294"/>
      <c r="P4695" s="404"/>
      <c r="Q4695" s="404"/>
    </row>
    <row r="4696" spans="1:17" ht="14.4" thickTop="1" thickBot="1" x14ac:dyDescent="0.3">
      <c r="A4696" s="292"/>
      <c r="B4696" s="294" t="s">
        <v>1412</v>
      </c>
      <c r="C4696" s="294"/>
      <c r="D4696" s="294"/>
      <c r="E4696" s="294"/>
      <c r="F4696" s="310"/>
      <c r="G4696" s="310"/>
      <c r="H4696" s="310"/>
      <c r="I4696" s="295"/>
      <c r="J4696" s="295"/>
      <c r="K4696" s="300">
        <f t="shared" si="621"/>
        <v>1.1000000000000001</v>
      </c>
      <c r="L4696" s="300">
        <f t="shared" si="619"/>
        <v>0</v>
      </c>
      <c r="M4696" s="285">
        <f t="shared" si="620"/>
        <v>0</v>
      </c>
      <c r="N4696" s="1076"/>
      <c r="O4696" s="294"/>
      <c r="P4696" s="404"/>
      <c r="Q4696" s="404"/>
    </row>
    <row r="4697" spans="1:17" ht="14.4" thickTop="1" thickBot="1" x14ac:dyDescent="0.3">
      <c r="A4697" s="292"/>
      <c r="B4697" s="294" t="s">
        <v>1411</v>
      </c>
      <c r="C4697" s="294"/>
      <c r="D4697" s="294"/>
      <c r="E4697" s="294">
        <v>11</v>
      </c>
      <c r="F4697" s="1131" t="s">
        <v>1392</v>
      </c>
      <c r="G4697" s="310"/>
      <c r="H4697" s="310"/>
      <c r="I4697" s="295"/>
      <c r="J4697" s="295"/>
      <c r="K4697" s="300">
        <f t="shared" si="621"/>
        <v>1.1000000000000001</v>
      </c>
      <c r="L4697" s="300">
        <f t="shared" si="619"/>
        <v>0</v>
      </c>
      <c r="M4697" s="285">
        <f t="shared" si="620"/>
        <v>0</v>
      </c>
      <c r="N4697" s="1076"/>
      <c r="O4697" s="294"/>
      <c r="P4697" s="404"/>
      <c r="Q4697" s="404"/>
    </row>
    <row r="4698" spans="1:17" ht="14.4" thickTop="1" thickBot="1" x14ac:dyDescent="0.3">
      <c r="A4698" s="292"/>
      <c r="B4698" s="294"/>
      <c r="C4698" s="294"/>
      <c r="D4698" s="294"/>
      <c r="E4698" s="294"/>
      <c r="F4698" s="310"/>
      <c r="G4698" s="310"/>
      <c r="H4698" s="310"/>
      <c r="I4698" s="295"/>
      <c r="J4698" s="295"/>
      <c r="K4698" s="300">
        <f t="shared" si="621"/>
        <v>1.1000000000000001</v>
      </c>
      <c r="L4698" s="300">
        <f t="shared" si="619"/>
        <v>0</v>
      </c>
      <c r="M4698" s="285">
        <f t="shared" si="620"/>
        <v>0</v>
      </c>
      <c r="N4698" s="1076"/>
      <c r="O4698" s="294"/>
      <c r="P4698" s="404"/>
      <c r="Q4698" s="404"/>
    </row>
    <row r="4699" spans="1:17" ht="14.4" thickTop="1" thickBot="1" x14ac:dyDescent="0.3">
      <c r="A4699" s="292"/>
      <c r="B4699" s="722" t="str">
        <f>F4697</f>
        <v>12W</v>
      </c>
      <c r="C4699" s="294"/>
      <c r="D4699" s="294"/>
      <c r="E4699" s="294">
        <f>E4663+E4669+E4679+E4682+E4685+E4691+E4697</f>
        <v>34</v>
      </c>
      <c r="F4699" s="310"/>
      <c r="G4699" s="310"/>
      <c r="H4699" s="310"/>
      <c r="I4699" s="295"/>
      <c r="J4699" s="295"/>
      <c r="K4699" s="300">
        <f t="shared" si="621"/>
        <v>1.1000000000000001</v>
      </c>
      <c r="L4699" s="300">
        <f t="shared" si="619"/>
        <v>0</v>
      </c>
      <c r="M4699" s="285">
        <f t="shared" si="620"/>
        <v>0</v>
      </c>
      <c r="N4699" s="1076"/>
      <c r="O4699" s="294"/>
      <c r="P4699" s="404"/>
      <c r="Q4699" s="404"/>
    </row>
    <row r="4700" spans="1:17" ht="14.4" thickTop="1" thickBot="1" x14ac:dyDescent="0.3">
      <c r="A4700" s="292"/>
      <c r="B4700" s="722" t="str">
        <f>F4694</f>
        <v>18W</v>
      </c>
      <c r="C4700" s="294"/>
      <c r="D4700" s="294"/>
      <c r="E4700" s="294">
        <f>E4666++E4672+E4675+E4688+E4694</f>
        <v>20</v>
      </c>
      <c r="F4700" s="310"/>
      <c r="G4700" s="310"/>
      <c r="H4700" s="310"/>
      <c r="I4700" s="295"/>
      <c r="J4700" s="295"/>
      <c r="K4700" s="300">
        <f t="shared" si="621"/>
        <v>1.1000000000000001</v>
      </c>
      <c r="L4700" s="300">
        <f t="shared" si="619"/>
        <v>0</v>
      </c>
      <c r="M4700" s="285">
        <f t="shared" si="620"/>
        <v>0</v>
      </c>
      <c r="N4700" s="1076"/>
      <c r="O4700" s="294"/>
      <c r="P4700" s="404"/>
      <c r="Q4700" s="404"/>
    </row>
    <row r="4701" spans="1:17" ht="14.4" thickTop="1" thickBot="1" x14ac:dyDescent="0.3">
      <c r="A4701" s="292"/>
      <c r="B4701" s="722" t="str">
        <f>F4685</f>
        <v>12W</v>
      </c>
      <c r="C4701" s="294"/>
      <c r="D4701" s="294"/>
      <c r="E4701" s="294">
        <f>E4678</f>
        <v>4</v>
      </c>
      <c r="F4701" s="310"/>
      <c r="G4701" s="310"/>
      <c r="H4701" s="310"/>
      <c r="I4701" s="295"/>
      <c r="J4701" s="295"/>
      <c r="K4701" s="300">
        <f t="shared" si="621"/>
        <v>1.1000000000000001</v>
      </c>
      <c r="L4701" s="300">
        <f t="shared" ref="L4701:L4770" si="622">K4701*J4701</f>
        <v>0</v>
      </c>
      <c r="M4701" s="285">
        <f t="shared" si="620"/>
        <v>0</v>
      </c>
      <c r="N4701" s="1076"/>
      <c r="O4701" s="294"/>
      <c r="P4701" s="404">
        <f>SUM(E4699:E4701)</f>
        <v>58</v>
      </c>
      <c r="Q4701" s="404"/>
    </row>
    <row r="4702" spans="1:17" ht="14.4" thickTop="1" thickBot="1" x14ac:dyDescent="0.3">
      <c r="A4702" s="292"/>
      <c r="B4702" s="294"/>
      <c r="C4702" s="294"/>
      <c r="D4702" s="294"/>
      <c r="E4702" s="294"/>
      <c r="F4702" s="310"/>
      <c r="G4702" s="310"/>
      <c r="H4702" s="310"/>
      <c r="I4702" s="295"/>
      <c r="J4702" s="295"/>
      <c r="K4702" s="300">
        <f t="shared" si="621"/>
        <v>1.1000000000000001</v>
      </c>
      <c r="L4702" s="300">
        <f t="shared" si="622"/>
        <v>0</v>
      </c>
      <c r="M4702" s="285">
        <f t="shared" si="620"/>
        <v>0</v>
      </c>
      <c r="N4702" s="1076"/>
      <c r="O4702" s="294"/>
      <c r="P4702" s="404"/>
      <c r="Q4702" s="404"/>
    </row>
    <row r="4703" spans="1:17" ht="14.4" thickTop="1" thickBot="1" x14ac:dyDescent="0.3">
      <c r="A4703" s="292"/>
      <c r="B4703" s="294"/>
      <c r="C4703" s="294"/>
      <c r="D4703" s="294"/>
      <c r="E4703" s="294"/>
      <c r="F4703" s="310"/>
      <c r="G4703" s="310"/>
      <c r="H4703" s="310"/>
      <c r="I4703" s="295"/>
      <c r="J4703" s="295"/>
      <c r="K4703" s="300">
        <f t="shared" si="621"/>
        <v>1.1000000000000001</v>
      </c>
      <c r="L4703" s="300">
        <f t="shared" si="622"/>
        <v>0</v>
      </c>
      <c r="M4703" s="285">
        <f t="shared" si="620"/>
        <v>0</v>
      </c>
      <c r="N4703" s="1076"/>
      <c r="O4703" s="294"/>
      <c r="P4703" s="404"/>
      <c r="Q4703" s="404"/>
    </row>
    <row r="4704" spans="1:17" ht="14.4" thickTop="1" thickBot="1" x14ac:dyDescent="0.3">
      <c r="A4704" s="292"/>
      <c r="B4704" s="302" t="s">
        <v>1372</v>
      </c>
      <c r="C4704" s="294"/>
      <c r="D4704" s="294"/>
      <c r="E4704" s="294"/>
      <c r="F4704" s="310"/>
      <c r="G4704" s="310"/>
      <c r="H4704" s="310"/>
      <c r="I4704" s="295"/>
      <c r="J4704" s="295"/>
      <c r="K4704" s="300">
        <f t="shared" si="621"/>
        <v>1.1000000000000001</v>
      </c>
      <c r="L4704" s="300">
        <f t="shared" si="622"/>
        <v>0</v>
      </c>
      <c r="M4704" s="285">
        <f t="shared" si="620"/>
        <v>0</v>
      </c>
      <c r="N4704" s="1076"/>
      <c r="O4704" s="294"/>
      <c r="P4704" s="404"/>
      <c r="Q4704" s="404"/>
    </row>
    <row r="4705" spans="1:17" ht="14.4" thickTop="1" thickBot="1" x14ac:dyDescent="0.3">
      <c r="A4705" s="292"/>
      <c r="B4705" s="294" t="s">
        <v>828</v>
      </c>
      <c r="C4705" s="294"/>
      <c r="D4705" s="294"/>
      <c r="E4705" s="294"/>
      <c r="F4705" s="310"/>
      <c r="G4705" s="310"/>
      <c r="H4705" s="310"/>
      <c r="I4705" s="295"/>
      <c r="J4705" s="295"/>
      <c r="K4705" s="300">
        <f t="shared" si="621"/>
        <v>1.1000000000000001</v>
      </c>
      <c r="L4705" s="300">
        <f t="shared" si="622"/>
        <v>0</v>
      </c>
      <c r="M4705" s="285">
        <f t="shared" si="620"/>
        <v>0</v>
      </c>
      <c r="N4705" s="1076"/>
      <c r="O4705" s="294"/>
      <c r="P4705" s="404"/>
      <c r="Q4705" s="404"/>
    </row>
    <row r="4706" spans="1:17" ht="14.4" thickTop="1" thickBot="1" x14ac:dyDescent="0.3">
      <c r="A4706" s="292"/>
      <c r="B4706" s="294" t="s">
        <v>1420</v>
      </c>
      <c r="C4706" s="294"/>
      <c r="D4706" s="294"/>
      <c r="E4706" s="294">
        <v>6</v>
      </c>
      <c r="F4706" s="1131" t="s">
        <v>1394</v>
      </c>
      <c r="G4706" s="310"/>
      <c r="H4706" s="310"/>
      <c r="I4706" s="295"/>
      <c r="J4706" s="295"/>
      <c r="K4706" s="300">
        <f t="shared" si="621"/>
        <v>1.1000000000000001</v>
      </c>
      <c r="L4706" s="300">
        <f t="shared" si="622"/>
        <v>0</v>
      </c>
      <c r="M4706" s="285">
        <f t="shared" si="620"/>
        <v>0</v>
      </c>
      <c r="N4706" s="1076"/>
      <c r="O4706" s="294"/>
      <c r="P4706" s="404"/>
      <c r="Q4706" s="404"/>
    </row>
    <row r="4707" spans="1:17" ht="14.4" thickTop="1" thickBot="1" x14ac:dyDescent="0.3">
      <c r="A4707" s="292"/>
      <c r="B4707" s="294"/>
      <c r="C4707" s="294"/>
      <c r="D4707" s="294"/>
      <c r="E4707" s="294"/>
      <c r="F4707" s="310"/>
      <c r="G4707" s="310"/>
      <c r="H4707" s="310"/>
      <c r="I4707" s="295"/>
      <c r="J4707" s="295"/>
      <c r="K4707" s="300">
        <f t="shared" si="621"/>
        <v>1.1000000000000001</v>
      </c>
      <c r="L4707" s="300">
        <f t="shared" si="622"/>
        <v>0</v>
      </c>
      <c r="M4707" s="285">
        <f t="shared" si="620"/>
        <v>0</v>
      </c>
      <c r="N4707" s="1076"/>
      <c r="O4707" s="294"/>
      <c r="P4707" s="404"/>
      <c r="Q4707" s="404"/>
    </row>
    <row r="4708" spans="1:17" ht="14.4" thickTop="1" thickBot="1" x14ac:dyDescent="0.3">
      <c r="A4708" s="292"/>
      <c r="B4708" s="294" t="s">
        <v>1421</v>
      </c>
      <c r="C4708" s="294"/>
      <c r="D4708" s="294"/>
      <c r="E4708" s="294"/>
      <c r="F4708" s="310"/>
      <c r="G4708" s="310"/>
      <c r="H4708" s="310"/>
      <c r="I4708" s="295"/>
      <c r="J4708" s="295"/>
      <c r="K4708" s="300">
        <f t="shared" si="621"/>
        <v>1.1000000000000001</v>
      </c>
      <c r="L4708" s="300">
        <f t="shared" si="622"/>
        <v>0</v>
      </c>
      <c r="M4708" s="285">
        <f t="shared" si="620"/>
        <v>0</v>
      </c>
      <c r="N4708" s="1076"/>
      <c r="O4708" s="294"/>
      <c r="P4708" s="404"/>
      <c r="Q4708" s="404"/>
    </row>
    <row r="4709" spans="1:17" ht="14.4" thickTop="1" thickBot="1" x14ac:dyDescent="0.3">
      <c r="A4709" s="292"/>
      <c r="B4709" s="294" t="s">
        <v>1455</v>
      </c>
      <c r="C4709" s="294"/>
      <c r="D4709" s="294"/>
      <c r="E4709" s="294">
        <v>8</v>
      </c>
      <c r="F4709" s="1131" t="s">
        <v>1394</v>
      </c>
      <c r="G4709" s="310"/>
      <c r="H4709" s="310"/>
      <c r="I4709" s="295"/>
      <c r="J4709" s="295"/>
      <c r="K4709" s="300">
        <f t="shared" si="621"/>
        <v>1.1000000000000001</v>
      </c>
      <c r="L4709" s="300">
        <f t="shared" si="622"/>
        <v>0</v>
      </c>
      <c r="M4709" s="285">
        <f t="shared" si="620"/>
        <v>0</v>
      </c>
      <c r="N4709" s="1076"/>
      <c r="O4709" s="294"/>
      <c r="P4709" s="404"/>
      <c r="Q4709" s="404"/>
    </row>
    <row r="4710" spans="1:17" ht="14.4" thickTop="1" thickBot="1" x14ac:dyDescent="0.3">
      <c r="A4710" s="292"/>
      <c r="B4710" s="294"/>
      <c r="C4710" s="294"/>
      <c r="D4710" s="294"/>
      <c r="E4710" s="294"/>
      <c r="F4710" s="310"/>
      <c r="G4710" s="310"/>
      <c r="H4710" s="310"/>
      <c r="I4710" s="295"/>
      <c r="J4710" s="295"/>
      <c r="K4710" s="300">
        <f t="shared" si="621"/>
        <v>1.1000000000000001</v>
      </c>
      <c r="L4710" s="300">
        <f t="shared" si="622"/>
        <v>0</v>
      </c>
      <c r="M4710" s="285">
        <f t="shared" si="620"/>
        <v>0</v>
      </c>
      <c r="N4710" s="1076"/>
      <c r="O4710" s="294"/>
      <c r="P4710" s="404"/>
      <c r="Q4710" s="404"/>
    </row>
    <row r="4711" spans="1:17" ht="14.4" thickTop="1" thickBot="1" x14ac:dyDescent="0.3">
      <c r="A4711" s="292"/>
      <c r="B4711" s="294" t="s">
        <v>1402</v>
      </c>
      <c r="C4711" s="294"/>
      <c r="D4711" s="294"/>
      <c r="E4711" s="294"/>
      <c r="F4711" s="310"/>
      <c r="G4711" s="310"/>
      <c r="H4711" s="310"/>
      <c r="I4711" s="295"/>
      <c r="J4711" s="295"/>
      <c r="K4711" s="300">
        <f t="shared" si="621"/>
        <v>1.1000000000000001</v>
      </c>
      <c r="L4711" s="300">
        <f t="shared" si="622"/>
        <v>0</v>
      </c>
      <c r="M4711" s="285">
        <f t="shared" ref="M4711:M4777" si="623">ROUND(L4711,0)</f>
        <v>0</v>
      </c>
      <c r="N4711" s="1076"/>
      <c r="O4711" s="294"/>
      <c r="P4711" s="404"/>
      <c r="Q4711" s="404"/>
    </row>
    <row r="4712" spans="1:17" ht="14.4" thickTop="1" thickBot="1" x14ac:dyDescent="0.3">
      <c r="A4712" s="292"/>
      <c r="B4712" s="294" t="s">
        <v>1403</v>
      </c>
      <c r="C4712" s="294"/>
      <c r="D4712" s="294"/>
      <c r="E4712" s="294">
        <v>4</v>
      </c>
      <c r="F4712" s="1131" t="s">
        <v>1404</v>
      </c>
      <c r="G4712" s="310"/>
      <c r="H4712" s="310"/>
      <c r="I4712" s="295"/>
      <c r="J4712" s="295"/>
      <c r="K4712" s="300">
        <f t="shared" si="621"/>
        <v>1.1000000000000001</v>
      </c>
      <c r="L4712" s="300">
        <f t="shared" si="622"/>
        <v>0</v>
      </c>
      <c r="M4712" s="285">
        <f t="shared" si="623"/>
        <v>0</v>
      </c>
      <c r="N4712" s="1076"/>
      <c r="O4712" s="294"/>
      <c r="P4712" s="404"/>
      <c r="Q4712" s="404"/>
    </row>
    <row r="4713" spans="1:17" ht="14.4" thickTop="1" thickBot="1" x14ac:dyDescent="0.3">
      <c r="A4713" s="292"/>
      <c r="B4713" s="294"/>
      <c r="C4713" s="294"/>
      <c r="D4713" s="294"/>
      <c r="E4713" s="294">
        <v>3</v>
      </c>
      <c r="F4713" s="1131" t="s">
        <v>1392</v>
      </c>
      <c r="G4713" s="310"/>
      <c r="H4713" s="310"/>
      <c r="I4713" s="295"/>
      <c r="J4713" s="295"/>
      <c r="K4713" s="300">
        <f t="shared" si="621"/>
        <v>1.1000000000000001</v>
      </c>
      <c r="L4713" s="300">
        <f t="shared" si="622"/>
        <v>0</v>
      </c>
      <c r="M4713" s="285">
        <f t="shared" si="623"/>
        <v>0</v>
      </c>
      <c r="N4713" s="1076"/>
      <c r="O4713" s="294"/>
      <c r="P4713" s="404"/>
      <c r="Q4713" s="404"/>
    </row>
    <row r="4714" spans="1:17" ht="14.4" thickTop="1" thickBot="1" x14ac:dyDescent="0.3">
      <c r="A4714" s="292"/>
      <c r="B4714" s="294"/>
      <c r="C4714" s="294"/>
      <c r="D4714" s="294"/>
      <c r="E4714" s="294"/>
      <c r="F4714" s="310"/>
      <c r="G4714" s="310"/>
      <c r="H4714" s="310"/>
      <c r="I4714" s="295"/>
      <c r="J4714" s="295"/>
      <c r="K4714" s="300">
        <f t="shared" si="621"/>
        <v>1.1000000000000001</v>
      </c>
      <c r="L4714" s="300">
        <f t="shared" si="622"/>
        <v>0</v>
      </c>
      <c r="M4714" s="285">
        <f t="shared" si="623"/>
        <v>0</v>
      </c>
      <c r="N4714" s="1076"/>
      <c r="O4714" s="294"/>
      <c r="P4714" s="404"/>
      <c r="Q4714" s="404"/>
    </row>
    <row r="4715" spans="1:17" ht="14.4" thickTop="1" thickBot="1" x14ac:dyDescent="0.3">
      <c r="A4715" s="292"/>
      <c r="B4715" s="294" t="s">
        <v>817</v>
      </c>
      <c r="C4715" s="294"/>
      <c r="D4715" s="294"/>
      <c r="E4715" s="294"/>
      <c r="F4715" s="310"/>
      <c r="G4715" s="310"/>
      <c r="H4715" s="310"/>
      <c r="I4715" s="295"/>
      <c r="J4715" s="295"/>
      <c r="K4715" s="300">
        <f t="shared" si="621"/>
        <v>1.1000000000000001</v>
      </c>
      <c r="L4715" s="300">
        <f t="shared" si="622"/>
        <v>0</v>
      </c>
      <c r="M4715" s="285">
        <f t="shared" si="623"/>
        <v>0</v>
      </c>
      <c r="N4715" s="1076"/>
      <c r="O4715" s="294"/>
      <c r="P4715" s="404"/>
      <c r="Q4715" s="404"/>
    </row>
    <row r="4716" spans="1:17" ht="14.4" thickTop="1" thickBot="1" x14ac:dyDescent="0.3">
      <c r="A4716" s="292"/>
      <c r="B4716" s="294" t="s">
        <v>1405</v>
      </c>
      <c r="C4716" s="294"/>
      <c r="D4716" s="294"/>
      <c r="E4716" s="294">
        <v>6</v>
      </c>
      <c r="F4716" s="1131" t="s">
        <v>1392</v>
      </c>
      <c r="G4716" s="310"/>
      <c r="H4716" s="310"/>
      <c r="I4716" s="295"/>
      <c r="J4716" s="295"/>
      <c r="K4716" s="300">
        <f t="shared" si="621"/>
        <v>1.1000000000000001</v>
      </c>
      <c r="L4716" s="300">
        <f t="shared" si="622"/>
        <v>0</v>
      </c>
      <c r="M4716" s="285">
        <f t="shared" si="623"/>
        <v>0</v>
      </c>
      <c r="N4716" s="1076"/>
      <c r="O4716" s="294"/>
      <c r="P4716" s="404"/>
      <c r="Q4716" s="404"/>
    </row>
    <row r="4717" spans="1:17" ht="14.4" thickTop="1" thickBot="1" x14ac:dyDescent="0.3">
      <c r="A4717" s="292"/>
      <c r="B4717" s="294"/>
      <c r="C4717" s="294"/>
      <c r="D4717" s="294"/>
      <c r="E4717" s="294">
        <v>0</v>
      </c>
      <c r="F4717" s="1131" t="s">
        <v>1404</v>
      </c>
      <c r="G4717" s="310"/>
      <c r="H4717" s="310"/>
      <c r="I4717" s="295"/>
      <c r="J4717" s="295"/>
      <c r="K4717" s="300">
        <f t="shared" si="621"/>
        <v>1.1000000000000001</v>
      </c>
      <c r="L4717" s="300">
        <f t="shared" si="622"/>
        <v>0</v>
      </c>
      <c r="M4717" s="285">
        <f t="shared" si="623"/>
        <v>0</v>
      </c>
      <c r="N4717" s="1076"/>
      <c r="O4717" s="294"/>
      <c r="P4717" s="404"/>
      <c r="Q4717" s="404"/>
    </row>
    <row r="4718" spans="1:17" ht="14.4" thickTop="1" thickBot="1" x14ac:dyDescent="0.3">
      <c r="A4718" s="292"/>
      <c r="B4718" s="294" t="s">
        <v>818</v>
      </c>
      <c r="C4718" s="294"/>
      <c r="D4718" s="294"/>
      <c r="E4718" s="294"/>
      <c r="F4718" s="310"/>
      <c r="G4718" s="310"/>
      <c r="H4718" s="310"/>
      <c r="I4718" s="295"/>
      <c r="J4718" s="295"/>
      <c r="K4718" s="300">
        <f t="shared" si="621"/>
        <v>1.1000000000000001</v>
      </c>
      <c r="L4718" s="300">
        <f t="shared" si="622"/>
        <v>0</v>
      </c>
      <c r="M4718" s="285">
        <f t="shared" si="623"/>
        <v>0</v>
      </c>
      <c r="N4718" s="1076"/>
      <c r="O4718" s="294"/>
      <c r="P4718" s="404"/>
      <c r="Q4718" s="404"/>
    </row>
    <row r="4719" spans="1:17" ht="14.4" thickTop="1" thickBot="1" x14ac:dyDescent="0.3">
      <c r="A4719" s="292"/>
      <c r="B4719" s="294" t="s">
        <v>1406</v>
      </c>
      <c r="C4719" s="294"/>
      <c r="D4719" s="294"/>
      <c r="E4719" s="294">
        <v>2</v>
      </c>
      <c r="F4719" s="1131" t="s">
        <v>1392</v>
      </c>
      <c r="G4719" s="310"/>
      <c r="H4719" s="310"/>
      <c r="I4719" s="295"/>
      <c r="J4719" s="295"/>
      <c r="K4719" s="300">
        <f t="shared" si="621"/>
        <v>1.1000000000000001</v>
      </c>
      <c r="L4719" s="300">
        <f t="shared" si="622"/>
        <v>0</v>
      </c>
      <c r="M4719" s="285">
        <f t="shared" si="623"/>
        <v>0</v>
      </c>
      <c r="N4719" s="1076"/>
      <c r="O4719" s="294"/>
      <c r="P4719" s="404"/>
      <c r="Q4719" s="404"/>
    </row>
    <row r="4720" spans="1:17" ht="14.4" thickTop="1" thickBot="1" x14ac:dyDescent="0.3">
      <c r="A4720" s="292"/>
      <c r="B4720" s="294"/>
      <c r="C4720" s="294"/>
      <c r="D4720" s="294"/>
      <c r="E4720" s="294"/>
      <c r="F4720" s="310"/>
      <c r="G4720" s="310"/>
      <c r="H4720" s="310"/>
      <c r="I4720" s="295"/>
      <c r="J4720" s="295"/>
      <c r="K4720" s="300">
        <f t="shared" si="621"/>
        <v>1.1000000000000001</v>
      </c>
      <c r="L4720" s="300">
        <f t="shared" si="622"/>
        <v>0</v>
      </c>
      <c r="M4720" s="285">
        <f t="shared" si="623"/>
        <v>0</v>
      </c>
      <c r="N4720" s="1076"/>
      <c r="O4720" s="294"/>
      <c r="P4720" s="404"/>
      <c r="Q4720" s="404"/>
    </row>
    <row r="4721" spans="1:17" ht="14.4" thickTop="1" thickBot="1" x14ac:dyDescent="0.3">
      <c r="A4721" s="292"/>
      <c r="B4721" s="294" t="s">
        <v>1456</v>
      </c>
      <c r="C4721" s="294"/>
      <c r="D4721" s="294"/>
      <c r="E4721" s="294"/>
      <c r="F4721" s="310"/>
      <c r="G4721" s="310"/>
      <c r="H4721" s="310"/>
      <c r="I4721" s="295"/>
      <c r="J4721" s="295"/>
      <c r="K4721" s="300"/>
      <c r="L4721" s="300"/>
      <c r="M4721" s="285"/>
      <c r="N4721" s="1076"/>
      <c r="O4721" s="294"/>
      <c r="P4721" s="404"/>
      <c r="Q4721" s="404"/>
    </row>
    <row r="4722" spans="1:17" ht="14.4" thickTop="1" thickBot="1" x14ac:dyDescent="0.3">
      <c r="A4722" s="292"/>
      <c r="B4722" s="294" t="s">
        <v>1457</v>
      </c>
      <c r="C4722" s="294"/>
      <c r="D4722" s="294"/>
      <c r="E4722" s="294">
        <v>3</v>
      </c>
      <c r="F4722" s="1131" t="s">
        <v>1392</v>
      </c>
      <c r="G4722" s="310"/>
      <c r="H4722" s="310"/>
      <c r="I4722" s="295"/>
      <c r="J4722" s="295"/>
      <c r="K4722" s="300"/>
      <c r="L4722" s="300"/>
      <c r="M4722" s="285"/>
      <c r="N4722" s="1076"/>
      <c r="O4722" s="294"/>
      <c r="P4722" s="404"/>
      <c r="Q4722" s="404"/>
    </row>
    <row r="4723" spans="1:17" ht="14.4" thickTop="1" thickBot="1" x14ac:dyDescent="0.3">
      <c r="A4723" s="292"/>
      <c r="B4723" s="294"/>
      <c r="C4723" s="294"/>
      <c r="D4723" s="294"/>
      <c r="E4723" s="294"/>
      <c r="F4723" s="310"/>
      <c r="G4723" s="310"/>
      <c r="H4723" s="310"/>
      <c r="I4723" s="295"/>
      <c r="J4723" s="295"/>
      <c r="K4723" s="300"/>
      <c r="L4723" s="300"/>
      <c r="M4723" s="285"/>
      <c r="N4723" s="1076"/>
      <c r="O4723" s="294"/>
      <c r="P4723" s="404"/>
      <c r="Q4723" s="404"/>
    </row>
    <row r="4724" spans="1:17" ht="14.4" thickTop="1" thickBot="1" x14ac:dyDescent="0.3">
      <c r="A4724" s="292"/>
      <c r="B4724" s="294" t="s">
        <v>1422</v>
      </c>
      <c r="C4724" s="294"/>
      <c r="D4724" s="294"/>
      <c r="E4724" s="294"/>
      <c r="F4724" s="310"/>
      <c r="G4724" s="310"/>
      <c r="H4724" s="310"/>
      <c r="I4724" s="295"/>
      <c r="J4724" s="295"/>
      <c r="K4724" s="300">
        <f t="shared" si="621"/>
        <v>1.1000000000000001</v>
      </c>
      <c r="L4724" s="300">
        <f t="shared" si="622"/>
        <v>0</v>
      </c>
      <c r="M4724" s="285">
        <f t="shared" si="623"/>
        <v>0</v>
      </c>
      <c r="N4724" s="1076"/>
      <c r="O4724" s="294"/>
      <c r="P4724" s="404"/>
      <c r="Q4724" s="404"/>
    </row>
    <row r="4725" spans="1:17" ht="14.4" thickTop="1" thickBot="1" x14ac:dyDescent="0.3">
      <c r="A4725" s="292"/>
      <c r="B4725" s="294" t="s">
        <v>1423</v>
      </c>
      <c r="C4725" s="294"/>
      <c r="D4725" s="294"/>
      <c r="E4725" s="294">
        <v>6</v>
      </c>
      <c r="F4725" s="1131" t="s">
        <v>1392</v>
      </c>
      <c r="G4725" s="310"/>
      <c r="H4725" s="310"/>
      <c r="I4725" s="295"/>
      <c r="J4725" s="295"/>
      <c r="K4725" s="300">
        <f t="shared" si="621"/>
        <v>1.1000000000000001</v>
      </c>
      <c r="L4725" s="300">
        <f t="shared" si="622"/>
        <v>0</v>
      </c>
      <c r="M4725" s="285">
        <f t="shared" si="623"/>
        <v>0</v>
      </c>
      <c r="N4725" s="1076"/>
      <c r="O4725" s="294"/>
      <c r="P4725" s="404"/>
      <c r="Q4725" s="404"/>
    </row>
    <row r="4726" spans="1:17" ht="14.4" thickTop="1" thickBot="1" x14ac:dyDescent="0.3">
      <c r="A4726" s="292"/>
      <c r="B4726" s="294"/>
      <c r="C4726" s="294"/>
      <c r="D4726" s="294"/>
      <c r="E4726" s="294"/>
      <c r="F4726" s="310"/>
      <c r="G4726" s="310"/>
      <c r="H4726" s="310"/>
      <c r="I4726" s="295"/>
      <c r="J4726" s="295"/>
      <c r="K4726" s="300">
        <f t="shared" si="621"/>
        <v>1.1000000000000001</v>
      </c>
      <c r="L4726" s="300">
        <f t="shared" si="622"/>
        <v>0</v>
      </c>
      <c r="M4726" s="285">
        <f t="shared" si="623"/>
        <v>0</v>
      </c>
      <c r="N4726" s="1076"/>
      <c r="O4726" s="294"/>
      <c r="P4726" s="404"/>
      <c r="Q4726" s="404"/>
    </row>
    <row r="4727" spans="1:17" ht="14.4" thickTop="1" thickBot="1" x14ac:dyDescent="0.3">
      <c r="A4727" s="292"/>
      <c r="B4727" s="294" t="s">
        <v>1424</v>
      </c>
      <c r="C4727" s="294"/>
      <c r="D4727" s="294"/>
      <c r="E4727" s="294"/>
      <c r="F4727" s="310"/>
      <c r="G4727" s="310"/>
      <c r="H4727" s="310"/>
      <c r="I4727" s="295"/>
      <c r="J4727" s="295"/>
      <c r="K4727" s="300">
        <f t="shared" si="621"/>
        <v>1.1000000000000001</v>
      </c>
      <c r="L4727" s="300">
        <f t="shared" si="622"/>
        <v>0</v>
      </c>
      <c r="M4727" s="285">
        <f t="shared" si="623"/>
        <v>0</v>
      </c>
      <c r="N4727" s="1076"/>
      <c r="O4727" s="294"/>
      <c r="P4727" s="404"/>
      <c r="Q4727" s="404"/>
    </row>
    <row r="4728" spans="1:17" ht="14.4" thickTop="1" thickBot="1" x14ac:dyDescent="0.3">
      <c r="A4728" s="292"/>
      <c r="B4728" s="294" t="s">
        <v>1425</v>
      </c>
      <c r="C4728" s="294"/>
      <c r="D4728" s="294"/>
      <c r="E4728" s="294">
        <v>3</v>
      </c>
      <c r="F4728" s="1131" t="s">
        <v>1392</v>
      </c>
      <c r="G4728" s="310"/>
      <c r="H4728" s="310"/>
      <c r="I4728" s="295"/>
      <c r="J4728" s="295"/>
      <c r="K4728" s="300">
        <f t="shared" si="621"/>
        <v>1.1000000000000001</v>
      </c>
      <c r="L4728" s="300">
        <f t="shared" si="622"/>
        <v>0</v>
      </c>
      <c r="M4728" s="285">
        <f t="shared" si="623"/>
        <v>0</v>
      </c>
      <c r="N4728" s="1076"/>
      <c r="O4728" s="294"/>
      <c r="P4728" s="404"/>
      <c r="Q4728" s="404"/>
    </row>
    <row r="4729" spans="1:17" ht="14.4" thickTop="1" thickBot="1" x14ac:dyDescent="0.3">
      <c r="A4729" s="292"/>
      <c r="B4729" s="294"/>
      <c r="C4729" s="294"/>
      <c r="D4729" s="294"/>
      <c r="E4729" s="294"/>
      <c r="F4729" s="310"/>
      <c r="G4729" s="310"/>
      <c r="H4729" s="310"/>
      <c r="I4729" s="295"/>
      <c r="J4729" s="295"/>
      <c r="K4729" s="300">
        <f t="shared" si="621"/>
        <v>1.1000000000000001</v>
      </c>
      <c r="L4729" s="300">
        <f t="shared" si="622"/>
        <v>0</v>
      </c>
      <c r="M4729" s="285">
        <f t="shared" si="623"/>
        <v>0</v>
      </c>
      <c r="N4729" s="1076"/>
      <c r="O4729" s="294"/>
      <c r="P4729" s="404"/>
      <c r="Q4729" s="404"/>
    </row>
    <row r="4730" spans="1:17" ht="14.4" thickTop="1" thickBot="1" x14ac:dyDescent="0.3">
      <c r="A4730" s="292"/>
      <c r="B4730" s="294" t="s">
        <v>1426</v>
      </c>
      <c r="C4730" s="294"/>
      <c r="D4730" s="294"/>
      <c r="E4730" s="294"/>
      <c r="F4730" s="310"/>
      <c r="G4730" s="310"/>
      <c r="H4730" s="310"/>
      <c r="I4730" s="295"/>
      <c r="J4730" s="295"/>
      <c r="K4730" s="300">
        <f t="shared" si="621"/>
        <v>1.1000000000000001</v>
      </c>
      <c r="L4730" s="300">
        <f t="shared" si="622"/>
        <v>0</v>
      </c>
      <c r="M4730" s="285">
        <f t="shared" si="623"/>
        <v>0</v>
      </c>
      <c r="N4730" s="1076"/>
      <c r="O4730" s="294"/>
      <c r="P4730" s="404"/>
      <c r="Q4730" s="404"/>
    </row>
    <row r="4731" spans="1:17" ht="14.4" thickTop="1" thickBot="1" x14ac:dyDescent="0.3">
      <c r="A4731" s="292"/>
      <c r="B4731" s="294" t="s">
        <v>1458</v>
      </c>
      <c r="C4731" s="294"/>
      <c r="D4731" s="294"/>
      <c r="E4731" s="294">
        <v>8</v>
      </c>
      <c r="F4731" s="1131" t="s">
        <v>1392</v>
      </c>
      <c r="G4731" s="310"/>
      <c r="H4731" s="310"/>
      <c r="I4731" s="295"/>
      <c r="J4731" s="295"/>
      <c r="K4731" s="300">
        <f t="shared" si="621"/>
        <v>1.1000000000000001</v>
      </c>
      <c r="L4731" s="300">
        <f t="shared" si="622"/>
        <v>0</v>
      </c>
      <c r="M4731" s="285">
        <f t="shared" si="623"/>
        <v>0</v>
      </c>
      <c r="N4731" s="1076"/>
      <c r="O4731" s="294"/>
      <c r="P4731" s="404"/>
      <c r="Q4731" s="404"/>
    </row>
    <row r="4732" spans="1:17" ht="14.4" thickTop="1" thickBot="1" x14ac:dyDescent="0.3">
      <c r="A4732" s="292"/>
      <c r="B4732" s="294"/>
      <c r="C4732" s="294"/>
      <c r="D4732" s="294"/>
      <c r="E4732" s="294"/>
      <c r="F4732" s="310"/>
      <c r="G4732" s="310"/>
      <c r="H4732" s="310"/>
      <c r="I4732" s="295"/>
      <c r="J4732" s="295"/>
      <c r="K4732" s="300">
        <f t="shared" si="621"/>
        <v>1.1000000000000001</v>
      </c>
      <c r="L4732" s="300">
        <f t="shared" si="622"/>
        <v>0</v>
      </c>
      <c r="M4732" s="285">
        <f t="shared" si="623"/>
        <v>0</v>
      </c>
      <c r="N4732" s="1076"/>
      <c r="O4732" s="294"/>
      <c r="P4732" s="404"/>
      <c r="Q4732" s="404"/>
    </row>
    <row r="4733" spans="1:17" ht="14.4" thickTop="1" thickBot="1" x14ac:dyDescent="0.3">
      <c r="A4733" s="292"/>
      <c r="B4733" s="294" t="s">
        <v>818</v>
      </c>
      <c r="C4733" s="294"/>
      <c r="D4733" s="294"/>
      <c r="E4733" s="294"/>
      <c r="F4733" s="310"/>
      <c r="G4733" s="310"/>
      <c r="H4733" s="310"/>
      <c r="I4733" s="295"/>
      <c r="J4733" s="295"/>
      <c r="K4733" s="300">
        <f t="shared" si="621"/>
        <v>1.1000000000000001</v>
      </c>
      <c r="L4733" s="300">
        <f t="shared" si="622"/>
        <v>0</v>
      </c>
      <c r="M4733" s="285">
        <f t="shared" si="623"/>
        <v>0</v>
      </c>
      <c r="N4733" s="1076"/>
      <c r="O4733" s="294"/>
      <c r="P4733" s="404"/>
      <c r="Q4733" s="404"/>
    </row>
    <row r="4734" spans="1:17" ht="14.4" thickTop="1" thickBot="1" x14ac:dyDescent="0.3">
      <c r="A4734" s="292"/>
      <c r="B4734" s="294" t="s">
        <v>1427</v>
      </c>
      <c r="C4734" s="294"/>
      <c r="D4734" s="294"/>
      <c r="E4734" s="294">
        <v>2</v>
      </c>
      <c r="F4734" s="1131" t="s">
        <v>1392</v>
      </c>
      <c r="G4734" s="310"/>
      <c r="H4734" s="310"/>
      <c r="I4734" s="295"/>
      <c r="J4734" s="295"/>
      <c r="K4734" s="300">
        <f t="shared" si="621"/>
        <v>1.1000000000000001</v>
      </c>
      <c r="L4734" s="300">
        <f t="shared" si="622"/>
        <v>0</v>
      </c>
      <c r="M4734" s="285">
        <f t="shared" si="623"/>
        <v>0</v>
      </c>
      <c r="N4734" s="1076"/>
      <c r="O4734" s="294"/>
      <c r="P4734" s="404"/>
      <c r="Q4734" s="404"/>
    </row>
    <row r="4735" spans="1:17" ht="14.4" thickTop="1" thickBot="1" x14ac:dyDescent="0.3">
      <c r="A4735" s="292"/>
      <c r="B4735" s="294"/>
      <c r="C4735" s="294"/>
      <c r="D4735" s="294"/>
      <c r="E4735" s="294"/>
      <c r="F4735" s="310"/>
      <c r="G4735" s="310"/>
      <c r="H4735" s="310"/>
      <c r="I4735" s="295"/>
      <c r="J4735" s="295"/>
      <c r="K4735" s="300">
        <f t="shared" si="621"/>
        <v>1.1000000000000001</v>
      </c>
      <c r="L4735" s="300">
        <f t="shared" si="622"/>
        <v>0</v>
      </c>
      <c r="M4735" s="285">
        <f t="shared" si="623"/>
        <v>0</v>
      </c>
      <c r="N4735" s="1076"/>
      <c r="O4735" s="294"/>
      <c r="P4735" s="404"/>
      <c r="Q4735" s="404"/>
    </row>
    <row r="4736" spans="1:17" ht="14.4" thickTop="1" thickBot="1" x14ac:dyDescent="0.3">
      <c r="A4736" s="292"/>
      <c r="B4736" s="294" t="s">
        <v>1428</v>
      </c>
      <c r="C4736" s="294"/>
      <c r="D4736" s="294"/>
      <c r="E4736" s="294"/>
      <c r="F4736" s="310"/>
      <c r="G4736" s="310"/>
      <c r="H4736" s="310"/>
      <c r="I4736" s="295"/>
      <c r="J4736" s="295"/>
      <c r="K4736" s="300">
        <f t="shared" si="621"/>
        <v>1.1000000000000001</v>
      </c>
      <c r="L4736" s="300">
        <f t="shared" si="622"/>
        <v>0</v>
      </c>
      <c r="M4736" s="285">
        <f t="shared" si="623"/>
        <v>0</v>
      </c>
      <c r="N4736" s="1076"/>
      <c r="O4736" s="294"/>
      <c r="P4736" s="404"/>
      <c r="Q4736" s="404"/>
    </row>
    <row r="4737" spans="1:17" ht="14.4" thickTop="1" thickBot="1" x14ac:dyDescent="0.3">
      <c r="A4737" s="292"/>
      <c r="B4737" s="294" t="s">
        <v>1429</v>
      </c>
      <c r="C4737" s="294"/>
      <c r="D4737" s="294"/>
      <c r="E4737" s="294">
        <v>10</v>
      </c>
      <c r="F4737" s="1131" t="s">
        <v>1394</v>
      </c>
      <c r="G4737" s="310"/>
      <c r="H4737" s="310"/>
      <c r="I4737" s="295"/>
      <c r="J4737" s="295"/>
      <c r="K4737" s="300">
        <f t="shared" si="621"/>
        <v>1.1000000000000001</v>
      </c>
      <c r="L4737" s="300">
        <f t="shared" si="622"/>
        <v>0</v>
      </c>
      <c r="M4737" s="285">
        <f t="shared" si="623"/>
        <v>0</v>
      </c>
      <c r="N4737" s="1076"/>
      <c r="O4737" s="294"/>
      <c r="P4737" s="404"/>
      <c r="Q4737" s="404"/>
    </row>
    <row r="4738" spans="1:17" ht="14.4" thickTop="1" thickBot="1" x14ac:dyDescent="0.3">
      <c r="A4738" s="292"/>
      <c r="B4738" s="294"/>
      <c r="C4738" s="294"/>
      <c r="D4738" s="294"/>
      <c r="E4738" s="294"/>
      <c r="F4738" s="310"/>
      <c r="G4738" s="310"/>
      <c r="H4738" s="310"/>
      <c r="I4738" s="295"/>
      <c r="J4738" s="295"/>
      <c r="K4738" s="300">
        <f t="shared" si="621"/>
        <v>1.1000000000000001</v>
      </c>
      <c r="L4738" s="300">
        <f t="shared" si="622"/>
        <v>0</v>
      </c>
      <c r="M4738" s="285">
        <f t="shared" si="623"/>
        <v>0</v>
      </c>
      <c r="N4738" s="1076"/>
      <c r="O4738" s="294"/>
      <c r="P4738" s="404"/>
      <c r="Q4738" s="404"/>
    </row>
    <row r="4739" spans="1:17" ht="14.4" thickTop="1" thickBot="1" x14ac:dyDescent="0.3">
      <c r="A4739" s="292"/>
      <c r="B4739" s="294" t="s">
        <v>1422</v>
      </c>
      <c r="C4739" s="294"/>
      <c r="D4739" s="294"/>
      <c r="E4739" s="294"/>
      <c r="F4739" s="310"/>
      <c r="G4739" s="310"/>
      <c r="H4739" s="310"/>
      <c r="I4739" s="295"/>
      <c r="J4739" s="295"/>
      <c r="K4739" s="300">
        <f t="shared" si="621"/>
        <v>1.1000000000000001</v>
      </c>
      <c r="L4739" s="300">
        <f t="shared" si="622"/>
        <v>0</v>
      </c>
      <c r="M4739" s="285">
        <f t="shared" si="623"/>
        <v>0</v>
      </c>
      <c r="N4739" s="1076"/>
      <c r="O4739" s="294"/>
      <c r="P4739" s="404"/>
      <c r="Q4739" s="404"/>
    </row>
    <row r="4740" spans="1:17" ht="14.4" thickTop="1" thickBot="1" x14ac:dyDescent="0.3">
      <c r="A4740" s="292"/>
      <c r="B4740" s="294" t="s">
        <v>1430</v>
      </c>
      <c r="C4740" s="294"/>
      <c r="D4740" s="294"/>
      <c r="E4740" s="294">
        <v>2</v>
      </c>
      <c r="F4740" s="1131" t="s">
        <v>1392</v>
      </c>
      <c r="G4740" s="310"/>
      <c r="H4740" s="310"/>
      <c r="I4740" s="295"/>
      <c r="J4740" s="295"/>
      <c r="K4740" s="300">
        <f t="shared" si="621"/>
        <v>1.1000000000000001</v>
      </c>
      <c r="L4740" s="300">
        <f t="shared" si="622"/>
        <v>0</v>
      </c>
      <c r="M4740" s="285">
        <f t="shared" si="623"/>
        <v>0</v>
      </c>
      <c r="N4740" s="1076"/>
      <c r="O4740" s="294"/>
      <c r="P4740" s="404"/>
      <c r="Q4740" s="404"/>
    </row>
    <row r="4741" spans="1:17" ht="14.4" thickTop="1" thickBot="1" x14ac:dyDescent="0.3">
      <c r="A4741" s="292"/>
      <c r="B4741" s="294"/>
      <c r="C4741" s="294"/>
      <c r="D4741" s="294"/>
      <c r="E4741" s="294"/>
      <c r="F4741" s="310"/>
      <c r="G4741" s="310"/>
      <c r="H4741" s="310"/>
      <c r="I4741" s="295"/>
      <c r="J4741" s="295"/>
      <c r="K4741" s="300">
        <f t="shared" si="621"/>
        <v>1.1000000000000001</v>
      </c>
      <c r="L4741" s="300">
        <f t="shared" si="622"/>
        <v>0</v>
      </c>
      <c r="M4741" s="285">
        <f t="shared" si="623"/>
        <v>0</v>
      </c>
      <c r="N4741" s="1076"/>
      <c r="O4741" s="294"/>
      <c r="P4741" s="404"/>
      <c r="Q4741" s="404"/>
    </row>
    <row r="4742" spans="1:17" ht="14.4" thickTop="1" thickBot="1" x14ac:dyDescent="0.3">
      <c r="A4742" s="292"/>
      <c r="B4742" s="294" t="s">
        <v>832</v>
      </c>
      <c r="C4742" s="294"/>
      <c r="D4742" s="294"/>
      <c r="E4742" s="294"/>
      <c r="F4742" s="310"/>
      <c r="G4742" s="310"/>
      <c r="H4742" s="310"/>
      <c r="I4742" s="295"/>
      <c r="J4742" s="295"/>
      <c r="K4742" s="300">
        <f t="shared" si="621"/>
        <v>1.1000000000000001</v>
      </c>
      <c r="L4742" s="300">
        <f t="shared" si="622"/>
        <v>0</v>
      </c>
      <c r="M4742" s="285">
        <f t="shared" si="623"/>
        <v>0</v>
      </c>
      <c r="N4742" s="1076"/>
      <c r="O4742" s="294"/>
      <c r="P4742" s="404"/>
      <c r="Q4742" s="404"/>
    </row>
    <row r="4743" spans="1:17" ht="14.4" thickTop="1" thickBot="1" x14ac:dyDescent="0.3">
      <c r="A4743" s="292"/>
      <c r="B4743" s="294" t="s">
        <v>1431</v>
      </c>
      <c r="C4743" s="294"/>
      <c r="D4743" s="294"/>
      <c r="E4743" s="294">
        <v>1</v>
      </c>
      <c r="F4743" s="1131" t="s">
        <v>1394</v>
      </c>
      <c r="G4743" s="310"/>
      <c r="H4743" s="310"/>
      <c r="I4743" s="295"/>
      <c r="J4743" s="295"/>
      <c r="K4743" s="300">
        <f t="shared" si="621"/>
        <v>1.1000000000000001</v>
      </c>
      <c r="L4743" s="300">
        <f t="shared" si="622"/>
        <v>0</v>
      </c>
      <c r="M4743" s="285">
        <f t="shared" si="623"/>
        <v>0</v>
      </c>
      <c r="N4743" s="1076"/>
      <c r="O4743" s="294"/>
      <c r="P4743" s="404"/>
      <c r="Q4743" s="404"/>
    </row>
    <row r="4744" spans="1:17" ht="14.4" thickTop="1" thickBot="1" x14ac:dyDescent="0.3">
      <c r="A4744" s="292"/>
      <c r="B4744" s="294"/>
      <c r="C4744" s="294"/>
      <c r="D4744" s="294"/>
      <c r="E4744" s="294"/>
      <c r="F4744" s="310"/>
      <c r="G4744" s="310"/>
      <c r="H4744" s="310"/>
      <c r="I4744" s="295"/>
      <c r="J4744" s="295"/>
      <c r="K4744" s="300">
        <f t="shared" si="621"/>
        <v>1.1000000000000001</v>
      </c>
      <c r="L4744" s="300">
        <f t="shared" si="622"/>
        <v>0</v>
      </c>
      <c r="M4744" s="285">
        <f t="shared" si="623"/>
        <v>0</v>
      </c>
      <c r="N4744" s="1076"/>
      <c r="O4744" s="294"/>
      <c r="P4744" s="404"/>
      <c r="Q4744" s="404"/>
    </row>
    <row r="4745" spans="1:17" ht="14.4" thickTop="1" thickBot="1" x14ac:dyDescent="0.3">
      <c r="A4745" s="292"/>
      <c r="B4745" s="722" t="str">
        <f>F4740</f>
        <v>12W</v>
      </c>
      <c r="C4745" s="294"/>
      <c r="D4745" s="294"/>
      <c r="E4745" s="294">
        <f>E4713+E4716+E4719+E4725+E4728+E4734+E4740+E4731</f>
        <v>32</v>
      </c>
      <c r="F4745" s="310"/>
      <c r="G4745" s="310"/>
      <c r="H4745" s="310"/>
      <c r="I4745" s="295"/>
      <c r="J4745" s="295"/>
      <c r="K4745" s="300">
        <f t="shared" si="621"/>
        <v>1.1000000000000001</v>
      </c>
      <c r="L4745" s="300">
        <f t="shared" si="622"/>
        <v>0</v>
      </c>
      <c r="M4745" s="285">
        <f t="shared" si="623"/>
        <v>0</v>
      </c>
      <c r="N4745" s="1076"/>
      <c r="O4745" s="294"/>
      <c r="P4745" s="404"/>
      <c r="Q4745" s="404"/>
    </row>
    <row r="4746" spans="1:17" ht="14.4" thickTop="1" thickBot="1" x14ac:dyDescent="0.3">
      <c r="A4746" s="292"/>
      <c r="B4746" s="722" t="str">
        <f>F4743</f>
        <v>18W</v>
      </c>
      <c r="C4746" s="294"/>
      <c r="D4746" s="294"/>
      <c r="E4746" s="294">
        <f>E4706+E4709+E4737+E4743</f>
        <v>25</v>
      </c>
      <c r="F4746" s="310"/>
      <c r="G4746" s="310"/>
      <c r="H4746" s="310"/>
      <c r="I4746" s="295"/>
      <c r="J4746" s="295"/>
      <c r="K4746" s="300">
        <f t="shared" si="621"/>
        <v>1.1000000000000001</v>
      </c>
      <c r="L4746" s="300">
        <f t="shared" si="622"/>
        <v>0</v>
      </c>
      <c r="M4746" s="285">
        <f t="shared" si="623"/>
        <v>0</v>
      </c>
      <c r="N4746" s="1076"/>
      <c r="O4746" s="294"/>
      <c r="P4746" s="404">
        <f>SUM(E4706:E4743)</f>
        <v>64</v>
      </c>
      <c r="Q4746" s="404"/>
    </row>
    <row r="4747" spans="1:17" ht="14.4" thickTop="1" thickBot="1" x14ac:dyDescent="0.3">
      <c r="A4747" s="292"/>
      <c r="B4747" s="722" t="str">
        <f>F4717</f>
        <v>6W</v>
      </c>
      <c r="C4747" s="294"/>
      <c r="D4747" s="294"/>
      <c r="E4747" s="294">
        <f>E4712+E4717</f>
        <v>4</v>
      </c>
      <c r="F4747" s="310"/>
      <c r="G4747" s="310"/>
      <c r="H4747" s="310"/>
      <c r="I4747" s="295"/>
      <c r="J4747" s="295"/>
      <c r="K4747" s="300">
        <f t="shared" si="621"/>
        <v>1.1000000000000001</v>
      </c>
      <c r="L4747" s="300">
        <f t="shared" si="622"/>
        <v>0</v>
      </c>
      <c r="M4747" s="285">
        <f t="shared" si="623"/>
        <v>0</v>
      </c>
      <c r="N4747" s="1076"/>
      <c r="O4747" s="294"/>
      <c r="P4747" s="404">
        <f>SUM(E4745:E4747)</f>
        <v>61</v>
      </c>
      <c r="Q4747" s="404"/>
    </row>
    <row r="4748" spans="1:17" ht="14.4" thickTop="1" thickBot="1" x14ac:dyDescent="0.3">
      <c r="A4748" s="292"/>
      <c r="B4748" s="294"/>
      <c r="C4748" s="294"/>
      <c r="D4748" s="294"/>
      <c r="E4748" s="294"/>
      <c r="F4748" s="310"/>
      <c r="G4748" s="310"/>
      <c r="H4748" s="310"/>
      <c r="I4748" s="295"/>
      <c r="J4748" s="295"/>
      <c r="K4748" s="300">
        <f t="shared" si="621"/>
        <v>1.1000000000000001</v>
      </c>
      <c r="L4748" s="300">
        <f t="shared" si="622"/>
        <v>0</v>
      </c>
      <c r="M4748" s="285">
        <f t="shared" si="623"/>
        <v>0</v>
      </c>
      <c r="N4748" s="1076"/>
      <c r="O4748" s="294"/>
      <c r="P4748" s="404"/>
      <c r="Q4748" s="404"/>
    </row>
    <row r="4749" spans="1:17" ht="14.4" thickTop="1" thickBot="1" x14ac:dyDescent="0.3">
      <c r="A4749" s="292"/>
      <c r="B4749" s="294"/>
      <c r="C4749" s="294"/>
      <c r="D4749" s="294"/>
      <c r="E4749" s="294"/>
      <c r="F4749" s="310"/>
      <c r="G4749" s="310"/>
      <c r="H4749" s="310"/>
      <c r="I4749" s="295"/>
      <c r="J4749" s="295"/>
      <c r="K4749" s="300">
        <f t="shared" si="621"/>
        <v>1.1000000000000001</v>
      </c>
      <c r="L4749" s="300">
        <f t="shared" si="622"/>
        <v>0</v>
      </c>
      <c r="M4749" s="285">
        <f t="shared" si="623"/>
        <v>0</v>
      </c>
      <c r="N4749" s="1076"/>
      <c r="O4749" s="294"/>
      <c r="P4749" s="404"/>
      <c r="Q4749" s="404"/>
    </row>
    <row r="4750" spans="1:17" ht="14.4" thickTop="1" thickBot="1" x14ac:dyDescent="0.3">
      <c r="A4750" s="292"/>
      <c r="B4750" s="302" t="s">
        <v>1373</v>
      </c>
      <c r="C4750" s="294"/>
      <c r="D4750" s="294"/>
      <c r="E4750" s="294"/>
      <c r="F4750" s="310"/>
      <c r="G4750" s="310"/>
      <c r="H4750" s="310"/>
      <c r="I4750" s="295"/>
      <c r="J4750" s="295"/>
      <c r="K4750" s="300">
        <f t="shared" si="621"/>
        <v>1.1000000000000001</v>
      </c>
      <c r="L4750" s="300">
        <f t="shared" si="622"/>
        <v>0</v>
      </c>
      <c r="M4750" s="285">
        <f t="shared" si="623"/>
        <v>0</v>
      </c>
      <c r="N4750" s="1076"/>
      <c r="O4750" s="294"/>
      <c r="P4750" s="404"/>
      <c r="Q4750" s="404"/>
    </row>
    <row r="4751" spans="1:17" ht="14.4" thickTop="1" thickBot="1" x14ac:dyDescent="0.3">
      <c r="A4751" s="292"/>
      <c r="B4751" s="294" t="s">
        <v>834</v>
      </c>
      <c r="C4751" s="294"/>
      <c r="D4751" s="294"/>
      <c r="E4751" s="294"/>
      <c r="F4751" s="310"/>
      <c r="G4751" s="310"/>
      <c r="H4751" s="310"/>
      <c r="I4751" s="295"/>
      <c r="J4751" s="295"/>
      <c r="K4751" s="300">
        <f t="shared" si="621"/>
        <v>1.1000000000000001</v>
      </c>
      <c r="L4751" s="300">
        <f t="shared" si="622"/>
        <v>0</v>
      </c>
      <c r="M4751" s="285">
        <f t="shared" si="623"/>
        <v>0</v>
      </c>
      <c r="N4751" s="1076"/>
      <c r="O4751" s="294"/>
      <c r="P4751" s="404"/>
      <c r="Q4751" s="404"/>
    </row>
    <row r="4752" spans="1:17" ht="14.4" thickTop="1" thickBot="1" x14ac:dyDescent="0.3">
      <c r="A4752" s="292"/>
      <c r="B4752" s="294" t="s">
        <v>1440</v>
      </c>
      <c r="C4752" s="294"/>
      <c r="D4752" s="294"/>
      <c r="E4752" s="294">
        <v>4</v>
      </c>
      <c r="F4752" s="1131" t="s">
        <v>1392</v>
      </c>
      <c r="G4752" s="310"/>
      <c r="H4752" s="310"/>
      <c r="I4752" s="295"/>
      <c r="J4752" s="295"/>
      <c r="K4752" s="300">
        <f t="shared" si="621"/>
        <v>1.1000000000000001</v>
      </c>
      <c r="L4752" s="300">
        <f t="shared" si="622"/>
        <v>0</v>
      </c>
      <c r="M4752" s="285">
        <f t="shared" si="623"/>
        <v>0</v>
      </c>
      <c r="N4752" s="1076"/>
      <c r="O4752" s="294"/>
      <c r="P4752" s="404"/>
      <c r="Q4752" s="404"/>
    </row>
    <row r="4753" spans="1:17" ht="14.4" thickTop="1" thickBot="1" x14ac:dyDescent="0.3">
      <c r="A4753" s="292"/>
      <c r="B4753" s="294"/>
      <c r="C4753" s="294"/>
      <c r="D4753" s="294"/>
      <c r="E4753" s="294"/>
      <c r="F4753" s="310"/>
      <c r="G4753" s="310"/>
      <c r="H4753" s="310"/>
      <c r="I4753" s="295"/>
      <c r="J4753" s="295"/>
      <c r="K4753" s="300">
        <f t="shared" ref="K4753:K4796" si="624">$K$2</f>
        <v>1.1000000000000001</v>
      </c>
      <c r="L4753" s="300">
        <f t="shared" si="622"/>
        <v>0</v>
      </c>
      <c r="M4753" s="285">
        <f t="shared" si="623"/>
        <v>0</v>
      </c>
      <c r="N4753" s="1076"/>
      <c r="O4753" s="294"/>
      <c r="P4753" s="404"/>
      <c r="Q4753" s="404"/>
    </row>
    <row r="4754" spans="1:17" ht="14.4" thickTop="1" thickBot="1" x14ac:dyDescent="0.3">
      <c r="A4754" s="292"/>
      <c r="B4754" s="294" t="s">
        <v>1441</v>
      </c>
      <c r="C4754" s="294"/>
      <c r="D4754" s="294"/>
      <c r="E4754" s="294"/>
      <c r="F4754" s="310"/>
      <c r="G4754" s="310"/>
      <c r="H4754" s="310"/>
      <c r="I4754" s="295"/>
      <c r="J4754" s="295"/>
      <c r="K4754" s="300">
        <f t="shared" si="624"/>
        <v>1.1000000000000001</v>
      </c>
      <c r="L4754" s="300">
        <f t="shared" si="622"/>
        <v>0</v>
      </c>
      <c r="M4754" s="285">
        <f t="shared" si="623"/>
        <v>0</v>
      </c>
      <c r="N4754" s="1076"/>
      <c r="O4754" s="294"/>
      <c r="P4754" s="404"/>
      <c r="Q4754" s="404"/>
    </row>
    <row r="4755" spans="1:17" ht="14.4" thickTop="1" thickBot="1" x14ac:dyDescent="0.3">
      <c r="A4755" s="292"/>
      <c r="B4755" s="294" t="s">
        <v>1459</v>
      </c>
      <c r="C4755" s="294"/>
      <c r="D4755" s="294"/>
      <c r="E4755" s="294">
        <v>6</v>
      </c>
      <c r="F4755" s="1131" t="s">
        <v>1392</v>
      </c>
      <c r="G4755" s="310"/>
      <c r="H4755" s="310"/>
      <c r="I4755" s="295"/>
      <c r="J4755" s="295"/>
      <c r="K4755" s="300">
        <f t="shared" si="624"/>
        <v>1.1000000000000001</v>
      </c>
      <c r="L4755" s="300">
        <f t="shared" si="622"/>
        <v>0</v>
      </c>
      <c r="M4755" s="285">
        <f t="shared" si="623"/>
        <v>0</v>
      </c>
      <c r="N4755" s="1076"/>
      <c r="O4755" s="294"/>
      <c r="P4755" s="404"/>
      <c r="Q4755" s="404"/>
    </row>
    <row r="4756" spans="1:17" ht="14.4" thickTop="1" thickBot="1" x14ac:dyDescent="0.3">
      <c r="A4756" s="292"/>
      <c r="B4756" s="294"/>
      <c r="C4756" s="294"/>
      <c r="D4756" s="294"/>
      <c r="E4756" s="294"/>
      <c r="F4756" s="310"/>
      <c r="G4756" s="310"/>
      <c r="H4756" s="310"/>
      <c r="I4756" s="295"/>
      <c r="J4756" s="295"/>
      <c r="K4756" s="300">
        <f t="shared" si="624"/>
        <v>1.1000000000000001</v>
      </c>
      <c r="L4756" s="300">
        <f t="shared" si="622"/>
        <v>0</v>
      </c>
      <c r="M4756" s="285">
        <f t="shared" si="623"/>
        <v>0</v>
      </c>
      <c r="N4756" s="1076"/>
      <c r="O4756" s="294"/>
      <c r="P4756" s="404"/>
      <c r="Q4756" s="404"/>
    </row>
    <row r="4757" spans="1:17" ht="14.4" thickTop="1" thickBot="1" x14ac:dyDescent="0.3">
      <c r="A4757" s="292"/>
      <c r="B4757" s="294" t="s">
        <v>708</v>
      </c>
      <c r="C4757" s="294"/>
      <c r="D4757" s="294"/>
      <c r="E4757" s="294">
        <v>4</v>
      </c>
      <c r="F4757" s="1131" t="s">
        <v>1404</v>
      </c>
      <c r="G4757" s="310"/>
      <c r="H4757" s="310"/>
      <c r="I4757" s="295"/>
      <c r="J4757" s="295"/>
      <c r="K4757" s="300">
        <f t="shared" si="624"/>
        <v>1.1000000000000001</v>
      </c>
      <c r="L4757" s="300">
        <f t="shared" si="622"/>
        <v>0</v>
      </c>
      <c r="M4757" s="285">
        <f t="shared" si="623"/>
        <v>0</v>
      </c>
      <c r="N4757" s="1076"/>
      <c r="O4757" s="294"/>
      <c r="P4757" s="404"/>
      <c r="Q4757" s="404"/>
    </row>
    <row r="4758" spans="1:17" ht="14.4" thickTop="1" thickBot="1" x14ac:dyDescent="0.3">
      <c r="A4758" s="292"/>
      <c r="B4758" s="294"/>
      <c r="C4758" s="294"/>
      <c r="D4758" s="294"/>
      <c r="E4758" s="294"/>
      <c r="F4758" s="310"/>
      <c r="G4758" s="310"/>
      <c r="H4758" s="310"/>
      <c r="I4758" s="295"/>
      <c r="J4758" s="295"/>
      <c r="K4758" s="300">
        <f t="shared" si="624"/>
        <v>1.1000000000000001</v>
      </c>
      <c r="L4758" s="300">
        <f t="shared" si="622"/>
        <v>0</v>
      </c>
      <c r="M4758" s="285">
        <f t="shared" si="623"/>
        <v>0</v>
      </c>
      <c r="N4758" s="1076"/>
      <c r="O4758" s="294"/>
      <c r="P4758" s="404"/>
      <c r="Q4758" s="404"/>
    </row>
    <row r="4759" spans="1:17" ht="14.4" thickTop="1" thickBot="1" x14ac:dyDescent="0.3">
      <c r="A4759" s="292"/>
      <c r="B4759" s="294" t="s">
        <v>1442</v>
      </c>
      <c r="C4759" s="294"/>
      <c r="D4759" s="294"/>
      <c r="E4759" s="294"/>
      <c r="F4759" s="310"/>
      <c r="G4759" s="310"/>
      <c r="H4759" s="310"/>
      <c r="I4759" s="295"/>
      <c r="J4759" s="295"/>
      <c r="K4759" s="300">
        <f t="shared" si="624"/>
        <v>1.1000000000000001</v>
      </c>
      <c r="L4759" s="300">
        <f t="shared" si="622"/>
        <v>0</v>
      </c>
      <c r="M4759" s="285">
        <f t="shared" si="623"/>
        <v>0</v>
      </c>
      <c r="N4759" s="1076"/>
      <c r="O4759" s="294"/>
      <c r="P4759" s="404"/>
      <c r="Q4759" s="404"/>
    </row>
    <row r="4760" spans="1:17" ht="14.4" thickTop="1" thickBot="1" x14ac:dyDescent="0.3">
      <c r="A4760" s="292"/>
      <c r="B4760" s="294" t="s">
        <v>1443</v>
      </c>
      <c r="C4760" s="294"/>
      <c r="D4760" s="294"/>
      <c r="E4760" s="294">
        <v>4</v>
      </c>
      <c r="F4760" s="1131" t="s">
        <v>1392</v>
      </c>
      <c r="G4760" s="310"/>
      <c r="H4760" s="310"/>
      <c r="I4760" s="295"/>
      <c r="J4760" s="295"/>
      <c r="K4760" s="300">
        <f t="shared" si="624"/>
        <v>1.1000000000000001</v>
      </c>
      <c r="L4760" s="300">
        <f t="shared" si="622"/>
        <v>0</v>
      </c>
      <c r="M4760" s="285">
        <f t="shared" si="623"/>
        <v>0</v>
      </c>
      <c r="N4760" s="1076"/>
      <c r="O4760" s="294"/>
      <c r="P4760" s="404"/>
      <c r="Q4760" s="404"/>
    </row>
    <row r="4761" spans="1:17" ht="14.4" thickTop="1" thickBot="1" x14ac:dyDescent="0.3">
      <c r="A4761" s="292"/>
      <c r="B4761" s="294"/>
      <c r="C4761" s="294"/>
      <c r="D4761" s="294"/>
      <c r="E4761" s="294"/>
      <c r="F4761" s="310"/>
      <c r="G4761" s="310"/>
      <c r="H4761" s="310"/>
      <c r="I4761" s="295"/>
      <c r="J4761" s="295"/>
      <c r="K4761" s="300">
        <f t="shared" si="624"/>
        <v>1.1000000000000001</v>
      </c>
      <c r="L4761" s="300">
        <f t="shared" si="622"/>
        <v>0</v>
      </c>
      <c r="M4761" s="285">
        <f t="shared" si="623"/>
        <v>0</v>
      </c>
      <c r="N4761" s="1076"/>
      <c r="O4761" s="294"/>
      <c r="P4761" s="404"/>
      <c r="Q4761" s="404"/>
    </row>
    <row r="4762" spans="1:17" ht="14.4" thickTop="1" thickBot="1" x14ac:dyDescent="0.3">
      <c r="A4762" s="292"/>
      <c r="B4762" s="294" t="s">
        <v>817</v>
      </c>
      <c r="C4762" s="294"/>
      <c r="D4762" s="294"/>
      <c r="E4762" s="294"/>
      <c r="F4762" s="310"/>
      <c r="G4762" s="310"/>
      <c r="H4762" s="310"/>
      <c r="I4762" s="295"/>
      <c r="J4762" s="295"/>
      <c r="K4762" s="300">
        <f t="shared" si="624"/>
        <v>1.1000000000000001</v>
      </c>
      <c r="L4762" s="300">
        <f t="shared" si="622"/>
        <v>0</v>
      </c>
      <c r="M4762" s="285">
        <f t="shared" si="623"/>
        <v>0</v>
      </c>
      <c r="N4762" s="1076"/>
      <c r="O4762" s="294"/>
      <c r="P4762" s="404"/>
      <c r="Q4762" s="404"/>
    </row>
    <row r="4763" spans="1:17" ht="14.4" thickTop="1" thickBot="1" x14ac:dyDescent="0.3">
      <c r="A4763" s="292"/>
      <c r="B4763" s="294" t="s">
        <v>1405</v>
      </c>
      <c r="C4763" s="294"/>
      <c r="D4763" s="294"/>
      <c r="E4763" s="294">
        <v>6</v>
      </c>
      <c r="F4763" s="1131" t="s">
        <v>1392</v>
      </c>
      <c r="G4763" s="310"/>
      <c r="H4763" s="310"/>
      <c r="I4763" s="295"/>
      <c r="J4763" s="295"/>
      <c r="K4763" s="300">
        <f t="shared" si="624"/>
        <v>1.1000000000000001</v>
      </c>
      <c r="L4763" s="300">
        <f t="shared" si="622"/>
        <v>0</v>
      </c>
      <c r="M4763" s="285">
        <f t="shared" si="623"/>
        <v>0</v>
      </c>
      <c r="N4763" s="1076"/>
      <c r="O4763" s="294"/>
      <c r="P4763" s="404"/>
      <c r="Q4763" s="404"/>
    </row>
    <row r="4764" spans="1:17" ht="14.4" thickTop="1" thickBot="1" x14ac:dyDescent="0.3">
      <c r="A4764" s="292"/>
      <c r="B4764" s="294"/>
      <c r="C4764" s="294"/>
      <c r="D4764" s="294"/>
      <c r="E4764" s="294"/>
      <c r="F4764" s="1131"/>
      <c r="G4764" s="310"/>
      <c r="H4764" s="310"/>
      <c r="I4764" s="295"/>
      <c r="J4764" s="295"/>
      <c r="K4764" s="300">
        <f t="shared" si="624"/>
        <v>1.1000000000000001</v>
      </c>
      <c r="L4764" s="300">
        <f t="shared" si="622"/>
        <v>0</v>
      </c>
      <c r="M4764" s="285">
        <f t="shared" si="623"/>
        <v>0</v>
      </c>
      <c r="N4764" s="1076"/>
      <c r="O4764" s="294"/>
      <c r="P4764" s="404"/>
      <c r="Q4764" s="404"/>
    </row>
    <row r="4765" spans="1:17" ht="14.4" thickTop="1" thickBot="1" x14ac:dyDescent="0.3">
      <c r="A4765" s="292"/>
      <c r="B4765" s="294"/>
      <c r="C4765" s="294"/>
      <c r="D4765" s="294"/>
      <c r="E4765" s="294"/>
      <c r="F4765" s="310"/>
      <c r="G4765" s="310"/>
      <c r="H4765" s="310"/>
      <c r="I4765" s="295"/>
      <c r="J4765" s="295"/>
      <c r="K4765" s="300">
        <f t="shared" si="624"/>
        <v>1.1000000000000001</v>
      </c>
      <c r="L4765" s="300">
        <f t="shared" si="622"/>
        <v>0</v>
      </c>
      <c r="M4765" s="285">
        <f t="shared" si="623"/>
        <v>0</v>
      </c>
      <c r="N4765" s="1076"/>
      <c r="O4765" s="294"/>
      <c r="P4765" s="404"/>
      <c r="Q4765" s="404"/>
    </row>
    <row r="4766" spans="1:17" ht="14.4" thickTop="1" thickBot="1" x14ac:dyDescent="0.3">
      <c r="A4766" s="292"/>
      <c r="B4766" s="294" t="s">
        <v>818</v>
      </c>
      <c r="C4766" s="294"/>
      <c r="D4766" s="294"/>
      <c r="E4766" s="294"/>
      <c r="F4766" s="310"/>
      <c r="G4766" s="310"/>
      <c r="H4766" s="310"/>
      <c r="I4766" s="295"/>
      <c r="J4766" s="295"/>
      <c r="K4766" s="300">
        <f t="shared" si="624"/>
        <v>1.1000000000000001</v>
      </c>
      <c r="L4766" s="300">
        <f t="shared" si="622"/>
        <v>0</v>
      </c>
      <c r="M4766" s="285">
        <f t="shared" si="623"/>
        <v>0</v>
      </c>
      <c r="N4766" s="1076"/>
      <c r="O4766" s="294"/>
      <c r="P4766" s="404"/>
      <c r="Q4766" s="404"/>
    </row>
    <row r="4767" spans="1:17" ht="14.4" thickTop="1" thickBot="1" x14ac:dyDescent="0.3">
      <c r="A4767" s="292"/>
      <c r="B4767" s="294" t="s">
        <v>1406</v>
      </c>
      <c r="C4767" s="294"/>
      <c r="D4767" s="294"/>
      <c r="E4767" s="294">
        <v>1</v>
      </c>
      <c r="F4767" s="1131" t="s">
        <v>1394</v>
      </c>
      <c r="G4767" s="310"/>
      <c r="H4767" s="310"/>
      <c r="I4767" s="295"/>
      <c r="J4767" s="295"/>
      <c r="K4767" s="300">
        <f t="shared" si="624"/>
        <v>1.1000000000000001</v>
      </c>
      <c r="L4767" s="300">
        <f t="shared" si="622"/>
        <v>0</v>
      </c>
      <c r="M4767" s="285">
        <f t="shared" si="623"/>
        <v>0</v>
      </c>
      <c r="N4767" s="1076"/>
      <c r="O4767" s="294"/>
      <c r="P4767" s="404"/>
      <c r="Q4767" s="404"/>
    </row>
    <row r="4768" spans="1:17" ht="14.4" thickTop="1" thickBot="1" x14ac:dyDescent="0.3">
      <c r="A4768" s="292"/>
      <c r="B4768" s="294"/>
      <c r="C4768" s="294"/>
      <c r="D4768" s="294"/>
      <c r="E4768" s="294"/>
      <c r="F4768" s="310"/>
      <c r="G4768" s="310"/>
      <c r="H4768" s="310"/>
      <c r="I4768" s="295"/>
      <c r="J4768" s="295"/>
      <c r="K4768" s="300">
        <f t="shared" si="624"/>
        <v>1.1000000000000001</v>
      </c>
      <c r="L4768" s="300">
        <f t="shared" si="622"/>
        <v>0</v>
      </c>
      <c r="M4768" s="285">
        <f t="shared" si="623"/>
        <v>0</v>
      </c>
      <c r="N4768" s="1076"/>
      <c r="O4768" s="294"/>
      <c r="P4768" s="404"/>
      <c r="Q4768" s="404"/>
    </row>
    <row r="4769" spans="1:17" ht="14.4" thickTop="1" thickBot="1" x14ac:dyDescent="0.3">
      <c r="A4769" s="292"/>
      <c r="B4769" s="294" t="s">
        <v>1444</v>
      </c>
      <c r="C4769" s="294"/>
      <c r="D4769" s="294"/>
      <c r="E4769" s="294"/>
      <c r="F4769" s="310"/>
      <c r="G4769" s="310"/>
      <c r="H4769" s="310"/>
      <c r="I4769" s="295"/>
      <c r="J4769" s="295"/>
      <c r="K4769" s="300">
        <f t="shared" si="624"/>
        <v>1.1000000000000001</v>
      </c>
      <c r="L4769" s="300">
        <f t="shared" si="622"/>
        <v>0</v>
      </c>
      <c r="M4769" s="285">
        <f t="shared" si="623"/>
        <v>0</v>
      </c>
      <c r="N4769" s="1076"/>
      <c r="O4769" s="294"/>
      <c r="P4769" s="404"/>
      <c r="Q4769" s="404"/>
    </row>
    <row r="4770" spans="1:17" ht="14.4" thickTop="1" thickBot="1" x14ac:dyDescent="0.3">
      <c r="A4770" s="292"/>
      <c r="B4770" s="294" t="s">
        <v>1453</v>
      </c>
      <c r="C4770" s="294"/>
      <c r="D4770" s="294"/>
      <c r="E4770" s="294">
        <v>31</v>
      </c>
      <c r="F4770" s="1131" t="s">
        <v>1394</v>
      </c>
      <c r="G4770" s="310"/>
      <c r="H4770" s="310"/>
      <c r="I4770" s="295"/>
      <c r="J4770" s="295"/>
      <c r="K4770" s="300">
        <f t="shared" si="624"/>
        <v>1.1000000000000001</v>
      </c>
      <c r="L4770" s="300">
        <f t="shared" si="622"/>
        <v>0</v>
      </c>
      <c r="M4770" s="285">
        <f t="shared" si="623"/>
        <v>0</v>
      </c>
      <c r="N4770" s="1076"/>
      <c r="O4770" s="294"/>
      <c r="P4770" s="404"/>
      <c r="Q4770" s="404"/>
    </row>
    <row r="4771" spans="1:17" ht="14.4" thickTop="1" thickBot="1" x14ac:dyDescent="0.3">
      <c r="A4771" s="292"/>
      <c r="B4771" s="294"/>
      <c r="C4771" s="294"/>
      <c r="D4771" s="294"/>
      <c r="E4771" s="294"/>
      <c r="F4771" s="310"/>
      <c r="G4771" s="310"/>
      <c r="H4771" s="310"/>
      <c r="I4771" s="295"/>
      <c r="J4771" s="295"/>
      <c r="K4771" s="300">
        <f t="shared" si="624"/>
        <v>1.1000000000000001</v>
      </c>
      <c r="L4771" s="300">
        <f t="shared" ref="L4771:L4837" si="625">K4771*J4771</f>
        <v>0</v>
      </c>
      <c r="M4771" s="285">
        <f t="shared" si="623"/>
        <v>0</v>
      </c>
      <c r="N4771" s="1076"/>
      <c r="O4771" s="294"/>
      <c r="P4771" s="404"/>
      <c r="Q4771" s="404"/>
    </row>
    <row r="4772" spans="1:17" ht="14.4" thickTop="1" thickBot="1" x14ac:dyDescent="0.3">
      <c r="A4772" s="292"/>
      <c r="B4772" s="722" t="str">
        <f>F4757</f>
        <v>6W</v>
      </c>
      <c r="C4772" s="294"/>
      <c r="D4772" s="294"/>
      <c r="E4772" s="294">
        <f>E4757</f>
        <v>4</v>
      </c>
      <c r="F4772" s="310"/>
      <c r="G4772" s="310"/>
      <c r="H4772" s="310"/>
      <c r="I4772" s="295"/>
      <c r="J4772" s="295"/>
      <c r="K4772" s="300">
        <f t="shared" si="624"/>
        <v>1.1000000000000001</v>
      </c>
      <c r="L4772" s="300">
        <f t="shared" si="625"/>
        <v>0</v>
      </c>
      <c r="M4772" s="285">
        <f t="shared" si="623"/>
        <v>0</v>
      </c>
      <c r="N4772" s="1076"/>
      <c r="O4772" s="294"/>
      <c r="P4772" s="404">
        <f>SUM(E4751:E4770)</f>
        <v>56</v>
      </c>
      <c r="Q4772" s="404"/>
    </row>
    <row r="4773" spans="1:17" ht="14.4" thickTop="1" thickBot="1" x14ac:dyDescent="0.3">
      <c r="A4773" s="292"/>
      <c r="B4773" s="722" t="str">
        <f>F4763</f>
        <v>12W</v>
      </c>
      <c r="C4773" s="294"/>
      <c r="D4773" s="294"/>
      <c r="E4773" s="294">
        <f>E4752+E4755+E4760+E4763</f>
        <v>20</v>
      </c>
      <c r="F4773" s="310"/>
      <c r="G4773" s="310"/>
      <c r="H4773" s="310"/>
      <c r="I4773" s="295"/>
      <c r="J4773" s="295"/>
      <c r="K4773" s="300">
        <f t="shared" si="624"/>
        <v>1.1000000000000001</v>
      </c>
      <c r="L4773" s="300">
        <f t="shared" si="625"/>
        <v>0</v>
      </c>
      <c r="M4773" s="285">
        <f t="shared" si="623"/>
        <v>0</v>
      </c>
      <c r="N4773" s="1076"/>
      <c r="O4773" s="294"/>
      <c r="P4773" s="404">
        <f>SUM(E4772:E4774)</f>
        <v>56</v>
      </c>
      <c r="Q4773" s="404"/>
    </row>
    <row r="4774" spans="1:17" ht="14.4" thickTop="1" thickBot="1" x14ac:dyDescent="0.3">
      <c r="A4774" s="292"/>
      <c r="B4774" s="722" t="str">
        <f>F4770</f>
        <v>18W</v>
      </c>
      <c r="C4774" s="294"/>
      <c r="D4774" s="294"/>
      <c r="E4774" s="294">
        <f>E4770+E4767</f>
        <v>32</v>
      </c>
      <c r="F4774" s="310"/>
      <c r="G4774" s="310"/>
      <c r="H4774" s="310"/>
      <c r="I4774" s="295"/>
      <c r="J4774" s="295"/>
      <c r="K4774" s="300"/>
      <c r="L4774" s="300"/>
      <c r="M4774" s="285"/>
      <c r="N4774" s="1076"/>
      <c r="O4774" s="294"/>
      <c r="P4774" s="404"/>
      <c r="Q4774" s="404"/>
    </row>
    <row r="4775" spans="1:17" ht="14.4" thickTop="1" thickBot="1" x14ac:dyDescent="0.3">
      <c r="A4775" s="292"/>
      <c r="B4775" s="294"/>
      <c r="C4775" s="294"/>
      <c r="D4775" s="294"/>
      <c r="E4775" s="294"/>
      <c r="F4775" s="310"/>
      <c r="G4775" s="310"/>
      <c r="H4775" s="310"/>
      <c r="I4775" s="295"/>
      <c r="J4775" s="295"/>
      <c r="K4775" s="300">
        <f t="shared" si="624"/>
        <v>1.1000000000000001</v>
      </c>
      <c r="L4775" s="300">
        <f t="shared" si="625"/>
        <v>0</v>
      </c>
      <c r="M4775" s="285">
        <f t="shared" si="623"/>
        <v>0</v>
      </c>
      <c r="N4775" s="1076"/>
      <c r="O4775" s="294"/>
      <c r="P4775" s="404"/>
      <c r="Q4775" s="404"/>
    </row>
    <row r="4776" spans="1:17" ht="14.4" thickTop="1" thickBot="1" x14ac:dyDescent="0.3">
      <c r="A4776" s="292"/>
      <c r="B4776" s="294"/>
      <c r="C4776" s="294"/>
      <c r="D4776" s="294"/>
      <c r="E4776" s="294"/>
      <c r="F4776" s="310"/>
      <c r="G4776" s="310"/>
      <c r="H4776" s="310"/>
      <c r="I4776" s="295"/>
      <c r="J4776" s="295"/>
      <c r="K4776" s="300">
        <f t="shared" si="624"/>
        <v>1.1000000000000001</v>
      </c>
      <c r="L4776" s="300">
        <f t="shared" si="625"/>
        <v>0</v>
      </c>
      <c r="M4776" s="285">
        <f t="shared" si="623"/>
        <v>0</v>
      </c>
      <c r="N4776" s="1076"/>
      <c r="O4776" s="294"/>
      <c r="P4776" s="404"/>
      <c r="Q4776" s="404"/>
    </row>
    <row r="4777" spans="1:17" ht="14.4" thickTop="1" thickBot="1" x14ac:dyDescent="0.3">
      <c r="A4777" s="292"/>
      <c r="B4777" s="296" t="s">
        <v>1449</v>
      </c>
      <c r="C4777" s="294"/>
      <c r="D4777" s="294"/>
      <c r="E4777" s="294"/>
      <c r="F4777" s="310"/>
      <c r="G4777" s="310"/>
      <c r="H4777" s="310"/>
      <c r="I4777" s="295"/>
      <c r="J4777" s="295"/>
      <c r="K4777" s="300">
        <f t="shared" si="624"/>
        <v>1.1000000000000001</v>
      </c>
      <c r="L4777" s="300">
        <f t="shared" si="625"/>
        <v>0</v>
      </c>
      <c r="M4777" s="285">
        <f t="shared" si="623"/>
        <v>0</v>
      </c>
      <c r="N4777" s="1076"/>
      <c r="O4777" s="294"/>
      <c r="P4777" s="404"/>
      <c r="Q4777" s="404"/>
    </row>
    <row r="4778" spans="1:17" ht="14.4" thickTop="1" thickBot="1" x14ac:dyDescent="0.3">
      <c r="A4778" s="292"/>
      <c r="B4778" s="294" t="s">
        <v>1450</v>
      </c>
      <c r="C4778" s="294"/>
      <c r="D4778" s="294"/>
      <c r="E4778" s="294"/>
      <c r="F4778" s="310">
        <v>7.7</v>
      </c>
      <c r="G4778" s="310"/>
      <c r="H4778" s="310">
        <v>3.6</v>
      </c>
      <c r="I4778" s="295">
        <f>H4778*F4778</f>
        <v>27.720000000000002</v>
      </c>
      <c r="J4778" s="295"/>
      <c r="K4778" s="300">
        <f t="shared" si="624"/>
        <v>1.1000000000000001</v>
      </c>
      <c r="L4778" s="300">
        <f t="shared" si="625"/>
        <v>0</v>
      </c>
      <c r="M4778" s="285">
        <f t="shared" ref="M4778:M4841" si="626">ROUND(L4778,0)</f>
        <v>0</v>
      </c>
      <c r="N4778" s="1076"/>
      <c r="O4778" s="294"/>
      <c r="P4778" s="404"/>
      <c r="Q4778" s="404"/>
    </row>
    <row r="4779" spans="1:17" ht="14.4" thickTop="1" thickBot="1" x14ac:dyDescent="0.3">
      <c r="A4779" s="292"/>
      <c r="B4779" s="294"/>
      <c r="C4779" s="294"/>
      <c r="D4779" s="294"/>
      <c r="E4779" s="294"/>
      <c r="F4779" s="310">
        <v>6.3</v>
      </c>
      <c r="G4779" s="310"/>
      <c r="H4779" s="310">
        <v>3.6</v>
      </c>
      <c r="I4779" s="295">
        <f t="shared" ref="I4779:I4783" si="627">H4779*F4779</f>
        <v>22.68</v>
      </c>
      <c r="J4779" s="295"/>
      <c r="K4779" s="300">
        <f t="shared" si="624"/>
        <v>1.1000000000000001</v>
      </c>
      <c r="L4779" s="300">
        <f t="shared" si="625"/>
        <v>0</v>
      </c>
      <c r="M4779" s="285">
        <f t="shared" si="626"/>
        <v>0</v>
      </c>
      <c r="N4779" s="1076"/>
      <c r="O4779" s="294"/>
      <c r="P4779" s="404"/>
      <c r="Q4779" s="404"/>
    </row>
    <row r="4780" spans="1:17" ht="14.4" thickTop="1" thickBot="1" x14ac:dyDescent="0.3">
      <c r="A4780" s="292"/>
      <c r="B4780" s="294"/>
      <c r="C4780" s="294"/>
      <c r="D4780" s="294"/>
      <c r="E4780" s="294"/>
      <c r="F4780" s="310">
        <v>0.375</v>
      </c>
      <c r="G4780" s="310"/>
      <c r="H4780" s="310">
        <v>3.6</v>
      </c>
      <c r="I4780" s="295">
        <f t="shared" si="627"/>
        <v>1.35</v>
      </c>
      <c r="J4780" s="295"/>
      <c r="K4780" s="300">
        <f t="shared" si="624"/>
        <v>1.1000000000000001</v>
      </c>
      <c r="L4780" s="300">
        <f t="shared" si="625"/>
        <v>0</v>
      </c>
      <c r="M4780" s="285">
        <f t="shared" si="626"/>
        <v>0</v>
      </c>
      <c r="N4780" s="1076"/>
      <c r="O4780" s="294"/>
      <c r="P4780" s="404"/>
      <c r="Q4780" s="404"/>
    </row>
    <row r="4781" spans="1:17" ht="14.4" thickTop="1" thickBot="1" x14ac:dyDescent="0.3">
      <c r="A4781" s="292"/>
      <c r="B4781" s="294"/>
      <c r="C4781" s="294"/>
      <c r="D4781" s="294"/>
      <c r="E4781" s="294"/>
      <c r="F4781" s="310">
        <v>0.66300000000000003</v>
      </c>
      <c r="G4781" s="310"/>
      <c r="H4781" s="310">
        <v>3.6</v>
      </c>
      <c r="I4781" s="295">
        <f t="shared" si="627"/>
        <v>2.3868</v>
      </c>
      <c r="J4781" s="295"/>
      <c r="K4781" s="300">
        <f t="shared" si="624"/>
        <v>1.1000000000000001</v>
      </c>
      <c r="L4781" s="300">
        <f t="shared" si="625"/>
        <v>0</v>
      </c>
      <c r="M4781" s="285">
        <f t="shared" si="626"/>
        <v>0</v>
      </c>
      <c r="N4781" s="1076"/>
      <c r="O4781" s="294"/>
      <c r="P4781" s="404"/>
      <c r="Q4781" s="404"/>
    </row>
    <row r="4782" spans="1:17" ht="14.4" thickTop="1" thickBot="1" x14ac:dyDescent="0.3">
      <c r="A4782" s="292"/>
      <c r="B4782" s="294"/>
      <c r="C4782" s="294"/>
      <c r="D4782" s="294"/>
      <c r="E4782" s="294"/>
      <c r="F4782" s="310">
        <v>4.6749999999999998</v>
      </c>
      <c r="G4782" s="310"/>
      <c r="H4782" s="310">
        <v>3.6</v>
      </c>
      <c r="I4782" s="295">
        <f t="shared" si="627"/>
        <v>16.829999999999998</v>
      </c>
      <c r="J4782" s="295"/>
      <c r="K4782" s="300">
        <f t="shared" si="624"/>
        <v>1.1000000000000001</v>
      </c>
      <c r="L4782" s="300">
        <f t="shared" si="625"/>
        <v>0</v>
      </c>
      <c r="M4782" s="285">
        <f t="shared" si="626"/>
        <v>0</v>
      </c>
      <c r="N4782" s="1076"/>
      <c r="O4782" s="294"/>
      <c r="P4782" s="404"/>
      <c r="Q4782" s="404"/>
    </row>
    <row r="4783" spans="1:17" ht="14.4" thickTop="1" thickBot="1" x14ac:dyDescent="0.3">
      <c r="A4783" s="292"/>
      <c r="B4783" s="294"/>
      <c r="C4783" s="294"/>
      <c r="D4783" s="294"/>
      <c r="E4783" s="294"/>
      <c r="F4783" s="310">
        <v>3.0110000000000001</v>
      </c>
      <c r="G4783" s="310"/>
      <c r="H4783" s="310">
        <v>3.6</v>
      </c>
      <c r="I4783" s="295">
        <f t="shared" si="627"/>
        <v>10.839600000000001</v>
      </c>
      <c r="J4783" s="295">
        <f>SUM(I4778:I4783)</f>
        <v>81.806400000000011</v>
      </c>
      <c r="K4783" s="300">
        <f t="shared" si="624"/>
        <v>1.1000000000000001</v>
      </c>
      <c r="L4783" s="300">
        <f t="shared" si="625"/>
        <v>89.987040000000022</v>
      </c>
      <c r="M4783" s="285">
        <f t="shared" si="626"/>
        <v>90</v>
      </c>
      <c r="N4783" s="1076"/>
      <c r="O4783" s="294"/>
      <c r="P4783" s="413">
        <f>J4783/9.29</f>
        <v>8.8058557588805186</v>
      </c>
      <c r="Q4783" s="404"/>
    </row>
    <row r="4784" spans="1:17" ht="14.4" thickTop="1" thickBot="1" x14ac:dyDescent="0.3">
      <c r="A4784" s="292"/>
      <c r="B4784" s="294"/>
      <c r="C4784" s="294"/>
      <c r="D4784" s="294"/>
      <c r="E4784" s="294"/>
      <c r="F4784" s="310"/>
      <c r="G4784" s="310"/>
      <c r="H4784" s="310"/>
      <c r="I4784" s="295"/>
      <c r="J4784" s="295">
        <f>J4783*10.76</f>
        <v>880.23686400000008</v>
      </c>
      <c r="K4784" s="300">
        <v>1.05</v>
      </c>
      <c r="L4784" s="300">
        <f t="shared" si="625"/>
        <v>924.24870720000013</v>
      </c>
      <c r="M4784" s="285">
        <f t="shared" si="626"/>
        <v>924</v>
      </c>
      <c r="N4784" s="1076"/>
      <c r="O4784" s="294"/>
      <c r="P4784" s="413">
        <f>P4783*100</f>
        <v>880.58557588805184</v>
      </c>
      <c r="Q4784" s="404"/>
    </row>
    <row r="4785" spans="1:17" ht="14.4" thickTop="1" thickBot="1" x14ac:dyDescent="0.3">
      <c r="A4785" s="292"/>
      <c r="B4785" s="294"/>
      <c r="C4785" s="294"/>
      <c r="D4785" s="294"/>
      <c r="E4785" s="294"/>
      <c r="F4785" s="310"/>
      <c r="G4785" s="310"/>
      <c r="H4785" s="310"/>
      <c r="I4785" s="295"/>
      <c r="J4785" s="295"/>
      <c r="K4785" s="300">
        <f t="shared" si="624"/>
        <v>1.1000000000000001</v>
      </c>
      <c r="L4785" s="300">
        <f t="shared" si="625"/>
        <v>0</v>
      </c>
      <c r="M4785" s="285">
        <f t="shared" si="626"/>
        <v>0</v>
      </c>
      <c r="N4785" s="1076"/>
      <c r="O4785" s="294"/>
      <c r="P4785" s="404"/>
      <c r="Q4785" s="404"/>
    </row>
    <row r="4786" spans="1:17" ht="14.4" thickTop="1" thickBot="1" x14ac:dyDescent="0.3">
      <c r="A4786" s="292"/>
      <c r="B4786" s="294" t="s">
        <v>1462</v>
      </c>
      <c r="C4786" s="294"/>
      <c r="D4786" s="294"/>
      <c r="E4786" s="294">
        <v>2</v>
      </c>
      <c r="F4786" s="310">
        <f>26+3</f>
        <v>29</v>
      </c>
      <c r="G4786" s="310"/>
      <c r="H4786" s="310"/>
      <c r="I4786" s="295">
        <f>F4786*E4786</f>
        <v>58</v>
      </c>
      <c r="J4786" s="295"/>
      <c r="K4786" s="300">
        <f t="shared" si="624"/>
        <v>1.1000000000000001</v>
      </c>
      <c r="L4786" s="300">
        <f t="shared" si="625"/>
        <v>0</v>
      </c>
      <c r="M4786" s="285">
        <f t="shared" si="626"/>
        <v>0</v>
      </c>
      <c r="N4786" s="1076"/>
      <c r="O4786" s="294"/>
      <c r="P4786" s="404"/>
      <c r="Q4786" s="404"/>
    </row>
    <row r="4787" spans="1:17" ht="14.4" thickTop="1" thickBot="1" x14ac:dyDescent="0.3">
      <c r="A4787" s="292"/>
      <c r="B4787" s="294"/>
      <c r="C4787" s="294"/>
      <c r="D4787" s="294"/>
      <c r="E4787" s="294">
        <v>2</v>
      </c>
      <c r="F4787" s="310">
        <f>12.225+3</f>
        <v>15.225</v>
      </c>
      <c r="G4787" s="310"/>
      <c r="H4787" s="310"/>
      <c r="I4787" s="295">
        <f>F4787*E4787</f>
        <v>30.45</v>
      </c>
      <c r="J4787" s="295">
        <f>SUM(I4786:I4787)</f>
        <v>88.45</v>
      </c>
      <c r="K4787" s="300">
        <v>1.05</v>
      </c>
      <c r="L4787" s="300">
        <f t="shared" si="625"/>
        <v>92.872500000000002</v>
      </c>
      <c r="M4787" s="285">
        <f t="shared" si="626"/>
        <v>93</v>
      </c>
      <c r="N4787" s="1076"/>
      <c r="O4787" s="294"/>
      <c r="P4787" s="404"/>
      <c r="Q4787" s="404"/>
    </row>
    <row r="4788" spans="1:17" ht="14.4" thickTop="1" thickBot="1" x14ac:dyDescent="0.3">
      <c r="A4788" s="292"/>
      <c r="B4788" s="294"/>
      <c r="C4788" s="294"/>
      <c r="D4788" s="294"/>
      <c r="E4788" s="294"/>
      <c r="F4788" s="310"/>
      <c r="G4788" s="310"/>
      <c r="H4788" s="310"/>
      <c r="I4788" s="295"/>
      <c r="J4788" s="295">
        <f>J4787*3.28</f>
        <v>290.11599999999999</v>
      </c>
      <c r="K4788" s="300">
        <v>1.05</v>
      </c>
      <c r="L4788" s="300">
        <f t="shared" si="625"/>
        <v>304.62180000000001</v>
      </c>
      <c r="M4788" s="285">
        <f t="shared" si="626"/>
        <v>305</v>
      </c>
      <c r="N4788" s="1076"/>
      <c r="O4788" s="294"/>
      <c r="P4788" s="404"/>
      <c r="Q4788" s="404"/>
    </row>
    <row r="4789" spans="1:17" ht="14.4" thickTop="1" thickBot="1" x14ac:dyDescent="0.3">
      <c r="A4789" s="292"/>
      <c r="B4789" s="294"/>
      <c r="C4789" s="294"/>
      <c r="D4789" s="294"/>
      <c r="E4789" s="294"/>
      <c r="F4789" s="310"/>
      <c r="G4789" s="310"/>
      <c r="H4789" s="310"/>
      <c r="I4789" s="295"/>
      <c r="J4789" s="295"/>
      <c r="K4789" s="300">
        <f t="shared" si="624"/>
        <v>1.1000000000000001</v>
      </c>
      <c r="L4789" s="300">
        <f t="shared" si="625"/>
        <v>0</v>
      </c>
      <c r="M4789" s="285">
        <f t="shared" si="626"/>
        <v>0</v>
      </c>
      <c r="N4789" s="1076"/>
      <c r="O4789" s="294"/>
      <c r="P4789" s="404"/>
      <c r="Q4789" s="404"/>
    </row>
    <row r="4790" spans="1:17" ht="14.4" thickTop="1" thickBot="1" x14ac:dyDescent="0.3">
      <c r="A4790" s="292"/>
      <c r="B4790" s="294"/>
      <c r="C4790" s="294"/>
      <c r="D4790" s="294"/>
      <c r="E4790" s="294"/>
      <c r="F4790" s="310"/>
      <c r="G4790" s="310"/>
      <c r="H4790" s="310"/>
      <c r="I4790" s="295"/>
      <c r="J4790" s="295"/>
      <c r="K4790" s="300">
        <f t="shared" si="624"/>
        <v>1.1000000000000001</v>
      </c>
      <c r="L4790" s="300">
        <f t="shared" si="625"/>
        <v>0</v>
      </c>
      <c r="M4790" s="285">
        <f t="shared" si="626"/>
        <v>0</v>
      </c>
      <c r="N4790" s="1076"/>
      <c r="O4790" s="294"/>
      <c r="P4790" s="404"/>
      <c r="Q4790" s="404"/>
    </row>
    <row r="4791" spans="1:17" ht="14.4" thickTop="1" thickBot="1" x14ac:dyDescent="0.3">
      <c r="A4791" s="292"/>
      <c r="B4791" s="294" t="s">
        <v>1464</v>
      </c>
      <c r="C4791" s="294"/>
      <c r="D4791" s="294"/>
      <c r="E4791" s="294"/>
      <c r="F4791" s="310">
        <v>5.6109999999999998</v>
      </c>
      <c r="G4791" s="310">
        <v>6.5</v>
      </c>
      <c r="H4791" s="310"/>
      <c r="I4791" s="295">
        <f>G4791*F4791</f>
        <v>36.471499999999999</v>
      </c>
      <c r="J4791" s="295">
        <f>I4791</f>
        <v>36.471499999999999</v>
      </c>
      <c r="K4791" s="300">
        <f t="shared" si="624"/>
        <v>1.1000000000000001</v>
      </c>
      <c r="L4791" s="300">
        <f t="shared" si="625"/>
        <v>40.118650000000002</v>
      </c>
      <c r="M4791" s="285">
        <f t="shared" si="626"/>
        <v>40</v>
      </c>
      <c r="N4791" s="1076"/>
      <c r="O4791" s="294"/>
      <c r="P4791" s="404"/>
      <c r="Q4791" s="404"/>
    </row>
    <row r="4792" spans="1:17" ht="14.4" thickTop="1" thickBot="1" x14ac:dyDescent="0.3">
      <c r="A4792" s="292"/>
      <c r="B4792" s="294"/>
      <c r="C4792" s="294"/>
      <c r="D4792" s="294"/>
      <c r="E4792" s="294"/>
      <c r="F4792" s="310"/>
      <c r="G4792" s="310"/>
      <c r="H4792" s="310"/>
      <c r="I4792" s="295"/>
      <c r="J4792" s="295"/>
      <c r="K4792" s="300">
        <f t="shared" si="624"/>
        <v>1.1000000000000001</v>
      </c>
      <c r="L4792" s="300">
        <f t="shared" si="625"/>
        <v>0</v>
      </c>
      <c r="M4792" s="285">
        <f t="shared" si="626"/>
        <v>0</v>
      </c>
      <c r="N4792" s="1076"/>
      <c r="O4792" s="294"/>
      <c r="P4792" s="404"/>
      <c r="Q4792" s="404"/>
    </row>
    <row r="4793" spans="1:17" ht="14.4" thickTop="1" thickBot="1" x14ac:dyDescent="0.3">
      <c r="A4793" s="292"/>
      <c r="B4793" s="294"/>
      <c r="C4793" s="294"/>
      <c r="D4793" s="294"/>
      <c r="E4793" s="294"/>
      <c r="F4793" s="310"/>
      <c r="G4793" s="310"/>
      <c r="H4793" s="310"/>
      <c r="I4793" s="295"/>
      <c r="J4793" s="295"/>
      <c r="K4793" s="300">
        <f t="shared" si="624"/>
        <v>1.1000000000000001</v>
      </c>
      <c r="L4793" s="300">
        <f t="shared" si="625"/>
        <v>0</v>
      </c>
      <c r="M4793" s="285">
        <f t="shared" si="626"/>
        <v>0</v>
      </c>
      <c r="N4793" s="1076"/>
      <c r="O4793" s="294"/>
      <c r="P4793" s="404"/>
      <c r="Q4793" s="404"/>
    </row>
    <row r="4794" spans="1:17" ht="14.4" thickTop="1" thickBot="1" x14ac:dyDescent="0.3">
      <c r="A4794" s="292"/>
      <c r="B4794" s="294"/>
      <c r="C4794" s="294"/>
      <c r="D4794" s="294"/>
      <c r="E4794" s="294"/>
      <c r="F4794" s="310"/>
      <c r="G4794" s="310"/>
      <c r="H4794" s="310"/>
      <c r="I4794" s="295"/>
      <c r="J4794" s="295"/>
      <c r="K4794" s="300">
        <f t="shared" si="624"/>
        <v>1.1000000000000001</v>
      </c>
      <c r="L4794" s="300">
        <f t="shared" si="625"/>
        <v>0</v>
      </c>
      <c r="M4794" s="285">
        <f t="shared" si="626"/>
        <v>0</v>
      </c>
      <c r="N4794" s="1076"/>
      <c r="O4794" s="294"/>
      <c r="P4794" s="404"/>
      <c r="Q4794" s="404"/>
    </row>
    <row r="4795" spans="1:17" ht="14.4" thickTop="1" thickBot="1" x14ac:dyDescent="0.3">
      <c r="A4795" s="292"/>
      <c r="B4795" s="302" t="s">
        <v>1521</v>
      </c>
      <c r="C4795" s="294"/>
      <c r="D4795" s="294"/>
      <c r="E4795" s="294"/>
      <c r="F4795" s="310"/>
      <c r="G4795" s="310"/>
      <c r="H4795" s="310"/>
      <c r="I4795" s="295"/>
      <c r="J4795" s="295"/>
      <c r="K4795" s="300">
        <f t="shared" si="624"/>
        <v>1.1000000000000001</v>
      </c>
      <c r="L4795" s="300">
        <f t="shared" si="625"/>
        <v>0</v>
      </c>
      <c r="M4795" s="285">
        <f t="shared" si="626"/>
        <v>0</v>
      </c>
      <c r="N4795" s="1076"/>
      <c r="O4795" s="294"/>
      <c r="P4795" s="404"/>
      <c r="Q4795" s="404"/>
    </row>
    <row r="4796" spans="1:17" ht="14.4" thickTop="1" thickBot="1" x14ac:dyDescent="0.3">
      <c r="A4796" s="292"/>
      <c r="B4796" s="294"/>
      <c r="C4796" s="294"/>
      <c r="D4796" s="294"/>
      <c r="E4796" s="294"/>
      <c r="F4796" s="310"/>
      <c r="G4796" s="310"/>
      <c r="H4796" s="310"/>
      <c r="I4796" s="295"/>
      <c r="J4796" s="295"/>
      <c r="K4796" s="300">
        <f t="shared" si="624"/>
        <v>1.1000000000000001</v>
      </c>
      <c r="L4796" s="300">
        <f t="shared" si="625"/>
        <v>0</v>
      </c>
      <c r="M4796" s="285">
        <f t="shared" si="626"/>
        <v>0</v>
      </c>
      <c r="N4796" s="1076"/>
      <c r="O4796" s="294"/>
      <c r="P4796" s="404"/>
      <c r="Q4796" s="404"/>
    </row>
    <row r="4797" spans="1:17" ht="14.4" thickTop="1" thickBot="1" x14ac:dyDescent="0.3">
      <c r="A4797" s="292"/>
      <c r="B4797" s="294" t="s">
        <v>1522</v>
      </c>
      <c r="C4797" s="294"/>
      <c r="D4797" s="294"/>
      <c r="E4797" s="294"/>
      <c r="F4797" s="310"/>
      <c r="G4797" s="310"/>
      <c r="H4797" s="310"/>
      <c r="I4797" s="295">
        <v>27.51</v>
      </c>
      <c r="J4797" s="295">
        <f>I4797</f>
        <v>27.51</v>
      </c>
      <c r="K4797" s="300">
        <v>1.05</v>
      </c>
      <c r="L4797" s="300">
        <f t="shared" si="625"/>
        <v>28.885500000000004</v>
      </c>
      <c r="M4797" s="285">
        <f t="shared" si="626"/>
        <v>29</v>
      </c>
      <c r="N4797" s="1076"/>
      <c r="O4797" s="294"/>
      <c r="P4797" s="413"/>
      <c r="Q4797" s="404"/>
    </row>
    <row r="4798" spans="1:17" ht="14.4" thickTop="1" thickBot="1" x14ac:dyDescent="0.3">
      <c r="A4798" s="292"/>
      <c r="B4798" s="294"/>
      <c r="C4798" s="294"/>
      <c r="D4798" s="294"/>
      <c r="E4798" s="294"/>
      <c r="F4798" s="310"/>
      <c r="G4798" s="310"/>
      <c r="H4798" s="310"/>
      <c r="I4798" s="295"/>
      <c r="J4798" s="295">
        <f>J4797/9.29</f>
        <v>2.9612486544671692</v>
      </c>
      <c r="K4798" s="300">
        <v>1.05</v>
      </c>
      <c r="L4798" s="300">
        <f t="shared" si="625"/>
        <v>3.1093110871905276</v>
      </c>
      <c r="M4798" s="285">
        <f t="shared" si="626"/>
        <v>3</v>
      </c>
      <c r="N4798" s="1076"/>
      <c r="O4798" s="294"/>
      <c r="P4798" s="413"/>
      <c r="Q4798" s="404"/>
    </row>
    <row r="4799" spans="1:17" ht="14.4" thickTop="1" thickBot="1" x14ac:dyDescent="0.3">
      <c r="A4799" s="292"/>
      <c r="B4799" s="294"/>
      <c r="C4799" s="294"/>
      <c r="D4799" s="294"/>
      <c r="E4799" s="294"/>
      <c r="F4799" s="310"/>
      <c r="G4799" s="310"/>
      <c r="H4799" s="310"/>
      <c r="I4799" s="295"/>
      <c r="J4799" s="295"/>
      <c r="K4799" s="300">
        <v>1.05</v>
      </c>
      <c r="L4799" s="300">
        <f t="shared" si="625"/>
        <v>0</v>
      </c>
      <c r="M4799" s="285">
        <f t="shared" si="626"/>
        <v>0</v>
      </c>
      <c r="N4799" s="1076"/>
      <c r="O4799" s="294"/>
      <c r="P4799" s="404"/>
      <c r="Q4799" s="404"/>
    </row>
    <row r="4800" spans="1:17" ht="14.4" thickTop="1" thickBot="1" x14ac:dyDescent="0.3">
      <c r="A4800" s="292"/>
      <c r="B4800" s="294" t="s">
        <v>1523</v>
      </c>
      <c r="C4800" s="294"/>
      <c r="D4800" s="294"/>
      <c r="E4800" s="294"/>
      <c r="F4800" s="310">
        <v>16</v>
      </c>
      <c r="G4800" s="310"/>
      <c r="H4800" s="310">
        <v>0.45</v>
      </c>
      <c r="I4800" s="295">
        <f>H4800*F4800</f>
        <v>7.2</v>
      </c>
      <c r="J4800" s="295">
        <f>I4800</f>
        <v>7.2</v>
      </c>
      <c r="K4800" s="300">
        <v>1.05</v>
      </c>
      <c r="L4800" s="300">
        <f t="shared" si="625"/>
        <v>7.5600000000000005</v>
      </c>
      <c r="M4800" s="285">
        <f t="shared" si="626"/>
        <v>8</v>
      </c>
      <c r="N4800" s="1076"/>
      <c r="O4800" s="294"/>
      <c r="P4800" s="404"/>
      <c r="Q4800" s="404"/>
    </row>
    <row r="4801" spans="1:17" ht="14.4" thickTop="1" thickBot="1" x14ac:dyDescent="0.3">
      <c r="A4801" s="292"/>
      <c r="B4801" s="294"/>
      <c r="C4801" s="294"/>
      <c r="D4801" s="294"/>
      <c r="E4801" s="294"/>
      <c r="F4801" s="310"/>
      <c r="G4801" s="310"/>
      <c r="H4801" s="310"/>
      <c r="I4801" s="295"/>
      <c r="J4801" s="295">
        <f>J4800/2.83</f>
        <v>2.5441696113074204</v>
      </c>
      <c r="K4801" s="300">
        <v>1.05</v>
      </c>
      <c r="L4801" s="300">
        <f t="shared" si="625"/>
        <v>2.6713780918727914</v>
      </c>
      <c r="M4801" s="285">
        <f t="shared" si="626"/>
        <v>3</v>
      </c>
      <c r="N4801" s="1076"/>
      <c r="O4801" s="294"/>
      <c r="P4801" s="404"/>
      <c r="Q4801" s="404"/>
    </row>
    <row r="4802" spans="1:17" ht="14.4" thickTop="1" thickBot="1" x14ac:dyDescent="0.3">
      <c r="A4802" s="292"/>
      <c r="B4802" s="294"/>
      <c r="C4802" s="294"/>
      <c r="D4802" s="294"/>
      <c r="E4802" s="294"/>
      <c r="F4802" s="310"/>
      <c r="G4802" s="310"/>
      <c r="H4802" s="310"/>
      <c r="I4802" s="295"/>
      <c r="J4802" s="295"/>
      <c r="K4802" s="300">
        <v>1.05</v>
      </c>
      <c r="L4802" s="300">
        <f t="shared" si="625"/>
        <v>0</v>
      </c>
      <c r="M4802" s="285">
        <f t="shared" si="626"/>
        <v>0</v>
      </c>
      <c r="N4802" s="1076"/>
      <c r="O4802" s="294"/>
      <c r="P4802" s="404"/>
      <c r="Q4802" s="404"/>
    </row>
    <row r="4803" spans="1:17" ht="14.4" thickTop="1" thickBot="1" x14ac:dyDescent="0.3">
      <c r="A4803" s="292"/>
      <c r="B4803" s="294" t="s">
        <v>1524</v>
      </c>
      <c r="C4803" s="294"/>
      <c r="D4803" s="294"/>
      <c r="E4803" s="294">
        <v>6</v>
      </c>
      <c r="F4803" s="310">
        <v>0.9</v>
      </c>
      <c r="G4803" s="310">
        <v>0.9</v>
      </c>
      <c r="H4803" s="310"/>
      <c r="I4803" s="295">
        <f>G4803*F4803*E4803</f>
        <v>4.8600000000000003</v>
      </c>
      <c r="J4803" s="295">
        <f>I4803</f>
        <v>4.8600000000000003</v>
      </c>
      <c r="K4803" s="300">
        <v>1.05</v>
      </c>
      <c r="L4803" s="300">
        <f t="shared" si="625"/>
        <v>5.1030000000000006</v>
      </c>
      <c r="M4803" s="285">
        <f t="shared" si="626"/>
        <v>5</v>
      </c>
      <c r="N4803" s="1076"/>
      <c r="O4803" s="294"/>
      <c r="P4803" s="404"/>
      <c r="Q4803" s="404"/>
    </row>
    <row r="4804" spans="1:17" ht="14.4" thickTop="1" thickBot="1" x14ac:dyDescent="0.3">
      <c r="A4804" s="292"/>
      <c r="B4804" s="294"/>
      <c r="C4804" s="294"/>
      <c r="D4804" s="294"/>
      <c r="E4804" s="294"/>
      <c r="F4804" s="310"/>
      <c r="G4804" s="310"/>
      <c r="H4804" s="310"/>
      <c r="I4804" s="295"/>
      <c r="J4804" s="295">
        <f>J4803/9.29</f>
        <v>0.52314316469321864</v>
      </c>
      <c r="K4804" s="300">
        <v>1.05</v>
      </c>
      <c r="L4804" s="300">
        <f t="shared" si="625"/>
        <v>0.54930032292787956</v>
      </c>
      <c r="M4804" s="285">
        <f t="shared" si="626"/>
        <v>1</v>
      </c>
      <c r="N4804" s="1076"/>
      <c r="O4804" s="294"/>
      <c r="P4804" s="404"/>
      <c r="Q4804" s="404"/>
    </row>
    <row r="4805" spans="1:17" ht="14.4" thickTop="1" thickBot="1" x14ac:dyDescent="0.3">
      <c r="A4805" s="292"/>
      <c r="B4805" s="294"/>
      <c r="C4805" s="294"/>
      <c r="D4805" s="294"/>
      <c r="E4805" s="294"/>
      <c r="F4805" s="310"/>
      <c r="G4805" s="310"/>
      <c r="H4805" s="310"/>
      <c r="I4805" s="295"/>
      <c r="J4805" s="295"/>
      <c r="K4805" s="300">
        <v>1.05</v>
      </c>
      <c r="L4805" s="300">
        <f t="shared" si="625"/>
        <v>0</v>
      </c>
      <c r="M4805" s="285">
        <f t="shared" si="626"/>
        <v>0</v>
      </c>
      <c r="N4805" s="1076"/>
      <c r="O4805" s="294"/>
      <c r="P4805" s="404"/>
      <c r="Q4805" s="404"/>
    </row>
    <row r="4806" spans="1:17" ht="14.4" thickTop="1" thickBot="1" x14ac:dyDescent="0.3">
      <c r="A4806" s="292"/>
      <c r="B4806" s="294" t="s">
        <v>710</v>
      </c>
      <c r="C4806" s="294"/>
      <c r="D4806" s="294"/>
      <c r="E4806" s="294">
        <v>1</v>
      </c>
      <c r="F4806" s="310">
        <v>0.6</v>
      </c>
      <c r="G4806" s="310">
        <v>0.6</v>
      </c>
      <c r="H4806" s="310">
        <v>0.22500000000000001</v>
      </c>
      <c r="I4806" s="295">
        <f>H4806*G4806*F4806*E4806</f>
        <v>8.1000000000000003E-2</v>
      </c>
      <c r="J4806" s="295">
        <f>I4806</f>
        <v>8.1000000000000003E-2</v>
      </c>
      <c r="K4806" s="300">
        <v>1.05</v>
      </c>
      <c r="L4806" s="300">
        <f t="shared" si="625"/>
        <v>8.5050000000000001E-2</v>
      </c>
      <c r="M4806" s="285">
        <f t="shared" si="626"/>
        <v>0</v>
      </c>
      <c r="N4806" s="1076"/>
      <c r="O4806" s="294"/>
      <c r="P4806" s="404"/>
      <c r="Q4806" s="404"/>
    </row>
    <row r="4807" spans="1:17" ht="14.4" thickTop="1" thickBot="1" x14ac:dyDescent="0.3">
      <c r="A4807" s="292"/>
      <c r="B4807" s="294"/>
      <c r="C4807" s="294"/>
      <c r="D4807" s="294"/>
      <c r="E4807" s="294"/>
      <c r="F4807" s="310"/>
      <c r="G4807" s="310"/>
      <c r="H4807" s="310"/>
      <c r="I4807" s="295"/>
      <c r="J4807" s="295">
        <f>J4806/2.83</f>
        <v>2.8621908127208481E-2</v>
      </c>
      <c r="K4807" s="300">
        <v>1.05</v>
      </c>
      <c r="L4807" s="300">
        <f t="shared" si="625"/>
        <v>3.0053003533568906E-2</v>
      </c>
      <c r="M4807" s="285">
        <f t="shared" si="626"/>
        <v>0</v>
      </c>
      <c r="N4807" s="1076"/>
      <c r="O4807" s="294"/>
      <c r="P4807" s="404"/>
      <c r="Q4807" s="404"/>
    </row>
    <row r="4808" spans="1:17" ht="14.4" thickTop="1" thickBot="1" x14ac:dyDescent="0.3">
      <c r="A4808" s="292"/>
      <c r="B4808" s="294"/>
      <c r="C4808" s="294"/>
      <c r="D4808" s="294"/>
      <c r="E4808" s="294"/>
      <c r="F4808" s="310"/>
      <c r="G4808" s="310"/>
      <c r="H4808" s="310"/>
      <c r="I4808" s="295"/>
      <c r="J4808" s="295"/>
      <c r="K4808" s="300">
        <v>1.05</v>
      </c>
      <c r="L4808" s="300">
        <f t="shared" si="625"/>
        <v>0</v>
      </c>
      <c r="M4808" s="285">
        <f t="shared" si="626"/>
        <v>0</v>
      </c>
      <c r="N4808" s="1076"/>
      <c r="O4808" s="294"/>
      <c r="P4808" s="404"/>
      <c r="Q4808" s="404"/>
    </row>
    <row r="4809" spans="1:17" ht="14.4" thickTop="1" thickBot="1" x14ac:dyDescent="0.3">
      <c r="A4809" s="292"/>
      <c r="B4809" s="294" t="s">
        <v>1037</v>
      </c>
      <c r="C4809" s="294"/>
      <c r="D4809" s="294"/>
      <c r="E4809" s="294">
        <v>6</v>
      </c>
      <c r="F4809" s="310">
        <v>0.22500000000000001</v>
      </c>
      <c r="G4809" s="310">
        <v>0.22500000000000001</v>
      </c>
      <c r="H4809" s="310">
        <v>1</v>
      </c>
      <c r="I4809" s="295">
        <f>H4809*G4809*F4809*E4809</f>
        <v>0.30375000000000002</v>
      </c>
      <c r="J4809" s="295">
        <f>I4809</f>
        <v>0.30375000000000002</v>
      </c>
      <c r="K4809" s="300">
        <v>1.05</v>
      </c>
      <c r="L4809" s="300">
        <f t="shared" si="625"/>
        <v>0.31893750000000004</v>
      </c>
      <c r="M4809" s="285">
        <f t="shared" si="626"/>
        <v>0</v>
      </c>
      <c r="N4809" s="1076"/>
      <c r="O4809" s="294"/>
      <c r="P4809" s="404"/>
      <c r="Q4809" s="404"/>
    </row>
    <row r="4810" spans="1:17" ht="14.4" thickTop="1" thickBot="1" x14ac:dyDescent="0.3">
      <c r="A4810" s="292"/>
      <c r="B4810" s="294"/>
      <c r="C4810" s="294"/>
      <c r="D4810" s="294"/>
      <c r="E4810" s="294"/>
      <c r="F4810" s="310"/>
      <c r="G4810" s="310"/>
      <c r="H4810" s="310"/>
      <c r="I4810" s="295"/>
      <c r="J4810" s="295">
        <f>J4809/2.83</f>
        <v>0.1073321554770318</v>
      </c>
      <c r="K4810" s="300">
        <v>1.05</v>
      </c>
      <c r="L4810" s="300">
        <f t="shared" si="625"/>
        <v>0.11269876325088339</v>
      </c>
      <c r="M4810" s="285">
        <f t="shared" si="626"/>
        <v>0</v>
      </c>
      <c r="N4810" s="1076"/>
      <c r="O4810" s="294"/>
      <c r="P4810" s="404"/>
      <c r="Q4810" s="404"/>
    </row>
    <row r="4811" spans="1:17" ht="14.4" thickTop="1" thickBot="1" x14ac:dyDescent="0.3">
      <c r="A4811" s="292"/>
      <c r="B4811" s="294"/>
      <c r="C4811" s="294"/>
      <c r="D4811" s="294"/>
      <c r="E4811" s="294"/>
      <c r="F4811" s="310"/>
      <c r="G4811" s="310"/>
      <c r="H4811" s="310"/>
      <c r="I4811" s="295"/>
      <c r="J4811" s="295"/>
      <c r="K4811" s="300">
        <v>1.05</v>
      </c>
      <c r="L4811" s="300">
        <f t="shared" si="625"/>
        <v>0</v>
      </c>
      <c r="M4811" s="285">
        <f t="shared" si="626"/>
        <v>0</v>
      </c>
      <c r="N4811" s="1076"/>
      <c r="O4811" s="294"/>
      <c r="P4811" s="404"/>
      <c r="Q4811" s="404"/>
    </row>
    <row r="4812" spans="1:17" ht="14.4" thickTop="1" thickBot="1" x14ac:dyDescent="0.3">
      <c r="A4812" s="292"/>
      <c r="B4812" s="294" t="s">
        <v>1525</v>
      </c>
      <c r="C4812" s="294"/>
      <c r="D4812" s="294"/>
      <c r="E4812" s="294"/>
      <c r="F4812" s="310">
        <v>16</v>
      </c>
      <c r="G4812" s="310">
        <v>0.22500000000000001</v>
      </c>
      <c r="H4812" s="310">
        <v>0.22500000000000001</v>
      </c>
      <c r="I4812" s="295">
        <f>H4812*G4812*F4812</f>
        <v>0.81</v>
      </c>
      <c r="J4812" s="295">
        <f>I4812</f>
        <v>0.81</v>
      </c>
      <c r="K4812" s="300">
        <v>1.05</v>
      </c>
      <c r="L4812" s="300">
        <f t="shared" si="625"/>
        <v>0.85050000000000014</v>
      </c>
      <c r="M4812" s="285">
        <f t="shared" si="626"/>
        <v>1</v>
      </c>
      <c r="N4812" s="1076"/>
      <c r="O4812" s="294"/>
      <c r="P4812" s="404"/>
      <c r="Q4812" s="404"/>
    </row>
    <row r="4813" spans="1:17" ht="14.4" thickTop="1" thickBot="1" x14ac:dyDescent="0.3">
      <c r="A4813" s="292"/>
      <c r="B4813" s="294"/>
      <c r="C4813" s="294"/>
      <c r="D4813" s="294"/>
      <c r="E4813" s="294"/>
      <c r="F4813" s="310"/>
      <c r="G4813" s="310"/>
      <c r="H4813" s="310"/>
      <c r="I4813" s="295"/>
      <c r="J4813" s="295">
        <f>J4812/2.83</f>
        <v>0.28621908127208484</v>
      </c>
      <c r="K4813" s="300">
        <v>1.05</v>
      </c>
      <c r="L4813" s="300">
        <f t="shared" si="625"/>
        <v>0.30053003533568912</v>
      </c>
      <c r="M4813" s="285">
        <f t="shared" si="626"/>
        <v>0</v>
      </c>
      <c r="N4813" s="1076"/>
      <c r="O4813" s="294"/>
      <c r="P4813" s="404"/>
      <c r="Q4813" s="404"/>
    </row>
    <row r="4814" spans="1:17" ht="14.4" thickTop="1" thickBot="1" x14ac:dyDescent="0.3">
      <c r="A4814" s="292"/>
      <c r="B4814" s="294"/>
      <c r="C4814" s="294"/>
      <c r="D4814" s="294"/>
      <c r="E4814" s="294"/>
      <c r="F4814" s="310"/>
      <c r="G4814" s="310"/>
      <c r="H4814" s="310"/>
      <c r="I4814" s="295"/>
      <c r="J4814" s="295"/>
      <c r="K4814" s="300">
        <v>1.05</v>
      </c>
      <c r="L4814" s="300">
        <f t="shared" si="625"/>
        <v>0</v>
      </c>
      <c r="M4814" s="285">
        <f t="shared" si="626"/>
        <v>0</v>
      </c>
      <c r="N4814" s="1076"/>
      <c r="O4814" s="294"/>
      <c r="P4814" s="404"/>
      <c r="Q4814" s="404"/>
    </row>
    <row r="4815" spans="1:17" ht="14.4" thickTop="1" thickBot="1" x14ac:dyDescent="0.3">
      <c r="A4815" s="292"/>
      <c r="B4815" s="294" t="s">
        <v>1526</v>
      </c>
      <c r="C4815" s="294"/>
      <c r="D4815" s="294"/>
      <c r="E4815" s="294"/>
      <c r="F4815" s="310">
        <f>F4800</f>
        <v>16</v>
      </c>
      <c r="G4815" s="310"/>
      <c r="H4815" s="310">
        <v>7.4999999999999997E-2</v>
      </c>
      <c r="I4815" s="295">
        <f>H4815*F4815</f>
        <v>1.2</v>
      </c>
      <c r="J4815" s="295">
        <f>I4815</f>
        <v>1.2</v>
      </c>
      <c r="K4815" s="300">
        <v>1.05</v>
      </c>
      <c r="L4815" s="300">
        <f t="shared" si="625"/>
        <v>1.26</v>
      </c>
      <c r="M4815" s="285">
        <f t="shared" si="626"/>
        <v>1</v>
      </c>
      <c r="N4815" s="1076"/>
      <c r="O4815" s="294"/>
      <c r="P4815" s="404"/>
      <c r="Q4815" s="404"/>
    </row>
    <row r="4816" spans="1:17" ht="14.4" thickTop="1" thickBot="1" x14ac:dyDescent="0.3">
      <c r="A4816" s="292"/>
      <c r="B4816" s="294"/>
      <c r="C4816" s="294"/>
      <c r="D4816" s="294"/>
      <c r="E4816" s="294"/>
      <c r="F4816" s="310"/>
      <c r="G4816" s="310"/>
      <c r="H4816" s="310"/>
      <c r="I4816" s="295"/>
      <c r="J4816" s="295">
        <f>J4815/2.83</f>
        <v>0.42402826855123671</v>
      </c>
      <c r="K4816" s="300">
        <v>1.05</v>
      </c>
      <c r="L4816" s="300">
        <f t="shared" si="625"/>
        <v>0.44522968197879859</v>
      </c>
      <c r="M4816" s="285">
        <f t="shared" si="626"/>
        <v>0</v>
      </c>
      <c r="N4816" s="1076"/>
      <c r="O4816" s="294"/>
      <c r="P4816" s="404"/>
      <c r="Q4816" s="404"/>
    </row>
    <row r="4817" spans="1:17" ht="14.4" thickTop="1" thickBot="1" x14ac:dyDescent="0.3">
      <c r="A4817" s="292"/>
      <c r="B4817" s="294"/>
      <c r="C4817" s="294"/>
      <c r="D4817" s="294"/>
      <c r="E4817" s="294"/>
      <c r="F4817" s="310"/>
      <c r="G4817" s="310"/>
      <c r="H4817" s="310"/>
      <c r="I4817" s="295"/>
      <c r="J4817" s="295"/>
      <c r="K4817" s="300">
        <v>1.05</v>
      </c>
      <c r="L4817" s="300">
        <f t="shared" si="625"/>
        <v>0</v>
      </c>
      <c r="M4817" s="285">
        <f t="shared" si="626"/>
        <v>0</v>
      </c>
      <c r="N4817" s="1076"/>
      <c r="O4817" s="294"/>
      <c r="P4817" s="404"/>
      <c r="Q4817" s="404"/>
    </row>
    <row r="4818" spans="1:17" ht="14.4" thickTop="1" thickBot="1" x14ac:dyDescent="0.3">
      <c r="A4818" s="292"/>
      <c r="B4818" s="294" t="s">
        <v>724</v>
      </c>
      <c r="C4818" s="294"/>
      <c r="D4818" s="294"/>
      <c r="E4818" s="294">
        <v>1</v>
      </c>
      <c r="F4818" s="310">
        <v>0.22500000000000001</v>
      </c>
      <c r="G4818" s="310">
        <v>0.22500000000000001</v>
      </c>
      <c r="H4818" s="310">
        <v>3</v>
      </c>
      <c r="I4818" s="295">
        <f>H4818*G4818*F4818*E4818</f>
        <v>0.15187500000000001</v>
      </c>
      <c r="J4818" s="295">
        <f>I4818</f>
        <v>0.15187500000000001</v>
      </c>
      <c r="K4818" s="300">
        <v>1.05</v>
      </c>
      <c r="L4818" s="300">
        <f t="shared" si="625"/>
        <v>0.15946875000000002</v>
      </c>
      <c r="M4818" s="285">
        <f t="shared" si="626"/>
        <v>0</v>
      </c>
      <c r="N4818" s="1076"/>
      <c r="O4818" s="294"/>
      <c r="P4818" s="404"/>
      <c r="Q4818" s="404"/>
    </row>
    <row r="4819" spans="1:17" ht="14.4" thickTop="1" thickBot="1" x14ac:dyDescent="0.3">
      <c r="A4819" s="292"/>
      <c r="B4819" s="294"/>
      <c r="C4819" s="294"/>
      <c r="D4819" s="294"/>
      <c r="E4819" s="294"/>
      <c r="F4819" s="310"/>
      <c r="G4819" s="310"/>
      <c r="H4819" s="310"/>
      <c r="I4819" s="295"/>
      <c r="J4819" s="295">
        <f>J4818/2.83</f>
        <v>5.3666077738515901E-2</v>
      </c>
      <c r="K4819" s="300">
        <v>1.05</v>
      </c>
      <c r="L4819" s="300">
        <f t="shared" si="625"/>
        <v>5.6349381625441695E-2</v>
      </c>
      <c r="M4819" s="285">
        <f t="shared" si="626"/>
        <v>0</v>
      </c>
      <c r="N4819" s="1076"/>
      <c r="O4819" s="294"/>
      <c r="P4819" s="404"/>
      <c r="Q4819" s="404"/>
    </row>
    <row r="4820" spans="1:17" ht="14.4" thickTop="1" thickBot="1" x14ac:dyDescent="0.3">
      <c r="A4820" s="292"/>
      <c r="B4820" s="294"/>
      <c r="C4820" s="294"/>
      <c r="D4820" s="294"/>
      <c r="E4820" s="294"/>
      <c r="F4820" s="310"/>
      <c r="G4820" s="310"/>
      <c r="H4820" s="310"/>
      <c r="I4820" s="295"/>
      <c r="J4820" s="295"/>
      <c r="K4820" s="300">
        <v>1.05</v>
      </c>
      <c r="L4820" s="300">
        <f t="shared" si="625"/>
        <v>0</v>
      </c>
      <c r="M4820" s="285">
        <f t="shared" si="626"/>
        <v>0</v>
      </c>
      <c r="N4820" s="1076"/>
      <c r="O4820" s="294"/>
      <c r="P4820" s="404"/>
      <c r="Q4820" s="404"/>
    </row>
    <row r="4821" spans="1:17" ht="14.4" thickTop="1" thickBot="1" x14ac:dyDescent="0.3">
      <c r="A4821" s="292"/>
      <c r="B4821" s="294" t="s">
        <v>1527</v>
      </c>
      <c r="C4821" s="294"/>
      <c r="D4821" s="294"/>
      <c r="E4821" s="294"/>
      <c r="F4821" s="310">
        <v>28</v>
      </c>
      <c r="G4821" s="310"/>
      <c r="H4821" s="310">
        <v>0.1</v>
      </c>
      <c r="I4821" s="295">
        <f>H4821*F4821</f>
        <v>2.8000000000000003</v>
      </c>
      <c r="J4821" s="295">
        <f>I4821</f>
        <v>2.8000000000000003</v>
      </c>
      <c r="K4821" s="300">
        <v>1.05</v>
      </c>
      <c r="L4821" s="300">
        <f t="shared" si="625"/>
        <v>2.9400000000000004</v>
      </c>
      <c r="M4821" s="285">
        <f t="shared" si="626"/>
        <v>3</v>
      </c>
      <c r="N4821" s="1076"/>
      <c r="O4821" s="294"/>
      <c r="P4821" s="404"/>
      <c r="Q4821" s="404"/>
    </row>
    <row r="4822" spans="1:17" ht="14.4" thickTop="1" thickBot="1" x14ac:dyDescent="0.3">
      <c r="A4822" s="292"/>
      <c r="B4822" s="294"/>
      <c r="C4822" s="294"/>
      <c r="D4822" s="294"/>
      <c r="E4822" s="294"/>
      <c r="F4822" s="310"/>
      <c r="G4822" s="310"/>
      <c r="H4822" s="310"/>
      <c r="I4822" s="295"/>
      <c r="J4822" s="295">
        <f>J4821/2.83</f>
        <v>0.98939929328621912</v>
      </c>
      <c r="K4822" s="300">
        <v>1.05</v>
      </c>
      <c r="L4822" s="300">
        <f t="shared" si="625"/>
        <v>1.0388692579505301</v>
      </c>
      <c r="M4822" s="285">
        <f t="shared" si="626"/>
        <v>1</v>
      </c>
      <c r="N4822" s="1076"/>
      <c r="O4822" s="294"/>
      <c r="P4822" s="404"/>
      <c r="Q4822" s="404"/>
    </row>
    <row r="4823" spans="1:17" ht="14.4" thickTop="1" thickBot="1" x14ac:dyDescent="0.3">
      <c r="A4823" s="292"/>
      <c r="B4823" s="294"/>
      <c r="C4823" s="294"/>
      <c r="D4823" s="294"/>
      <c r="E4823" s="294"/>
      <c r="F4823" s="310"/>
      <c r="G4823" s="310"/>
      <c r="H4823" s="310"/>
      <c r="I4823" s="295"/>
      <c r="J4823" s="295"/>
      <c r="K4823" s="300">
        <v>1.05</v>
      </c>
      <c r="L4823" s="300">
        <f t="shared" si="625"/>
        <v>0</v>
      </c>
      <c r="M4823" s="285">
        <f t="shared" si="626"/>
        <v>0</v>
      </c>
      <c r="N4823" s="1076"/>
      <c r="O4823" s="294"/>
      <c r="P4823" s="404"/>
      <c r="Q4823" s="404"/>
    </row>
    <row r="4824" spans="1:17" ht="14.4" thickTop="1" thickBot="1" x14ac:dyDescent="0.3">
      <c r="A4824" s="292"/>
      <c r="B4824" s="294" t="s">
        <v>1528</v>
      </c>
      <c r="C4824" s="294"/>
      <c r="D4824" s="294"/>
      <c r="E4824" s="294">
        <v>1</v>
      </c>
      <c r="F4824" s="310">
        <v>0.6</v>
      </c>
      <c r="G4824" s="310">
        <v>0.6</v>
      </c>
      <c r="H4824" s="310">
        <v>1</v>
      </c>
      <c r="I4824" s="295">
        <f>H4824*G4824*F4824*E4824</f>
        <v>0.36</v>
      </c>
      <c r="J4824" s="295"/>
      <c r="K4824" s="300">
        <v>1.05</v>
      </c>
      <c r="L4824" s="300">
        <f t="shared" si="625"/>
        <v>0</v>
      </c>
      <c r="M4824" s="285">
        <f t="shared" si="626"/>
        <v>0</v>
      </c>
      <c r="N4824" s="1076"/>
      <c r="O4824" s="294"/>
      <c r="P4824" s="404"/>
      <c r="Q4824" s="404"/>
    </row>
    <row r="4825" spans="1:17" ht="14.4" thickTop="1" thickBot="1" x14ac:dyDescent="0.3">
      <c r="A4825" s="292"/>
      <c r="B4825" s="294" t="s">
        <v>1529</v>
      </c>
      <c r="C4825" s="294"/>
      <c r="D4825" s="294"/>
      <c r="E4825" s="294">
        <v>2</v>
      </c>
      <c r="F4825" s="310">
        <v>3.7</v>
      </c>
      <c r="G4825" s="310">
        <v>0.45</v>
      </c>
      <c r="H4825" s="310">
        <v>0.6</v>
      </c>
      <c r="I4825" s="295">
        <f>H4825*G4825*F4825*E4825</f>
        <v>1.9980000000000002</v>
      </c>
      <c r="J4825" s="295"/>
      <c r="K4825" s="300">
        <v>1.05</v>
      </c>
      <c r="L4825" s="300">
        <f t="shared" si="625"/>
        <v>0</v>
      </c>
      <c r="M4825" s="285">
        <f t="shared" si="626"/>
        <v>0</v>
      </c>
      <c r="N4825" s="1076"/>
      <c r="O4825" s="294"/>
      <c r="P4825" s="423">
        <f>SUM(F4825:F4830)</f>
        <v>15.7</v>
      </c>
      <c r="Q4825" s="404"/>
    </row>
    <row r="4826" spans="1:17" ht="14.4" thickTop="1" thickBot="1" x14ac:dyDescent="0.3">
      <c r="A4826" s="292"/>
      <c r="B4826" s="294"/>
      <c r="C4826" s="294"/>
      <c r="D4826" s="294"/>
      <c r="E4826" s="294">
        <v>1</v>
      </c>
      <c r="F4826" s="310">
        <v>2.1</v>
      </c>
      <c r="G4826" s="310">
        <v>0.45</v>
      </c>
      <c r="H4826" s="310">
        <v>0.6</v>
      </c>
      <c r="I4826" s="295">
        <f>H4826*G4826*F4826*E4826</f>
        <v>0.56700000000000006</v>
      </c>
      <c r="J4826" s="295"/>
      <c r="K4826" s="300"/>
      <c r="L4826" s="300"/>
      <c r="M4826" s="285"/>
      <c r="N4826" s="1076"/>
      <c r="O4826" s="294"/>
      <c r="P4826" s="404"/>
      <c r="Q4826" s="404"/>
    </row>
    <row r="4827" spans="1:17" ht="14.4" thickTop="1" thickBot="1" x14ac:dyDescent="0.3">
      <c r="A4827" s="292"/>
      <c r="B4827" s="294"/>
      <c r="C4827" s="294"/>
      <c r="D4827" s="294"/>
      <c r="E4827" s="294">
        <v>1</v>
      </c>
      <c r="F4827" s="310">
        <v>3</v>
      </c>
      <c r="G4827" s="310">
        <v>0.45</v>
      </c>
      <c r="H4827" s="310">
        <v>0.6</v>
      </c>
      <c r="I4827" s="295">
        <f t="shared" ref="I4827:I4830" si="628">H4827*G4827*F4827*E4827</f>
        <v>0.81</v>
      </c>
      <c r="J4827" s="295"/>
      <c r="K4827" s="300">
        <v>1.05</v>
      </c>
      <c r="L4827" s="300">
        <f t="shared" si="625"/>
        <v>0</v>
      </c>
      <c r="M4827" s="285">
        <f t="shared" si="626"/>
        <v>0</v>
      </c>
      <c r="N4827" s="1076"/>
      <c r="O4827" s="294"/>
      <c r="P4827" s="404"/>
      <c r="Q4827" s="404"/>
    </row>
    <row r="4828" spans="1:17" ht="14.4" thickTop="1" thickBot="1" x14ac:dyDescent="0.3">
      <c r="A4828" s="292"/>
      <c r="B4828" s="294"/>
      <c r="C4828" s="294"/>
      <c r="D4828" s="294"/>
      <c r="E4828" s="294">
        <v>2</v>
      </c>
      <c r="F4828" s="310">
        <v>1</v>
      </c>
      <c r="G4828" s="310">
        <v>0.45</v>
      </c>
      <c r="H4828" s="310">
        <v>0.6</v>
      </c>
      <c r="I4828" s="295">
        <f t="shared" si="628"/>
        <v>0.54</v>
      </c>
      <c r="J4828" s="295"/>
      <c r="K4828" s="300"/>
      <c r="L4828" s="300"/>
      <c r="M4828" s="285"/>
      <c r="N4828" s="1076"/>
      <c r="O4828" s="294"/>
      <c r="P4828" s="404"/>
      <c r="Q4828" s="404"/>
    </row>
    <row r="4829" spans="1:17" ht="14.4" thickTop="1" thickBot="1" x14ac:dyDescent="0.3">
      <c r="A4829" s="292"/>
      <c r="B4829" s="294"/>
      <c r="C4829" s="294"/>
      <c r="D4829" s="294"/>
      <c r="E4829" s="294">
        <v>2</v>
      </c>
      <c r="F4829" s="310">
        <v>1.2</v>
      </c>
      <c r="G4829" s="310">
        <v>0.45</v>
      </c>
      <c r="H4829" s="310">
        <v>0.6</v>
      </c>
      <c r="I4829" s="295">
        <f t="shared" si="628"/>
        <v>0.64800000000000002</v>
      </c>
      <c r="J4829" s="295"/>
      <c r="K4829" s="300"/>
      <c r="L4829" s="300"/>
      <c r="M4829" s="285"/>
      <c r="N4829" s="1076"/>
      <c r="O4829" s="294"/>
      <c r="P4829" s="404"/>
      <c r="Q4829" s="404"/>
    </row>
    <row r="4830" spans="1:17" ht="14.4" thickTop="1" thickBot="1" x14ac:dyDescent="0.3">
      <c r="A4830" s="292"/>
      <c r="B4830" s="294"/>
      <c r="C4830" s="294"/>
      <c r="D4830" s="294"/>
      <c r="E4830" s="294">
        <v>2</v>
      </c>
      <c r="F4830" s="310">
        <v>4.7</v>
      </c>
      <c r="G4830" s="310">
        <v>0.45</v>
      </c>
      <c r="H4830" s="310">
        <v>0.6</v>
      </c>
      <c r="I4830" s="295">
        <f t="shared" si="628"/>
        <v>2.5380000000000003</v>
      </c>
      <c r="J4830" s="295">
        <f>SUM(I4824:I4830)</f>
        <v>7.4610000000000003</v>
      </c>
      <c r="K4830" s="300">
        <v>1.05</v>
      </c>
      <c r="L4830" s="300">
        <f t="shared" si="625"/>
        <v>7.8340500000000004</v>
      </c>
      <c r="M4830" s="285">
        <f t="shared" si="626"/>
        <v>8</v>
      </c>
      <c r="N4830" s="1076"/>
      <c r="O4830" s="294"/>
      <c r="P4830" s="404"/>
      <c r="Q4830" s="404"/>
    </row>
    <row r="4831" spans="1:17" ht="14.4" thickTop="1" thickBot="1" x14ac:dyDescent="0.3">
      <c r="A4831" s="292"/>
      <c r="B4831" s="294"/>
      <c r="C4831" s="294"/>
      <c r="D4831" s="294"/>
      <c r="E4831" s="294"/>
      <c r="F4831" s="310"/>
      <c r="G4831" s="310"/>
      <c r="H4831" s="310"/>
      <c r="I4831" s="295"/>
      <c r="J4831" s="295">
        <f>J4830/2.83</f>
        <v>2.6363957597173147</v>
      </c>
      <c r="K4831" s="300">
        <v>1.05</v>
      </c>
      <c r="L4831" s="300">
        <f t="shared" si="625"/>
        <v>2.7682155477031807</v>
      </c>
      <c r="M4831" s="285">
        <f t="shared" si="626"/>
        <v>3</v>
      </c>
      <c r="N4831" s="1076"/>
      <c r="O4831" s="294"/>
      <c r="P4831" s="404"/>
      <c r="Q4831" s="404"/>
    </row>
    <row r="4832" spans="1:17" ht="14.4" thickTop="1" thickBot="1" x14ac:dyDescent="0.3">
      <c r="A4832" s="292"/>
      <c r="B4832" s="294"/>
      <c r="C4832" s="294"/>
      <c r="D4832" s="294"/>
      <c r="E4832" s="294"/>
      <c r="F4832" s="310"/>
      <c r="G4832" s="310"/>
      <c r="H4832" s="310"/>
      <c r="I4832" s="295"/>
      <c r="J4832" s="295"/>
      <c r="K4832" s="300">
        <v>1.05</v>
      </c>
      <c r="L4832" s="300">
        <f t="shared" si="625"/>
        <v>0</v>
      </c>
      <c r="M4832" s="285">
        <f t="shared" si="626"/>
        <v>0</v>
      </c>
      <c r="N4832" s="1076"/>
      <c r="O4832" s="294"/>
      <c r="P4832" s="404"/>
      <c r="Q4832" s="404"/>
    </row>
    <row r="4833" spans="1:17" ht="14.4" thickTop="1" thickBot="1" x14ac:dyDescent="0.3">
      <c r="A4833" s="292"/>
      <c r="B4833" s="294" t="s">
        <v>1530</v>
      </c>
      <c r="C4833" s="294"/>
      <c r="D4833" s="294"/>
      <c r="E4833" s="294">
        <v>2</v>
      </c>
      <c r="F4833" s="310">
        <v>3.7</v>
      </c>
      <c r="G4833" s="310"/>
      <c r="H4833" s="310"/>
      <c r="I4833" s="295">
        <f>F4833*E4833</f>
        <v>7.4</v>
      </c>
      <c r="J4833" s="295"/>
      <c r="K4833" s="300">
        <v>1.05</v>
      </c>
      <c r="L4833" s="300">
        <f t="shared" si="625"/>
        <v>0</v>
      </c>
      <c r="M4833" s="285">
        <f t="shared" si="626"/>
        <v>0</v>
      </c>
      <c r="N4833" s="1076"/>
      <c r="O4833" s="294"/>
      <c r="P4833" s="404"/>
      <c r="Q4833" s="404"/>
    </row>
    <row r="4834" spans="1:17" ht="14.4" thickTop="1" thickBot="1" x14ac:dyDescent="0.3">
      <c r="A4834" s="292"/>
      <c r="B4834" s="294"/>
      <c r="C4834" s="294"/>
      <c r="D4834" s="294"/>
      <c r="E4834" s="294">
        <v>1</v>
      </c>
      <c r="F4834" s="310">
        <v>2.1</v>
      </c>
      <c r="G4834" s="310"/>
      <c r="H4834" s="310"/>
      <c r="I4834" s="295">
        <f t="shared" ref="I4834:I4838" si="629">F4834*E4834</f>
        <v>2.1</v>
      </c>
      <c r="J4834" s="295"/>
      <c r="K4834" s="300">
        <v>1.05</v>
      </c>
      <c r="L4834" s="300">
        <f t="shared" si="625"/>
        <v>0</v>
      </c>
      <c r="M4834" s="285">
        <f t="shared" si="626"/>
        <v>0</v>
      </c>
      <c r="N4834" s="1076"/>
      <c r="O4834" s="294"/>
      <c r="P4834" s="404"/>
      <c r="Q4834" s="404"/>
    </row>
    <row r="4835" spans="1:17" ht="14.4" thickTop="1" thickBot="1" x14ac:dyDescent="0.3">
      <c r="A4835" s="292"/>
      <c r="B4835" s="294"/>
      <c r="C4835" s="294"/>
      <c r="D4835" s="294"/>
      <c r="E4835" s="294">
        <v>1</v>
      </c>
      <c r="F4835" s="310">
        <v>3</v>
      </c>
      <c r="G4835" s="310"/>
      <c r="H4835" s="310"/>
      <c r="I4835" s="295">
        <f t="shared" si="629"/>
        <v>3</v>
      </c>
      <c r="J4835" s="295"/>
      <c r="K4835" s="300"/>
      <c r="L4835" s="300"/>
      <c r="M4835" s="285"/>
      <c r="N4835" s="1076"/>
      <c r="O4835" s="294"/>
      <c r="P4835" s="404"/>
      <c r="Q4835" s="404"/>
    </row>
    <row r="4836" spans="1:17" ht="14.4" thickTop="1" thickBot="1" x14ac:dyDescent="0.3">
      <c r="A4836" s="292"/>
      <c r="B4836" s="294"/>
      <c r="C4836" s="294"/>
      <c r="D4836" s="294"/>
      <c r="E4836" s="294">
        <v>2</v>
      </c>
      <c r="F4836" s="310">
        <v>1</v>
      </c>
      <c r="G4836" s="310"/>
      <c r="H4836" s="310"/>
      <c r="I4836" s="295">
        <f t="shared" si="629"/>
        <v>2</v>
      </c>
      <c r="J4836" s="295"/>
      <c r="K4836" s="300"/>
      <c r="L4836" s="300"/>
      <c r="M4836" s="285"/>
      <c r="N4836" s="1076"/>
      <c r="O4836" s="294"/>
      <c r="P4836" s="404"/>
      <c r="Q4836" s="404"/>
    </row>
    <row r="4837" spans="1:17" ht="14.4" thickTop="1" thickBot="1" x14ac:dyDescent="0.3">
      <c r="A4837" s="292"/>
      <c r="B4837" s="294"/>
      <c r="C4837" s="294"/>
      <c r="D4837" s="294"/>
      <c r="E4837" s="294">
        <v>2</v>
      </c>
      <c r="F4837" s="310">
        <v>1.2</v>
      </c>
      <c r="G4837" s="310"/>
      <c r="H4837" s="310"/>
      <c r="I4837" s="295">
        <f t="shared" si="629"/>
        <v>2.4</v>
      </c>
      <c r="J4837" s="295"/>
      <c r="K4837" s="300">
        <v>1.05</v>
      </c>
      <c r="L4837" s="300">
        <f t="shared" si="625"/>
        <v>0</v>
      </c>
      <c r="M4837" s="285">
        <f t="shared" si="626"/>
        <v>0</v>
      </c>
      <c r="N4837" s="1076"/>
      <c r="O4837" s="294"/>
      <c r="P4837" s="404"/>
      <c r="Q4837" s="404"/>
    </row>
    <row r="4838" spans="1:17" ht="14.4" thickTop="1" thickBot="1" x14ac:dyDescent="0.3">
      <c r="A4838" s="292"/>
      <c r="B4838" s="296"/>
      <c r="C4838" s="294"/>
      <c r="D4838" s="294"/>
      <c r="E4838" s="294">
        <v>2</v>
      </c>
      <c r="F4838" s="310">
        <v>4.7</v>
      </c>
      <c r="G4838" s="310"/>
      <c r="H4838" s="310"/>
      <c r="I4838" s="295">
        <f t="shared" si="629"/>
        <v>9.4</v>
      </c>
      <c r="J4838" s="295">
        <f>SUM(I4833:I4838)</f>
        <v>26.299999999999997</v>
      </c>
      <c r="K4838" s="300">
        <v>1.05</v>
      </c>
      <c r="L4838" s="300">
        <f t="shared" ref="L4838:L4901" si="630">K4838*J4838</f>
        <v>27.614999999999998</v>
      </c>
      <c r="M4838" s="285">
        <f t="shared" si="626"/>
        <v>28</v>
      </c>
      <c r="N4838" s="1076"/>
      <c r="O4838" s="294"/>
      <c r="P4838" s="404"/>
      <c r="Q4838" s="404"/>
    </row>
    <row r="4839" spans="1:17" ht="14.4" thickTop="1" thickBot="1" x14ac:dyDescent="0.3">
      <c r="A4839" s="292"/>
      <c r="B4839" s="294"/>
      <c r="C4839" s="294"/>
      <c r="D4839" s="294"/>
      <c r="E4839" s="294"/>
      <c r="F4839" s="310"/>
      <c r="G4839" s="310"/>
      <c r="H4839" s="310"/>
      <c r="I4839" s="295"/>
      <c r="J4839" s="295">
        <f>J4838*3.28</f>
        <v>86.263999999999982</v>
      </c>
      <c r="K4839" s="300">
        <v>1.05</v>
      </c>
      <c r="L4839" s="300">
        <f t="shared" si="630"/>
        <v>90.577199999999991</v>
      </c>
      <c r="M4839" s="285">
        <f t="shared" si="626"/>
        <v>91</v>
      </c>
      <c r="N4839" s="1076"/>
      <c r="O4839" s="294"/>
      <c r="P4839" s="404"/>
      <c r="Q4839" s="404"/>
    </row>
    <row r="4840" spans="1:17" ht="14.4" thickTop="1" thickBot="1" x14ac:dyDescent="0.3">
      <c r="A4840" s="292"/>
      <c r="B4840" s="296" t="s">
        <v>1532</v>
      </c>
      <c r="C4840" s="294"/>
      <c r="D4840" s="294"/>
      <c r="E4840" s="294"/>
      <c r="F4840" s="310"/>
      <c r="G4840" s="310"/>
      <c r="H4840" s="310"/>
      <c r="I4840" s="295"/>
      <c r="J4840" s="295"/>
      <c r="K4840" s="300">
        <v>1.05</v>
      </c>
      <c r="L4840" s="300">
        <f t="shared" si="630"/>
        <v>0</v>
      </c>
      <c r="M4840" s="285">
        <f t="shared" si="626"/>
        <v>0</v>
      </c>
      <c r="N4840" s="1076"/>
      <c r="O4840" s="294"/>
      <c r="P4840" s="404"/>
      <c r="Q4840" s="404"/>
    </row>
    <row r="4841" spans="1:17" ht="14.4" thickTop="1" thickBot="1" x14ac:dyDescent="0.3">
      <c r="A4841" s="292"/>
      <c r="B4841" s="296" t="s">
        <v>1533</v>
      </c>
      <c r="C4841" s="294"/>
      <c r="D4841" s="294">
        <v>4</v>
      </c>
      <c r="E4841" s="294">
        <v>6</v>
      </c>
      <c r="F4841" s="310">
        <v>0.9</v>
      </c>
      <c r="G4841" s="310"/>
      <c r="H4841" s="310">
        <v>0.3</v>
      </c>
      <c r="I4841" s="295">
        <f>H4841*F4841*E4841*D4841</f>
        <v>6.48</v>
      </c>
      <c r="J4841" s="295"/>
      <c r="K4841" s="300">
        <v>1.05</v>
      </c>
      <c r="L4841" s="300">
        <f t="shared" si="630"/>
        <v>0</v>
      </c>
      <c r="M4841" s="285">
        <f t="shared" si="626"/>
        <v>0</v>
      </c>
      <c r="N4841" s="1076"/>
      <c r="O4841" s="294"/>
      <c r="P4841" s="404"/>
      <c r="Q4841" s="404"/>
    </row>
    <row r="4842" spans="1:17" ht="14.4" thickTop="1" thickBot="1" x14ac:dyDescent="0.3">
      <c r="A4842" s="292"/>
      <c r="B4842" s="296" t="s">
        <v>1534</v>
      </c>
      <c r="C4842" s="294"/>
      <c r="D4842" s="294">
        <v>4</v>
      </c>
      <c r="E4842" s="294">
        <v>6</v>
      </c>
      <c r="F4842" s="310">
        <v>0.22500000000000001</v>
      </c>
      <c r="G4842" s="310"/>
      <c r="H4842" s="310">
        <v>0.75</v>
      </c>
      <c r="I4842" s="295">
        <f>H4842*F4842*E4842*D4842</f>
        <v>4.0500000000000007</v>
      </c>
      <c r="J4842" s="295">
        <f>SUM(I4841:I4842)</f>
        <v>10.530000000000001</v>
      </c>
      <c r="K4842" s="300">
        <v>1.05</v>
      </c>
      <c r="L4842" s="300">
        <f t="shared" si="630"/>
        <v>11.056500000000002</v>
      </c>
      <c r="M4842" s="285">
        <f t="shared" ref="M4842:M4908" si="631">ROUND(L4842,0)</f>
        <v>11</v>
      </c>
      <c r="N4842" s="1076"/>
      <c r="O4842" s="294"/>
      <c r="P4842" s="404"/>
      <c r="Q4842" s="404"/>
    </row>
    <row r="4843" spans="1:17" ht="14.4" thickTop="1" thickBot="1" x14ac:dyDescent="0.3">
      <c r="A4843" s="292"/>
      <c r="B4843" s="296"/>
      <c r="C4843" s="294"/>
      <c r="D4843" s="294"/>
      <c r="E4843" s="294"/>
      <c r="F4843" s="310"/>
      <c r="G4843" s="310"/>
      <c r="H4843" s="310"/>
      <c r="I4843" s="295"/>
      <c r="J4843" s="295">
        <f>J4842/9.29</f>
        <v>1.1334768568353071</v>
      </c>
      <c r="K4843" s="300">
        <v>1.05</v>
      </c>
      <c r="L4843" s="300">
        <f t="shared" si="630"/>
        <v>1.1901506996770725</v>
      </c>
      <c r="M4843" s="285">
        <f t="shared" si="631"/>
        <v>1</v>
      </c>
      <c r="N4843" s="1076"/>
      <c r="O4843" s="294"/>
      <c r="P4843" s="404"/>
      <c r="Q4843" s="404"/>
    </row>
    <row r="4844" spans="1:17" ht="14.4" thickTop="1" thickBot="1" x14ac:dyDescent="0.3">
      <c r="A4844" s="292"/>
      <c r="B4844" s="296"/>
      <c r="C4844" s="294"/>
      <c r="D4844" s="294"/>
      <c r="E4844" s="294"/>
      <c r="F4844" s="310"/>
      <c r="G4844" s="310"/>
      <c r="H4844" s="310"/>
      <c r="I4844" s="295"/>
      <c r="J4844" s="295"/>
      <c r="K4844" s="300">
        <v>1.05</v>
      </c>
      <c r="L4844" s="300">
        <f t="shared" si="630"/>
        <v>0</v>
      </c>
      <c r="M4844" s="285">
        <f t="shared" si="631"/>
        <v>0</v>
      </c>
      <c r="N4844" s="1076"/>
      <c r="O4844" s="294"/>
      <c r="P4844" s="404"/>
      <c r="Q4844" s="404"/>
    </row>
    <row r="4845" spans="1:17" ht="14.4" thickTop="1" thickBot="1" x14ac:dyDescent="0.3">
      <c r="A4845" s="292"/>
      <c r="B4845" s="296" t="s">
        <v>1535</v>
      </c>
      <c r="C4845" s="294"/>
      <c r="D4845" s="294"/>
      <c r="E4845" s="294">
        <v>2</v>
      </c>
      <c r="F4845" s="310">
        <f>F4812</f>
        <v>16</v>
      </c>
      <c r="G4845" s="310"/>
      <c r="H4845" s="310">
        <v>0.22500000000000001</v>
      </c>
      <c r="I4845" s="295">
        <f>H4845*F4845*E4845</f>
        <v>7.2</v>
      </c>
      <c r="J4845" s="295">
        <f>I4845</f>
        <v>7.2</v>
      </c>
      <c r="K4845" s="300">
        <v>1.05</v>
      </c>
      <c r="L4845" s="300">
        <f t="shared" si="630"/>
        <v>7.5600000000000005</v>
      </c>
      <c r="M4845" s="285">
        <f t="shared" si="631"/>
        <v>8</v>
      </c>
      <c r="N4845" s="1076"/>
      <c r="O4845" s="294"/>
      <c r="P4845" s="404"/>
      <c r="Q4845" s="404"/>
    </row>
    <row r="4846" spans="1:17" ht="14.4" thickTop="1" thickBot="1" x14ac:dyDescent="0.3">
      <c r="A4846" s="292"/>
      <c r="B4846" s="296"/>
      <c r="C4846" s="294"/>
      <c r="D4846" s="294"/>
      <c r="E4846" s="294"/>
      <c r="F4846" s="310"/>
      <c r="G4846" s="310"/>
      <c r="H4846" s="310"/>
      <c r="I4846" s="295"/>
      <c r="J4846" s="295">
        <f>J4845/9.29</f>
        <v>0.7750269106566201</v>
      </c>
      <c r="K4846" s="300">
        <v>1.05</v>
      </c>
      <c r="L4846" s="300">
        <f t="shared" si="630"/>
        <v>0.8137782561894511</v>
      </c>
      <c r="M4846" s="285">
        <f t="shared" si="631"/>
        <v>1</v>
      </c>
      <c r="N4846" s="1076"/>
      <c r="O4846" s="294"/>
      <c r="P4846" s="404"/>
      <c r="Q4846" s="404"/>
    </row>
    <row r="4847" spans="1:17" ht="14.4" thickTop="1" thickBot="1" x14ac:dyDescent="0.3">
      <c r="A4847" s="292"/>
      <c r="B4847" s="296"/>
      <c r="C4847" s="294"/>
      <c r="D4847" s="294"/>
      <c r="E4847" s="294"/>
      <c r="F4847" s="310"/>
      <c r="G4847" s="310"/>
      <c r="H4847" s="310"/>
      <c r="I4847" s="295"/>
      <c r="J4847" s="295"/>
      <c r="K4847" s="300">
        <v>1.05</v>
      </c>
      <c r="L4847" s="300">
        <f t="shared" si="630"/>
        <v>0</v>
      </c>
      <c r="M4847" s="285">
        <f t="shared" si="631"/>
        <v>0</v>
      </c>
      <c r="N4847" s="1076"/>
      <c r="O4847" s="294"/>
      <c r="P4847" s="404"/>
      <c r="Q4847" s="404"/>
    </row>
    <row r="4848" spans="1:17" ht="14.4" thickTop="1" thickBot="1" x14ac:dyDescent="0.3">
      <c r="A4848" s="292"/>
      <c r="B4848" s="296" t="s">
        <v>1537</v>
      </c>
      <c r="C4848" s="294"/>
      <c r="D4848" s="294">
        <v>4</v>
      </c>
      <c r="E4848" s="294">
        <v>6</v>
      </c>
      <c r="F4848" s="310">
        <v>0.22500000000000001</v>
      </c>
      <c r="G4848" s="310"/>
      <c r="H4848" s="310">
        <v>3.3</v>
      </c>
      <c r="I4848" s="295">
        <f>H4848*F4848*E4848*D4848</f>
        <v>17.82</v>
      </c>
      <c r="J4848" s="295">
        <f>I4848</f>
        <v>17.82</v>
      </c>
      <c r="K4848" s="300">
        <v>1.05</v>
      </c>
      <c r="L4848" s="300">
        <f t="shared" si="630"/>
        <v>18.711000000000002</v>
      </c>
      <c r="M4848" s="285">
        <f t="shared" si="631"/>
        <v>19</v>
      </c>
      <c r="N4848" s="1076"/>
      <c r="O4848" s="294"/>
      <c r="P4848" s="404"/>
      <c r="Q4848" s="404"/>
    </row>
    <row r="4849" spans="1:17" ht="14.4" thickTop="1" thickBot="1" x14ac:dyDescent="0.3">
      <c r="A4849" s="292"/>
      <c r="B4849" s="296"/>
      <c r="C4849" s="294"/>
      <c r="D4849" s="294"/>
      <c r="E4849" s="294"/>
      <c r="F4849" s="310"/>
      <c r="G4849" s="310"/>
      <c r="H4849" s="310"/>
      <c r="I4849" s="295"/>
      <c r="J4849" s="295">
        <f>J4848/9.29</f>
        <v>1.9181916038751348</v>
      </c>
      <c r="K4849" s="300">
        <v>1.05</v>
      </c>
      <c r="L4849" s="300">
        <f t="shared" si="630"/>
        <v>2.0141011840688914</v>
      </c>
      <c r="M4849" s="285">
        <f t="shared" si="631"/>
        <v>2</v>
      </c>
      <c r="N4849" s="1076"/>
      <c r="O4849" s="294"/>
      <c r="P4849" s="404"/>
      <c r="Q4849" s="404"/>
    </row>
    <row r="4850" spans="1:17" ht="14.4" thickTop="1" thickBot="1" x14ac:dyDescent="0.3">
      <c r="A4850" s="292"/>
      <c r="B4850" s="296"/>
      <c r="C4850" s="294"/>
      <c r="D4850" s="294"/>
      <c r="E4850" s="294"/>
      <c r="F4850" s="310"/>
      <c r="G4850" s="310"/>
      <c r="H4850" s="310"/>
      <c r="I4850" s="295"/>
      <c r="J4850" s="295"/>
      <c r="K4850" s="300">
        <v>1.05</v>
      </c>
      <c r="L4850" s="300">
        <f t="shared" si="630"/>
        <v>0</v>
      </c>
      <c r="M4850" s="285">
        <f t="shared" si="631"/>
        <v>0</v>
      </c>
      <c r="N4850" s="1076"/>
      <c r="O4850" s="294"/>
      <c r="P4850" s="404"/>
      <c r="Q4850" s="404"/>
    </row>
    <row r="4851" spans="1:17" ht="14.4" thickTop="1" thickBot="1" x14ac:dyDescent="0.3">
      <c r="A4851" s="292"/>
      <c r="B4851" s="296" t="s">
        <v>863</v>
      </c>
      <c r="C4851" s="294"/>
      <c r="D4851" s="294"/>
      <c r="E4851" s="294"/>
      <c r="F4851" s="310">
        <f>F4821</f>
        <v>28</v>
      </c>
      <c r="G4851" s="310"/>
      <c r="H4851" s="310"/>
      <c r="I4851" s="295"/>
      <c r="J4851" s="295">
        <f>F4851</f>
        <v>28</v>
      </c>
      <c r="K4851" s="300">
        <v>1.05</v>
      </c>
      <c r="L4851" s="300">
        <f t="shared" si="630"/>
        <v>29.400000000000002</v>
      </c>
      <c r="M4851" s="285">
        <f t="shared" si="631"/>
        <v>29</v>
      </c>
      <c r="N4851" s="1076"/>
      <c r="O4851" s="294"/>
      <c r="P4851" s="404"/>
      <c r="Q4851" s="404"/>
    </row>
    <row r="4852" spans="1:17" ht="14.4" thickTop="1" thickBot="1" x14ac:dyDescent="0.3">
      <c r="A4852" s="292"/>
      <c r="B4852" s="296"/>
      <c r="C4852" s="294"/>
      <c r="D4852" s="294"/>
      <c r="E4852" s="294"/>
      <c r="F4852" s="310"/>
      <c r="G4852" s="310"/>
      <c r="H4852" s="310"/>
      <c r="I4852" s="295"/>
      <c r="J4852" s="295">
        <f>J4851/9.29</f>
        <v>3.0139935414424115</v>
      </c>
      <c r="K4852" s="300">
        <v>1.05</v>
      </c>
      <c r="L4852" s="300">
        <f t="shared" si="630"/>
        <v>3.164693218514532</v>
      </c>
      <c r="M4852" s="285">
        <f t="shared" si="631"/>
        <v>3</v>
      </c>
      <c r="N4852" s="1076"/>
      <c r="O4852" s="294"/>
      <c r="P4852" s="404"/>
      <c r="Q4852" s="404"/>
    </row>
    <row r="4853" spans="1:17" ht="14.4" thickTop="1" thickBot="1" x14ac:dyDescent="0.3">
      <c r="A4853" s="292"/>
      <c r="B4853" s="296"/>
      <c r="C4853" s="294"/>
      <c r="D4853" s="294"/>
      <c r="E4853" s="294"/>
      <c r="F4853" s="310"/>
      <c r="G4853" s="310"/>
      <c r="H4853" s="310"/>
      <c r="I4853" s="295"/>
      <c r="J4853" s="295"/>
      <c r="K4853" s="300">
        <v>1.05</v>
      </c>
      <c r="L4853" s="300">
        <f t="shared" si="630"/>
        <v>0</v>
      </c>
      <c r="M4853" s="285">
        <f t="shared" si="631"/>
        <v>0</v>
      </c>
      <c r="N4853" s="1076"/>
      <c r="O4853" s="294"/>
      <c r="P4853" s="404"/>
      <c r="Q4853" s="404"/>
    </row>
    <row r="4854" spans="1:17" ht="14.4" thickTop="1" thickBot="1" x14ac:dyDescent="0.3">
      <c r="A4854" s="292"/>
      <c r="B4854" s="296" t="s">
        <v>1538</v>
      </c>
      <c r="C4854" s="294"/>
      <c r="D4854" s="294"/>
      <c r="E4854" s="294"/>
      <c r="F4854" s="310"/>
      <c r="G4854" s="310"/>
      <c r="H4854" s="310"/>
      <c r="I4854" s="295"/>
      <c r="J4854" s="295"/>
      <c r="K4854" s="300">
        <v>1.05</v>
      </c>
      <c r="L4854" s="300">
        <f t="shared" si="630"/>
        <v>0</v>
      </c>
      <c r="M4854" s="285">
        <f t="shared" si="631"/>
        <v>0</v>
      </c>
      <c r="N4854" s="1076"/>
      <c r="O4854" s="294"/>
      <c r="P4854" s="404"/>
      <c r="Q4854" s="404"/>
    </row>
    <row r="4855" spans="1:17" ht="14.4" thickTop="1" thickBot="1" x14ac:dyDescent="0.3">
      <c r="A4855" s="292"/>
      <c r="B4855" s="296" t="s">
        <v>1533</v>
      </c>
      <c r="C4855" s="294">
        <v>6</v>
      </c>
      <c r="D4855" s="294">
        <v>2</v>
      </c>
      <c r="E4855" s="294">
        <v>7</v>
      </c>
      <c r="F4855" s="310">
        <v>1.5</v>
      </c>
      <c r="G4855" s="310">
        <v>0.61199999999999999</v>
      </c>
      <c r="H4855" s="310"/>
      <c r="I4855" s="295">
        <f>G4855*F4855*E4855*D4855*C4855</f>
        <v>77.111999999999995</v>
      </c>
      <c r="J4855" s="295">
        <f>I4855</f>
        <v>77.111999999999995</v>
      </c>
      <c r="K4855" s="300">
        <v>1.05</v>
      </c>
      <c r="L4855" s="300">
        <f t="shared" si="630"/>
        <v>80.967600000000004</v>
      </c>
      <c r="M4855" s="285">
        <f t="shared" si="631"/>
        <v>81</v>
      </c>
      <c r="N4855" s="1076"/>
      <c r="O4855" s="294"/>
      <c r="P4855" s="404"/>
      <c r="Q4855" s="404"/>
    </row>
    <row r="4856" spans="1:17" ht="14.4" thickTop="1" thickBot="1" x14ac:dyDescent="0.3">
      <c r="A4856" s="292"/>
      <c r="B4856" s="296"/>
      <c r="C4856" s="294"/>
      <c r="D4856" s="294"/>
      <c r="E4856" s="294"/>
      <c r="F4856" s="310"/>
      <c r="G4856" s="310"/>
      <c r="H4856" s="310"/>
      <c r="I4856" s="295"/>
      <c r="J4856" s="295"/>
      <c r="K4856" s="300">
        <v>1.05</v>
      </c>
      <c r="L4856" s="300">
        <f t="shared" si="630"/>
        <v>0</v>
      </c>
      <c r="M4856" s="285">
        <f t="shared" si="631"/>
        <v>0</v>
      </c>
      <c r="N4856" s="1076"/>
      <c r="O4856" s="294"/>
      <c r="P4856" s="404"/>
      <c r="Q4856" s="404"/>
    </row>
    <row r="4857" spans="1:17" ht="14.4" thickTop="1" thickBot="1" x14ac:dyDescent="0.3">
      <c r="A4857" s="292"/>
      <c r="B4857" s="296" t="s">
        <v>1037</v>
      </c>
      <c r="C4857" s="294"/>
      <c r="D4857" s="294">
        <v>6</v>
      </c>
      <c r="E4857" s="294">
        <v>4</v>
      </c>
      <c r="F4857" s="310">
        <v>1</v>
      </c>
      <c r="G4857" s="310">
        <v>1.58</v>
      </c>
      <c r="H4857" s="310"/>
      <c r="I4857" s="295">
        <f>G4857*F4857*E4857*D4857</f>
        <v>37.92</v>
      </c>
      <c r="J4857" s="295">
        <f>I4857</f>
        <v>37.92</v>
      </c>
      <c r="K4857" s="300">
        <v>1.05</v>
      </c>
      <c r="L4857" s="300">
        <f t="shared" si="630"/>
        <v>39.816000000000003</v>
      </c>
      <c r="M4857" s="285">
        <f t="shared" si="631"/>
        <v>40</v>
      </c>
      <c r="N4857" s="1076"/>
      <c r="O4857" s="294"/>
      <c r="P4857" s="404"/>
      <c r="Q4857" s="404"/>
    </row>
    <row r="4858" spans="1:17" ht="14.4" thickTop="1" thickBot="1" x14ac:dyDescent="0.3">
      <c r="A4858" s="292"/>
      <c r="B4858" s="296"/>
      <c r="C4858" s="294"/>
      <c r="D4858" s="294"/>
      <c r="E4858" s="294"/>
      <c r="F4858" s="310"/>
      <c r="G4858" s="310"/>
      <c r="H4858" s="310"/>
      <c r="I4858" s="295"/>
      <c r="J4858" s="295"/>
      <c r="K4858" s="300">
        <v>1.05</v>
      </c>
      <c r="L4858" s="300">
        <f t="shared" si="630"/>
        <v>0</v>
      </c>
      <c r="M4858" s="285">
        <f t="shared" si="631"/>
        <v>0</v>
      </c>
      <c r="N4858" s="1076"/>
      <c r="O4858" s="294"/>
      <c r="P4858" s="404"/>
      <c r="Q4858" s="404"/>
    </row>
    <row r="4859" spans="1:17" ht="14.4" thickTop="1" thickBot="1" x14ac:dyDescent="0.3">
      <c r="A4859" s="292"/>
      <c r="B4859" s="296" t="s">
        <v>1525</v>
      </c>
      <c r="C4859" s="294"/>
      <c r="D4859" s="294"/>
      <c r="E4859" s="294">
        <v>4</v>
      </c>
      <c r="F4859" s="310">
        <v>22</v>
      </c>
      <c r="G4859" s="310">
        <v>1.58</v>
      </c>
      <c r="H4859" s="310"/>
      <c r="I4859" s="295">
        <f>G4859*F4859*E4859</f>
        <v>139.04000000000002</v>
      </c>
      <c r="J4859" s="295">
        <f>I4859</f>
        <v>139.04000000000002</v>
      </c>
      <c r="K4859" s="300">
        <v>1.05</v>
      </c>
      <c r="L4859" s="300">
        <f t="shared" si="630"/>
        <v>145.99200000000002</v>
      </c>
      <c r="M4859" s="285">
        <f t="shared" si="631"/>
        <v>146</v>
      </c>
      <c r="N4859" s="1076"/>
      <c r="O4859" s="294"/>
      <c r="P4859" s="404"/>
      <c r="Q4859" s="404"/>
    </row>
    <row r="4860" spans="1:17" ht="14.4" thickTop="1" thickBot="1" x14ac:dyDescent="0.3">
      <c r="A4860" s="292"/>
      <c r="B4860" s="296"/>
      <c r="C4860" s="294"/>
      <c r="D4860" s="294"/>
      <c r="E4860" s="294"/>
      <c r="F4860" s="310"/>
      <c r="G4860" s="310"/>
      <c r="H4860" s="310"/>
      <c r="I4860" s="295"/>
      <c r="J4860" s="295"/>
      <c r="K4860" s="300">
        <v>1.05</v>
      </c>
      <c r="L4860" s="300">
        <f t="shared" si="630"/>
        <v>0</v>
      </c>
      <c r="M4860" s="285">
        <f t="shared" si="631"/>
        <v>0</v>
      </c>
      <c r="N4860" s="1076"/>
      <c r="O4860" s="294"/>
      <c r="P4860" s="404"/>
      <c r="Q4860" s="404"/>
    </row>
    <row r="4861" spans="1:17" ht="14.4" thickTop="1" thickBot="1" x14ac:dyDescent="0.3">
      <c r="A4861" s="292"/>
      <c r="B4861" s="296"/>
      <c r="C4861" s="294"/>
      <c r="D4861" s="294"/>
      <c r="E4861" s="294"/>
      <c r="F4861" s="310"/>
      <c r="G4861" s="310"/>
      <c r="H4861" s="310"/>
      <c r="I4861" s="295"/>
      <c r="J4861" s="295"/>
      <c r="K4861" s="300">
        <v>1.05</v>
      </c>
      <c r="L4861" s="300">
        <f t="shared" si="630"/>
        <v>0</v>
      </c>
      <c r="M4861" s="285">
        <f t="shared" si="631"/>
        <v>0</v>
      </c>
      <c r="N4861" s="1076"/>
      <c r="O4861" s="294"/>
      <c r="P4861" s="404"/>
      <c r="Q4861" s="404"/>
    </row>
    <row r="4862" spans="1:17" ht="14.4" thickTop="1" thickBot="1" x14ac:dyDescent="0.3">
      <c r="A4862" s="292"/>
      <c r="B4862" s="296" t="s">
        <v>1037</v>
      </c>
      <c r="C4862" s="294"/>
      <c r="D4862" s="294">
        <v>6</v>
      </c>
      <c r="E4862" s="294">
        <v>4</v>
      </c>
      <c r="F4862" s="310">
        <v>3</v>
      </c>
      <c r="G4862" s="310">
        <v>1.58</v>
      </c>
      <c r="H4862" s="310"/>
      <c r="I4862" s="295">
        <f>G4862*F4862*E4862*D4862</f>
        <v>113.76</v>
      </c>
      <c r="J4862" s="295">
        <f>I4862</f>
        <v>113.76</v>
      </c>
      <c r="K4862" s="300">
        <v>1.05</v>
      </c>
      <c r="L4862" s="300">
        <f t="shared" si="630"/>
        <v>119.44800000000001</v>
      </c>
      <c r="M4862" s="285">
        <f t="shared" si="631"/>
        <v>119</v>
      </c>
      <c r="N4862" s="1076"/>
      <c r="O4862" s="294"/>
      <c r="P4862" s="404"/>
      <c r="Q4862" s="404"/>
    </row>
    <row r="4863" spans="1:17" ht="14.4" thickTop="1" thickBot="1" x14ac:dyDescent="0.3">
      <c r="A4863" s="292"/>
      <c r="B4863" s="296"/>
      <c r="C4863" s="294"/>
      <c r="D4863" s="294"/>
      <c r="E4863" s="294"/>
      <c r="F4863" s="310"/>
      <c r="G4863" s="310"/>
      <c r="H4863" s="310"/>
      <c r="I4863" s="295"/>
      <c r="J4863" s="295"/>
      <c r="K4863" s="300">
        <v>1.05</v>
      </c>
      <c r="L4863" s="300">
        <f t="shared" si="630"/>
        <v>0</v>
      </c>
      <c r="M4863" s="285">
        <f t="shared" si="631"/>
        <v>0</v>
      </c>
      <c r="N4863" s="1076"/>
      <c r="O4863" s="294"/>
      <c r="P4863" s="404"/>
      <c r="Q4863" s="404"/>
    </row>
    <row r="4864" spans="1:17" ht="14.4" thickTop="1" thickBot="1" x14ac:dyDescent="0.3">
      <c r="A4864" s="292"/>
      <c r="B4864" s="296"/>
      <c r="C4864" s="294"/>
      <c r="D4864" s="294"/>
      <c r="E4864" s="294"/>
      <c r="F4864" s="310"/>
      <c r="G4864" s="310"/>
      <c r="H4864" s="310"/>
      <c r="I4864" s="295"/>
      <c r="J4864" s="295"/>
      <c r="K4864" s="300">
        <v>1.05</v>
      </c>
      <c r="L4864" s="300">
        <f t="shared" si="630"/>
        <v>0</v>
      </c>
      <c r="M4864" s="285">
        <f t="shared" si="631"/>
        <v>0</v>
      </c>
      <c r="N4864" s="1076"/>
      <c r="O4864" s="294"/>
      <c r="P4864" s="404"/>
      <c r="Q4864" s="404"/>
    </row>
    <row r="4865" spans="1:17" ht="14.4" thickTop="1" thickBot="1" x14ac:dyDescent="0.3">
      <c r="A4865" s="292"/>
      <c r="B4865" s="296" t="s">
        <v>1539</v>
      </c>
      <c r="C4865" s="294"/>
      <c r="D4865" s="294"/>
      <c r="E4865" s="294">
        <v>2</v>
      </c>
      <c r="F4865" s="310">
        <v>3.7</v>
      </c>
      <c r="G4865" s="310"/>
      <c r="H4865" s="310">
        <v>3</v>
      </c>
      <c r="I4865" s="295">
        <f>H4865*F4865*E4865</f>
        <v>22.200000000000003</v>
      </c>
      <c r="J4865" s="295"/>
      <c r="K4865" s="300">
        <v>1.05</v>
      </c>
      <c r="L4865" s="300">
        <f t="shared" si="630"/>
        <v>0</v>
      </c>
      <c r="M4865" s="285">
        <f t="shared" si="631"/>
        <v>0</v>
      </c>
      <c r="N4865" s="1076"/>
      <c r="O4865" s="294"/>
      <c r="P4865" s="404"/>
      <c r="Q4865" s="404"/>
    </row>
    <row r="4866" spans="1:17" ht="14.4" thickTop="1" thickBot="1" x14ac:dyDescent="0.3">
      <c r="A4866" s="292"/>
      <c r="B4866" s="296"/>
      <c r="C4866" s="294"/>
      <c r="D4866" s="294"/>
      <c r="E4866" s="294">
        <v>1</v>
      </c>
      <c r="F4866" s="310">
        <v>2.1</v>
      </c>
      <c r="G4866" s="310"/>
      <c r="H4866" s="310">
        <v>3</v>
      </c>
      <c r="I4866" s="295">
        <f t="shared" ref="I4866:I4870" si="632">H4866*F4866*E4866</f>
        <v>6.3000000000000007</v>
      </c>
      <c r="J4866" s="295"/>
      <c r="K4866" s="300">
        <v>1.05</v>
      </c>
      <c r="L4866" s="300"/>
      <c r="M4866" s="285"/>
      <c r="N4866" s="1076"/>
      <c r="O4866" s="294"/>
      <c r="P4866" s="404"/>
      <c r="Q4866" s="404"/>
    </row>
    <row r="4867" spans="1:17" ht="14.4" thickTop="1" thickBot="1" x14ac:dyDescent="0.3">
      <c r="A4867" s="292"/>
      <c r="B4867" s="296"/>
      <c r="C4867" s="294"/>
      <c r="D4867" s="294"/>
      <c r="E4867" s="294">
        <v>1</v>
      </c>
      <c r="F4867" s="310">
        <v>3</v>
      </c>
      <c r="G4867" s="310"/>
      <c r="H4867" s="310">
        <v>3</v>
      </c>
      <c r="I4867" s="295">
        <f t="shared" si="632"/>
        <v>9</v>
      </c>
      <c r="J4867" s="295"/>
      <c r="K4867" s="300">
        <v>1.05</v>
      </c>
      <c r="L4867" s="300">
        <f t="shared" si="630"/>
        <v>0</v>
      </c>
      <c r="M4867" s="285">
        <f t="shared" si="631"/>
        <v>0</v>
      </c>
      <c r="N4867" s="1076"/>
      <c r="O4867" s="294"/>
      <c r="P4867" s="404"/>
      <c r="Q4867" s="404"/>
    </row>
    <row r="4868" spans="1:17" ht="14.4" thickTop="1" thickBot="1" x14ac:dyDescent="0.3">
      <c r="A4868" s="292"/>
      <c r="B4868" s="296"/>
      <c r="C4868" s="294"/>
      <c r="D4868" s="294"/>
      <c r="E4868" s="294">
        <v>2</v>
      </c>
      <c r="F4868" s="310">
        <v>1</v>
      </c>
      <c r="G4868" s="310"/>
      <c r="H4868" s="310">
        <v>3</v>
      </c>
      <c r="I4868" s="295">
        <f t="shared" si="632"/>
        <v>6</v>
      </c>
      <c r="J4868" s="295"/>
      <c r="K4868" s="300">
        <v>1.05</v>
      </c>
      <c r="L4868" s="300">
        <f t="shared" si="630"/>
        <v>0</v>
      </c>
      <c r="M4868" s="285">
        <f t="shared" si="631"/>
        <v>0</v>
      </c>
      <c r="N4868" s="1076"/>
      <c r="O4868" s="294"/>
      <c r="P4868" s="404"/>
      <c r="Q4868" s="404"/>
    </row>
    <row r="4869" spans="1:17" ht="14.4" thickTop="1" thickBot="1" x14ac:dyDescent="0.3">
      <c r="A4869" s="292"/>
      <c r="B4869" s="296"/>
      <c r="C4869" s="294"/>
      <c r="D4869" s="294"/>
      <c r="E4869" s="294">
        <v>2</v>
      </c>
      <c r="F4869" s="310">
        <v>1.2</v>
      </c>
      <c r="G4869" s="310"/>
      <c r="H4869" s="310">
        <v>3</v>
      </c>
      <c r="I4869" s="295">
        <f t="shared" si="632"/>
        <v>7.1999999999999993</v>
      </c>
      <c r="J4869" s="295"/>
      <c r="K4869" s="300">
        <v>1.05</v>
      </c>
      <c r="L4869" s="300">
        <f t="shared" si="630"/>
        <v>0</v>
      </c>
      <c r="M4869" s="285">
        <f t="shared" si="631"/>
        <v>0</v>
      </c>
      <c r="N4869" s="1076"/>
      <c r="O4869" s="294"/>
      <c r="P4869" s="404"/>
      <c r="Q4869" s="404"/>
    </row>
    <row r="4870" spans="1:17" ht="14.4" thickTop="1" thickBot="1" x14ac:dyDescent="0.3">
      <c r="A4870" s="292"/>
      <c r="B4870" s="296"/>
      <c r="C4870" s="294"/>
      <c r="D4870" s="294"/>
      <c r="E4870" s="294">
        <v>2</v>
      </c>
      <c r="F4870" s="310">
        <v>4.7</v>
      </c>
      <c r="G4870" s="310"/>
      <c r="H4870" s="310">
        <v>3</v>
      </c>
      <c r="I4870" s="295">
        <f t="shared" si="632"/>
        <v>28.200000000000003</v>
      </c>
      <c r="J4870" s="295"/>
      <c r="K4870" s="300">
        <v>1.05</v>
      </c>
      <c r="L4870" s="300">
        <f t="shared" si="630"/>
        <v>0</v>
      </c>
      <c r="M4870" s="285">
        <f t="shared" si="631"/>
        <v>0</v>
      </c>
      <c r="N4870" s="1076"/>
      <c r="O4870" s="294"/>
      <c r="P4870" s="404"/>
      <c r="Q4870" s="404"/>
    </row>
    <row r="4871" spans="1:17" ht="14.4" thickTop="1" thickBot="1" x14ac:dyDescent="0.3">
      <c r="A4871" s="292"/>
      <c r="B4871" s="296"/>
      <c r="C4871" s="294"/>
      <c r="D4871" s="294"/>
      <c r="E4871" s="294"/>
      <c r="F4871" s="310"/>
      <c r="G4871" s="310"/>
      <c r="H4871" s="310"/>
      <c r="I4871" s="295"/>
      <c r="J4871" s="295"/>
      <c r="K4871" s="300">
        <v>1.05</v>
      </c>
      <c r="L4871" s="300">
        <f t="shared" si="630"/>
        <v>0</v>
      </c>
      <c r="M4871" s="285">
        <f t="shared" si="631"/>
        <v>0</v>
      </c>
      <c r="N4871" s="1076"/>
      <c r="O4871" s="294"/>
      <c r="P4871" s="404"/>
      <c r="Q4871" s="404"/>
    </row>
    <row r="4872" spans="1:17" ht="14.4" thickTop="1" thickBot="1" x14ac:dyDescent="0.3">
      <c r="A4872" s="292"/>
      <c r="B4872" s="296" t="s">
        <v>846</v>
      </c>
      <c r="C4872" s="294"/>
      <c r="D4872" s="294"/>
      <c r="E4872" s="294">
        <v>6</v>
      </c>
      <c r="F4872" s="310">
        <v>0.6</v>
      </c>
      <c r="G4872" s="310"/>
      <c r="H4872" s="310">
        <v>0.6</v>
      </c>
      <c r="I4872" s="295">
        <f>-H4872*F4872*E4872</f>
        <v>-2.16</v>
      </c>
      <c r="J4872" s="295"/>
      <c r="K4872" s="300">
        <v>1.05</v>
      </c>
      <c r="L4872" s="300">
        <f t="shared" si="630"/>
        <v>0</v>
      </c>
      <c r="M4872" s="285">
        <f t="shared" si="631"/>
        <v>0</v>
      </c>
      <c r="N4872" s="1076"/>
      <c r="O4872" s="294"/>
      <c r="P4872" s="404"/>
      <c r="Q4872" s="404"/>
    </row>
    <row r="4873" spans="1:17" ht="14.4" thickTop="1" thickBot="1" x14ac:dyDescent="0.3">
      <c r="A4873" s="292"/>
      <c r="B4873" s="296"/>
      <c r="C4873" s="294"/>
      <c r="D4873" s="294"/>
      <c r="E4873" s="294">
        <v>4</v>
      </c>
      <c r="F4873" s="310">
        <v>0.75</v>
      </c>
      <c r="G4873" s="310"/>
      <c r="H4873" s="310">
        <v>2.1</v>
      </c>
      <c r="I4873" s="295">
        <f>-H4873*F4873*E4873</f>
        <v>-6.3000000000000007</v>
      </c>
      <c r="J4873" s="295">
        <f>SUM(I4865:I4873)</f>
        <v>70.440000000000012</v>
      </c>
      <c r="K4873" s="300">
        <v>1.05</v>
      </c>
      <c r="L4873" s="300">
        <f t="shared" si="630"/>
        <v>73.962000000000018</v>
      </c>
      <c r="M4873" s="285">
        <f t="shared" si="631"/>
        <v>74</v>
      </c>
      <c r="N4873" s="1076"/>
      <c r="O4873" s="294"/>
      <c r="P4873" s="404"/>
      <c r="Q4873" s="404"/>
    </row>
    <row r="4874" spans="1:17" ht="14.4" thickTop="1" thickBot="1" x14ac:dyDescent="0.3">
      <c r="A4874" s="292"/>
      <c r="B4874" s="296"/>
      <c r="C4874" s="294"/>
      <c r="D4874" s="294"/>
      <c r="E4874" s="294"/>
      <c r="F4874" s="310"/>
      <c r="G4874" s="310"/>
      <c r="H4874" s="310"/>
      <c r="I4874" s="295"/>
      <c r="J4874" s="295">
        <f>J4873/9.29</f>
        <v>7.582346609257268</v>
      </c>
      <c r="K4874" s="300">
        <v>1.05</v>
      </c>
      <c r="L4874" s="300">
        <f t="shared" si="630"/>
        <v>7.9614639397201321</v>
      </c>
      <c r="M4874" s="285">
        <f t="shared" si="631"/>
        <v>8</v>
      </c>
      <c r="N4874" s="1076"/>
      <c r="O4874" s="294"/>
      <c r="P4874" s="413">
        <f>J4873*10.76</f>
        <v>757.9344000000001</v>
      </c>
      <c r="Q4874" s="404"/>
    </row>
    <row r="4875" spans="1:17" ht="14.4" thickTop="1" thickBot="1" x14ac:dyDescent="0.3">
      <c r="A4875" s="292"/>
      <c r="B4875" s="296"/>
      <c r="C4875" s="294"/>
      <c r="D4875" s="294"/>
      <c r="E4875" s="294"/>
      <c r="F4875" s="310"/>
      <c r="G4875" s="310"/>
      <c r="H4875" s="310"/>
      <c r="I4875" s="295"/>
      <c r="J4875" s="295"/>
      <c r="K4875" s="300">
        <v>1.05</v>
      </c>
      <c r="L4875" s="300">
        <f t="shared" si="630"/>
        <v>0</v>
      </c>
      <c r="M4875" s="285">
        <f t="shared" si="631"/>
        <v>0</v>
      </c>
      <c r="N4875" s="1076"/>
      <c r="O4875" s="294"/>
      <c r="P4875" s="413">
        <f>P4874/100</f>
        <v>7.5793440000000007</v>
      </c>
      <c r="Q4875" s="404"/>
    </row>
    <row r="4876" spans="1:17" ht="14.4" thickTop="1" thickBot="1" x14ac:dyDescent="0.3">
      <c r="A4876" s="292"/>
      <c r="B4876" s="296" t="s">
        <v>698</v>
      </c>
      <c r="C4876" s="294"/>
      <c r="D4876" s="294"/>
      <c r="E4876" s="294">
        <v>2</v>
      </c>
      <c r="F4876" s="310">
        <v>3.7</v>
      </c>
      <c r="G4876" s="310">
        <v>0.4</v>
      </c>
      <c r="H4876" s="310">
        <v>0.6</v>
      </c>
      <c r="I4876" s="295">
        <f>H4876*G4876*F4876*E4876</f>
        <v>1.776</v>
      </c>
      <c r="J4876" s="295"/>
      <c r="K4876" s="300">
        <v>1.05</v>
      </c>
      <c r="L4876" s="300">
        <f t="shared" si="630"/>
        <v>0</v>
      </c>
      <c r="M4876" s="285">
        <f t="shared" si="631"/>
        <v>0</v>
      </c>
      <c r="N4876" s="1076"/>
      <c r="O4876" s="294"/>
      <c r="P4876" s="404"/>
      <c r="Q4876" s="404"/>
    </row>
    <row r="4877" spans="1:17" ht="14.4" thickTop="1" thickBot="1" x14ac:dyDescent="0.3">
      <c r="A4877" s="292"/>
      <c r="B4877" s="296"/>
      <c r="C4877" s="294"/>
      <c r="D4877" s="294"/>
      <c r="E4877" s="294">
        <v>1</v>
      </c>
      <c r="F4877" s="310">
        <v>2.1</v>
      </c>
      <c r="G4877" s="310">
        <v>0.4</v>
      </c>
      <c r="H4877" s="310">
        <v>0.6</v>
      </c>
      <c r="I4877" s="295">
        <f t="shared" ref="I4877:I4883" si="633">H4877*G4877*F4877*E4877</f>
        <v>0.504</v>
      </c>
      <c r="J4877" s="295"/>
      <c r="K4877" s="300">
        <v>1.05</v>
      </c>
      <c r="L4877" s="300">
        <f t="shared" si="630"/>
        <v>0</v>
      </c>
      <c r="M4877" s="285">
        <f t="shared" si="631"/>
        <v>0</v>
      </c>
      <c r="N4877" s="1076"/>
      <c r="O4877" s="294"/>
      <c r="P4877" s="404"/>
      <c r="Q4877" s="404"/>
    </row>
    <row r="4878" spans="1:17" ht="14.4" thickTop="1" thickBot="1" x14ac:dyDescent="0.3">
      <c r="A4878" s="292"/>
      <c r="B4878" s="296"/>
      <c r="C4878" s="294"/>
      <c r="D4878" s="294"/>
      <c r="E4878" s="294">
        <v>1</v>
      </c>
      <c r="F4878" s="310">
        <v>3</v>
      </c>
      <c r="G4878" s="310">
        <v>0.4</v>
      </c>
      <c r="H4878" s="310">
        <v>0.6</v>
      </c>
      <c r="I4878" s="295">
        <f t="shared" si="633"/>
        <v>0.72</v>
      </c>
      <c r="J4878" s="295"/>
      <c r="K4878" s="300">
        <v>1.05</v>
      </c>
      <c r="L4878" s="300">
        <f t="shared" si="630"/>
        <v>0</v>
      </c>
      <c r="M4878" s="285">
        <f t="shared" si="631"/>
        <v>0</v>
      </c>
      <c r="N4878" s="1076"/>
      <c r="O4878" s="294"/>
      <c r="P4878" s="404"/>
      <c r="Q4878" s="404"/>
    </row>
    <row r="4879" spans="1:17" ht="14.4" thickTop="1" thickBot="1" x14ac:dyDescent="0.3">
      <c r="A4879" s="292"/>
      <c r="B4879" s="296"/>
      <c r="C4879" s="294"/>
      <c r="D4879" s="294"/>
      <c r="E4879" s="294">
        <v>2</v>
      </c>
      <c r="F4879" s="310">
        <v>1</v>
      </c>
      <c r="G4879" s="310">
        <v>0.4</v>
      </c>
      <c r="H4879" s="310">
        <v>0.6</v>
      </c>
      <c r="I4879" s="295">
        <f t="shared" si="633"/>
        <v>0.48</v>
      </c>
      <c r="J4879" s="295"/>
      <c r="K4879" s="300">
        <v>1.05</v>
      </c>
      <c r="L4879" s="300">
        <f t="shared" si="630"/>
        <v>0</v>
      </c>
      <c r="M4879" s="285">
        <f t="shared" si="631"/>
        <v>0</v>
      </c>
      <c r="N4879" s="1076"/>
      <c r="O4879" s="294"/>
      <c r="P4879" s="404"/>
      <c r="Q4879" s="404"/>
    </row>
    <row r="4880" spans="1:17" ht="14.4" thickTop="1" thickBot="1" x14ac:dyDescent="0.3">
      <c r="A4880" s="292"/>
      <c r="B4880" s="296"/>
      <c r="C4880" s="294"/>
      <c r="D4880" s="294"/>
      <c r="E4880" s="294">
        <v>2</v>
      </c>
      <c r="F4880" s="310">
        <v>1.2</v>
      </c>
      <c r="G4880" s="310">
        <v>0.4</v>
      </c>
      <c r="H4880" s="310">
        <v>0.6</v>
      </c>
      <c r="I4880" s="295">
        <f t="shared" si="633"/>
        <v>0.57599999999999996</v>
      </c>
      <c r="J4880" s="295"/>
      <c r="K4880" s="300">
        <v>1.05</v>
      </c>
      <c r="L4880" s="300">
        <f t="shared" si="630"/>
        <v>0</v>
      </c>
      <c r="M4880" s="285">
        <f t="shared" si="631"/>
        <v>0</v>
      </c>
      <c r="N4880" s="1076"/>
      <c r="O4880" s="294"/>
      <c r="P4880" s="404"/>
      <c r="Q4880" s="404"/>
    </row>
    <row r="4881" spans="1:17" ht="14.4" thickTop="1" thickBot="1" x14ac:dyDescent="0.3">
      <c r="A4881" s="292"/>
      <c r="B4881" s="296"/>
      <c r="C4881" s="294"/>
      <c r="D4881" s="294"/>
      <c r="E4881" s="294">
        <v>2</v>
      </c>
      <c r="F4881" s="310">
        <v>4.7</v>
      </c>
      <c r="G4881" s="310">
        <v>0.4</v>
      </c>
      <c r="H4881" s="310">
        <v>0.6</v>
      </c>
      <c r="I4881" s="295">
        <f t="shared" si="633"/>
        <v>2.2559999999999998</v>
      </c>
      <c r="J4881" s="295"/>
      <c r="K4881" s="300">
        <v>1.05</v>
      </c>
      <c r="L4881" s="300">
        <f t="shared" si="630"/>
        <v>0</v>
      </c>
      <c r="M4881" s="285">
        <f t="shared" si="631"/>
        <v>0</v>
      </c>
      <c r="N4881" s="1076"/>
      <c r="O4881" s="294"/>
      <c r="P4881" s="404"/>
      <c r="Q4881" s="404"/>
    </row>
    <row r="4882" spans="1:17" ht="14.4" thickTop="1" thickBot="1" x14ac:dyDescent="0.3">
      <c r="A4882" s="292"/>
      <c r="B4882" s="296"/>
      <c r="C4882" s="294"/>
      <c r="D4882" s="294"/>
      <c r="E4882" s="294"/>
      <c r="F4882" s="310"/>
      <c r="G4882" s="310">
        <v>0.4</v>
      </c>
      <c r="H4882" s="310">
        <v>0.6</v>
      </c>
      <c r="I4882" s="295">
        <f t="shared" si="633"/>
        <v>0</v>
      </c>
      <c r="J4882" s="295"/>
      <c r="K4882" s="300">
        <v>1.05</v>
      </c>
      <c r="L4882" s="300">
        <f t="shared" si="630"/>
        <v>0</v>
      </c>
      <c r="M4882" s="285">
        <f t="shared" si="631"/>
        <v>0</v>
      </c>
      <c r="N4882" s="1076"/>
      <c r="O4882" s="294"/>
      <c r="P4882" s="404"/>
      <c r="Q4882" s="404"/>
    </row>
    <row r="4883" spans="1:17" ht="14.4" thickTop="1" thickBot="1" x14ac:dyDescent="0.3">
      <c r="A4883" s="292"/>
      <c r="B4883" s="296"/>
      <c r="C4883" s="294"/>
      <c r="D4883" s="294"/>
      <c r="E4883" s="294"/>
      <c r="F4883" s="310"/>
      <c r="G4883" s="310">
        <v>0.4</v>
      </c>
      <c r="H4883" s="310">
        <v>0.6</v>
      </c>
      <c r="I4883" s="295">
        <f t="shared" si="633"/>
        <v>0</v>
      </c>
      <c r="J4883" s="295">
        <f>SUM(I4876:I4883)</f>
        <v>6.3119999999999994</v>
      </c>
      <c r="K4883" s="300">
        <v>1.05</v>
      </c>
      <c r="L4883" s="300">
        <f t="shared" si="630"/>
        <v>6.6275999999999993</v>
      </c>
      <c r="M4883" s="285">
        <f t="shared" si="631"/>
        <v>7</v>
      </c>
      <c r="N4883" s="1076"/>
      <c r="O4883" s="294"/>
      <c r="P4883" s="404"/>
      <c r="Q4883" s="404"/>
    </row>
    <row r="4884" spans="1:17" ht="14.4" thickTop="1" thickBot="1" x14ac:dyDescent="0.3">
      <c r="A4884" s="292"/>
      <c r="B4884" s="296"/>
      <c r="C4884" s="294"/>
      <c r="D4884" s="294"/>
      <c r="E4884" s="294"/>
      <c r="F4884" s="310"/>
      <c r="G4884" s="310"/>
      <c r="H4884" s="310"/>
      <c r="I4884" s="295"/>
      <c r="J4884" s="295">
        <f>J4883/2.83</f>
        <v>2.2303886925795049</v>
      </c>
      <c r="K4884" s="300">
        <v>1.05</v>
      </c>
      <c r="L4884" s="300">
        <f t="shared" si="630"/>
        <v>2.3419081272084803</v>
      </c>
      <c r="M4884" s="285">
        <f t="shared" si="631"/>
        <v>2</v>
      </c>
      <c r="N4884" s="1076"/>
      <c r="O4884" s="294"/>
      <c r="P4884" s="404"/>
      <c r="Q4884" s="404"/>
    </row>
    <row r="4885" spans="1:17" ht="14.4" thickTop="1" thickBot="1" x14ac:dyDescent="0.3">
      <c r="A4885" s="292"/>
      <c r="B4885" s="296" t="s">
        <v>1559</v>
      </c>
      <c r="C4885" s="294"/>
      <c r="D4885" s="294"/>
      <c r="E4885" s="294"/>
      <c r="F4885" s="310"/>
      <c r="G4885" s="310"/>
      <c r="H4885" s="310"/>
      <c r="I4885" s="295">
        <v>16</v>
      </c>
      <c r="J4885" s="295"/>
      <c r="K4885" s="300">
        <v>1.05</v>
      </c>
      <c r="L4885" s="300">
        <f t="shared" si="630"/>
        <v>0</v>
      </c>
      <c r="M4885" s="285">
        <f t="shared" si="631"/>
        <v>0</v>
      </c>
      <c r="N4885" s="1076"/>
      <c r="O4885" s="294"/>
      <c r="P4885" s="404"/>
      <c r="Q4885" s="404"/>
    </row>
    <row r="4886" spans="1:17" ht="14.4" thickTop="1" thickBot="1" x14ac:dyDescent="0.3">
      <c r="A4886" s="292"/>
      <c r="B4886" s="296" t="s">
        <v>1540</v>
      </c>
      <c r="C4886" s="294"/>
      <c r="D4886" s="294"/>
      <c r="E4886" s="294">
        <v>2</v>
      </c>
      <c r="F4886" s="310">
        <v>3</v>
      </c>
      <c r="G4886" s="310"/>
      <c r="H4886" s="310">
        <v>1.5</v>
      </c>
      <c r="I4886" s="295">
        <f>H4886*F4886*E4886</f>
        <v>9</v>
      </c>
      <c r="J4886" s="295"/>
      <c r="K4886" s="300"/>
      <c r="L4886" s="300"/>
      <c r="M4886" s="285"/>
      <c r="N4886" s="1076"/>
      <c r="O4886" s="294"/>
      <c r="P4886" s="404"/>
      <c r="Q4886" s="404"/>
    </row>
    <row r="4887" spans="1:17" ht="14.4" thickTop="1" thickBot="1" x14ac:dyDescent="0.3">
      <c r="A4887" s="292"/>
      <c r="B4887" s="296" t="s">
        <v>1540</v>
      </c>
      <c r="C4887" s="294"/>
      <c r="D4887" s="294"/>
      <c r="E4887" s="294">
        <v>2</v>
      </c>
      <c r="F4887" s="310">
        <v>1.9</v>
      </c>
      <c r="G4887" s="310"/>
      <c r="H4887" s="310">
        <v>1.5</v>
      </c>
      <c r="I4887" s="295">
        <f>H4887*F4887*E4887</f>
        <v>5.6999999999999993</v>
      </c>
      <c r="J4887" s="295"/>
      <c r="K4887" s="300">
        <v>1.05</v>
      </c>
      <c r="L4887" s="300">
        <f t="shared" si="630"/>
        <v>0</v>
      </c>
      <c r="M4887" s="285">
        <f t="shared" si="631"/>
        <v>0</v>
      </c>
      <c r="N4887" s="1076"/>
      <c r="O4887" s="294"/>
      <c r="P4887" s="404"/>
      <c r="Q4887" s="404"/>
    </row>
    <row r="4888" spans="1:17" ht="14.4" thickTop="1" thickBot="1" x14ac:dyDescent="0.3">
      <c r="A4888" s="292"/>
      <c r="B4888" s="296"/>
      <c r="C4888" s="294"/>
      <c r="D4888" s="294"/>
      <c r="E4888" s="294">
        <v>4</v>
      </c>
      <c r="F4888" s="310">
        <v>1</v>
      </c>
      <c r="G4888" s="310"/>
      <c r="H4888" s="310">
        <v>1.5</v>
      </c>
      <c r="I4888" s="295">
        <f>H4888*F4888*E4888</f>
        <v>6</v>
      </c>
      <c r="J4888" s="295"/>
      <c r="K4888" s="300"/>
      <c r="L4888" s="300"/>
      <c r="M4888" s="285"/>
      <c r="N4888" s="1076"/>
      <c r="O4888" s="294"/>
      <c r="P4888" s="404"/>
      <c r="Q4888" s="404"/>
    </row>
    <row r="4889" spans="1:17" ht="14.4" thickTop="1" thickBot="1" x14ac:dyDescent="0.3">
      <c r="A4889" s="292"/>
      <c r="B4889" s="296"/>
      <c r="C4889" s="294"/>
      <c r="D4889" s="294"/>
      <c r="E4889" s="294"/>
      <c r="F4889" s="310"/>
      <c r="G4889" s="310"/>
      <c r="H4889" s="310"/>
      <c r="I4889" s="295">
        <f>SUM(I4885:I4888)</f>
        <v>36.700000000000003</v>
      </c>
      <c r="J4889" s="295">
        <f>I4889</f>
        <v>36.700000000000003</v>
      </c>
      <c r="K4889" s="300">
        <v>1.05</v>
      </c>
      <c r="L4889" s="300">
        <f t="shared" si="630"/>
        <v>38.535000000000004</v>
      </c>
      <c r="M4889" s="285">
        <f t="shared" si="631"/>
        <v>39</v>
      </c>
      <c r="N4889" s="1076"/>
      <c r="O4889" s="294"/>
      <c r="P4889" s="404"/>
      <c r="Q4889" s="404"/>
    </row>
    <row r="4890" spans="1:17" ht="14.4" thickTop="1" thickBot="1" x14ac:dyDescent="0.3">
      <c r="A4890" s="292"/>
      <c r="B4890" s="296"/>
      <c r="C4890" s="294"/>
      <c r="D4890" s="294"/>
      <c r="E4890" s="294"/>
      <c r="F4890" s="310"/>
      <c r="G4890" s="310"/>
      <c r="H4890" s="310"/>
      <c r="I4890" s="295"/>
      <c r="J4890" s="295">
        <f>J4889*10.76</f>
        <v>394.892</v>
      </c>
      <c r="K4890" s="300">
        <v>1.05</v>
      </c>
      <c r="L4890" s="300">
        <f t="shared" si="630"/>
        <v>414.63659999999999</v>
      </c>
      <c r="M4890" s="285">
        <f t="shared" si="631"/>
        <v>415</v>
      </c>
      <c r="N4890" s="1076"/>
      <c r="O4890" s="294"/>
      <c r="P4890" s="404"/>
      <c r="Q4890" s="404"/>
    </row>
    <row r="4891" spans="1:17" ht="14.4" thickTop="1" thickBot="1" x14ac:dyDescent="0.3">
      <c r="A4891" s="292"/>
      <c r="B4891" s="296"/>
      <c r="C4891" s="294"/>
      <c r="D4891" s="294"/>
      <c r="E4891" s="294"/>
      <c r="F4891" s="310"/>
      <c r="G4891" s="310"/>
      <c r="H4891" s="310"/>
      <c r="I4891" s="295"/>
      <c r="J4891" s="295"/>
      <c r="K4891" s="300">
        <v>1.05</v>
      </c>
      <c r="L4891" s="300">
        <f t="shared" si="630"/>
        <v>0</v>
      </c>
      <c r="M4891" s="285">
        <f t="shared" si="631"/>
        <v>0</v>
      </c>
      <c r="N4891" s="1076"/>
      <c r="O4891" s="294"/>
      <c r="P4891" s="404"/>
      <c r="Q4891" s="404"/>
    </row>
    <row r="4892" spans="1:17" ht="14.4" thickTop="1" thickBot="1" x14ac:dyDescent="0.3">
      <c r="A4892" s="292"/>
      <c r="B4892" s="296" t="s">
        <v>808</v>
      </c>
      <c r="C4892" s="294"/>
      <c r="D4892" s="294"/>
      <c r="E4892" s="294">
        <v>2</v>
      </c>
      <c r="F4892" s="310">
        <v>6.1</v>
      </c>
      <c r="G4892" s="310"/>
      <c r="H4892" s="310">
        <v>3</v>
      </c>
      <c r="I4892" s="295">
        <f>H4892*F4892*E4892</f>
        <v>36.599999999999994</v>
      </c>
      <c r="J4892" s="295"/>
      <c r="K4892" s="300">
        <v>1.05</v>
      </c>
      <c r="L4892" s="300">
        <f t="shared" si="630"/>
        <v>0</v>
      </c>
      <c r="M4892" s="285">
        <f t="shared" si="631"/>
        <v>0</v>
      </c>
      <c r="N4892" s="1076"/>
      <c r="O4892" s="294"/>
      <c r="P4892" s="404"/>
      <c r="Q4892" s="404"/>
    </row>
    <row r="4893" spans="1:17" ht="14.4" thickTop="1" thickBot="1" x14ac:dyDescent="0.3">
      <c r="A4893" s="292"/>
      <c r="B4893" s="296"/>
      <c r="C4893" s="294"/>
      <c r="D4893" s="294"/>
      <c r="E4893" s="294">
        <v>2</v>
      </c>
      <c r="F4893" s="310">
        <v>3.7</v>
      </c>
      <c r="G4893" s="310"/>
      <c r="H4893" s="310">
        <v>3</v>
      </c>
      <c r="I4893" s="295">
        <f t="shared" ref="I4893" si="634">H4893*F4893*E4893</f>
        <v>22.200000000000003</v>
      </c>
      <c r="J4893" s="295"/>
      <c r="K4893" s="300">
        <v>1.05</v>
      </c>
      <c r="L4893" s="300">
        <f t="shared" si="630"/>
        <v>0</v>
      </c>
      <c r="M4893" s="285">
        <f t="shared" si="631"/>
        <v>0</v>
      </c>
      <c r="N4893" s="1076"/>
      <c r="O4893" s="294"/>
      <c r="P4893" s="404"/>
      <c r="Q4893" s="404"/>
    </row>
    <row r="4894" spans="1:17" ht="14.4" thickTop="1" thickBot="1" x14ac:dyDescent="0.3">
      <c r="A4894" s="292"/>
      <c r="B4894" s="296"/>
      <c r="C4894" s="294"/>
      <c r="D4894" s="294"/>
      <c r="E4894" s="294"/>
      <c r="F4894" s="310"/>
      <c r="G4894" s="310"/>
      <c r="H4894" s="310"/>
      <c r="I4894" s="295"/>
      <c r="J4894" s="295"/>
      <c r="K4894" s="300">
        <v>1.05</v>
      </c>
      <c r="L4894" s="300">
        <f t="shared" si="630"/>
        <v>0</v>
      </c>
      <c r="M4894" s="285">
        <f t="shared" si="631"/>
        <v>0</v>
      </c>
      <c r="N4894" s="1076"/>
      <c r="O4894" s="294"/>
      <c r="P4894" s="404"/>
      <c r="Q4894" s="404"/>
    </row>
    <row r="4895" spans="1:17" ht="14.4" thickTop="1" thickBot="1" x14ac:dyDescent="0.3">
      <c r="A4895" s="292"/>
      <c r="B4895" s="296" t="s">
        <v>761</v>
      </c>
      <c r="C4895" s="294"/>
      <c r="D4895" s="294"/>
      <c r="E4895" s="294">
        <v>3</v>
      </c>
      <c r="F4895" s="310">
        <v>0.6</v>
      </c>
      <c r="G4895" s="310"/>
      <c r="H4895" s="310">
        <v>0.6</v>
      </c>
      <c r="I4895" s="295">
        <f>-H4895*F4895*E4895</f>
        <v>-1.08</v>
      </c>
      <c r="J4895" s="295"/>
      <c r="K4895" s="300">
        <v>1.05</v>
      </c>
      <c r="L4895" s="300">
        <f t="shared" si="630"/>
        <v>0</v>
      </c>
      <c r="M4895" s="285">
        <f t="shared" si="631"/>
        <v>0</v>
      </c>
      <c r="N4895" s="1076"/>
      <c r="O4895" s="294"/>
      <c r="P4895" s="404"/>
      <c r="Q4895" s="404"/>
    </row>
    <row r="4896" spans="1:17" ht="14.4" thickTop="1" thickBot="1" x14ac:dyDescent="0.3">
      <c r="A4896" s="292"/>
      <c r="B4896" s="296"/>
      <c r="C4896" s="294"/>
      <c r="D4896" s="294"/>
      <c r="E4896" s="294">
        <v>7</v>
      </c>
      <c r="F4896" s="310">
        <v>0.75</v>
      </c>
      <c r="G4896" s="310"/>
      <c r="H4896" s="310">
        <v>2.1</v>
      </c>
      <c r="I4896" s="295">
        <f>-H4896*F4896*E4896</f>
        <v>-11.025000000000002</v>
      </c>
      <c r="J4896" s="295"/>
      <c r="K4896" s="300">
        <v>1.05</v>
      </c>
      <c r="L4896" s="300">
        <f t="shared" si="630"/>
        <v>0</v>
      </c>
      <c r="M4896" s="285">
        <f t="shared" si="631"/>
        <v>0</v>
      </c>
      <c r="N4896" s="1076"/>
      <c r="O4896" s="294"/>
      <c r="P4896" s="404"/>
      <c r="Q4896" s="404"/>
    </row>
    <row r="4897" spans="1:17" ht="14.4" thickTop="1" thickBot="1" x14ac:dyDescent="0.3">
      <c r="A4897" s="292"/>
      <c r="B4897" s="296"/>
      <c r="C4897" s="294"/>
      <c r="D4897" s="294"/>
      <c r="E4897" s="294"/>
      <c r="F4897" s="310"/>
      <c r="G4897" s="310"/>
      <c r="H4897" s="310"/>
      <c r="I4897" s="295"/>
      <c r="J4897" s="295">
        <f>SUM(I4892:I4897)</f>
        <v>46.694999999999993</v>
      </c>
      <c r="K4897" s="300">
        <v>1.05</v>
      </c>
      <c r="L4897" s="300">
        <f t="shared" si="630"/>
        <v>49.029749999999993</v>
      </c>
      <c r="M4897" s="285">
        <f t="shared" si="631"/>
        <v>49</v>
      </c>
      <c r="N4897" s="1076"/>
      <c r="O4897" s="294"/>
      <c r="P4897" s="404">
        <f>100/10.76</f>
        <v>9.2936802973977706</v>
      </c>
      <c r="Q4897" s="413">
        <f>J4897*10.76</f>
        <v>502.43819999999994</v>
      </c>
    </row>
    <row r="4898" spans="1:17" ht="14.4" thickTop="1" thickBot="1" x14ac:dyDescent="0.3">
      <c r="A4898" s="292"/>
      <c r="B4898" s="296"/>
      <c r="C4898" s="294"/>
      <c r="D4898" s="294"/>
      <c r="E4898" s="294"/>
      <c r="F4898" s="310"/>
      <c r="G4898" s="310"/>
      <c r="H4898" s="310"/>
      <c r="I4898" s="295"/>
      <c r="J4898" s="295">
        <f>J4897/9.29</f>
        <v>5.0263724434876211</v>
      </c>
      <c r="K4898" s="300">
        <v>1.05</v>
      </c>
      <c r="L4898" s="300">
        <f t="shared" si="630"/>
        <v>5.2776910656620029</v>
      </c>
      <c r="M4898" s="285">
        <f t="shared" si="631"/>
        <v>5</v>
      </c>
      <c r="N4898" s="1076"/>
      <c r="O4898" s="294"/>
      <c r="P4898" s="404"/>
      <c r="Q4898" s="413">
        <f>Q4897/100</f>
        <v>5.0243819999999992</v>
      </c>
    </row>
    <row r="4899" spans="1:17" ht="14.4" thickTop="1" thickBot="1" x14ac:dyDescent="0.3">
      <c r="A4899" s="292"/>
      <c r="B4899" s="296" t="s">
        <v>1541</v>
      </c>
      <c r="C4899" s="294"/>
      <c r="D4899" s="294"/>
      <c r="E4899" s="294">
        <v>7</v>
      </c>
      <c r="F4899" s="310">
        <f>F4895+H4895+H4895+F4895</f>
        <v>2.4</v>
      </c>
      <c r="G4899" s="310"/>
      <c r="H4899" s="310">
        <f>F4899*E4899</f>
        <v>16.8</v>
      </c>
      <c r="I4899" s="295"/>
      <c r="J4899" s="295"/>
      <c r="K4899" s="300">
        <v>1.05</v>
      </c>
      <c r="L4899" s="300">
        <f t="shared" si="630"/>
        <v>0</v>
      </c>
      <c r="M4899" s="285">
        <f t="shared" si="631"/>
        <v>0</v>
      </c>
      <c r="N4899" s="1076"/>
      <c r="O4899" s="294"/>
      <c r="P4899" s="404"/>
      <c r="Q4899" s="404"/>
    </row>
    <row r="4900" spans="1:17" ht="14.4" thickTop="1" thickBot="1" x14ac:dyDescent="0.3">
      <c r="A4900" s="292"/>
      <c r="B4900" s="296"/>
      <c r="C4900" s="294"/>
      <c r="D4900" s="294"/>
      <c r="E4900" s="294">
        <v>1</v>
      </c>
      <c r="F4900" s="310">
        <f>F4896+H4896+H4896</f>
        <v>4.95</v>
      </c>
      <c r="G4900" s="310"/>
      <c r="H4900" s="310">
        <f t="shared" ref="H4900:H4901" si="635">F4900*E4900</f>
        <v>4.95</v>
      </c>
      <c r="I4900" s="295"/>
      <c r="J4900" s="295"/>
      <c r="K4900" s="300">
        <v>1.05</v>
      </c>
      <c r="L4900" s="300">
        <f t="shared" si="630"/>
        <v>0</v>
      </c>
      <c r="M4900" s="285">
        <f t="shared" si="631"/>
        <v>0</v>
      </c>
      <c r="N4900" s="1076"/>
      <c r="O4900" s="294"/>
      <c r="P4900" s="404"/>
      <c r="Q4900" s="404"/>
    </row>
    <row r="4901" spans="1:17" ht="14.4" thickTop="1" thickBot="1" x14ac:dyDescent="0.3">
      <c r="A4901" s="292"/>
      <c r="B4901" s="296"/>
      <c r="C4901" s="294"/>
      <c r="D4901" s="294"/>
      <c r="E4901" s="294">
        <v>1</v>
      </c>
      <c r="F4901" s="310">
        <f>F4897+H4897+H4897</f>
        <v>0</v>
      </c>
      <c r="G4901" s="310"/>
      <c r="H4901" s="310">
        <f t="shared" si="635"/>
        <v>0</v>
      </c>
      <c r="I4901" s="295">
        <f>SUM(H4899:H4901)</f>
        <v>21.75</v>
      </c>
      <c r="J4901" s="295">
        <f>I4901</f>
        <v>21.75</v>
      </c>
      <c r="K4901" s="300">
        <v>1.05</v>
      </c>
      <c r="L4901" s="300">
        <f t="shared" si="630"/>
        <v>22.837500000000002</v>
      </c>
      <c r="M4901" s="285">
        <f t="shared" si="631"/>
        <v>23</v>
      </c>
      <c r="N4901" s="1076"/>
      <c r="O4901" s="294"/>
      <c r="P4901" s="404"/>
      <c r="Q4901" s="404"/>
    </row>
    <row r="4902" spans="1:17" ht="14.4" thickTop="1" thickBot="1" x14ac:dyDescent="0.3">
      <c r="A4902" s="292"/>
      <c r="B4902" s="296"/>
      <c r="C4902" s="294"/>
      <c r="D4902" s="294"/>
      <c r="E4902" s="294"/>
      <c r="F4902" s="310"/>
      <c r="G4902" s="310"/>
      <c r="H4902" s="310"/>
      <c r="I4902" s="295"/>
      <c r="J4902" s="295">
        <f>J4901*3.28</f>
        <v>71.339999999999989</v>
      </c>
      <c r="K4902" s="300">
        <v>1.05</v>
      </c>
      <c r="L4902" s="300">
        <f t="shared" ref="L4902:L4968" si="636">K4902*J4902</f>
        <v>74.906999999999996</v>
      </c>
      <c r="M4902" s="285">
        <f t="shared" si="631"/>
        <v>75</v>
      </c>
      <c r="N4902" s="1076"/>
      <c r="O4902" s="294"/>
      <c r="P4902" s="404"/>
      <c r="Q4902" s="404"/>
    </row>
    <row r="4903" spans="1:17" ht="14.4" thickTop="1" thickBot="1" x14ac:dyDescent="0.3">
      <c r="A4903" s="292"/>
      <c r="B4903" s="296"/>
      <c r="C4903" s="294"/>
      <c r="D4903" s="294"/>
      <c r="E4903" s="294"/>
      <c r="F4903" s="310"/>
      <c r="G4903" s="310"/>
      <c r="H4903" s="310"/>
      <c r="I4903" s="295"/>
      <c r="J4903" s="295"/>
      <c r="K4903" s="300">
        <v>1.05</v>
      </c>
      <c r="L4903" s="300">
        <f t="shared" si="636"/>
        <v>0</v>
      </c>
      <c r="M4903" s="285">
        <f t="shared" si="631"/>
        <v>0</v>
      </c>
      <c r="N4903" s="1076"/>
      <c r="O4903" s="294"/>
      <c r="P4903" s="404"/>
      <c r="Q4903" s="404"/>
    </row>
    <row r="4904" spans="1:17" ht="14.4" thickTop="1" thickBot="1" x14ac:dyDescent="0.3">
      <c r="A4904" s="292"/>
      <c r="B4904" s="296" t="s">
        <v>812</v>
      </c>
      <c r="C4904" s="294"/>
      <c r="D4904" s="294"/>
      <c r="E4904" s="294">
        <v>2</v>
      </c>
      <c r="F4904" s="310">
        <v>6</v>
      </c>
      <c r="G4904" s="310"/>
      <c r="H4904" s="310">
        <v>0.9</v>
      </c>
      <c r="I4904" s="295">
        <f>H4904*F4904*E4904</f>
        <v>10.8</v>
      </c>
      <c r="J4904" s="295"/>
      <c r="K4904" s="300">
        <v>1.05</v>
      </c>
      <c r="L4904" s="300">
        <f t="shared" si="636"/>
        <v>0</v>
      </c>
      <c r="M4904" s="285">
        <f t="shared" si="631"/>
        <v>0</v>
      </c>
      <c r="N4904" s="1076"/>
      <c r="O4904" s="294"/>
      <c r="P4904" s="404">
        <f>3-2.1</f>
        <v>0.89999999999999991</v>
      </c>
      <c r="Q4904" s="404"/>
    </row>
    <row r="4905" spans="1:17" ht="14.4" thickTop="1" thickBot="1" x14ac:dyDescent="0.3">
      <c r="A4905" s="292"/>
      <c r="B4905" s="296"/>
      <c r="C4905" s="294"/>
      <c r="D4905" s="294"/>
      <c r="E4905" s="294">
        <v>1</v>
      </c>
      <c r="F4905" s="310">
        <v>2.8</v>
      </c>
      <c r="G4905" s="310"/>
      <c r="H4905" s="310">
        <v>0.9</v>
      </c>
      <c r="I4905" s="295">
        <f t="shared" ref="I4905:I4908" si="637">H4905*F4905*E4905</f>
        <v>2.52</v>
      </c>
      <c r="J4905" s="295"/>
      <c r="K4905" s="300">
        <v>1.05</v>
      </c>
      <c r="L4905" s="300">
        <f t="shared" si="636"/>
        <v>0</v>
      </c>
      <c r="M4905" s="285">
        <f t="shared" si="631"/>
        <v>0</v>
      </c>
      <c r="N4905" s="1076"/>
      <c r="O4905" s="294"/>
      <c r="P4905" s="404"/>
      <c r="Q4905" s="404"/>
    </row>
    <row r="4906" spans="1:17" ht="14.4" thickTop="1" thickBot="1" x14ac:dyDescent="0.3">
      <c r="A4906" s="292"/>
      <c r="B4906" s="296"/>
      <c r="C4906" s="294"/>
      <c r="D4906" s="294"/>
      <c r="E4906" s="294">
        <v>6</v>
      </c>
      <c r="F4906" s="310">
        <v>1.5</v>
      </c>
      <c r="G4906" s="310"/>
      <c r="H4906" s="310">
        <v>0.9</v>
      </c>
      <c r="I4906" s="295">
        <f t="shared" si="637"/>
        <v>8.1000000000000014</v>
      </c>
      <c r="J4906" s="295"/>
      <c r="K4906" s="300">
        <v>1.05</v>
      </c>
      <c r="L4906" s="300">
        <f t="shared" si="636"/>
        <v>0</v>
      </c>
      <c r="M4906" s="285">
        <f t="shared" si="631"/>
        <v>0</v>
      </c>
      <c r="N4906" s="1076"/>
      <c r="O4906" s="294"/>
      <c r="P4906" s="404"/>
      <c r="Q4906" s="404"/>
    </row>
    <row r="4907" spans="1:17" ht="14.4" thickTop="1" thickBot="1" x14ac:dyDescent="0.3">
      <c r="A4907" s="292"/>
      <c r="B4907" s="296"/>
      <c r="C4907" s="294"/>
      <c r="D4907" s="294"/>
      <c r="E4907" s="294">
        <v>3</v>
      </c>
      <c r="F4907" s="310">
        <v>1.2</v>
      </c>
      <c r="G4907" s="310"/>
      <c r="H4907" s="310">
        <v>0.9</v>
      </c>
      <c r="I4907" s="295">
        <f t="shared" si="637"/>
        <v>3.24</v>
      </c>
      <c r="J4907" s="295"/>
      <c r="K4907" s="300">
        <v>1.05</v>
      </c>
      <c r="L4907" s="300">
        <f t="shared" si="636"/>
        <v>0</v>
      </c>
      <c r="M4907" s="285">
        <f t="shared" si="631"/>
        <v>0</v>
      </c>
      <c r="N4907" s="1076"/>
      <c r="O4907" s="294"/>
      <c r="P4907" s="404"/>
      <c r="Q4907" s="404"/>
    </row>
    <row r="4908" spans="1:17" ht="14.4" thickTop="1" thickBot="1" x14ac:dyDescent="0.3">
      <c r="A4908" s="292"/>
      <c r="B4908" s="296"/>
      <c r="C4908" s="294"/>
      <c r="D4908" s="294"/>
      <c r="E4908" s="294">
        <v>10</v>
      </c>
      <c r="F4908" s="310">
        <v>0.9</v>
      </c>
      <c r="G4908" s="310"/>
      <c r="H4908" s="310">
        <v>0.9</v>
      </c>
      <c r="I4908" s="295">
        <f t="shared" si="637"/>
        <v>8.1000000000000014</v>
      </c>
      <c r="J4908" s="295">
        <f>SUM(I4904:I4908)</f>
        <v>32.760000000000005</v>
      </c>
      <c r="K4908" s="300">
        <v>1.05</v>
      </c>
      <c r="L4908" s="300">
        <f t="shared" si="636"/>
        <v>34.39800000000001</v>
      </c>
      <c r="M4908" s="285">
        <f t="shared" si="631"/>
        <v>34</v>
      </c>
      <c r="N4908" s="1076"/>
      <c r="O4908" s="294"/>
      <c r="P4908" s="404"/>
      <c r="Q4908" s="404"/>
    </row>
    <row r="4909" spans="1:17" ht="14.4" thickTop="1" thickBot="1" x14ac:dyDescent="0.3">
      <c r="A4909" s="292"/>
      <c r="B4909" s="296"/>
      <c r="C4909" s="294"/>
      <c r="D4909" s="294"/>
      <c r="E4909" s="294"/>
      <c r="F4909" s="310"/>
      <c r="G4909" s="310"/>
      <c r="H4909" s="310"/>
      <c r="I4909" s="295"/>
      <c r="J4909" s="295">
        <f>J4908/9.29</f>
        <v>3.526372443487622</v>
      </c>
      <c r="K4909" s="300">
        <v>1.05</v>
      </c>
      <c r="L4909" s="300">
        <f t="shared" si="636"/>
        <v>3.7026910656620031</v>
      </c>
      <c r="M4909" s="285">
        <f t="shared" ref="M4909:M4972" si="638">ROUND(L4909,0)</f>
        <v>4</v>
      </c>
      <c r="N4909" s="1076"/>
      <c r="O4909" s="294"/>
      <c r="P4909" s="404"/>
      <c r="Q4909" s="404"/>
    </row>
    <row r="4910" spans="1:17" ht="14.4" thickTop="1" thickBot="1" x14ac:dyDescent="0.3">
      <c r="A4910" s="292"/>
      <c r="B4910" s="296"/>
      <c r="C4910" s="294"/>
      <c r="D4910" s="294"/>
      <c r="E4910" s="294"/>
      <c r="F4910" s="310"/>
      <c r="G4910" s="310"/>
      <c r="H4910" s="310"/>
      <c r="I4910" s="295"/>
      <c r="J4910" s="295"/>
      <c r="K4910" s="300">
        <v>1.05</v>
      </c>
      <c r="L4910" s="300">
        <f t="shared" si="636"/>
        <v>0</v>
      </c>
      <c r="M4910" s="285">
        <f t="shared" si="638"/>
        <v>0</v>
      </c>
      <c r="N4910" s="1076"/>
      <c r="O4910" s="294"/>
      <c r="P4910" s="404"/>
      <c r="Q4910" s="404"/>
    </row>
    <row r="4911" spans="1:17" ht="14.4" thickTop="1" thickBot="1" x14ac:dyDescent="0.3">
      <c r="A4911" s="292"/>
      <c r="B4911" s="296" t="s">
        <v>1542</v>
      </c>
      <c r="C4911" s="294"/>
      <c r="D4911" s="294"/>
      <c r="E4911" s="294">
        <v>2</v>
      </c>
      <c r="F4911" s="310">
        <v>6.1</v>
      </c>
      <c r="G4911" s="310"/>
      <c r="H4911" s="310">
        <v>1.5</v>
      </c>
      <c r="I4911" s="295">
        <f>H4911*F4911*E4911</f>
        <v>18.299999999999997</v>
      </c>
      <c r="J4911" s="295"/>
      <c r="K4911" s="300">
        <v>1.05</v>
      </c>
      <c r="L4911" s="300">
        <f t="shared" si="636"/>
        <v>0</v>
      </c>
      <c r="M4911" s="285">
        <f t="shared" si="638"/>
        <v>0</v>
      </c>
      <c r="N4911" s="1076"/>
      <c r="O4911" s="294"/>
      <c r="P4911" s="404">
        <f>5*300</f>
        <v>1500</v>
      </c>
      <c r="Q4911" s="404"/>
    </row>
    <row r="4912" spans="1:17" ht="14.4" thickTop="1" thickBot="1" x14ac:dyDescent="0.3">
      <c r="A4912" s="292"/>
      <c r="B4912" s="296"/>
      <c r="C4912" s="294"/>
      <c r="D4912" s="294"/>
      <c r="E4912" s="294">
        <v>2</v>
      </c>
      <c r="F4912" s="310">
        <v>3.7</v>
      </c>
      <c r="G4912" s="310"/>
      <c r="H4912" s="310">
        <v>1.5</v>
      </c>
      <c r="I4912" s="295">
        <f t="shared" ref="I4912:I4916" si="639">H4912*F4912*E4912</f>
        <v>11.100000000000001</v>
      </c>
      <c r="J4912" s="295"/>
      <c r="K4912" s="300">
        <v>1.05</v>
      </c>
      <c r="L4912" s="300">
        <f t="shared" si="636"/>
        <v>0</v>
      </c>
      <c r="M4912" s="285">
        <f t="shared" si="638"/>
        <v>0</v>
      </c>
      <c r="N4912" s="1076"/>
      <c r="O4912" s="294"/>
      <c r="P4912" s="404"/>
      <c r="Q4912" s="404"/>
    </row>
    <row r="4913" spans="1:17" ht="14.4" thickTop="1" thickBot="1" x14ac:dyDescent="0.3">
      <c r="A4913" s="292"/>
      <c r="B4913" s="296"/>
      <c r="C4913" s="294"/>
      <c r="D4913" s="294"/>
      <c r="E4913" s="294">
        <v>2</v>
      </c>
      <c r="F4913" s="310">
        <v>2.1</v>
      </c>
      <c r="G4913" s="310"/>
      <c r="H4913" s="310">
        <v>1.5</v>
      </c>
      <c r="I4913" s="295">
        <f t="shared" si="639"/>
        <v>6.3000000000000007</v>
      </c>
      <c r="J4913" s="295"/>
      <c r="K4913" s="300">
        <v>1.05</v>
      </c>
      <c r="L4913" s="300">
        <f t="shared" si="636"/>
        <v>0</v>
      </c>
      <c r="M4913" s="285">
        <f t="shared" si="638"/>
        <v>0</v>
      </c>
      <c r="N4913" s="1076"/>
      <c r="O4913" s="294"/>
      <c r="P4913" s="404"/>
      <c r="Q4913" s="404"/>
    </row>
    <row r="4914" spans="1:17" ht="14.4" thickTop="1" thickBot="1" x14ac:dyDescent="0.3">
      <c r="A4914" s="292"/>
      <c r="B4914" s="294"/>
      <c r="C4914" s="294"/>
      <c r="D4914" s="294"/>
      <c r="E4914" s="294">
        <v>2</v>
      </c>
      <c r="F4914" s="310">
        <v>3</v>
      </c>
      <c r="G4914" s="310"/>
      <c r="H4914" s="310">
        <v>1.5</v>
      </c>
      <c r="I4914" s="295">
        <f t="shared" si="639"/>
        <v>9</v>
      </c>
      <c r="J4914" s="295"/>
      <c r="K4914" s="300">
        <v>1.05</v>
      </c>
      <c r="L4914" s="300">
        <f t="shared" si="636"/>
        <v>0</v>
      </c>
      <c r="M4914" s="285">
        <f t="shared" si="638"/>
        <v>0</v>
      </c>
      <c r="N4914" s="1076"/>
      <c r="O4914" s="294"/>
      <c r="P4914" s="404"/>
      <c r="Q4914" s="404"/>
    </row>
    <row r="4915" spans="1:17" ht="14.4" thickTop="1" thickBot="1" x14ac:dyDescent="0.3">
      <c r="A4915" s="292"/>
      <c r="B4915" s="294"/>
      <c r="C4915" s="294"/>
      <c r="D4915" s="294"/>
      <c r="E4915" s="294">
        <v>2</v>
      </c>
      <c r="F4915" s="310">
        <v>1.2</v>
      </c>
      <c r="G4915" s="310"/>
      <c r="H4915" s="310">
        <v>1.5</v>
      </c>
      <c r="I4915" s="295">
        <f t="shared" si="639"/>
        <v>3.5999999999999996</v>
      </c>
      <c r="J4915" s="295"/>
      <c r="K4915" s="300">
        <v>1.05</v>
      </c>
      <c r="L4915" s="300"/>
      <c r="M4915" s="285"/>
      <c r="N4915" s="1076"/>
      <c r="O4915" s="294"/>
      <c r="P4915" s="404"/>
      <c r="Q4915" s="404"/>
    </row>
    <row r="4916" spans="1:17" ht="14.4" thickTop="1" thickBot="1" x14ac:dyDescent="0.3">
      <c r="A4916" s="292"/>
      <c r="B4916" s="296"/>
      <c r="C4916" s="294"/>
      <c r="D4916" s="294"/>
      <c r="E4916" s="294">
        <v>4</v>
      </c>
      <c r="F4916" s="310">
        <v>1</v>
      </c>
      <c r="G4916" s="310"/>
      <c r="H4916" s="310">
        <v>1.5</v>
      </c>
      <c r="I4916" s="295">
        <f t="shared" si="639"/>
        <v>6</v>
      </c>
      <c r="J4916" s="295"/>
      <c r="K4916" s="300">
        <v>1.05</v>
      </c>
      <c r="L4916" s="300">
        <f t="shared" si="636"/>
        <v>0</v>
      </c>
      <c r="M4916" s="285">
        <f t="shared" si="638"/>
        <v>0</v>
      </c>
      <c r="N4916" s="1076"/>
      <c r="O4916" s="294"/>
      <c r="P4916" s="404"/>
      <c r="Q4916" s="404"/>
    </row>
    <row r="4917" spans="1:17" ht="14.4" thickTop="1" thickBot="1" x14ac:dyDescent="0.3">
      <c r="A4917" s="292"/>
      <c r="B4917" s="296"/>
      <c r="C4917" s="294"/>
      <c r="D4917" s="294"/>
      <c r="E4917" s="294"/>
      <c r="F4917" s="310"/>
      <c r="G4917" s="310"/>
      <c r="H4917" s="310"/>
      <c r="I4917" s="295"/>
      <c r="J4917" s="295"/>
      <c r="K4917" s="300"/>
      <c r="L4917" s="300"/>
      <c r="M4917" s="285"/>
      <c r="N4917" s="1076"/>
      <c r="O4917" s="294"/>
      <c r="P4917" s="404"/>
      <c r="Q4917" s="404"/>
    </row>
    <row r="4918" spans="1:17" ht="14.4" thickTop="1" thickBot="1" x14ac:dyDescent="0.3">
      <c r="A4918" s="292"/>
      <c r="B4918" s="296"/>
      <c r="C4918" s="294"/>
      <c r="D4918" s="294"/>
      <c r="E4918" s="294"/>
      <c r="F4918" s="310"/>
      <c r="G4918" s="310"/>
      <c r="H4918" s="310"/>
      <c r="I4918" s="295"/>
      <c r="J4918" s="295"/>
      <c r="K4918" s="300"/>
      <c r="L4918" s="300"/>
      <c r="M4918" s="285"/>
      <c r="N4918" s="1076"/>
      <c r="O4918" s="294"/>
      <c r="P4918" s="404"/>
      <c r="Q4918" s="404"/>
    </row>
    <row r="4919" spans="1:17" ht="14.4" thickTop="1" thickBot="1" x14ac:dyDescent="0.3">
      <c r="A4919" s="292"/>
      <c r="B4919" s="294" t="s">
        <v>846</v>
      </c>
      <c r="C4919" s="294"/>
      <c r="D4919" s="294"/>
      <c r="E4919" s="294">
        <v>3</v>
      </c>
      <c r="F4919" s="310">
        <v>0.75</v>
      </c>
      <c r="G4919" s="310"/>
      <c r="H4919" s="310">
        <v>1.5</v>
      </c>
      <c r="I4919" s="295">
        <f>-H4919*F4919*E4919</f>
        <v>-3.375</v>
      </c>
      <c r="J4919" s="295"/>
      <c r="K4919" s="300">
        <v>1.05</v>
      </c>
      <c r="L4919" s="300">
        <f t="shared" si="636"/>
        <v>0</v>
      </c>
      <c r="M4919" s="285">
        <f t="shared" si="638"/>
        <v>0</v>
      </c>
      <c r="N4919" s="1076"/>
      <c r="O4919" s="294"/>
      <c r="P4919" s="404"/>
      <c r="Q4919" s="404"/>
    </row>
    <row r="4920" spans="1:17" ht="14.4" thickTop="1" thickBot="1" x14ac:dyDescent="0.3">
      <c r="A4920" s="292"/>
      <c r="B4920" s="296"/>
      <c r="C4920" s="294"/>
      <c r="D4920" s="294"/>
      <c r="E4920" s="294"/>
      <c r="F4920" s="310"/>
      <c r="G4920" s="310"/>
      <c r="H4920" s="310"/>
      <c r="I4920" s="295"/>
      <c r="J4920" s="295">
        <f>SUM(I4911:I4920)</f>
        <v>50.925000000000004</v>
      </c>
      <c r="K4920" s="300">
        <v>1.05</v>
      </c>
      <c r="L4920" s="300">
        <f t="shared" si="636"/>
        <v>53.471250000000005</v>
      </c>
      <c r="M4920" s="285">
        <f t="shared" si="638"/>
        <v>53</v>
      </c>
      <c r="N4920" s="1076"/>
      <c r="O4920" s="296"/>
      <c r="P4920" s="728">
        <f>J4920*10.76</f>
        <v>547.95300000000009</v>
      </c>
      <c r="Q4920" s="405"/>
    </row>
    <row r="4921" spans="1:17" ht="14.4" thickTop="1" thickBot="1" x14ac:dyDescent="0.3">
      <c r="A4921" s="292"/>
      <c r="B4921" s="294"/>
      <c r="C4921" s="294"/>
      <c r="D4921" s="294"/>
      <c r="E4921" s="294"/>
      <c r="F4921" s="310"/>
      <c r="G4921" s="310"/>
      <c r="H4921" s="310"/>
      <c r="I4921" s="295"/>
      <c r="J4921" s="295">
        <f>J4920/9.29</f>
        <v>5.4817007534983864</v>
      </c>
      <c r="K4921" s="300">
        <v>1.05</v>
      </c>
      <c r="L4921" s="300">
        <f t="shared" si="636"/>
        <v>5.7557857911733059</v>
      </c>
      <c r="M4921" s="285">
        <f t="shared" si="638"/>
        <v>6</v>
      </c>
      <c r="N4921" s="1076"/>
      <c r="O4921" s="294"/>
      <c r="P4921" s="404"/>
      <c r="Q4921" s="404"/>
    </row>
    <row r="4922" spans="1:17" ht="14.4" thickTop="1" thickBot="1" x14ac:dyDescent="0.3">
      <c r="A4922" s="292"/>
      <c r="B4922" s="296"/>
      <c r="C4922" s="294"/>
      <c r="D4922" s="294"/>
      <c r="E4922" s="294"/>
      <c r="F4922" s="310"/>
      <c r="G4922" s="310"/>
      <c r="H4922" s="310"/>
      <c r="I4922" s="295"/>
      <c r="J4922" s="295"/>
      <c r="K4922" s="300">
        <f t="shared" ref="K4922:K5203" si="640">$K$2</f>
        <v>1.1000000000000001</v>
      </c>
      <c r="L4922" s="300">
        <f t="shared" si="636"/>
        <v>0</v>
      </c>
      <c r="M4922" s="285">
        <f t="shared" si="638"/>
        <v>0</v>
      </c>
      <c r="N4922" s="1076"/>
      <c r="O4922" s="294"/>
      <c r="P4922" s="404"/>
      <c r="Q4922" s="404"/>
    </row>
    <row r="4923" spans="1:17" ht="14.4" thickTop="1" thickBot="1" x14ac:dyDescent="0.3">
      <c r="A4923" s="292"/>
      <c r="B4923" s="296" t="s">
        <v>1570</v>
      </c>
      <c r="C4923" s="294"/>
      <c r="D4923" s="294"/>
      <c r="E4923" s="294">
        <v>12</v>
      </c>
      <c r="F4923" s="310">
        <v>30</v>
      </c>
      <c r="G4923" s="310"/>
      <c r="H4923" s="310">
        <f>F4923*E4923</f>
        <v>360</v>
      </c>
      <c r="I4923" s="295">
        <f>H4923</f>
        <v>360</v>
      </c>
      <c r="J4923" s="295">
        <f>I4923</f>
        <v>360</v>
      </c>
      <c r="K4923" s="300">
        <v>1.05</v>
      </c>
      <c r="L4923" s="300">
        <f t="shared" si="636"/>
        <v>378</v>
      </c>
      <c r="M4923" s="285">
        <f t="shared" si="638"/>
        <v>378</v>
      </c>
      <c r="N4923" s="1076"/>
      <c r="O4923" s="294"/>
      <c r="P4923" s="404"/>
      <c r="Q4923" s="404"/>
    </row>
    <row r="4924" spans="1:17" ht="14.4" thickTop="1" thickBot="1" x14ac:dyDescent="0.3">
      <c r="A4924" s="292"/>
      <c r="B4924" s="296"/>
      <c r="C4924" s="294"/>
      <c r="D4924" s="294"/>
      <c r="E4924" s="294"/>
      <c r="F4924" s="310"/>
      <c r="G4924" s="310"/>
      <c r="H4924" s="310"/>
      <c r="I4924" s="295"/>
      <c r="J4924" s="295"/>
      <c r="K4924" s="300">
        <f t="shared" si="640"/>
        <v>1.1000000000000001</v>
      </c>
      <c r="L4924" s="300">
        <f t="shared" si="636"/>
        <v>0</v>
      </c>
      <c r="M4924" s="285">
        <f t="shared" si="638"/>
        <v>0</v>
      </c>
      <c r="N4924" s="1076"/>
      <c r="O4924" s="294"/>
      <c r="P4924" s="404"/>
      <c r="Q4924" s="404"/>
    </row>
    <row r="4925" spans="1:17" ht="14.4" thickTop="1" thickBot="1" x14ac:dyDescent="0.3">
      <c r="A4925" s="292"/>
      <c r="B4925" s="302" t="s">
        <v>1538</v>
      </c>
      <c r="C4925" s="294"/>
      <c r="D4925" s="294"/>
      <c r="E4925" s="294"/>
      <c r="F4925" s="310"/>
      <c r="G4925" s="310"/>
      <c r="H4925" s="310"/>
      <c r="I4925" s="295"/>
      <c r="J4925" s="295"/>
      <c r="K4925" s="300">
        <f t="shared" si="640"/>
        <v>1.1000000000000001</v>
      </c>
      <c r="L4925" s="300">
        <f t="shared" si="636"/>
        <v>0</v>
      </c>
      <c r="M4925" s="285">
        <f t="shared" si="638"/>
        <v>0</v>
      </c>
      <c r="N4925" s="1076"/>
      <c r="O4925" s="294"/>
      <c r="P4925" s="404"/>
      <c r="Q4925" s="404"/>
    </row>
    <row r="4926" spans="1:17" ht="14.4" thickTop="1" thickBot="1" x14ac:dyDescent="0.3">
      <c r="A4926" s="292"/>
      <c r="B4926" s="296" t="s">
        <v>1585</v>
      </c>
      <c r="C4926" s="294"/>
      <c r="D4926" s="294"/>
      <c r="E4926" s="294"/>
      <c r="F4926" s="310"/>
      <c r="G4926" s="310"/>
      <c r="H4926" s="310"/>
      <c r="I4926" s="295"/>
      <c r="J4926" s="295"/>
      <c r="K4926" s="300">
        <f t="shared" si="640"/>
        <v>1.1000000000000001</v>
      </c>
      <c r="L4926" s="300">
        <f t="shared" si="636"/>
        <v>0</v>
      </c>
      <c r="M4926" s="285">
        <f t="shared" si="638"/>
        <v>0</v>
      </c>
      <c r="N4926" s="1076"/>
      <c r="O4926" s="294"/>
      <c r="P4926" s="404"/>
      <c r="Q4926" s="404"/>
    </row>
    <row r="4927" spans="1:17" ht="14.4" thickTop="1" thickBot="1" x14ac:dyDescent="0.3">
      <c r="A4927" s="292"/>
      <c r="B4927" s="296"/>
      <c r="C4927" s="294"/>
      <c r="D4927" s="294"/>
      <c r="E4927" s="294"/>
      <c r="F4927" s="310"/>
      <c r="G4927" s="310"/>
      <c r="H4927" s="310"/>
      <c r="I4927" s="295"/>
      <c r="J4927" s="295"/>
      <c r="K4927" s="300">
        <f t="shared" si="640"/>
        <v>1.1000000000000001</v>
      </c>
      <c r="L4927" s="300">
        <f t="shared" si="636"/>
        <v>0</v>
      </c>
      <c r="M4927" s="285">
        <f t="shared" si="638"/>
        <v>0</v>
      </c>
      <c r="N4927" s="1076"/>
      <c r="O4927" s="294"/>
      <c r="P4927" s="404"/>
      <c r="Q4927" s="404"/>
    </row>
    <row r="4928" spans="1:17" ht="14.4" thickTop="1" thickBot="1" x14ac:dyDescent="0.3">
      <c r="A4928" s="292"/>
      <c r="B4928" s="296" t="s">
        <v>756</v>
      </c>
      <c r="C4928" s="294"/>
      <c r="D4928" s="294"/>
      <c r="E4928" s="294"/>
      <c r="F4928" s="310"/>
      <c r="G4928" s="310"/>
      <c r="H4928" s="310"/>
      <c r="I4928" s="295"/>
      <c r="J4928" s="295">
        <f>'bar schedule-wattala'!Z87</f>
        <v>535.99733599733588</v>
      </c>
      <c r="K4928" s="300">
        <v>1.05</v>
      </c>
      <c r="L4928" s="300">
        <f t="shared" si="636"/>
        <v>562.79720279720266</v>
      </c>
      <c r="M4928" s="285">
        <f t="shared" si="638"/>
        <v>563</v>
      </c>
      <c r="N4928" s="1076"/>
      <c r="O4928" s="294"/>
      <c r="P4928" s="404"/>
      <c r="Q4928" s="404"/>
    </row>
    <row r="4929" spans="1:17" ht="14.4" thickTop="1" thickBot="1" x14ac:dyDescent="0.3">
      <c r="A4929" s="292"/>
      <c r="B4929" s="296"/>
      <c r="C4929" s="294"/>
      <c r="D4929" s="294"/>
      <c r="E4929" s="294"/>
      <c r="F4929" s="310"/>
      <c r="G4929" s="310"/>
      <c r="H4929" s="310"/>
      <c r="I4929" s="295"/>
      <c r="J4929" s="295"/>
      <c r="K4929" s="300">
        <f t="shared" si="640"/>
        <v>1.1000000000000001</v>
      </c>
      <c r="L4929" s="300">
        <f t="shared" si="636"/>
        <v>0</v>
      </c>
      <c r="M4929" s="285">
        <f t="shared" si="638"/>
        <v>0</v>
      </c>
      <c r="N4929" s="1076"/>
      <c r="O4929" s="294"/>
      <c r="P4929" s="404"/>
      <c r="Q4929" s="404"/>
    </row>
    <row r="4930" spans="1:17" ht="14.4" thickTop="1" thickBot="1" x14ac:dyDescent="0.3">
      <c r="A4930" s="292"/>
      <c r="B4930" s="296"/>
      <c r="C4930" s="294"/>
      <c r="D4930" s="294"/>
      <c r="E4930" s="294"/>
      <c r="F4930" s="310"/>
      <c r="G4930" s="310"/>
      <c r="H4930" s="310"/>
      <c r="I4930" s="295"/>
      <c r="J4930" s="295"/>
      <c r="K4930" s="300">
        <f t="shared" si="640"/>
        <v>1.1000000000000001</v>
      </c>
      <c r="L4930" s="300">
        <f t="shared" si="636"/>
        <v>0</v>
      </c>
      <c r="M4930" s="285">
        <f t="shared" si="638"/>
        <v>0</v>
      </c>
      <c r="N4930" s="1076"/>
      <c r="O4930" s="294"/>
      <c r="P4930" s="404"/>
      <c r="Q4930" s="404"/>
    </row>
    <row r="4931" spans="1:17" ht="14.4" thickTop="1" thickBot="1" x14ac:dyDescent="0.3">
      <c r="A4931" s="292"/>
      <c r="B4931" s="296" t="s">
        <v>742</v>
      </c>
      <c r="C4931" s="294"/>
      <c r="D4931" s="294"/>
      <c r="E4931" s="294"/>
      <c r="F4931" s="310"/>
      <c r="G4931" s="310"/>
      <c r="H4931" s="310"/>
      <c r="I4931" s="295"/>
      <c r="J4931" s="295">
        <f>'bar schedule-wattala'!U18</f>
        <v>1387.4125874125873</v>
      </c>
      <c r="K4931" s="300">
        <v>1.05</v>
      </c>
      <c r="L4931" s="300">
        <f t="shared" si="636"/>
        <v>1456.7832167832166</v>
      </c>
      <c r="M4931" s="285">
        <f t="shared" si="638"/>
        <v>1457</v>
      </c>
      <c r="N4931" s="1076"/>
      <c r="O4931" s="294"/>
      <c r="P4931" s="404"/>
      <c r="Q4931" s="404"/>
    </row>
    <row r="4932" spans="1:17" ht="14.4" thickTop="1" thickBot="1" x14ac:dyDescent="0.3">
      <c r="A4932" s="292"/>
      <c r="B4932" s="296"/>
      <c r="C4932" s="294"/>
      <c r="D4932" s="294"/>
      <c r="E4932" s="294"/>
      <c r="F4932" s="310"/>
      <c r="G4932" s="310"/>
      <c r="H4932" s="310"/>
      <c r="I4932" s="295"/>
      <c r="J4932" s="295"/>
      <c r="K4932" s="300">
        <f t="shared" si="640"/>
        <v>1.1000000000000001</v>
      </c>
      <c r="L4932" s="300">
        <f t="shared" si="636"/>
        <v>0</v>
      </c>
      <c r="M4932" s="285">
        <f t="shared" si="638"/>
        <v>0</v>
      </c>
      <c r="N4932" s="1076"/>
      <c r="O4932" s="294"/>
      <c r="P4932" s="404"/>
      <c r="Q4932" s="404"/>
    </row>
    <row r="4933" spans="1:17" ht="14.4" thickTop="1" thickBot="1" x14ac:dyDescent="0.3">
      <c r="A4933" s="292"/>
      <c r="B4933" s="296" t="s">
        <v>1706</v>
      </c>
      <c r="C4933" s="294"/>
      <c r="D4933" s="294"/>
      <c r="E4933" s="294"/>
      <c r="F4933" s="310"/>
      <c r="G4933" s="310"/>
      <c r="H4933" s="310"/>
      <c r="I4933" s="295"/>
      <c r="J4933" s="295">
        <f>'bar schedule-wattala'!V27</f>
        <v>447.83660783660781</v>
      </c>
      <c r="K4933" s="300">
        <f t="shared" si="640"/>
        <v>1.1000000000000001</v>
      </c>
      <c r="L4933" s="300">
        <f t="shared" si="636"/>
        <v>492.62026862026863</v>
      </c>
      <c r="M4933" s="285">
        <f t="shared" si="638"/>
        <v>493</v>
      </c>
      <c r="N4933" s="1076"/>
      <c r="O4933" s="294"/>
      <c r="P4933" s="404"/>
      <c r="Q4933" s="404"/>
    </row>
    <row r="4934" spans="1:17" ht="14.4" thickTop="1" thickBot="1" x14ac:dyDescent="0.3">
      <c r="A4934" s="292"/>
      <c r="B4934" s="296"/>
      <c r="C4934" s="294"/>
      <c r="D4934" s="294"/>
      <c r="E4934" s="294"/>
      <c r="F4934" s="310"/>
      <c r="G4934" s="310"/>
      <c r="H4934" s="310"/>
      <c r="I4934" s="295"/>
      <c r="J4934" s="295"/>
      <c r="K4934" s="300">
        <f t="shared" si="640"/>
        <v>1.1000000000000001</v>
      </c>
      <c r="L4934" s="300">
        <f t="shared" si="636"/>
        <v>0</v>
      </c>
      <c r="M4934" s="285">
        <f t="shared" si="638"/>
        <v>0</v>
      </c>
      <c r="N4934" s="1076"/>
      <c r="O4934" s="294"/>
      <c r="P4934" s="404"/>
      <c r="Q4934" s="404"/>
    </row>
    <row r="4935" spans="1:17" ht="14.4" thickTop="1" thickBot="1" x14ac:dyDescent="0.3">
      <c r="A4935" s="292"/>
      <c r="B4935" s="296" t="s">
        <v>1711</v>
      </c>
      <c r="C4935" s="294"/>
      <c r="D4935" s="294"/>
      <c r="E4935" s="294"/>
      <c r="F4935" s="310"/>
      <c r="G4935" s="310"/>
      <c r="H4935" s="310"/>
      <c r="I4935" s="295"/>
      <c r="J4935" s="295">
        <f>'bar schedule-wattala'!Z36</f>
        <v>1433.4307667641001</v>
      </c>
      <c r="K4935" s="300">
        <v>1.05</v>
      </c>
      <c r="L4935" s="300">
        <f t="shared" si="636"/>
        <v>1505.1023051023051</v>
      </c>
      <c r="M4935" s="285">
        <f t="shared" si="638"/>
        <v>1505</v>
      </c>
      <c r="N4935" s="1076"/>
      <c r="O4935" s="294"/>
      <c r="P4935" s="413">
        <f>M4935-J4935</f>
        <v>71.569233235899901</v>
      </c>
      <c r="Q4935" s="413">
        <f>P4935*282</f>
        <v>20182.523772523771</v>
      </c>
    </row>
    <row r="4936" spans="1:17" ht="14.4" thickTop="1" thickBot="1" x14ac:dyDescent="0.3">
      <c r="A4936" s="292"/>
      <c r="B4936" s="296"/>
      <c r="C4936" s="294"/>
      <c r="D4936" s="294"/>
      <c r="E4936" s="294"/>
      <c r="F4936" s="310"/>
      <c r="G4936" s="310"/>
      <c r="H4936" s="310"/>
      <c r="I4936" s="295"/>
      <c r="J4936" s="295"/>
      <c r="K4936" s="300">
        <f t="shared" si="640"/>
        <v>1.1000000000000001</v>
      </c>
      <c r="L4936" s="300">
        <f t="shared" si="636"/>
        <v>0</v>
      </c>
      <c r="M4936" s="285">
        <f t="shared" si="638"/>
        <v>0</v>
      </c>
      <c r="N4936" s="1076"/>
      <c r="O4936" s="294"/>
      <c r="P4936" s="404"/>
      <c r="Q4936" s="404"/>
    </row>
    <row r="4937" spans="1:17" ht="14.4" thickTop="1" thickBot="1" x14ac:dyDescent="0.3">
      <c r="A4937" s="292"/>
      <c r="B4937" s="296" t="s">
        <v>1713</v>
      </c>
      <c r="C4937" s="294"/>
      <c r="D4937" s="294"/>
      <c r="E4937" s="294"/>
      <c r="F4937" s="310"/>
      <c r="G4937" s="310"/>
      <c r="H4937" s="310"/>
      <c r="I4937" s="295"/>
      <c r="J4937" s="295">
        <f>'bar schedule-wattala'!Z44</f>
        <v>909.31290931290926</v>
      </c>
      <c r="K4937" s="300">
        <v>1.05</v>
      </c>
      <c r="L4937" s="300">
        <f t="shared" si="636"/>
        <v>954.77855477855474</v>
      </c>
      <c r="M4937" s="285">
        <f t="shared" si="638"/>
        <v>955</v>
      </c>
      <c r="N4937" s="1076"/>
      <c r="O4937" s="294"/>
      <c r="P4937" s="404">
        <f>100*282</f>
        <v>28200</v>
      </c>
      <c r="Q4937" s="404"/>
    </row>
    <row r="4938" spans="1:17" ht="14.4" thickTop="1" thickBot="1" x14ac:dyDescent="0.3">
      <c r="A4938" s="292"/>
      <c r="B4938" s="296"/>
      <c r="C4938" s="294"/>
      <c r="D4938" s="294"/>
      <c r="E4938" s="294"/>
      <c r="F4938" s="310"/>
      <c r="G4938" s="310"/>
      <c r="H4938" s="310"/>
      <c r="I4938" s="295"/>
      <c r="J4938" s="295"/>
      <c r="K4938" s="300">
        <f t="shared" si="640"/>
        <v>1.1000000000000001</v>
      </c>
      <c r="L4938" s="300">
        <f t="shared" si="636"/>
        <v>0</v>
      </c>
      <c r="M4938" s="285">
        <f t="shared" si="638"/>
        <v>0</v>
      </c>
      <c r="N4938" s="1076"/>
      <c r="O4938" s="294"/>
      <c r="P4938" s="404"/>
      <c r="Q4938" s="404"/>
    </row>
    <row r="4939" spans="1:17" ht="14.4" thickTop="1" thickBot="1" x14ac:dyDescent="0.3">
      <c r="A4939" s="292"/>
      <c r="B4939" s="296" t="s">
        <v>1714</v>
      </c>
      <c r="C4939" s="294"/>
      <c r="D4939" s="294"/>
      <c r="E4939" s="294"/>
      <c r="F4939" s="310"/>
      <c r="G4939" s="310"/>
      <c r="H4939" s="310"/>
      <c r="I4939" s="295"/>
      <c r="J4939" s="295"/>
      <c r="K4939" s="300">
        <f t="shared" si="640"/>
        <v>1.1000000000000001</v>
      </c>
      <c r="L4939" s="300">
        <f t="shared" si="636"/>
        <v>0</v>
      </c>
      <c r="M4939" s="285">
        <f t="shared" si="638"/>
        <v>0</v>
      </c>
      <c r="N4939" s="1076"/>
      <c r="O4939" s="294"/>
      <c r="P4939" s="404"/>
      <c r="Q4939" s="404"/>
    </row>
    <row r="4940" spans="1:17" ht="14.4" thickTop="1" thickBot="1" x14ac:dyDescent="0.3">
      <c r="A4940" s="292"/>
      <c r="B4940" s="296" t="s">
        <v>1715</v>
      </c>
      <c r="C4940" s="294"/>
      <c r="D4940" s="294"/>
      <c r="E4940" s="294"/>
      <c r="F4940" s="310">
        <f>12.225*0.3*0.45</f>
        <v>1.6503749999999999</v>
      </c>
      <c r="G4940" s="310"/>
      <c r="H4940" s="310">
        <f>F4942/F4940</f>
        <v>135.94506159327284</v>
      </c>
      <c r="I4940" s="295"/>
      <c r="J4940" s="295"/>
      <c r="K4940" s="300">
        <f t="shared" si="640"/>
        <v>1.1000000000000001</v>
      </c>
      <c r="L4940" s="300">
        <f t="shared" si="636"/>
        <v>0</v>
      </c>
      <c r="M4940" s="285">
        <f t="shared" si="638"/>
        <v>0</v>
      </c>
      <c r="N4940" s="1076"/>
      <c r="O4940" s="294"/>
      <c r="P4940" s="404"/>
      <c r="Q4940" s="404"/>
    </row>
    <row r="4941" spans="1:17" ht="14.4" thickTop="1" thickBot="1" x14ac:dyDescent="0.3">
      <c r="A4941" s="292"/>
      <c r="B4941" s="296" t="s">
        <v>1538</v>
      </c>
      <c r="C4941" s="294"/>
      <c r="D4941" s="294"/>
      <c r="E4941" s="294"/>
      <c r="F4941" s="310">
        <f>'bar schedule-wattala'!Z57</f>
        <v>203.9639372972706</v>
      </c>
      <c r="G4941" s="310"/>
      <c r="H4941" s="310"/>
      <c r="I4941" s="295"/>
      <c r="J4941" s="295"/>
      <c r="K4941" s="300">
        <f t="shared" si="640"/>
        <v>1.1000000000000001</v>
      </c>
      <c r="L4941" s="300">
        <f t="shared" si="636"/>
        <v>0</v>
      </c>
      <c r="M4941" s="285">
        <f t="shared" si="638"/>
        <v>0</v>
      </c>
      <c r="N4941" s="1076"/>
      <c r="O4941" s="294"/>
      <c r="P4941" s="404"/>
      <c r="Q4941" s="404"/>
    </row>
    <row r="4942" spans="1:17" ht="14.4" thickTop="1" thickBot="1" x14ac:dyDescent="0.3">
      <c r="A4942" s="292"/>
      <c r="B4942" s="296"/>
      <c r="C4942" s="294"/>
      <c r="D4942" s="294"/>
      <c r="E4942" s="294"/>
      <c r="F4942" s="310">
        <f>F4941*1.1</f>
        <v>224.36033102699767</v>
      </c>
      <c r="G4942" s="310"/>
      <c r="H4942" s="310"/>
      <c r="I4942" s="295"/>
      <c r="J4942" s="295"/>
      <c r="K4942" s="300">
        <f t="shared" si="640"/>
        <v>1.1000000000000001</v>
      </c>
      <c r="L4942" s="300">
        <f t="shared" si="636"/>
        <v>0</v>
      </c>
      <c r="M4942" s="285">
        <f t="shared" si="638"/>
        <v>0</v>
      </c>
      <c r="N4942" s="1076"/>
      <c r="O4942" s="294"/>
      <c r="P4942" s="404"/>
      <c r="Q4942" s="404"/>
    </row>
    <row r="4943" spans="1:17" ht="14.4" thickTop="1" thickBot="1" x14ac:dyDescent="0.3">
      <c r="A4943" s="292"/>
      <c r="B4943" s="296" t="s">
        <v>1716</v>
      </c>
      <c r="C4943" s="294"/>
      <c r="D4943" s="294"/>
      <c r="E4943" s="294"/>
      <c r="F4943" s="310">
        <f>concrete!C130</f>
        <v>0</v>
      </c>
      <c r="G4943" s="310"/>
      <c r="H4943" s="310"/>
      <c r="I4943" s="295"/>
      <c r="J4943" s="295">
        <f>H4940*F4943</f>
        <v>0</v>
      </c>
      <c r="K4943" s="300">
        <v>1.05</v>
      </c>
      <c r="L4943" s="300">
        <f t="shared" si="636"/>
        <v>0</v>
      </c>
      <c r="M4943" s="285">
        <f t="shared" si="638"/>
        <v>0</v>
      </c>
      <c r="N4943" s="1076"/>
      <c r="O4943" s="294"/>
      <c r="P4943" s="404" t="e">
        <f>M4943/F4943</f>
        <v>#DIV/0!</v>
      </c>
      <c r="Q4943" s="404"/>
    </row>
    <row r="4944" spans="1:17" ht="14.4" thickTop="1" thickBot="1" x14ac:dyDescent="0.3">
      <c r="A4944" s="292"/>
      <c r="B4944" s="296"/>
      <c r="C4944" s="294"/>
      <c r="D4944" s="294"/>
      <c r="E4944" s="294"/>
      <c r="F4944" s="310"/>
      <c r="G4944" s="310"/>
      <c r="H4944" s="310"/>
      <c r="I4944" s="295"/>
      <c r="J4944" s="295"/>
      <c r="K4944" s="300">
        <f t="shared" si="640"/>
        <v>1.1000000000000001</v>
      </c>
      <c r="L4944" s="300">
        <f t="shared" si="636"/>
        <v>0</v>
      </c>
      <c r="M4944" s="285">
        <f t="shared" si="638"/>
        <v>0</v>
      </c>
      <c r="N4944" s="1076"/>
      <c r="O4944" s="294"/>
      <c r="P4944" s="404"/>
      <c r="Q4944" s="404"/>
    </row>
    <row r="4945" spans="1:17" ht="14.4" thickTop="1" thickBot="1" x14ac:dyDescent="0.3">
      <c r="A4945" s="292"/>
      <c r="B4945" s="296" t="s">
        <v>1725</v>
      </c>
      <c r="C4945" s="294"/>
      <c r="D4945" s="294"/>
      <c r="E4945" s="294"/>
      <c r="F4945" s="310"/>
      <c r="G4945" s="310"/>
      <c r="H4945" s="310"/>
      <c r="I4945" s="295"/>
      <c r="J4945" s="295"/>
      <c r="K4945" s="300">
        <f t="shared" si="640"/>
        <v>1.1000000000000001</v>
      </c>
      <c r="L4945" s="300">
        <f t="shared" si="636"/>
        <v>0</v>
      </c>
      <c r="M4945" s="285">
        <f t="shared" si="638"/>
        <v>0</v>
      </c>
      <c r="N4945" s="1076"/>
      <c r="O4945" s="294"/>
      <c r="P4945" s="404"/>
      <c r="Q4945" s="404"/>
    </row>
    <row r="4946" spans="1:17" ht="14.4" thickTop="1" thickBot="1" x14ac:dyDescent="0.3">
      <c r="A4946" s="292"/>
      <c r="B4946" s="296" t="s">
        <v>1726</v>
      </c>
      <c r="C4946" s="294"/>
      <c r="D4946" s="294"/>
      <c r="E4946" s="294"/>
      <c r="F4946" s="310">
        <v>4.4000000000000004</v>
      </c>
      <c r="G4946" s="310">
        <v>5.4870000000000001</v>
      </c>
      <c r="H4946" s="310">
        <v>0.15</v>
      </c>
      <c r="I4946" s="295">
        <f>H4946*G4946*F4946</f>
        <v>3.6214200000000001</v>
      </c>
      <c r="J4946" s="295"/>
      <c r="K4946" s="300">
        <f t="shared" si="640"/>
        <v>1.1000000000000001</v>
      </c>
      <c r="L4946" s="300">
        <f t="shared" si="636"/>
        <v>0</v>
      </c>
      <c r="M4946" s="285">
        <f t="shared" si="638"/>
        <v>0</v>
      </c>
      <c r="N4946" s="1076"/>
      <c r="O4946" s="294"/>
      <c r="P4946" s="404"/>
      <c r="Q4946" s="404"/>
    </row>
    <row r="4947" spans="1:17" ht="14.4" thickTop="1" thickBot="1" x14ac:dyDescent="0.3">
      <c r="A4947" s="292"/>
      <c r="B4947" s="296" t="s">
        <v>1727</v>
      </c>
      <c r="C4947" s="294"/>
      <c r="D4947" s="294"/>
      <c r="E4947" s="294"/>
      <c r="F4947" s="310">
        <f>'bar schedule-wattala'!Z69</f>
        <v>264.00389733723057</v>
      </c>
      <c r="G4947" s="310"/>
      <c r="H4947" s="310"/>
      <c r="I4947" s="295"/>
      <c r="J4947" s="295"/>
      <c r="K4947" s="300">
        <f t="shared" si="640"/>
        <v>1.1000000000000001</v>
      </c>
      <c r="L4947" s="300">
        <f t="shared" si="636"/>
        <v>0</v>
      </c>
      <c r="M4947" s="285">
        <f t="shared" si="638"/>
        <v>0</v>
      </c>
      <c r="N4947" s="1076"/>
      <c r="O4947" s="294"/>
      <c r="P4947" s="404"/>
      <c r="Q4947" s="404"/>
    </row>
    <row r="4948" spans="1:17" ht="14.4" thickTop="1" thickBot="1" x14ac:dyDescent="0.3">
      <c r="A4948" s="292"/>
      <c r="B4948" s="296" t="s">
        <v>1728</v>
      </c>
      <c r="C4948" s="294"/>
      <c r="D4948" s="294"/>
      <c r="E4948" s="294"/>
      <c r="F4948" s="310">
        <f>F4947/I4946</f>
        <v>72.900657017752863</v>
      </c>
      <c r="G4948" s="310"/>
      <c r="H4948" s="310"/>
      <c r="I4948" s="295"/>
      <c r="J4948" s="295">
        <f>F4948</f>
        <v>72.900657017752863</v>
      </c>
      <c r="K4948" s="300">
        <v>1.2</v>
      </c>
      <c r="L4948" s="300">
        <f t="shared" si="636"/>
        <v>87.48078842130343</v>
      </c>
      <c r="M4948" s="285">
        <f t="shared" si="638"/>
        <v>87</v>
      </c>
      <c r="N4948" s="1076"/>
      <c r="O4948" s="294"/>
      <c r="P4948" s="404"/>
      <c r="Q4948" s="404"/>
    </row>
    <row r="4949" spans="1:17" ht="14.4" thickTop="1" thickBot="1" x14ac:dyDescent="0.3">
      <c r="A4949" s="292"/>
      <c r="B4949" s="296"/>
      <c r="C4949" s="294"/>
      <c r="D4949" s="294"/>
      <c r="E4949" s="294"/>
      <c r="F4949" s="310"/>
      <c r="G4949" s="310"/>
      <c r="H4949" s="310"/>
      <c r="I4949" s="295"/>
      <c r="J4949" s="295"/>
      <c r="K4949" s="300">
        <f t="shared" si="640"/>
        <v>1.1000000000000001</v>
      </c>
      <c r="L4949" s="300">
        <f t="shared" si="636"/>
        <v>0</v>
      </c>
      <c r="M4949" s="285">
        <f t="shared" si="638"/>
        <v>0</v>
      </c>
      <c r="N4949" s="1076"/>
      <c r="O4949" s="294"/>
      <c r="P4949" s="404"/>
      <c r="Q4949" s="404"/>
    </row>
    <row r="4950" spans="1:17" ht="14.4" thickTop="1" thickBot="1" x14ac:dyDescent="0.3">
      <c r="A4950" s="292"/>
      <c r="B4950" s="296" t="s">
        <v>1729</v>
      </c>
      <c r="C4950" s="294"/>
      <c r="D4950" s="294"/>
      <c r="E4950" s="294"/>
      <c r="F4950" s="310">
        <f>concrete!C136</f>
        <v>0</v>
      </c>
      <c r="G4950" s="310"/>
      <c r="H4950" s="310"/>
      <c r="I4950" s="295"/>
      <c r="J4950" s="295">
        <f>F4950*M4948</f>
        <v>0</v>
      </c>
      <c r="K4950" s="300">
        <v>1.1000000000000001</v>
      </c>
      <c r="L4950" s="300">
        <f t="shared" si="636"/>
        <v>0</v>
      </c>
      <c r="M4950" s="285">
        <f t="shared" si="638"/>
        <v>0</v>
      </c>
      <c r="N4950" s="1076"/>
      <c r="O4950" s="294"/>
      <c r="P4950" s="404">
        <f>F4950*M4948</f>
        <v>0</v>
      </c>
      <c r="Q4950" s="404"/>
    </row>
    <row r="4951" spans="1:17" ht="14.4" thickTop="1" thickBot="1" x14ac:dyDescent="0.3">
      <c r="A4951" s="292"/>
      <c r="B4951" s="296"/>
      <c r="C4951" s="294"/>
      <c r="D4951" s="294"/>
      <c r="E4951" s="294"/>
      <c r="F4951" s="310"/>
      <c r="G4951" s="310"/>
      <c r="H4951" s="310"/>
      <c r="I4951" s="295"/>
      <c r="J4951" s="295"/>
      <c r="K4951" s="300">
        <f t="shared" si="640"/>
        <v>1.1000000000000001</v>
      </c>
      <c r="L4951" s="300">
        <f t="shared" si="636"/>
        <v>0</v>
      </c>
      <c r="M4951" s="285">
        <f t="shared" si="638"/>
        <v>0</v>
      </c>
      <c r="N4951" s="1076"/>
      <c r="O4951" s="294"/>
      <c r="P4951" s="404"/>
      <c r="Q4951" s="404"/>
    </row>
    <row r="4952" spans="1:17" ht="14.4" thickTop="1" thickBot="1" x14ac:dyDescent="0.3">
      <c r="A4952" s="292"/>
      <c r="B4952" s="296" t="s">
        <v>1731</v>
      </c>
      <c r="C4952" s="294"/>
      <c r="D4952" s="294"/>
      <c r="E4952" s="294"/>
      <c r="F4952" s="310"/>
      <c r="G4952" s="310"/>
      <c r="H4952" s="310"/>
      <c r="I4952" s="295"/>
      <c r="J4952" s="295">
        <f>'bar schedule-wattala'!Z78</f>
        <v>681.98468198468197</v>
      </c>
      <c r="K4952" s="300">
        <v>1.1000000000000001</v>
      </c>
      <c r="L4952" s="300">
        <f t="shared" si="636"/>
        <v>750.18315018315025</v>
      </c>
      <c r="M4952" s="285">
        <f t="shared" si="638"/>
        <v>750</v>
      </c>
      <c r="N4952" s="1076"/>
      <c r="O4952" s="294"/>
      <c r="P4952" s="404"/>
      <c r="Q4952" s="404"/>
    </row>
    <row r="4953" spans="1:17" ht="14.4" thickTop="1" thickBot="1" x14ac:dyDescent="0.3">
      <c r="A4953" s="292"/>
      <c r="B4953" s="296"/>
      <c r="C4953" s="294"/>
      <c r="D4953" s="294"/>
      <c r="E4953" s="294"/>
      <c r="F4953" s="310"/>
      <c r="G4953" s="310"/>
      <c r="H4953" s="310"/>
      <c r="I4953" s="295"/>
      <c r="J4953" s="295"/>
      <c r="K4953" s="300">
        <f t="shared" si="640"/>
        <v>1.1000000000000001</v>
      </c>
      <c r="L4953" s="300">
        <f t="shared" si="636"/>
        <v>0</v>
      </c>
      <c r="M4953" s="285">
        <f t="shared" si="638"/>
        <v>0</v>
      </c>
      <c r="N4953" s="1076"/>
      <c r="O4953" s="294"/>
      <c r="P4953" s="404"/>
      <c r="Q4953" s="404"/>
    </row>
    <row r="4954" spans="1:17" ht="14.4" thickTop="1" thickBot="1" x14ac:dyDescent="0.3">
      <c r="A4954" s="292"/>
      <c r="B4954" s="296" t="s">
        <v>1732</v>
      </c>
      <c r="C4954" s="294"/>
      <c r="D4954" s="294"/>
      <c r="E4954" s="294"/>
      <c r="F4954" s="310"/>
      <c r="G4954" s="310"/>
      <c r="H4954" s="310"/>
      <c r="I4954" s="295"/>
      <c r="J4954" s="295"/>
      <c r="K4954" s="300">
        <f t="shared" si="640"/>
        <v>1.1000000000000001</v>
      </c>
      <c r="L4954" s="300">
        <f t="shared" si="636"/>
        <v>0</v>
      </c>
      <c r="M4954" s="285">
        <f t="shared" si="638"/>
        <v>0</v>
      </c>
      <c r="N4954" s="1076"/>
      <c r="O4954" s="294"/>
      <c r="P4954" s="404"/>
      <c r="Q4954" s="404"/>
    </row>
    <row r="4955" spans="1:17" ht="14.4" thickTop="1" thickBot="1" x14ac:dyDescent="0.3">
      <c r="A4955" s="292"/>
      <c r="B4955" s="296" t="s">
        <v>1733</v>
      </c>
      <c r="C4955" s="294"/>
      <c r="D4955" s="294"/>
      <c r="E4955" s="294"/>
      <c r="F4955" s="310">
        <f>concrete!C131</f>
        <v>0</v>
      </c>
      <c r="G4955" s="310"/>
      <c r="H4955" s="310"/>
      <c r="I4955" s="295"/>
      <c r="J4955" s="295">
        <f>F4955*H4940</f>
        <v>0</v>
      </c>
      <c r="K4955" s="300">
        <v>1.05</v>
      </c>
      <c r="L4955" s="300">
        <f t="shared" si="636"/>
        <v>0</v>
      </c>
      <c r="M4955" s="285">
        <f t="shared" si="638"/>
        <v>0</v>
      </c>
      <c r="N4955" s="1076"/>
      <c r="O4955" s="294"/>
      <c r="P4955" s="404"/>
      <c r="Q4955" s="404"/>
    </row>
    <row r="4956" spans="1:17" ht="14.4" thickTop="1" thickBot="1" x14ac:dyDescent="0.3">
      <c r="A4956" s="292"/>
      <c r="B4956" s="296"/>
      <c r="C4956" s="294"/>
      <c r="D4956" s="294"/>
      <c r="E4956" s="294"/>
      <c r="F4956" s="310"/>
      <c r="G4956" s="310"/>
      <c r="H4956" s="310"/>
      <c r="I4956" s="295"/>
      <c r="J4956" s="295"/>
      <c r="K4956" s="300">
        <f t="shared" si="640"/>
        <v>1.1000000000000001</v>
      </c>
      <c r="L4956" s="300">
        <f t="shared" si="636"/>
        <v>0</v>
      </c>
      <c r="M4956" s="285">
        <f t="shared" si="638"/>
        <v>0</v>
      </c>
      <c r="N4956" s="1076"/>
      <c r="O4956" s="294"/>
      <c r="P4956" s="404"/>
      <c r="Q4956" s="404"/>
    </row>
    <row r="4957" spans="1:17" ht="14.4" thickTop="1" thickBot="1" x14ac:dyDescent="0.3">
      <c r="A4957" s="292"/>
      <c r="B4957" s="296" t="s">
        <v>1734</v>
      </c>
      <c r="C4957" s="294"/>
      <c r="D4957" s="294"/>
      <c r="E4957" s="294"/>
      <c r="F4957" s="310"/>
      <c r="G4957" s="310"/>
      <c r="H4957" s="310"/>
      <c r="I4957" s="295"/>
      <c r="J4957" s="295"/>
      <c r="K4957" s="300">
        <f t="shared" si="640"/>
        <v>1.1000000000000001</v>
      </c>
      <c r="L4957" s="300">
        <f t="shared" si="636"/>
        <v>0</v>
      </c>
      <c r="M4957" s="285">
        <f t="shared" si="638"/>
        <v>0</v>
      </c>
      <c r="N4957" s="1076"/>
      <c r="O4957" s="294"/>
      <c r="P4957" s="404"/>
      <c r="Q4957" s="404"/>
    </row>
    <row r="4958" spans="1:17" ht="14.4" thickTop="1" thickBot="1" x14ac:dyDescent="0.3">
      <c r="A4958" s="292"/>
      <c r="B4958" s="296" t="s">
        <v>1733</v>
      </c>
      <c r="C4958" s="294"/>
      <c r="D4958" s="294"/>
      <c r="E4958" s="294"/>
      <c r="F4958" s="310">
        <f>concrete!C137</f>
        <v>0</v>
      </c>
      <c r="G4958" s="310"/>
      <c r="H4958" s="310"/>
      <c r="I4958" s="295"/>
      <c r="J4958" s="295">
        <f>F4958*M4948</f>
        <v>0</v>
      </c>
      <c r="K4958" s="300">
        <v>1.1000000000000001</v>
      </c>
      <c r="L4958" s="300">
        <f t="shared" si="636"/>
        <v>0</v>
      </c>
      <c r="M4958" s="285">
        <f t="shared" si="638"/>
        <v>0</v>
      </c>
      <c r="N4958" s="1076"/>
      <c r="O4958" s="294"/>
      <c r="P4958" s="404"/>
      <c r="Q4958" s="404"/>
    </row>
    <row r="4959" spans="1:17" ht="14.4" thickTop="1" thickBot="1" x14ac:dyDescent="0.3">
      <c r="A4959" s="292"/>
      <c r="B4959" s="296"/>
      <c r="C4959" s="294"/>
      <c r="D4959" s="294"/>
      <c r="E4959" s="294"/>
      <c r="F4959" s="310"/>
      <c r="G4959" s="310"/>
      <c r="H4959" s="310"/>
      <c r="I4959" s="295"/>
      <c r="J4959" s="295"/>
      <c r="K4959" s="300">
        <f t="shared" si="640"/>
        <v>1.1000000000000001</v>
      </c>
      <c r="L4959" s="300">
        <f t="shared" si="636"/>
        <v>0</v>
      </c>
      <c r="M4959" s="285">
        <f t="shared" si="638"/>
        <v>0</v>
      </c>
      <c r="N4959" s="1076"/>
      <c r="O4959" s="294"/>
      <c r="P4959" s="404"/>
      <c r="Q4959" s="404"/>
    </row>
    <row r="4960" spans="1:17" ht="14.4" thickTop="1" thickBot="1" x14ac:dyDescent="0.3">
      <c r="A4960" s="292"/>
      <c r="B4960" s="296"/>
      <c r="C4960" s="294"/>
      <c r="D4960" s="294"/>
      <c r="E4960" s="294"/>
      <c r="F4960" s="310"/>
      <c r="G4960" s="310"/>
      <c r="H4960" s="310"/>
      <c r="I4960" s="295"/>
      <c r="J4960" s="295"/>
      <c r="K4960" s="300">
        <f t="shared" si="640"/>
        <v>1.1000000000000001</v>
      </c>
      <c r="L4960" s="300">
        <f t="shared" si="636"/>
        <v>0</v>
      </c>
      <c r="M4960" s="285">
        <f t="shared" si="638"/>
        <v>0</v>
      </c>
      <c r="N4960" s="1076"/>
      <c r="O4960" s="294"/>
      <c r="P4960" s="404"/>
      <c r="Q4960" s="404"/>
    </row>
    <row r="4961" spans="1:17" ht="14.4" thickTop="1" thickBot="1" x14ac:dyDescent="0.3">
      <c r="A4961" s="292"/>
      <c r="B4961" s="296" t="s">
        <v>1735</v>
      </c>
      <c r="C4961" s="294"/>
      <c r="D4961" s="294"/>
      <c r="E4961" s="294"/>
      <c r="F4961" s="310"/>
      <c r="G4961" s="310"/>
      <c r="H4961" s="310"/>
      <c r="I4961" s="295"/>
      <c r="J4961" s="295"/>
      <c r="K4961" s="300">
        <f t="shared" si="640"/>
        <v>1.1000000000000001</v>
      </c>
      <c r="L4961" s="300">
        <f t="shared" si="636"/>
        <v>0</v>
      </c>
      <c r="M4961" s="285">
        <f t="shared" si="638"/>
        <v>0</v>
      </c>
      <c r="N4961" s="1076"/>
      <c r="O4961" s="294"/>
      <c r="P4961" s="404"/>
      <c r="Q4961" s="404"/>
    </row>
    <row r="4962" spans="1:17" ht="14.4" thickTop="1" thickBot="1" x14ac:dyDescent="0.3">
      <c r="A4962" s="292"/>
      <c r="B4962" s="296" t="s">
        <v>1733</v>
      </c>
      <c r="C4962" s="294"/>
      <c r="D4962" s="294"/>
      <c r="E4962" s="294"/>
      <c r="F4962" s="310" t="e">
        <f>concrete!#REF!</f>
        <v>#REF!</v>
      </c>
      <c r="G4962" s="310"/>
      <c r="H4962" s="310"/>
      <c r="I4962" s="295"/>
      <c r="J4962" s="295" t="e">
        <f>F4962*H4940</f>
        <v>#REF!</v>
      </c>
      <c r="K4962" s="300">
        <v>1.05</v>
      </c>
      <c r="L4962" s="300" t="e">
        <f t="shared" si="636"/>
        <v>#REF!</v>
      </c>
      <c r="M4962" s="285" t="e">
        <f t="shared" si="638"/>
        <v>#REF!</v>
      </c>
      <c r="N4962" s="1076"/>
      <c r="O4962" s="294"/>
      <c r="P4962" s="404"/>
      <c r="Q4962" s="404"/>
    </row>
    <row r="4963" spans="1:17" ht="14.4" thickTop="1" thickBot="1" x14ac:dyDescent="0.3">
      <c r="A4963" s="292"/>
      <c r="B4963" s="296"/>
      <c r="C4963" s="294"/>
      <c r="D4963" s="294"/>
      <c r="E4963" s="294"/>
      <c r="F4963" s="310"/>
      <c r="G4963" s="310"/>
      <c r="H4963" s="310"/>
      <c r="I4963" s="295"/>
      <c r="J4963" s="295"/>
      <c r="K4963" s="300">
        <f t="shared" si="640"/>
        <v>1.1000000000000001</v>
      </c>
      <c r="L4963" s="300">
        <f t="shared" si="636"/>
        <v>0</v>
      </c>
      <c r="M4963" s="285">
        <f t="shared" si="638"/>
        <v>0</v>
      </c>
      <c r="N4963" s="1076"/>
      <c r="O4963" s="294"/>
      <c r="P4963" s="404"/>
      <c r="Q4963" s="404"/>
    </row>
    <row r="4964" spans="1:17" ht="14.4" thickTop="1" thickBot="1" x14ac:dyDescent="0.3">
      <c r="A4964" s="292"/>
      <c r="B4964" s="296" t="s">
        <v>1736</v>
      </c>
      <c r="C4964" s="294"/>
      <c r="D4964" s="294"/>
      <c r="E4964" s="294"/>
      <c r="F4964" s="310"/>
      <c r="G4964" s="310"/>
      <c r="H4964" s="310"/>
      <c r="I4964" s="295"/>
      <c r="J4964" s="295"/>
      <c r="K4964" s="300">
        <f t="shared" si="640"/>
        <v>1.1000000000000001</v>
      </c>
      <c r="L4964" s="300">
        <f t="shared" si="636"/>
        <v>0</v>
      </c>
      <c r="M4964" s="285">
        <f t="shared" si="638"/>
        <v>0</v>
      </c>
      <c r="N4964" s="1076"/>
      <c r="O4964" s="294"/>
      <c r="P4964" s="404"/>
      <c r="Q4964" s="404"/>
    </row>
    <row r="4965" spans="1:17" ht="14.4" thickTop="1" thickBot="1" x14ac:dyDescent="0.3">
      <c r="A4965" s="292"/>
      <c r="B4965" s="296" t="s">
        <v>1733</v>
      </c>
      <c r="C4965" s="294"/>
      <c r="D4965" s="294"/>
      <c r="E4965" s="294"/>
      <c r="F4965" s="310">
        <f>concrete!C140</f>
        <v>0</v>
      </c>
      <c r="G4965" s="310"/>
      <c r="H4965" s="310"/>
      <c r="I4965" s="295"/>
      <c r="J4965" s="295">
        <f>F4965*M4948</f>
        <v>0</v>
      </c>
      <c r="K4965" s="300">
        <f t="shared" si="640"/>
        <v>1.1000000000000001</v>
      </c>
      <c r="L4965" s="300">
        <f t="shared" si="636"/>
        <v>0</v>
      </c>
      <c r="M4965" s="285">
        <f t="shared" si="638"/>
        <v>0</v>
      </c>
      <c r="N4965" s="1076"/>
      <c r="O4965" s="294"/>
      <c r="P4965" s="404"/>
      <c r="Q4965" s="404"/>
    </row>
    <row r="4966" spans="1:17" ht="14.4" thickTop="1" thickBot="1" x14ac:dyDescent="0.3">
      <c r="A4966" s="292"/>
      <c r="B4966" s="296"/>
      <c r="C4966" s="294"/>
      <c r="D4966" s="294"/>
      <c r="E4966" s="294"/>
      <c r="F4966" s="310"/>
      <c r="G4966" s="310"/>
      <c r="H4966" s="310"/>
      <c r="I4966" s="295"/>
      <c r="J4966" s="295"/>
      <c r="K4966" s="300">
        <f t="shared" si="640"/>
        <v>1.1000000000000001</v>
      </c>
      <c r="L4966" s="300">
        <f t="shared" si="636"/>
        <v>0</v>
      </c>
      <c r="M4966" s="285">
        <f t="shared" si="638"/>
        <v>0</v>
      </c>
      <c r="N4966" s="1076"/>
      <c r="O4966" s="294"/>
      <c r="P4966" s="404"/>
      <c r="Q4966" s="404"/>
    </row>
    <row r="4967" spans="1:17" ht="14.4" thickTop="1" thickBot="1" x14ac:dyDescent="0.3">
      <c r="A4967" s="292"/>
      <c r="B4967" s="302" t="s">
        <v>1751</v>
      </c>
      <c r="C4967" s="294"/>
      <c r="D4967" s="294"/>
      <c r="E4967" s="294"/>
      <c r="F4967" s="310"/>
      <c r="G4967" s="310"/>
      <c r="H4967" s="310"/>
      <c r="I4967" s="295"/>
      <c r="J4967" s="295"/>
      <c r="K4967" s="300">
        <f t="shared" si="640"/>
        <v>1.1000000000000001</v>
      </c>
      <c r="L4967" s="300">
        <f t="shared" si="636"/>
        <v>0</v>
      </c>
      <c r="M4967" s="285">
        <f t="shared" si="638"/>
        <v>0</v>
      </c>
      <c r="N4967" s="1076"/>
      <c r="O4967" s="294"/>
      <c r="P4967" s="404"/>
      <c r="Q4967" s="404"/>
    </row>
    <row r="4968" spans="1:17" ht="14.4" thickTop="1" thickBot="1" x14ac:dyDescent="0.3">
      <c r="A4968" s="292"/>
      <c r="B4968" s="296" t="s">
        <v>742</v>
      </c>
      <c r="C4968" s="294"/>
      <c r="D4968" s="294"/>
      <c r="E4968" s="294"/>
      <c r="F4968" s="310"/>
      <c r="G4968" s="310"/>
      <c r="H4968" s="310"/>
      <c r="I4968" s="295"/>
      <c r="J4968" s="295">
        <f>'bar schedule-wattala'!Z99</f>
        <v>77.522477522477516</v>
      </c>
      <c r="K4968" s="300">
        <f t="shared" si="640"/>
        <v>1.1000000000000001</v>
      </c>
      <c r="L4968" s="300">
        <f t="shared" si="636"/>
        <v>85.27472527472527</v>
      </c>
      <c r="M4968" s="285">
        <f t="shared" si="638"/>
        <v>85</v>
      </c>
      <c r="N4968" s="1076"/>
      <c r="O4968" s="294"/>
      <c r="P4968" s="404"/>
      <c r="Q4968" s="404"/>
    </row>
    <row r="4969" spans="1:17" ht="14.4" thickTop="1" thickBot="1" x14ac:dyDescent="0.3">
      <c r="A4969" s="292"/>
      <c r="B4969" s="296"/>
      <c r="C4969" s="294"/>
      <c r="D4969" s="294"/>
      <c r="E4969" s="294"/>
      <c r="F4969" s="310"/>
      <c r="G4969" s="310"/>
      <c r="H4969" s="310"/>
      <c r="I4969" s="295"/>
      <c r="J4969" s="295"/>
      <c r="K4969" s="300">
        <f t="shared" si="640"/>
        <v>1.1000000000000001</v>
      </c>
      <c r="L4969" s="300">
        <f t="shared" ref="L4969:L5032" si="641">K4969*J4969</f>
        <v>0</v>
      </c>
      <c r="M4969" s="285">
        <f t="shared" si="638"/>
        <v>0</v>
      </c>
      <c r="N4969" s="1076"/>
      <c r="O4969" s="294"/>
      <c r="P4969" s="404"/>
      <c r="Q4969" s="404"/>
    </row>
    <row r="4970" spans="1:17" ht="14.4" thickTop="1" thickBot="1" x14ac:dyDescent="0.3">
      <c r="A4970" s="292"/>
      <c r="B4970" s="296" t="s">
        <v>1535</v>
      </c>
      <c r="C4970" s="294"/>
      <c r="D4970" s="294"/>
      <c r="E4970" s="294"/>
      <c r="F4970" s="310"/>
      <c r="G4970" s="310"/>
      <c r="H4970" s="310"/>
      <c r="I4970" s="295"/>
      <c r="J4970" s="295">
        <f>'bar schedule-wattala'!Z108</f>
        <v>364.08036408036406</v>
      </c>
      <c r="K4970" s="300">
        <f t="shared" si="640"/>
        <v>1.1000000000000001</v>
      </c>
      <c r="L4970" s="300">
        <f t="shared" si="641"/>
        <v>400.48840048840049</v>
      </c>
      <c r="M4970" s="285">
        <f t="shared" si="638"/>
        <v>400</v>
      </c>
      <c r="N4970" s="1076"/>
      <c r="O4970" s="294"/>
      <c r="P4970" s="404"/>
      <c r="Q4970" s="404"/>
    </row>
    <row r="4971" spans="1:17" ht="14.4" thickTop="1" thickBot="1" x14ac:dyDescent="0.3">
      <c r="A4971" s="292"/>
      <c r="B4971" s="296"/>
      <c r="C4971" s="294"/>
      <c r="D4971" s="294"/>
      <c r="E4971" s="294"/>
      <c r="F4971" s="310"/>
      <c r="G4971" s="310"/>
      <c r="H4971" s="310"/>
      <c r="I4971" s="295"/>
      <c r="J4971" s="295"/>
      <c r="K4971" s="300">
        <f t="shared" si="640"/>
        <v>1.1000000000000001</v>
      </c>
      <c r="L4971" s="300">
        <f t="shared" si="641"/>
        <v>0</v>
      </c>
      <c r="M4971" s="285">
        <f t="shared" si="638"/>
        <v>0</v>
      </c>
      <c r="N4971" s="1076"/>
      <c r="O4971" s="294"/>
      <c r="P4971" s="404"/>
      <c r="Q4971" s="404"/>
    </row>
    <row r="4972" spans="1:17" ht="14.4" thickTop="1" thickBot="1" x14ac:dyDescent="0.3">
      <c r="A4972" s="292"/>
      <c r="B4972" s="296" t="s">
        <v>1752</v>
      </c>
      <c r="C4972" s="294"/>
      <c r="D4972" s="294"/>
      <c r="E4972" s="294"/>
      <c r="F4972" s="310"/>
      <c r="G4972" s="310"/>
      <c r="H4972" s="310"/>
      <c r="I4972" s="295"/>
      <c r="J4972" s="295">
        <f>'bar schedule-wattala'!Z116</f>
        <v>232.56743256743258</v>
      </c>
      <c r="K4972" s="300">
        <f t="shared" si="640"/>
        <v>1.1000000000000001</v>
      </c>
      <c r="L4972" s="300">
        <f t="shared" si="641"/>
        <v>255.82417582417585</v>
      </c>
      <c r="M4972" s="285">
        <f t="shared" si="638"/>
        <v>256</v>
      </c>
      <c r="N4972" s="1076"/>
      <c r="O4972" s="294"/>
      <c r="P4972" s="404"/>
      <c r="Q4972" s="404"/>
    </row>
    <row r="4973" spans="1:17" ht="14.4" thickTop="1" thickBot="1" x14ac:dyDescent="0.3">
      <c r="A4973" s="292"/>
      <c r="B4973" s="296"/>
      <c r="C4973" s="294"/>
      <c r="D4973" s="294"/>
      <c r="E4973" s="294"/>
      <c r="F4973" s="310"/>
      <c r="G4973" s="310"/>
      <c r="H4973" s="310"/>
      <c r="I4973" s="295"/>
      <c r="J4973" s="295"/>
      <c r="K4973" s="300">
        <f t="shared" si="640"/>
        <v>1.1000000000000001</v>
      </c>
      <c r="L4973" s="300">
        <f t="shared" si="641"/>
        <v>0</v>
      </c>
      <c r="M4973" s="285">
        <f t="shared" ref="M4973:M5036" si="642">ROUND(L4973,0)</f>
        <v>0</v>
      </c>
      <c r="N4973" s="1076"/>
      <c r="O4973" s="294"/>
      <c r="P4973" s="404"/>
      <c r="Q4973" s="404"/>
    </row>
    <row r="4974" spans="1:17" ht="14.4" thickTop="1" thickBot="1" x14ac:dyDescent="0.3">
      <c r="A4974" s="292"/>
      <c r="B4974" s="296" t="s">
        <v>1714</v>
      </c>
      <c r="C4974" s="294"/>
      <c r="D4974" s="294"/>
      <c r="E4974" s="294"/>
      <c r="F4974" s="310"/>
      <c r="G4974" s="310"/>
      <c r="H4974" s="310"/>
      <c r="I4974" s="295"/>
      <c r="J4974" s="295"/>
      <c r="K4974" s="300">
        <f t="shared" si="640"/>
        <v>1.1000000000000001</v>
      </c>
      <c r="L4974" s="300">
        <f t="shared" si="641"/>
        <v>0</v>
      </c>
      <c r="M4974" s="285">
        <f t="shared" si="642"/>
        <v>0</v>
      </c>
      <c r="N4974" s="1076"/>
      <c r="O4974" s="294"/>
      <c r="P4974" s="404"/>
      <c r="Q4974" s="404"/>
    </row>
    <row r="4975" spans="1:17" ht="14.4" thickTop="1" thickBot="1" x14ac:dyDescent="0.3">
      <c r="A4975" s="292"/>
      <c r="B4975" s="296" t="s">
        <v>1715</v>
      </c>
      <c r="C4975" s="294"/>
      <c r="D4975" s="294"/>
      <c r="E4975" s="294"/>
      <c r="F4975" s="310">
        <f>12.225*0.3*0.45</f>
        <v>1.6503749999999999</v>
      </c>
      <c r="G4975" s="310"/>
      <c r="H4975" s="310">
        <f>F4977/F4975</f>
        <v>17.608015790247102</v>
      </c>
      <c r="I4975" s="295"/>
      <c r="J4975" s="295"/>
      <c r="K4975" s="300">
        <f t="shared" si="640"/>
        <v>1.1000000000000001</v>
      </c>
      <c r="L4975" s="300">
        <f t="shared" si="641"/>
        <v>0</v>
      </c>
      <c r="M4975" s="285">
        <f t="shared" si="642"/>
        <v>0</v>
      </c>
      <c r="N4975" s="1076"/>
      <c r="O4975" s="294"/>
      <c r="P4975" s="404"/>
      <c r="Q4975" s="404"/>
    </row>
    <row r="4976" spans="1:17" ht="14.4" thickTop="1" thickBot="1" x14ac:dyDescent="0.3">
      <c r="A4976" s="292"/>
      <c r="B4976" s="296" t="s">
        <v>1538</v>
      </c>
      <c r="C4976" s="294"/>
      <c r="D4976" s="294"/>
      <c r="E4976" s="294"/>
      <c r="F4976" s="310">
        <f>'bar schedule-wattala'!Z124</f>
        <v>26.418026418026415</v>
      </c>
      <c r="G4976" s="310"/>
      <c r="H4976" s="310"/>
      <c r="I4976" s="295"/>
      <c r="J4976" s="295"/>
      <c r="K4976" s="300">
        <f t="shared" si="640"/>
        <v>1.1000000000000001</v>
      </c>
      <c r="L4976" s="300">
        <f t="shared" si="641"/>
        <v>0</v>
      </c>
      <c r="M4976" s="285">
        <f t="shared" si="642"/>
        <v>0</v>
      </c>
      <c r="N4976" s="1076"/>
      <c r="O4976" s="294"/>
      <c r="P4976" s="404"/>
      <c r="Q4976" s="404"/>
    </row>
    <row r="4977" spans="1:17" ht="14.4" thickTop="1" thickBot="1" x14ac:dyDescent="0.3">
      <c r="A4977" s="292"/>
      <c r="B4977" s="296"/>
      <c r="C4977" s="294"/>
      <c r="D4977" s="294"/>
      <c r="E4977" s="294"/>
      <c r="F4977" s="310">
        <f>F4976*1.1</f>
        <v>29.05982905982906</v>
      </c>
      <c r="G4977" s="310"/>
      <c r="H4977" s="310"/>
      <c r="I4977" s="295"/>
      <c r="J4977" s="295"/>
      <c r="K4977" s="300">
        <f t="shared" si="640"/>
        <v>1.1000000000000001</v>
      </c>
      <c r="L4977" s="300">
        <f t="shared" si="641"/>
        <v>0</v>
      </c>
      <c r="M4977" s="285">
        <f t="shared" si="642"/>
        <v>0</v>
      </c>
      <c r="N4977" s="1076"/>
      <c r="O4977" s="294"/>
      <c r="P4977" s="404"/>
      <c r="Q4977" s="404"/>
    </row>
    <row r="4978" spans="1:17" ht="14.4" thickTop="1" thickBot="1" x14ac:dyDescent="0.3">
      <c r="A4978" s="292"/>
      <c r="B4978" s="296" t="s">
        <v>1716</v>
      </c>
      <c r="C4978" s="294"/>
      <c r="D4978" s="294"/>
      <c r="E4978" s="294"/>
      <c r="F4978" s="310">
        <v>19</v>
      </c>
      <c r="G4978" s="310"/>
      <c r="H4978" s="310"/>
      <c r="I4978" s="295"/>
      <c r="J4978" s="295">
        <f>H4975*F4978</f>
        <v>334.55230001469494</v>
      </c>
      <c r="K4978" s="300">
        <v>1.1000000000000001</v>
      </c>
      <c r="L4978" s="300">
        <f t="shared" si="641"/>
        <v>368.00753001616448</v>
      </c>
      <c r="M4978" s="285">
        <f t="shared" si="642"/>
        <v>368</v>
      </c>
      <c r="N4978" s="1076"/>
      <c r="O4978" s="294"/>
      <c r="P4978" s="404">
        <f>M4978/F4978</f>
        <v>19.368421052631579</v>
      </c>
      <c r="Q4978" s="404"/>
    </row>
    <row r="4979" spans="1:17" ht="14.4" thickTop="1" thickBot="1" x14ac:dyDescent="0.3">
      <c r="A4979" s="292"/>
      <c r="B4979" s="296"/>
      <c r="C4979" s="294"/>
      <c r="D4979" s="294"/>
      <c r="E4979" s="294"/>
      <c r="F4979" s="310"/>
      <c r="G4979" s="310"/>
      <c r="H4979" s="310"/>
      <c r="I4979" s="295"/>
      <c r="J4979" s="295"/>
      <c r="K4979" s="300">
        <f t="shared" si="640"/>
        <v>1.1000000000000001</v>
      </c>
      <c r="L4979" s="300">
        <f t="shared" si="641"/>
        <v>0</v>
      </c>
      <c r="M4979" s="285">
        <f t="shared" si="642"/>
        <v>0</v>
      </c>
      <c r="N4979" s="1076"/>
      <c r="O4979" s="294"/>
      <c r="P4979" s="404"/>
      <c r="Q4979" s="404"/>
    </row>
    <row r="4980" spans="1:17" ht="14.4" thickTop="1" thickBot="1" x14ac:dyDescent="0.3">
      <c r="A4980" s="292"/>
      <c r="B4980" s="296" t="s">
        <v>1753</v>
      </c>
      <c r="C4980" s="294"/>
      <c r="D4980" s="294"/>
      <c r="E4980" s="294"/>
      <c r="F4980" s="310"/>
      <c r="G4980" s="310"/>
      <c r="H4980" s="310"/>
      <c r="I4980" s="295"/>
      <c r="J4980" s="295">
        <f>'bar schedule-wattala'!Z132</f>
        <v>170.82917082917081</v>
      </c>
      <c r="K4980" s="300">
        <f t="shared" si="640"/>
        <v>1.1000000000000001</v>
      </c>
      <c r="L4980" s="300">
        <f t="shared" si="641"/>
        <v>187.91208791208791</v>
      </c>
      <c r="M4980" s="285">
        <f t="shared" si="642"/>
        <v>188</v>
      </c>
      <c r="N4980" s="1076"/>
      <c r="O4980" s="294"/>
      <c r="P4980" s="404"/>
      <c r="Q4980" s="404"/>
    </row>
    <row r="4981" spans="1:17" ht="14.4" thickTop="1" thickBot="1" x14ac:dyDescent="0.3">
      <c r="A4981" s="292"/>
      <c r="B4981" s="296"/>
      <c r="C4981" s="294"/>
      <c r="D4981" s="294"/>
      <c r="E4981" s="294"/>
      <c r="F4981" s="310"/>
      <c r="G4981" s="310"/>
      <c r="H4981" s="310"/>
      <c r="I4981" s="295"/>
      <c r="J4981" s="295"/>
      <c r="K4981" s="300">
        <f t="shared" si="640"/>
        <v>1.1000000000000001</v>
      </c>
      <c r="L4981" s="300">
        <f t="shared" si="641"/>
        <v>0</v>
      </c>
      <c r="M4981" s="285">
        <f t="shared" si="642"/>
        <v>0</v>
      </c>
      <c r="N4981" s="1076"/>
      <c r="O4981" s="294"/>
      <c r="P4981" s="404"/>
      <c r="Q4981" s="404"/>
    </row>
    <row r="4982" spans="1:17" ht="14.4" thickTop="1" thickBot="1" x14ac:dyDescent="0.3">
      <c r="A4982" s="292"/>
      <c r="B4982" s="296"/>
      <c r="C4982" s="294"/>
      <c r="D4982" s="294"/>
      <c r="E4982" s="294"/>
      <c r="F4982" s="310"/>
      <c r="G4982" s="310"/>
      <c r="H4982" s="310"/>
      <c r="I4982" s="295"/>
      <c r="J4982" s="295"/>
      <c r="K4982" s="300">
        <f t="shared" si="640"/>
        <v>1.1000000000000001</v>
      </c>
      <c r="L4982" s="300">
        <f t="shared" si="641"/>
        <v>0</v>
      </c>
      <c r="M4982" s="285">
        <f t="shared" si="642"/>
        <v>0</v>
      </c>
      <c r="N4982" s="1076"/>
      <c r="O4982" s="294"/>
      <c r="P4982" s="404"/>
      <c r="Q4982" s="404"/>
    </row>
    <row r="4983" spans="1:17" ht="14.4" thickTop="1" thickBot="1" x14ac:dyDescent="0.3">
      <c r="A4983" s="292"/>
      <c r="B4983" s="296"/>
      <c r="C4983" s="294"/>
      <c r="D4983" s="294"/>
      <c r="E4983" s="294"/>
      <c r="F4983" s="310"/>
      <c r="G4983" s="310"/>
      <c r="H4983" s="310"/>
      <c r="I4983" s="295"/>
      <c r="J4983" s="295"/>
      <c r="K4983" s="300">
        <f t="shared" si="640"/>
        <v>1.1000000000000001</v>
      </c>
      <c r="L4983" s="300">
        <f t="shared" si="641"/>
        <v>0</v>
      </c>
      <c r="M4983" s="285">
        <f t="shared" si="642"/>
        <v>0</v>
      </c>
      <c r="N4983" s="1076"/>
      <c r="O4983" s="294"/>
      <c r="P4983" s="404"/>
      <c r="Q4983" s="404"/>
    </row>
    <row r="4984" spans="1:17" ht="14.4" thickTop="1" thickBot="1" x14ac:dyDescent="0.3">
      <c r="A4984" s="292"/>
      <c r="B4984" s="296"/>
      <c r="C4984" s="294"/>
      <c r="D4984" s="294"/>
      <c r="E4984" s="294"/>
      <c r="F4984" s="310"/>
      <c r="G4984" s="310"/>
      <c r="H4984" s="310"/>
      <c r="I4984" s="295"/>
      <c r="J4984" s="295"/>
      <c r="K4984" s="300">
        <f t="shared" si="640"/>
        <v>1.1000000000000001</v>
      </c>
      <c r="L4984" s="300">
        <f t="shared" si="641"/>
        <v>0</v>
      </c>
      <c r="M4984" s="285">
        <f t="shared" si="642"/>
        <v>0</v>
      </c>
      <c r="N4984" s="1076"/>
      <c r="O4984" s="294"/>
      <c r="P4984" s="404"/>
      <c r="Q4984" s="404"/>
    </row>
    <row r="4985" spans="1:17" ht="14.4" thickTop="1" thickBot="1" x14ac:dyDescent="0.3">
      <c r="A4985" s="292"/>
      <c r="B4985" s="296"/>
      <c r="C4985" s="294"/>
      <c r="D4985" s="294"/>
      <c r="E4985" s="294"/>
      <c r="F4985" s="310"/>
      <c r="G4985" s="310"/>
      <c r="H4985" s="310"/>
      <c r="I4985" s="295"/>
      <c r="J4985" s="295"/>
      <c r="K4985" s="300">
        <f t="shared" si="640"/>
        <v>1.1000000000000001</v>
      </c>
      <c r="L4985" s="300">
        <f t="shared" si="641"/>
        <v>0</v>
      </c>
      <c r="M4985" s="285">
        <f t="shared" si="642"/>
        <v>0</v>
      </c>
      <c r="N4985" s="1076"/>
      <c r="O4985" s="294"/>
      <c r="P4985" s="404"/>
      <c r="Q4985" s="404"/>
    </row>
    <row r="4986" spans="1:17" ht="14.4" thickTop="1" thickBot="1" x14ac:dyDescent="0.3">
      <c r="A4986" s="292"/>
      <c r="B4986" s="296"/>
      <c r="C4986" s="294"/>
      <c r="D4986" s="294"/>
      <c r="E4986" s="294"/>
      <c r="F4986" s="310"/>
      <c r="G4986" s="310"/>
      <c r="H4986" s="310"/>
      <c r="I4986" s="295"/>
      <c r="J4986" s="295"/>
      <c r="K4986" s="300">
        <f t="shared" si="640"/>
        <v>1.1000000000000001</v>
      </c>
      <c r="L4986" s="300">
        <f t="shared" si="641"/>
        <v>0</v>
      </c>
      <c r="M4986" s="285">
        <f t="shared" si="642"/>
        <v>0</v>
      </c>
      <c r="N4986" s="1076"/>
      <c r="O4986" s="294"/>
      <c r="P4986" s="404"/>
      <c r="Q4986" s="404"/>
    </row>
    <row r="4987" spans="1:17" ht="14.4" thickTop="1" thickBot="1" x14ac:dyDescent="0.3">
      <c r="A4987" s="292"/>
      <c r="B4987" s="296"/>
      <c r="C4987" s="294"/>
      <c r="D4987" s="294"/>
      <c r="E4987" s="294"/>
      <c r="F4987" s="310"/>
      <c r="G4987" s="310"/>
      <c r="H4987" s="310"/>
      <c r="I4987" s="295"/>
      <c r="J4987" s="295"/>
      <c r="K4987" s="300">
        <f t="shared" si="640"/>
        <v>1.1000000000000001</v>
      </c>
      <c r="L4987" s="300">
        <f t="shared" si="641"/>
        <v>0</v>
      </c>
      <c r="M4987" s="285">
        <f t="shared" si="642"/>
        <v>0</v>
      </c>
      <c r="N4987" s="1076"/>
      <c r="O4987" s="294"/>
      <c r="P4987" s="404"/>
      <c r="Q4987" s="404"/>
    </row>
    <row r="4988" spans="1:17" ht="14.4" thickTop="1" thickBot="1" x14ac:dyDescent="0.3">
      <c r="A4988" s="292"/>
      <c r="B4988" s="296"/>
      <c r="C4988" s="294"/>
      <c r="D4988" s="294"/>
      <c r="E4988" s="294"/>
      <c r="F4988" s="310"/>
      <c r="G4988" s="310"/>
      <c r="H4988" s="310"/>
      <c r="I4988" s="295"/>
      <c r="J4988" s="295"/>
      <c r="K4988" s="300">
        <f t="shared" si="640"/>
        <v>1.1000000000000001</v>
      </c>
      <c r="L4988" s="300">
        <f t="shared" si="641"/>
        <v>0</v>
      </c>
      <c r="M4988" s="285">
        <f t="shared" si="642"/>
        <v>0</v>
      </c>
      <c r="N4988" s="1076"/>
      <c r="O4988" s="294"/>
      <c r="P4988" s="404"/>
      <c r="Q4988" s="404"/>
    </row>
    <row r="4989" spans="1:17" ht="14.4" thickTop="1" thickBot="1" x14ac:dyDescent="0.3">
      <c r="A4989" s="292"/>
      <c r="B4989" s="296"/>
      <c r="C4989" s="294"/>
      <c r="D4989" s="294"/>
      <c r="E4989" s="294"/>
      <c r="F4989" s="310"/>
      <c r="G4989" s="310"/>
      <c r="H4989" s="310"/>
      <c r="I4989" s="295"/>
      <c r="J4989" s="295"/>
      <c r="K4989" s="300">
        <f t="shared" si="640"/>
        <v>1.1000000000000001</v>
      </c>
      <c r="L4989" s="300">
        <f t="shared" si="641"/>
        <v>0</v>
      </c>
      <c r="M4989" s="285">
        <f t="shared" si="642"/>
        <v>0</v>
      </c>
      <c r="N4989" s="1076"/>
      <c r="O4989" s="294"/>
      <c r="P4989" s="404"/>
      <c r="Q4989" s="404"/>
    </row>
    <row r="4990" spans="1:17" ht="14.4" thickTop="1" thickBot="1" x14ac:dyDescent="0.3">
      <c r="A4990" s="292"/>
      <c r="B4990" s="296"/>
      <c r="C4990" s="294"/>
      <c r="D4990" s="294"/>
      <c r="E4990" s="294"/>
      <c r="F4990" s="310"/>
      <c r="G4990" s="310"/>
      <c r="H4990" s="310"/>
      <c r="I4990" s="295"/>
      <c r="J4990" s="295"/>
      <c r="K4990" s="300">
        <f t="shared" si="640"/>
        <v>1.1000000000000001</v>
      </c>
      <c r="L4990" s="300">
        <f t="shared" si="641"/>
        <v>0</v>
      </c>
      <c r="M4990" s="285">
        <f t="shared" si="642"/>
        <v>0</v>
      </c>
      <c r="N4990" s="1076"/>
      <c r="O4990" s="294"/>
      <c r="P4990" s="404"/>
      <c r="Q4990" s="404"/>
    </row>
    <row r="4991" spans="1:17" ht="14.4" thickTop="1" thickBot="1" x14ac:dyDescent="0.3">
      <c r="A4991" s="292"/>
      <c r="B4991" s="296" t="s">
        <v>1741</v>
      </c>
      <c r="C4991" s="294"/>
      <c r="D4991" s="294"/>
      <c r="E4991" s="294"/>
      <c r="F4991" s="310"/>
      <c r="G4991" s="310"/>
      <c r="H4991" s="310"/>
      <c r="I4991" s="295"/>
      <c r="J4991" s="295"/>
      <c r="K4991" s="300">
        <f t="shared" si="640"/>
        <v>1.1000000000000001</v>
      </c>
      <c r="L4991" s="300">
        <f t="shared" si="641"/>
        <v>0</v>
      </c>
      <c r="M4991" s="285">
        <f t="shared" si="642"/>
        <v>0</v>
      </c>
      <c r="N4991" s="1076"/>
      <c r="O4991" s="294"/>
      <c r="P4991" s="404"/>
      <c r="Q4991" s="404"/>
    </row>
    <row r="4992" spans="1:17" ht="14.4" thickTop="1" thickBot="1" x14ac:dyDescent="0.3">
      <c r="A4992" s="292"/>
      <c r="B4992" s="296"/>
      <c r="C4992" s="294"/>
      <c r="D4992" s="294"/>
      <c r="E4992" s="294"/>
      <c r="F4992" s="310"/>
      <c r="G4992" s="310"/>
      <c r="H4992" s="310"/>
      <c r="I4992" s="295"/>
      <c r="J4992" s="295"/>
      <c r="K4992" s="300">
        <f t="shared" si="640"/>
        <v>1.1000000000000001</v>
      </c>
      <c r="L4992" s="300">
        <f t="shared" si="641"/>
        <v>0</v>
      </c>
      <c r="M4992" s="285">
        <f t="shared" si="642"/>
        <v>0</v>
      </c>
      <c r="N4992" s="1076"/>
      <c r="O4992" s="294"/>
      <c r="P4992" s="404"/>
      <c r="Q4992" s="404"/>
    </row>
    <row r="4993" spans="1:17" ht="14.4" thickTop="1" thickBot="1" x14ac:dyDescent="0.3">
      <c r="A4993" s="292"/>
      <c r="B4993" s="296" t="s">
        <v>870</v>
      </c>
      <c r="C4993" s="294"/>
      <c r="D4993" s="294"/>
      <c r="E4993" s="294"/>
      <c r="F4993" s="310">
        <f>5+0.6</f>
        <v>5.6</v>
      </c>
      <c r="G4993" s="310">
        <f>2+0.6</f>
        <v>2.6</v>
      </c>
      <c r="H4993" s="310">
        <f>1.3</f>
        <v>1.3</v>
      </c>
      <c r="I4993" s="295">
        <f>H4993*G4993*F4993</f>
        <v>18.928000000000001</v>
      </c>
      <c r="J4993" s="295">
        <f>I4993</f>
        <v>18.928000000000001</v>
      </c>
      <c r="K4993" s="300">
        <v>1</v>
      </c>
      <c r="L4993" s="300">
        <f t="shared" si="641"/>
        <v>18.928000000000001</v>
      </c>
      <c r="M4993" s="285">
        <f t="shared" si="642"/>
        <v>19</v>
      </c>
      <c r="N4993" s="1076"/>
      <c r="O4993" s="294"/>
      <c r="P4993" s="404"/>
      <c r="Q4993" s="404"/>
    </row>
    <row r="4994" spans="1:17" ht="14.4" thickTop="1" thickBot="1" x14ac:dyDescent="0.3">
      <c r="A4994" s="292"/>
      <c r="B4994" s="296" t="s">
        <v>571</v>
      </c>
      <c r="C4994" s="294"/>
      <c r="D4994" s="294"/>
      <c r="E4994" s="294"/>
      <c r="F4994" s="310"/>
      <c r="G4994" s="310"/>
      <c r="H4994" s="310"/>
      <c r="I4994" s="295"/>
      <c r="J4994" s="295"/>
      <c r="K4994" s="300">
        <f t="shared" si="640"/>
        <v>1.1000000000000001</v>
      </c>
      <c r="L4994" s="300">
        <f t="shared" si="641"/>
        <v>0</v>
      </c>
      <c r="M4994" s="285">
        <f t="shared" si="642"/>
        <v>0</v>
      </c>
      <c r="N4994" s="1076"/>
      <c r="O4994" s="294"/>
      <c r="P4994" s="404"/>
      <c r="Q4994" s="404"/>
    </row>
    <row r="4995" spans="1:17" ht="14.4" thickTop="1" thickBot="1" x14ac:dyDescent="0.3">
      <c r="A4995" s="292"/>
      <c r="B4995" s="296" t="s">
        <v>1742</v>
      </c>
      <c r="C4995" s="294"/>
      <c r="D4995" s="294"/>
      <c r="E4995" s="294"/>
      <c r="F4995" s="310">
        <f>F4993</f>
        <v>5.6</v>
      </c>
      <c r="G4995" s="310">
        <f>G4993</f>
        <v>2.6</v>
      </c>
      <c r="H4995" s="310">
        <v>0.2</v>
      </c>
      <c r="I4995" s="295">
        <f>H4995*G4995*F4995</f>
        <v>2.9119999999999999</v>
      </c>
      <c r="J4995" s="295"/>
      <c r="K4995" s="300">
        <f t="shared" si="640"/>
        <v>1.1000000000000001</v>
      </c>
      <c r="L4995" s="300">
        <f t="shared" si="641"/>
        <v>0</v>
      </c>
      <c r="M4995" s="285">
        <f t="shared" si="642"/>
        <v>0</v>
      </c>
      <c r="N4995" s="1076"/>
      <c r="O4995" s="294"/>
      <c r="P4995" s="404"/>
      <c r="Q4995" s="404"/>
    </row>
    <row r="4996" spans="1:17" ht="14.4" thickTop="1" thickBot="1" x14ac:dyDescent="0.3">
      <c r="A4996" s="292"/>
      <c r="B4996" s="296" t="s">
        <v>1743</v>
      </c>
      <c r="C4996" s="294"/>
      <c r="D4996" s="294"/>
      <c r="E4996" s="294">
        <v>2</v>
      </c>
      <c r="F4996" s="310">
        <f>5</f>
        <v>5</v>
      </c>
      <c r="G4996" s="310">
        <v>0.15</v>
      </c>
      <c r="H4996" s="310">
        <v>1.2</v>
      </c>
      <c r="I4996" s="295">
        <f>H4996*G4996*F4996*E4996</f>
        <v>1.7999999999999998</v>
      </c>
      <c r="J4996" s="295"/>
      <c r="K4996" s="300">
        <f t="shared" si="640"/>
        <v>1.1000000000000001</v>
      </c>
      <c r="L4996" s="300">
        <f t="shared" si="641"/>
        <v>0</v>
      </c>
      <c r="M4996" s="285">
        <f t="shared" si="642"/>
        <v>0</v>
      </c>
      <c r="N4996" s="1076"/>
      <c r="O4996" s="294"/>
      <c r="P4996" s="404"/>
      <c r="Q4996" s="404"/>
    </row>
    <row r="4997" spans="1:17" ht="14.4" thickTop="1" thickBot="1" x14ac:dyDescent="0.3">
      <c r="A4997" s="292"/>
      <c r="B4997" s="296"/>
      <c r="C4997" s="294"/>
      <c r="D4997" s="294"/>
      <c r="E4997" s="294">
        <v>2</v>
      </c>
      <c r="F4997" s="310">
        <v>2</v>
      </c>
      <c r="G4997" s="310">
        <v>0.15</v>
      </c>
      <c r="H4997" s="310">
        <v>1.2</v>
      </c>
      <c r="I4997" s="295">
        <f>H4997*G4997*F4997*E4997</f>
        <v>0.72</v>
      </c>
      <c r="J4997" s="295"/>
      <c r="K4997" s="300">
        <f t="shared" si="640"/>
        <v>1.1000000000000001</v>
      </c>
      <c r="L4997" s="300">
        <f t="shared" si="641"/>
        <v>0</v>
      </c>
      <c r="M4997" s="285">
        <f t="shared" si="642"/>
        <v>0</v>
      </c>
      <c r="N4997" s="1076"/>
      <c r="O4997" s="294"/>
      <c r="P4997" s="404"/>
      <c r="Q4997" s="404"/>
    </row>
    <row r="4998" spans="1:17" ht="14.4" thickTop="1" thickBot="1" x14ac:dyDescent="0.3">
      <c r="A4998" s="292"/>
      <c r="B4998" s="296" t="s">
        <v>1604</v>
      </c>
      <c r="C4998" s="294"/>
      <c r="D4998" s="294"/>
      <c r="E4998" s="294"/>
      <c r="F4998" s="310">
        <f>F4993</f>
        <v>5.6</v>
      </c>
      <c r="G4998" s="310">
        <f>G4993</f>
        <v>2.6</v>
      </c>
      <c r="H4998" s="310">
        <v>0.2</v>
      </c>
      <c r="I4998" s="295">
        <f>H4998*G4998*F4998</f>
        <v>2.9119999999999999</v>
      </c>
      <c r="J4998" s="295">
        <f>SUM(I4995:I4998)</f>
        <v>8.3439999999999994</v>
      </c>
      <c r="K4998" s="300">
        <v>1</v>
      </c>
      <c r="L4998" s="300">
        <f t="shared" si="641"/>
        <v>8.3439999999999994</v>
      </c>
      <c r="M4998" s="285">
        <f t="shared" si="642"/>
        <v>8</v>
      </c>
      <c r="N4998" s="1076"/>
      <c r="O4998" s="294"/>
      <c r="P4998" s="404"/>
      <c r="Q4998" s="404"/>
    </row>
    <row r="4999" spans="1:17" ht="14.4" thickTop="1" thickBot="1" x14ac:dyDescent="0.3">
      <c r="A4999" s="292"/>
      <c r="B4999" s="296"/>
      <c r="C4999" s="294"/>
      <c r="D4999" s="294"/>
      <c r="E4999" s="294"/>
      <c r="F4999" s="310"/>
      <c r="G4999" s="310"/>
      <c r="H4999" s="310"/>
      <c r="I4999" s="295"/>
      <c r="J4999" s="295"/>
      <c r="K4999" s="300">
        <f t="shared" si="640"/>
        <v>1.1000000000000001</v>
      </c>
      <c r="L4999" s="300">
        <f t="shared" si="641"/>
        <v>0</v>
      </c>
      <c r="M4999" s="285">
        <f t="shared" si="642"/>
        <v>0</v>
      </c>
      <c r="N4999" s="1076"/>
      <c r="O4999" s="294"/>
      <c r="P4999" s="404"/>
      <c r="Q4999" s="404"/>
    </row>
    <row r="5000" spans="1:17" ht="14.4" thickTop="1" thickBot="1" x14ac:dyDescent="0.3">
      <c r="A5000" s="292"/>
      <c r="B5000" s="296" t="s">
        <v>1532</v>
      </c>
      <c r="C5000" s="294"/>
      <c r="D5000" s="294"/>
      <c r="E5000" s="294"/>
      <c r="F5000" s="310"/>
      <c r="G5000" s="310"/>
      <c r="H5000" s="310"/>
      <c r="I5000" s="295"/>
      <c r="J5000" s="295"/>
      <c r="K5000" s="300">
        <f t="shared" si="640"/>
        <v>1.1000000000000001</v>
      </c>
      <c r="L5000" s="300">
        <f t="shared" si="641"/>
        <v>0</v>
      </c>
      <c r="M5000" s="285">
        <f t="shared" si="642"/>
        <v>0</v>
      </c>
      <c r="N5000" s="1076"/>
      <c r="O5000" s="294"/>
      <c r="P5000" s="404"/>
      <c r="Q5000" s="404"/>
    </row>
    <row r="5001" spans="1:17" ht="14.4" thickTop="1" thickBot="1" x14ac:dyDescent="0.3">
      <c r="A5001" s="292"/>
      <c r="B5001" s="296" t="s">
        <v>1605</v>
      </c>
      <c r="C5001" s="294"/>
      <c r="D5001" s="294"/>
      <c r="E5001" s="294">
        <v>2</v>
      </c>
      <c r="F5001" s="310">
        <f>F4995</f>
        <v>5.6</v>
      </c>
      <c r="G5001" s="310"/>
      <c r="H5001" s="310">
        <f>H4995</f>
        <v>0.2</v>
      </c>
      <c r="I5001" s="295">
        <f>H5001*F5001*E5001</f>
        <v>2.2399999999999998</v>
      </c>
      <c r="J5001" s="295"/>
      <c r="K5001" s="300">
        <f t="shared" si="640"/>
        <v>1.1000000000000001</v>
      </c>
      <c r="L5001" s="300">
        <f t="shared" si="641"/>
        <v>0</v>
      </c>
      <c r="M5001" s="285">
        <f t="shared" si="642"/>
        <v>0</v>
      </c>
      <c r="N5001" s="1076"/>
      <c r="O5001" s="294"/>
      <c r="P5001" s="404"/>
      <c r="Q5001" s="404"/>
    </row>
    <row r="5002" spans="1:17" ht="14.4" thickTop="1" thickBot="1" x14ac:dyDescent="0.3">
      <c r="A5002" s="292"/>
      <c r="B5002" s="296"/>
      <c r="C5002" s="294"/>
      <c r="D5002" s="294"/>
      <c r="E5002" s="294">
        <v>2</v>
      </c>
      <c r="F5002" s="310">
        <f>G4995</f>
        <v>2.6</v>
      </c>
      <c r="G5002" s="310"/>
      <c r="H5002" s="310">
        <f>H4995</f>
        <v>0.2</v>
      </c>
      <c r="I5002" s="295">
        <f t="shared" ref="I5002:I5004" si="643">H5002*F5002*E5002</f>
        <v>1.04</v>
      </c>
      <c r="J5002" s="295"/>
      <c r="K5002" s="300">
        <f t="shared" si="640"/>
        <v>1.1000000000000001</v>
      </c>
      <c r="L5002" s="300">
        <f t="shared" si="641"/>
        <v>0</v>
      </c>
      <c r="M5002" s="285">
        <f t="shared" si="642"/>
        <v>0</v>
      </c>
      <c r="N5002" s="1076"/>
      <c r="O5002" s="294"/>
      <c r="P5002" s="404"/>
      <c r="Q5002" s="404"/>
    </row>
    <row r="5003" spans="1:17" ht="14.4" thickTop="1" thickBot="1" x14ac:dyDescent="0.3">
      <c r="A5003" s="292"/>
      <c r="B5003" s="296" t="s">
        <v>800</v>
      </c>
      <c r="C5003" s="294"/>
      <c r="D5003" s="294"/>
      <c r="E5003" s="294">
        <v>4</v>
      </c>
      <c r="F5003" s="310">
        <f>F4996</f>
        <v>5</v>
      </c>
      <c r="G5003" s="310"/>
      <c r="H5003" s="310">
        <f>H4996</f>
        <v>1.2</v>
      </c>
      <c r="I5003" s="295">
        <f t="shared" si="643"/>
        <v>24</v>
      </c>
      <c r="J5003" s="295"/>
      <c r="K5003" s="300">
        <f t="shared" si="640"/>
        <v>1.1000000000000001</v>
      </c>
      <c r="L5003" s="300">
        <f t="shared" si="641"/>
        <v>0</v>
      </c>
      <c r="M5003" s="285">
        <f t="shared" si="642"/>
        <v>0</v>
      </c>
      <c r="N5003" s="1076"/>
      <c r="O5003" s="294"/>
      <c r="P5003" s="404"/>
      <c r="Q5003" s="404"/>
    </row>
    <row r="5004" spans="1:17" ht="14.4" thickTop="1" thickBot="1" x14ac:dyDescent="0.3">
      <c r="A5004" s="292"/>
      <c r="B5004" s="296"/>
      <c r="C5004" s="294"/>
      <c r="D5004" s="294"/>
      <c r="E5004" s="294">
        <v>4</v>
      </c>
      <c r="F5004" s="310">
        <f>F4997</f>
        <v>2</v>
      </c>
      <c r="G5004" s="310"/>
      <c r="H5004" s="310">
        <f>H4997</f>
        <v>1.2</v>
      </c>
      <c r="I5004" s="295">
        <f t="shared" si="643"/>
        <v>9.6</v>
      </c>
      <c r="J5004" s="295">
        <f>SUM(I5001:I5004)</f>
        <v>36.880000000000003</v>
      </c>
      <c r="K5004" s="300">
        <v>1</v>
      </c>
      <c r="L5004" s="300">
        <f t="shared" si="641"/>
        <v>36.880000000000003</v>
      </c>
      <c r="M5004" s="285">
        <f t="shared" si="642"/>
        <v>37</v>
      </c>
      <c r="N5004" s="1076"/>
      <c r="O5004" s="294"/>
      <c r="P5004" s="404"/>
      <c r="Q5004" s="404"/>
    </row>
    <row r="5005" spans="1:17" ht="14.4" thickTop="1" thickBot="1" x14ac:dyDescent="0.3">
      <c r="A5005" s="292"/>
      <c r="B5005" s="296"/>
      <c r="C5005" s="294"/>
      <c r="D5005" s="294"/>
      <c r="E5005" s="294"/>
      <c r="F5005" s="310"/>
      <c r="G5005" s="310"/>
      <c r="H5005" s="310"/>
      <c r="I5005" s="295"/>
      <c r="J5005" s="295"/>
      <c r="K5005" s="300">
        <f t="shared" si="640"/>
        <v>1.1000000000000001</v>
      </c>
      <c r="L5005" s="300">
        <f t="shared" si="641"/>
        <v>0</v>
      </c>
      <c r="M5005" s="285">
        <f t="shared" si="642"/>
        <v>0</v>
      </c>
      <c r="N5005" s="1076"/>
      <c r="O5005" s="294"/>
      <c r="P5005" s="404"/>
      <c r="Q5005" s="404"/>
    </row>
    <row r="5006" spans="1:17" ht="14.4" thickTop="1" thickBot="1" x14ac:dyDescent="0.3">
      <c r="A5006" s="292"/>
      <c r="B5006" s="296" t="s">
        <v>1744</v>
      </c>
      <c r="C5006" s="294"/>
      <c r="D5006" s="294"/>
      <c r="E5006" s="294"/>
      <c r="F5006" s="310">
        <f>F4993</f>
        <v>5.6</v>
      </c>
      <c r="G5006" s="310">
        <f>G4993</f>
        <v>2.6</v>
      </c>
      <c r="H5006" s="310"/>
      <c r="I5006" s="295">
        <f>G5006*F5006</f>
        <v>14.559999999999999</v>
      </c>
      <c r="J5006" s="295">
        <f>I5006</f>
        <v>14.559999999999999</v>
      </c>
      <c r="K5006" s="300">
        <f t="shared" si="640"/>
        <v>1.1000000000000001</v>
      </c>
      <c r="L5006" s="300">
        <f t="shared" si="641"/>
        <v>16.015999999999998</v>
      </c>
      <c r="M5006" s="285">
        <f t="shared" si="642"/>
        <v>16</v>
      </c>
      <c r="N5006" s="1076"/>
      <c r="O5006" s="294"/>
      <c r="P5006" s="404"/>
      <c r="Q5006" s="404"/>
    </row>
    <row r="5007" spans="1:17" ht="14.4" thickTop="1" thickBot="1" x14ac:dyDescent="0.3">
      <c r="A5007" s="292"/>
      <c r="B5007" s="296"/>
      <c r="C5007" s="294"/>
      <c r="D5007" s="294"/>
      <c r="E5007" s="294"/>
      <c r="F5007" s="310"/>
      <c r="G5007" s="310"/>
      <c r="H5007" s="310"/>
      <c r="I5007" s="295"/>
      <c r="J5007" s="295"/>
      <c r="K5007" s="300">
        <f t="shared" si="640"/>
        <v>1.1000000000000001</v>
      </c>
      <c r="L5007" s="300">
        <f t="shared" si="641"/>
        <v>0</v>
      </c>
      <c r="M5007" s="285">
        <f t="shared" si="642"/>
        <v>0</v>
      </c>
      <c r="N5007" s="1076"/>
      <c r="O5007" s="294"/>
      <c r="P5007" s="404"/>
      <c r="Q5007" s="404"/>
    </row>
    <row r="5008" spans="1:17" ht="14.4" thickTop="1" thickBot="1" x14ac:dyDescent="0.3">
      <c r="A5008" s="292"/>
      <c r="B5008" s="296" t="s">
        <v>1745</v>
      </c>
      <c r="C5008" s="294"/>
      <c r="D5008" s="294"/>
      <c r="E5008" s="294"/>
      <c r="F5008" s="310"/>
      <c r="G5008" s="310"/>
      <c r="H5008" s="310"/>
      <c r="I5008" s="295">
        <f>J4998*80</f>
        <v>667.52</v>
      </c>
      <c r="J5008" s="295">
        <f>I5008</f>
        <v>667.52</v>
      </c>
      <c r="K5008" s="300">
        <v>1</v>
      </c>
      <c r="L5008" s="300">
        <f t="shared" si="641"/>
        <v>667.52</v>
      </c>
      <c r="M5008" s="285">
        <f t="shared" si="642"/>
        <v>668</v>
      </c>
      <c r="N5008" s="1076"/>
      <c r="O5008" s="294"/>
      <c r="P5008" s="404"/>
      <c r="Q5008" s="404"/>
    </row>
    <row r="5009" spans="1:17" ht="14.4" thickTop="1" thickBot="1" x14ac:dyDescent="0.3">
      <c r="A5009" s="292"/>
      <c r="B5009" s="296"/>
      <c r="C5009" s="294"/>
      <c r="D5009" s="294"/>
      <c r="E5009" s="294"/>
      <c r="F5009" s="310"/>
      <c r="G5009" s="310"/>
      <c r="H5009" s="310"/>
      <c r="I5009" s="295"/>
      <c r="J5009" s="295"/>
      <c r="K5009" s="300">
        <f t="shared" si="640"/>
        <v>1.1000000000000001</v>
      </c>
      <c r="L5009" s="300">
        <f t="shared" si="641"/>
        <v>0</v>
      </c>
      <c r="M5009" s="285">
        <f t="shared" si="642"/>
        <v>0</v>
      </c>
      <c r="N5009" s="1076"/>
      <c r="O5009" s="294"/>
      <c r="P5009" s="404"/>
      <c r="Q5009" s="404"/>
    </row>
    <row r="5010" spans="1:17" ht="14.4" thickTop="1" thickBot="1" x14ac:dyDescent="0.3">
      <c r="A5010" s="292"/>
      <c r="B5010" s="296" t="s">
        <v>1746</v>
      </c>
      <c r="C5010" s="294"/>
      <c r="D5010" s="294"/>
      <c r="E5010" s="294"/>
      <c r="F5010" s="310"/>
      <c r="G5010" s="310"/>
      <c r="H5010" s="310"/>
      <c r="I5010" s="295"/>
      <c r="J5010" s="295"/>
      <c r="K5010" s="300">
        <f t="shared" si="640"/>
        <v>1.1000000000000001</v>
      </c>
      <c r="L5010" s="300">
        <f t="shared" si="641"/>
        <v>0</v>
      </c>
      <c r="M5010" s="285">
        <f t="shared" si="642"/>
        <v>0</v>
      </c>
      <c r="N5010" s="1076"/>
      <c r="O5010" s="294"/>
      <c r="P5010" s="404"/>
      <c r="Q5010" s="404"/>
    </row>
    <row r="5011" spans="1:17" ht="14.4" thickTop="1" thickBot="1" x14ac:dyDescent="0.3">
      <c r="A5011" s="292"/>
      <c r="B5011" s="296" t="s">
        <v>1738</v>
      </c>
      <c r="C5011" s="294"/>
      <c r="D5011" s="294"/>
      <c r="E5011" s="294"/>
      <c r="F5011" s="310">
        <f>F5004</f>
        <v>2</v>
      </c>
      <c r="G5011" s="310">
        <f>F5003</f>
        <v>5</v>
      </c>
      <c r="H5011" s="310"/>
      <c r="I5011" s="295">
        <f>G5011*F5011</f>
        <v>10</v>
      </c>
      <c r="J5011" s="295"/>
      <c r="K5011" s="300">
        <f t="shared" si="640"/>
        <v>1.1000000000000001</v>
      </c>
      <c r="L5011" s="300">
        <f t="shared" si="641"/>
        <v>0</v>
      </c>
      <c r="M5011" s="285">
        <f t="shared" si="642"/>
        <v>0</v>
      </c>
      <c r="N5011" s="1076"/>
      <c r="O5011" s="294"/>
      <c r="P5011" s="404"/>
      <c r="Q5011" s="404"/>
    </row>
    <row r="5012" spans="1:17" ht="14.4" thickTop="1" thickBot="1" x14ac:dyDescent="0.3">
      <c r="A5012" s="292"/>
      <c r="B5012" s="296" t="s">
        <v>800</v>
      </c>
      <c r="C5012" s="294"/>
      <c r="D5012" s="294"/>
      <c r="E5012" s="294">
        <v>2</v>
      </c>
      <c r="F5012" s="310">
        <f>F5011</f>
        <v>2</v>
      </c>
      <c r="G5012" s="310"/>
      <c r="H5012" s="310">
        <v>1.2</v>
      </c>
      <c r="I5012" s="295">
        <f>H5012*F5012*E5012</f>
        <v>4.8</v>
      </c>
      <c r="J5012" s="295"/>
      <c r="K5012" s="300">
        <f t="shared" si="640"/>
        <v>1.1000000000000001</v>
      </c>
      <c r="L5012" s="300">
        <f t="shared" si="641"/>
        <v>0</v>
      </c>
      <c r="M5012" s="285">
        <f t="shared" si="642"/>
        <v>0</v>
      </c>
      <c r="N5012" s="1076"/>
      <c r="O5012" s="294"/>
      <c r="P5012" s="404"/>
      <c r="Q5012" s="404"/>
    </row>
    <row r="5013" spans="1:17" ht="14.4" thickTop="1" thickBot="1" x14ac:dyDescent="0.3">
      <c r="A5013" s="292"/>
      <c r="B5013" s="296"/>
      <c r="C5013" s="294"/>
      <c r="D5013" s="294"/>
      <c r="E5013" s="294">
        <v>2</v>
      </c>
      <c r="F5013" s="310">
        <f>G5011</f>
        <v>5</v>
      </c>
      <c r="G5013" s="310"/>
      <c r="H5013" s="310">
        <v>1.2</v>
      </c>
      <c r="I5013" s="295">
        <f>H5013*F5013*E5013</f>
        <v>12</v>
      </c>
      <c r="J5013" s="295">
        <f>SUM(I5011:I5013)</f>
        <v>26.8</v>
      </c>
      <c r="K5013" s="300">
        <v>1</v>
      </c>
      <c r="L5013" s="300">
        <f t="shared" si="641"/>
        <v>26.8</v>
      </c>
      <c r="M5013" s="285">
        <f t="shared" si="642"/>
        <v>27</v>
      </c>
      <c r="N5013" s="1076"/>
      <c r="O5013" s="294"/>
      <c r="P5013" s="404"/>
      <c r="Q5013" s="404"/>
    </row>
    <row r="5014" spans="1:17" ht="14.4" thickTop="1" thickBot="1" x14ac:dyDescent="0.3">
      <c r="A5014" s="292"/>
      <c r="B5014" s="296"/>
      <c r="C5014" s="294"/>
      <c r="D5014" s="294"/>
      <c r="E5014" s="294"/>
      <c r="F5014" s="310"/>
      <c r="G5014" s="310"/>
      <c r="H5014" s="310"/>
      <c r="I5014" s="295"/>
      <c r="J5014" s="295"/>
      <c r="K5014" s="300">
        <f t="shared" si="640"/>
        <v>1.1000000000000001</v>
      </c>
      <c r="L5014" s="300">
        <f t="shared" si="641"/>
        <v>0</v>
      </c>
      <c r="M5014" s="285">
        <f t="shared" si="642"/>
        <v>0</v>
      </c>
      <c r="N5014" s="1076"/>
      <c r="O5014" s="294"/>
      <c r="P5014" s="404"/>
      <c r="Q5014" s="404"/>
    </row>
    <row r="5015" spans="1:17" ht="14.4" thickTop="1" thickBot="1" x14ac:dyDescent="0.3">
      <c r="A5015" s="292"/>
      <c r="B5015" s="296"/>
      <c r="C5015" s="294"/>
      <c r="D5015" s="294"/>
      <c r="E5015" s="294"/>
      <c r="F5015" s="310"/>
      <c r="G5015" s="310"/>
      <c r="H5015" s="310"/>
      <c r="I5015" s="295"/>
      <c r="J5015" s="295"/>
      <c r="K5015" s="300">
        <v>1</v>
      </c>
      <c r="L5015" s="300">
        <f t="shared" si="641"/>
        <v>0</v>
      </c>
      <c r="M5015" s="285">
        <f t="shared" si="642"/>
        <v>0</v>
      </c>
      <c r="N5015" s="1076"/>
      <c r="O5015" s="294"/>
      <c r="P5015" s="404"/>
      <c r="Q5015" s="404"/>
    </row>
    <row r="5016" spans="1:17" ht="14.4" thickTop="1" thickBot="1" x14ac:dyDescent="0.3">
      <c r="A5016" s="292"/>
      <c r="B5016" s="296" t="str">
        <f>B4993</f>
        <v>EXCAVATION</v>
      </c>
      <c r="C5016" s="294"/>
      <c r="D5016" s="294"/>
      <c r="E5016" s="294"/>
      <c r="F5016" s="310">
        <f>L4993</f>
        <v>18.928000000000001</v>
      </c>
      <c r="G5016" s="310"/>
      <c r="H5016" s="310">
        <f>exca!E22/2.83</f>
        <v>0</v>
      </c>
      <c r="I5016" s="295"/>
      <c r="J5016" s="295">
        <f>H5016*F5016</f>
        <v>0</v>
      </c>
      <c r="K5016" s="300">
        <v>1</v>
      </c>
      <c r="L5016" s="300">
        <f t="shared" si="641"/>
        <v>0</v>
      </c>
      <c r="M5016" s="285">
        <f t="shared" si="642"/>
        <v>0</v>
      </c>
      <c r="N5016" s="1076"/>
      <c r="O5016" s="294"/>
      <c r="P5016" s="404"/>
      <c r="Q5016" s="404"/>
    </row>
    <row r="5017" spans="1:17" ht="14.4" thickTop="1" thickBot="1" x14ac:dyDescent="0.3">
      <c r="A5017" s="292"/>
      <c r="B5017" s="296" t="str">
        <f>B4994</f>
        <v>CONCRETE</v>
      </c>
      <c r="C5017" s="294"/>
      <c r="D5017" s="294"/>
      <c r="E5017" s="294"/>
      <c r="F5017" s="310">
        <f>L4998</f>
        <v>8.3439999999999994</v>
      </c>
      <c r="G5017" s="310"/>
      <c r="H5017" s="310" t="e">
        <f>concrete!E95/2.83</f>
        <v>#REF!</v>
      </c>
      <c r="I5017" s="295"/>
      <c r="J5017" s="295" t="e">
        <f t="shared" ref="J5017:J5021" si="644">H5017*F5017</f>
        <v>#REF!</v>
      </c>
      <c r="K5017" s="300">
        <v>1</v>
      </c>
      <c r="L5017" s="300" t="e">
        <f t="shared" si="641"/>
        <v>#REF!</v>
      </c>
      <c r="M5017" s="285" t="e">
        <f t="shared" si="642"/>
        <v>#REF!</v>
      </c>
      <c r="N5017" s="1076"/>
      <c r="O5017" s="294"/>
      <c r="P5017" s="404"/>
      <c r="Q5017" s="404"/>
    </row>
    <row r="5018" spans="1:17" ht="14.4" thickTop="1" thickBot="1" x14ac:dyDescent="0.3">
      <c r="A5018" s="292"/>
      <c r="B5018" s="296" t="str">
        <f>B5000</f>
        <v>form work</v>
      </c>
      <c r="C5018" s="294"/>
      <c r="D5018" s="294"/>
      <c r="E5018" s="294"/>
      <c r="F5018" s="310">
        <f>J5004</f>
        <v>36.880000000000003</v>
      </c>
      <c r="G5018" s="310"/>
      <c r="H5018" s="310">
        <f>concrete!E230/9.29</f>
        <v>0</v>
      </c>
      <c r="I5018" s="295"/>
      <c r="J5018" s="295">
        <f t="shared" si="644"/>
        <v>0</v>
      </c>
      <c r="K5018" s="300">
        <v>1</v>
      </c>
      <c r="L5018" s="300">
        <f t="shared" si="641"/>
        <v>0</v>
      </c>
      <c r="M5018" s="285">
        <f t="shared" si="642"/>
        <v>0</v>
      </c>
      <c r="N5018" s="1076"/>
      <c r="O5018" s="294"/>
      <c r="P5018" s="404"/>
      <c r="Q5018" s="404"/>
    </row>
    <row r="5019" spans="1:17" ht="14.4" thickTop="1" thickBot="1" x14ac:dyDescent="0.3">
      <c r="A5019" s="292"/>
      <c r="B5019" s="296" t="str">
        <f>B5006</f>
        <v>screed</v>
      </c>
      <c r="C5019" s="294"/>
      <c r="D5019" s="294"/>
      <c r="E5019" s="294"/>
      <c r="F5019" s="310">
        <f>J5006</f>
        <v>14.559999999999999</v>
      </c>
      <c r="G5019" s="310"/>
      <c r="H5019" s="310" t="e">
        <f>concrete!E25/9.29</f>
        <v>#REF!</v>
      </c>
      <c r="I5019" s="295"/>
      <c r="J5019" s="295" t="e">
        <f t="shared" si="644"/>
        <v>#REF!</v>
      </c>
      <c r="K5019" s="300">
        <v>1</v>
      </c>
      <c r="L5019" s="300" t="e">
        <f t="shared" si="641"/>
        <v>#REF!</v>
      </c>
      <c r="M5019" s="285" t="e">
        <f t="shared" si="642"/>
        <v>#REF!</v>
      </c>
      <c r="N5019" s="1076"/>
      <c r="O5019" s="294"/>
      <c r="P5019" s="404"/>
      <c r="Q5019" s="404"/>
    </row>
    <row r="5020" spans="1:17" ht="14.4" thickTop="1" thickBot="1" x14ac:dyDescent="0.3">
      <c r="A5020" s="292"/>
      <c r="B5020" s="296" t="str">
        <f>B5008</f>
        <v>Rf</v>
      </c>
      <c r="C5020" s="294"/>
      <c r="D5020" s="294"/>
      <c r="E5020" s="294"/>
      <c r="F5020" s="310">
        <f>J5008</f>
        <v>667.52</v>
      </c>
      <c r="G5020" s="310"/>
      <c r="H5020" s="310" t="e">
        <f>concrete!E242</f>
        <v>#REF!</v>
      </c>
      <c r="I5020" s="295"/>
      <c r="J5020" s="295" t="e">
        <f t="shared" si="644"/>
        <v>#REF!</v>
      </c>
      <c r="K5020" s="300">
        <v>1</v>
      </c>
      <c r="L5020" s="300" t="e">
        <f t="shared" si="641"/>
        <v>#REF!</v>
      </c>
      <c r="M5020" s="285" t="e">
        <f t="shared" si="642"/>
        <v>#REF!</v>
      </c>
      <c r="N5020" s="1076"/>
      <c r="O5020" s="294"/>
      <c r="P5020" s="404"/>
      <c r="Q5020" s="404"/>
    </row>
    <row r="5021" spans="1:17" ht="14.4" thickTop="1" thickBot="1" x14ac:dyDescent="0.3">
      <c r="A5021" s="292"/>
      <c r="B5021" s="296" t="str">
        <f>B5010</f>
        <v>waterproof</v>
      </c>
      <c r="C5021" s="294"/>
      <c r="D5021" s="294"/>
      <c r="E5021" s="294"/>
      <c r="F5021" s="310">
        <f>J5013</f>
        <v>26.8</v>
      </c>
      <c r="G5021" s="310"/>
      <c r="H5021" s="310">
        <f>waterprof!E40</f>
        <v>0</v>
      </c>
      <c r="I5021" s="295"/>
      <c r="J5021" s="295">
        <f t="shared" si="644"/>
        <v>0</v>
      </c>
      <c r="K5021" s="300">
        <v>1</v>
      </c>
      <c r="L5021" s="300">
        <f t="shared" si="641"/>
        <v>0</v>
      </c>
      <c r="M5021" s="285">
        <f t="shared" si="642"/>
        <v>0</v>
      </c>
      <c r="N5021" s="1076"/>
      <c r="O5021" s="294"/>
      <c r="P5021" s="404"/>
      <c r="Q5021" s="404"/>
    </row>
    <row r="5022" spans="1:17" ht="14.4" thickTop="1" thickBot="1" x14ac:dyDescent="0.3">
      <c r="A5022" s="292"/>
      <c r="B5022" s="296"/>
      <c r="C5022" s="294"/>
      <c r="D5022" s="294"/>
      <c r="E5022" s="294"/>
      <c r="F5022" s="310"/>
      <c r="G5022" s="310"/>
      <c r="H5022" s="310"/>
      <c r="I5022" s="295"/>
      <c r="J5022" s="295"/>
      <c r="K5022" s="300">
        <v>1</v>
      </c>
      <c r="L5022" s="300">
        <f t="shared" si="641"/>
        <v>0</v>
      </c>
      <c r="M5022" s="285">
        <f t="shared" si="642"/>
        <v>0</v>
      </c>
      <c r="N5022" s="1076"/>
      <c r="O5022" s="294"/>
      <c r="P5022" s="404"/>
      <c r="Q5022" s="404"/>
    </row>
    <row r="5023" spans="1:17" ht="14.4" thickTop="1" thickBot="1" x14ac:dyDescent="0.3">
      <c r="A5023" s="292"/>
      <c r="B5023" s="296"/>
      <c r="C5023" s="294"/>
      <c r="D5023" s="294"/>
      <c r="E5023" s="294"/>
      <c r="F5023" s="310"/>
      <c r="G5023" s="310"/>
      <c r="H5023" s="310"/>
      <c r="I5023" s="295"/>
      <c r="J5023" s="295" t="e">
        <f>SUM(J5016:J5022)</f>
        <v>#REF!</v>
      </c>
      <c r="K5023" s="300">
        <v>1</v>
      </c>
      <c r="L5023" s="300" t="e">
        <f t="shared" si="641"/>
        <v>#REF!</v>
      </c>
      <c r="M5023" s="285" t="e">
        <f t="shared" si="642"/>
        <v>#REF!</v>
      </c>
      <c r="N5023" s="1076"/>
      <c r="O5023" s="294"/>
      <c r="P5023" s="404"/>
      <c r="Q5023" s="404"/>
    </row>
    <row r="5024" spans="1:17" ht="14.4" thickTop="1" thickBot="1" x14ac:dyDescent="0.3">
      <c r="A5024" s="292"/>
      <c r="B5024" s="296"/>
      <c r="C5024" s="294"/>
      <c r="D5024" s="294"/>
      <c r="E5024" s="294"/>
      <c r="F5024" s="310"/>
      <c r="G5024" s="310"/>
      <c r="H5024" s="310"/>
      <c r="I5024" s="295"/>
      <c r="J5024" s="295"/>
      <c r="K5024" s="300">
        <f t="shared" si="640"/>
        <v>1.1000000000000001</v>
      </c>
      <c r="L5024" s="300">
        <f t="shared" si="641"/>
        <v>0</v>
      </c>
      <c r="M5024" s="285">
        <f t="shared" si="642"/>
        <v>0</v>
      </c>
      <c r="N5024" s="1076"/>
      <c r="O5024" s="294"/>
      <c r="P5024" s="404"/>
      <c r="Q5024" s="404"/>
    </row>
    <row r="5025" spans="1:17" ht="14.4" thickTop="1" thickBot="1" x14ac:dyDescent="0.3">
      <c r="A5025" s="292"/>
      <c r="B5025" s="296"/>
      <c r="C5025" s="294"/>
      <c r="D5025" s="294"/>
      <c r="E5025" s="294"/>
      <c r="F5025" s="310"/>
      <c r="G5025" s="310"/>
      <c r="H5025" s="310"/>
      <c r="I5025" s="295"/>
      <c r="J5025" s="295"/>
      <c r="K5025" s="300">
        <f t="shared" si="640"/>
        <v>1.1000000000000001</v>
      </c>
      <c r="L5025" s="300">
        <f t="shared" si="641"/>
        <v>0</v>
      </c>
      <c r="M5025" s="285">
        <f t="shared" si="642"/>
        <v>0</v>
      </c>
      <c r="N5025" s="1076"/>
      <c r="O5025" s="294"/>
      <c r="P5025" s="404"/>
      <c r="Q5025" s="404"/>
    </row>
    <row r="5026" spans="1:17" ht="14.4" thickTop="1" thickBot="1" x14ac:dyDescent="0.3">
      <c r="A5026" s="292"/>
      <c r="B5026" s="296"/>
      <c r="C5026" s="294"/>
      <c r="D5026" s="294"/>
      <c r="E5026" s="294"/>
      <c r="F5026" s="310"/>
      <c r="G5026" s="310"/>
      <c r="H5026" s="310"/>
      <c r="I5026" s="295"/>
      <c r="J5026" s="295"/>
      <c r="K5026" s="300">
        <f t="shared" si="640"/>
        <v>1.1000000000000001</v>
      </c>
      <c r="L5026" s="300">
        <f t="shared" si="641"/>
        <v>0</v>
      </c>
      <c r="M5026" s="285">
        <f t="shared" si="642"/>
        <v>0</v>
      </c>
      <c r="N5026" s="1076"/>
      <c r="O5026" s="294"/>
      <c r="P5026" s="404"/>
      <c r="Q5026" s="404"/>
    </row>
    <row r="5027" spans="1:17" ht="14.4" thickTop="1" thickBot="1" x14ac:dyDescent="0.3">
      <c r="A5027" s="292"/>
      <c r="B5027" s="296"/>
      <c r="C5027" s="294"/>
      <c r="D5027" s="294"/>
      <c r="E5027" s="294"/>
      <c r="F5027" s="310"/>
      <c r="G5027" s="310"/>
      <c r="H5027" s="310"/>
      <c r="I5027" s="295"/>
      <c r="J5027" s="295"/>
      <c r="K5027" s="300">
        <f t="shared" si="640"/>
        <v>1.1000000000000001</v>
      </c>
      <c r="L5027" s="300">
        <f t="shared" si="641"/>
        <v>0</v>
      </c>
      <c r="M5027" s="285">
        <f t="shared" si="642"/>
        <v>0</v>
      </c>
      <c r="N5027" s="1076"/>
      <c r="O5027" s="294"/>
      <c r="P5027" s="404"/>
      <c r="Q5027" s="404"/>
    </row>
    <row r="5028" spans="1:17" ht="14.4" thickTop="1" thickBot="1" x14ac:dyDescent="0.3">
      <c r="A5028" s="292"/>
      <c r="B5028" s="296"/>
      <c r="C5028" s="294"/>
      <c r="D5028" s="294"/>
      <c r="E5028" s="294"/>
      <c r="F5028" s="310"/>
      <c r="G5028" s="310"/>
      <c r="H5028" s="310"/>
      <c r="I5028" s="295"/>
      <c r="J5028" s="295"/>
      <c r="K5028" s="300">
        <f t="shared" si="640"/>
        <v>1.1000000000000001</v>
      </c>
      <c r="L5028" s="300">
        <f t="shared" si="641"/>
        <v>0</v>
      </c>
      <c r="M5028" s="285">
        <f t="shared" si="642"/>
        <v>0</v>
      </c>
      <c r="N5028" s="1076"/>
      <c r="O5028" s="294"/>
      <c r="P5028" s="404"/>
      <c r="Q5028" s="404"/>
    </row>
    <row r="5029" spans="1:17" ht="14.4" thickTop="1" thickBot="1" x14ac:dyDescent="0.3">
      <c r="A5029" s="292"/>
      <c r="B5029" s="296"/>
      <c r="C5029" s="294"/>
      <c r="D5029" s="294"/>
      <c r="E5029" s="294"/>
      <c r="F5029" s="310"/>
      <c r="G5029" s="310"/>
      <c r="H5029" s="310"/>
      <c r="I5029" s="295"/>
      <c r="J5029" s="295"/>
      <c r="K5029" s="300">
        <f t="shared" si="640"/>
        <v>1.1000000000000001</v>
      </c>
      <c r="L5029" s="300">
        <f t="shared" si="641"/>
        <v>0</v>
      </c>
      <c r="M5029" s="285">
        <f t="shared" si="642"/>
        <v>0</v>
      </c>
      <c r="N5029" s="1076"/>
      <c r="O5029" s="294"/>
      <c r="P5029" s="404"/>
      <c r="Q5029" s="404"/>
    </row>
    <row r="5030" spans="1:17" ht="14.4" thickTop="1" thickBot="1" x14ac:dyDescent="0.3">
      <c r="A5030" s="292"/>
      <c r="B5030" s="296"/>
      <c r="C5030" s="294"/>
      <c r="D5030" s="294"/>
      <c r="E5030" s="294"/>
      <c r="F5030" s="310"/>
      <c r="G5030" s="310"/>
      <c r="H5030" s="310"/>
      <c r="I5030" s="295"/>
      <c r="J5030" s="295"/>
      <c r="K5030" s="300">
        <f t="shared" si="640"/>
        <v>1.1000000000000001</v>
      </c>
      <c r="L5030" s="300">
        <f t="shared" si="641"/>
        <v>0</v>
      </c>
      <c r="M5030" s="285">
        <f t="shared" si="642"/>
        <v>0</v>
      </c>
      <c r="N5030" s="1076"/>
      <c r="O5030" s="294"/>
      <c r="P5030" s="404"/>
      <c r="Q5030" s="404"/>
    </row>
    <row r="5031" spans="1:17" ht="14.4" thickTop="1" thickBot="1" x14ac:dyDescent="0.3">
      <c r="A5031" s="292"/>
      <c r="B5031" s="296"/>
      <c r="C5031" s="294"/>
      <c r="D5031" s="294"/>
      <c r="E5031" s="294"/>
      <c r="F5031" s="310"/>
      <c r="G5031" s="310"/>
      <c r="H5031" s="310"/>
      <c r="I5031" s="295"/>
      <c r="J5031" s="295"/>
      <c r="K5031" s="300">
        <f t="shared" si="640"/>
        <v>1.1000000000000001</v>
      </c>
      <c r="L5031" s="300">
        <f t="shared" si="641"/>
        <v>0</v>
      </c>
      <c r="M5031" s="285">
        <f t="shared" si="642"/>
        <v>0</v>
      </c>
      <c r="N5031" s="1076"/>
      <c r="O5031" s="294"/>
      <c r="P5031" s="404"/>
      <c r="Q5031" s="404"/>
    </row>
    <row r="5032" spans="1:17" ht="14.4" thickTop="1" thickBot="1" x14ac:dyDescent="0.3">
      <c r="A5032" s="292"/>
      <c r="B5032" s="296"/>
      <c r="C5032" s="294"/>
      <c r="D5032" s="294"/>
      <c r="E5032" s="294"/>
      <c r="F5032" s="310"/>
      <c r="G5032" s="310"/>
      <c r="H5032" s="310"/>
      <c r="I5032" s="295"/>
      <c r="J5032" s="295"/>
      <c r="K5032" s="300">
        <f t="shared" si="640"/>
        <v>1.1000000000000001</v>
      </c>
      <c r="L5032" s="300">
        <f t="shared" si="641"/>
        <v>0</v>
      </c>
      <c r="M5032" s="285">
        <f t="shared" si="642"/>
        <v>0</v>
      </c>
      <c r="N5032" s="1076"/>
      <c r="O5032" s="294"/>
      <c r="P5032" s="404"/>
      <c r="Q5032" s="404"/>
    </row>
    <row r="5033" spans="1:17" ht="14.4" thickTop="1" thickBot="1" x14ac:dyDescent="0.3">
      <c r="A5033" s="292"/>
      <c r="B5033" s="296"/>
      <c r="C5033" s="294"/>
      <c r="D5033" s="294"/>
      <c r="E5033" s="294"/>
      <c r="F5033" s="310"/>
      <c r="G5033" s="310"/>
      <c r="H5033" s="310"/>
      <c r="I5033" s="295"/>
      <c r="J5033" s="295"/>
      <c r="K5033" s="300">
        <f t="shared" si="640"/>
        <v>1.1000000000000001</v>
      </c>
      <c r="L5033" s="300">
        <f t="shared" ref="L5033:L5096" si="645">K5033*J5033</f>
        <v>0</v>
      </c>
      <c r="M5033" s="285">
        <f t="shared" si="642"/>
        <v>0</v>
      </c>
      <c r="N5033" s="1076"/>
      <c r="O5033" s="294"/>
      <c r="P5033" s="404"/>
      <c r="Q5033" s="404"/>
    </row>
    <row r="5034" spans="1:17" ht="14.4" thickTop="1" thickBot="1" x14ac:dyDescent="0.3">
      <c r="A5034" s="292"/>
      <c r="B5034" s="296"/>
      <c r="C5034" s="294"/>
      <c r="D5034" s="294"/>
      <c r="E5034" s="294"/>
      <c r="F5034" s="310"/>
      <c r="G5034" s="310"/>
      <c r="H5034" s="310"/>
      <c r="I5034" s="295"/>
      <c r="J5034" s="295"/>
      <c r="K5034" s="300">
        <f t="shared" si="640"/>
        <v>1.1000000000000001</v>
      </c>
      <c r="L5034" s="300">
        <f t="shared" si="645"/>
        <v>0</v>
      </c>
      <c r="M5034" s="285">
        <f t="shared" si="642"/>
        <v>0</v>
      </c>
      <c r="N5034" s="1076"/>
      <c r="O5034" s="294"/>
      <c r="P5034" s="404"/>
      <c r="Q5034" s="404"/>
    </row>
    <row r="5035" spans="1:17" ht="14.4" thickTop="1" thickBot="1" x14ac:dyDescent="0.3">
      <c r="A5035" s="292"/>
      <c r="B5035" s="296"/>
      <c r="C5035" s="294"/>
      <c r="D5035" s="294"/>
      <c r="E5035" s="294"/>
      <c r="F5035" s="310"/>
      <c r="G5035" s="310"/>
      <c r="H5035" s="310"/>
      <c r="I5035" s="295"/>
      <c r="J5035" s="295"/>
      <c r="K5035" s="300">
        <f t="shared" si="640"/>
        <v>1.1000000000000001</v>
      </c>
      <c r="L5035" s="300">
        <f t="shared" si="645"/>
        <v>0</v>
      </c>
      <c r="M5035" s="285">
        <f t="shared" si="642"/>
        <v>0</v>
      </c>
      <c r="N5035" s="1076"/>
      <c r="O5035" s="294"/>
      <c r="P5035" s="404"/>
      <c r="Q5035" s="404"/>
    </row>
    <row r="5036" spans="1:17" ht="14.4" thickTop="1" thickBot="1" x14ac:dyDescent="0.3">
      <c r="A5036" s="292"/>
      <c r="B5036" s="296"/>
      <c r="C5036" s="294"/>
      <c r="D5036" s="294"/>
      <c r="E5036" s="294"/>
      <c r="F5036" s="310"/>
      <c r="G5036" s="310"/>
      <c r="H5036" s="310"/>
      <c r="I5036" s="295"/>
      <c r="J5036" s="295"/>
      <c r="K5036" s="300">
        <f t="shared" si="640"/>
        <v>1.1000000000000001</v>
      </c>
      <c r="L5036" s="300">
        <f t="shared" si="645"/>
        <v>0</v>
      </c>
      <c r="M5036" s="285">
        <f t="shared" si="642"/>
        <v>0</v>
      </c>
      <c r="N5036" s="1076"/>
      <c r="O5036" s="294"/>
      <c r="P5036" s="404"/>
      <c r="Q5036" s="404"/>
    </row>
    <row r="5037" spans="1:17" ht="14.4" thickTop="1" thickBot="1" x14ac:dyDescent="0.3">
      <c r="A5037" s="292"/>
      <c r="B5037" s="296"/>
      <c r="C5037" s="294"/>
      <c r="D5037" s="294"/>
      <c r="E5037" s="294"/>
      <c r="F5037" s="310"/>
      <c r="G5037" s="310"/>
      <c r="H5037" s="310"/>
      <c r="I5037" s="295"/>
      <c r="J5037" s="295"/>
      <c r="K5037" s="300">
        <f t="shared" si="640"/>
        <v>1.1000000000000001</v>
      </c>
      <c r="L5037" s="300">
        <f t="shared" si="645"/>
        <v>0</v>
      </c>
      <c r="M5037" s="285">
        <f t="shared" ref="M5037:M5100" si="646">ROUND(L5037,0)</f>
        <v>0</v>
      </c>
      <c r="N5037" s="1076"/>
      <c r="O5037" s="294"/>
      <c r="P5037" s="404"/>
      <c r="Q5037" s="404"/>
    </row>
    <row r="5038" spans="1:17" ht="14.4" thickTop="1" thickBot="1" x14ac:dyDescent="0.3">
      <c r="A5038" s="292"/>
      <c r="B5038" s="296"/>
      <c r="C5038" s="294"/>
      <c r="D5038" s="294"/>
      <c r="E5038" s="294"/>
      <c r="F5038" s="310"/>
      <c r="G5038" s="310"/>
      <c r="H5038" s="310"/>
      <c r="I5038" s="295"/>
      <c r="J5038" s="295"/>
      <c r="K5038" s="300">
        <f t="shared" si="640"/>
        <v>1.1000000000000001</v>
      </c>
      <c r="L5038" s="300">
        <f t="shared" si="645"/>
        <v>0</v>
      </c>
      <c r="M5038" s="285">
        <f t="shared" si="646"/>
        <v>0</v>
      </c>
      <c r="N5038" s="1076"/>
      <c r="O5038" s="294"/>
      <c r="P5038" s="404"/>
      <c r="Q5038" s="404"/>
    </row>
    <row r="5039" spans="1:17" ht="14.4" thickTop="1" thickBot="1" x14ac:dyDescent="0.3">
      <c r="A5039" s="292"/>
      <c r="B5039" s="296"/>
      <c r="C5039" s="294"/>
      <c r="D5039" s="294"/>
      <c r="E5039" s="294"/>
      <c r="F5039" s="310"/>
      <c r="G5039" s="310"/>
      <c r="H5039" s="310"/>
      <c r="I5039" s="295"/>
      <c r="J5039" s="295"/>
      <c r="K5039" s="300">
        <f t="shared" si="640"/>
        <v>1.1000000000000001</v>
      </c>
      <c r="L5039" s="300">
        <f t="shared" si="645"/>
        <v>0</v>
      </c>
      <c r="M5039" s="285">
        <f t="shared" si="646"/>
        <v>0</v>
      </c>
      <c r="N5039" s="1076"/>
      <c r="O5039" s="294"/>
      <c r="P5039" s="404"/>
      <c r="Q5039" s="404"/>
    </row>
    <row r="5040" spans="1:17" ht="14.4" thickTop="1" thickBot="1" x14ac:dyDescent="0.3">
      <c r="A5040" s="292"/>
      <c r="B5040" s="296"/>
      <c r="C5040" s="294"/>
      <c r="D5040" s="294"/>
      <c r="E5040" s="294"/>
      <c r="F5040" s="310"/>
      <c r="G5040" s="310"/>
      <c r="H5040" s="310"/>
      <c r="I5040" s="295"/>
      <c r="J5040" s="295"/>
      <c r="K5040" s="300">
        <f t="shared" si="640"/>
        <v>1.1000000000000001</v>
      </c>
      <c r="L5040" s="300">
        <f t="shared" si="645"/>
        <v>0</v>
      </c>
      <c r="M5040" s="285">
        <f t="shared" si="646"/>
        <v>0</v>
      </c>
      <c r="N5040" s="1076"/>
      <c r="O5040" s="294"/>
      <c r="P5040" s="404"/>
      <c r="Q5040" s="404"/>
    </row>
    <row r="5041" spans="1:17" ht="14.4" thickTop="1" thickBot="1" x14ac:dyDescent="0.3">
      <c r="A5041" s="292"/>
      <c r="B5041" s="296"/>
      <c r="C5041" s="294"/>
      <c r="D5041" s="294"/>
      <c r="E5041" s="294"/>
      <c r="F5041" s="310"/>
      <c r="G5041" s="310"/>
      <c r="H5041" s="310"/>
      <c r="I5041" s="295"/>
      <c r="J5041" s="295"/>
      <c r="K5041" s="300">
        <f t="shared" si="640"/>
        <v>1.1000000000000001</v>
      </c>
      <c r="L5041" s="300">
        <f t="shared" si="645"/>
        <v>0</v>
      </c>
      <c r="M5041" s="285">
        <f t="shared" si="646"/>
        <v>0</v>
      </c>
      <c r="N5041" s="1076"/>
      <c r="O5041" s="294"/>
      <c r="P5041" s="404"/>
      <c r="Q5041" s="404"/>
    </row>
    <row r="5042" spans="1:17" ht="14.4" thickTop="1" thickBot="1" x14ac:dyDescent="0.3">
      <c r="A5042" s="292"/>
      <c r="B5042" s="296"/>
      <c r="C5042" s="294"/>
      <c r="D5042" s="294"/>
      <c r="E5042" s="294"/>
      <c r="F5042" s="310"/>
      <c r="G5042" s="310"/>
      <c r="H5042" s="310"/>
      <c r="I5042" s="295"/>
      <c r="J5042" s="295"/>
      <c r="K5042" s="300">
        <f t="shared" si="640"/>
        <v>1.1000000000000001</v>
      </c>
      <c r="L5042" s="300">
        <f t="shared" si="645"/>
        <v>0</v>
      </c>
      <c r="M5042" s="285">
        <f t="shared" si="646"/>
        <v>0</v>
      </c>
      <c r="N5042" s="1076"/>
      <c r="O5042" s="294"/>
      <c r="P5042" s="404"/>
      <c r="Q5042" s="404"/>
    </row>
    <row r="5043" spans="1:17" ht="14.4" thickTop="1" thickBot="1" x14ac:dyDescent="0.3">
      <c r="A5043" s="292"/>
      <c r="B5043" s="296"/>
      <c r="C5043" s="294"/>
      <c r="D5043" s="294"/>
      <c r="E5043" s="294"/>
      <c r="F5043" s="310"/>
      <c r="G5043" s="310"/>
      <c r="H5043" s="310"/>
      <c r="I5043" s="295"/>
      <c r="J5043" s="295"/>
      <c r="K5043" s="300">
        <f t="shared" si="640"/>
        <v>1.1000000000000001</v>
      </c>
      <c r="L5043" s="300">
        <f t="shared" si="645"/>
        <v>0</v>
      </c>
      <c r="M5043" s="285">
        <f t="shared" si="646"/>
        <v>0</v>
      </c>
      <c r="N5043" s="1076"/>
      <c r="O5043" s="294"/>
      <c r="P5043" s="404"/>
      <c r="Q5043" s="404"/>
    </row>
    <row r="5044" spans="1:17" ht="14.4" thickTop="1" thickBot="1" x14ac:dyDescent="0.3">
      <c r="A5044" s="292"/>
      <c r="B5044" s="296"/>
      <c r="C5044" s="294"/>
      <c r="D5044" s="294"/>
      <c r="E5044" s="294"/>
      <c r="F5044" s="310"/>
      <c r="G5044" s="310"/>
      <c r="H5044" s="310"/>
      <c r="I5044" s="295"/>
      <c r="J5044" s="295"/>
      <c r="K5044" s="300">
        <f t="shared" si="640"/>
        <v>1.1000000000000001</v>
      </c>
      <c r="L5044" s="300">
        <f t="shared" si="645"/>
        <v>0</v>
      </c>
      <c r="M5044" s="285">
        <f t="shared" si="646"/>
        <v>0</v>
      </c>
      <c r="N5044" s="1076"/>
      <c r="O5044" s="294"/>
      <c r="P5044" s="404"/>
      <c r="Q5044" s="404"/>
    </row>
    <row r="5045" spans="1:17" ht="14.4" thickTop="1" thickBot="1" x14ac:dyDescent="0.3">
      <c r="A5045" s="292"/>
      <c r="B5045" s="296"/>
      <c r="C5045" s="294"/>
      <c r="D5045" s="294"/>
      <c r="E5045" s="294"/>
      <c r="F5045" s="310"/>
      <c r="G5045" s="310"/>
      <c r="H5045" s="310"/>
      <c r="I5045" s="295"/>
      <c r="J5045" s="295"/>
      <c r="K5045" s="300">
        <f t="shared" si="640"/>
        <v>1.1000000000000001</v>
      </c>
      <c r="L5045" s="300">
        <f t="shared" si="645"/>
        <v>0</v>
      </c>
      <c r="M5045" s="285">
        <f t="shared" si="646"/>
        <v>0</v>
      </c>
      <c r="N5045" s="1076"/>
      <c r="O5045" s="294"/>
      <c r="P5045" s="404"/>
      <c r="Q5045" s="404"/>
    </row>
    <row r="5046" spans="1:17" ht="14.4" thickTop="1" thickBot="1" x14ac:dyDescent="0.3">
      <c r="A5046" s="292"/>
      <c r="B5046" s="296"/>
      <c r="C5046" s="294"/>
      <c r="D5046" s="294"/>
      <c r="E5046" s="294"/>
      <c r="F5046" s="310"/>
      <c r="G5046" s="310"/>
      <c r="H5046" s="310"/>
      <c r="I5046" s="295"/>
      <c r="J5046" s="295"/>
      <c r="K5046" s="300">
        <f t="shared" si="640"/>
        <v>1.1000000000000001</v>
      </c>
      <c r="L5046" s="300">
        <f t="shared" si="645"/>
        <v>0</v>
      </c>
      <c r="M5046" s="285">
        <f t="shared" si="646"/>
        <v>0</v>
      </c>
      <c r="N5046" s="1076"/>
      <c r="O5046" s="294"/>
      <c r="P5046" s="404"/>
      <c r="Q5046" s="404"/>
    </row>
    <row r="5047" spans="1:17" ht="14.4" thickTop="1" thickBot="1" x14ac:dyDescent="0.3">
      <c r="A5047" s="292"/>
      <c r="B5047" s="296"/>
      <c r="C5047" s="294"/>
      <c r="D5047" s="294"/>
      <c r="E5047" s="294"/>
      <c r="F5047" s="310"/>
      <c r="G5047" s="310"/>
      <c r="H5047" s="310"/>
      <c r="I5047" s="295"/>
      <c r="J5047" s="295"/>
      <c r="K5047" s="300">
        <f t="shared" si="640"/>
        <v>1.1000000000000001</v>
      </c>
      <c r="L5047" s="300">
        <f t="shared" si="645"/>
        <v>0</v>
      </c>
      <c r="M5047" s="285">
        <f t="shared" si="646"/>
        <v>0</v>
      </c>
      <c r="N5047" s="1076"/>
      <c r="O5047" s="294"/>
      <c r="P5047" s="404"/>
      <c r="Q5047" s="404"/>
    </row>
    <row r="5048" spans="1:17" ht="14.4" thickTop="1" thickBot="1" x14ac:dyDescent="0.3">
      <c r="A5048" s="292"/>
      <c r="B5048" s="296"/>
      <c r="C5048" s="294"/>
      <c r="D5048" s="294"/>
      <c r="E5048" s="294"/>
      <c r="F5048" s="310"/>
      <c r="G5048" s="310"/>
      <c r="H5048" s="310"/>
      <c r="I5048" s="295"/>
      <c r="J5048" s="295"/>
      <c r="K5048" s="300">
        <f t="shared" si="640"/>
        <v>1.1000000000000001</v>
      </c>
      <c r="L5048" s="300">
        <f t="shared" si="645"/>
        <v>0</v>
      </c>
      <c r="M5048" s="285">
        <f t="shared" si="646"/>
        <v>0</v>
      </c>
      <c r="N5048" s="1076"/>
      <c r="O5048" s="294"/>
      <c r="P5048" s="404"/>
      <c r="Q5048" s="404"/>
    </row>
    <row r="5049" spans="1:17" ht="14.4" thickTop="1" thickBot="1" x14ac:dyDescent="0.3">
      <c r="A5049" s="292"/>
      <c r="B5049" s="296"/>
      <c r="C5049" s="294"/>
      <c r="D5049" s="294"/>
      <c r="E5049" s="294"/>
      <c r="F5049" s="310"/>
      <c r="G5049" s="310"/>
      <c r="H5049" s="310"/>
      <c r="I5049" s="295"/>
      <c r="J5049" s="295"/>
      <c r="K5049" s="300">
        <f t="shared" si="640"/>
        <v>1.1000000000000001</v>
      </c>
      <c r="L5049" s="300">
        <f t="shared" si="645"/>
        <v>0</v>
      </c>
      <c r="M5049" s="285">
        <f t="shared" si="646"/>
        <v>0</v>
      </c>
      <c r="N5049" s="1076"/>
      <c r="O5049" s="294"/>
      <c r="P5049" s="404"/>
      <c r="Q5049" s="404"/>
    </row>
    <row r="5050" spans="1:17" ht="14.4" thickTop="1" thickBot="1" x14ac:dyDescent="0.3">
      <c r="A5050" s="292"/>
      <c r="B5050" s="296"/>
      <c r="C5050" s="294"/>
      <c r="D5050" s="294"/>
      <c r="E5050" s="294"/>
      <c r="F5050" s="310"/>
      <c r="G5050" s="310"/>
      <c r="H5050" s="310"/>
      <c r="I5050" s="295"/>
      <c r="J5050" s="295"/>
      <c r="K5050" s="300">
        <f t="shared" si="640"/>
        <v>1.1000000000000001</v>
      </c>
      <c r="L5050" s="300">
        <f t="shared" si="645"/>
        <v>0</v>
      </c>
      <c r="M5050" s="285">
        <f t="shared" si="646"/>
        <v>0</v>
      </c>
      <c r="N5050" s="1076"/>
      <c r="O5050" s="294"/>
      <c r="P5050" s="404"/>
      <c r="Q5050" s="404"/>
    </row>
    <row r="5051" spans="1:17" ht="14.4" thickTop="1" thickBot="1" x14ac:dyDescent="0.3">
      <c r="A5051" s="292"/>
      <c r="B5051" s="296"/>
      <c r="C5051" s="294"/>
      <c r="D5051" s="294"/>
      <c r="E5051" s="294"/>
      <c r="F5051" s="310"/>
      <c r="G5051" s="310"/>
      <c r="H5051" s="310"/>
      <c r="I5051" s="295"/>
      <c r="J5051" s="295"/>
      <c r="K5051" s="300">
        <f t="shared" si="640"/>
        <v>1.1000000000000001</v>
      </c>
      <c r="L5051" s="300">
        <f t="shared" si="645"/>
        <v>0</v>
      </c>
      <c r="M5051" s="285">
        <f t="shared" si="646"/>
        <v>0</v>
      </c>
      <c r="N5051" s="1076"/>
      <c r="O5051" s="294"/>
      <c r="P5051" s="404"/>
      <c r="Q5051" s="404"/>
    </row>
    <row r="5052" spans="1:17" ht="14.4" thickTop="1" thickBot="1" x14ac:dyDescent="0.3">
      <c r="A5052" s="292"/>
      <c r="B5052" s="296"/>
      <c r="C5052" s="294"/>
      <c r="D5052" s="294"/>
      <c r="E5052" s="294"/>
      <c r="F5052" s="310"/>
      <c r="G5052" s="310"/>
      <c r="H5052" s="310"/>
      <c r="I5052" s="295"/>
      <c r="J5052" s="295"/>
      <c r="K5052" s="300">
        <f t="shared" si="640"/>
        <v>1.1000000000000001</v>
      </c>
      <c r="L5052" s="300">
        <f t="shared" si="645"/>
        <v>0</v>
      </c>
      <c r="M5052" s="285">
        <f t="shared" si="646"/>
        <v>0</v>
      </c>
      <c r="N5052" s="1076"/>
      <c r="O5052" s="294"/>
      <c r="P5052" s="404"/>
      <c r="Q5052" s="404"/>
    </row>
    <row r="5053" spans="1:17" ht="14.4" thickTop="1" thickBot="1" x14ac:dyDescent="0.3">
      <c r="A5053" s="292"/>
      <c r="B5053" s="296"/>
      <c r="C5053" s="294"/>
      <c r="D5053" s="294"/>
      <c r="E5053" s="294"/>
      <c r="F5053" s="310"/>
      <c r="G5053" s="310"/>
      <c r="H5053" s="310"/>
      <c r="I5053" s="295"/>
      <c r="J5053" s="295"/>
      <c r="K5053" s="300">
        <f t="shared" si="640"/>
        <v>1.1000000000000001</v>
      </c>
      <c r="L5053" s="300">
        <f t="shared" si="645"/>
        <v>0</v>
      </c>
      <c r="M5053" s="285">
        <f t="shared" si="646"/>
        <v>0</v>
      </c>
      <c r="N5053" s="1076"/>
      <c r="O5053" s="294"/>
      <c r="P5053" s="404"/>
      <c r="Q5053" s="404"/>
    </row>
    <row r="5054" spans="1:17" ht="14.4" thickTop="1" thickBot="1" x14ac:dyDescent="0.3">
      <c r="A5054" s="292"/>
      <c r="B5054" s="296"/>
      <c r="C5054" s="294"/>
      <c r="D5054" s="294"/>
      <c r="E5054" s="294"/>
      <c r="F5054" s="310"/>
      <c r="G5054" s="310"/>
      <c r="H5054" s="310"/>
      <c r="I5054" s="295"/>
      <c r="J5054" s="295"/>
      <c r="K5054" s="300">
        <f t="shared" si="640"/>
        <v>1.1000000000000001</v>
      </c>
      <c r="L5054" s="300">
        <f t="shared" si="645"/>
        <v>0</v>
      </c>
      <c r="M5054" s="285">
        <f t="shared" si="646"/>
        <v>0</v>
      </c>
      <c r="N5054" s="1076"/>
      <c r="O5054" s="294"/>
      <c r="P5054" s="404"/>
      <c r="Q5054" s="404"/>
    </row>
    <row r="5055" spans="1:17" ht="14.4" thickTop="1" thickBot="1" x14ac:dyDescent="0.3">
      <c r="A5055" s="292"/>
      <c r="B5055" s="296"/>
      <c r="C5055" s="294"/>
      <c r="D5055" s="294"/>
      <c r="E5055" s="294"/>
      <c r="F5055" s="310"/>
      <c r="G5055" s="310"/>
      <c r="H5055" s="310"/>
      <c r="I5055" s="295"/>
      <c r="J5055" s="295"/>
      <c r="K5055" s="300">
        <f t="shared" si="640"/>
        <v>1.1000000000000001</v>
      </c>
      <c r="L5055" s="300">
        <f t="shared" si="645"/>
        <v>0</v>
      </c>
      <c r="M5055" s="285">
        <f t="shared" si="646"/>
        <v>0</v>
      </c>
      <c r="N5055" s="1076"/>
      <c r="O5055" s="294"/>
      <c r="P5055" s="404"/>
      <c r="Q5055" s="404"/>
    </row>
    <row r="5056" spans="1:17" ht="14.4" thickTop="1" thickBot="1" x14ac:dyDescent="0.3">
      <c r="A5056" s="292"/>
      <c r="B5056" s="296"/>
      <c r="C5056" s="294"/>
      <c r="D5056" s="294"/>
      <c r="E5056" s="294"/>
      <c r="F5056" s="310"/>
      <c r="G5056" s="310"/>
      <c r="H5056" s="310"/>
      <c r="I5056" s="295"/>
      <c r="J5056" s="295"/>
      <c r="K5056" s="300">
        <f t="shared" si="640"/>
        <v>1.1000000000000001</v>
      </c>
      <c r="L5056" s="300">
        <f t="shared" si="645"/>
        <v>0</v>
      </c>
      <c r="M5056" s="285">
        <f t="shared" si="646"/>
        <v>0</v>
      </c>
      <c r="N5056" s="1076"/>
      <c r="O5056" s="294"/>
      <c r="P5056" s="404"/>
      <c r="Q5056" s="404"/>
    </row>
    <row r="5057" spans="1:17" ht="14.4" thickTop="1" thickBot="1" x14ac:dyDescent="0.3">
      <c r="A5057" s="292"/>
      <c r="B5057" s="296"/>
      <c r="C5057" s="294"/>
      <c r="D5057" s="294"/>
      <c r="E5057" s="294"/>
      <c r="F5057" s="310"/>
      <c r="G5057" s="310"/>
      <c r="H5057" s="310"/>
      <c r="I5057" s="295"/>
      <c r="J5057" s="295"/>
      <c r="K5057" s="300">
        <f t="shared" si="640"/>
        <v>1.1000000000000001</v>
      </c>
      <c r="L5057" s="300">
        <f t="shared" si="645"/>
        <v>0</v>
      </c>
      <c r="M5057" s="285">
        <f t="shared" si="646"/>
        <v>0</v>
      </c>
      <c r="N5057" s="1076"/>
      <c r="O5057" s="294"/>
      <c r="P5057" s="404"/>
      <c r="Q5057" s="404"/>
    </row>
    <row r="5058" spans="1:17" ht="14.4" thickTop="1" thickBot="1" x14ac:dyDescent="0.3">
      <c r="A5058" s="292"/>
      <c r="B5058" s="296"/>
      <c r="C5058" s="294"/>
      <c r="D5058" s="294"/>
      <c r="E5058" s="294"/>
      <c r="F5058" s="310"/>
      <c r="G5058" s="310"/>
      <c r="H5058" s="310"/>
      <c r="I5058" s="295"/>
      <c r="J5058" s="295"/>
      <c r="K5058" s="300">
        <f t="shared" si="640"/>
        <v>1.1000000000000001</v>
      </c>
      <c r="L5058" s="300">
        <f t="shared" si="645"/>
        <v>0</v>
      </c>
      <c r="M5058" s="285">
        <f t="shared" si="646"/>
        <v>0</v>
      </c>
      <c r="N5058" s="1076"/>
      <c r="O5058" s="294"/>
      <c r="P5058" s="404"/>
      <c r="Q5058" s="404"/>
    </row>
    <row r="5059" spans="1:17" ht="14.4" thickTop="1" thickBot="1" x14ac:dyDescent="0.3">
      <c r="A5059" s="292"/>
      <c r="B5059" s="296"/>
      <c r="C5059" s="294"/>
      <c r="D5059" s="294"/>
      <c r="E5059" s="294"/>
      <c r="F5059" s="310"/>
      <c r="G5059" s="310"/>
      <c r="H5059" s="310"/>
      <c r="I5059" s="295"/>
      <c r="J5059" s="295"/>
      <c r="K5059" s="300">
        <f t="shared" si="640"/>
        <v>1.1000000000000001</v>
      </c>
      <c r="L5059" s="300">
        <f t="shared" si="645"/>
        <v>0</v>
      </c>
      <c r="M5059" s="285">
        <f t="shared" si="646"/>
        <v>0</v>
      </c>
      <c r="N5059" s="1076"/>
      <c r="O5059" s="294"/>
      <c r="P5059" s="404"/>
      <c r="Q5059" s="404"/>
    </row>
    <row r="5060" spans="1:17" ht="14.4" thickTop="1" thickBot="1" x14ac:dyDescent="0.3">
      <c r="A5060" s="292"/>
      <c r="B5060" s="296"/>
      <c r="C5060" s="294"/>
      <c r="D5060" s="294"/>
      <c r="E5060" s="294"/>
      <c r="F5060" s="310"/>
      <c r="G5060" s="310"/>
      <c r="H5060" s="310"/>
      <c r="I5060" s="295"/>
      <c r="J5060" s="295"/>
      <c r="K5060" s="300">
        <f t="shared" si="640"/>
        <v>1.1000000000000001</v>
      </c>
      <c r="L5060" s="300">
        <f t="shared" si="645"/>
        <v>0</v>
      </c>
      <c r="M5060" s="285">
        <f t="shared" si="646"/>
        <v>0</v>
      </c>
      <c r="N5060" s="1076"/>
      <c r="O5060" s="294"/>
      <c r="P5060" s="404"/>
      <c r="Q5060" s="404"/>
    </row>
    <row r="5061" spans="1:17" ht="14.4" thickTop="1" thickBot="1" x14ac:dyDescent="0.3">
      <c r="A5061" s="292"/>
      <c r="B5061" s="296"/>
      <c r="C5061" s="294"/>
      <c r="D5061" s="294"/>
      <c r="E5061" s="294"/>
      <c r="F5061" s="310"/>
      <c r="G5061" s="310"/>
      <c r="H5061" s="310"/>
      <c r="I5061" s="295"/>
      <c r="J5061" s="295"/>
      <c r="K5061" s="300">
        <f t="shared" si="640"/>
        <v>1.1000000000000001</v>
      </c>
      <c r="L5061" s="300">
        <f t="shared" si="645"/>
        <v>0</v>
      </c>
      <c r="M5061" s="285">
        <f t="shared" si="646"/>
        <v>0</v>
      </c>
      <c r="N5061" s="1076"/>
      <c r="O5061" s="294"/>
      <c r="P5061" s="404"/>
      <c r="Q5061" s="404"/>
    </row>
    <row r="5062" spans="1:17" ht="14.4" thickTop="1" thickBot="1" x14ac:dyDescent="0.3">
      <c r="A5062" s="292"/>
      <c r="B5062" s="296"/>
      <c r="C5062" s="294"/>
      <c r="D5062" s="294"/>
      <c r="E5062" s="294"/>
      <c r="F5062" s="310"/>
      <c r="G5062" s="310"/>
      <c r="H5062" s="310"/>
      <c r="I5062" s="295"/>
      <c r="J5062" s="295"/>
      <c r="K5062" s="300">
        <f t="shared" si="640"/>
        <v>1.1000000000000001</v>
      </c>
      <c r="L5062" s="300">
        <f t="shared" si="645"/>
        <v>0</v>
      </c>
      <c r="M5062" s="285">
        <f t="shared" si="646"/>
        <v>0</v>
      </c>
      <c r="N5062" s="1076"/>
      <c r="O5062" s="294"/>
      <c r="P5062" s="404"/>
      <c r="Q5062" s="404"/>
    </row>
    <row r="5063" spans="1:17" ht="14.4" thickTop="1" thickBot="1" x14ac:dyDescent="0.3">
      <c r="A5063" s="292"/>
      <c r="B5063" s="296"/>
      <c r="C5063" s="294"/>
      <c r="D5063" s="294"/>
      <c r="E5063" s="294"/>
      <c r="F5063" s="310"/>
      <c r="G5063" s="310"/>
      <c r="H5063" s="310"/>
      <c r="I5063" s="295"/>
      <c r="J5063" s="295"/>
      <c r="K5063" s="300">
        <f t="shared" si="640"/>
        <v>1.1000000000000001</v>
      </c>
      <c r="L5063" s="300">
        <f t="shared" si="645"/>
        <v>0</v>
      </c>
      <c r="M5063" s="285">
        <f t="shared" si="646"/>
        <v>0</v>
      </c>
      <c r="N5063" s="1076"/>
      <c r="O5063" s="294"/>
      <c r="P5063" s="404"/>
      <c r="Q5063" s="404"/>
    </row>
    <row r="5064" spans="1:17" ht="14.4" thickTop="1" thickBot="1" x14ac:dyDescent="0.3">
      <c r="A5064" s="292"/>
      <c r="B5064" s="296"/>
      <c r="C5064" s="294"/>
      <c r="D5064" s="294"/>
      <c r="E5064" s="294"/>
      <c r="F5064" s="310"/>
      <c r="G5064" s="310"/>
      <c r="H5064" s="310"/>
      <c r="I5064" s="295"/>
      <c r="J5064" s="295"/>
      <c r="K5064" s="300">
        <f t="shared" si="640"/>
        <v>1.1000000000000001</v>
      </c>
      <c r="L5064" s="300">
        <f t="shared" si="645"/>
        <v>0</v>
      </c>
      <c r="M5064" s="285">
        <f t="shared" si="646"/>
        <v>0</v>
      </c>
      <c r="N5064" s="1076"/>
      <c r="O5064" s="294"/>
      <c r="P5064" s="404"/>
      <c r="Q5064" s="404"/>
    </row>
    <row r="5065" spans="1:17" ht="14.4" thickTop="1" thickBot="1" x14ac:dyDescent="0.3">
      <c r="A5065" s="292"/>
      <c r="B5065" s="296"/>
      <c r="C5065" s="294"/>
      <c r="D5065" s="294"/>
      <c r="E5065" s="294"/>
      <c r="F5065" s="310"/>
      <c r="G5065" s="310"/>
      <c r="H5065" s="310"/>
      <c r="I5065" s="295"/>
      <c r="J5065" s="295"/>
      <c r="K5065" s="300">
        <f t="shared" si="640"/>
        <v>1.1000000000000001</v>
      </c>
      <c r="L5065" s="300">
        <f t="shared" si="645"/>
        <v>0</v>
      </c>
      <c r="M5065" s="285">
        <f t="shared" si="646"/>
        <v>0</v>
      </c>
      <c r="N5065" s="1076"/>
      <c r="O5065" s="294"/>
      <c r="P5065" s="404"/>
      <c r="Q5065" s="404"/>
    </row>
    <row r="5066" spans="1:17" ht="14.4" thickTop="1" thickBot="1" x14ac:dyDescent="0.3">
      <c r="A5066" s="292"/>
      <c r="B5066" s="296"/>
      <c r="C5066" s="294"/>
      <c r="D5066" s="294"/>
      <c r="E5066" s="294"/>
      <c r="F5066" s="310"/>
      <c r="G5066" s="310"/>
      <c r="H5066" s="310"/>
      <c r="I5066" s="295"/>
      <c r="J5066" s="295"/>
      <c r="K5066" s="300">
        <f t="shared" si="640"/>
        <v>1.1000000000000001</v>
      </c>
      <c r="L5066" s="300">
        <f t="shared" si="645"/>
        <v>0</v>
      </c>
      <c r="M5066" s="285">
        <f t="shared" si="646"/>
        <v>0</v>
      </c>
      <c r="N5066" s="1076"/>
      <c r="O5066" s="294"/>
      <c r="P5066" s="404"/>
      <c r="Q5066" s="404"/>
    </row>
    <row r="5067" spans="1:17" ht="14.4" thickTop="1" thickBot="1" x14ac:dyDescent="0.3">
      <c r="A5067" s="292"/>
      <c r="B5067" s="296"/>
      <c r="C5067" s="294"/>
      <c r="D5067" s="294"/>
      <c r="E5067" s="294"/>
      <c r="F5067" s="310"/>
      <c r="G5067" s="310"/>
      <c r="H5067" s="310"/>
      <c r="I5067" s="295"/>
      <c r="J5067" s="295"/>
      <c r="K5067" s="300">
        <f t="shared" si="640"/>
        <v>1.1000000000000001</v>
      </c>
      <c r="L5067" s="300">
        <f t="shared" si="645"/>
        <v>0</v>
      </c>
      <c r="M5067" s="285">
        <f t="shared" si="646"/>
        <v>0</v>
      </c>
      <c r="N5067" s="1076"/>
      <c r="O5067" s="294"/>
      <c r="P5067" s="404"/>
      <c r="Q5067" s="404"/>
    </row>
    <row r="5068" spans="1:17" ht="14.4" thickTop="1" thickBot="1" x14ac:dyDescent="0.3">
      <c r="A5068" s="292"/>
      <c r="B5068" s="296"/>
      <c r="C5068" s="294"/>
      <c r="D5068" s="294"/>
      <c r="E5068" s="294"/>
      <c r="F5068" s="310"/>
      <c r="G5068" s="310"/>
      <c r="H5068" s="310"/>
      <c r="I5068" s="295"/>
      <c r="J5068" s="295"/>
      <c r="K5068" s="300">
        <f t="shared" si="640"/>
        <v>1.1000000000000001</v>
      </c>
      <c r="L5068" s="300">
        <f t="shared" si="645"/>
        <v>0</v>
      </c>
      <c r="M5068" s="285">
        <f t="shared" si="646"/>
        <v>0</v>
      </c>
      <c r="N5068" s="1076"/>
      <c r="O5068" s="294"/>
      <c r="P5068" s="404"/>
      <c r="Q5068" s="404"/>
    </row>
    <row r="5069" spans="1:17" ht="14.4" thickTop="1" thickBot="1" x14ac:dyDescent="0.3">
      <c r="A5069" s="292"/>
      <c r="B5069" s="296"/>
      <c r="C5069" s="294"/>
      <c r="D5069" s="294"/>
      <c r="E5069" s="294"/>
      <c r="F5069" s="310"/>
      <c r="G5069" s="310"/>
      <c r="H5069" s="310"/>
      <c r="I5069" s="295"/>
      <c r="J5069" s="295"/>
      <c r="K5069" s="300">
        <f t="shared" si="640"/>
        <v>1.1000000000000001</v>
      </c>
      <c r="L5069" s="300">
        <f t="shared" si="645"/>
        <v>0</v>
      </c>
      <c r="M5069" s="285">
        <f t="shared" si="646"/>
        <v>0</v>
      </c>
      <c r="N5069" s="1076"/>
      <c r="O5069" s="294"/>
      <c r="P5069" s="404"/>
      <c r="Q5069" s="404"/>
    </row>
    <row r="5070" spans="1:17" ht="14.4" thickTop="1" thickBot="1" x14ac:dyDescent="0.3">
      <c r="A5070" s="292"/>
      <c r="B5070" s="296"/>
      <c r="C5070" s="294"/>
      <c r="D5070" s="294"/>
      <c r="E5070" s="294"/>
      <c r="F5070" s="310"/>
      <c r="G5070" s="310"/>
      <c r="H5070" s="310"/>
      <c r="I5070" s="295"/>
      <c r="J5070" s="295"/>
      <c r="K5070" s="300">
        <f t="shared" si="640"/>
        <v>1.1000000000000001</v>
      </c>
      <c r="L5070" s="300">
        <f t="shared" si="645"/>
        <v>0</v>
      </c>
      <c r="M5070" s="285">
        <f t="shared" si="646"/>
        <v>0</v>
      </c>
      <c r="N5070" s="1076"/>
      <c r="O5070" s="294"/>
      <c r="P5070" s="404"/>
      <c r="Q5070" s="404"/>
    </row>
    <row r="5071" spans="1:17" ht="14.4" thickTop="1" thickBot="1" x14ac:dyDescent="0.3">
      <c r="A5071" s="292"/>
      <c r="B5071" s="296"/>
      <c r="C5071" s="294"/>
      <c r="D5071" s="294"/>
      <c r="E5071" s="294"/>
      <c r="F5071" s="310"/>
      <c r="G5071" s="310"/>
      <c r="H5071" s="310"/>
      <c r="I5071" s="295"/>
      <c r="J5071" s="295"/>
      <c r="K5071" s="300">
        <f t="shared" si="640"/>
        <v>1.1000000000000001</v>
      </c>
      <c r="L5071" s="300">
        <f t="shared" si="645"/>
        <v>0</v>
      </c>
      <c r="M5071" s="285">
        <f t="shared" si="646"/>
        <v>0</v>
      </c>
      <c r="N5071" s="1076"/>
      <c r="O5071" s="294"/>
      <c r="P5071" s="404"/>
      <c r="Q5071" s="404"/>
    </row>
    <row r="5072" spans="1:17" ht="14.4" thickTop="1" thickBot="1" x14ac:dyDescent="0.3">
      <c r="A5072" s="292"/>
      <c r="B5072" s="296"/>
      <c r="C5072" s="294"/>
      <c r="D5072" s="294"/>
      <c r="E5072" s="294"/>
      <c r="F5072" s="310"/>
      <c r="G5072" s="310"/>
      <c r="H5072" s="310"/>
      <c r="I5072" s="295"/>
      <c r="J5072" s="295"/>
      <c r="K5072" s="300">
        <f t="shared" si="640"/>
        <v>1.1000000000000001</v>
      </c>
      <c r="L5072" s="300">
        <f t="shared" si="645"/>
        <v>0</v>
      </c>
      <c r="M5072" s="285">
        <f t="shared" si="646"/>
        <v>0</v>
      </c>
      <c r="N5072" s="1076"/>
      <c r="O5072" s="294"/>
      <c r="P5072" s="404"/>
      <c r="Q5072" s="404"/>
    </row>
    <row r="5073" spans="1:17" ht="14.4" thickTop="1" thickBot="1" x14ac:dyDescent="0.3">
      <c r="A5073" s="292"/>
      <c r="B5073" s="296"/>
      <c r="C5073" s="294"/>
      <c r="D5073" s="294"/>
      <c r="E5073" s="294"/>
      <c r="F5073" s="310"/>
      <c r="G5073" s="310"/>
      <c r="H5073" s="310"/>
      <c r="I5073" s="295"/>
      <c r="J5073" s="295"/>
      <c r="K5073" s="300">
        <f t="shared" si="640"/>
        <v>1.1000000000000001</v>
      </c>
      <c r="L5073" s="300">
        <f t="shared" si="645"/>
        <v>0</v>
      </c>
      <c r="M5073" s="285">
        <f t="shared" si="646"/>
        <v>0</v>
      </c>
      <c r="N5073" s="1076"/>
      <c r="O5073" s="294"/>
      <c r="P5073" s="404"/>
      <c r="Q5073" s="404"/>
    </row>
    <row r="5074" spans="1:17" ht="14.4" thickTop="1" thickBot="1" x14ac:dyDescent="0.3">
      <c r="A5074" s="292"/>
      <c r="B5074" s="296"/>
      <c r="C5074" s="294"/>
      <c r="D5074" s="294"/>
      <c r="E5074" s="294"/>
      <c r="F5074" s="310"/>
      <c r="G5074" s="310"/>
      <c r="H5074" s="310"/>
      <c r="I5074" s="295"/>
      <c r="J5074" s="295"/>
      <c r="K5074" s="300">
        <f t="shared" si="640"/>
        <v>1.1000000000000001</v>
      </c>
      <c r="L5074" s="300">
        <f t="shared" si="645"/>
        <v>0</v>
      </c>
      <c r="M5074" s="285">
        <f t="shared" si="646"/>
        <v>0</v>
      </c>
      <c r="N5074" s="1076"/>
      <c r="O5074" s="294"/>
      <c r="P5074" s="404"/>
      <c r="Q5074" s="404"/>
    </row>
    <row r="5075" spans="1:17" ht="14.4" thickTop="1" thickBot="1" x14ac:dyDescent="0.3">
      <c r="A5075" s="292"/>
      <c r="B5075" s="296"/>
      <c r="C5075" s="294"/>
      <c r="D5075" s="294"/>
      <c r="E5075" s="294"/>
      <c r="F5075" s="310"/>
      <c r="G5075" s="310"/>
      <c r="H5075" s="310"/>
      <c r="I5075" s="295"/>
      <c r="J5075" s="295"/>
      <c r="K5075" s="300">
        <f t="shared" si="640"/>
        <v>1.1000000000000001</v>
      </c>
      <c r="L5075" s="300">
        <f t="shared" si="645"/>
        <v>0</v>
      </c>
      <c r="M5075" s="285">
        <f t="shared" si="646"/>
        <v>0</v>
      </c>
      <c r="N5075" s="1076"/>
      <c r="O5075" s="294"/>
      <c r="P5075" s="404"/>
      <c r="Q5075" s="404"/>
    </row>
    <row r="5076" spans="1:17" ht="14.4" thickTop="1" thickBot="1" x14ac:dyDescent="0.3">
      <c r="A5076" s="292"/>
      <c r="B5076" s="296"/>
      <c r="C5076" s="294"/>
      <c r="D5076" s="294"/>
      <c r="E5076" s="294"/>
      <c r="F5076" s="310"/>
      <c r="G5076" s="310"/>
      <c r="H5076" s="310"/>
      <c r="I5076" s="295"/>
      <c r="J5076" s="295"/>
      <c r="K5076" s="300">
        <f t="shared" si="640"/>
        <v>1.1000000000000001</v>
      </c>
      <c r="L5076" s="300">
        <f t="shared" si="645"/>
        <v>0</v>
      </c>
      <c r="M5076" s="285">
        <f t="shared" si="646"/>
        <v>0</v>
      </c>
      <c r="N5076" s="1076"/>
      <c r="O5076" s="294"/>
      <c r="P5076" s="404"/>
      <c r="Q5076" s="404"/>
    </row>
    <row r="5077" spans="1:17" ht="14.4" thickTop="1" thickBot="1" x14ac:dyDescent="0.3">
      <c r="A5077" s="292"/>
      <c r="B5077" s="296"/>
      <c r="C5077" s="294"/>
      <c r="D5077" s="294"/>
      <c r="E5077" s="294"/>
      <c r="F5077" s="310"/>
      <c r="G5077" s="310"/>
      <c r="H5077" s="310"/>
      <c r="I5077" s="295"/>
      <c r="J5077" s="295"/>
      <c r="K5077" s="300">
        <f t="shared" si="640"/>
        <v>1.1000000000000001</v>
      </c>
      <c r="L5077" s="300">
        <f t="shared" si="645"/>
        <v>0</v>
      </c>
      <c r="M5077" s="285">
        <f t="shared" si="646"/>
        <v>0</v>
      </c>
      <c r="N5077" s="1076"/>
      <c r="O5077" s="294"/>
      <c r="P5077" s="404"/>
      <c r="Q5077" s="404"/>
    </row>
    <row r="5078" spans="1:17" ht="14.4" thickTop="1" thickBot="1" x14ac:dyDescent="0.3">
      <c r="A5078" s="292"/>
      <c r="B5078" s="296"/>
      <c r="C5078" s="294"/>
      <c r="D5078" s="294"/>
      <c r="E5078" s="294"/>
      <c r="F5078" s="310"/>
      <c r="G5078" s="310"/>
      <c r="H5078" s="310"/>
      <c r="I5078" s="295"/>
      <c r="J5078" s="295"/>
      <c r="K5078" s="300">
        <f t="shared" si="640"/>
        <v>1.1000000000000001</v>
      </c>
      <c r="L5078" s="300">
        <f t="shared" si="645"/>
        <v>0</v>
      </c>
      <c r="M5078" s="285">
        <f t="shared" si="646"/>
        <v>0</v>
      </c>
      <c r="N5078" s="1076"/>
      <c r="O5078" s="294"/>
      <c r="P5078" s="404"/>
      <c r="Q5078" s="404"/>
    </row>
    <row r="5079" spans="1:17" ht="14.4" thickTop="1" thickBot="1" x14ac:dyDescent="0.3">
      <c r="A5079" s="292"/>
      <c r="B5079" s="296"/>
      <c r="C5079" s="294"/>
      <c r="D5079" s="294"/>
      <c r="E5079" s="294"/>
      <c r="F5079" s="310"/>
      <c r="G5079" s="310"/>
      <c r="H5079" s="310"/>
      <c r="I5079" s="295"/>
      <c r="J5079" s="295"/>
      <c r="K5079" s="300">
        <f t="shared" si="640"/>
        <v>1.1000000000000001</v>
      </c>
      <c r="L5079" s="300">
        <f t="shared" si="645"/>
        <v>0</v>
      </c>
      <c r="M5079" s="285">
        <f t="shared" si="646"/>
        <v>0</v>
      </c>
      <c r="N5079" s="1076"/>
      <c r="O5079" s="294"/>
      <c r="P5079" s="404"/>
      <c r="Q5079" s="404"/>
    </row>
    <row r="5080" spans="1:17" ht="14.4" thickTop="1" thickBot="1" x14ac:dyDescent="0.3">
      <c r="A5080" s="292"/>
      <c r="B5080" s="296"/>
      <c r="C5080" s="294"/>
      <c r="D5080" s="294"/>
      <c r="E5080" s="294"/>
      <c r="F5080" s="310"/>
      <c r="G5080" s="310"/>
      <c r="H5080" s="310"/>
      <c r="I5080" s="295"/>
      <c r="J5080" s="295"/>
      <c r="K5080" s="300">
        <f t="shared" si="640"/>
        <v>1.1000000000000001</v>
      </c>
      <c r="L5080" s="300">
        <f t="shared" si="645"/>
        <v>0</v>
      </c>
      <c r="M5080" s="285">
        <f t="shared" si="646"/>
        <v>0</v>
      </c>
      <c r="N5080" s="1076"/>
      <c r="O5080" s="294"/>
      <c r="P5080" s="404"/>
      <c r="Q5080" s="404"/>
    </row>
    <row r="5081" spans="1:17" ht="14.4" thickTop="1" thickBot="1" x14ac:dyDescent="0.3">
      <c r="A5081" s="292"/>
      <c r="B5081" s="296"/>
      <c r="C5081" s="294"/>
      <c r="D5081" s="294"/>
      <c r="E5081" s="294"/>
      <c r="F5081" s="310"/>
      <c r="G5081" s="310"/>
      <c r="H5081" s="310"/>
      <c r="I5081" s="295"/>
      <c r="J5081" s="295"/>
      <c r="K5081" s="300">
        <f t="shared" si="640"/>
        <v>1.1000000000000001</v>
      </c>
      <c r="L5081" s="300">
        <f t="shared" si="645"/>
        <v>0</v>
      </c>
      <c r="M5081" s="285">
        <f t="shared" si="646"/>
        <v>0</v>
      </c>
      <c r="N5081" s="1076"/>
      <c r="O5081" s="294"/>
      <c r="P5081" s="404"/>
      <c r="Q5081" s="404"/>
    </row>
    <row r="5082" spans="1:17" ht="14.4" thickTop="1" thickBot="1" x14ac:dyDescent="0.3">
      <c r="A5082" s="292"/>
      <c r="B5082" s="296"/>
      <c r="C5082" s="294"/>
      <c r="D5082" s="294"/>
      <c r="E5082" s="294"/>
      <c r="F5082" s="310"/>
      <c r="G5082" s="310"/>
      <c r="H5082" s="310"/>
      <c r="I5082" s="295"/>
      <c r="J5082" s="295"/>
      <c r="K5082" s="300">
        <f t="shared" si="640"/>
        <v>1.1000000000000001</v>
      </c>
      <c r="L5082" s="300">
        <f t="shared" si="645"/>
        <v>0</v>
      </c>
      <c r="M5082" s="285">
        <f t="shared" si="646"/>
        <v>0</v>
      </c>
      <c r="N5082" s="1076"/>
      <c r="O5082" s="294"/>
      <c r="P5082" s="404"/>
      <c r="Q5082" s="404"/>
    </row>
    <row r="5083" spans="1:17" ht="14.4" thickTop="1" thickBot="1" x14ac:dyDescent="0.3">
      <c r="A5083" s="292"/>
      <c r="B5083" s="296"/>
      <c r="C5083" s="294"/>
      <c r="D5083" s="294"/>
      <c r="E5083" s="294"/>
      <c r="F5083" s="310"/>
      <c r="G5083" s="310"/>
      <c r="H5083" s="310"/>
      <c r="I5083" s="295"/>
      <c r="J5083" s="295"/>
      <c r="K5083" s="300">
        <f t="shared" si="640"/>
        <v>1.1000000000000001</v>
      </c>
      <c r="L5083" s="300">
        <f t="shared" si="645"/>
        <v>0</v>
      </c>
      <c r="M5083" s="285">
        <f t="shared" si="646"/>
        <v>0</v>
      </c>
      <c r="N5083" s="1076"/>
      <c r="O5083" s="294"/>
      <c r="P5083" s="404"/>
      <c r="Q5083" s="404"/>
    </row>
    <row r="5084" spans="1:17" ht="14.4" thickTop="1" thickBot="1" x14ac:dyDescent="0.3">
      <c r="A5084" s="292"/>
      <c r="B5084" s="296"/>
      <c r="C5084" s="294"/>
      <c r="D5084" s="294"/>
      <c r="E5084" s="294"/>
      <c r="F5084" s="310"/>
      <c r="G5084" s="310"/>
      <c r="H5084" s="310"/>
      <c r="I5084" s="295"/>
      <c r="J5084" s="295"/>
      <c r="K5084" s="300">
        <f t="shared" si="640"/>
        <v>1.1000000000000001</v>
      </c>
      <c r="L5084" s="300">
        <f t="shared" si="645"/>
        <v>0</v>
      </c>
      <c r="M5084" s="285">
        <f t="shared" si="646"/>
        <v>0</v>
      </c>
      <c r="N5084" s="1076"/>
      <c r="O5084" s="294"/>
      <c r="P5084" s="404"/>
      <c r="Q5084" s="404"/>
    </row>
    <row r="5085" spans="1:17" ht="14.4" thickTop="1" thickBot="1" x14ac:dyDescent="0.3">
      <c r="A5085" s="292"/>
      <c r="B5085" s="296"/>
      <c r="C5085" s="294"/>
      <c r="D5085" s="294"/>
      <c r="E5085" s="294"/>
      <c r="F5085" s="310"/>
      <c r="G5085" s="310"/>
      <c r="H5085" s="310"/>
      <c r="I5085" s="295"/>
      <c r="J5085" s="295"/>
      <c r="K5085" s="300">
        <f t="shared" si="640"/>
        <v>1.1000000000000001</v>
      </c>
      <c r="L5085" s="300">
        <f t="shared" si="645"/>
        <v>0</v>
      </c>
      <c r="M5085" s="285">
        <f t="shared" si="646"/>
        <v>0</v>
      </c>
      <c r="N5085" s="1076"/>
      <c r="O5085" s="294"/>
      <c r="P5085" s="404"/>
      <c r="Q5085" s="404"/>
    </row>
    <row r="5086" spans="1:17" ht="14.4" thickTop="1" thickBot="1" x14ac:dyDescent="0.3">
      <c r="A5086" s="292"/>
      <c r="B5086" s="296"/>
      <c r="C5086" s="294"/>
      <c r="D5086" s="294"/>
      <c r="E5086" s="294"/>
      <c r="F5086" s="310"/>
      <c r="G5086" s="310"/>
      <c r="H5086" s="310"/>
      <c r="I5086" s="295"/>
      <c r="J5086" s="295"/>
      <c r="K5086" s="300">
        <f t="shared" si="640"/>
        <v>1.1000000000000001</v>
      </c>
      <c r="L5086" s="300">
        <f t="shared" si="645"/>
        <v>0</v>
      </c>
      <c r="M5086" s="285">
        <f t="shared" si="646"/>
        <v>0</v>
      </c>
      <c r="N5086" s="1076"/>
      <c r="O5086" s="294"/>
      <c r="P5086" s="404"/>
      <c r="Q5086" s="404"/>
    </row>
    <row r="5087" spans="1:17" ht="14.4" thickTop="1" thickBot="1" x14ac:dyDescent="0.3">
      <c r="A5087" s="292"/>
      <c r="B5087" s="296"/>
      <c r="C5087" s="294"/>
      <c r="D5087" s="294"/>
      <c r="E5087" s="294"/>
      <c r="F5087" s="310"/>
      <c r="G5087" s="310"/>
      <c r="H5087" s="310"/>
      <c r="I5087" s="295"/>
      <c r="J5087" s="295"/>
      <c r="K5087" s="300">
        <f t="shared" si="640"/>
        <v>1.1000000000000001</v>
      </c>
      <c r="L5087" s="300">
        <f t="shared" si="645"/>
        <v>0</v>
      </c>
      <c r="M5087" s="285">
        <f t="shared" si="646"/>
        <v>0</v>
      </c>
      <c r="N5087" s="1076"/>
      <c r="O5087" s="294"/>
      <c r="P5087" s="404"/>
      <c r="Q5087" s="404"/>
    </row>
    <row r="5088" spans="1:17" ht="14.4" thickTop="1" thickBot="1" x14ac:dyDescent="0.3">
      <c r="A5088" s="292"/>
      <c r="B5088" s="296"/>
      <c r="C5088" s="294"/>
      <c r="D5088" s="294"/>
      <c r="E5088" s="294"/>
      <c r="F5088" s="310"/>
      <c r="G5088" s="310"/>
      <c r="H5088" s="310"/>
      <c r="I5088" s="295"/>
      <c r="J5088" s="295"/>
      <c r="K5088" s="300">
        <f t="shared" si="640"/>
        <v>1.1000000000000001</v>
      </c>
      <c r="L5088" s="300">
        <f t="shared" si="645"/>
        <v>0</v>
      </c>
      <c r="M5088" s="285">
        <f t="shared" si="646"/>
        <v>0</v>
      </c>
      <c r="N5088" s="1076"/>
      <c r="O5088" s="294"/>
      <c r="P5088" s="404"/>
      <c r="Q5088" s="404"/>
    </row>
    <row r="5089" spans="1:17" ht="14.4" thickTop="1" thickBot="1" x14ac:dyDescent="0.3">
      <c r="A5089" s="292"/>
      <c r="B5089" s="296"/>
      <c r="C5089" s="294"/>
      <c r="D5089" s="294"/>
      <c r="E5089" s="294"/>
      <c r="F5089" s="310"/>
      <c r="G5089" s="310"/>
      <c r="H5089" s="310"/>
      <c r="I5089" s="295"/>
      <c r="J5089" s="295"/>
      <c r="K5089" s="300">
        <f t="shared" si="640"/>
        <v>1.1000000000000001</v>
      </c>
      <c r="L5089" s="300">
        <f t="shared" si="645"/>
        <v>0</v>
      </c>
      <c r="M5089" s="285">
        <f t="shared" si="646"/>
        <v>0</v>
      </c>
      <c r="N5089" s="1076"/>
      <c r="O5089" s="294"/>
      <c r="P5089" s="404"/>
      <c r="Q5089" s="404"/>
    </row>
    <row r="5090" spans="1:17" ht="14.4" thickTop="1" thickBot="1" x14ac:dyDescent="0.3">
      <c r="A5090" s="292"/>
      <c r="B5090" s="296"/>
      <c r="C5090" s="294"/>
      <c r="D5090" s="294"/>
      <c r="E5090" s="294"/>
      <c r="F5090" s="310"/>
      <c r="G5090" s="310"/>
      <c r="H5090" s="310"/>
      <c r="I5090" s="295"/>
      <c r="J5090" s="295"/>
      <c r="K5090" s="300">
        <f t="shared" si="640"/>
        <v>1.1000000000000001</v>
      </c>
      <c r="L5090" s="300">
        <f t="shared" si="645"/>
        <v>0</v>
      </c>
      <c r="M5090" s="285">
        <f t="shared" si="646"/>
        <v>0</v>
      </c>
      <c r="N5090" s="1076"/>
      <c r="O5090" s="294"/>
      <c r="P5090" s="404"/>
      <c r="Q5090" s="404"/>
    </row>
    <row r="5091" spans="1:17" ht="14.4" thickTop="1" thickBot="1" x14ac:dyDescent="0.3">
      <c r="A5091" s="292"/>
      <c r="B5091" s="296"/>
      <c r="C5091" s="294"/>
      <c r="D5091" s="294"/>
      <c r="E5091" s="294"/>
      <c r="F5091" s="310"/>
      <c r="G5091" s="310"/>
      <c r="H5091" s="310"/>
      <c r="I5091" s="295"/>
      <c r="J5091" s="295"/>
      <c r="K5091" s="300">
        <f t="shared" si="640"/>
        <v>1.1000000000000001</v>
      </c>
      <c r="L5091" s="300">
        <f t="shared" si="645"/>
        <v>0</v>
      </c>
      <c r="M5091" s="285">
        <f t="shared" si="646"/>
        <v>0</v>
      </c>
      <c r="N5091" s="1076"/>
      <c r="O5091" s="294"/>
      <c r="P5091" s="404"/>
      <c r="Q5091" s="404"/>
    </row>
    <row r="5092" spans="1:17" ht="14.4" thickTop="1" thickBot="1" x14ac:dyDescent="0.3">
      <c r="A5092" s="292"/>
      <c r="B5092" s="296"/>
      <c r="C5092" s="294"/>
      <c r="D5092" s="294"/>
      <c r="E5092" s="294"/>
      <c r="F5092" s="310"/>
      <c r="G5092" s="310"/>
      <c r="H5092" s="310"/>
      <c r="I5092" s="295"/>
      <c r="J5092" s="295"/>
      <c r="K5092" s="300">
        <f t="shared" si="640"/>
        <v>1.1000000000000001</v>
      </c>
      <c r="L5092" s="300">
        <f t="shared" si="645"/>
        <v>0</v>
      </c>
      <c r="M5092" s="285">
        <f t="shared" si="646"/>
        <v>0</v>
      </c>
      <c r="N5092" s="1076"/>
      <c r="O5092" s="294"/>
      <c r="P5092" s="404"/>
      <c r="Q5092" s="404"/>
    </row>
    <row r="5093" spans="1:17" ht="14.4" thickTop="1" thickBot="1" x14ac:dyDescent="0.3">
      <c r="A5093" s="292"/>
      <c r="B5093" s="296"/>
      <c r="C5093" s="294"/>
      <c r="D5093" s="294"/>
      <c r="E5093" s="294"/>
      <c r="F5093" s="310"/>
      <c r="G5093" s="310"/>
      <c r="H5093" s="310"/>
      <c r="I5093" s="295"/>
      <c r="J5093" s="295"/>
      <c r="K5093" s="300">
        <f t="shared" si="640"/>
        <v>1.1000000000000001</v>
      </c>
      <c r="L5093" s="300">
        <f t="shared" si="645"/>
        <v>0</v>
      </c>
      <c r="M5093" s="285">
        <f t="shared" si="646"/>
        <v>0</v>
      </c>
      <c r="N5093" s="1076"/>
      <c r="O5093" s="294"/>
      <c r="P5093" s="404"/>
      <c r="Q5093" s="404"/>
    </row>
    <row r="5094" spans="1:17" ht="14.4" thickTop="1" thickBot="1" x14ac:dyDescent="0.3">
      <c r="A5094" s="292"/>
      <c r="B5094" s="296"/>
      <c r="C5094" s="294"/>
      <c r="D5094" s="294"/>
      <c r="E5094" s="294"/>
      <c r="F5094" s="310"/>
      <c r="G5094" s="310"/>
      <c r="H5094" s="310"/>
      <c r="I5094" s="295"/>
      <c r="J5094" s="295"/>
      <c r="K5094" s="300">
        <f t="shared" si="640"/>
        <v>1.1000000000000001</v>
      </c>
      <c r="L5094" s="300">
        <f t="shared" si="645"/>
        <v>0</v>
      </c>
      <c r="M5094" s="285">
        <f t="shared" si="646"/>
        <v>0</v>
      </c>
      <c r="N5094" s="1076"/>
      <c r="O5094" s="294"/>
      <c r="P5094" s="404"/>
      <c r="Q5094" s="404"/>
    </row>
    <row r="5095" spans="1:17" ht="14.4" thickTop="1" thickBot="1" x14ac:dyDescent="0.3">
      <c r="A5095" s="292"/>
      <c r="B5095" s="296"/>
      <c r="C5095" s="294"/>
      <c r="D5095" s="294"/>
      <c r="E5095" s="294"/>
      <c r="F5095" s="310"/>
      <c r="G5095" s="310"/>
      <c r="H5095" s="310"/>
      <c r="I5095" s="295"/>
      <c r="J5095" s="295"/>
      <c r="K5095" s="300">
        <f t="shared" si="640"/>
        <v>1.1000000000000001</v>
      </c>
      <c r="L5095" s="300">
        <f t="shared" si="645"/>
        <v>0</v>
      </c>
      <c r="M5095" s="285">
        <f t="shared" si="646"/>
        <v>0</v>
      </c>
      <c r="N5095" s="1076"/>
      <c r="O5095" s="294"/>
      <c r="P5095" s="404"/>
      <c r="Q5095" s="404"/>
    </row>
    <row r="5096" spans="1:17" ht="14.4" thickTop="1" thickBot="1" x14ac:dyDescent="0.3">
      <c r="A5096" s="292"/>
      <c r="B5096" s="296"/>
      <c r="C5096" s="294"/>
      <c r="D5096" s="294"/>
      <c r="E5096" s="294"/>
      <c r="F5096" s="310"/>
      <c r="G5096" s="310"/>
      <c r="H5096" s="310"/>
      <c r="I5096" s="295"/>
      <c r="J5096" s="295"/>
      <c r="K5096" s="300">
        <f t="shared" si="640"/>
        <v>1.1000000000000001</v>
      </c>
      <c r="L5096" s="300">
        <f t="shared" si="645"/>
        <v>0</v>
      </c>
      <c r="M5096" s="285">
        <f t="shared" si="646"/>
        <v>0</v>
      </c>
      <c r="N5096" s="1076"/>
      <c r="O5096" s="294"/>
      <c r="P5096" s="404"/>
      <c r="Q5096" s="404"/>
    </row>
    <row r="5097" spans="1:17" ht="14.4" thickTop="1" thickBot="1" x14ac:dyDescent="0.3">
      <c r="A5097" s="292"/>
      <c r="B5097" s="296"/>
      <c r="C5097" s="294"/>
      <c r="D5097" s="294"/>
      <c r="E5097" s="294"/>
      <c r="F5097" s="310"/>
      <c r="G5097" s="310"/>
      <c r="H5097" s="310"/>
      <c r="I5097" s="295"/>
      <c r="J5097" s="295"/>
      <c r="K5097" s="300">
        <f t="shared" si="640"/>
        <v>1.1000000000000001</v>
      </c>
      <c r="L5097" s="300">
        <f t="shared" ref="L5097:L5160" si="647">K5097*J5097</f>
        <v>0</v>
      </c>
      <c r="M5097" s="285">
        <f t="shared" si="646"/>
        <v>0</v>
      </c>
      <c r="N5097" s="1076"/>
      <c r="O5097" s="294"/>
      <c r="P5097" s="404"/>
      <c r="Q5097" s="404"/>
    </row>
    <row r="5098" spans="1:17" ht="14.4" thickTop="1" thickBot="1" x14ac:dyDescent="0.3">
      <c r="A5098" s="292"/>
      <c r="B5098" s="296"/>
      <c r="C5098" s="294"/>
      <c r="D5098" s="294"/>
      <c r="E5098" s="294"/>
      <c r="F5098" s="310"/>
      <c r="G5098" s="310"/>
      <c r="H5098" s="310"/>
      <c r="I5098" s="295"/>
      <c r="J5098" s="295"/>
      <c r="K5098" s="300">
        <f t="shared" si="640"/>
        <v>1.1000000000000001</v>
      </c>
      <c r="L5098" s="300">
        <f t="shared" si="647"/>
        <v>0</v>
      </c>
      <c r="M5098" s="285">
        <f t="shared" si="646"/>
        <v>0</v>
      </c>
      <c r="N5098" s="1076"/>
      <c r="O5098" s="294"/>
      <c r="P5098" s="404"/>
      <c r="Q5098" s="404"/>
    </row>
    <row r="5099" spans="1:17" ht="14.4" thickTop="1" thickBot="1" x14ac:dyDescent="0.3">
      <c r="A5099" s="292"/>
      <c r="B5099" s="296"/>
      <c r="C5099" s="294"/>
      <c r="D5099" s="294"/>
      <c r="E5099" s="294"/>
      <c r="F5099" s="310"/>
      <c r="G5099" s="310"/>
      <c r="H5099" s="310"/>
      <c r="I5099" s="295"/>
      <c r="J5099" s="295"/>
      <c r="K5099" s="300">
        <f t="shared" si="640"/>
        <v>1.1000000000000001</v>
      </c>
      <c r="L5099" s="300">
        <f t="shared" si="647"/>
        <v>0</v>
      </c>
      <c r="M5099" s="285">
        <f t="shared" si="646"/>
        <v>0</v>
      </c>
      <c r="N5099" s="1076"/>
      <c r="O5099" s="294"/>
      <c r="P5099" s="404"/>
      <c r="Q5099" s="404"/>
    </row>
    <row r="5100" spans="1:17" ht="14.4" thickTop="1" thickBot="1" x14ac:dyDescent="0.3">
      <c r="A5100" s="292"/>
      <c r="B5100" s="296"/>
      <c r="C5100" s="294"/>
      <c r="D5100" s="294"/>
      <c r="E5100" s="294"/>
      <c r="F5100" s="310"/>
      <c r="G5100" s="310"/>
      <c r="H5100" s="310"/>
      <c r="I5100" s="295"/>
      <c r="J5100" s="295"/>
      <c r="K5100" s="300">
        <f t="shared" si="640"/>
        <v>1.1000000000000001</v>
      </c>
      <c r="L5100" s="300">
        <f t="shared" si="647"/>
        <v>0</v>
      </c>
      <c r="M5100" s="285">
        <f t="shared" si="646"/>
        <v>0</v>
      </c>
      <c r="N5100" s="1076"/>
      <c r="O5100" s="294"/>
      <c r="P5100" s="404"/>
      <c r="Q5100" s="404"/>
    </row>
    <row r="5101" spans="1:17" ht="14.4" thickTop="1" thickBot="1" x14ac:dyDescent="0.3">
      <c r="A5101" s="292"/>
      <c r="B5101" s="296"/>
      <c r="C5101" s="294"/>
      <c r="D5101" s="294"/>
      <c r="E5101" s="294"/>
      <c r="F5101" s="310"/>
      <c r="G5101" s="310"/>
      <c r="H5101" s="310"/>
      <c r="I5101" s="295"/>
      <c r="J5101" s="295"/>
      <c r="K5101" s="300">
        <f t="shared" si="640"/>
        <v>1.1000000000000001</v>
      </c>
      <c r="L5101" s="300">
        <f t="shared" si="647"/>
        <v>0</v>
      </c>
      <c r="M5101" s="285">
        <f t="shared" ref="M5101:M5164" si="648">ROUND(L5101,0)</f>
        <v>0</v>
      </c>
      <c r="N5101" s="1076"/>
      <c r="O5101" s="294"/>
      <c r="P5101" s="404"/>
      <c r="Q5101" s="404"/>
    </row>
    <row r="5102" spans="1:17" ht="14.4" thickTop="1" thickBot="1" x14ac:dyDescent="0.3">
      <c r="A5102" s="292"/>
      <c r="B5102" s="296"/>
      <c r="C5102" s="294"/>
      <c r="D5102" s="294"/>
      <c r="E5102" s="294"/>
      <c r="F5102" s="310"/>
      <c r="G5102" s="310"/>
      <c r="H5102" s="310"/>
      <c r="I5102" s="295"/>
      <c r="J5102" s="295"/>
      <c r="K5102" s="300">
        <f t="shared" si="640"/>
        <v>1.1000000000000001</v>
      </c>
      <c r="L5102" s="300">
        <f t="shared" si="647"/>
        <v>0</v>
      </c>
      <c r="M5102" s="285">
        <f t="shared" si="648"/>
        <v>0</v>
      </c>
      <c r="N5102" s="1076"/>
      <c r="O5102" s="294"/>
      <c r="P5102" s="404"/>
      <c r="Q5102" s="404"/>
    </row>
    <row r="5103" spans="1:17" ht="14.4" thickTop="1" thickBot="1" x14ac:dyDescent="0.3">
      <c r="A5103" s="292"/>
      <c r="B5103" s="296"/>
      <c r="C5103" s="294"/>
      <c r="D5103" s="294"/>
      <c r="E5103" s="294"/>
      <c r="F5103" s="310"/>
      <c r="G5103" s="310"/>
      <c r="H5103" s="310"/>
      <c r="I5103" s="295"/>
      <c r="J5103" s="295"/>
      <c r="K5103" s="300">
        <f t="shared" si="640"/>
        <v>1.1000000000000001</v>
      </c>
      <c r="L5103" s="300">
        <f t="shared" si="647"/>
        <v>0</v>
      </c>
      <c r="M5103" s="285">
        <f t="shared" si="648"/>
        <v>0</v>
      </c>
      <c r="N5103" s="1076"/>
      <c r="O5103" s="294"/>
      <c r="P5103" s="404"/>
      <c r="Q5103" s="404"/>
    </row>
    <row r="5104" spans="1:17" ht="14.4" thickTop="1" thickBot="1" x14ac:dyDescent="0.3">
      <c r="A5104" s="292"/>
      <c r="B5104" s="296"/>
      <c r="C5104" s="294"/>
      <c r="D5104" s="294"/>
      <c r="E5104" s="294"/>
      <c r="F5104" s="310"/>
      <c r="G5104" s="310"/>
      <c r="H5104" s="310"/>
      <c r="I5104" s="295"/>
      <c r="J5104" s="295"/>
      <c r="K5104" s="300">
        <f t="shared" si="640"/>
        <v>1.1000000000000001</v>
      </c>
      <c r="L5104" s="300">
        <f t="shared" si="647"/>
        <v>0</v>
      </c>
      <c r="M5104" s="285">
        <f t="shared" si="648"/>
        <v>0</v>
      </c>
      <c r="N5104" s="1076"/>
      <c r="O5104" s="294"/>
      <c r="P5104" s="404"/>
      <c r="Q5104" s="404"/>
    </row>
    <row r="5105" spans="1:17" ht="14.4" thickTop="1" thickBot="1" x14ac:dyDescent="0.3">
      <c r="A5105" s="292"/>
      <c r="B5105" s="296"/>
      <c r="C5105" s="294"/>
      <c r="D5105" s="294"/>
      <c r="E5105" s="294"/>
      <c r="F5105" s="310"/>
      <c r="G5105" s="310"/>
      <c r="H5105" s="310"/>
      <c r="I5105" s="295"/>
      <c r="J5105" s="295"/>
      <c r="K5105" s="300">
        <f t="shared" si="640"/>
        <v>1.1000000000000001</v>
      </c>
      <c r="L5105" s="300">
        <f t="shared" si="647"/>
        <v>0</v>
      </c>
      <c r="M5105" s="285">
        <f t="shared" si="648"/>
        <v>0</v>
      </c>
      <c r="N5105" s="1076"/>
      <c r="O5105" s="294"/>
      <c r="P5105" s="404"/>
      <c r="Q5105" s="404"/>
    </row>
    <row r="5106" spans="1:17" ht="14.4" thickTop="1" thickBot="1" x14ac:dyDescent="0.3">
      <c r="A5106" s="292"/>
      <c r="B5106" s="296"/>
      <c r="C5106" s="294"/>
      <c r="D5106" s="294"/>
      <c r="E5106" s="294"/>
      <c r="F5106" s="310"/>
      <c r="G5106" s="310"/>
      <c r="H5106" s="310"/>
      <c r="I5106" s="295"/>
      <c r="J5106" s="295"/>
      <c r="K5106" s="300">
        <f t="shared" si="640"/>
        <v>1.1000000000000001</v>
      </c>
      <c r="L5106" s="300">
        <f t="shared" si="647"/>
        <v>0</v>
      </c>
      <c r="M5106" s="285">
        <f t="shared" si="648"/>
        <v>0</v>
      </c>
      <c r="N5106" s="1076"/>
      <c r="O5106" s="294"/>
      <c r="P5106" s="404"/>
      <c r="Q5106" s="404"/>
    </row>
    <row r="5107" spans="1:17" ht="14.4" thickTop="1" thickBot="1" x14ac:dyDescent="0.3">
      <c r="A5107" s="292"/>
      <c r="B5107" s="296"/>
      <c r="C5107" s="294"/>
      <c r="D5107" s="294"/>
      <c r="E5107" s="294"/>
      <c r="F5107" s="310"/>
      <c r="G5107" s="310"/>
      <c r="H5107" s="310"/>
      <c r="I5107" s="295"/>
      <c r="J5107" s="295"/>
      <c r="K5107" s="300">
        <f t="shared" si="640"/>
        <v>1.1000000000000001</v>
      </c>
      <c r="L5107" s="300">
        <f t="shared" si="647"/>
        <v>0</v>
      </c>
      <c r="M5107" s="285">
        <f t="shared" si="648"/>
        <v>0</v>
      </c>
      <c r="N5107" s="1076"/>
      <c r="O5107" s="294"/>
      <c r="P5107" s="404"/>
      <c r="Q5107" s="404"/>
    </row>
    <row r="5108" spans="1:17" ht="14.4" thickTop="1" thickBot="1" x14ac:dyDescent="0.3">
      <c r="A5108" s="292"/>
      <c r="B5108" s="296"/>
      <c r="C5108" s="294"/>
      <c r="D5108" s="294"/>
      <c r="E5108" s="294"/>
      <c r="F5108" s="310"/>
      <c r="G5108" s="310"/>
      <c r="H5108" s="310"/>
      <c r="I5108" s="295"/>
      <c r="J5108" s="295"/>
      <c r="K5108" s="300">
        <f t="shared" si="640"/>
        <v>1.1000000000000001</v>
      </c>
      <c r="L5108" s="300">
        <f t="shared" si="647"/>
        <v>0</v>
      </c>
      <c r="M5108" s="285">
        <f t="shared" si="648"/>
        <v>0</v>
      </c>
      <c r="N5108" s="1076"/>
      <c r="O5108" s="294"/>
      <c r="P5108" s="404"/>
      <c r="Q5108" s="404"/>
    </row>
    <row r="5109" spans="1:17" ht="14.4" thickTop="1" thickBot="1" x14ac:dyDescent="0.3">
      <c r="A5109" s="292"/>
      <c r="B5109" s="296"/>
      <c r="C5109" s="294"/>
      <c r="D5109" s="294"/>
      <c r="E5109" s="294"/>
      <c r="F5109" s="310"/>
      <c r="G5109" s="310"/>
      <c r="H5109" s="310"/>
      <c r="I5109" s="295"/>
      <c r="J5109" s="295"/>
      <c r="K5109" s="300">
        <f t="shared" si="640"/>
        <v>1.1000000000000001</v>
      </c>
      <c r="L5109" s="300">
        <f t="shared" si="647"/>
        <v>0</v>
      </c>
      <c r="M5109" s="285">
        <f t="shared" si="648"/>
        <v>0</v>
      </c>
      <c r="N5109" s="1076"/>
      <c r="O5109" s="294"/>
      <c r="P5109" s="404"/>
      <c r="Q5109" s="404"/>
    </row>
    <row r="5110" spans="1:17" ht="14.4" thickTop="1" thickBot="1" x14ac:dyDescent="0.3">
      <c r="A5110" s="292"/>
      <c r="B5110" s="296"/>
      <c r="C5110" s="294"/>
      <c r="D5110" s="294"/>
      <c r="E5110" s="294"/>
      <c r="F5110" s="310"/>
      <c r="G5110" s="310"/>
      <c r="H5110" s="310"/>
      <c r="I5110" s="295"/>
      <c r="J5110" s="295"/>
      <c r="K5110" s="300">
        <f t="shared" si="640"/>
        <v>1.1000000000000001</v>
      </c>
      <c r="L5110" s="300">
        <f t="shared" si="647"/>
        <v>0</v>
      </c>
      <c r="M5110" s="285">
        <f t="shared" si="648"/>
        <v>0</v>
      </c>
      <c r="N5110" s="1076"/>
      <c r="O5110" s="294"/>
      <c r="P5110" s="404"/>
      <c r="Q5110" s="404"/>
    </row>
    <row r="5111" spans="1:17" ht="14.4" thickTop="1" thickBot="1" x14ac:dyDescent="0.3">
      <c r="A5111" s="292"/>
      <c r="B5111" s="296"/>
      <c r="C5111" s="294"/>
      <c r="D5111" s="294"/>
      <c r="E5111" s="294"/>
      <c r="F5111" s="310"/>
      <c r="G5111" s="310"/>
      <c r="H5111" s="310"/>
      <c r="I5111" s="295"/>
      <c r="J5111" s="295"/>
      <c r="K5111" s="300">
        <f t="shared" si="640"/>
        <v>1.1000000000000001</v>
      </c>
      <c r="L5111" s="300">
        <f t="shared" si="647"/>
        <v>0</v>
      </c>
      <c r="M5111" s="285">
        <f t="shared" si="648"/>
        <v>0</v>
      </c>
      <c r="N5111" s="1076"/>
      <c r="O5111" s="294"/>
      <c r="P5111" s="404"/>
      <c r="Q5111" s="404"/>
    </row>
    <row r="5112" spans="1:17" ht="14.4" thickTop="1" thickBot="1" x14ac:dyDescent="0.3">
      <c r="A5112" s="292"/>
      <c r="B5112" s="296"/>
      <c r="C5112" s="294"/>
      <c r="D5112" s="294"/>
      <c r="E5112" s="294"/>
      <c r="F5112" s="310"/>
      <c r="G5112" s="310"/>
      <c r="H5112" s="310"/>
      <c r="I5112" s="295"/>
      <c r="J5112" s="295"/>
      <c r="K5112" s="300">
        <f t="shared" si="640"/>
        <v>1.1000000000000001</v>
      </c>
      <c r="L5112" s="300">
        <f t="shared" si="647"/>
        <v>0</v>
      </c>
      <c r="M5112" s="285">
        <f t="shared" si="648"/>
        <v>0</v>
      </c>
      <c r="N5112" s="1076"/>
      <c r="O5112" s="294"/>
      <c r="P5112" s="404"/>
      <c r="Q5112" s="404"/>
    </row>
    <row r="5113" spans="1:17" ht="14.4" thickTop="1" thickBot="1" x14ac:dyDescent="0.3">
      <c r="A5113" s="292"/>
      <c r="B5113" s="296"/>
      <c r="C5113" s="294"/>
      <c r="D5113" s="294"/>
      <c r="E5113" s="294"/>
      <c r="F5113" s="310"/>
      <c r="G5113" s="310"/>
      <c r="H5113" s="310"/>
      <c r="I5113" s="295"/>
      <c r="J5113" s="295"/>
      <c r="K5113" s="300">
        <f t="shared" si="640"/>
        <v>1.1000000000000001</v>
      </c>
      <c r="L5113" s="300">
        <f t="shared" si="647"/>
        <v>0</v>
      </c>
      <c r="M5113" s="285">
        <f t="shared" si="648"/>
        <v>0</v>
      </c>
      <c r="N5113" s="1076"/>
      <c r="O5113" s="294"/>
      <c r="P5113" s="404"/>
      <c r="Q5113" s="404"/>
    </row>
    <row r="5114" spans="1:17" ht="14.4" thickTop="1" thickBot="1" x14ac:dyDescent="0.3">
      <c r="A5114" s="292"/>
      <c r="B5114" s="296"/>
      <c r="C5114" s="294"/>
      <c r="D5114" s="294"/>
      <c r="E5114" s="294"/>
      <c r="F5114" s="310"/>
      <c r="G5114" s="310"/>
      <c r="H5114" s="310"/>
      <c r="I5114" s="295"/>
      <c r="J5114" s="295"/>
      <c r="K5114" s="300">
        <f t="shared" si="640"/>
        <v>1.1000000000000001</v>
      </c>
      <c r="L5114" s="300">
        <f t="shared" si="647"/>
        <v>0</v>
      </c>
      <c r="M5114" s="285">
        <f t="shared" si="648"/>
        <v>0</v>
      </c>
      <c r="N5114" s="1076"/>
      <c r="O5114" s="294"/>
      <c r="P5114" s="404"/>
      <c r="Q5114" s="404"/>
    </row>
    <row r="5115" spans="1:17" ht="14.4" thickTop="1" thickBot="1" x14ac:dyDescent="0.3">
      <c r="A5115" s="292"/>
      <c r="B5115" s="296"/>
      <c r="C5115" s="294"/>
      <c r="D5115" s="294"/>
      <c r="E5115" s="294"/>
      <c r="F5115" s="310"/>
      <c r="G5115" s="310"/>
      <c r="H5115" s="310"/>
      <c r="I5115" s="295"/>
      <c r="J5115" s="295"/>
      <c r="K5115" s="300">
        <f t="shared" si="640"/>
        <v>1.1000000000000001</v>
      </c>
      <c r="L5115" s="300">
        <f t="shared" si="647"/>
        <v>0</v>
      </c>
      <c r="M5115" s="285">
        <f t="shared" si="648"/>
        <v>0</v>
      </c>
      <c r="N5115" s="1076"/>
      <c r="O5115" s="294"/>
      <c r="P5115" s="404"/>
      <c r="Q5115" s="404"/>
    </row>
    <row r="5116" spans="1:17" ht="14.4" thickTop="1" thickBot="1" x14ac:dyDescent="0.3">
      <c r="A5116" s="292"/>
      <c r="B5116" s="296"/>
      <c r="C5116" s="294"/>
      <c r="D5116" s="294"/>
      <c r="E5116" s="294"/>
      <c r="F5116" s="310"/>
      <c r="G5116" s="310"/>
      <c r="H5116" s="310"/>
      <c r="I5116" s="295"/>
      <c r="J5116" s="295"/>
      <c r="K5116" s="300">
        <f t="shared" si="640"/>
        <v>1.1000000000000001</v>
      </c>
      <c r="L5116" s="300">
        <f t="shared" si="647"/>
        <v>0</v>
      </c>
      <c r="M5116" s="285">
        <f t="shared" si="648"/>
        <v>0</v>
      </c>
      <c r="N5116" s="1076"/>
      <c r="O5116" s="294"/>
      <c r="P5116" s="404"/>
      <c r="Q5116" s="404"/>
    </row>
    <row r="5117" spans="1:17" ht="14.4" thickTop="1" thickBot="1" x14ac:dyDescent="0.3">
      <c r="A5117" s="292"/>
      <c r="B5117" s="296"/>
      <c r="C5117" s="294"/>
      <c r="D5117" s="294"/>
      <c r="E5117" s="294"/>
      <c r="F5117" s="310"/>
      <c r="G5117" s="310"/>
      <c r="H5117" s="310"/>
      <c r="I5117" s="295"/>
      <c r="J5117" s="295"/>
      <c r="K5117" s="300">
        <f t="shared" si="640"/>
        <v>1.1000000000000001</v>
      </c>
      <c r="L5117" s="300">
        <f t="shared" si="647"/>
        <v>0</v>
      </c>
      <c r="M5117" s="285">
        <f t="shared" si="648"/>
        <v>0</v>
      </c>
      <c r="N5117" s="1076"/>
      <c r="O5117" s="294"/>
      <c r="P5117" s="404"/>
      <c r="Q5117" s="404"/>
    </row>
    <row r="5118" spans="1:17" ht="14.4" thickTop="1" thickBot="1" x14ac:dyDescent="0.3">
      <c r="A5118" s="292"/>
      <c r="B5118" s="296"/>
      <c r="C5118" s="294"/>
      <c r="D5118" s="294"/>
      <c r="E5118" s="294"/>
      <c r="F5118" s="310"/>
      <c r="G5118" s="310"/>
      <c r="H5118" s="310"/>
      <c r="I5118" s="295"/>
      <c r="J5118" s="295"/>
      <c r="K5118" s="300">
        <f t="shared" si="640"/>
        <v>1.1000000000000001</v>
      </c>
      <c r="L5118" s="300">
        <f t="shared" si="647"/>
        <v>0</v>
      </c>
      <c r="M5118" s="285">
        <f t="shared" si="648"/>
        <v>0</v>
      </c>
      <c r="N5118" s="1076"/>
      <c r="O5118" s="294"/>
      <c r="P5118" s="404"/>
      <c r="Q5118" s="404"/>
    </row>
    <row r="5119" spans="1:17" ht="14.4" thickTop="1" thickBot="1" x14ac:dyDescent="0.3">
      <c r="A5119" s="292"/>
      <c r="B5119" s="296"/>
      <c r="C5119" s="294"/>
      <c r="D5119" s="294"/>
      <c r="E5119" s="294"/>
      <c r="F5119" s="310"/>
      <c r="G5119" s="310"/>
      <c r="H5119" s="310"/>
      <c r="I5119" s="295"/>
      <c r="J5119" s="295"/>
      <c r="K5119" s="300">
        <f t="shared" si="640"/>
        <v>1.1000000000000001</v>
      </c>
      <c r="L5119" s="300">
        <f t="shared" si="647"/>
        <v>0</v>
      </c>
      <c r="M5119" s="285">
        <f t="shared" si="648"/>
        <v>0</v>
      </c>
      <c r="N5119" s="1076"/>
      <c r="O5119" s="294"/>
      <c r="P5119" s="404"/>
      <c r="Q5119" s="404"/>
    </row>
    <row r="5120" spans="1:17" ht="14.4" thickTop="1" thickBot="1" x14ac:dyDescent="0.3">
      <c r="A5120" s="292"/>
      <c r="B5120" s="296"/>
      <c r="C5120" s="294"/>
      <c r="D5120" s="294"/>
      <c r="E5120" s="294"/>
      <c r="F5120" s="310"/>
      <c r="G5120" s="310"/>
      <c r="H5120" s="310"/>
      <c r="I5120" s="295"/>
      <c r="J5120" s="295"/>
      <c r="K5120" s="300">
        <f t="shared" si="640"/>
        <v>1.1000000000000001</v>
      </c>
      <c r="L5120" s="300">
        <f t="shared" si="647"/>
        <v>0</v>
      </c>
      <c r="M5120" s="285">
        <f t="shared" si="648"/>
        <v>0</v>
      </c>
      <c r="N5120" s="1076"/>
      <c r="O5120" s="294"/>
      <c r="P5120" s="404"/>
      <c r="Q5120" s="404"/>
    </row>
    <row r="5121" spans="1:17" ht="14.4" thickTop="1" thickBot="1" x14ac:dyDescent="0.3">
      <c r="A5121" s="292"/>
      <c r="B5121" s="296"/>
      <c r="C5121" s="294"/>
      <c r="D5121" s="294"/>
      <c r="E5121" s="294"/>
      <c r="F5121" s="310"/>
      <c r="G5121" s="310"/>
      <c r="H5121" s="310"/>
      <c r="I5121" s="295"/>
      <c r="J5121" s="295"/>
      <c r="K5121" s="300">
        <f t="shared" si="640"/>
        <v>1.1000000000000001</v>
      </c>
      <c r="L5121" s="300">
        <f t="shared" si="647"/>
        <v>0</v>
      </c>
      <c r="M5121" s="285">
        <f t="shared" si="648"/>
        <v>0</v>
      </c>
      <c r="N5121" s="1076"/>
      <c r="O5121" s="294"/>
      <c r="P5121" s="404"/>
      <c r="Q5121" s="404"/>
    </row>
    <row r="5122" spans="1:17" ht="14.4" thickTop="1" thickBot="1" x14ac:dyDescent="0.3">
      <c r="A5122" s="292"/>
      <c r="B5122" s="296"/>
      <c r="C5122" s="294"/>
      <c r="D5122" s="294"/>
      <c r="E5122" s="294"/>
      <c r="F5122" s="310"/>
      <c r="G5122" s="310"/>
      <c r="H5122" s="310"/>
      <c r="I5122" s="295"/>
      <c r="J5122" s="295"/>
      <c r="K5122" s="300">
        <f t="shared" si="640"/>
        <v>1.1000000000000001</v>
      </c>
      <c r="L5122" s="300">
        <f t="shared" si="647"/>
        <v>0</v>
      </c>
      <c r="M5122" s="285">
        <f t="shared" si="648"/>
        <v>0</v>
      </c>
      <c r="N5122" s="1076"/>
      <c r="O5122" s="294"/>
      <c r="P5122" s="404"/>
      <c r="Q5122" s="404"/>
    </row>
    <row r="5123" spans="1:17" ht="14.4" thickTop="1" thickBot="1" x14ac:dyDescent="0.3">
      <c r="A5123" s="292"/>
      <c r="B5123" s="296"/>
      <c r="C5123" s="294"/>
      <c r="D5123" s="294"/>
      <c r="E5123" s="294"/>
      <c r="F5123" s="310"/>
      <c r="G5123" s="310"/>
      <c r="H5123" s="310"/>
      <c r="I5123" s="295"/>
      <c r="J5123" s="295"/>
      <c r="K5123" s="300">
        <f t="shared" si="640"/>
        <v>1.1000000000000001</v>
      </c>
      <c r="L5123" s="300">
        <f t="shared" si="647"/>
        <v>0</v>
      </c>
      <c r="M5123" s="285">
        <f t="shared" si="648"/>
        <v>0</v>
      </c>
      <c r="N5123" s="1076"/>
      <c r="O5123" s="294"/>
      <c r="P5123" s="404"/>
      <c r="Q5123" s="404"/>
    </row>
    <row r="5124" spans="1:17" ht="14.4" thickTop="1" thickBot="1" x14ac:dyDescent="0.3">
      <c r="A5124" s="292"/>
      <c r="B5124" s="296"/>
      <c r="C5124" s="294"/>
      <c r="D5124" s="294"/>
      <c r="E5124" s="294"/>
      <c r="F5124" s="310"/>
      <c r="G5124" s="310"/>
      <c r="H5124" s="310"/>
      <c r="I5124" s="295"/>
      <c r="J5124" s="295"/>
      <c r="K5124" s="300">
        <f t="shared" si="640"/>
        <v>1.1000000000000001</v>
      </c>
      <c r="L5124" s="300">
        <f t="shared" si="647"/>
        <v>0</v>
      </c>
      <c r="M5124" s="285">
        <f t="shared" si="648"/>
        <v>0</v>
      </c>
      <c r="N5124" s="1076"/>
      <c r="O5124" s="294"/>
      <c r="P5124" s="404"/>
      <c r="Q5124" s="404"/>
    </row>
    <row r="5125" spans="1:17" ht="14.4" thickTop="1" thickBot="1" x14ac:dyDescent="0.3">
      <c r="A5125" s="292"/>
      <c r="B5125" s="296"/>
      <c r="C5125" s="294"/>
      <c r="D5125" s="294"/>
      <c r="E5125" s="294"/>
      <c r="F5125" s="310"/>
      <c r="G5125" s="310"/>
      <c r="H5125" s="310"/>
      <c r="I5125" s="295"/>
      <c r="J5125" s="295"/>
      <c r="K5125" s="300">
        <f t="shared" si="640"/>
        <v>1.1000000000000001</v>
      </c>
      <c r="L5125" s="300">
        <f t="shared" si="647"/>
        <v>0</v>
      </c>
      <c r="M5125" s="285">
        <f t="shared" si="648"/>
        <v>0</v>
      </c>
      <c r="N5125" s="1076"/>
      <c r="O5125" s="294"/>
      <c r="P5125" s="404"/>
      <c r="Q5125" s="404"/>
    </row>
    <row r="5126" spans="1:17" ht="14.4" thickTop="1" thickBot="1" x14ac:dyDescent="0.3">
      <c r="A5126" s="292"/>
      <c r="B5126" s="296"/>
      <c r="C5126" s="294"/>
      <c r="D5126" s="294"/>
      <c r="E5126" s="294"/>
      <c r="F5126" s="310"/>
      <c r="G5126" s="310"/>
      <c r="H5126" s="310"/>
      <c r="I5126" s="295"/>
      <c r="J5126" s="295"/>
      <c r="K5126" s="300">
        <f t="shared" si="640"/>
        <v>1.1000000000000001</v>
      </c>
      <c r="L5126" s="300">
        <f t="shared" si="647"/>
        <v>0</v>
      </c>
      <c r="M5126" s="285">
        <f t="shared" si="648"/>
        <v>0</v>
      </c>
      <c r="N5126" s="1076"/>
      <c r="O5126" s="294"/>
      <c r="P5126" s="404"/>
      <c r="Q5126" s="404"/>
    </row>
    <row r="5127" spans="1:17" ht="14.4" thickTop="1" thickBot="1" x14ac:dyDescent="0.3">
      <c r="A5127" s="292"/>
      <c r="B5127" s="296"/>
      <c r="C5127" s="294"/>
      <c r="D5127" s="294"/>
      <c r="E5127" s="294"/>
      <c r="F5127" s="310"/>
      <c r="G5127" s="310"/>
      <c r="H5127" s="310"/>
      <c r="I5127" s="295"/>
      <c r="J5127" s="295"/>
      <c r="K5127" s="300">
        <f t="shared" si="640"/>
        <v>1.1000000000000001</v>
      </c>
      <c r="L5127" s="300">
        <f t="shared" si="647"/>
        <v>0</v>
      </c>
      <c r="M5127" s="285">
        <f t="shared" si="648"/>
        <v>0</v>
      </c>
      <c r="N5127" s="1076"/>
      <c r="O5127" s="294"/>
      <c r="P5127" s="404"/>
      <c r="Q5127" s="404"/>
    </row>
    <row r="5128" spans="1:17" ht="14.4" thickTop="1" thickBot="1" x14ac:dyDescent="0.3">
      <c r="A5128" s="292"/>
      <c r="B5128" s="296"/>
      <c r="C5128" s="294"/>
      <c r="D5128" s="294"/>
      <c r="E5128" s="294"/>
      <c r="F5128" s="310"/>
      <c r="G5128" s="310"/>
      <c r="H5128" s="310"/>
      <c r="I5128" s="295"/>
      <c r="J5128" s="295"/>
      <c r="K5128" s="300">
        <f t="shared" si="640"/>
        <v>1.1000000000000001</v>
      </c>
      <c r="L5128" s="300">
        <f t="shared" si="647"/>
        <v>0</v>
      </c>
      <c r="M5128" s="285">
        <f t="shared" si="648"/>
        <v>0</v>
      </c>
      <c r="N5128" s="1076"/>
      <c r="O5128" s="294"/>
      <c r="P5128" s="404"/>
      <c r="Q5128" s="404"/>
    </row>
    <row r="5129" spans="1:17" ht="14.4" thickTop="1" thickBot="1" x14ac:dyDescent="0.3">
      <c r="A5129" s="292"/>
      <c r="B5129" s="296"/>
      <c r="C5129" s="294"/>
      <c r="D5129" s="294"/>
      <c r="E5129" s="294"/>
      <c r="F5129" s="310"/>
      <c r="G5129" s="310"/>
      <c r="H5129" s="310"/>
      <c r="I5129" s="295"/>
      <c r="J5129" s="295"/>
      <c r="K5129" s="300">
        <f t="shared" si="640"/>
        <v>1.1000000000000001</v>
      </c>
      <c r="L5129" s="300">
        <f t="shared" si="647"/>
        <v>0</v>
      </c>
      <c r="M5129" s="285">
        <f t="shared" si="648"/>
        <v>0</v>
      </c>
      <c r="N5129" s="1076"/>
      <c r="O5129" s="294"/>
      <c r="P5129" s="404"/>
      <c r="Q5129" s="404"/>
    </row>
    <row r="5130" spans="1:17" ht="14.4" thickTop="1" thickBot="1" x14ac:dyDescent="0.3">
      <c r="A5130" s="292"/>
      <c r="B5130" s="296"/>
      <c r="C5130" s="294"/>
      <c r="D5130" s="294"/>
      <c r="E5130" s="294"/>
      <c r="F5130" s="310"/>
      <c r="G5130" s="310"/>
      <c r="H5130" s="310"/>
      <c r="I5130" s="295"/>
      <c r="J5130" s="295"/>
      <c r="K5130" s="300">
        <f t="shared" si="640"/>
        <v>1.1000000000000001</v>
      </c>
      <c r="L5130" s="300">
        <f t="shared" si="647"/>
        <v>0</v>
      </c>
      <c r="M5130" s="285">
        <f t="shared" si="648"/>
        <v>0</v>
      </c>
      <c r="N5130" s="1076"/>
      <c r="O5130" s="294"/>
      <c r="P5130" s="404"/>
      <c r="Q5130" s="404"/>
    </row>
    <row r="5131" spans="1:17" ht="14.4" thickTop="1" thickBot="1" x14ac:dyDescent="0.3">
      <c r="A5131" s="292"/>
      <c r="B5131" s="296"/>
      <c r="C5131" s="294"/>
      <c r="D5131" s="294"/>
      <c r="E5131" s="294"/>
      <c r="F5131" s="310"/>
      <c r="G5131" s="310"/>
      <c r="H5131" s="310"/>
      <c r="I5131" s="295"/>
      <c r="J5131" s="295"/>
      <c r="K5131" s="300">
        <f t="shared" si="640"/>
        <v>1.1000000000000001</v>
      </c>
      <c r="L5131" s="300">
        <f t="shared" si="647"/>
        <v>0</v>
      </c>
      <c r="M5131" s="285">
        <f t="shared" si="648"/>
        <v>0</v>
      </c>
      <c r="N5131" s="1076"/>
      <c r="O5131" s="294"/>
      <c r="P5131" s="404"/>
      <c r="Q5131" s="404"/>
    </row>
    <row r="5132" spans="1:17" ht="14.4" thickTop="1" thickBot="1" x14ac:dyDescent="0.3">
      <c r="A5132" s="292"/>
      <c r="B5132" s="296"/>
      <c r="C5132" s="294"/>
      <c r="D5132" s="294"/>
      <c r="E5132" s="294"/>
      <c r="F5132" s="310"/>
      <c r="G5132" s="310"/>
      <c r="H5132" s="310"/>
      <c r="I5132" s="295"/>
      <c r="J5132" s="295"/>
      <c r="K5132" s="300">
        <f t="shared" si="640"/>
        <v>1.1000000000000001</v>
      </c>
      <c r="L5132" s="300">
        <f t="shared" si="647"/>
        <v>0</v>
      </c>
      <c r="M5132" s="285">
        <f t="shared" si="648"/>
        <v>0</v>
      </c>
      <c r="N5132" s="1076"/>
      <c r="O5132" s="294"/>
      <c r="P5132" s="404"/>
      <c r="Q5132" s="404"/>
    </row>
    <row r="5133" spans="1:17" ht="14.4" thickTop="1" thickBot="1" x14ac:dyDescent="0.3">
      <c r="A5133" s="292"/>
      <c r="B5133" s="296"/>
      <c r="C5133" s="294"/>
      <c r="D5133" s="294"/>
      <c r="E5133" s="294"/>
      <c r="F5133" s="310"/>
      <c r="G5133" s="310"/>
      <c r="H5133" s="310"/>
      <c r="I5133" s="295"/>
      <c r="J5133" s="295"/>
      <c r="K5133" s="300">
        <f t="shared" si="640"/>
        <v>1.1000000000000001</v>
      </c>
      <c r="L5133" s="300">
        <f t="shared" si="647"/>
        <v>0</v>
      </c>
      <c r="M5133" s="285">
        <f t="shared" si="648"/>
        <v>0</v>
      </c>
      <c r="N5133" s="1076"/>
      <c r="O5133" s="294"/>
      <c r="P5133" s="404"/>
      <c r="Q5133" s="404"/>
    </row>
    <row r="5134" spans="1:17" ht="14.4" thickTop="1" thickBot="1" x14ac:dyDescent="0.3">
      <c r="A5134" s="292"/>
      <c r="B5134" s="296"/>
      <c r="C5134" s="294"/>
      <c r="D5134" s="294"/>
      <c r="E5134" s="294"/>
      <c r="F5134" s="310"/>
      <c r="G5134" s="310"/>
      <c r="H5134" s="310"/>
      <c r="I5134" s="295"/>
      <c r="J5134" s="295"/>
      <c r="K5134" s="300">
        <f t="shared" si="640"/>
        <v>1.1000000000000001</v>
      </c>
      <c r="L5134" s="300">
        <f t="shared" si="647"/>
        <v>0</v>
      </c>
      <c r="M5134" s="285">
        <f t="shared" si="648"/>
        <v>0</v>
      </c>
      <c r="N5134" s="1076"/>
      <c r="O5134" s="294"/>
      <c r="P5134" s="404"/>
      <c r="Q5134" s="404"/>
    </row>
    <row r="5135" spans="1:17" ht="14.4" thickTop="1" thickBot="1" x14ac:dyDescent="0.3">
      <c r="A5135" s="292"/>
      <c r="B5135" s="296"/>
      <c r="C5135" s="294"/>
      <c r="D5135" s="294"/>
      <c r="E5135" s="294"/>
      <c r="F5135" s="310"/>
      <c r="G5135" s="310"/>
      <c r="H5135" s="310"/>
      <c r="I5135" s="295"/>
      <c r="J5135" s="295"/>
      <c r="K5135" s="300">
        <f t="shared" si="640"/>
        <v>1.1000000000000001</v>
      </c>
      <c r="L5135" s="300">
        <f t="shared" si="647"/>
        <v>0</v>
      </c>
      <c r="M5135" s="285">
        <f t="shared" si="648"/>
        <v>0</v>
      </c>
      <c r="N5135" s="1076"/>
      <c r="O5135" s="294"/>
      <c r="P5135" s="404"/>
      <c r="Q5135" s="404"/>
    </row>
    <row r="5136" spans="1:17" ht="14.4" thickTop="1" thickBot="1" x14ac:dyDescent="0.3">
      <c r="A5136" s="292"/>
      <c r="B5136" s="296"/>
      <c r="C5136" s="294"/>
      <c r="D5136" s="294"/>
      <c r="E5136" s="294"/>
      <c r="F5136" s="310"/>
      <c r="G5136" s="310"/>
      <c r="H5136" s="310"/>
      <c r="I5136" s="295"/>
      <c r="J5136" s="295"/>
      <c r="K5136" s="300">
        <f t="shared" si="640"/>
        <v>1.1000000000000001</v>
      </c>
      <c r="L5136" s="300">
        <f t="shared" si="647"/>
        <v>0</v>
      </c>
      <c r="M5136" s="285">
        <f t="shared" si="648"/>
        <v>0</v>
      </c>
      <c r="N5136" s="1076"/>
      <c r="O5136" s="294"/>
      <c r="P5136" s="404"/>
      <c r="Q5136" s="404"/>
    </row>
    <row r="5137" spans="1:17" ht="14.4" thickTop="1" thickBot="1" x14ac:dyDescent="0.3">
      <c r="A5137" s="292"/>
      <c r="B5137" s="296"/>
      <c r="C5137" s="294"/>
      <c r="D5137" s="294"/>
      <c r="E5137" s="294"/>
      <c r="F5137" s="310"/>
      <c r="G5137" s="310"/>
      <c r="H5137" s="310"/>
      <c r="I5137" s="295"/>
      <c r="J5137" s="295"/>
      <c r="K5137" s="300">
        <f t="shared" si="640"/>
        <v>1.1000000000000001</v>
      </c>
      <c r="L5137" s="300">
        <f t="shared" si="647"/>
        <v>0</v>
      </c>
      <c r="M5137" s="285">
        <f t="shared" si="648"/>
        <v>0</v>
      </c>
      <c r="N5137" s="1076"/>
      <c r="O5137" s="294"/>
      <c r="P5137" s="404"/>
      <c r="Q5137" s="404"/>
    </row>
    <row r="5138" spans="1:17" ht="14.4" thickTop="1" thickBot="1" x14ac:dyDescent="0.3">
      <c r="A5138" s="292"/>
      <c r="B5138" s="296"/>
      <c r="C5138" s="294"/>
      <c r="D5138" s="294"/>
      <c r="E5138" s="294"/>
      <c r="F5138" s="310"/>
      <c r="G5138" s="310"/>
      <c r="H5138" s="310"/>
      <c r="I5138" s="295"/>
      <c r="J5138" s="295"/>
      <c r="K5138" s="300">
        <f t="shared" si="640"/>
        <v>1.1000000000000001</v>
      </c>
      <c r="L5138" s="300">
        <f t="shared" si="647"/>
        <v>0</v>
      </c>
      <c r="M5138" s="285">
        <f t="shared" si="648"/>
        <v>0</v>
      </c>
      <c r="N5138" s="1076"/>
      <c r="O5138" s="294"/>
      <c r="P5138" s="404"/>
      <c r="Q5138" s="404"/>
    </row>
    <row r="5139" spans="1:17" ht="14.4" thickTop="1" thickBot="1" x14ac:dyDescent="0.3">
      <c r="A5139" s="292"/>
      <c r="B5139" s="296"/>
      <c r="C5139" s="294"/>
      <c r="D5139" s="294"/>
      <c r="E5139" s="294"/>
      <c r="F5139" s="310"/>
      <c r="G5139" s="310"/>
      <c r="H5139" s="310"/>
      <c r="I5139" s="295"/>
      <c r="J5139" s="295"/>
      <c r="K5139" s="300">
        <f t="shared" si="640"/>
        <v>1.1000000000000001</v>
      </c>
      <c r="L5139" s="300">
        <f t="shared" si="647"/>
        <v>0</v>
      </c>
      <c r="M5139" s="285">
        <f t="shared" si="648"/>
        <v>0</v>
      </c>
      <c r="N5139" s="1076"/>
      <c r="O5139" s="294"/>
      <c r="P5139" s="404"/>
      <c r="Q5139" s="404"/>
    </row>
    <row r="5140" spans="1:17" ht="14.4" thickTop="1" thickBot="1" x14ac:dyDescent="0.3">
      <c r="A5140" s="292"/>
      <c r="B5140" s="296"/>
      <c r="C5140" s="294"/>
      <c r="D5140" s="294"/>
      <c r="E5140" s="294"/>
      <c r="F5140" s="310"/>
      <c r="G5140" s="310"/>
      <c r="H5140" s="310"/>
      <c r="I5140" s="295"/>
      <c r="J5140" s="295"/>
      <c r="K5140" s="300">
        <f t="shared" si="640"/>
        <v>1.1000000000000001</v>
      </c>
      <c r="L5140" s="300">
        <f t="shared" si="647"/>
        <v>0</v>
      </c>
      <c r="M5140" s="285">
        <f t="shared" si="648"/>
        <v>0</v>
      </c>
      <c r="N5140" s="1076"/>
      <c r="O5140" s="294"/>
      <c r="P5140" s="404"/>
      <c r="Q5140" s="404"/>
    </row>
    <row r="5141" spans="1:17" ht="14.4" thickTop="1" thickBot="1" x14ac:dyDescent="0.3">
      <c r="A5141" s="292"/>
      <c r="B5141" s="296"/>
      <c r="C5141" s="294"/>
      <c r="D5141" s="294"/>
      <c r="E5141" s="294"/>
      <c r="F5141" s="310"/>
      <c r="G5141" s="310"/>
      <c r="H5141" s="310"/>
      <c r="I5141" s="295"/>
      <c r="J5141" s="295"/>
      <c r="K5141" s="300">
        <f t="shared" si="640"/>
        <v>1.1000000000000001</v>
      </c>
      <c r="L5141" s="300">
        <f t="shared" si="647"/>
        <v>0</v>
      </c>
      <c r="M5141" s="285">
        <f t="shared" si="648"/>
        <v>0</v>
      </c>
      <c r="N5141" s="1076"/>
      <c r="O5141" s="294"/>
      <c r="P5141" s="404"/>
      <c r="Q5141" s="404"/>
    </row>
    <row r="5142" spans="1:17" ht="14.4" thickTop="1" thickBot="1" x14ac:dyDescent="0.3">
      <c r="A5142" s="292"/>
      <c r="B5142" s="296"/>
      <c r="C5142" s="294"/>
      <c r="D5142" s="294"/>
      <c r="E5142" s="294"/>
      <c r="F5142" s="310"/>
      <c r="G5142" s="310"/>
      <c r="H5142" s="310"/>
      <c r="I5142" s="295"/>
      <c r="J5142" s="295"/>
      <c r="K5142" s="300">
        <f t="shared" si="640"/>
        <v>1.1000000000000001</v>
      </c>
      <c r="L5142" s="300">
        <f t="shared" si="647"/>
        <v>0</v>
      </c>
      <c r="M5142" s="285">
        <f t="shared" si="648"/>
        <v>0</v>
      </c>
      <c r="N5142" s="1076"/>
      <c r="O5142" s="294"/>
      <c r="P5142" s="404"/>
      <c r="Q5142" s="404"/>
    </row>
    <row r="5143" spans="1:17" ht="14.4" thickTop="1" thickBot="1" x14ac:dyDescent="0.3">
      <c r="A5143" s="292"/>
      <c r="B5143" s="296"/>
      <c r="C5143" s="294"/>
      <c r="D5143" s="294"/>
      <c r="E5143" s="294"/>
      <c r="F5143" s="310"/>
      <c r="G5143" s="310"/>
      <c r="H5143" s="310"/>
      <c r="I5143" s="295"/>
      <c r="J5143" s="295"/>
      <c r="K5143" s="300">
        <f t="shared" si="640"/>
        <v>1.1000000000000001</v>
      </c>
      <c r="L5143" s="300">
        <f t="shared" si="647"/>
        <v>0</v>
      </c>
      <c r="M5143" s="285">
        <f t="shared" si="648"/>
        <v>0</v>
      </c>
      <c r="N5143" s="1076"/>
      <c r="O5143" s="294"/>
      <c r="P5143" s="404"/>
      <c r="Q5143" s="404"/>
    </row>
    <row r="5144" spans="1:17" ht="14.4" thickTop="1" thickBot="1" x14ac:dyDescent="0.3">
      <c r="A5144" s="292"/>
      <c r="B5144" s="296"/>
      <c r="C5144" s="294"/>
      <c r="D5144" s="294"/>
      <c r="E5144" s="294"/>
      <c r="F5144" s="310"/>
      <c r="G5144" s="310"/>
      <c r="H5144" s="310"/>
      <c r="I5144" s="295"/>
      <c r="J5144" s="295"/>
      <c r="K5144" s="300">
        <f t="shared" si="640"/>
        <v>1.1000000000000001</v>
      </c>
      <c r="L5144" s="300">
        <f t="shared" si="647"/>
        <v>0</v>
      </c>
      <c r="M5144" s="285">
        <f t="shared" si="648"/>
        <v>0</v>
      </c>
      <c r="N5144" s="1076"/>
      <c r="O5144" s="294"/>
      <c r="P5144" s="404"/>
      <c r="Q5144" s="404"/>
    </row>
    <row r="5145" spans="1:17" ht="14.4" thickTop="1" thickBot="1" x14ac:dyDescent="0.3">
      <c r="A5145" s="292"/>
      <c r="B5145" s="296"/>
      <c r="C5145" s="294"/>
      <c r="D5145" s="294"/>
      <c r="E5145" s="294"/>
      <c r="F5145" s="310"/>
      <c r="G5145" s="310"/>
      <c r="H5145" s="310"/>
      <c r="I5145" s="295"/>
      <c r="J5145" s="295"/>
      <c r="K5145" s="300">
        <f t="shared" si="640"/>
        <v>1.1000000000000001</v>
      </c>
      <c r="L5145" s="300">
        <f t="shared" si="647"/>
        <v>0</v>
      </c>
      <c r="M5145" s="285">
        <f t="shared" si="648"/>
        <v>0</v>
      </c>
      <c r="N5145" s="1076"/>
      <c r="O5145" s="294"/>
      <c r="P5145" s="404"/>
      <c r="Q5145" s="404"/>
    </row>
    <row r="5146" spans="1:17" ht="14.4" thickTop="1" thickBot="1" x14ac:dyDescent="0.3">
      <c r="A5146" s="292"/>
      <c r="B5146" s="296"/>
      <c r="C5146" s="294"/>
      <c r="D5146" s="294"/>
      <c r="E5146" s="294"/>
      <c r="F5146" s="310"/>
      <c r="G5146" s="310"/>
      <c r="H5146" s="310"/>
      <c r="I5146" s="295"/>
      <c r="J5146" s="295"/>
      <c r="K5146" s="300">
        <f t="shared" si="640"/>
        <v>1.1000000000000001</v>
      </c>
      <c r="L5146" s="300">
        <f t="shared" si="647"/>
        <v>0</v>
      </c>
      <c r="M5146" s="285">
        <f t="shared" si="648"/>
        <v>0</v>
      </c>
      <c r="N5146" s="1076"/>
      <c r="O5146" s="294"/>
      <c r="P5146" s="404"/>
      <c r="Q5146" s="404"/>
    </row>
    <row r="5147" spans="1:17" ht="14.4" thickTop="1" thickBot="1" x14ac:dyDescent="0.3">
      <c r="A5147" s="292"/>
      <c r="B5147" s="296"/>
      <c r="C5147" s="294"/>
      <c r="D5147" s="294"/>
      <c r="E5147" s="294"/>
      <c r="F5147" s="310"/>
      <c r="G5147" s="310"/>
      <c r="H5147" s="310"/>
      <c r="I5147" s="295"/>
      <c r="J5147" s="295"/>
      <c r="K5147" s="300">
        <f t="shared" si="640"/>
        <v>1.1000000000000001</v>
      </c>
      <c r="L5147" s="300">
        <f t="shared" si="647"/>
        <v>0</v>
      </c>
      <c r="M5147" s="285">
        <f t="shared" si="648"/>
        <v>0</v>
      </c>
      <c r="N5147" s="1076"/>
      <c r="O5147" s="294"/>
      <c r="P5147" s="404"/>
      <c r="Q5147" s="404"/>
    </row>
    <row r="5148" spans="1:17" ht="14.4" thickTop="1" thickBot="1" x14ac:dyDescent="0.3">
      <c r="A5148" s="292"/>
      <c r="B5148" s="296"/>
      <c r="C5148" s="294"/>
      <c r="D5148" s="294"/>
      <c r="E5148" s="294"/>
      <c r="F5148" s="310"/>
      <c r="G5148" s="310"/>
      <c r="H5148" s="310"/>
      <c r="I5148" s="295"/>
      <c r="J5148" s="295"/>
      <c r="K5148" s="300">
        <f t="shared" si="640"/>
        <v>1.1000000000000001</v>
      </c>
      <c r="L5148" s="300">
        <f t="shared" si="647"/>
        <v>0</v>
      </c>
      <c r="M5148" s="285">
        <f t="shared" si="648"/>
        <v>0</v>
      </c>
      <c r="N5148" s="1076"/>
      <c r="O5148" s="294"/>
      <c r="P5148" s="404"/>
      <c r="Q5148" s="404"/>
    </row>
    <row r="5149" spans="1:17" ht="14.4" thickTop="1" thickBot="1" x14ac:dyDescent="0.3">
      <c r="A5149" s="292"/>
      <c r="B5149" s="296"/>
      <c r="C5149" s="294"/>
      <c r="D5149" s="294"/>
      <c r="E5149" s="294"/>
      <c r="F5149" s="310"/>
      <c r="G5149" s="310"/>
      <c r="H5149" s="310"/>
      <c r="I5149" s="295"/>
      <c r="J5149" s="295"/>
      <c r="K5149" s="300">
        <f t="shared" si="640"/>
        <v>1.1000000000000001</v>
      </c>
      <c r="L5149" s="300">
        <f t="shared" si="647"/>
        <v>0</v>
      </c>
      <c r="M5149" s="285">
        <f t="shared" si="648"/>
        <v>0</v>
      </c>
      <c r="N5149" s="1076"/>
      <c r="O5149" s="294"/>
      <c r="P5149" s="404"/>
      <c r="Q5149" s="404"/>
    </row>
    <row r="5150" spans="1:17" ht="14.4" thickTop="1" thickBot="1" x14ac:dyDescent="0.3">
      <c r="A5150" s="292"/>
      <c r="B5150" s="296"/>
      <c r="C5150" s="294"/>
      <c r="D5150" s="294"/>
      <c r="E5150" s="294"/>
      <c r="F5150" s="310"/>
      <c r="G5150" s="310"/>
      <c r="H5150" s="310"/>
      <c r="I5150" s="295"/>
      <c r="J5150" s="295"/>
      <c r="K5150" s="300">
        <f t="shared" si="640"/>
        <v>1.1000000000000001</v>
      </c>
      <c r="L5150" s="300">
        <f t="shared" si="647"/>
        <v>0</v>
      </c>
      <c r="M5150" s="285">
        <f t="shared" si="648"/>
        <v>0</v>
      </c>
      <c r="N5150" s="1076"/>
      <c r="O5150" s="294"/>
      <c r="P5150" s="404"/>
      <c r="Q5150" s="404"/>
    </row>
    <row r="5151" spans="1:17" ht="14.4" thickTop="1" thickBot="1" x14ac:dyDescent="0.3">
      <c r="A5151" s="292"/>
      <c r="B5151" s="296"/>
      <c r="C5151" s="294"/>
      <c r="D5151" s="294"/>
      <c r="E5151" s="294"/>
      <c r="F5151" s="310"/>
      <c r="G5151" s="310"/>
      <c r="H5151" s="310"/>
      <c r="I5151" s="295"/>
      <c r="J5151" s="295"/>
      <c r="K5151" s="300">
        <f t="shared" si="640"/>
        <v>1.1000000000000001</v>
      </c>
      <c r="L5151" s="300">
        <f t="shared" si="647"/>
        <v>0</v>
      </c>
      <c r="M5151" s="285">
        <f t="shared" si="648"/>
        <v>0</v>
      </c>
      <c r="N5151" s="1076"/>
      <c r="O5151" s="294"/>
      <c r="P5151" s="404"/>
      <c r="Q5151" s="404"/>
    </row>
    <row r="5152" spans="1:17" ht="14.4" thickTop="1" thickBot="1" x14ac:dyDescent="0.3">
      <c r="A5152" s="292"/>
      <c r="B5152" s="296"/>
      <c r="C5152" s="294"/>
      <c r="D5152" s="294"/>
      <c r="E5152" s="294"/>
      <c r="F5152" s="310"/>
      <c r="G5152" s="310"/>
      <c r="H5152" s="310"/>
      <c r="I5152" s="295"/>
      <c r="J5152" s="295"/>
      <c r="K5152" s="300">
        <f t="shared" si="640"/>
        <v>1.1000000000000001</v>
      </c>
      <c r="L5152" s="300">
        <f t="shared" si="647"/>
        <v>0</v>
      </c>
      <c r="M5152" s="285">
        <f t="shared" si="648"/>
        <v>0</v>
      </c>
      <c r="N5152" s="1076"/>
      <c r="O5152" s="294"/>
      <c r="P5152" s="404"/>
      <c r="Q5152" s="404"/>
    </row>
    <row r="5153" spans="1:17" ht="14.4" thickTop="1" thickBot="1" x14ac:dyDescent="0.3">
      <c r="A5153" s="292"/>
      <c r="B5153" s="296"/>
      <c r="C5153" s="294"/>
      <c r="D5153" s="294"/>
      <c r="E5153" s="294"/>
      <c r="F5153" s="310"/>
      <c r="G5153" s="310"/>
      <c r="H5153" s="310"/>
      <c r="I5153" s="295"/>
      <c r="J5153" s="295"/>
      <c r="K5153" s="300">
        <f t="shared" si="640"/>
        <v>1.1000000000000001</v>
      </c>
      <c r="L5153" s="300">
        <f t="shared" si="647"/>
        <v>0</v>
      </c>
      <c r="M5153" s="285">
        <f t="shared" si="648"/>
        <v>0</v>
      </c>
      <c r="N5153" s="1076"/>
      <c r="O5153" s="294"/>
      <c r="P5153" s="404"/>
      <c r="Q5153" s="404"/>
    </row>
    <row r="5154" spans="1:17" ht="14.4" thickTop="1" thickBot="1" x14ac:dyDescent="0.3">
      <c r="A5154" s="292"/>
      <c r="B5154" s="296"/>
      <c r="C5154" s="294"/>
      <c r="D5154" s="294"/>
      <c r="E5154" s="294"/>
      <c r="F5154" s="310"/>
      <c r="G5154" s="310"/>
      <c r="H5154" s="310"/>
      <c r="I5154" s="295"/>
      <c r="J5154" s="295"/>
      <c r="K5154" s="300">
        <f t="shared" si="640"/>
        <v>1.1000000000000001</v>
      </c>
      <c r="L5154" s="300">
        <f t="shared" si="647"/>
        <v>0</v>
      </c>
      <c r="M5154" s="285">
        <f t="shared" si="648"/>
        <v>0</v>
      </c>
      <c r="N5154" s="1076"/>
      <c r="O5154" s="294"/>
      <c r="P5154" s="404"/>
      <c r="Q5154" s="404"/>
    </row>
    <row r="5155" spans="1:17" ht="14.4" thickTop="1" thickBot="1" x14ac:dyDescent="0.3">
      <c r="A5155" s="292"/>
      <c r="B5155" s="296"/>
      <c r="C5155" s="294"/>
      <c r="D5155" s="294"/>
      <c r="E5155" s="294"/>
      <c r="F5155" s="310"/>
      <c r="G5155" s="310"/>
      <c r="H5155" s="310"/>
      <c r="I5155" s="295"/>
      <c r="J5155" s="295"/>
      <c r="K5155" s="300">
        <f t="shared" si="640"/>
        <v>1.1000000000000001</v>
      </c>
      <c r="L5155" s="300">
        <f t="shared" si="647"/>
        <v>0</v>
      </c>
      <c r="M5155" s="285">
        <f t="shared" si="648"/>
        <v>0</v>
      </c>
      <c r="N5155" s="1076"/>
      <c r="O5155" s="294"/>
      <c r="P5155" s="404"/>
      <c r="Q5155" s="404"/>
    </row>
    <row r="5156" spans="1:17" ht="14.4" thickTop="1" thickBot="1" x14ac:dyDescent="0.3">
      <c r="A5156" s="292"/>
      <c r="B5156" s="296"/>
      <c r="C5156" s="294"/>
      <c r="D5156" s="294"/>
      <c r="E5156" s="294"/>
      <c r="F5156" s="310"/>
      <c r="G5156" s="310"/>
      <c r="H5156" s="310"/>
      <c r="I5156" s="295"/>
      <c r="J5156" s="295"/>
      <c r="K5156" s="300">
        <f t="shared" si="640"/>
        <v>1.1000000000000001</v>
      </c>
      <c r="L5156" s="300">
        <f t="shared" si="647"/>
        <v>0</v>
      </c>
      <c r="M5156" s="285">
        <f t="shared" si="648"/>
        <v>0</v>
      </c>
      <c r="N5156" s="1076"/>
      <c r="O5156" s="294"/>
      <c r="P5156" s="404"/>
      <c r="Q5156" s="404"/>
    </row>
    <row r="5157" spans="1:17" ht="14.4" thickTop="1" thickBot="1" x14ac:dyDescent="0.3">
      <c r="A5157" s="292"/>
      <c r="B5157" s="296"/>
      <c r="C5157" s="294"/>
      <c r="D5157" s="294"/>
      <c r="E5157" s="294"/>
      <c r="F5157" s="310"/>
      <c r="G5157" s="310"/>
      <c r="H5157" s="310"/>
      <c r="I5157" s="295"/>
      <c r="J5157" s="295"/>
      <c r="K5157" s="300">
        <f t="shared" si="640"/>
        <v>1.1000000000000001</v>
      </c>
      <c r="L5157" s="300">
        <f t="shared" si="647"/>
        <v>0</v>
      </c>
      <c r="M5157" s="285">
        <f t="shared" si="648"/>
        <v>0</v>
      </c>
      <c r="N5157" s="1076"/>
      <c r="O5157" s="294"/>
      <c r="P5157" s="404"/>
      <c r="Q5157" s="404"/>
    </row>
    <row r="5158" spans="1:17" ht="14.4" thickTop="1" thickBot="1" x14ac:dyDescent="0.3">
      <c r="A5158" s="292"/>
      <c r="B5158" s="296"/>
      <c r="C5158" s="294"/>
      <c r="D5158" s="294"/>
      <c r="E5158" s="294"/>
      <c r="F5158" s="310"/>
      <c r="G5158" s="310"/>
      <c r="H5158" s="310"/>
      <c r="I5158" s="295"/>
      <c r="J5158" s="295"/>
      <c r="K5158" s="300">
        <f t="shared" si="640"/>
        <v>1.1000000000000001</v>
      </c>
      <c r="L5158" s="300">
        <f t="shared" si="647"/>
        <v>0</v>
      </c>
      <c r="M5158" s="285">
        <f t="shared" si="648"/>
        <v>0</v>
      </c>
      <c r="N5158" s="1076"/>
      <c r="O5158" s="294"/>
      <c r="P5158" s="404"/>
      <c r="Q5158" s="404"/>
    </row>
    <row r="5159" spans="1:17" ht="14.4" thickTop="1" thickBot="1" x14ac:dyDescent="0.3">
      <c r="A5159" s="292"/>
      <c r="B5159" s="296"/>
      <c r="C5159" s="294"/>
      <c r="D5159" s="294"/>
      <c r="E5159" s="294"/>
      <c r="F5159" s="310"/>
      <c r="G5159" s="310"/>
      <c r="H5159" s="310"/>
      <c r="I5159" s="295"/>
      <c r="J5159" s="295"/>
      <c r="K5159" s="300">
        <f t="shared" si="640"/>
        <v>1.1000000000000001</v>
      </c>
      <c r="L5159" s="300">
        <f t="shared" si="647"/>
        <v>0</v>
      </c>
      <c r="M5159" s="285">
        <f t="shared" si="648"/>
        <v>0</v>
      </c>
      <c r="N5159" s="1076"/>
      <c r="O5159" s="294"/>
      <c r="P5159" s="404"/>
      <c r="Q5159" s="404"/>
    </row>
    <row r="5160" spans="1:17" ht="14.4" thickTop="1" thickBot="1" x14ac:dyDescent="0.3">
      <c r="A5160" s="292"/>
      <c r="B5160" s="296"/>
      <c r="C5160" s="294"/>
      <c r="D5160" s="294"/>
      <c r="E5160" s="294"/>
      <c r="F5160" s="310"/>
      <c r="G5160" s="310"/>
      <c r="H5160" s="310"/>
      <c r="I5160" s="295"/>
      <c r="J5160" s="295"/>
      <c r="K5160" s="300">
        <f t="shared" si="640"/>
        <v>1.1000000000000001</v>
      </c>
      <c r="L5160" s="300">
        <f t="shared" si="647"/>
        <v>0</v>
      </c>
      <c r="M5160" s="285">
        <f t="shared" si="648"/>
        <v>0</v>
      </c>
      <c r="N5160" s="1076"/>
      <c r="O5160" s="294"/>
      <c r="P5160" s="404"/>
      <c r="Q5160" s="404"/>
    </row>
    <row r="5161" spans="1:17" ht="14.4" thickTop="1" thickBot="1" x14ac:dyDescent="0.3">
      <c r="A5161" s="292"/>
      <c r="B5161" s="296"/>
      <c r="C5161" s="294"/>
      <c r="D5161" s="294"/>
      <c r="E5161" s="294"/>
      <c r="F5161" s="310"/>
      <c r="G5161" s="310"/>
      <c r="H5161" s="310"/>
      <c r="I5161" s="295"/>
      <c r="J5161" s="295"/>
      <c r="K5161" s="300">
        <f t="shared" si="640"/>
        <v>1.1000000000000001</v>
      </c>
      <c r="L5161" s="300">
        <f t="shared" ref="L5161:L5224" si="649">K5161*J5161</f>
        <v>0</v>
      </c>
      <c r="M5161" s="285">
        <f t="shared" si="648"/>
        <v>0</v>
      </c>
      <c r="N5161" s="1076"/>
      <c r="O5161" s="294"/>
      <c r="P5161" s="404"/>
      <c r="Q5161" s="404"/>
    </row>
    <row r="5162" spans="1:17" ht="14.4" thickTop="1" thickBot="1" x14ac:dyDescent="0.3">
      <c r="A5162" s="292"/>
      <c r="B5162" s="296"/>
      <c r="C5162" s="294"/>
      <c r="D5162" s="294"/>
      <c r="E5162" s="294"/>
      <c r="F5162" s="310"/>
      <c r="G5162" s="310"/>
      <c r="H5162" s="310"/>
      <c r="I5162" s="295"/>
      <c r="J5162" s="295"/>
      <c r="K5162" s="300">
        <f t="shared" si="640"/>
        <v>1.1000000000000001</v>
      </c>
      <c r="L5162" s="300">
        <f t="shared" si="649"/>
        <v>0</v>
      </c>
      <c r="M5162" s="285">
        <f t="shared" si="648"/>
        <v>0</v>
      </c>
      <c r="N5162" s="1076"/>
      <c r="O5162" s="294"/>
      <c r="P5162" s="404"/>
      <c r="Q5162" s="404"/>
    </row>
    <row r="5163" spans="1:17" ht="14.4" thickTop="1" thickBot="1" x14ac:dyDescent="0.3">
      <c r="A5163" s="292"/>
      <c r="B5163" s="296"/>
      <c r="C5163" s="294"/>
      <c r="D5163" s="294"/>
      <c r="E5163" s="294"/>
      <c r="F5163" s="310"/>
      <c r="G5163" s="310"/>
      <c r="H5163" s="310"/>
      <c r="I5163" s="295"/>
      <c r="J5163" s="295"/>
      <c r="K5163" s="300">
        <f t="shared" si="640"/>
        <v>1.1000000000000001</v>
      </c>
      <c r="L5163" s="300">
        <f t="shared" si="649"/>
        <v>0</v>
      </c>
      <c r="M5163" s="285">
        <f t="shared" si="648"/>
        <v>0</v>
      </c>
      <c r="N5163" s="1076"/>
      <c r="O5163" s="294"/>
      <c r="P5163" s="404"/>
      <c r="Q5163" s="404"/>
    </row>
    <row r="5164" spans="1:17" ht="14.4" thickTop="1" thickBot="1" x14ac:dyDescent="0.3">
      <c r="A5164" s="292"/>
      <c r="B5164" s="296"/>
      <c r="C5164" s="294"/>
      <c r="D5164" s="294"/>
      <c r="E5164" s="294"/>
      <c r="F5164" s="310"/>
      <c r="G5164" s="310"/>
      <c r="H5164" s="310"/>
      <c r="I5164" s="295"/>
      <c r="J5164" s="295"/>
      <c r="K5164" s="300">
        <f t="shared" si="640"/>
        <v>1.1000000000000001</v>
      </c>
      <c r="L5164" s="300">
        <f t="shared" si="649"/>
        <v>0</v>
      </c>
      <c r="M5164" s="285">
        <f t="shared" si="648"/>
        <v>0</v>
      </c>
      <c r="N5164" s="1076"/>
      <c r="O5164" s="294"/>
      <c r="P5164" s="404"/>
      <c r="Q5164" s="404"/>
    </row>
    <row r="5165" spans="1:17" ht="14.4" thickTop="1" thickBot="1" x14ac:dyDescent="0.3">
      <c r="A5165" s="292"/>
      <c r="B5165" s="296"/>
      <c r="C5165" s="294"/>
      <c r="D5165" s="294"/>
      <c r="E5165" s="294"/>
      <c r="F5165" s="310"/>
      <c r="G5165" s="310"/>
      <c r="H5165" s="310"/>
      <c r="I5165" s="295"/>
      <c r="J5165" s="295"/>
      <c r="K5165" s="300">
        <f t="shared" si="640"/>
        <v>1.1000000000000001</v>
      </c>
      <c r="L5165" s="300">
        <f t="shared" si="649"/>
        <v>0</v>
      </c>
      <c r="M5165" s="285">
        <f t="shared" ref="M5165:M5228" si="650">ROUND(L5165,0)</f>
        <v>0</v>
      </c>
      <c r="N5165" s="1076"/>
      <c r="O5165" s="294"/>
      <c r="P5165" s="404"/>
      <c r="Q5165" s="404"/>
    </row>
    <row r="5166" spans="1:17" ht="14.4" thickTop="1" thickBot="1" x14ac:dyDescent="0.3">
      <c r="A5166" s="292"/>
      <c r="B5166" s="296"/>
      <c r="C5166" s="294"/>
      <c r="D5166" s="294"/>
      <c r="E5166" s="294"/>
      <c r="F5166" s="310"/>
      <c r="G5166" s="310"/>
      <c r="H5166" s="310"/>
      <c r="I5166" s="295"/>
      <c r="J5166" s="295"/>
      <c r="K5166" s="300">
        <f t="shared" si="640"/>
        <v>1.1000000000000001</v>
      </c>
      <c r="L5166" s="300">
        <f t="shared" si="649"/>
        <v>0</v>
      </c>
      <c r="M5166" s="285">
        <f t="shared" si="650"/>
        <v>0</v>
      </c>
      <c r="N5166" s="1076"/>
      <c r="O5166" s="294"/>
      <c r="P5166" s="404"/>
      <c r="Q5166" s="404"/>
    </row>
    <row r="5167" spans="1:17" ht="14.4" thickTop="1" thickBot="1" x14ac:dyDescent="0.3">
      <c r="A5167" s="292"/>
      <c r="B5167" s="296"/>
      <c r="C5167" s="294"/>
      <c r="D5167" s="294"/>
      <c r="E5167" s="294"/>
      <c r="F5167" s="310"/>
      <c r="G5167" s="310"/>
      <c r="H5167" s="310"/>
      <c r="I5167" s="295"/>
      <c r="J5167" s="295"/>
      <c r="K5167" s="300">
        <f t="shared" si="640"/>
        <v>1.1000000000000001</v>
      </c>
      <c r="L5167" s="300">
        <f t="shared" si="649"/>
        <v>0</v>
      </c>
      <c r="M5167" s="285">
        <f t="shared" si="650"/>
        <v>0</v>
      </c>
      <c r="N5167" s="1076"/>
      <c r="O5167" s="294"/>
      <c r="P5167" s="404"/>
      <c r="Q5167" s="404"/>
    </row>
    <row r="5168" spans="1:17" ht="14.4" thickTop="1" thickBot="1" x14ac:dyDescent="0.3">
      <c r="A5168" s="292"/>
      <c r="B5168" s="296"/>
      <c r="C5168" s="294"/>
      <c r="D5168" s="294"/>
      <c r="E5168" s="294"/>
      <c r="F5168" s="310"/>
      <c r="G5168" s="310"/>
      <c r="H5168" s="310"/>
      <c r="I5168" s="295"/>
      <c r="J5168" s="295"/>
      <c r="K5168" s="300">
        <f t="shared" si="640"/>
        <v>1.1000000000000001</v>
      </c>
      <c r="L5168" s="300">
        <f t="shared" si="649"/>
        <v>0</v>
      </c>
      <c r="M5168" s="285">
        <f t="shared" si="650"/>
        <v>0</v>
      </c>
      <c r="N5168" s="1076"/>
      <c r="O5168" s="294"/>
      <c r="P5168" s="404"/>
      <c r="Q5168" s="404"/>
    </row>
    <row r="5169" spans="1:17" ht="14.4" thickTop="1" thickBot="1" x14ac:dyDescent="0.3">
      <c r="A5169" s="292"/>
      <c r="B5169" s="296"/>
      <c r="C5169" s="294"/>
      <c r="D5169" s="294"/>
      <c r="E5169" s="294"/>
      <c r="F5169" s="310"/>
      <c r="G5169" s="310"/>
      <c r="H5169" s="310"/>
      <c r="I5169" s="295"/>
      <c r="J5169" s="295"/>
      <c r="K5169" s="300">
        <f t="shared" si="640"/>
        <v>1.1000000000000001</v>
      </c>
      <c r="L5169" s="300">
        <f t="shared" si="649"/>
        <v>0</v>
      </c>
      <c r="M5169" s="285">
        <f t="shared" si="650"/>
        <v>0</v>
      </c>
      <c r="N5169" s="1076"/>
      <c r="O5169" s="294"/>
      <c r="P5169" s="404"/>
      <c r="Q5169" s="404"/>
    </row>
    <row r="5170" spans="1:17" ht="14.4" thickTop="1" thickBot="1" x14ac:dyDescent="0.3">
      <c r="A5170" s="292"/>
      <c r="B5170" s="296"/>
      <c r="C5170" s="294"/>
      <c r="D5170" s="294"/>
      <c r="E5170" s="294"/>
      <c r="F5170" s="310"/>
      <c r="G5170" s="310"/>
      <c r="H5170" s="310"/>
      <c r="I5170" s="295"/>
      <c r="J5170" s="295"/>
      <c r="K5170" s="300">
        <f t="shared" si="640"/>
        <v>1.1000000000000001</v>
      </c>
      <c r="L5170" s="300">
        <f t="shared" si="649"/>
        <v>0</v>
      </c>
      <c r="M5170" s="285">
        <f t="shared" si="650"/>
        <v>0</v>
      </c>
      <c r="N5170" s="1076"/>
      <c r="O5170" s="294"/>
      <c r="P5170" s="404"/>
      <c r="Q5170" s="404"/>
    </row>
    <row r="5171" spans="1:17" ht="14.4" thickTop="1" thickBot="1" x14ac:dyDescent="0.3">
      <c r="A5171" s="292"/>
      <c r="B5171" s="296"/>
      <c r="C5171" s="294"/>
      <c r="D5171" s="294"/>
      <c r="E5171" s="294"/>
      <c r="F5171" s="310"/>
      <c r="G5171" s="310"/>
      <c r="H5171" s="310"/>
      <c r="I5171" s="295"/>
      <c r="J5171" s="295"/>
      <c r="K5171" s="300">
        <f t="shared" si="640"/>
        <v>1.1000000000000001</v>
      </c>
      <c r="L5171" s="300">
        <f t="shared" si="649"/>
        <v>0</v>
      </c>
      <c r="M5171" s="285">
        <f t="shared" si="650"/>
        <v>0</v>
      </c>
      <c r="N5171" s="1076"/>
      <c r="O5171" s="294"/>
      <c r="P5171" s="404"/>
      <c r="Q5171" s="404"/>
    </row>
    <row r="5172" spans="1:17" ht="14.4" thickTop="1" thickBot="1" x14ac:dyDescent="0.3">
      <c r="A5172" s="292"/>
      <c r="B5172" s="296"/>
      <c r="C5172" s="294"/>
      <c r="D5172" s="294"/>
      <c r="E5172" s="294"/>
      <c r="F5172" s="310"/>
      <c r="G5172" s="310"/>
      <c r="H5172" s="310"/>
      <c r="I5172" s="295"/>
      <c r="J5172" s="295"/>
      <c r="K5172" s="300">
        <f t="shared" si="640"/>
        <v>1.1000000000000001</v>
      </c>
      <c r="L5172" s="300">
        <f t="shared" si="649"/>
        <v>0</v>
      </c>
      <c r="M5172" s="285">
        <f t="shared" si="650"/>
        <v>0</v>
      </c>
      <c r="N5172" s="1076"/>
      <c r="O5172" s="294"/>
      <c r="P5172" s="404"/>
      <c r="Q5172" s="404"/>
    </row>
    <row r="5173" spans="1:17" ht="14.4" thickTop="1" thickBot="1" x14ac:dyDescent="0.3">
      <c r="A5173" s="292"/>
      <c r="B5173" s="296"/>
      <c r="C5173" s="294"/>
      <c r="D5173" s="294"/>
      <c r="E5173" s="294"/>
      <c r="F5173" s="310"/>
      <c r="G5173" s="310"/>
      <c r="H5173" s="310"/>
      <c r="I5173" s="295"/>
      <c r="J5173" s="295"/>
      <c r="K5173" s="300">
        <f t="shared" si="640"/>
        <v>1.1000000000000001</v>
      </c>
      <c r="L5173" s="300">
        <f t="shared" si="649"/>
        <v>0</v>
      </c>
      <c r="M5173" s="285">
        <f t="shared" si="650"/>
        <v>0</v>
      </c>
      <c r="N5173" s="1076"/>
      <c r="O5173" s="294"/>
      <c r="P5173" s="404"/>
      <c r="Q5173" s="404"/>
    </row>
    <row r="5174" spans="1:17" ht="14.4" thickTop="1" thickBot="1" x14ac:dyDescent="0.3">
      <c r="A5174" s="292"/>
      <c r="B5174" s="296"/>
      <c r="C5174" s="294"/>
      <c r="D5174" s="294"/>
      <c r="E5174" s="294"/>
      <c r="F5174" s="310"/>
      <c r="G5174" s="310"/>
      <c r="H5174" s="310"/>
      <c r="I5174" s="295"/>
      <c r="J5174" s="295"/>
      <c r="K5174" s="300">
        <f t="shared" si="640"/>
        <v>1.1000000000000001</v>
      </c>
      <c r="L5174" s="300">
        <f t="shared" si="649"/>
        <v>0</v>
      </c>
      <c r="M5174" s="285">
        <f t="shared" si="650"/>
        <v>0</v>
      </c>
      <c r="N5174" s="1076"/>
      <c r="O5174" s="294"/>
      <c r="P5174" s="404"/>
      <c r="Q5174" s="404"/>
    </row>
    <row r="5175" spans="1:17" ht="14.4" thickTop="1" thickBot="1" x14ac:dyDescent="0.3">
      <c r="A5175" s="292"/>
      <c r="B5175" s="296"/>
      <c r="C5175" s="294"/>
      <c r="D5175" s="294"/>
      <c r="E5175" s="294"/>
      <c r="F5175" s="310"/>
      <c r="G5175" s="310"/>
      <c r="H5175" s="310"/>
      <c r="I5175" s="295"/>
      <c r="J5175" s="295"/>
      <c r="K5175" s="300">
        <f t="shared" si="640"/>
        <v>1.1000000000000001</v>
      </c>
      <c r="L5175" s="300">
        <f t="shared" si="649"/>
        <v>0</v>
      </c>
      <c r="M5175" s="285">
        <f t="shared" si="650"/>
        <v>0</v>
      </c>
      <c r="N5175" s="1076"/>
      <c r="O5175" s="294"/>
      <c r="P5175" s="404"/>
      <c r="Q5175" s="404"/>
    </row>
    <row r="5176" spans="1:17" ht="14.4" thickTop="1" thickBot="1" x14ac:dyDescent="0.3">
      <c r="A5176" s="292"/>
      <c r="B5176" s="296"/>
      <c r="C5176" s="294"/>
      <c r="D5176" s="294"/>
      <c r="E5176" s="294"/>
      <c r="F5176" s="310"/>
      <c r="G5176" s="310"/>
      <c r="H5176" s="310"/>
      <c r="I5176" s="295"/>
      <c r="J5176" s="295"/>
      <c r="K5176" s="300">
        <f t="shared" si="640"/>
        <v>1.1000000000000001</v>
      </c>
      <c r="L5176" s="300">
        <f t="shared" si="649"/>
        <v>0</v>
      </c>
      <c r="M5176" s="285">
        <f t="shared" si="650"/>
        <v>0</v>
      </c>
      <c r="N5176" s="1076"/>
      <c r="O5176" s="294"/>
      <c r="P5176" s="404"/>
      <c r="Q5176" s="404"/>
    </row>
    <row r="5177" spans="1:17" ht="14.4" thickTop="1" thickBot="1" x14ac:dyDescent="0.3">
      <c r="A5177" s="292"/>
      <c r="B5177" s="296"/>
      <c r="C5177" s="294"/>
      <c r="D5177" s="294"/>
      <c r="E5177" s="294"/>
      <c r="F5177" s="310"/>
      <c r="G5177" s="310"/>
      <c r="H5177" s="310"/>
      <c r="I5177" s="295"/>
      <c r="J5177" s="295"/>
      <c r="K5177" s="300">
        <f t="shared" si="640"/>
        <v>1.1000000000000001</v>
      </c>
      <c r="L5177" s="300">
        <f t="shared" si="649"/>
        <v>0</v>
      </c>
      <c r="M5177" s="285">
        <f t="shared" si="650"/>
        <v>0</v>
      </c>
      <c r="N5177" s="1076"/>
      <c r="O5177" s="294"/>
      <c r="P5177" s="404"/>
      <c r="Q5177" s="404"/>
    </row>
    <row r="5178" spans="1:17" ht="14.4" thickTop="1" thickBot="1" x14ac:dyDescent="0.3">
      <c r="A5178" s="292"/>
      <c r="B5178" s="296"/>
      <c r="C5178" s="294"/>
      <c r="D5178" s="294"/>
      <c r="E5178" s="294"/>
      <c r="F5178" s="310"/>
      <c r="G5178" s="310"/>
      <c r="H5178" s="310"/>
      <c r="I5178" s="295"/>
      <c r="J5178" s="295"/>
      <c r="K5178" s="300">
        <f t="shared" si="640"/>
        <v>1.1000000000000001</v>
      </c>
      <c r="L5178" s="300">
        <f t="shared" si="649"/>
        <v>0</v>
      </c>
      <c r="M5178" s="285">
        <f t="shared" si="650"/>
        <v>0</v>
      </c>
      <c r="N5178" s="1076"/>
      <c r="O5178" s="294"/>
      <c r="P5178" s="404"/>
      <c r="Q5178" s="404"/>
    </row>
    <row r="5179" spans="1:17" ht="14.4" thickTop="1" thickBot="1" x14ac:dyDescent="0.3">
      <c r="A5179" s="292"/>
      <c r="B5179" s="296"/>
      <c r="C5179" s="294"/>
      <c r="D5179" s="294"/>
      <c r="E5179" s="294"/>
      <c r="F5179" s="310"/>
      <c r="G5179" s="310"/>
      <c r="H5179" s="310"/>
      <c r="I5179" s="295"/>
      <c r="J5179" s="295"/>
      <c r="K5179" s="300">
        <f t="shared" si="640"/>
        <v>1.1000000000000001</v>
      </c>
      <c r="L5179" s="300">
        <f t="shared" si="649"/>
        <v>0</v>
      </c>
      <c r="M5179" s="285">
        <f t="shared" si="650"/>
        <v>0</v>
      </c>
      <c r="N5179" s="1076"/>
      <c r="O5179" s="294"/>
      <c r="P5179" s="404"/>
      <c r="Q5179" s="404"/>
    </row>
    <row r="5180" spans="1:17" ht="14.4" thickTop="1" thickBot="1" x14ac:dyDescent="0.3">
      <c r="A5180" s="292"/>
      <c r="B5180" s="296"/>
      <c r="C5180" s="294"/>
      <c r="D5180" s="294"/>
      <c r="E5180" s="294"/>
      <c r="F5180" s="310"/>
      <c r="G5180" s="310"/>
      <c r="H5180" s="310"/>
      <c r="I5180" s="295"/>
      <c r="J5180" s="295"/>
      <c r="K5180" s="300">
        <f t="shared" si="640"/>
        <v>1.1000000000000001</v>
      </c>
      <c r="L5180" s="300">
        <f t="shared" si="649"/>
        <v>0</v>
      </c>
      <c r="M5180" s="285">
        <f t="shared" si="650"/>
        <v>0</v>
      </c>
      <c r="N5180" s="1076"/>
      <c r="O5180" s="294"/>
      <c r="P5180" s="404"/>
      <c r="Q5180" s="404"/>
    </row>
    <row r="5181" spans="1:17" ht="14.4" thickTop="1" thickBot="1" x14ac:dyDescent="0.3">
      <c r="A5181" s="292"/>
      <c r="B5181" s="296"/>
      <c r="C5181" s="294"/>
      <c r="D5181" s="294"/>
      <c r="E5181" s="294"/>
      <c r="F5181" s="310"/>
      <c r="G5181" s="310"/>
      <c r="H5181" s="310"/>
      <c r="I5181" s="295"/>
      <c r="J5181" s="295"/>
      <c r="K5181" s="300">
        <f t="shared" si="640"/>
        <v>1.1000000000000001</v>
      </c>
      <c r="L5181" s="300">
        <f t="shared" si="649"/>
        <v>0</v>
      </c>
      <c r="M5181" s="285">
        <f t="shared" si="650"/>
        <v>0</v>
      </c>
      <c r="N5181" s="1076"/>
      <c r="O5181" s="294"/>
      <c r="P5181" s="404"/>
      <c r="Q5181" s="404"/>
    </row>
    <row r="5182" spans="1:17" ht="14.4" thickTop="1" thickBot="1" x14ac:dyDescent="0.3">
      <c r="A5182" s="292"/>
      <c r="B5182" s="296"/>
      <c r="C5182" s="294"/>
      <c r="D5182" s="294"/>
      <c r="E5182" s="294"/>
      <c r="F5182" s="310"/>
      <c r="G5182" s="310"/>
      <c r="H5182" s="310"/>
      <c r="I5182" s="295"/>
      <c r="J5182" s="295"/>
      <c r="K5182" s="300">
        <f t="shared" si="640"/>
        <v>1.1000000000000001</v>
      </c>
      <c r="L5182" s="300">
        <f t="shared" si="649"/>
        <v>0</v>
      </c>
      <c r="M5182" s="285">
        <f t="shared" si="650"/>
        <v>0</v>
      </c>
      <c r="N5182" s="1076"/>
      <c r="O5182" s="294"/>
      <c r="P5182" s="404"/>
      <c r="Q5182" s="404"/>
    </row>
    <row r="5183" spans="1:17" ht="14.4" thickTop="1" thickBot="1" x14ac:dyDescent="0.3">
      <c r="A5183" s="292"/>
      <c r="B5183" s="296"/>
      <c r="C5183" s="294"/>
      <c r="D5183" s="294"/>
      <c r="E5183" s="294"/>
      <c r="F5183" s="310"/>
      <c r="G5183" s="310"/>
      <c r="H5183" s="310"/>
      <c r="I5183" s="295"/>
      <c r="J5183" s="295"/>
      <c r="K5183" s="300">
        <f t="shared" si="640"/>
        <v>1.1000000000000001</v>
      </c>
      <c r="L5183" s="300">
        <f t="shared" si="649"/>
        <v>0</v>
      </c>
      <c r="M5183" s="285">
        <f t="shared" si="650"/>
        <v>0</v>
      </c>
      <c r="N5183" s="1076"/>
      <c r="O5183" s="294"/>
      <c r="P5183" s="404"/>
      <c r="Q5183" s="404"/>
    </row>
    <row r="5184" spans="1:17" ht="14.4" thickTop="1" thickBot="1" x14ac:dyDescent="0.3">
      <c r="A5184" s="292"/>
      <c r="B5184" s="296"/>
      <c r="C5184" s="294"/>
      <c r="D5184" s="294"/>
      <c r="E5184" s="294"/>
      <c r="F5184" s="310"/>
      <c r="G5184" s="310"/>
      <c r="H5184" s="310"/>
      <c r="I5184" s="295"/>
      <c r="J5184" s="295"/>
      <c r="K5184" s="300">
        <f t="shared" si="640"/>
        <v>1.1000000000000001</v>
      </c>
      <c r="L5184" s="300">
        <f t="shared" si="649"/>
        <v>0</v>
      </c>
      <c r="M5184" s="285">
        <f t="shared" si="650"/>
        <v>0</v>
      </c>
      <c r="N5184" s="1076"/>
      <c r="O5184" s="294"/>
      <c r="P5184" s="404"/>
      <c r="Q5184" s="404"/>
    </row>
    <row r="5185" spans="1:17" ht="14.4" thickTop="1" thickBot="1" x14ac:dyDescent="0.3">
      <c r="A5185" s="292"/>
      <c r="B5185" s="296"/>
      <c r="C5185" s="294"/>
      <c r="D5185" s="294"/>
      <c r="E5185" s="294"/>
      <c r="F5185" s="310"/>
      <c r="G5185" s="310"/>
      <c r="H5185" s="310"/>
      <c r="I5185" s="295"/>
      <c r="J5185" s="295"/>
      <c r="K5185" s="300">
        <f t="shared" si="640"/>
        <v>1.1000000000000001</v>
      </c>
      <c r="L5185" s="300">
        <f t="shared" si="649"/>
        <v>0</v>
      </c>
      <c r="M5185" s="285">
        <f t="shared" si="650"/>
        <v>0</v>
      </c>
      <c r="N5185" s="1076"/>
      <c r="O5185" s="294"/>
      <c r="P5185" s="404"/>
      <c r="Q5185" s="404"/>
    </row>
    <row r="5186" spans="1:17" ht="14.4" thickTop="1" thickBot="1" x14ac:dyDescent="0.3">
      <c r="A5186" s="292"/>
      <c r="B5186" s="296"/>
      <c r="C5186" s="294"/>
      <c r="D5186" s="294"/>
      <c r="E5186" s="294"/>
      <c r="F5186" s="310"/>
      <c r="G5186" s="310"/>
      <c r="H5186" s="310"/>
      <c r="I5186" s="295"/>
      <c r="J5186" s="295"/>
      <c r="K5186" s="300">
        <f t="shared" si="640"/>
        <v>1.1000000000000001</v>
      </c>
      <c r="L5186" s="300">
        <f t="shared" si="649"/>
        <v>0</v>
      </c>
      <c r="M5186" s="285">
        <f t="shared" si="650"/>
        <v>0</v>
      </c>
      <c r="N5186" s="1076"/>
      <c r="O5186" s="294"/>
      <c r="P5186" s="404"/>
      <c r="Q5186" s="404"/>
    </row>
    <row r="5187" spans="1:17" ht="14.4" thickTop="1" thickBot="1" x14ac:dyDescent="0.3">
      <c r="A5187" s="292"/>
      <c r="B5187" s="296"/>
      <c r="C5187" s="294"/>
      <c r="D5187" s="294"/>
      <c r="E5187" s="294"/>
      <c r="F5187" s="310"/>
      <c r="G5187" s="310"/>
      <c r="H5187" s="310"/>
      <c r="I5187" s="295"/>
      <c r="J5187" s="295"/>
      <c r="K5187" s="300">
        <f t="shared" si="640"/>
        <v>1.1000000000000001</v>
      </c>
      <c r="L5187" s="300">
        <f t="shared" si="649"/>
        <v>0</v>
      </c>
      <c r="M5187" s="285">
        <f t="shared" si="650"/>
        <v>0</v>
      </c>
      <c r="N5187" s="1076"/>
      <c r="O5187" s="294"/>
      <c r="P5187" s="404"/>
      <c r="Q5187" s="404"/>
    </row>
    <row r="5188" spans="1:17" ht="14.4" thickTop="1" thickBot="1" x14ac:dyDescent="0.3">
      <c r="A5188" s="292"/>
      <c r="B5188" s="296"/>
      <c r="C5188" s="294"/>
      <c r="D5188" s="294"/>
      <c r="E5188" s="294"/>
      <c r="F5188" s="310"/>
      <c r="G5188" s="310"/>
      <c r="H5188" s="310"/>
      <c r="I5188" s="295"/>
      <c r="J5188" s="295"/>
      <c r="K5188" s="300">
        <f t="shared" si="640"/>
        <v>1.1000000000000001</v>
      </c>
      <c r="L5188" s="300">
        <f t="shared" si="649"/>
        <v>0</v>
      </c>
      <c r="M5188" s="285">
        <f t="shared" si="650"/>
        <v>0</v>
      </c>
      <c r="N5188" s="1076"/>
      <c r="O5188" s="294"/>
      <c r="P5188" s="404"/>
      <c r="Q5188" s="404"/>
    </row>
    <row r="5189" spans="1:17" ht="14.4" thickTop="1" thickBot="1" x14ac:dyDescent="0.3">
      <c r="A5189" s="292"/>
      <c r="B5189" s="296"/>
      <c r="C5189" s="294"/>
      <c r="D5189" s="294"/>
      <c r="E5189" s="294"/>
      <c r="F5189" s="310"/>
      <c r="G5189" s="310"/>
      <c r="H5189" s="310"/>
      <c r="I5189" s="295"/>
      <c r="J5189" s="295"/>
      <c r="K5189" s="300">
        <f t="shared" si="640"/>
        <v>1.1000000000000001</v>
      </c>
      <c r="L5189" s="300">
        <f t="shared" si="649"/>
        <v>0</v>
      </c>
      <c r="M5189" s="285">
        <f t="shared" si="650"/>
        <v>0</v>
      </c>
      <c r="N5189" s="1076"/>
      <c r="O5189" s="294"/>
      <c r="P5189" s="404"/>
      <c r="Q5189" s="404"/>
    </row>
    <row r="5190" spans="1:17" ht="14.4" thickTop="1" thickBot="1" x14ac:dyDescent="0.3">
      <c r="A5190" s="292"/>
      <c r="B5190" s="296"/>
      <c r="C5190" s="294"/>
      <c r="D5190" s="294"/>
      <c r="E5190" s="294"/>
      <c r="F5190" s="310"/>
      <c r="G5190" s="310"/>
      <c r="H5190" s="310"/>
      <c r="I5190" s="295"/>
      <c r="J5190" s="295"/>
      <c r="K5190" s="300">
        <f t="shared" si="640"/>
        <v>1.1000000000000001</v>
      </c>
      <c r="L5190" s="300">
        <f t="shared" si="649"/>
        <v>0</v>
      </c>
      <c r="M5190" s="285">
        <f t="shared" si="650"/>
        <v>0</v>
      </c>
      <c r="N5190" s="1076"/>
      <c r="O5190" s="294"/>
      <c r="P5190" s="404"/>
      <c r="Q5190" s="404"/>
    </row>
    <row r="5191" spans="1:17" ht="14.4" thickTop="1" thickBot="1" x14ac:dyDescent="0.3">
      <c r="A5191" s="292"/>
      <c r="B5191" s="296"/>
      <c r="C5191" s="294"/>
      <c r="D5191" s="294"/>
      <c r="E5191" s="294"/>
      <c r="F5191" s="310"/>
      <c r="G5191" s="310"/>
      <c r="H5191" s="310"/>
      <c r="I5191" s="295"/>
      <c r="J5191" s="295"/>
      <c r="K5191" s="300">
        <f t="shared" si="640"/>
        <v>1.1000000000000001</v>
      </c>
      <c r="L5191" s="300">
        <f t="shared" si="649"/>
        <v>0</v>
      </c>
      <c r="M5191" s="285">
        <f t="shared" si="650"/>
        <v>0</v>
      </c>
      <c r="N5191" s="1076"/>
      <c r="O5191" s="294"/>
      <c r="P5191" s="404"/>
      <c r="Q5191" s="404"/>
    </row>
    <row r="5192" spans="1:17" ht="14.4" thickTop="1" thickBot="1" x14ac:dyDescent="0.3">
      <c r="A5192" s="292"/>
      <c r="B5192" s="296"/>
      <c r="C5192" s="294"/>
      <c r="D5192" s="294"/>
      <c r="E5192" s="294"/>
      <c r="F5192" s="310"/>
      <c r="G5192" s="310"/>
      <c r="H5192" s="310"/>
      <c r="I5192" s="295"/>
      <c r="J5192" s="295"/>
      <c r="K5192" s="300">
        <f t="shared" si="640"/>
        <v>1.1000000000000001</v>
      </c>
      <c r="L5192" s="300">
        <f t="shared" si="649"/>
        <v>0</v>
      </c>
      <c r="M5192" s="285">
        <f t="shared" si="650"/>
        <v>0</v>
      </c>
      <c r="N5192" s="1076"/>
      <c r="O5192" s="294"/>
      <c r="P5192" s="404"/>
      <c r="Q5192" s="404"/>
    </row>
    <row r="5193" spans="1:17" ht="14.4" thickTop="1" thickBot="1" x14ac:dyDescent="0.3">
      <c r="A5193" s="292"/>
      <c r="B5193" s="296"/>
      <c r="C5193" s="294"/>
      <c r="D5193" s="294"/>
      <c r="E5193" s="294"/>
      <c r="F5193" s="310"/>
      <c r="G5193" s="310"/>
      <c r="H5193" s="310"/>
      <c r="I5193" s="295"/>
      <c r="J5193" s="295"/>
      <c r="K5193" s="300">
        <f t="shared" si="640"/>
        <v>1.1000000000000001</v>
      </c>
      <c r="L5193" s="300">
        <f t="shared" si="649"/>
        <v>0</v>
      </c>
      <c r="M5193" s="285">
        <f t="shared" si="650"/>
        <v>0</v>
      </c>
      <c r="N5193" s="1076"/>
      <c r="O5193" s="294"/>
      <c r="P5193" s="404"/>
      <c r="Q5193" s="404"/>
    </row>
    <row r="5194" spans="1:17" ht="14.4" thickTop="1" thickBot="1" x14ac:dyDescent="0.3">
      <c r="A5194" s="292"/>
      <c r="B5194" s="296"/>
      <c r="C5194" s="294"/>
      <c r="D5194" s="294"/>
      <c r="E5194" s="294"/>
      <c r="F5194" s="310"/>
      <c r="G5194" s="310"/>
      <c r="H5194" s="310"/>
      <c r="I5194" s="295"/>
      <c r="J5194" s="295"/>
      <c r="K5194" s="300">
        <f t="shared" si="640"/>
        <v>1.1000000000000001</v>
      </c>
      <c r="L5194" s="300">
        <f t="shared" si="649"/>
        <v>0</v>
      </c>
      <c r="M5194" s="285">
        <f t="shared" si="650"/>
        <v>0</v>
      </c>
      <c r="N5194" s="1076"/>
      <c r="O5194" s="294"/>
      <c r="P5194" s="404"/>
      <c r="Q5194" s="404"/>
    </row>
    <row r="5195" spans="1:17" ht="14.4" thickTop="1" thickBot="1" x14ac:dyDescent="0.3">
      <c r="A5195" s="292"/>
      <c r="B5195" s="296"/>
      <c r="C5195" s="294"/>
      <c r="D5195" s="294"/>
      <c r="E5195" s="294"/>
      <c r="F5195" s="310"/>
      <c r="G5195" s="310"/>
      <c r="H5195" s="310"/>
      <c r="I5195" s="295"/>
      <c r="J5195" s="295"/>
      <c r="K5195" s="300">
        <f t="shared" si="640"/>
        <v>1.1000000000000001</v>
      </c>
      <c r="L5195" s="300">
        <f t="shared" si="649"/>
        <v>0</v>
      </c>
      <c r="M5195" s="285">
        <f t="shared" si="650"/>
        <v>0</v>
      </c>
      <c r="N5195" s="1076"/>
      <c r="O5195" s="294"/>
      <c r="P5195" s="404"/>
      <c r="Q5195" s="404"/>
    </row>
    <row r="5196" spans="1:17" ht="14.4" thickTop="1" thickBot="1" x14ac:dyDescent="0.3">
      <c r="A5196" s="292"/>
      <c r="B5196" s="296"/>
      <c r="C5196" s="294"/>
      <c r="D5196" s="294"/>
      <c r="E5196" s="294"/>
      <c r="F5196" s="310"/>
      <c r="G5196" s="310"/>
      <c r="H5196" s="310"/>
      <c r="I5196" s="295"/>
      <c r="J5196" s="295"/>
      <c r="K5196" s="300">
        <f t="shared" si="640"/>
        <v>1.1000000000000001</v>
      </c>
      <c r="L5196" s="300">
        <f t="shared" si="649"/>
        <v>0</v>
      </c>
      <c r="M5196" s="285">
        <f t="shared" si="650"/>
        <v>0</v>
      </c>
      <c r="N5196" s="1076"/>
      <c r="O5196" s="294"/>
      <c r="P5196" s="404"/>
      <c r="Q5196" s="404"/>
    </row>
    <row r="5197" spans="1:17" ht="14.4" thickTop="1" thickBot="1" x14ac:dyDescent="0.3">
      <c r="A5197" s="292"/>
      <c r="B5197" s="296"/>
      <c r="C5197" s="294"/>
      <c r="D5197" s="294"/>
      <c r="E5197" s="294"/>
      <c r="F5197" s="310"/>
      <c r="G5197" s="310"/>
      <c r="H5197" s="310"/>
      <c r="I5197" s="295"/>
      <c r="J5197" s="295"/>
      <c r="K5197" s="300">
        <f t="shared" si="640"/>
        <v>1.1000000000000001</v>
      </c>
      <c r="L5197" s="300">
        <f t="shared" si="649"/>
        <v>0</v>
      </c>
      <c r="M5197" s="285">
        <f t="shared" si="650"/>
        <v>0</v>
      </c>
      <c r="N5197" s="1076"/>
      <c r="O5197" s="294"/>
      <c r="P5197" s="404"/>
      <c r="Q5197" s="404"/>
    </row>
    <row r="5198" spans="1:17" ht="14.4" thickTop="1" thickBot="1" x14ac:dyDescent="0.3">
      <c r="A5198" s="292"/>
      <c r="B5198" s="296"/>
      <c r="C5198" s="294"/>
      <c r="D5198" s="294"/>
      <c r="E5198" s="294"/>
      <c r="F5198" s="310"/>
      <c r="G5198" s="310"/>
      <c r="H5198" s="310"/>
      <c r="I5198" s="295"/>
      <c r="J5198" s="295"/>
      <c r="K5198" s="300">
        <f t="shared" si="640"/>
        <v>1.1000000000000001</v>
      </c>
      <c r="L5198" s="300">
        <f t="shared" si="649"/>
        <v>0</v>
      </c>
      <c r="M5198" s="285">
        <f t="shared" si="650"/>
        <v>0</v>
      </c>
      <c r="N5198" s="1076"/>
      <c r="O5198" s="294"/>
      <c r="P5198" s="404"/>
      <c r="Q5198" s="404"/>
    </row>
    <row r="5199" spans="1:17" ht="14.4" thickTop="1" thickBot="1" x14ac:dyDescent="0.3">
      <c r="A5199" s="292"/>
      <c r="B5199" s="296"/>
      <c r="C5199" s="294"/>
      <c r="D5199" s="294"/>
      <c r="E5199" s="294"/>
      <c r="F5199" s="310"/>
      <c r="G5199" s="310"/>
      <c r="H5199" s="310"/>
      <c r="I5199" s="295"/>
      <c r="J5199" s="295"/>
      <c r="K5199" s="300">
        <f t="shared" si="640"/>
        <v>1.1000000000000001</v>
      </c>
      <c r="L5199" s="300">
        <f t="shared" si="649"/>
        <v>0</v>
      </c>
      <c r="M5199" s="285">
        <f t="shared" si="650"/>
        <v>0</v>
      </c>
      <c r="N5199" s="1076"/>
      <c r="O5199" s="294"/>
      <c r="P5199" s="404"/>
      <c r="Q5199" s="404"/>
    </row>
    <row r="5200" spans="1:17" ht="14.4" thickTop="1" thickBot="1" x14ac:dyDescent="0.3">
      <c r="A5200" s="292"/>
      <c r="B5200" s="296"/>
      <c r="C5200" s="294"/>
      <c r="D5200" s="294"/>
      <c r="E5200" s="294"/>
      <c r="F5200" s="310"/>
      <c r="G5200" s="310"/>
      <c r="H5200" s="310"/>
      <c r="I5200" s="295"/>
      <c r="J5200" s="295"/>
      <c r="K5200" s="300">
        <f t="shared" si="640"/>
        <v>1.1000000000000001</v>
      </c>
      <c r="L5200" s="300">
        <f t="shared" si="649"/>
        <v>0</v>
      </c>
      <c r="M5200" s="285">
        <f t="shared" si="650"/>
        <v>0</v>
      </c>
      <c r="N5200" s="1076"/>
      <c r="O5200" s="294"/>
      <c r="P5200" s="404"/>
      <c r="Q5200" s="404"/>
    </row>
    <row r="5201" spans="1:17" ht="14.4" thickTop="1" thickBot="1" x14ac:dyDescent="0.3">
      <c r="A5201" s="292"/>
      <c r="B5201" s="296"/>
      <c r="C5201" s="294"/>
      <c r="D5201" s="294"/>
      <c r="E5201" s="294"/>
      <c r="F5201" s="310"/>
      <c r="G5201" s="310"/>
      <c r="H5201" s="310"/>
      <c r="I5201" s="295"/>
      <c r="J5201" s="295"/>
      <c r="K5201" s="300">
        <f t="shared" si="640"/>
        <v>1.1000000000000001</v>
      </c>
      <c r="L5201" s="300">
        <f t="shared" si="649"/>
        <v>0</v>
      </c>
      <c r="M5201" s="285">
        <f t="shared" si="650"/>
        <v>0</v>
      </c>
      <c r="N5201" s="1076"/>
      <c r="O5201" s="294"/>
      <c r="P5201" s="404"/>
      <c r="Q5201" s="404"/>
    </row>
    <row r="5202" spans="1:17" ht="14.4" thickTop="1" thickBot="1" x14ac:dyDescent="0.3">
      <c r="A5202" s="292"/>
      <c r="B5202" s="296"/>
      <c r="C5202" s="294"/>
      <c r="D5202" s="294"/>
      <c r="E5202" s="294"/>
      <c r="F5202" s="310"/>
      <c r="G5202" s="310"/>
      <c r="H5202" s="310"/>
      <c r="I5202" s="295"/>
      <c r="J5202" s="295"/>
      <c r="K5202" s="300">
        <f t="shared" si="640"/>
        <v>1.1000000000000001</v>
      </c>
      <c r="L5202" s="300">
        <f t="shared" si="649"/>
        <v>0</v>
      </c>
      <c r="M5202" s="285">
        <f t="shared" si="650"/>
        <v>0</v>
      </c>
      <c r="N5202" s="1076"/>
      <c r="O5202" s="294"/>
      <c r="P5202" s="404"/>
      <c r="Q5202" s="404"/>
    </row>
    <row r="5203" spans="1:17" ht="14.4" thickTop="1" thickBot="1" x14ac:dyDescent="0.3">
      <c r="A5203" s="292"/>
      <c r="B5203" s="296"/>
      <c r="C5203" s="294"/>
      <c r="D5203" s="294"/>
      <c r="E5203" s="294"/>
      <c r="F5203" s="310"/>
      <c r="G5203" s="310"/>
      <c r="H5203" s="310"/>
      <c r="I5203" s="295"/>
      <c r="J5203" s="295"/>
      <c r="K5203" s="300">
        <f t="shared" si="640"/>
        <v>1.1000000000000001</v>
      </c>
      <c r="L5203" s="300">
        <f t="shared" si="649"/>
        <v>0</v>
      </c>
      <c r="M5203" s="285">
        <f t="shared" si="650"/>
        <v>0</v>
      </c>
      <c r="N5203" s="1076"/>
      <c r="O5203" s="294"/>
      <c r="P5203" s="404"/>
      <c r="Q5203" s="404"/>
    </row>
    <row r="5204" spans="1:17" ht="14.4" thickTop="1" thickBot="1" x14ac:dyDescent="0.3">
      <c r="A5204" s="292"/>
      <c r="B5204" s="296"/>
      <c r="C5204" s="294"/>
      <c r="D5204" s="294"/>
      <c r="E5204" s="294"/>
      <c r="F5204" s="310"/>
      <c r="G5204" s="310"/>
      <c r="H5204" s="310"/>
      <c r="I5204" s="295"/>
      <c r="J5204" s="295"/>
      <c r="K5204" s="300">
        <f t="shared" ref="K5204:K5267" si="651">$K$2</f>
        <v>1.1000000000000001</v>
      </c>
      <c r="L5204" s="300">
        <f t="shared" si="649"/>
        <v>0</v>
      </c>
      <c r="M5204" s="285">
        <f t="shared" si="650"/>
        <v>0</v>
      </c>
      <c r="N5204" s="1076"/>
      <c r="O5204" s="294"/>
      <c r="P5204" s="404"/>
      <c r="Q5204" s="404"/>
    </row>
    <row r="5205" spans="1:17" ht="14.4" thickTop="1" thickBot="1" x14ac:dyDescent="0.3">
      <c r="A5205" s="292"/>
      <c r="B5205" s="296"/>
      <c r="C5205" s="294"/>
      <c r="D5205" s="294"/>
      <c r="E5205" s="294"/>
      <c r="F5205" s="310"/>
      <c r="G5205" s="310"/>
      <c r="H5205" s="310"/>
      <c r="I5205" s="295"/>
      <c r="J5205" s="295"/>
      <c r="K5205" s="300">
        <f t="shared" si="651"/>
        <v>1.1000000000000001</v>
      </c>
      <c r="L5205" s="300">
        <f t="shared" si="649"/>
        <v>0</v>
      </c>
      <c r="M5205" s="285">
        <f t="shared" si="650"/>
        <v>0</v>
      </c>
      <c r="N5205" s="1076"/>
      <c r="O5205" s="294"/>
      <c r="P5205" s="404"/>
      <c r="Q5205" s="404"/>
    </row>
    <row r="5206" spans="1:17" ht="14.4" thickTop="1" thickBot="1" x14ac:dyDescent="0.3">
      <c r="A5206" s="292"/>
      <c r="B5206" s="296"/>
      <c r="C5206" s="294"/>
      <c r="D5206" s="294"/>
      <c r="E5206" s="294"/>
      <c r="F5206" s="310"/>
      <c r="G5206" s="310"/>
      <c r="H5206" s="310"/>
      <c r="I5206" s="295"/>
      <c r="J5206" s="295"/>
      <c r="K5206" s="300">
        <f t="shared" si="651"/>
        <v>1.1000000000000001</v>
      </c>
      <c r="L5206" s="300">
        <f t="shared" si="649"/>
        <v>0</v>
      </c>
      <c r="M5206" s="285">
        <f t="shared" si="650"/>
        <v>0</v>
      </c>
      <c r="N5206" s="1076"/>
      <c r="O5206" s="294"/>
      <c r="P5206" s="404"/>
      <c r="Q5206" s="404"/>
    </row>
    <row r="5207" spans="1:17" ht="14.4" thickTop="1" thickBot="1" x14ac:dyDescent="0.3">
      <c r="A5207" s="292"/>
      <c r="B5207" s="296"/>
      <c r="C5207" s="294"/>
      <c r="D5207" s="294"/>
      <c r="E5207" s="294"/>
      <c r="F5207" s="310"/>
      <c r="G5207" s="310"/>
      <c r="H5207" s="310"/>
      <c r="I5207" s="295"/>
      <c r="J5207" s="295"/>
      <c r="K5207" s="300">
        <f t="shared" si="651"/>
        <v>1.1000000000000001</v>
      </c>
      <c r="L5207" s="300">
        <f t="shared" si="649"/>
        <v>0</v>
      </c>
      <c r="M5207" s="285">
        <f t="shared" si="650"/>
        <v>0</v>
      </c>
      <c r="N5207" s="1076"/>
      <c r="O5207" s="294"/>
      <c r="P5207" s="404"/>
      <c r="Q5207" s="404"/>
    </row>
    <row r="5208" spans="1:17" ht="14.4" thickTop="1" thickBot="1" x14ac:dyDescent="0.3">
      <c r="A5208" s="292"/>
      <c r="B5208" s="296"/>
      <c r="C5208" s="294"/>
      <c r="D5208" s="294"/>
      <c r="E5208" s="294"/>
      <c r="F5208" s="310"/>
      <c r="G5208" s="310"/>
      <c r="H5208" s="310"/>
      <c r="I5208" s="295"/>
      <c r="J5208" s="295"/>
      <c r="K5208" s="300">
        <f t="shared" si="651"/>
        <v>1.1000000000000001</v>
      </c>
      <c r="L5208" s="300">
        <f t="shared" si="649"/>
        <v>0</v>
      </c>
      <c r="M5208" s="285">
        <f t="shared" si="650"/>
        <v>0</v>
      </c>
      <c r="N5208" s="1076"/>
      <c r="O5208" s="294"/>
      <c r="P5208" s="404"/>
      <c r="Q5208" s="404"/>
    </row>
    <row r="5209" spans="1:17" ht="14.4" thickTop="1" thickBot="1" x14ac:dyDescent="0.3">
      <c r="A5209" s="292"/>
      <c r="B5209" s="296"/>
      <c r="C5209" s="294"/>
      <c r="D5209" s="294"/>
      <c r="E5209" s="294"/>
      <c r="F5209" s="310"/>
      <c r="G5209" s="310"/>
      <c r="H5209" s="310"/>
      <c r="I5209" s="295"/>
      <c r="J5209" s="295"/>
      <c r="K5209" s="300">
        <f t="shared" si="651"/>
        <v>1.1000000000000001</v>
      </c>
      <c r="L5209" s="300">
        <f t="shared" si="649"/>
        <v>0</v>
      </c>
      <c r="M5209" s="285">
        <f t="shared" si="650"/>
        <v>0</v>
      </c>
      <c r="N5209" s="1076"/>
      <c r="O5209" s="294"/>
      <c r="P5209" s="404"/>
      <c r="Q5209" s="404"/>
    </row>
    <row r="5210" spans="1:17" ht="14.4" thickTop="1" thickBot="1" x14ac:dyDescent="0.3">
      <c r="A5210" s="292"/>
      <c r="B5210" s="296"/>
      <c r="C5210" s="294"/>
      <c r="D5210" s="294"/>
      <c r="E5210" s="294"/>
      <c r="F5210" s="310"/>
      <c r="G5210" s="310"/>
      <c r="H5210" s="310"/>
      <c r="I5210" s="295"/>
      <c r="J5210" s="295"/>
      <c r="K5210" s="300">
        <f t="shared" si="651"/>
        <v>1.1000000000000001</v>
      </c>
      <c r="L5210" s="300">
        <f t="shared" si="649"/>
        <v>0</v>
      </c>
      <c r="M5210" s="285">
        <f t="shared" si="650"/>
        <v>0</v>
      </c>
      <c r="N5210" s="1076"/>
      <c r="O5210" s="294"/>
      <c r="P5210" s="404"/>
      <c r="Q5210" s="404"/>
    </row>
    <row r="5211" spans="1:17" ht="14.4" thickTop="1" thickBot="1" x14ac:dyDescent="0.3">
      <c r="A5211" s="292"/>
      <c r="B5211" s="296"/>
      <c r="C5211" s="294"/>
      <c r="D5211" s="294"/>
      <c r="E5211" s="294"/>
      <c r="F5211" s="310"/>
      <c r="G5211" s="310"/>
      <c r="H5211" s="310"/>
      <c r="I5211" s="295"/>
      <c r="J5211" s="295"/>
      <c r="K5211" s="300">
        <f t="shared" si="651"/>
        <v>1.1000000000000001</v>
      </c>
      <c r="L5211" s="300">
        <f t="shared" si="649"/>
        <v>0</v>
      </c>
      <c r="M5211" s="285">
        <f t="shared" si="650"/>
        <v>0</v>
      </c>
      <c r="N5211" s="1076"/>
      <c r="O5211" s="294"/>
      <c r="P5211" s="404"/>
      <c r="Q5211" s="404"/>
    </row>
    <row r="5212" spans="1:17" ht="14.4" thickTop="1" thickBot="1" x14ac:dyDescent="0.3">
      <c r="A5212" s="292"/>
      <c r="B5212" s="296"/>
      <c r="C5212" s="294"/>
      <c r="D5212" s="294"/>
      <c r="E5212" s="294"/>
      <c r="F5212" s="310"/>
      <c r="G5212" s="310"/>
      <c r="H5212" s="310"/>
      <c r="I5212" s="295"/>
      <c r="J5212" s="295"/>
      <c r="K5212" s="300">
        <f t="shared" si="651"/>
        <v>1.1000000000000001</v>
      </c>
      <c r="L5212" s="300">
        <f t="shared" si="649"/>
        <v>0</v>
      </c>
      <c r="M5212" s="285">
        <f t="shared" si="650"/>
        <v>0</v>
      </c>
      <c r="N5212" s="1076"/>
      <c r="O5212" s="294"/>
      <c r="P5212" s="404"/>
      <c r="Q5212" s="404"/>
    </row>
    <row r="5213" spans="1:17" ht="14.4" thickTop="1" thickBot="1" x14ac:dyDescent="0.3">
      <c r="A5213" s="292"/>
      <c r="B5213" s="296"/>
      <c r="C5213" s="294"/>
      <c r="D5213" s="294"/>
      <c r="E5213" s="294"/>
      <c r="F5213" s="310"/>
      <c r="G5213" s="310"/>
      <c r="H5213" s="310"/>
      <c r="I5213" s="295"/>
      <c r="J5213" s="295"/>
      <c r="K5213" s="300">
        <f t="shared" si="651"/>
        <v>1.1000000000000001</v>
      </c>
      <c r="L5213" s="300">
        <f t="shared" si="649"/>
        <v>0</v>
      </c>
      <c r="M5213" s="285">
        <f t="shared" si="650"/>
        <v>0</v>
      </c>
      <c r="N5213" s="1076"/>
      <c r="O5213" s="294"/>
      <c r="P5213" s="404"/>
      <c r="Q5213" s="404"/>
    </row>
    <row r="5214" spans="1:17" ht="14.4" thickTop="1" thickBot="1" x14ac:dyDescent="0.3">
      <c r="A5214" s="292"/>
      <c r="B5214" s="296"/>
      <c r="C5214" s="294"/>
      <c r="D5214" s="294"/>
      <c r="E5214" s="294"/>
      <c r="F5214" s="310"/>
      <c r="G5214" s="310"/>
      <c r="H5214" s="310"/>
      <c r="I5214" s="295"/>
      <c r="J5214" s="295"/>
      <c r="K5214" s="300">
        <f t="shared" si="651"/>
        <v>1.1000000000000001</v>
      </c>
      <c r="L5214" s="300">
        <f t="shared" si="649"/>
        <v>0</v>
      </c>
      <c r="M5214" s="285">
        <f t="shared" si="650"/>
        <v>0</v>
      </c>
      <c r="N5214" s="1076"/>
      <c r="O5214" s="294"/>
      <c r="P5214" s="404"/>
      <c r="Q5214" s="404"/>
    </row>
    <row r="5215" spans="1:17" ht="14.4" thickTop="1" thickBot="1" x14ac:dyDescent="0.3">
      <c r="A5215" s="292"/>
      <c r="B5215" s="296"/>
      <c r="C5215" s="294"/>
      <c r="D5215" s="294"/>
      <c r="E5215" s="294"/>
      <c r="F5215" s="310"/>
      <c r="G5215" s="310"/>
      <c r="H5215" s="310"/>
      <c r="I5215" s="295"/>
      <c r="J5215" s="295"/>
      <c r="K5215" s="300">
        <f t="shared" si="651"/>
        <v>1.1000000000000001</v>
      </c>
      <c r="L5215" s="300">
        <f t="shared" si="649"/>
        <v>0</v>
      </c>
      <c r="M5215" s="285">
        <f t="shared" si="650"/>
        <v>0</v>
      </c>
      <c r="N5215" s="1076"/>
      <c r="O5215" s="294"/>
      <c r="P5215" s="404"/>
      <c r="Q5215" s="404"/>
    </row>
    <row r="5216" spans="1:17" ht="14.4" thickTop="1" thickBot="1" x14ac:dyDescent="0.3">
      <c r="A5216" s="292"/>
      <c r="B5216" s="296"/>
      <c r="C5216" s="294"/>
      <c r="D5216" s="294"/>
      <c r="E5216" s="294"/>
      <c r="F5216" s="310"/>
      <c r="G5216" s="310"/>
      <c r="H5216" s="310"/>
      <c r="I5216" s="295"/>
      <c r="J5216" s="295"/>
      <c r="K5216" s="300">
        <f t="shared" si="651"/>
        <v>1.1000000000000001</v>
      </c>
      <c r="L5216" s="300">
        <f t="shared" si="649"/>
        <v>0</v>
      </c>
      <c r="M5216" s="285">
        <f t="shared" si="650"/>
        <v>0</v>
      </c>
      <c r="N5216" s="1076"/>
      <c r="O5216" s="294"/>
      <c r="P5216" s="404"/>
      <c r="Q5216" s="404"/>
    </row>
    <row r="5217" spans="1:17" ht="14.4" thickTop="1" thickBot="1" x14ac:dyDescent="0.3">
      <c r="A5217" s="292"/>
      <c r="B5217" s="296"/>
      <c r="C5217" s="294"/>
      <c r="D5217" s="294"/>
      <c r="E5217" s="294"/>
      <c r="F5217" s="310"/>
      <c r="G5217" s="310"/>
      <c r="H5217" s="310"/>
      <c r="I5217" s="295"/>
      <c r="J5217" s="295"/>
      <c r="K5217" s="300">
        <f t="shared" si="651"/>
        <v>1.1000000000000001</v>
      </c>
      <c r="L5217" s="300">
        <f t="shared" si="649"/>
        <v>0</v>
      </c>
      <c r="M5217" s="285">
        <f t="shared" si="650"/>
        <v>0</v>
      </c>
      <c r="N5217" s="1076"/>
      <c r="O5217" s="294"/>
      <c r="P5217" s="404"/>
      <c r="Q5217" s="404"/>
    </row>
    <row r="5218" spans="1:17" ht="14.4" thickTop="1" thickBot="1" x14ac:dyDescent="0.3">
      <c r="A5218" s="292"/>
      <c r="B5218" s="296"/>
      <c r="C5218" s="294"/>
      <c r="D5218" s="294"/>
      <c r="E5218" s="294"/>
      <c r="F5218" s="310"/>
      <c r="G5218" s="310"/>
      <c r="H5218" s="310"/>
      <c r="I5218" s="295"/>
      <c r="J5218" s="295"/>
      <c r="K5218" s="300">
        <f t="shared" si="651"/>
        <v>1.1000000000000001</v>
      </c>
      <c r="L5218" s="300">
        <f t="shared" si="649"/>
        <v>0</v>
      </c>
      <c r="M5218" s="285">
        <f t="shared" si="650"/>
        <v>0</v>
      </c>
      <c r="N5218" s="1076"/>
      <c r="O5218" s="294"/>
      <c r="P5218" s="404"/>
      <c r="Q5218" s="404"/>
    </row>
    <row r="5219" spans="1:17" ht="14.4" thickTop="1" thickBot="1" x14ac:dyDescent="0.3">
      <c r="A5219" s="292"/>
      <c r="B5219" s="296"/>
      <c r="C5219" s="294"/>
      <c r="D5219" s="294"/>
      <c r="E5219" s="294"/>
      <c r="F5219" s="310"/>
      <c r="G5219" s="310"/>
      <c r="H5219" s="310"/>
      <c r="I5219" s="295"/>
      <c r="J5219" s="295"/>
      <c r="K5219" s="300">
        <f t="shared" si="651"/>
        <v>1.1000000000000001</v>
      </c>
      <c r="L5219" s="300">
        <f t="shared" si="649"/>
        <v>0</v>
      </c>
      <c r="M5219" s="285">
        <f t="shared" si="650"/>
        <v>0</v>
      </c>
      <c r="N5219" s="1076"/>
      <c r="O5219" s="294"/>
      <c r="P5219" s="404"/>
      <c r="Q5219" s="404"/>
    </row>
    <row r="5220" spans="1:17" ht="14.4" thickTop="1" thickBot="1" x14ac:dyDescent="0.3">
      <c r="A5220" s="292"/>
      <c r="B5220" s="296"/>
      <c r="C5220" s="294"/>
      <c r="D5220" s="294"/>
      <c r="E5220" s="294"/>
      <c r="F5220" s="310"/>
      <c r="G5220" s="310"/>
      <c r="H5220" s="310"/>
      <c r="I5220" s="295"/>
      <c r="J5220" s="295"/>
      <c r="K5220" s="300">
        <f t="shared" si="651"/>
        <v>1.1000000000000001</v>
      </c>
      <c r="L5220" s="300">
        <f t="shared" si="649"/>
        <v>0</v>
      </c>
      <c r="M5220" s="285">
        <f t="shared" si="650"/>
        <v>0</v>
      </c>
      <c r="N5220" s="1076"/>
      <c r="O5220" s="294"/>
      <c r="P5220" s="404"/>
      <c r="Q5220" s="404"/>
    </row>
    <row r="5221" spans="1:17" ht="14.4" thickTop="1" thickBot="1" x14ac:dyDescent="0.3">
      <c r="A5221" s="292"/>
      <c r="B5221" s="296"/>
      <c r="C5221" s="294"/>
      <c r="D5221" s="294"/>
      <c r="E5221" s="294"/>
      <c r="F5221" s="310"/>
      <c r="G5221" s="310"/>
      <c r="H5221" s="310"/>
      <c r="I5221" s="295"/>
      <c r="J5221" s="295"/>
      <c r="K5221" s="300">
        <f t="shared" si="651"/>
        <v>1.1000000000000001</v>
      </c>
      <c r="L5221" s="300">
        <f t="shared" si="649"/>
        <v>0</v>
      </c>
      <c r="M5221" s="285">
        <f t="shared" si="650"/>
        <v>0</v>
      </c>
      <c r="N5221" s="1076"/>
      <c r="O5221" s="294"/>
      <c r="P5221" s="404"/>
      <c r="Q5221" s="404"/>
    </row>
    <row r="5222" spans="1:17" ht="14.4" thickTop="1" thickBot="1" x14ac:dyDescent="0.3">
      <c r="A5222" s="292"/>
      <c r="B5222" s="296"/>
      <c r="C5222" s="294"/>
      <c r="D5222" s="294"/>
      <c r="E5222" s="294"/>
      <c r="F5222" s="310"/>
      <c r="G5222" s="310"/>
      <c r="H5222" s="310"/>
      <c r="I5222" s="295"/>
      <c r="J5222" s="295"/>
      <c r="K5222" s="300">
        <f t="shared" si="651"/>
        <v>1.1000000000000001</v>
      </c>
      <c r="L5222" s="300">
        <f t="shared" si="649"/>
        <v>0</v>
      </c>
      <c r="M5222" s="285">
        <f t="shared" si="650"/>
        <v>0</v>
      </c>
      <c r="N5222" s="1076"/>
      <c r="O5222" s="294"/>
      <c r="P5222" s="404"/>
      <c r="Q5222" s="404"/>
    </row>
    <row r="5223" spans="1:17" ht="14.4" thickTop="1" thickBot="1" x14ac:dyDescent="0.3">
      <c r="A5223" s="292"/>
      <c r="B5223" s="296"/>
      <c r="C5223" s="294"/>
      <c r="D5223" s="294"/>
      <c r="E5223" s="294"/>
      <c r="F5223" s="310"/>
      <c r="G5223" s="310"/>
      <c r="H5223" s="310"/>
      <c r="I5223" s="295"/>
      <c r="J5223" s="295"/>
      <c r="K5223" s="300">
        <f t="shared" si="651"/>
        <v>1.1000000000000001</v>
      </c>
      <c r="L5223" s="300">
        <f t="shared" si="649"/>
        <v>0</v>
      </c>
      <c r="M5223" s="285">
        <f t="shared" si="650"/>
        <v>0</v>
      </c>
      <c r="N5223" s="1076"/>
      <c r="O5223" s="294"/>
      <c r="P5223" s="404"/>
      <c r="Q5223" s="404"/>
    </row>
    <row r="5224" spans="1:17" ht="14.4" thickTop="1" thickBot="1" x14ac:dyDescent="0.3">
      <c r="A5224" s="292"/>
      <c r="B5224" s="296"/>
      <c r="C5224" s="294"/>
      <c r="D5224" s="294"/>
      <c r="E5224" s="294"/>
      <c r="F5224" s="310"/>
      <c r="G5224" s="310"/>
      <c r="H5224" s="310"/>
      <c r="I5224" s="295"/>
      <c r="J5224" s="295"/>
      <c r="K5224" s="300">
        <f t="shared" si="651"/>
        <v>1.1000000000000001</v>
      </c>
      <c r="L5224" s="300">
        <f t="shared" si="649"/>
        <v>0</v>
      </c>
      <c r="M5224" s="285">
        <f t="shared" si="650"/>
        <v>0</v>
      </c>
      <c r="N5224" s="1076"/>
      <c r="O5224" s="294"/>
      <c r="P5224" s="404"/>
      <c r="Q5224" s="404"/>
    </row>
    <row r="5225" spans="1:17" ht="14.4" thickTop="1" thickBot="1" x14ac:dyDescent="0.3">
      <c r="A5225" s="292"/>
      <c r="B5225" s="296"/>
      <c r="C5225" s="294"/>
      <c r="D5225" s="294"/>
      <c r="E5225" s="294"/>
      <c r="F5225" s="310"/>
      <c r="G5225" s="310"/>
      <c r="H5225" s="310"/>
      <c r="I5225" s="295"/>
      <c r="J5225" s="295"/>
      <c r="K5225" s="300">
        <f t="shared" si="651"/>
        <v>1.1000000000000001</v>
      </c>
      <c r="L5225" s="300">
        <f t="shared" ref="L5225:L5288" si="652">K5225*J5225</f>
        <v>0</v>
      </c>
      <c r="M5225" s="285">
        <f t="shared" si="650"/>
        <v>0</v>
      </c>
      <c r="N5225" s="1076"/>
      <c r="O5225" s="294"/>
      <c r="P5225" s="404"/>
      <c r="Q5225" s="404"/>
    </row>
    <row r="5226" spans="1:17" ht="14.4" thickTop="1" thickBot="1" x14ac:dyDescent="0.3">
      <c r="A5226" s="292"/>
      <c r="B5226" s="296"/>
      <c r="C5226" s="294"/>
      <c r="D5226" s="294"/>
      <c r="E5226" s="294"/>
      <c r="F5226" s="310"/>
      <c r="G5226" s="310"/>
      <c r="H5226" s="310"/>
      <c r="I5226" s="295"/>
      <c r="J5226" s="295"/>
      <c r="K5226" s="300">
        <f t="shared" si="651"/>
        <v>1.1000000000000001</v>
      </c>
      <c r="L5226" s="300">
        <f t="shared" si="652"/>
        <v>0</v>
      </c>
      <c r="M5226" s="285">
        <f t="shared" si="650"/>
        <v>0</v>
      </c>
      <c r="N5226" s="1076"/>
      <c r="O5226" s="294"/>
      <c r="P5226" s="404"/>
      <c r="Q5226" s="404"/>
    </row>
    <row r="5227" spans="1:17" ht="14.4" thickTop="1" thickBot="1" x14ac:dyDescent="0.3">
      <c r="A5227" s="292"/>
      <c r="B5227" s="296"/>
      <c r="C5227" s="294"/>
      <c r="D5227" s="294"/>
      <c r="E5227" s="294"/>
      <c r="F5227" s="310"/>
      <c r="G5227" s="310"/>
      <c r="H5227" s="310"/>
      <c r="I5227" s="295"/>
      <c r="J5227" s="295"/>
      <c r="K5227" s="300">
        <f t="shared" si="651"/>
        <v>1.1000000000000001</v>
      </c>
      <c r="L5227" s="300">
        <f t="shared" si="652"/>
        <v>0</v>
      </c>
      <c r="M5227" s="285">
        <f t="shared" si="650"/>
        <v>0</v>
      </c>
      <c r="N5227" s="1076"/>
      <c r="O5227" s="294"/>
      <c r="P5227" s="404"/>
      <c r="Q5227" s="404"/>
    </row>
    <row r="5228" spans="1:17" ht="14.4" thickTop="1" thickBot="1" x14ac:dyDescent="0.3">
      <c r="A5228" s="292"/>
      <c r="B5228" s="296"/>
      <c r="C5228" s="294"/>
      <c r="D5228" s="294"/>
      <c r="E5228" s="294"/>
      <c r="F5228" s="310"/>
      <c r="G5228" s="310"/>
      <c r="H5228" s="310"/>
      <c r="I5228" s="295"/>
      <c r="J5228" s="295"/>
      <c r="K5228" s="300">
        <f t="shared" si="651"/>
        <v>1.1000000000000001</v>
      </c>
      <c r="L5228" s="300">
        <f t="shared" si="652"/>
        <v>0</v>
      </c>
      <c r="M5228" s="285">
        <f t="shared" si="650"/>
        <v>0</v>
      </c>
      <c r="N5228" s="1076"/>
      <c r="O5228" s="294"/>
      <c r="P5228" s="404"/>
      <c r="Q5228" s="404"/>
    </row>
    <row r="5229" spans="1:17" ht="14.4" thickTop="1" thickBot="1" x14ac:dyDescent="0.3">
      <c r="A5229" s="292"/>
      <c r="B5229" s="296"/>
      <c r="C5229" s="294"/>
      <c r="D5229" s="294"/>
      <c r="E5229" s="294"/>
      <c r="F5229" s="310"/>
      <c r="G5229" s="310"/>
      <c r="H5229" s="310"/>
      <c r="I5229" s="295"/>
      <c r="J5229" s="295"/>
      <c r="K5229" s="300">
        <f t="shared" si="651"/>
        <v>1.1000000000000001</v>
      </c>
      <c r="L5229" s="300">
        <f t="shared" si="652"/>
        <v>0</v>
      </c>
      <c r="M5229" s="285">
        <f t="shared" ref="M5229:M5292" si="653">ROUND(L5229,0)</f>
        <v>0</v>
      </c>
      <c r="N5229" s="1076"/>
      <c r="O5229" s="294"/>
      <c r="P5229" s="404"/>
      <c r="Q5229" s="404"/>
    </row>
    <row r="5230" spans="1:17" ht="14.4" thickTop="1" thickBot="1" x14ac:dyDescent="0.3">
      <c r="A5230" s="292"/>
      <c r="B5230" s="296"/>
      <c r="C5230" s="294"/>
      <c r="D5230" s="294"/>
      <c r="E5230" s="294"/>
      <c r="F5230" s="310"/>
      <c r="G5230" s="310"/>
      <c r="H5230" s="310"/>
      <c r="I5230" s="295"/>
      <c r="J5230" s="295"/>
      <c r="K5230" s="300">
        <f t="shared" si="651"/>
        <v>1.1000000000000001</v>
      </c>
      <c r="L5230" s="300">
        <f t="shared" si="652"/>
        <v>0</v>
      </c>
      <c r="M5230" s="285">
        <f t="shared" si="653"/>
        <v>0</v>
      </c>
      <c r="N5230" s="1076"/>
      <c r="O5230" s="294"/>
      <c r="P5230" s="404"/>
      <c r="Q5230" s="404"/>
    </row>
    <row r="5231" spans="1:17" ht="14.4" thickTop="1" thickBot="1" x14ac:dyDescent="0.3">
      <c r="A5231" s="292"/>
      <c r="B5231" s="296"/>
      <c r="C5231" s="294"/>
      <c r="D5231" s="294"/>
      <c r="E5231" s="294"/>
      <c r="F5231" s="310"/>
      <c r="G5231" s="310"/>
      <c r="H5231" s="310"/>
      <c r="I5231" s="295"/>
      <c r="J5231" s="295"/>
      <c r="K5231" s="300">
        <f t="shared" si="651"/>
        <v>1.1000000000000001</v>
      </c>
      <c r="L5231" s="300">
        <f t="shared" si="652"/>
        <v>0</v>
      </c>
      <c r="M5231" s="285">
        <f t="shared" si="653"/>
        <v>0</v>
      </c>
      <c r="N5231" s="1076"/>
      <c r="O5231" s="294"/>
      <c r="P5231" s="404"/>
      <c r="Q5231" s="404"/>
    </row>
    <row r="5232" spans="1:17" ht="14.4" thickTop="1" thickBot="1" x14ac:dyDescent="0.3">
      <c r="A5232" s="292"/>
      <c r="B5232" s="296"/>
      <c r="C5232" s="294"/>
      <c r="D5232" s="294"/>
      <c r="E5232" s="294"/>
      <c r="F5232" s="310"/>
      <c r="G5232" s="310"/>
      <c r="H5232" s="310"/>
      <c r="I5232" s="295"/>
      <c r="J5232" s="295"/>
      <c r="K5232" s="300">
        <f t="shared" si="651"/>
        <v>1.1000000000000001</v>
      </c>
      <c r="L5232" s="300">
        <f t="shared" si="652"/>
        <v>0</v>
      </c>
      <c r="M5232" s="285">
        <f t="shared" si="653"/>
        <v>0</v>
      </c>
      <c r="N5232" s="1076"/>
      <c r="O5232" s="294"/>
      <c r="P5232" s="404"/>
      <c r="Q5232" s="404"/>
    </row>
    <row r="5233" spans="1:17" ht="14.4" thickTop="1" thickBot="1" x14ac:dyDescent="0.3">
      <c r="A5233" s="292"/>
      <c r="B5233" s="296"/>
      <c r="C5233" s="294"/>
      <c r="D5233" s="294"/>
      <c r="E5233" s="294"/>
      <c r="F5233" s="310"/>
      <c r="G5233" s="310"/>
      <c r="H5233" s="310"/>
      <c r="I5233" s="295"/>
      <c r="J5233" s="295"/>
      <c r="K5233" s="300">
        <f t="shared" si="651"/>
        <v>1.1000000000000001</v>
      </c>
      <c r="L5233" s="300">
        <f t="shared" si="652"/>
        <v>0</v>
      </c>
      <c r="M5233" s="285">
        <f t="shared" si="653"/>
        <v>0</v>
      </c>
      <c r="N5233" s="1076"/>
      <c r="O5233" s="294"/>
      <c r="P5233" s="404"/>
      <c r="Q5233" s="404"/>
    </row>
    <row r="5234" spans="1:17" ht="14.4" thickTop="1" thickBot="1" x14ac:dyDescent="0.3">
      <c r="A5234" s="292"/>
      <c r="B5234" s="296"/>
      <c r="C5234" s="294"/>
      <c r="D5234" s="294"/>
      <c r="E5234" s="294"/>
      <c r="F5234" s="310"/>
      <c r="G5234" s="310"/>
      <c r="H5234" s="310"/>
      <c r="I5234" s="295"/>
      <c r="J5234" s="295"/>
      <c r="K5234" s="300">
        <f t="shared" si="651"/>
        <v>1.1000000000000001</v>
      </c>
      <c r="L5234" s="300">
        <f t="shared" si="652"/>
        <v>0</v>
      </c>
      <c r="M5234" s="285">
        <f t="shared" si="653"/>
        <v>0</v>
      </c>
      <c r="N5234" s="1076"/>
      <c r="O5234" s="294"/>
      <c r="P5234" s="404"/>
      <c r="Q5234" s="404"/>
    </row>
    <row r="5235" spans="1:17" ht="14.4" thickTop="1" thickBot="1" x14ac:dyDescent="0.3">
      <c r="A5235" s="292"/>
      <c r="B5235" s="296"/>
      <c r="C5235" s="294"/>
      <c r="D5235" s="294"/>
      <c r="E5235" s="294"/>
      <c r="F5235" s="310"/>
      <c r="G5235" s="310"/>
      <c r="H5235" s="310"/>
      <c r="I5235" s="295"/>
      <c r="J5235" s="295"/>
      <c r="K5235" s="300">
        <f t="shared" si="651"/>
        <v>1.1000000000000001</v>
      </c>
      <c r="L5235" s="300">
        <f t="shared" si="652"/>
        <v>0</v>
      </c>
      <c r="M5235" s="285">
        <f t="shared" si="653"/>
        <v>0</v>
      </c>
      <c r="N5235" s="1076"/>
      <c r="O5235" s="294"/>
      <c r="P5235" s="404"/>
      <c r="Q5235" s="404"/>
    </row>
    <row r="5236" spans="1:17" ht="14.4" thickTop="1" thickBot="1" x14ac:dyDescent="0.3">
      <c r="A5236" s="292"/>
      <c r="B5236" s="296"/>
      <c r="C5236" s="294"/>
      <c r="D5236" s="294"/>
      <c r="E5236" s="294"/>
      <c r="F5236" s="310"/>
      <c r="G5236" s="310"/>
      <c r="H5236" s="310"/>
      <c r="I5236" s="295"/>
      <c r="J5236" s="295"/>
      <c r="K5236" s="300">
        <f t="shared" si="651"/>
        <v>1.1000000000000001</v>
      </c>
      <c r="L5236" s="300">
        <f t="shared" si="652"/>
        <v>0</v>
      </c>
      <c r="M5236" s="285">
        <f t="shared" si="653"/>
        <v>0</v>
      </c>
      <c r="N5236" s="1076"/>
      <c r="O5236" s="294"/>
      <c r="P5236" s="404"/>
      <c r="Q5236" s="404"/>
    </row>
    <row r="5237" spans="1:17" ht="14.4" thickTop="1" thickBot="1" x14ac:dyDescent="0.3">
      <c r="A5237" s="292"/>
      <c r="B5237" s="296"/>
      <c r="C5237" s="294"/>
      <c r="D5237" s="294"/>
      <c r="E5237" s="294"/>
      <c r="F5237" s="310"/>
      <c r="G5237" s="310"/>
      <c r="H5237" s="310"/>
      <c r="I5237" s="295"/>
      <c r="J5237" s="295"/>
      <c r="K5237" s="300">
        <f t="shared" si="651"/>
        <v>1.1000000000000001</v>
      </c>
      <c r="L5237" s="300">
        <f t="shared" si="652"/>
        <v>0</v>
      </c>
      <c r="M5237" s="285">
        <f t="shared" si="653"/>
        <v>0</v>
      </c>
      <c r="N5237" s="1076"/>
      <c r="O5237" s="294"/>
      <c r="P5237" s="404"/>
      <c r="Q5237" s="404"/>
    </row>
    <row r="5238" spans="1:17" ht="14.4" thickTop="1" thickBot="1" x14ac:dyDescent="0.3">
      <c r="A5238" s="292"/>
      <c r="B5238" s="296"/>
      <c r="C5238" s="294"/>
      <c r="D5238" s="294"/>
      <c r="E5238" s="294"/>
      <c r="F5238" s="310"/>
      <c r="G5238" s="310"/>
      <c r="H5238" s="310"/>
      <c r="I5238" s="295"/>
      <c r="J5238" s="295"/>
      <c r="K5238" s="300">
        <f t="shared" si="651"/>
        <v>1.1000000000000001</v>
      </c>
      <c r="L5238" s="300">
        <f t="shared" si="652"/>
        <v>0</v>
      </c>
      <c r="M5238" s="285">
        <f t="shared" si="653"/>
        <v>0</v>
      </c>
      <c r="N5238" s="1076"/>
      <c r="O5238" s="294"/>
      <c r="P5238" s="404"/>
      <c r="Q5238" s="404"/>
    </row>
    <row r="5239" spans="1:17" ht="14.4" thickTop="1" thickBot="1" x14ac:dyDescent="0.3">
      <c r="A5239" s="292"/>
      <c r="B5239" s="296"/>
      <c r="C5239" s="294"/>
      <c r="D5239" s="294"/>
      <c r="E5239" s="294"/>
      <c r="F5239" s="310"/>
      <c r="G5239" s="310"/>
      <c r="H5239" s="310"/>
      <c r="I5239" s="295"/>
      <c r="J5239" s="295"/>
      <c r="K5239" s="300">
        <f t="shared" si="651"/>
        <v>1.1000000000000001</v>
      </c>
      <c r="L5239" s="300">
        <f t="shared" si="652"/>
        <v>0</v>
      </c>
      <c r="M5239" s="285">
        <f t="shared" si="653"/>
        <v>0</v>
      </c>
      <c r="N5239" s="1076"/>
      <c r="O5239" s="294"/>
      <c r="P5239" s="404"/>
      <c r="Q5239" s="404"/>
    </row>
    <row r="5240" spans="1:17" ht="14.4" thickTop="1" thickBot="1" x14ac:dyDescent="0.3">
      <c r="A5240" s="292"/>
      <c r="B5240" s="296"/>
      <c r="C5240" s="294"/>
      <c r="D5240" s="294"/>
      <c r="E5240" s="294"/>
      <c r="F5240" s="310"/>
      <c r="G5240" s="310"/>
      <c r="H5240" s="310"/>
      <c r="I5240" s="295"/>
      <c r="J5240" s="295"/>
      <c r="K5240" s="300">
        <f t="shared" si="651"/>
        <v>1.1000000000000001</v>
      </c>
      <c r="L5240" s="300">
        <f t="shared" si="652"/>
        <v>0</v>
      </c>
      <c r="M5240" s="285">
        <f t="shared" si="653"/>
        <v>0</v>
      </c>
      <c r="N5240" s="1076"/>
      <c r="O5240" s="294"/>
      <c r="P5240" s="404"/>
      <c r="Q5240" s="404"/>
    </row>
    <row r="5241" spans="1:17" ht="14.4" thickTop="1" thickBot="1" x14ac:dyDescent="0.3">
      <c r="A5241" s="292"/>
      <c r="B5241" s="296"/>
      <c r="C5241" s="294"/>
      <c r="D5241" s="294"/>
      <c r="E5241" s="294"/>
      <c r="F5241" s="310"/>
      <c r="G5241" s="310"/>
      <c r="H5241" s="310"/>
      <c r="I5241" s="295"/>
      <c r="J5241" s="295"/>
      <c r="K5241" s="300">
        <f t="shared" si="651"/>
        <v>1.1000000000000001</v>
      </c>
      <c r="L5241" s="300">
        <f t="shared" si="652"/>
        <v>0</v>
      </c>
      <c r="M5241" s="285">
        <f t="shared" si="653"/>
        <v>0</v>
      </c>
      <c r="N5241" s="1076"/>
      <c r="O5241" s="294"/>
      <c r="P5241" s="404"/>
      <c r="Q5241" s="404"/>
    </row>
    <row r="5242" spans="1:17" ht="14.4" thickTop="1" thickBot="1" x14ac:dyDescent="0.3">
      <c r="A5242" s="292"/>
      <c r="B5242" s="296"/>
      <c r="C5242" s="294"/>
      <c r="D5242" s="294"/>
      <c r="E5242" s="294"/>
      <c r="F5242" s="310"/>
      <c r="G5242" s="310"/>
      <c r="H5242" s="310"/>
      <c r="I5242" s="295"/>
      <c r="J5242" s="295"/>
      <c r="K5242" s="300">
        <f t="shared" si="651"/>
        <v>1.1000000000000001</v>
      </c>
      <c r="L5242" s="300">
        <f t="shared" si="652"/>
        <v>0</v>
      </c>
      <c r="M5242" s="285">
        <f t="shared" si="653"/>
        <v>0</v>
      </c>
      <c r="N5242" s="1076"/>
      <c r="O5242" s="294"/>
      <c r="P5242" s="404"/>
      <c r="Q5242" s="404"/>
    </row>
    <row r="5243" spans="1:17" ht="14.4" thickTop="1" thickBot="1" x14ac:dyDescent="0.3">
      <c r="A5243" s="292"/>
      <c r="B5243" s="296"/>
      <c r="C5243" s="294"/>
      <c r="D5243" s="294"/>
      <c r="E5243" s="294"/>
      <c r="F5243" s="310"/>
      <c r="G5243" s="310"/>
      <c r="H5243" s="310"/>
      <c r="I5243" s="295"/>
      <c r="J5243" s="295"/>
      <c r="K5243" s="300">
        <f t="shared" si="651"/>
        <v>1.1000000000000001</v>
      </c>
      <c r="L5243" s="300">
        <f t="shared" si="652"/>
        <v>0</v>
      </c>
      <c r="M5243" s="285">
        <f t="shared" si="653"/>
        <v>0</v>
      </c>
      <c r="N5243" s="1076"/>
      <c r="O5243" s="294"/>
      <c r="P5243" s="404"/>
      <c r="Q5243" s="404"/>
    </row>
    <row r="5244" spans="1:17" ht="14.4" thickTop="1" thickBot="1" x14ac:dyDescent="0.3">
      <c r="A5244" s="292"/>
      <c r="B5244" s="296"/>
      <c r="C5244" s="294"/>
      <c r="D5244" s="294"/>
      <c r="E5244" s="294"/>
      <c r="F5244" s="310"/>
      <c r="G5244" s="310"/>
      <c r="H5244" s="310"/>
      <c r="I5244" s="295"/>
      <c r="J5244" s="295"/>
      <c r="K5244" s="300">
        <f t="shared" si="651"/>
        <v>1.1000000000000001</v>
      </c>
      <c r="L5244" s="300">
        <f t="shared" si="652"/>
        <v>0</v>
      </c>
      <c r="M5244" s="285">
        <f t="shared" si="653"/>
        <v>0</v>
      </c>
      <c r="N5244" s="1076"/>
      <c r="O5244" s="294"/>
      <c r="P5244" s="404"/>
      <c r="Q5244" s="404"/>
    </row>
    <row r="5245" spans="1:17" ht="14.4" thickTop="1" thickBot="1" x14ac:dyDescent="0.3">
      <c r="A5245" s="292"/>
      <c r="B5245" s="296"/>
      <c r="C5245" s="294"/>
      <c r="D5245" s="294"/>
      <c r="E5245" s="294"/>
      <c r="F5245" s="310"/>
      <c r="G5245" s="310"/>
      <c r="H5245" s="310"/>
      <c r="I5245" s="295"/>
      <c r="J5245" s="295"/>
      <c r="K5245" s="300">
        <f t="shared" si="651"/>
        <v>1.1000000000000001</v>
      </c>
      <c r="L5245" s="300">
        <f t="shared" si="652"/>
        <v>0</v>
      </c>
      <c r="M5245" s="285">
        <f t="shared" si="653"/>
        <v>0</v>
      </c>
      <c r="N5245" s="1076"/>
      <c r="O5245" s="294"/>
      <c r="P5245" s="404"/>
      <c r="Q5245" s="404"/>
    </row>
    <row r="5246" spans="1:17" ht="14.4" thickTop="1" thickBot="1" x14ac:dyDescent="0.3">
      <c r="A5246" s="292"/>
      <c r="B5246" s="296"/>
      <c r="C5246" s="294"/>
      <c r="D5246" s="294"/>
      <c r="E5246" s="294"/>
      <c r="F5246" s="310"/>
      <c r="G5246" s="310"/>
      <c r="H5246" s="310"/>
      <c r="I5246" s="295"/>
      <c r="J5246" s="295"/>
      <c r="K5246" s="300">
        <f t="shared" si="651"/>
        <v>1.1000000000000001</v>
      </c>
      <c r="L5246" s="300">
        <f t="shared" si="652"/>
        <v>0</v>
      </c>
      <c r="M5246" s="285">
        <f t="shared" si="653"/>
        <v>0</v>
      </c>
      <c r="N5246" s="1076"/>
      <c r="O5246" s="294"/>
      <c r="P5246" s="404"/>
      <c r="Q5246" s="404"/>
    </row>
    <row r="5247" spans="1:17" ht="14.4" thickTop="1" thickBot="1" x14ac:dyDescent="0.3">
      <c r="A5247" s="292"/>
      <c r="B5247" s="296"/>
      <c r="C5247" s="294"/>
      <c r="D5247" s="294"/>
      <c r="E5247" s="294"/>
      <c r="F5247" s="310"/>
      <c r="G5247" s="310"/>
      <c r="H5247" s="310"/>
      <c r="I5247" s="295"/>
      <c r="J5247" s="295"/>
      <c r="K5247" s="300">
        <f t="shared" si="651"/>
        <v>1.1000000000000001</v>
      </c>
      <c r="L5247" s="300">
        <f t="shared" si="652"/>
        <v>0</v>
      </c>
      <c r="M5247" s="285">
        <f t="shared" si="653"/>
        <v>0</v>
      </c>
      <c r="N5247" s="1076"/>
      <c r="O5247" s="294"/>
      <c r="P5247" s="404"/>
      <c r="Q5247" s="404"/>
    </row>
    <row r="5248" spans="1:17" ht="14.4" thickTop="1" thickBot="1" x14ac:dyDescent="0.3">
      <c r="A5248" s="292"/>
      <c r="B5248" s="296"/>
      <c r="C5248" s="294"/>
      <c r="D5248" s="294"/>
      <c r="E5248" s="294"/>
      <c r="F5248" s="310"/>
      <c r="G5248" s="310"/>
      <c r="H5248" s="310"/>
      <c r="I5248" s="295"/>
      <c r="J5248" s="295"/>
      <c r="K5248" s="300">
        <f t="shared" si="651"/>
        <v>1.1000000000000001</v>
      </c>
      <c r="L5248" s="300">
        <f t="shared" si="652"/>
        <v>0</v>
      </c>
      <c r="M5248" s="285">
        <f t="shared" si="653"/>
        <v>0</v>
      </c>
      <c r="N5248" s="1076"/>
      <c r="O5248" s="294"/>
      <c r="P5248" s="404"/>
      <c r="Q5248" s="404"/>
    </row>
    <row r="5249" spans="1:17" ht="14.4" thickTop="1" thickBot="1" x14ac:dyDescent="0.3">
      <c r="A5249" s="292"/>
      <c r="B5249" s="296"/>
      <c r="C5249" s="294"/>
      <c r="D5249" s="294"/>
      <c r="E5249" s="294"/>
      <c r="F5249" s="310"/>
      <c r="G5249" s="310"/>
      <c r="H5249" s="310"/>
      <c r="I5249" s="295"/>
      <c r="J5249" s="295"/>
      <c r="K5249" s="300">
        <f t="shared" si="651"/>
        <v>1.1000000000000001</v>
      </c>
      <c r="L5249" s="300">
        <f t="shared" si="652"/>
        <v>0</v>
      </c>
      <c r="M5249" s="285">
        <f t="shared" si="653"/>
        <v>0</v>
      </c>
      <c r="N5249" s="1076"/>
      <c r="O5249" s="294"/>
      <c r="P5249" s="404"/>
      <c r="Q5249" s="404"/>
    </row>
    <row r="5250" spans="1:17" ht="14.4" thickTop="1" thickBot="1" x14ac:dyDescent="0.3">
      <c r="A5250" s="292"/>
      <c r="B5250" s="296"/>
      <c r="C5250" s="294"/>
      <c r="D5250" s="294"/>
      <c r="E5250" s="294"/>
      <c r="F5250" s="310"/>
      <c r="G5250" s="310"/>
      <c r="H5250" s="310"/>
      <c r="I5250" s="295"/>
      <c r="J5250" s="295"/>
      <c r="K5250" s="300">
        <f t="shared" si="651"/>
        <v>1.1000000000000001</v>
      </c>
      <c r="L5250" s="300">
        <f t="shared" si="652"/>
        <v>0</v>
      </c>
      <c r="M5250" s="285">
        <f t="shared" si="653"/>
        <v>0</v>
      </c>
      <c r="N5250" s="1076"/>
      <c r="O5250" s="294"/>
      <c r="P5250" s="404"/>
      <c r="Q5250" s="404"/>
    </row>
    <row r="5251" spans="1:17" ht="14.4" thickTop="1" thickBot="1" x14ac:dyDescent="0.3">
      <c r="A5251" s="292"/>
      <c r="B5251" s="296"/>
      <c r="C5251" s="294"/>
      <c r="D5251" s="294"/>
      <c r="E5251" s="294"/>
      <c r="F5251" s="310"/>
      <c r="G5251" s="310"/>
      <c r="H5251" s="310"/>
      <c r="I5251" s="295"/>
      <c r="J5251" s="295"/>
      <c r="K5251" s="300">
        <f t="shared" si="651"/>
        <v>1.1000000000000001</v>
      </c>
      <c r="L5251" s="300">
        <f t="shared" si="652"/>
        <v>0</v>
      </c>
      <c r="M5251" s="285">
        <f t="shared" si="653"/>
        <v>0</v>
      </c>
      <c r="N5251" s="1076"/>
      <c r="O5251" s="294"/>
      <c r="P5251" s="404"/>
      <c r="Q5251" s="404"/>
    </row>
    <row r="5252" spans="1:17" ht="14.4" thickTop="1" thickBot="1" x14ac:dyDescent="0.3">
      <c r="A5252" s="292"/>
      <c r="B5252" s="296"/>
      <c r="C5252" s="294"/>
      <c r="D5252" s="294"/>
      <c r="E5252" s="294"/>
      <c r="F5252" s="310"/>
      <c r="G5252" s="310"/>
      <c r="H5252" s="310"/>
      <c r="I5252" s="295"/>
      <c r="J5252" s="295"/>
      <c r="K5252" s="300">
        <f t="shared" si="651"/>
        <v>1.1000000000000001</v>
      </c>
      <c r="L5252" s="300">
        <f t="shared" si="652"/>
        <v>0</v>
      </c>
      <c r="M5252" s="285">
        <f t="shared" si="653"/>
        <v>0</v>
      </c>
      <c r="N5252" s="1076"/>
      <c r="O5252" s="294"/>
      <c r="P5252" s="404"/>
      <c r="Q5252" s="404"/>
    </row>
    <row r="5253" spans="1:17" ht="14.4" thickTop="1" thickBot="1" x14ac:dyDescent="0.3">
      <c r="A5253" s="292"/>
      <c r="B5253" s="296"/>
      <c r="C5253" s="294"/>
      <c r="D5253" s="294"/>
      <c r="E5253" s="294"/>
      <c r="F5253" s="310"/>
      <c r="G5253" s="310"/>
      <c r="H5253" s="310"/>
      <c r="I5253" s="295"/>
      <c r="J5253" s="295"/>
      <c r="K5253" s="300">
        <f t="shared" si="651"/>
        <v>1.1000000000000001</v>
      </c>
      <c r="L5253" s="300">
        <f t="shared" si="652"/>
        <v>0</v>
      </c>
      <c r="M5253" s="285">
        <f t="shared" si="653"/>
        <v>0</v>
      </c>
      <c r="N5253" s="1076"/>
      <c r="O5253" s="294"/>
      <c r="P5253" s="404"/>
      <c r="Q5253" s="404"/>
    </row>
    <row r="5254" spans="1:17" ht="14.4" thickTop="1" thickBot="1" x14ac:dyDescent="0.3">
      <c r="A5254" s="292"/>
      <c r="B5254" s="296"/>
      <c r="C5254" s="294"/>
      <c r="D5254" s="294"/>
      <c r="E5254" s="294"/>
      <c r="F5254" s="310"/>
      <c r="G5254" s="310"/>
      <c r="H5254" s="310"/>
      <c r="I5254" s="295"/>
      <c r="J5254" s="295"/>
      <c r="K5254" s="300">
        <f t="shared" si="651"/>
        <v>1.1000000000000001</v>
      </c>
      <c r="L5254" s="300">
        <f t="shared" si="652"/>
        <v>0</v>
      </c>
      <c r="M5254" s="285">
        <f t="shared" si="653"/>
        <v>0</v>
      </c>
      <c r="N5254" s="1076"/>
      <c r="O5254" s="294"/>
      <c r="P5254" s="404"/>
      <c r="Q5254" s="404"/>
    </row>
    <row r="5255" spans="1:17" ht="14.4" thickTop="1" thickBot="1" x14ac:dyDescent="0.3">
      <c r="A5255" s="292"/>
      <c r="B5255" s="296"/>
      <c r="C5255" s="294"/>
      <c r="D5255" s="294"/>
      <c r="E5255" s="294"/>
      <c r="F5255" s="310"/>
      <c r="G5255" s="310"/>
      <c r="H5255" s="310"/>
      <c r="I5255" s="295"/>
      <c r="J5255" s="295"/>
      <c r="K5255" s="300">
        <f t="shared" si="651"/>
        <v>1.1000000000000001</v>
      </c>
      <c r="L5255" s="300">
        <f t="shared" si="652"/>
        <v>0</v>
      </c>
      <c r="M5255" s="285">
        <f t="shared" si="653"/>
        <v>0</v>
      </c>
      <c r="N5255" s="1076"/>
      <c r="O5255" s="294"/>
      <c r="P5255" s="404"/>
      <c r="Q5255" s="404"/>
    </row>
    <row r="5256" spans="1:17" ht="14.4" thickTop="1" thickBot="1" x14ac:dyDescent="0.3">
      <c r="A5256" s="292"/>
      <c r="B5256" s="296"/>
      <c r="C5256" s="294"/>
      <c r="D5256" s="294"/>
      <c r="E5256" s="294"/>
      <c r="F5256" s="310"/>
      <c r="G5256" s="310"/>
      <c r="H5256" s="310"/>
      <c r="I5256" s="295"/>
      <c r="J5256" s="295"/>
      <c r="K5256" s="300">
        <f t="shared" si="651"/>
        <v>1.1000000000000001</v>
      </c>
      <c r="L5256" s="300">
        <f t="shared" si="652"/>
        <v>0</v>
      </c>
      <c r="M5256" s="285">
        <f t="shared" si="653"/>
        <v>0</v>
      </c>
      <c r="N5256" s="1076"/>
      <c r="O5256" s="294"/>
      <c r="P5256" s="404"/>
      <c r="Q5256" s="404"/>
    </row>
    <row r="5257" spans="1:17" ht="14.4" thickTop="1" thickBot="1" x14ac:dyDescent="0.3">
      <c r="A5257" s="292"/>
      <c r="B5257" s="296"/>
      <c r="C5257" s="294"/>
      <c r="D5257" s="294"/>
      <c r="E5257" s="294"/>
      <c r="F5257" s="310"/>
      <c r="G5257" s="310"/>
      <c r="H5257" s="310"/>
      <c r="I5257" s="295"/>
      <c r="J5257" s="295"/>
      <c r="K5257" s="300">
        <f t="shared" si="651"/>
        <v>1.1000000000000001</v>
      </c>
      <c r="L5257" s="300">
        <f t="shared" si="652"/>
        <v>0</v>
      </c>
      <c r="M5257" s="285">
        <f t="shared" si="653"/>
        <v>0</v>
      </c>
      <c r="N5257" s="1076"/>
      <c r="O5257" s="294"/>
      <c r="P5257" s="404"/>
      <c r="Q5257" s="404"/>
    </row>
    <row r="5258" spans="1:17" ht="14.4" thickTop="1" thickBot="1" x14ac:dyDescent="0.3">
      <c r="A5258" s="292"/>
      <c r="B5258" s="296"/>
      <c r="C5258" s="294"/>
      <c r="D5258" s="294"/>
      <c r="E5258" s="294"/>
      <c r="F5258" s="310"/>
      <c r="G5258" s="310"/>
      <c r="H5258" s="310"/>
      <c r="I5258" s="295"/>
      <c r="J5258" s="295"/>
      <c r="K5258" s="300">
        <f t="shared" si="651"/>
        <v>1.1000000000000001</v>
      </c>
      <c r="L5258" s="300">
        <f t="shared" si="652"/>
        <v>0</v>
      </c>
      <c r="M5258" s="285">
        <f t="shared" si="653"/>
        <v>0</v>
      </c>
      <c r="N5258" s="1076"/>
      <c r="O5258" s="294"/>
      <c r="P5258" s="404"/>
      <c r="Q5258" s="404"/>
    </row>
    <row r="5259" spans="1:17" ht="14.4" thickTop="1" thickBot="1" x14ac:dyDescent="0.3">
      <c r="A5259" s="292"/>
      <c r="B5259" s="296"/>
      <c r="C5259" s="294"/>
      <c r="D5259" s="294"/>
      <c r="E5259" s="294"/>
      <c r="F5259" s="310"/>
      <c r="G5259" s="310"/>
      <c r="H5259" s="310"/>
      <c r="I5259" s="295"/>
      <c r="J5259" s="295"/>
      <c r="K5259" s="300">
        <f t="shared" si="651"/>
        <v>1.1000000000000001</v>
      </c>
      <c r="L5259" s="300">
        <f t="shared" si="652"/>
        <v>0</v>
      </c>
      <c r="M5259" s="285">
        <f t="shared" si="653"/>
        <v>0</v>
      </c>
      <c r="N5259" s="1076"/>
      <c r="O5259" s="294"/>
      <c r="P5259" s="404"/>
      <c r="Q5259" s="404"/>
    </row>
    <row r="5260" spans="1:17" ht="14.4" thickTop="1" thickBot="1" x14ac:dyDescent="0.3">
      <c r="A5260" s="292"/>
      <c r="B5260" s="296"/>
      <c r="C5260" s="294"/>
      <c r="D5260" s="294"/>
      <c r="E5260" s="294"/>
      <c r="F5260" s="310"/>
      <c r="G5260" s="310"/>
      <c r="H5260" s="310"/>
      <c r="I5260" s="295"/>
      <c r="J5260" s="295"/>
      <c r="K5260" s="300">
        <f t="shared" si="651"/>
        <v>1.1000000000000001</v>
      </c>
      <c r="L5260" s="300">
        <f t="shared" si="652"/>
        <v>0</v>
      </c>
      <c r="M5260" s="285">
        <f t="shared" si="653"/>
        <v>0</v>
      </c>
      <c r="N5260" s="1076"/>
      <c r="O5260" s="294"/>
      <c r="P5260" s="404"/>
      <c r="Q5260" s="404"/>
    </row>
    <row r="5261" spans="1:17" ht="14.4" thickTop="1" thickBot="1" x14ac:dyDescent="0.3">
      <c r="A5261" s="292"/>
      <c r="B5261" s="296"/>
      <c r="C5261" s="294"/>
      <c r="D5261" s="294"/>
      <c r="E5261" s="294"/>
      <c r="F5261" s="310"/>
      <c r="G5261" s="310"/>
      <c r="H5261" s="310"/>
      <c r="I5261" s="295"/>
      <c r="J5261" s="295"/>
      <c r="K5261" s="300">
        <f t="shared" si="651"/>
        <v>1.1000000000000001</v>
      </c>
      <c r="L5261" s="300">
        <f t="shared" si="652"/>
        <v>0</v>
      </c>
      <c r="M5261" s="285">
        <f t="shared" si="653"/>
        <v>0</v>
      </c>
      <c r="N5261" s="1076"/>
      <c r="O5261" s="294"/>
      <c r="P5261" s="404"/>
      <c r="Q5261" s="404"/>
    </row>
    <row r="5262" spans="1:17" ht="14.4" thickTop="1" thickBot="1" x14ac:dyDescent="0.3">
      <c r="A5262" s="292"/>
      <c r="B5262" s="296"/>
      <c r="C5262" s="294"/>
      <c r="D5262" s="294"/>
      <c r="E5262" s="294"/>
      <c r="F5262" s="310"/>
      <c r="G5262" s="310"/>
      <c r="H5262" s="310"/>
      <c r="I5262" s="295"/>
      <c r="J5262" s="295"/>
      <c r="K5262" s="300">
        <f t="shared" si="651"/>
        <v>1.1000000000000001</v>
      </c>
      <c r="L5262" s="300">
        <f t="shared" si="652"/>
        <v>0</v>
      </c>
      <c r="M5262" s="285">
        <f t="shared" si="653"/>
        <v>0</v>
      </c>
      <c r="N5262" s="1076"/>
      <c r="O5262" s="294"/>
      <c r="P5262" s="404"/>
      <c r="Q5262" s="404"/>
    </row>
    <row r="5263" spans="1:17" ht="14.4" thickTop="1" thickBot="1" x14ac:dyDescent="0.3">
      <c r="A5263" s="292"/>
      <c r="B5263" s="296"/>
      <c r="C5263" s="294"/>
      <c r="D5263" s="294"/>
      <c r="E5263" s="294"/>
      <c r="F5263" s="310"/>
      <c r="G5263" s="310"/>
      <c r="H5263" s="310"/>
      <c r="I5263" s="295"/>
      <c r="J5263" s="295"/>
      <c r="K5263" s="300">
        <f t="shared" si="651"/>
        <v>1.1000000000000001</v>
      </c>
      <c r="L5263" s="300">
        <f t="shared" si="652"/>
        <v>0</v>
      </c>
      <c r="M5263" s="285">
        <f t="shared" si="653"/>
        <v>0</v>
      </c>
      <c r="N5263" s="1076"/>
      <c r="O5263" s="294"/>
      <c r="P5263" s="404"/>
      <c r="Q5263" s="404"/>
    </row>
    <row r="5264" spans="1:17" ht="14.4" thickTop="1" thickBot="1" x14ac:dyDescent="0.3">
      <c r="A5264" s="292"/>
      <c r="B5264" s="296"/>
      <c r="C5264" s="294"/>
      <c r="D5264" s="294"/>
      <c r="E5264" s="294"/>
      <c r="F5264" s="310"/>
      <c r="G5264" s="310"/>
      <c r="H5264" s="310"/>
      <c r="I5264" s="295"/>
      <c r="J5264" s="295"/>
      <c r="K5264" s="300">
        <f t="shared" si="651"/>
        <v>1.1000000000000001</v>
      </c>
      <c r="L5264" s="300">
        <f t="shared" si="652"/>
        <v>0</v>
      </c>
      <c r="M5264" s="285">
        <f t="shared" si="653"/>
        <v>0</v>
      </c>
      <c r="N5264" s="1076"/>
      <c r="O5264" s="294"/>
      <c r="P5264" s="404"/>
      <c r="Q5264" s="404"/>
    </row>
    <row r="5265" spans="1:17" ht="14.4" thickTop="1" thickBot="1" x14ac:dyDescent="0.3">
      <c r="A5265" s="292"/>
      <c r="B5265" s="296"/>
      <c r="C5265" s="294"/>
      <c r="D5265" s="294"/>
      <c r="E5265" s="294"/>
      <c r="F5265" s="310"/>
      <c r="G5265" s="310"/>
      <c r="H5265" s="310"/>
      <c r="I5265" s="295"/>
      <c r="J5265" s="295"/>
      <c r="K5265" s="300">
        <f t="shared" si="651"/>
        <v>1.1000000000000001</v>
      </c>
      <c r="L5265" s="300">
        <f t="shared" si="652"/>
        <v>0</v>
      </c>
      <c r="M5265" s="285">
        <f t="shared" si="653"/>
        <v>0</v>
      </c>
      <c r="N5265" s="1076"/>
      <c r="O5265" s="294"/>
      <c r="P5265" s="404"/>
      <c r="Q5265" s="404"/>
    </row>
    <row r="5266" spans="1:17" ht="14.4" thickTop="1" thickBot="1" x14ac:dyDescent="0.3">
      <c r="A5266" s="292"/>
      <c r="B5266" s="296"/>
      <c r="C5266" s="294"/>
      <c r="D5266" s="294"/>
      <c r="E5266" s="294"/>
      <c r="F5266" s="310"/>
      <c r="G5266" s="310"/>
      <c r="H5266" s="310"/>
      <c r="I5266" s="295"/>
      <c r="J5266" s="295"/>
      <c r="K5266" s="300">
        <f t="shared" si="651"/>
        <v>1.1000000000000001</v>
      </c>
      <c r="L5266" s="300">
        <f t="shared" si="652"/>
        <v>0</v>
      </c>
      <c r="M5266" s="285">
        <f t="shared" si="653"/>
        <v>0</v>
      </c>
      <c r="N5266" s="1076"/>
      <c r="O5266" s="294"/>
      <c r="P5266" s="404"/>
      <c r="Q5266" s="404"/>
    </row>
    <row r="5267" spans="1:17" ht="14.4" thickTop="1" thickBot="1" x14ac:dyDescent="0.3">
      <c r="A5267" s="292"/>
      <c r="B5267" s="296"/>
      <c r="C5267" s="294"/>
      <c r="D5267" s="294"/>
      <c r="E5267" s="294"/>
      <c r="F5267" s="310"/>
      <c r="G5267" s="310"/>
      <c r="H5267" s="310"/>
      <c r="I5267" s="295"/>
      <c r="J5267" s="295"/>
      <c r="K5267" s="300">
        <f t="shared" si="651"/>
        <v>1.1000000000000001</v>
      </c>
      <c r="L5267" s="300">
        <f t="shared" si="652"/>
        <v>0</v>
      </c>
      <c r="M5267" s="285">
        <f t="shared" si="653"/>
        <v>0</v>
      </c>
      <c r="N5267" s="1076"/>
      <c r="O5267" s="294"/>
      <c r="P5267" s="404"/>
      <c r="Q5267" s="404"/>
    </row>
    <row r="5268" spans="1:17" ht="14.4" thickTop="1" thickBot="1" x14ac:dyDescent="0.3">
      <c r="A5268" s="292"/>
      <c r="B5268" s="296"/>
      <c r="C5268" s="294"/>
      <c r="D5268" s="294"/>
      <c r="E5268" s="294"/>
      <c r="F5268" s="310"/>
      <c r="G5268" s="310"/>
      <c r="H5268" s="310"/>
      <c r="I5268" s="295"/>
      <c r="J5268" s="295"/>
      <c r="K5268" s="300">
        <f t="shared" ref="K5268:K5331" si="654">$K$2</f>
        <v>1.1000000000000001</v>
      </c>
      <c r="L5268" s="300">
        <f t="shared" si="652"/>
        <v>0</v>
      </c>
      <c r="M5268" s="285">
        <f t="shared" si="653"/>
        <v>0</v>
      </c>
      <c r="N5268" s="1076"/>
      <c r="O5268" s="294"/>
      <c r="P5268" s="404"/>
      <c r="Q5268" s="404"/>
    </row>
    <row r="5269" spans="1:17" ht="14.4" thickTop="1" thickBot="1" x14ac:dyDescent="0.3">
      <c r="A5269" s="292"/>
      <c r="B5269" s="296"/>
      <c r="C5269" s="294"/>
      <c r="D5269" s="294"/>
      <c r="E5269" s="294"/>
      <c r="F5269" s="310"/>
      <c r="G5269" s="310"/>
      <c r="H5269" s="310"/>
      <c r="I5269" s="295"/>
      <c r="J5269" s="295"/>
      <c r="K5269" s="300">
        <f t="shared" si="654"/>
        <v>1.1000000000000001</v>
      </c>
      <c r="L5269" s="300">
        <f t="shared" si="652"/>
        <v>0</v>
      </c>
      <c r="M5269" s="285">
        <f t="shared" si="653"/>
        <v>0</v>
      </c>
      <c r="N5269" s="1076"/>
      <c r="O5269" s="294"/>
      <c r="P5269" s="404"/>
      <c r="Q5269" s="404"/>
    </row>
    <row r="5270" spans="1:17" ht="14.4" thickTop="1" thickBot="1" x14ac:dyDescent="0.3">
      <c r="A5270" s="292"/>
      <c r="B5270" s="296"/>
      <c r="C5270" s="294"/>
      <c r="D5270" s="294"/>
      <c r="E5270" s="294"/>
      <c r="F5270" s="310"/>
      <c r="G5270" s="310"/>
      <c r="H5270" s="310"/>
      <c r="I5270" s="295"/>
      <c r="J5270" s="295"/>
      <c r="K5270" s="300">
        <f t="shared" si="654"/>
        <v>1.1000000000000001</v>
      </c>
      <c r="L5270" s="300">
        <f t="shared" si="652"/>
        <v>0</v>
      </c>
      <c r="M5270" s="285">
        <f t="shared" si="653"/>
        <v>0</v>
      </c>
      <c r="N5270" s="1076"/>
      <c r="O5270" s="294"/>
      <c r="P5270" s="404"/>
      <c r="Q5270" s="404"/>
    </row>
    <row r="5271" spans="1:17" ht="14.4" thickTop="1" thickBot="1" x14ac:dyDescent="0.3">
      <c r="A5271" s="292"/>
      <c r="B5271" s="296"/>
      <c r="C5271" s="294"/>
      <c r="D5271" s="294"/>
      <c r="E5271" s="294"/>
      <c r="F5271" s="310"/>
      <c r="G5271" s="310"/>
      <c r="H5271" s="310"/>
      <c r="I5271" s="295"/>
      <c r="J5271" s="295"/>
      <c r="K5271" s="300">
        <f t="shared" si="654"/>
        <v>1.1000000000000001</v>
      </c>
      <c r="L5271" s="300">
        <f t="shared" si="652"/>
        <v>0</v>
      </c>
      <c r="M5271" s="285">
        <f t="shared" si="653"/>
        <v>0</v>
      </c>
      <c r="N5271" s="1076"/>
      <c r="O5271" s="294"/>
      <c r="P5271" s="404"/>
      <c r="Q5271" s="404"/>
    </row>
    <row r="5272" spans="1:17" ht="14.4" thickTop="1" thickBot="1" x14ac:dyDescent="0.3">
      <c r="A5272" s="292"/>
      <c r="B5272" s="296"/>
      <c r="C5272" s="294"/>
      <c r="D5272" s="294"/>
      <c r="E5272" s="294"/>
      <c r="F5272" s="310"/>
      <c r="G5272" s="310"/>
      <c r="H5272" s="310"/>
      <c r="I5272" s="295"/>
      <c r="J5272" s="295"/>
      <c r="K5272" s="300">
        <f t="shared" si="654"/>
        <v>1.1000000000000001</v>
      </c>
      <c r="L5272" s="300">
        <f t="shared" si="652"/>
        <v>0</v>
      </c>
      <c r="M5272" s="285">
        <f t="shared" si="653"/>
        <v>0</v>
      </c>
      <c r="N5272" s="1076"/>
      <c r="O5272" s="294"/>
      <c r="P5272" s="404"/>
      <c r="Q5272" s="404"/>
    </row>
    <row r="5273" spans="1:17" ht="14.4" thickTop="1" thickBot="1" x14ac:dyDescent="0.3">
      <c r="A5273" s="292"/>
      <c r="B5273" s="296"/>
      <c r="C5273" s="294"/>
      <c r="D5273" s="294"/>
      <c r="E5273" s="294"/>
      <c r="F5273" s="310"/>
      <c r="G5273" s="310"/>
      <c r="H5273" s="310"/>
      <c r="I5273" s="295"/>
      <c r="J5273" s="295"/>
      <c r="K5273" s="300">
        <f t="shared" si="654"/>
        <v>1.1000000000000001</v>
      </c>
      <c r="L5273" s="300">
        <f t="shared" si="652"/>
        <v>0</v>
      </c>
      <c r="M5273" s="285">
        <f t="shared" si="653"/>
        <v>0</v>
      </c>
      <c r="N5273" s="1076"/>
      <c r="O5273" s="294"/>
      <c r="P5273" s="404"/>
      <c r="Q5273" s="404"/>
    </row>
    <row r="5274" spans="1:17" ht="14.4" thickTop="1" thickBot="1" x14ac:dyDescent="0.3">
      <c r="A5274" s="292"/>
      <c r="B5274" s="296"/>
      <c r="C5274" s="294"/>
      <c r="D5274" s="294"/>
      <c r="E5274" s="294"/>
      <c r="F5274" s="310"/>
      <c r="G5274" s="310"/>
      <c r="H5274" s="310"/>
      <c r="I5274" s="295"/>
      <c r="J5274" s="295"/>
      <c r="K5274" s="300">
        <f t="shared" si="654"/>
        <v>1.1000000000000001</v>
      </c>
      <c r="L5274" s="300">
        <f t="shared" si="652"/>
        <v>0</v>
      </c>
      <c r="M5274" s="285">
        <f t="shared" si="653"/>
        <v>0</v>
      </c>
      <c r="N5274" s="1076"/>
      <c r="O5274" s="294"/>
      <c r="P5274" s="404"/>
      <c r="Q5274" s="404"/>
    </row>
    <row r="5275" spans="1:17" ht="14.4" thickTop="1" thickBot="1" x14ac:dyDescent="0.3">
      <c r="A5275" s="292"/>
      <c r="B5275" s="296"/>
      <c r="C5275" s="294"/>
      <c r="D5275" s="294"/>
      <c r="E5275" s="294"/>
      <c r="F5275" s="310"/>
      <c r="G5275" s="310"/>
      <c r="H5275" s="310"/>
      <c r="I5275" s="295"/>
      <c r="J5275" s="295"/>
      <c r="K5275" s="300">
        <f t="shared" si="654"/>
        <v>1.1000000000000001</v>
      </c>
      <c r="L5275" s="300">
        <f t="shared" si="652"/>
        <v>0</v>
      </c>
      <c r="M5275" s="285">
        <f t="shared" si="653"/>
        <v>0</v>
      </c>
      <c r="N5275" s="1076"/>
      <c r="O5275" s="294"/>
      <c r="P5275" s="404"/>
      <c r="Q5275" s="404"/>
    </row>
    <row r="5276" spans="1:17" ht="14.4" thickTop="1" thickBot="1" x14ac:dyDescent="0.3">
      <c r="A5276" s="292"/>
      <c r="B5276" s="296"/>
      <c r="C5276" s="294"/>
      <c r="D5276" s="294"/>
      <c r="E5276" s="294"/>
      <c r="F5276" s="310"/>
      <c r="G5276" s="310"/>
      <c r="H5276" s="310"/>
      <c r="I5276" s="295"/>
      <c r="J5276" s="295"/>
      <c r="K5276" s="300">
        <f t="shared" si="654"/>
        <v>1.1000000000000001</v>
      </c>
      <c r="L5276" s="300">
        <f t="shared" si="652"/>
        <v>0</v>
      </c>
      <c r="M5276" s="285">
        <f t="shared" si="653"/>
        <v>0</v>
      </c>
      <c r="N5276" s="1076"/>
      <c r="O5276" s="294"/>
      <c r="P5276" s="404"/>
      <c r="Q5276" s="404"/>
    </row>
    <row r="5277" spans="1:17" ht="14.4" thickTop="1" thickBot="1" x14ac:dyDescent="0.3">
      <c r="A5277" s="292"/>
      <c r="B5277" s="296"/>
      <c r="C5277" s="294"/>
      <c r="D5277" s="294"/>
      <c r="E5277" s="294"/>
      <c r="F5277" s="310"/>
      <c r="G5277" s="310"/>
      <c r="H5277" s="310"/>
      <c r="I5277" s="295"/>
      <c r="J5277" s="295"/>
      <c r="K5277" s="300">
        <f t="shared" si="654"/>
        <v>1.1000000000000001</v>
      </c>
      <c r="L5277" s="300">
        <f t="shared" si="652"/>
        <v>0</v>
      </c>
      <c r="M5277" s="285">
        <f t="shared" si="653"/>
        <v>0</v>
      </c>
      <c r="N5277" s="1076"/>
      <c r="O5277" s="294"/>
      <c r="P5277" s="404"/>
      <c r="Q5277" s="404"/>
    </row>
    <row r="5278" spans="1:17" ht="14.4" thickTop="1" thickBot="1" x14ac:dyDescent="0.3">
      <c r="A5278" s="292"/>
      <c r="B5278" s="296"/>
      <c r="C5278" s="294"/>
      <c r="D5278" s="294"/>
      <c r="E5278" s="294"/>
      <c r="F5278" s="310"/>
      <c r="G5278" s="310"/>
      <c r="H5278" s="310"/>
      <c r="I5278" s="295"/>
      <c r="J5278" s="295"/>
      <c r="K5278" s="300">
        <f t="shared" si="654"/>
        <v>1.1000000000000001</v>
      </c>
      <c r="L5278" s="300">
        <f t="shared" si="652"/>
        <v>0</v>
      </c>
      <c r="M5278" s="285">
        <f t="shared" si="653"/>
        <v>0</v>
      </c>
      <c r="N5278" s="1076"/>
      <c r="O5278" s="294"/>
      <c r="P5278" s="404"/>
      <c r="Q5278" s="404"/>
    </row>
    <row r="5279" spans="1:17" ht="14.4" thickTop="1" thickBot="1" x14ac:dyDescent="0.3">
      <c r="A5279" s="292"/>
      <c r="B5279" s="296"/>
      <c r="C5279" s="294"/>
      <c r="D5279" s="294"/>
      <c r="E5279" s="294"/>
      <c r="F5279" s="310"/>
      <c r="G5279" s="310"/>
      <c r="H5279" s="310"/>
      <c r="I5279" s="295"/>
      <c r="J5279" s="295"/>
      <c r="K5279" s="300">
        <f t="shared" si="654"/>
        <v>1.1000000000000001</v>
      </c>
      <c r="L5279" s="300">
        <f t="shared" si="652"/>
        <v>0</v>
      </c>
      <c r="M5279" s="285">
        <f t="shared" si="653"/>
        <v>0</v>
      </c>
      <c r="N5279" s="1076"/>
      <c r="O5279" s="294"/>
      <c r="P5279" s="404"/>
      <c r="Q5279" s="404"/>
    </row>
    <row r="5280" spans="1:17" ht="14.4" thickTop="1" thickBot="1" x14ac:dyDescent="0.3">
      <c r="A5280" s="292"/>
      <c r="B5280" s="296"/>
      <c r="C5280" s="294"/>
      <c r="D5280" s="294"/>
      <c r="E5280" s="294"/>
      <c r="F5280" s="310"/>
      <c r="G5280" s="310"/>
      <c r="H5280" s="310"/>
      <c r="I5280" s="295"/>
      <c r="J5280" s="295"/>
      <c r="K5280" s="300">
        <f t="shared" si="654"/>
        <v>1.1000000000000001</v>
      </c>
      <c r="L5280" s="300">
        <f t="shared" si="652"/>
        <v>0</v>
      </c>
      <c r="M5280" s="285">
        <f t="shared" si="653"/>
        <v>0</v>
      </c>
      <c r="N5280" s="1076"/>
      <c r="O5280" s="294"/>
      <c r="P5280" s="404"/>
      <c r="Q5280" s="404"/>
    </row>
    <row r="5281" spans="1:17" ht="14.4" thickTop="1" thickBot="1" x14ac:dyDescent="0.3">
      <c r="A5281" s="292"/>
      <c r="B5281" s="296"/>
      <c r="C5281" s="294"/>
      <c r="D5281" s="294"/>
      <c r="E5281" s="294"/>
      <c r="F5281" s="310"/>
      <c r="G5281" s="310"/>
      <c r="H5281" s="310"/>
      <c r="I5281" s="295"/>
      <c r="J5281" s="295"/>
      <c r="K5281" s="300">
        <f t="shared" si="654"/>
        <v>1.1000000000000001</v>
      </c>
      <c r="L5281" s="300">
        <f t="shared" si="652"/>
        <v>0</v>
      </c>
      <c r="M5281" s="285">
        <f t="shared" si="653"/>
        <v>0</v>
      </c>
      <c r="N5281" s="1076"/>
      <c r="O5281" s="294"/>
      <c r="P5281" s="404"/>
      <c r="Q5281" s="404"/>
    </row>
    <row r="5282" spans="1:17" ht="14.4" thickTop="1" thickBot="1" x14ac:dyDescent="0.3">
      <c r="A5282" s="292"/>
      <c r="B5282" s="296"/>
      <c r="C5282" s="294"/>
      <c r="D5282" s="294"/>
      <c r="E5282" s="294"/>
      <c r="F5282" s="310"/>
      <c r="G5282" s="310"/>
      <c r="H5282" s="310"/>
      <c r="I5282" s="295"/>
      <c r="J5282" s="295"/>
      <c r="K5282" s="300">
        <f t="shared" si="654"/>
        <v>1.1000000000000001</v>
      </c>
      <c r="L5282" s="300">
        <f t="shared" si="652"/>
        <v>0</v>
      </c>
      <c r="M5282" s="285">
        <f t="shared" si="653"/>
        <v>0</v>
      </c>
      <c r="N5282" s="1076"/>
      <c r="O5282" s="294"/>
      <c r="P5282" s="404"/>
      <c r="Q5282" s="404"/>
    </row>
    <row r="5283" spans="1:17" ht="14.4" thickTop="1" thickBot="1" x14ac:dyDescent="0.3">
      <c r="A5283" s="292"/>
      <c r="B5283" s="296"/>
      <c r="C5283" s="294"/>
      <c r="D5283" s="294"/>
      <c r="E5283" s="294"/>
      <c r="F5283" s="310"/>
      <c r="G5283" s="310"/>
      <c r="H5283" s="310"/>
      <c r="I5283" s="295"/>
      <c r="J5283" s="295"/>
      <c r="K5283" s="300">
        <f t="shared" si="654"/>
        <v>1.1000000000000001</v>
      </c>
      <c r="L5283" s="300">
        <f t="shared" si="652"/>
        <v>0</v>
      </c>
      <c r="M5283" s="285">
        <f t="shared" si="653"/>
        <v>0</v>
      </c>
      <c r="N5283" s="1076"/>
      <c r="O5283" s="294"/>
      <c r="P5283" s="404"/>
      <c r="Q5283" s="404"/>
    </row>
    <row r="5284" spans="1:17" ht="14.4" thickTop="1" thickBot="1" x14ac:dyDescent="0.3">
      <c r="A5284" s="292"/>
      <c r="B5284" s="296"/>
      <c r="C5284" s="294"/>
      <c r="D5284" s="294"/>
      <c r="E5284" s="294"/>
      <c r="F5284" s="310"/>
      <c r="G5284" s="310"/>
      <c r="H5284" s="310"/>
      <c r="I5284" s="295"/>
      <c r="J5284" s="295"/>
      <c r="K5284" s="300">
        <f t="shared" si="654"/>
        <v>1.1000000000000001</v>
      </c>
      <c r="L5284" s="300">
        <f t="shared" si="652"/>
        <v>0</v>
      </c>
      <c r="M5284" s="285">
        <f t="shared" si="653"/>
        <v>0</v>
      </c>
      <c r="N5284" s="1076"/>
      <c r="O5284" s="294"/>
      <c r="P5284" s="404"/>
      <c r="Q5284" s="404"/>
    </row>
    <row r="5285" spans="1:17" ht="14.4" thickTop="1" thickBot="1" x14ac:dyDescent="0.3">
      <c r="A5285" s="292"/>
      <c r="B5285" s="296"/>
      <c r="C5285" s="294"/>
      <c r="D5285" s="294"/>
      <c r="E5285" s="294"/>
      <c r="F5285" s="310"/>
      <c r="G5285" s="310"/>
      <c r="H5285" s="310"/>
      <c r="I5285" s="295"/>
      <c r="J5285" s="295"/>
      <c r="K5285" s="300">
        <f t="shared" si="654"/>
        <v>1.1000000000000001</v>
      </c>
      <c r="L5285" s="300">
        <f t="shared" si="652"/>
        <v>0</v>
      </c>
      <c r="M5285" s="285">
        <f t="shared" si="653"/>
        <v>0</v>
      </c>
      <c r="N5285" s="1076"/>
      <c r="O5285" s="294"/>
      <c r="P5285" s="404"/>
      <c r="Q5285" s="404"/>
    </row>
    <row r="5286" spans="1:17" ht="14.4" thickTop="1" thickBot="1" x14ac:dyDescent="0.3">
      <c r="A5286" s="292"/>
      <c r="B5286" s="296"/>
      <c r="C5286" s="294"/>
      <c r="D5286" s="294"/>
      <c r="E5286" s="294"/>
      <c r="F5286" s="310"/>
      <c r="G5286" s="310"/>
      <c r="H5286" s="310"/>
      <c r="I5286" s="295"/>
      <c r="J5286" s="295"/>
      <c r="K5286" s="300">
        <f t="shared" si="654"/>
        <v>1.1000000000000001</v>
      </c>
      <c r="L5286" s="300">
        <f t="shared" si="652"/>
        <v>0</v>
      </c>
      <c r="M5286" s="285">
        <f t="shared" si="653"/>
        <v>0</v>
      </c>
      <c r="N5286" s="1076"/>
      <c r="O5286" s="294"/>
      <c r="P5286" s="404"/>
      <c r="Q5286" s="404"/>
    </row>
    <row r="5287" spans="1:17" ht="14.4" thickTop="1" thickBot="1" x14ac:dyDescent="0.3">
      <c r="A5287" s="292"/>
      <c r="B5287" s="296"/>
      <c r="C5287" s="294"/>
      <c r="D5287" s="294"/>
      <c r="E5287" s="294"/>
      <c r="F5287" s="310"/>
      <c r="G5287" s="310"/>
      <c r="H5287" s="310"/>
      <c r="I5287" s="295"/>
      <c r="J5287" s="295"/>
      <c r="K5287" s="300">
        <f t="shared" si="654"/>
        <v>1.1000000000000001</v>
      </c>
      <c r="L5287" s="300">
        <f t="shared" si="652"/>
        <v>0</v>
      </c>
      <c r="M5287" s="285">
        <f t="shared" si="653"/>
        <v>0</v>
      </c>
      <c r="N5287" s="1076"/>
      <c r="O5287" s="294"/>
      <c r="P5287" s="404"/>
      <c r="Q5287" s="404"/>
    </row>
    <row r="5288" spans="1:17" ht="14.4" thickTop="1" thickBot="1" x14ac:dyDescent="0.3">
      <c r="A5288" s="292"/>
      <c r="B5288" s="296"/>
      <c r="C5288" s="294"/>
      <c r="D5288" s="294"/>
      <c r="E5288" s="294"/>
      <c r="F5288" s="310"/>
      <c r="G5288" s="310"/>
      <c r="H5288" s="310"/>
      <c r="I5288" s="295"/>
      <c r="J5288" s="295"/>
      <c r="K5288" s="300">
        <f t="shared" si="654"/>
        <v>1.1000000000000001</v>
      </c>
      <c r="L5288" s="300">
        <f t="shared" si="652"/>
        <v>0</v>
      </c>
      <c r="M5288" s="285">
        <f t="shared" si="653"/>
        <v>0</v>
      </c>
      <c r="N5288" s="1076"/>
      <c r="O5288" s="294"/>
      <c r="P5288" s="404"/>
      <c r="Q5288" s="404"/>
    </row>
    <row r="5289" spans="1:17" ht="14.4" thickTop="1" thickBot="1" x14ac:dyDescent="0.3">
      <c r="A5289" s="292"/>
      <c r="B5289" s="296"/>
      <c r="C5289" s="294"/>
      <c r="D5289" s="294"/>
      <c r="E5289" s="294"/>
      <c r="F5289" s="310"/>
      <c r="G5289" s="310"/>
      <c r="H5289" s="310"/>
      <c r="I5289" s="295"/>
      <c r="J5289" s="295"/>
      <c r="K5289" s="300">
        <f t="shared" si="654"/>
        <v>1.1000000000000001</v>
      </c>
      <c r="L5289" s="300">
        <f t="shared" ref="L5289:L5352" si="655">K5289*J5289</f>
        <v>0</v>
      </c>
      <c r="M5289" s="285">
        <f t="shared" si="653"/>
        <v>0</v>
      </c>
      <c r="N5289" s="1076"/>
      <c r="O5289" s="294"/>
      <c r="P5289" s="404"/>
      <c r="Q5289" s="404"/>
    </row>
    <row r="5290" spans="1:17" ht="14.4" thickTop="1" thickBot="1" x14ac:dyDescent="0.3">
      <c r="A5290" s="292"/>
      <c r="B5290" s="296"/>
      <c r="C5290" s="294"/>
      <c r="D5290" s="294"/>
      <c r="E5290" s="294"/>
      <c r="F5290" s="310"/>
      <c r="G5290" s="310"/>
      <c r="H5290" s="310"/>
      <c r="I5290" s="295"/>
      <c r="J5290" s="295"/>
      <c r="K5290" s="300">
        <f t="shared" si="654"/>
        <v>1.1000000000000001</v>
      </c>
      <c r="L5290" s="300">
        <f t="shared" si="655"/>
        <v>0</v>
      </c>
      <c r="M5290" s="285">
        <f t="shared" si="653"/>
        <v>0</v>
      </c>
      <c r="N5290" s="1076"/>
      <c r="O5290" s="294"/>
      <c r="P5290" s="404"/>
      <c r="Q5290" s="404"/>
    </row>
    <row r="5291" spans="1:17" ht="14.4" thickTop="1" thickBot="1" x14ac:dyDescent="0.3">
      <c r="A5291" s="292"/>
      <c r="B5291" s="296"/>
      <c r="C5291" s="294"/>
      <c r="D5291" s="294"/>
      <c r="E5291" s="294"/>
      <c r="F5291" s="310"/>
      <c r="G5291" s="310"/>
      <c r="H5291" s="310"/>
      <c r="I5291" s="295"/>
      <c r="J5291" s="295"/>
      <c r="K5291" s="300">
        <f t="shared" si="654"/>
        <v>1.1000000000000001</v>
      </c>
      <c r="L5291" s="300">
        <f t="shared" si="655"/>
        <v>0</v>
      </c>
      <c r="M5291" s="285">
        <f t="shared" si="653"/>
        <v>0</v>
      </c>
      <c r="N5291" s="1076"/>
      <c r="O5291" s="294"/>
      <c r="P5291" s="404"/>
      <c r="Q5291" s="404"/>
    </row>
    <row r="5292" spans="1:17" ht="14.4" thickTop="1" thickBot="1" x14ac:dyDescent="0.3">
      <c r="A5292" s="292"/>
      <c r="B5292" s="296"/>
      <c r="C5292" s="294"/>
      <c r="D5292" s="294"/>
      <c r="E5292" s="294"/>
      <c r="F5292" s="310"/>
      <c r="G5292" s="310"/>
      <c r="H5292" s="310"/>
      <c r="I5292" s="295"/>
      <c r="J5292" s="295"/>
      <c r="K5292" s="300">
        <f t="shared" si="654"/>
        <v>1.1000000000000001</v>
      </c>
      <c r="L5292" s="300">
        <f t="shared" si="655"/>
        <v>0</v>
      </c>
      <c r="M5292" s="285">
        <f t="shared" si="653"/>
        <v>0</v>
      </c>
      <c r="N5292" s="1076"/>
      <c r="O5292" s="294"/>
      <c r="P5292" s="404"/>
      <c r="Q5292" s="404"/>
    </row>
    <row r="5293" spans="1:17" ht="14.4" thickTop="1" thickBot="1" x14ac:dyDescent="0.3">
      <c r="A5293" s="292"/>
      <c r="B5293" s="296"/>
      <c r="C5293" s="294"/>
      <c r="D5293" s="294"/>
      <c r="E5293" s="294"/>
      <c r="F5293" s="310"/>
      <c r="G5293" s="310"/>
      <c r="H5293" s="310"/>
      <c r="I5293" s="295"/>
      <c r="J5293" s="295"/>
      <c r="K5293" s="300">
        <f t="shared" si="654"/>
        <v>1.1000000000000001</v>
      </c>
      <c r="L5293" s="300">
        <f t="shared" si="655"/>
        <v>0</v>
      </c>
      <c r="M5293" s="285">
        <f t="shared" ref="M5293:M5356" si="656">ROUND(L5293,0)</f>
        <v>0</v>
      </c>
      <c r="N5293" s="1076"/>
      <c r="O5293" s="294"/>
      <c r="P5293" s="404"/>
      <c r="Q5293" s="404"/>
    </row>
    <row r="5294" spans="1:17" ht="14.4" thickTop="1" thickBot="1" x14ac:dyDescent="0.3">
      <c r="A5294" s="292"/>
      <c r="B5294" s="296"/>
      <c r="C5294" s="294"/>
      <c r="D5294" s="294"/>
      <c r="E5294" s="294"/>
      <c r="F5294" s="310"/>
      <c r="G5294" s="310"/>
      <c r="H5294" s="310"/>
      <c r="I5294" s="295"/>
      <c r="J5294" s="295"/>
      <c r="K5294" s="300">
        <f t="shared" si="654"/>
        <v>1.1000000000000001</v>
      </c>
      <c r="L5294" s="300">
        <f t="shared" si="655"/>
        <v>0</v>
      </c>
      <c r="M5294" s="285">
        <f t="shared" si="656"/>
        <v>0</v>
      </c>
      <c r="N5294" s="1076"/>
      <c r="O5294" s="294"/>
      <c r="P5294" s="404"/>
      <c r="Q5294" s="404"/>
    </row>
    <row r="5295" spans="1:17" ht="14.4" thickTop="1" thickBot="1" x14ac:dyDescent="0.3">
      <c r="A5295" s="292"/>
      <c r="B5295" s="296"/>
      <c r="C5295" s="294"/>
      <c r="D5295" s="294"/>
      <c r="E5295" s="294"/>
      <c r="F5295" s="310"/>
      <c r="G5295" s="310"/>
      <c r="H5295" s="310"/>
      <c r="I5295" s="295"/>
      <c r="J5295" s="295"/>
      <c r="K5295" s="300">
        <f t="shared" si="654"/>
        <v>1.1000000000000001</v>
      </c>
      <c r="L5295" s="300">
        <f t="shared" si="655"/>
        <v>0</v>
      </c>
      <c r="M5295" s="285">
        <f t="shared" si="656"/>
        <v>0</v>
      </c>
      <c r="N5295" s="1076"/>
      <c r="O5295" s="294"/>
      <c r="P5295" s="404"/>
      <c r="Q5295" s="404"/>
    </row>
    <row r="5296" spans="1:17" ht="14.4" thickTop="1" thickBot="1" x14ac:dyDescent="0.3">
      <c r="A5296" s="292"/>
      <c r="B5296" s="296"/>
      <c r="C5296" s="294"/>
      <c r="D5296" s="294"/>
      <c r="E5296" s="294"/>
      <c r="F5296" s="310"/>
      <c r="G5296" s="310"/>
      <c r="H5296" s="310"/>
      <c r="I5296" s="295"/>
      <c r="J5296" s="295"/>
      <c r="K5296" s="300">
        <f t="shared" si="654"/>
        <v>1.1000000000000001</v>
      </c>
      <c r="L5296" s="300">
        <f t="shared" si="655"/>
        <v>0</v>
      </c>
      <c r="M5296" s="285">
        <f t="shared" si="656"/>
        <v>0</v>
      </c>
      <c r="N5296" s="1076"/>
      <c r="O5296" s="294"/>
      <c r="P5296" s="404"/>
      <c r="Q5296" s="404"/>
    </row>
    <row r="5297" spans="1:17" ht="14.4" thickTop="1" thickBot="1" x14ac:dyDescent="0.3">
      <c r="A5297" s="292"/>
      <c r="B5297" s="296"/>
      <c r="C5297" s="294"/>
      <c r="D5297" s="294"/>
      <c r="E5297" s="294"/>
      <c r="F5297" s="310"/>
      <c r="G5297" s="310"/>
      <c r="H5297" s="310"/>
      <c r="I5297" s="295"/>
      <c r="J5297" s="295"/>
      <c r="K5297" s="300">
        <f t="shared" si="654"/>
        <v>1.1000000000000001</v>
      </c>
      <c r="L5297" s="300">
        <f t="shared" si="655"/>
        <v>0</v>
      </c>
      <c r="M5297" s="285">
        <f t="shared" si="656"/>
        <v>0</v>
      </c>
      <c r="N5297" s="1076"/>
      <c r="O5297" s="294"/>
      <c r="P5297" s="404"/>
      <c r="Q5297" s="404"/>
    </row>
    <row r="5298" spans="1:17" ht="14.4" thickTop="1" thickBot="1" x14ac:dyDescent="0.3">
      <c r="A5298" s="292"/>
      <c r="B5298" s="296"/>
      <c r="C5298" s="294"/>
      <c r="D5298" s="294"/>
      <c r="E5298" s="294"/>
      <c r="F5298" s="310"/>
      <c r="G5298" s="310"/>
      <c r="H5298" s="310"/>
      <c r="I5298" s="295"/>
      <c r="J5298" s="295"/>
      <c r="K5298" s="300">
        <f t="shared" si="654"/>
        <v>1.1000000000000001</v>
      </c>
      <c r="L5298" s="300">
        <f t="shared" si="655"/>
        <v>0</v>
      </c>
      <c r="M5298" s="285">
        <f t="shared" si="656"/>
        <v>0</v>
      </c>
      <c r="N5298" s="1076"/>
      <c r="O5298" s="294"/>
      <c r="P5298" s="404"/>
      <c r="Q5298" s="404"/>
    </row>
    <row r="5299" spans="1:17" ht="14.4" thickTop="1" thickBot="1" x14ac:dyDescent="0.3">
      <c r="A5299" s="292"/>
      <c r="B5299" s="296"/>
      <c r="C5299" s="294"/>
      <c r="D5299" s="294"/>
      <c r="E5299" s="294"/>
      <c r="F5299" s="310"/>
      <c r="G5299" s="310"/>
      <c r="H5299" s="310"/>
      <c r="I5299" s="295"/>
      <c r="J5299" s="295"/>
      <c r="K5299" s="300">
        <f t="shared" si="654"/>
        <v>1.1000000000000001</v>
      </c>
      <c r="L5299" s="300">
        <f t="shared" si="655"/>
        <v>0</v>
      </c>
      <c r="M5299" s="285">
        <f t="shared" si="656"/>
        <v>0</v>
      </c>
      <c r="N5299" s="1076"/>
      <c r="O5299" s="294"/>
      <c r="P5299" s="404"/>
      <c r="Q5299" s="404"/>
    </row>
    <row r="5300" spans="1:17" ht="14.4" thickTop="1" thickBot="1" x14ac:dyDescent="0.3">
      <c r="A5300" s="292"/>
      <c r="B5300" s="296"/>
      <c r="C5300" s="294"/>
      <c r="D5300" s="294"/>
      <c r="E5300" s="294"/>
      <c r="F5300" s="310"/>
      <c r="G5300" s="310"/>
      <c r="H5300" s="310"/>
      <c r="I5300" s="295"/>
      <c r="J5300" s="295"/>
      <c r="K5300" s="300">
        <f t="shared" si="654"/>
        <v>1.1000000000000001</v>
      </c>
      <c r="L5300" s="300">
        <f t="shared" si="655"/>
        <v>0</v>
      </c>
      <c r="M5300" s="285">
        <f t="shared" si="656"/>
        <v>0</v>
      </c>
      <c r="N5300" s="1076"/>
      <c r="O5300" s="294"/>
      <c r="P5300" s="404"/>
      <c r="Q5300" s="404"/>
    </row>
    <row r="5301" spans="1:17" ht="14.4" thickTop="1" thickBot="1" x14ac:dyDescent="0.3">
      <c r="A5301" s="292"/>
      <c r="B5301" s="296"/>
      <c r="C5301" s="294"/>
      <c r="D5301" s="294"/>
      <c r="E5301" s="294"/>
      <c r="F5301" s="310"/>
      <c r="G5301" s="310"/>
      <c r="H5301" s="310"/>
      <c r="I5301" s="295"/>
      <c r="J5301" s="295"/>
      <c r="K5301" s="300">
        <f t="shared" si="654"/>
        <v>1.1000000000000001</v>
      </c>
      <c r="L5301" s="300">
        <f t="shared" si="655"/>
        <v>0</v>
      </c>
      <c r="M5301" s="285">
        <f t="shared" si="656"/>
        <v>0</v>
      </c>
      <c r="N5301" s="1076"/>
      <c r="O5301" s="294"/>
      <c r="P5301" s="404"/>
      <c r="Q5301" s="404"/>
    </row>
    <row r="5302" spans="1:17" ht="14.4" thickTop="1" thickBot="1" x14ac:dyDescent="0.3">
      <c r="A5302" s="292"/>
      <c r="B5302" s="296"/>
      <c r="C5302" s="294"/>
      <c r="D5302" s="294"/>
      <c r="E5302" s="294"/>
      <c r="F5302" s="310"/>
      <c r="G5302" s="310"/>
      <c r="H5302" s="310"/>
      <c r="I5302" s="295"/>
      <c r="J5302" s="295"/>
      <c r="K5302" s="300">
        <f t="shared" si="654"/>
        <v>1.1000000000000001</v>
      </c>
      <c r="L5302" s="300">
        <f t="shared" si="655"/>
        <v>0</v>
      </c>
      <c r="M5302" s="285">
        <f t="shared" si="656"/>
        <v>0</v>
      </c>
      <c r="N5302" s="1076"/>
      <c r="O5302" s="294"/>
      <c r="P5302" s="404"/>
      <c r="Q5302" s="404"/>
    </row>
    <row r="5303" spans="1:17" ht="14.4" thickTop="1" thickBot="1" x14ac:dyDescent="0.3">
      <c r="A5303" s="292"/>
      <c r="B5303" s="296"/>
      <c r="C5303" s="294"/>
      <c r="D5303" s="294"/>
      <c r="E5303" s="294"/>
      <c r="F5303" s="310"/>
      <c r="G5303" s="310"/>
      <c r="H5303" s="310"/>
      <c r="I5303" s="295"/>
      <c r="J5303" s="295"/>
      <c r="K5303" s="300">
        <f t="shared" si="654"/>
        <v>1.1000000000000001</v>
      </c>
      <c r="L5303" s="300">
        <f t="shared" si="655"/>
        <v>0</v>
      </c>
      <c r="M5303" s="285">
        <f t="shared" si="656"/>
        <v>0</v>
      </c>
      <c r="N5303" s="1076"/>
      <c r="O5303" s="294"/>
      <c r="P5303" s="404"/>
      <c r="Q5303" s="404"/>
    </row>
    <row r="5304" spans="1:17" ht="14.4" thickTop="1" thickBot="1" x14ac:dyDescent="0.3">
      <c r="A5304" s="292"/>
      <c r="B5304" s="296"/>
      <c r="C5304" s="294"/>
      <c r="D5304" s="294"/>
      <c r="E5304" s="294"/>
      <c r="F5304" s="310"/>
      <c r="G5304" s="310"/>
      <c r="H5304" s="310"/>
      <c r="I5304" s="295"/>
      <c r="J5304" s="295"/>
      <c r="K5304" s="300">
        <f t="shared" si="654"/>
        <v>1.1000000000000001</v>
      </c>
      <c r="L5304" s="300">
        <f t="shared" si="655"/>
        <v>0</v>
      </c>
      <c r="M5304" s="285">
        <f t="shared" si="656"/>
        <v>0</v>
      </c>
      <c r="N5304" s="1076"/>
      <c r="O5304" s="294"/>
      <c r="P5304" s="404"/>
      <c r="Q5304" s="404"/>
    </row>
    <row r="5305" spans="1:17" ht="14.4" thickTop="1" thickBot="1" x14ac:dyDescent="0.3">
      <c r="A5305" s="292"/>
      <c r="B5305" s="296"/>
      <c r="C5305" s="294"/>
      <c r="D5305" s="294"/>
      <c r="E5305" s="294"/>
      <c r="F5305" s="310"/>
      <c r="G5305" s="310"/>
      <c r="H5305" s="310"/>
      <c r="I5305" s="295"/>
      <c r="J5305" s="295"/>
      <c r="K5305" s="300">
        <f t="shared" si="654"/>
        <v>1.1000000000000001</v>
      </c>
      <c r="L5305" s="300">
        <f t="shared" si="655"/>
        <v>0</v>
      </c>
      <c r="M5305" s="285">
        <f t="shared" si="656"/>
        <v>0</v>
      </c>
      <c r="N5305" s="1076"/>
      <c r="O5305" s="294"/>
      <c r="P5305" s="404"/>
      <c r="Q5305" s="404"/>
    </row>
    <row r="5306" spans="1:17" ht="14.4" thickTop="1" thickBot="1" x14ac:dyDescent="0.3">
      <c r="A5306" s="292"/>
      <c r="B5306" s="296"/>
      <c r="C5306" s="294"/>
      <c r="D5306" s="294"/>
      <c r="E5306" s="294"/>
      <c r="F5306" s="310"/>
      <c r="G5306" s="310"/>
      <c r="H5306" s="310"/>
      <c r="I5306" s="295"/>
      <c r="J5306" s="295"/>
      <c r="K5306" s="300">
        <f t="shared" si="654"/>
        <v>1.1000000000000001</v>
      </c>
      <c r="L5306" s="300">
        <f t="shared" si="655"/>
        <v>0</v>
      </c>
      <c r="M5306" s="285">
        <f t="shared" si="656"/>
        <v>0</v>
      </c>
      <c r="N5306" s="1076"/>
      <c r="O5306" s="294"/>
      <c r="P5306" s="404"/>
      <c r="Q5306" s="404"/>
    </row>
    <row r="5307" spans="1:17" ht="14.4" thickTop="1" thickBot="1" x14ac:dyDescent="0.3">
      <c r="A5307" s="292"/>
      <c r="B5307" s="296"/>
      <c r="C5307" s="294"/>
      <c r="D5307" s="294"/>
      <c r="E5307" s="294"/>
      <c r="F5307" s="310"/>
      <c r="G5307" s="310"/>
      <c r="H5307" s="310"/>
      <c r="I5307" s="295"/>
      <c r="J5307" s="295"/>
      <c r="K5307" s="300">
        <f t="shared" si="654"/>
        <v>1.1000000000000001</v>
      </c>
      <c r="L5307" s="300">
        <f t="shared" si="655"/>
        <v>0</v>
      </c>
      <c r="M5307" s="285">
        <f t="shared" si="656"/>
        <v>0</v>
      </c>
      <c r="N5307" s="1076"/>
      <c r="O5307" s="294"/>
      <c r="P5307" s="404"/>
      <c r="Q5307" s="404"/>
    </row>
    <row r="5308" spans="1:17" ht="14.4" thickTop="1" thickBot="1" x14ac:dyDescent="0.3">
      <c r="A5308" s="292"/>
      <c r="B5308" s="296"/>
      <c r="C5308" s="294"/>
      <c r="D5308" s="294"/>
      <c r="E5308" s="294"/>
      <c r="F5308" s="310"/>
      <c r="G5308" s="310"/>
      <c r="H5308" s="310"/>
      <c r="I5308" s="295"/>
      <c r="J5308" s="295"/>
      <c r="K5308" s="300">
        <f t="shared" si="654"/>
        <v>1.1000000000000001</v>
      </c>
      <c r="L5308" s="300">
        <f t="shared" si="655"/>
        <v>0</v>
      </c>
      <c r="M5308" s="285">
        <f t="shared" si="656"/>
        <v>0</v>
      </c>
      <c r="N5308" s="1076"/>
      <c r="O5308" s="294"/>
      <c r="P5308" s="404"/>
      <c r="Q5308" s="404"/>
    </row>
    <row r="5309" spans="1:17" ht="14.4" thickTop="1" thickBot="1" x14ac:dyDescent="0.3">
      <c r="A5309" s="292"/>
      <c r="B5309" s="296"/>
      <c r="C5309" s="294"/>
      <c r="D5309" s="294"/>
      <c r="E5309" s="294"/>
      <c r="F5309" s="310"/>
      <c r="G5309" s="310"/>
      <c r="H5309" s="310"/>
      <c r="I5309" s="295"/>
      <c r="J5309" s="295"/>
      <c r="K5309" s="300">
        <f t="shared" si="654"/>
        <v>1.1000000000000001</v>
      </c>
      <c r="L5309" s="300">
        <f t="shared" si="655"/>
        <v>0</v>
      </c>
      <c r="M5309" s="285">
        <f t="shared" si="656"/>
        <v>0</v>
      </c>
      <c r="N5309" s="1076"/>
      <c r="O5309" s="294"/>
      <c r="P5309" s="404"/>
      <c r="Q5309" s="404"/>
    </row>
    <row r="5310" spans="1:17" ht="14.4" thickTop="1" thickBot="1" x14ac:dyDescent="0.3">
      <c r="A5310" s="292"/>
      <c r="B5310" s="296"/>
      <c r="C5310" s="294"/>
      <c r="D5310" s="294"/>
      <c r="E5310" s="294"/>
      <c r="F5310" s="310"/>
      <c r="G5310" s="310"/>
      <c r="H5310" s="310"/>
      <c r="I5310" s="295"/>
      <c r="J5310" s="295"/>
      <c r="K5310" s="300">
        <f t="shared" si="654"/>
        <v>1.1000000000000001</v>
      </c>
      <c r="L5310" s="300">
        <f t="shared" si="655"/>
        <v>0</v>
      </c>
      <c r="M5310" s="285">
        <f t="shared" si="656"/>
        <v>0</v>
      </c>
      <c r="N5310" s="1076"/>
      <c r="O5310" s="294"/>
      <c r="P5310" s="404"/>
      <c r="Q5310" s="404"/>
    </row>
    <row r="5311" spans="1:17" ht="14.4" thickTop="1" thickBot="1" x14ac:dyDescent="0.3">
      <c r="A5311" s="292"/>
      <c r="B5311" s="296"/>
      <c r="C5311" s="294"/>
      <c r="D5311" s="294"/>
      <c r="E5311" s="294"/>
      <c r="F5311" s="310"/>
      <c r="G5311" s="310"/>
      <c r="H5311" s="310"/>
      <c r="I5311" s="295"/>
      <c r="J5311" s="295"/>
      <c r="K5311" s="300">
        <f t="shared" si="654"/>
        <v>1.1000000000000001</v>
      </c>
      <c r="L5311" s="300">
        <f t="shared" si="655"/>
        <v>0</v>
      </c>
      <c r="M5311" s="285">
        <f t="shared" si="656"/>
        <v>0</v>
      </c>
      <c r="N5311" s="1076"/>
      <c r="O5311" s="294"/>
      <c r="P5311" s="404"/>
      <c r="Q5311" s="404"/>
    </row>
    <row r="5312" spans="1:17" ht="14.4" thickTop="1" thickBot="1" x14ac:dyDescent="0.3">
      <c r="A5312" s="292"/>
      <c r="B5312" s="296"/>
      <c r="C5312" s="294"/>
      <c r="D5312" s="294"/>
      <c r="E5312" s="294"/>
      <c r="F5312" s="310"/>
      <c r="G5312" s="310"/>
      <c r="H5312" s="310"/>
      <c r="I5312" s="295"/>
      <c r="J5312" s="295"/>
      <c r="K5312" s="300">
        <f t="shared" si="654"/>
        <v>1.1000000000000001</v>
      </c>
      <c r="L5312" s="300">
        <f t="shared" si="655"/>
        <v>0</v>
      </c>
      <c r="M5312" s="285">
        <f t="shared" si="656"/>
        <v>0</v>
      </c>
      <c r="N5312" s="1076"/>
      <c r="O5312" s="294"/>
      <c r="P5312" s="404"/>
      <c r="Q5312" s="404"/>
    </row>
    <row r="5313" spans="1:17" ht="14.4" thickTop="1" thickBot="1" x14ac:dyDescent="0.3">
      <c r="A5313" s="292"/>
      <c r="B5313" s="296"/>
      <c r="C5313" s="294"/>
      <c r="D5313" s="294"/>
      <c r="E5313" s="294"/>
      <c r="F5313" s="310"/>
      <c r="G5313" s="310"/>
      <c r="H5313" s="310"/>
      <c r="I5313" s="295"/>
      <c r="J5313" s="295"/>
      <c r="K5313" s="300">
        <f t="shared" si="654"/>
        <v>1.1000000000000001</v>
      </c>
      <c r="L5313" s="300">
        <f t="shared" si="655"/>
        <v>0</v>
      </c>
      <c r="M5313" s="285">
        <f t="shared" si="656"/>
        <v>0</v>
      </c>
      <c r="N5313" s="1076"/>
      <c r="O5313" s="294"/>
      <c r="P5313" s="404"/>
      <c r="Q5313" s="404"/>
    </row>
    <row r="5314" spans="1:17" ht="14.4" thickTop="1" thickBot="1" x14ac:dyDescent="0.3">
      <c r="A5314" s="292"/>
      <c r="B5314" s="296"/>
      <c r="C5314" s="294"/>
      <c r="D5314" s="294"/>
      <c r="E5314" s="294"/>
      <c r="F5314" s="310"/>
      <c r="G5314" s="310"/>
      <c r="H5314" s="310"/>
      <c r="I5314" s="295"/>
      <c r="J5314" s="295"/>
      <c r="K5314" s="300">
        <f t="shared" si="654"/>
        <v>1.1000000000000001</v>
      </c>
      <c r="L5314" s="300">
        <f t="shared" si="655"/>
        <v>0</v>
      </c>
      <c r="M5314" s="285">
        <f t="shared" si="656"/>
        <v>0</v>
      </c>
      <c r="N5314" s="1076"/>
      <c r="O5314" s="294"/>
      <c r="P5314" s="404"/>
      <c r="Q5314" s="404"/>
    </row>
    <row r="5315" spans="1:17" ht="14.4" thickTop="1" thickBot="1" x14ac:dyDescent="0.3">
      <c r="A5315" s="292"/>
      <c r="B5315" s="296"/>
      <c r="C5315" s="294"/>
      <c r="D5315" s="294"/>
      <c r="E5315" s="294"/>
      <c r="F5315" s="310"/>
      <c r="G5315" s="310"/>
      <c r="H5315" s="310"/>
      <c r="I5315" s="295"/>
      <c r="J5315" s="295"/>
      <c r="K5315" s="300">
        <f t="shared" si="654"/>
        <v>1.1000000000000001</v>
      </c>
      <c r="L5315" s="300">
        <f t="shared" si="655"/>
        <v>0</v>
      </c>
      <c r="M5315" s="285">
        <f t="shared" si="656"/>
        <v>0</v>
      </c>
      <c r="N5315" s="1076"/>
      <c r="O5315" s="294"/>
      <c r="P5315" s="404"/>
      <c r="Q5315" s="404"/>
    </row>
    <row r="5316" spans="1:17" ht="14.4" thickTop="1" thickBot="1" x14ac:dyDescent="0.3">
      <c r="A5316" s="292"/>
      <c r="B5316" s="296"/>
      <c r="C5316" s="294"/>
      <c r="D5316" s="294"/>
      <c r="E5316" s="294"/>
      <c r="F5316" s="310"/>
      <c r="G5316" s="310"/>
      <c r="H5316" s="310"/>
      <c r="I5316" s="295"/>
      <c r="J5316" s="295"/>
      <c r="K5316" s="300">
        <f t="shared" si="654"/>
        <v>1.1000000000000001</v>
      </c>
      <c r="L5316" s="300">
        <f t="shared" si="655"/>
        <v>0</v>
      </c>
      <c r="M5316" s="285">
        <f t="shared" si="656"/>
        <v>0</v>
      </c>
      <c r="N5316" s="1076"/>
      <c r="O5316" s="294"/>
      <c r="P5316" s="404"/>
      <c r="Q5316" s="404"/>
    </row>
    <row r="5317" spans="1:17" ht="14.4" thickTop="1" thickBot="1" x14ac:dyDescent="0.3">
      <c r="A5317" s="292"/>
      <c r="B5317" s="296"/>
      <c r="C5317" s="294"/>
      <c r="D5317" s="294"/>
      <c r="E5317" s="294"/>
      <c r="F5317" s="310"/>
      <c r="G5317" s="310"/>
      <c r="H5317" s="310"/>
      <c r="I5317" s="295"/>
      <c r="J5317" s="295"/>
      <c r="K5317" s="300">
        <f t="shared" si="654"/>
        <v>1.1000000000000001</v>
      </c>
      <c r="L5317" s="300">
        <f t="shared" si="655"/>
        <v>0</v>
      </c>
      <c r="M5317" s="285">
        <f t="shared" si="656"/>
        <v>0</v>
      </c>
      <c r="N5317" s="1076"/>
      <c r="O5317" s="294"/>
      <c r="P5317" s="404"/>
      <c r="Q5317" s="404"/>
    </row>
    <row r="5318" spans="1:17" ht="14.4" thickTop="1" thickBot="1" x14ac:dyDescent="0.3">
      <c r="A5318" s="292"/>
      <c r="B5318" s="296"/>
      <c r="C5318" s="294"/>
      <c r="D5318" s="294"/>
      <c r="E5318" s="294"/>
      <c r="F5318" s="310"/>
      <c r="G5318" s="310"/>
      <c r="H5318" s="310"/>
      <c r="I5318" s="295"/>
      <c r="J5318" s="295"/>
      <c r="K5318" s="300">
        <f t="shared" si="654"/>
        <v>1.1000000000000001</v>
      </c>
      <c r="L5318" s="300">
        <f t="shared" si="655"/>
        <v>0</v>
      </c>
      <c r="M5318" s="285">
        <f t="shared" si="656"/>
        <v>0</v>
      </c>
      <c r="N5318" s="1076"/>
      <c r="O5318" s="294"/>
      <c r="P5318" s="404"/>
      <c r="Q5318" s="404"/>
    </row>
    <row r="5319" spans="1:17" ht="14.4" thickTop="1" thickBot="1" x14ac:dyDescent="0.3">
      <c r="A5319" s="292"/>
      <c r="B5319" s="296"/>
      <c r="C5319" s="294"/>
      <c r="D5319" s="294"/>
      <c r="E5319" s="294"/>
      <c r="F5319" s="310"/>
      <c r="G5319" s="310"/>
      <c r="H5319" s="310"/>
      <c r="I5319" s="295"/>
      <c r="J5319" s="295"/>
      <c r="K5319" s="300">
        <f t="shared" si="654"/>
        <v>1.1000000000000001</v>
      </c>
      <c r="L5319" s="300">
        <f t="shared" si="655"/>
        <v>0</v>
      </c>
      <c r="M5319" s="285">
        <f t="shared" si="656"/>
        <v>0</v>
      </c>
      <c r="N5319" s="1076"/>
      <c r="O5319" s="294"/>
      <c r="P5319" s="404"/>
      <c r="Q5319" s="404"/>
    </row>
    <row r="5320" spans="1:17" ht="14.4" thickTop="1" thickBot="1" x14ac:dyDescent="0.3">
      <c r="A5320" s="292"/>
      <c r="B5320" s="296"/>
      <c r="C5320" s="294"/>
      <c r="D5320" s="294"/>
      <c r="E5320" s="294"/>
      <c r="F5320" s="310"/>
      <c r="G5320" s="310"/>
      <c r="H5320" s="310"/>
      <c r="I5320" s="295"/>
      <c r="J5320" s="295"/>
      <c r="K5320" s="300">
        <f t="shared" si="654"/>
        <v>1.1000000000000001</v>
      </c>
      <c r="L5320" s="300">
        <f t="shared" si="655"/>
        <v>0</v>
      </c>
      <c r="M5320" s="285">
        <f t="shared" si="656"/>
        <v>0</v>
      </c>
      <c r="N5320" s="1076"/>
      <c r="O5320" s="294"/>
      <c r="P5320" s="404"/>
      <c r="Q5320" s="404"/>
    </row>
    <row r="5321" spans="1:17" ht="14.4" thickTop="1" thickBot="1" x14ac:dyDescent="0.3">
      <c r="A5321" s="292"/>
      <c r="B5321" s="296"/>
      <c r="C5321" s="294"/>
      <c r="D5321" s="294"/>
      <c r="E5321" s="294"/>
      <c r="F5321" s="310"/>
      <c r="G5321" s="310"/>
      <c r="H5321" s="310"/>
      <c r="I5321" s="295"/>
      <c r="J5321" s="295"/>
      <c r="K5321" s="300">
        <f t="shared" si="654"/>
        <v>1.1000000000000001</v>
      </c>
      <c r="L5321" s="300">
        <f t="shared" si="655"/>
        <v>0</v>
      </c>
      <c r="M5321" s="285">
        <f t="shared" si="656"/>
        <v>0</v>
      </c>
      <c r="N5321" s="1076"/>
      <c r="O5321" s="294"/>
      <c r="P5321" s="404"/>
      <c r="Q5321" s="404"/>
    </row>
    <row r="5322" spans="1:17" ht="14.4" thickTop="1" thickBot="1" x14ac:dyDescent="0.3">
      <c r="A5322" s="292"/>
      <c r="B5322" s="296"/>
      <c r="C5322" s="294"/>
      <c r="D5322" s="294"/>
      <c r="E5322" s="294"/>
      <c r="F5322" s="310"/>
      <c r="G5322" s="310"/>
      <c r="H5322" s="310"/>
      <c r="I5322" s="295"/>
      <c r="J5322" s="295"/>
      <c r="K5322" s="300">
        <f t="shared" si="654"/>
        <v>1.1000000000000001</v>
      </c>
      <c r="L5322" s="300">
        <f t="shared" si="655"/>
        <v>0</v>
      </c>
      <c r="M5322" s="285">
        <f t="shared" si="656"/>
        <v>0</v>
      </c>
      <c r="N5322" s="1076"/>
      <c r="O5322" s="294"/>
      <c r="P5322" s="404"/>
      <c r="Q5322" s="404"/>
    </row>
    <row r="5323" spans="1:17" ht="14.4" thickTop="1" thickBot="1" x14ac:dyDescent="0.3">
      <c r="A5323" s="292"/>
      <c r="B5323" s="296"/>
      <c r="C5323" s="294"/>
      <c r="D5323" s="294"/>
      <c r="E5323" s="294"/>
      <c r="F5323" s="310"/>
      <c r="G5323" s="310"/>
      <c r="H5323" s="310"/>
      <c r="I5323" s="295"/>
      <c r="J5323" s="295"/>
      <c r="K5323" s="300">
        <f t="shared" si="654"/>
        <v>1.1000000000000001</v>
      </c>
      <c r="L5323" s="300">
        <f t="shared" si="655"/>
        <v>0</v>
      </c>
      <c r="M5323" s="285">
        <f t="shared" si="656"/>
        <v>0</v>
      </c>
      <c r="N5323" s="1076"/>
      <c r="O5323" s="294"/>
      <c r="P5323" s="404"/>
      <c r="Q5323" s="404"/>
    </row>
    <row r="5324" spans="1:17" ht="14.4" thickTop="1" thickBot="1" x14ac:dyDescent="0.3">
      <c r="A5324" s="292"/>
      <c r="B5324" s="296"/>
      <c r="C5324" s="294"/>
      <c r="D5324" s="294"/>
      <c r="E5324" s="294"/>
      <c r="F5324" s="310"/>
      <c r="G5324" s="310"/>
      <c r="H5324" s="310"/>
      <c r="I5324" s="295"/>
      <c r="J5324" s="295"/>
      <c r="K5324" s="300">
        <f t="shared" si="654"/>
        <v>1.1000000000000001</v>
      </c>
      <c r="L5324" s="300">
        <f t="shared" si="655"/>
        <v>0</v>
      </c>
      <c r="M5324" s="285">
        <f t="shared" si="656"/>
        <v>0</v>
      </c>
      <c r="N5324" s="1076"/>
      <c r="O5324" s="294"/>
      <c r="P5324" s="404"/>
      <c r="Q5324" s="404"/>
    </row>
    <row r="5325" spans="1:17" ht="14.4" thickTop="1" thickBot="1" x14ac:dyDescent="0.3">
      <c r="A5325" s="292"/>
      <c r="B5325" s="296"/>
      <c r="C5325" s="294"/>
      <c r="D5325" s="294"/>
      <c r="E5325" s="294"/>
      <c r="F5325" s="310"/>
      <c r="G5325" s="310"/>
      <c r="H5325" s="310"/>
      <c r="I5325" s="295"/>
      <c r="J5325" s="295"/>
      <c r="K5325" s="300">
        <f t="shared" si="654"/>
        <v>1.1000000000000001</v>
      </c>
      <c r="L5325" s="300">
        <f t="shared" si="655"/>
        <v>0</v>
      </c>
      <c r="M5325" s="285">
        <f t="shared" si="656"/>
        <v>0</v>
      </c>
      <c r="N5325" s="1076"/>
      <c r="O5325" s="294"/>
      <c r="P5325" s="404"/>
      <c r="Q5325" s="404"/>
    </row>
    <row r="5326" spans="1:17" ht="14.4" thickTop="1" thickBot="1" x14ac:dyDescent="0.3">
      <c r="A5326" s="292"/>
      <c r="B5326" s="296"/>
      <c r="C5326" s="294"/>
      <c r="D5326" s="294"/>
      <c r="E5326" s="294"/>
      <c r="F5326" s="310"/>
      <c r="G5326" s="310"/>
      <c r="H5326" s="310"/>
      <c r="I5326" s="295"/>
      <c r="J5326" s="295"/>
      <c r="K5326" s="300">
        <f t="shared" si="654"/>
        <v>1.1000000000000001</v>
      </c>
      <c r="L5326" s="300">
        <f t="shared" si="655"/>
        <v>0</v>
      </c>
      <c r="M5326" s="285">
        <f t="shared" si="656"/>
        <v>0</v>
      </c>
      <c r="N5326" s="1076"/>
      <c r="O5326" s="294"/>
      <c r="P5326" s="404"/>
      <c r="Q5326" s="404"/>
    </row>
    <row r="5327" spans="1:17" ht="14.4" thickTop="1" thickBot="1" x14ac:dyDescent="0.3">
      <c r="A5327" s="292"/>
      <c r="B5327" s="296"/>
      <c r="C5327" s="294"/>
      <c r="D5327" s="294"/>
      <c r="E5327" s="294"/>
      <c r="F5327" s="310"/>
      <c r="G5327" s="310"/>
      <c r="H5327" s="310"/>
      <c r="I5327" s="295"/>
      <c r="J5327" s="295"/>
      <c r="K5327" s="300">
        <f t="shared" si="654"/>
        <v>1.1000000000000001</v>
      </c>
      <c r="L5327" s="300">
        <f t="shared" si="655"/>
        <v>0</v>
      </c>
      <c r="M5327" s="285">
        <f t="shared" si="656"/>
        <v>0</v>
      </c>
      <c r="N5327" s="1076"/>
      <c r="O5327" s="294"/>
      <c r="P5327" s="404"/>
      <c r="Q5327" s="404"/>
    </row>
    <row r="5328" spans="1:17" ht="14.4" thickTop="1" thickBot="1" x14ac:dyDescent="0.3">
      <c r="A5328" s="292"/>
      <c r="B5328" s="296"/>
      <c r="C5328" s="294"/>
      <c r="D5328" s="294"/>
      <c r="E5328" s="294"/>
      <c r="F5328" s="310"/>
      <c r="G5328" s="310"/>
      <c r="H5328" s="310"/>
      <c r="I5328" s="295"/>
      <c r="J5328" s="295"/>
      <c r="K5328" s="300">
        <f t="shared" si="654"/>
        <v>1.1000000000000001</v>
      </c>
      <c r="L5328" s="300">
        <f t="shared" si="655"/>
        <v>0</v>
      </c>
      <c r="M5328" s="285">
        <f t="shared" si="656"/>
        <v>0</v>
      </c>
      <c r="N5328" s="1076"/>
      <c r="O5328" s="294"/>
      <c r="P5328" s="404"/>
      <c r="Q5328" s="404"/>
    </row>
    <row r="5329" spans="1:17" ht="14.4" thickTop="1" thickBot="1" x14ac:dyDescent="0.3">
      <c r="A5329" s="292"/>
      <c r="B5329" s="296"/>
      <c r="C5329" s="294"/>
      <c r="D5329" s="294"/>
      <c r="E5329" s="294"/>
      <c r="F5329" s="310"/>
      <c r="G5329" s="310"/>
      <c r="H5329" s="310"/>
      <c r="I5329" s="295"/>
      <c r="J5329" s="295"/>
      <c r="K5329" s="300">
        <f t="shared" si="654"/>
        <v>1.1000000000000001</v>
      </c>
      <c r="L5329" s="300">
        <f t="shared" si="655"/>
        <v>0</v>
      </c>
      <c r="M5329" s="285">
        <f t="shared" si="656"/>
        <v>0</v>
      </c>
      <c r="N5329" s="1076"/>
      <c r="O5329" s="294"/>
      <c r="P5329" s="404"/>
      <c r="Q5329" s="404"/>
    </row>
    <row r="5330" spans="1:17" ht="14.4" thickTop="1" thickBot="1" x14ac:dyDescent="0.3">
      <c r="A5330" s="292"/>
      <c r="B5330" s="296"/>
      <c r="C5330" s="294"/>
      <c r="D5330" s="294"/>
      <c r="E5330" s="294"/>
      <c r="F5330" s="310"/>
      <c r="G5330" s="310"/>
      <c r="H5330" s="310"/>
      <c r="I5330" s="295"/>
      <c r="J5330" s="295"/>
      <c r="K5330" s="300">
        <f t="shared" si="654"/>
        <v>1.1000000000000001</v>
      </c>
      <c r="L5330" s="300">
        <f t="shared" si="655"/>
        <v>0</v>
      </c>
      <c r="M5330" s="285">
        <f t="shared" si="656"/>
        <v>0</v>
      </c>
      <c r="N5330" s="1076"/>
      <c r="O5330" s="294"/>
      <c r="P5330" s="404"/>
      <c r="Q5330" s="404"/>
    </row>
    <row r="5331" spans="1:17" ht="14.4" thickTop="1" thickBot="1" x14ac:dyDescent="0.3">
      <c r="A5331" s="292"/>
      <c r="B5331" s="296"/>
      <c r="C5331" s="294"/>
      <c r="D5331" s="294"/>
      <c r="E5331" s="294"/>
      <c r="F5331" s="310"/>
      <c r="G5331" s="310"/>
      <c r="H5331" s="310"/>
      <c r="I5331" s="295"/>
      <c r="J5331" s="295"/>
      <c r="K5331" s="300">
        <f t="shared" si="654"/>
        <v>1.1000000000000001</v>
      </c>
      <c r="L5331" s="300">
        <f t="shared" si="655"/>
        <v>0</v>
      </c>
      <c r="M5331" s="285">
        <f t="shared" si="656"/>
        <v>0</v>
      </c>
      <c r="N5331" s="1076"/>
      <c r="O5331" s="294"/>
      <c r="P5331" s="404"/>
      <c r="Q5331" s="404"/>
    </row>
    <row r="5332" spans="1:17" ht="14.4" thickTop="1" thickBot="1" x14ac:dyDescent="0.3">
      <c r="A5332" s="292"/>
      <c r="B5332" s="296"/>
      <c r="C5332" s="294"/>
      <c r="D5332" s="294"/>
      <c r="E5332" s="294"/>
      <c r="F5332" s="310"/>
      <c r="G5332" s="310"/>
      <c r="H5332" s="310"/>
      <c r="I5332" s="295"/>
      <c r="J5332" s="295"/>
      <c r="K5332" s="300">
        <f t="shared" ref="K5332:K5395" si="657">$K$2</f>
        <v>1.1000000000000001</v>
      </c>
      <c r="L5332" s="300">
        <f t="shared" si="655"/>
        <v>0</v>
      </c>
      <c r="M5332" s="285">
        <f t="shared" si="656"/>
        <v>0</v>
      </c>
      <c r="N5332" s="1076"/>
      <c r="O5332" s="294"/>
      <c r="P5332" s="404"/>
      <c r="Q5332" s="404"/>
    </row>
    <row r="5333" spans="1:17" ht="14.4" thickTop="1" thickBot="1" x14ac:dyDescent="0.3">
      <c r="A5333" s="292"/>
      <c r="B5333" s="296"/>
      <c r="C5333" s="294"/>
      <c r="D5333" s="294"/>
      <c r="E5333" s="294"/>
      <c r="F5333" s="310"/>
      <c r="G5333" s="310"/>
      <c r="H5333" s="310"/>
      <c r="I5333" s="295"/>
      <c r="J5333" s="295"/>
      <c r="K5333" s="300">
        <f t="shared" si="657"/>
        <v>1.1000000000000001</v>
      </c>
      <c r="L5333" s="300">
        <f t="shared" si="655"/>
        <v>0</v>
      </c>
      <c r="M5333" s="285">
        <f t="shared" si="656"/>
        <v>0</v>
      </c>
      <c r="N5333" s="1076"/>
      <c r="O5333" s="294"/>
      <c r="P5333" s="404"/>
      <c r="Q5333" s="404"/>
    </row>
    <row r="5334" spans="1:17" ht="14.4" thickTop="1" thickBot="1" x14ac:dyDescent="0.3">
      <c r="A5334" s="292"/>
      <c r="B5334" s="296"/>
      <c r="C5334" s="294"/>
      <c r="D5334" s="294"/>
      <c r="E5334" s="294"/>
      <c r="F5334" s="310"/>
      <c r="G5334" s="310"/>
      <c r="H5334" s="310"/>
      <c r="I5334" s="295"/>
      <c r="J5334" s="295"/>
      <c r="K5334" s="300">
        <f t="shared" si="657"/>
        <v>1.1000000000000001</v>
      </c>
      <c r="L5334" s="300">
        <f t="shared" si="655"/>
        <v>0</v>
      </c>
      <c r="M5334" s="285">
        <f t="shared" si="656"/>
        <v>0</v>
      </c>
      <c r="N5334" s="1076"/>
      <c r="O5334" s="294"/>
      <c r="P5334" s="404"/>
      <c r="Q5334" s="404"/>
    </row>
    <row r="5335" spans="1:17" ht="14.4" thickTop="1" thickBot="1" x14ac:dyDescent="0.3">
      <c r="A5335" s="292"/>
      <c r="B5335" s="296"/>
      <c r="C5335" s="294"/>
      <c r="D5335" s="294"/>
      <c r="E5335" s="294"/>
      <c r="F5335" s="310"/>
      <c r="G5335" s="310"/>
      <c r="H5335" s="310"/>
      <c r="I5335" s="295"/>
      <c r="J5335" s="295"/>
      <c r="K5335" s="300">
        <f t="shared" si="657"/>
        <v>1.1000000000000001</v>
      </c>
      <c r="L5335" s="300">
        <f t="shared" si="655"/>
        <v>0</v>
      </c>
      <c r="M5335" s="285">
        <f t="shared" si="656"/>
        <v>0</v>
      </c>
      <c r="N5335" s="1076"/>
      <c r="O5335" s="294"/>
      <c r="P5335" s="404"/>
      <c r="Q5335" s="404"/>
    </row>
    <row r="5336" spans="1:17" ht="14.4" thickTop="1" thickBot="1" x14ac:dyDescent="0.3">
      <c r="A5336" s="292"/>
      <c r="B5336" s="296"/>
      <c r="C5336" s="294"/>
      <c r="D5336" s="294"/>
      <c r="E5336" s="294"/>
      <c r="F5336" s="310"/>
      <c r="G5336" s="310"/>
      <c r="H5336" s="310"/>
      <c r="I5336" s="295"/>
      <c r="J5336" s="295"/>
      <c r="K5336" s="300">
        <f t="shared" si="657"/>
        <v>1.1000000000000001</v>
      </c>
      <c r="L5336" s="300">
        <f t="shared" si="655"/>
        <v>0</v>
      </c>
      <c r="M5336" s="285">
        <f t="shared" si="656"/>
        <v>0</v>
      </c>
      <c r="N5336" s="1076"/>
      <c r="O5336" s="294"/>
      <c r="P5336" s="404"/>
      <c r="Q5336" s="404"/>
    </row>
    <row r="5337" spans="1:17" ht="14.4" thickTop="1" thickBot="1" x14ac:dyDescent="0.3">
      <c r="A5337" s="292"/>
      <c r="B5337" s="296"/>
      <c r="C5337" s="294"/>
      <c r="D5337" s="294"/>
      <c r="E5337" s="294"/>
      <c r="F5337" s="310"/>
      <c r="G5337" s="310"/>
      <c r="H5337" s="310"/>
      <c r="I5337" s="295"/>
      <c r="J5337" s="295"/>
      <c r="K5337" s="300">
        <f t="shared" si="657"/>
        <v>1.1000000000000001</v>
      </c>
      <c r="L5337" s="300">
        <f t="shared" si="655"/>
        <v>0</v>
      </c>
      <c r="M5337" s="285">
        <f t="shared" si="656"/>
        <v>0</v>
      </c>
      <c r="N5337" s="1076"/>
      <c r="O5337" s="294"/>
      <c r="P5337" s="404"/>
      <c r="Q5337" s="404"/>
    </row>
    <row r="5338" spans="1:17" ht="14.4" thickTop="1" thickBot="1" x14ac:dyDescent="0.3">
      <c r="A5338" s="292"/>
      <c r="B5338" s="296"/>
      <c r="C5338" s="294"/>
      <c r="D5338" s="294"/>
      <c r="E5338" s="294"/>
      <c r="F5338" s="310"/>
      <c r="G5338" s="310"/>
      <c r="H5338" s="310"/>
      <c r="I5338" s="295"/>
      <c r="J5338" s="295"/>
      <c r="K5338" s="300">
        <f t="shared" si="657"/>
        <v>1.1000000000000001</v>
      </c>
      <c r="L5338" s="300">
        <f t="shared" si="655"/>
        <v>0</v>
      </c>
      <c r="M5338" s="285">
        <f t="shared" si="656"/>
        <v>0</v>
      </c>
      <c r="N5338" s="1076"/>
      <c r="O5338" s="294"/>
      <c r="P5338" s="404"/>
      <c r="Q5338" s="404"/>
    </row>
    <row r="5339" spans="1:17" ht="14.4" thickTop="1" thickBot="1" x14ac:dyDescent="0.3">
      <c r="A5339" s="292"/>
      <c r="B5339" s="296"/>
      <c r="C5339" s="294"/>
      <c r="D5339" s="294"/>
      <c r="E5339" s="294"/>
      <c r="F5339" s="310"/>
      <c r="G5339" s="310"/>
      <c r="H5339" s="310"/>
      <c r="I5339" s="295"/>
      <c r="J5339" s="295"/>
      <c r="K5339" s="300">
        <f t="shared" si="657"/>
        <v>1.1000000000000001</v>
      </c>
      <c r="L5339" s="300">
        <f t="shared" si="655"/>
        <v>0</v>
      </c>
      <c r="M5339" s="285">
        <f t="shared" si="656"/>
        <v>0</v>
      </c>
      <c r="N5339" s="1076"/>
      <c r="O5339" s="294"/>
      <c r="P5339" s="404"/>
      <c r="Q5339" s="404"/>
    </row>
    <row r="5340" spans="1:17" ht="14.4" thickTop="1" thickBot="1" x14ac:dyDescent="0.3">
      <c r="A5340" s="292"/>
      <c r="B5340" s="296"/>
      <c r="C5340" s="294"/>
      <c r="D5340" s="294"/>
      <c r="E5340" s="294"/>
      <c r="F5340" s="310"/>
      <c r="G5340" s="310"/>
      <c r="H5340" s="310"/>
      <c r="I5340" s="295"/>
      <c r="J5340" s="295"/>
      <c r="K5340" s="300">
        <f t="shared" si="657"/>
        <v>1.1000000000000001</v>
      </c>
      <c r="L5340" s="300">
        <f t="shared" si="655"/>
        <v>0</v>
      </c>
      <c r="M5340" s="285">
        <f t="shared" si="656"/>
        <v>0</v>
      </c>
      <c r="N5340" s="1076"/>
      <c r="O5340" s="294"/>
      <c r="P5340" s="404"/>
      <c r="Q5340" s="404"/>
    </row>
    <row r="5341" spans="1:17" ht="14.4" thickTop="1" thickBot="1" x14ac:dyDescent="0.3">
      <c r="A5341" s="292"/>
      <c r="B5341" s="296"/>
      <c r="C5341" s="294"/>
      <c r="D5341" s="294"/>
      <c r="E5341" s="294"/>
      <c r="F5341" s="310"/>
      <c r="G5341" s="310"/>
      <c r="H5341" s="310"/>
      <c r="I5341" s="295"/>
      <c r="J5341" s="295"/>
      <c r="K5341" s="300">
        <f t="shared" si="657"/>
        <v>1.1000000000000001</v>
      </c>
      <c r="L5341" s="300">
        <f t="shared" si="655"/>
        <v>0</v>
      </c>
      <c r="M5341" s="285">
        <f t="shared" si="656"/>
        <v>0</v>
      </c>
      <c r="N5341" s="1076"/>
      <c r="O5341" s="294"/>
      <c r="P5341" s="404"/>
      <c r="Q5341" s="404"/>
    </row>
    <row r="5342" spans="1:17" ht="14.4" thickTop="1" thickBot="1" x14ac:dyDescent="0.3">
      <c r="A5342" s="292"/>
      <c r="B5342" s="296"/>
      <c r="C5342" s="294"/>
      <c r="D5342" s="294"/>
      <c r="E5342" s="294"/>
      <c r="F5342" s="310"/>
      <c r="G5342" s="310"/>
      <c r="H5342" s="310"/>
      <c r="I5342" s="295"/>
      <c r="J5342" s="295"/>
      <c r="K5342" s="300">
        <f t="shared" si="657"/>
        <v>1.1000000000000001</v>
      </c>
      <c r="L5342" s="300">
        <f t="shared" si="655"/>
        <v>0</v>
      </c>
      <c r="M5342" s="285">
        <f t="shared" si="656"/>
        <v>0</v>
      </c>
      <c r="N5342" s="1076"/>
      <c r="O5342" s="294"/>
      <c r="P5342" s="404"/>
      <c r="Q5342" s="404"/>
    </row>
    <row r="5343" spans="1:17" ht="14.4" thickTop="1" thickBot="1" x14ac:dyDescent="0.3">
      <c r="A5343" s="292"/>
      <c r="B5343" s="296"/>
      <c r="C5343" s="294"/>
      <c r="D5343" s="294"/>
      <c r="E5343" s="294"/>
      <c r="F5343" s="310"/>
      <c r="G5343" s="310"/>
      <c r="H5343" s="310"/>
      <c r="I5343" s="295"/>
      <c r="J5343" s="295"/>
      <c r="K5343" s="300">
        <f t="shared" si="657"/>
        <v>1.1000000000000001</v>
      </c>
      <c r="L5343" s="300">
        <f t="shared" si="655"/>
        <v>0</v>
      </c>
      <c r="M5343" s="285">
        <f t="shared" si="656"/>
        <v>0</v>
      </c>
      <c r="N5343" s="1076"/>
      <c r="O5343" s="294"/>
      <c r="P5343" s="404"/>
      <c r="Q5343" s="404"/>
    </row>
    <row r="5344" spans="1:17" ht="14.4" thickTop="1" thickBot="1" x14ac:dyDescent="0.3">
      <c r="A5344" s="292"/>
      <c r="B5344" s="296"/>
      <c r="C5344" s="294"/>
      <c r="D5344" s="294"/>
      <c r="E5344" s="294"/>
      <c r="F5344" s="310"/>
      <c r="G5344" s="310"/>
      <c r="H5344" s="310"/>
      <c r="I5344" s="295"/>
      <c r="J5344" s="295"/>
      <c r="K5344" s="300">
        <f t="shared" si="657"/>
        <v>1.1000000000000001</v>
      </c>
      <c r="L5344" s="300">
        <f t="shared" si="655"/>
        <v>0</v>
      </c>
      <c r="M5344" s="285">
        <f t="shared" si="656"/>
        <v>0</v>
      </c>
      <c r="N5344" s="1076"/>
      <c r="O5344" s="294"/>
      <c r="P5344" s="404"/>
      <c r="Q5344" s="404"/>
    </row>
    <row r="5345" spans="1:17" ht="14.4" thickTop="1" thickBot="1" x14ac:dyDescent="0.3">
      <c r="A5345" s="292"/>
      <c r="B5345" s="296"/>
      <c r="C5345" s="294"/>
      <c r="D5345" s="294"/>
      <c r="E5345" s="294"/>
      <c r="F5345" s="310"/>
      <c r="G5345" s="310"/>
      <c r="H5345" s="310"/>
      <c r="I5345" s="295"/>
      <c r="J5345" s="295"/>
      <c r="K5345" s="300">
        <f t="shared" si="657"/>
        <v>1.1000000000000001</v>
      </c>
      <c r="L5345" s="300">
        <f t="shared" si="655"/>
        <v>0</v>
      </c>
      <c r="M5345" s="285">
        <f t="shared" si="656"/>
        <v>0</v>
      </c>
      <c r="N5345" s="1076"/>
      <c r="O5345" s="294"/>
      <c r="P5345" s="404"/>
      <c r="Q5345" s="404"/>
    </row>
    <row r="5346" spans="1:17" ht="14.4" thickTop="1" thickBot="1" x14ac:dyDescent="0.3">
      <c r="A5346" s="292"/>
      <c r="B5346" s="296"/>
      <c r="C5346" s="294"/>
      <c r="D5346" s="294"/>
      <c r="E5346" s="294"/>
      <c r="F5346" s="310"/>
      <c r="G5346" s="310"/>
      <c r="H5346" s="310"/>
      <c r="I5346" s="295"/>
      <c r="J5346" s="295"/>
      <c r="K5346" s="300">
        <f t="shared" si="657"/>
        <v>1.1000000000000001</v>
      </c>
      <c r="L5346" s="300">
        <f t="shared" si="655"/>
        <v>0</v>
      </c>
      <c r="M5346" s="285">
        <f t="shared" si="656"/>
        <v>0</v>
      </c>
      <c r="N5346" s="1076"/>
      <c r="O5346" s="294"/>
      <c r="P5346" s="404"/>
      <c r="Q5346" s="404"/>
    </row>
    <row r="5347" spans="1:17" ht="14.4" thickTop="1" thickBot="1" x14ac:dyDescent="0.3">
      <c r="A5347" s="292"/>
      <c r="B5347" s="296"/>
      <c r="C5347" s="294"/>
      <c r="D5347" s="294"/>
      <c r="E5347" s="294"/>
      <c r="F5347" s="310"/>
      <c r="G5347" s="310"/>
      <c r="H5347" s="310"/>
      <c r="I5347" s="295"/>
      <c r="J5347" s="295"/>
      <c r="K5347" s="300">
        <f t="shared" si="657"/>
        <v>1.1000000000000001</v>
      </c>
      <c r="L5347" s="300">
        <f t="shared" si="655"/>
        <v>0</v>
      </c>
      <c r="M5347" s="285">
        <f t="shared" si="656"/>
        <v>0</v>
      </c>
      <c r="N5347" s="1076"/>
      <c r="O5347" s="294"/>
      <c r="P5347" s="404"/>
      <c r="Q5347" s="404"/>
    </row>
    <row r="5348" spans="1:17" ht="14.4" thickTop="1" thickBot="1" x14ac:dyDescent="0.3">
      <c r="A5348" s="292"/>
      <c r="B5348" s="296"/>
      <c r="C5348" s="294"/>
      <c r="D5348" s="294"/>
      <c r="E5348" s="294"/>
      <c r="F5348" s="310"/>
      <c r="G5348" s="310"/>
      <c r="H5348" s="310"/>
      <c r="I5348" s="295"/>
      <c r="J5348" s="295"/>
      <c r="K5348" s="300">
        <f t="shared" si="657"/>
        <v>1.1000000000000001</v>
      </c>
      <c r="L5348" s="300">
        <f t="shared" si="655"/>
        <v>0</v>
      </c>
      <c r="M5348" s="285">
        <f t="shared" si="656"/>
        <v>0</v>
      </c>
      <c r="N5348" s="1076"/>
      <c r="O5348" s="294"/>
      <c r="P5348" s="404"/>
      <c r="Q5348" s="404"/>
    </row>
    <row r="5349" spans="1:17" ht="14.4" thickTop="1" thickBot="1" x14ac:dyDescent="0.3">
      <c r="A5349" s="292"/>
      <c r="B5349" s="296"/>
      <c r="C5349" s="294"/>
      <c r="D5349" s="294"/>
      <c r="E5349" s="294"/>
      <c r="F5349" s="310"/>
      <c r="G5349" s="310"/>
      <c r="H5349" s="310"/>
      <c r="I5349" s="295"/>
      <c r="J5349" s="295"/>
      <c r="K5349" s="300">
        <f t="shared" si="657"/>
        <v>1.1000000000000001</v>
      </c>
      <c r="L5349" s="300">
        <f t="shared" si="655"/>
        <v>0</v>
      </c>
      <c r="M5349" s="285">
        <f t="shared" si="656"/>
        <v>0</v>
      </c>
      <c r="N5349" s="1076"/>
      <c r="O5349" s="294"/>
      <c r="P5349" s="404"/>
      <c r="Q5349" s="404"/>
    </row>
    <row r="5350" spans="1:17" ht="14.4" thickTop="1" thickBot="1" x14ac:dyDescent="0.3">
      <c r="A5350" s="292"/>
      <c r="B5350" s="296"/>
      <c r="C5350" s="294"/>
      <c r="D5350" s="294"/>
      <c r="E5350" s="294"/>
      <c r="F5350" s="310"/>
      <c r="G5350" s="310"/>
      <c r="H5350" s="310"/>
      <c r="I5350" s="295"/>
      <c r="J5350" s="295"/>
      <c r="K5350" s="300">
        <f t="shared" si="657"/>
        <v>1.1000000000000001</v>
      </c>
      <c r="L5350" s="300">
        <f t="shared" si="655"/>
        <v>0</v>
      </c>
      <c r="M5350" s="285">
        <f t="shared" si="656"/>
        <v>0</v>
      </c>
      <c r="N5350" s="1076"/>
      <c r="O5350" s="294"/>
      <c r="P5350" s="404"/>
      <c r="Q5350" s="404"/>
    </row>
    <row r="5351" spans="1:17" ht="14.4" thickTop="1" thickBot="1" x14ac:dyDescent="0.3">
      <c r="A5351" s="292"/>
      <c r="B5351" s="296"/>
      <c r="C5351" s="294"/>
      <c r="D5351" s="294"/>
      <c r="E5351" s="294"/>
      <c r="F5351" s="310"/>
      <c r="G5351" s="310"/>
      <c r="H5351" s="310"/>
      <c r="I5351" s="295"/>
      <c r="J5351" s="295"/>
      <c r="K5351" s="300">
        <f t="shared" si="657"/>
        <v>1.1000000000000001</v>
      </c>
      <c r="L5351" s="300">
        <f t="shared" si="655"/>
        <v>0</v>
      </c>
      <c r="M5351" s="285">
        <f t="shared" si="656"/>
        <v>0</v>
      </c>
      <c r="N5351" s="1076"/>
      <c r="O5351" s="294"/>
      <c r="P5351" s="404"/>
      <c r="Q5351" s="404"/>
    </row>
    <row r="5352" spans="1:17" ht="14.4" thickTop="1" thickBot="1" x14ac:dyDescent="0.3">
      <c r="A5352" s="292"/>
      <c r="B5352" s="296"/>
      <c r="C5352" s="294"/>
      <c r="D5352" s="294"/>
      <c r="E5352" s="294"/>
      <c r="F5352" s="310"/>
      <c r="G5352" s="310"/>
      <c r="H5352" s="310"/>
      <c r="I5352" s="295"/>
      <c r="J5352" s="295"/>
      <c r="K5352" s="300">
        <f t="shared" si="657"/>
        <v>1.1000000000000001</v>
      </c>
      <c r="L5352" s="300">
        <f t="shared" si="655"/>
        <v>0</v>
      </c>
      <c r="M5352" s="285">
        <f t="shared" si="656"/>
        <v>0</v>
      </c>
      <c r="N5352" s="1076"/>
      <c r="O5352" s="294"/>
      <c r="P5352" s="404"/>
      <c r="Q5352" s="404"/>
    </row>
    <row r="5353" spans="1:17" ht="14.4" thickTop="1" thickBot="1" x14ac:dyDescent="0.3">
      <c r="A5353" s="292"/>
      <c r="B5353" s="296"/>
      <c r="C5353" s="294"/>
      <c r="D5353" s="294"/>
      <c r="E5353" s="294"/>
      <c r="F5353" s="310"/>
      <c r="G5353" s="310"/>
      <c r="H5353" s="310"/>
      <c r="I5353" s="295"/>
      <c r="J5353" s="295"/>
      <c r="K5353" s="300">
        <f t="shared" si="657"/>
        <v>1.1000000000000001</v>
      </c>
      <c r="L5353" s="300">
        <f t="shared" ref="L5353:L5416" si="658">K5353*J5353</f>
        <v>0</v>
      </c>
      <c r="M5353" s="285">
        <f t="shared" si="656"/>
        <v>0</v>
      </c>
      <c r="N5353" s="1076"/>
      <c r="O5353" s="294"/>
      <c r="P5353" s="404"/>
      <c r="Q5353" s="404"/>
    </row>
    <row r="5354" spans="1:17" ht="14.4" thickTop="1" thickBot="1" x14ac:dyDescent="0.3">
      <c r="A5354" s="292"/>
      <c r="B5354" s="296"/>
      <c r="C5354" s="294"/>
      <c r="D5354" s="294"/>
      <c r="E5354" s="294"/>
      <c r="F5354" s="310"/>
      <c r="G5354" s="310"/>
      <c r="H5354" s="310"/>
      <c r="I5354" s="295"/>
      <c r="J5354" s="295"/>
      <c r="K5354" s="300">
        <f t="shared" si="657"/>
        <v>1.1000000000000001</v>
      </c>
      <c r="L5354" s="300">
        <f t="shared" si="658"/>
        <v>0</v>
      </c>
      <c r="M5354" s="285">
        <f t="shared" si="656"/>
        <v>0</v>
      </c>
      <c r="N5354" s="1076"/>
      <c r="O5354" s="294"/>
      <c r="P5354" s="404"/>
      <c r="Q5354" s="404"/>
    </row>
    <row r="5355" spans="1:17" ht="14.4" thickTop="1" thickBot="1" x14ac:dyDescent="0.3">
      <c r="A5355" s="292"/>
      <c r="B5355" s="296"/>
      <c r="C5355" s="294"/>
      <c r="D5355" s="294"/>
      <c r="E5355" s="294"/>
      <c r="F5355" s="310"/>
      <c r="G5355" s="310"/>
      <c r="H5355" s="310"/>
      <c r="I5355" s="295"/>
      <c r="J5355" s="295"/>
      <c r="K5355" s="300">
        <f t="shared" si="657"/>
        <v>1.1000000000000001</v>
      </c>
      <c r="L5355" s="300">
        <f t="shared" si="658"/>
        <v>0</v>
      </c>
      <c r="M5355" s="285">
        <f t="shared" si="656"/>
        <v>0</v>
      </c>
      <c r="N5355" s="1076"/>
      <c r="O5355" s="294"/>
      <c r="P5355" s="404"/>
      <c r="Q5355" s="404"/>
    </row>
    <row r="5356" spans="1:17" ht="14.4" thickTop="1" thickBot="1" x14ac:dyDescent="0.3">
      <c r="A5356" s="292"/>
      <c r="B5356" s="296"/>
      <c r="C5356" s="294"/>
      <c r="D5356" s="294"/>
      <c r="E5356" s="294"/>
      <c r="F5356" s="310"/>
      <c r="G5356" s="310"/>
      <c r="H5356" s="310"/>
      <c r="I5356" s="295"/>
      <c r="J5356" s="295"/>
      <c r="K5356" s="300">
        <f t="shared" si="657"/>
        <v>1.1000000000000001</v>
      </c>
      <c r="L5356" s="300">
        <f t="shared" si="658"/>
        <v>0</v>
      </c>
      <c r="M5356" s="285">
        <f t="shared" si="656"/>
        <v>0</v>
      </c>
      <c r="N5356" s="1076"/>
      <c r="O5356" s="294"/>
      <c r="P5356" s="404"/>
      <c r="Q5356" s="404"/>
    </row>
    <row r="5357" spans="1:17" ht="14.4" thickTop="1" thickBot="1" x14ac:dyDescent="0.3">
      <c r="A5357" s="292"/>
      <c r="B5357" s="296"/>
      <c r="C5357" s="294"/>
      <c r="D5357" s="294"/>
      <c r="E5357" s="294"/>
      <c r="F5357" s="310"/>
      <c r="G5357" s="310"/>
      <c r="H5357" s="310"/>
      <c r="I5357" s="295"/>
      <c r="J5357" s="295"/>
      <c r="K5357" s="300">
        <f t="shared" si="657"/>
        <v>1.1000000000000001</v>
      </c>
      <c r="L5357" s="300">
        <f t="shared" si="658"/>
        <v>0</v>
      </c>
      <c r="M5357" s="285">
        <f t="shared" ref="M5357:M5420" si="659">ROUND(L5357,0)</f>
        <v>0</v>
      </c>
      <c r="N5357" s="1076"/>
      <c r="O5357" s="294"/>
      <c r="P5357" s="404"/>
      <c r="Q5357" s="404"/>
    </row>
    <row r="5358" spans="1:17" ht="14.4" thickTop="1" thickBot="1" x14ac:dyDescent="0.3">
      <c r="A5358" s="292"/>
      <c r="B5358" s="296"/>
      <c r="C5358" s="294"/>
      <c r="D5358" s="294"/>
      <c r="E5358" s="294"/>
      <c r="F5358" s="310"/>
      <c r="G5358" s="310"/>
      <c r="H5358" s="310"/>
      <c r="I5358" s="295"/>
      <c r="J5358" s="295"/>
      <c r="K5358" s="300">
        <f t="shared" si="657"/>
        <v>1.1000000000000001</v>
      </c>
      <c r="L5358" s="300">
        <f t="shared" si="658"/>
        <v>0</v>
      </c>
      <c r="M5358" s="285">
        <f t="shared" si="659"/>
        <v>0</v>
      </c>
      <c r="N5358" s="1076"/>
      <c r="O5358" s="294"/>
      <c r="P5358" s="404"/>
      <c r="Q5358" s="404"/>
    </row>
    <row r="5359" spans="1:17" ht="14.4" thickTop="1" thickBot="1" x14ac:dyDescent="0.3">
      <c r="A5359" s="292"/>
      <c r="B5359" s="296"/>
      <c r="C5359" s="294"/>
      <c r="D5359" s="294"/>
      <c r="E5359" s="294"/>
      <c r="F5359" s="310"/>
      <c r="G5359" s="310"/>
      <c r="H5359" s="310"/>
      <c r="I5359" s="295"/>
      <c r="J5359" s="295"/>
      <c r="K5359" s="300">
        <f t="shared" si="657"/>
        <v>1.1000000000000001</v>
      </c>
      <c r="L5359" s="300">
        <f t="shared" si="658"/>
        <v>0</v>
      </c>
      <c r="M5359" s="285">
        <f t="shared" si="659"/>
        <v>0</v>
      </c>
      <c r="N5359" s="1076"/>
      <c r="O5359" s="294"/>
      <c r="P5359" s="404"/>
      <c r="Q5359" s="404"/>
    </row>
    <row r="5360" spans="1:17" ht="14.4" thickTop="1" thickBot="1" x14ac:dyDescent="0.3">
      <c r="A5360" s="292"/>
      <c r="B5360" s="296"/>
      <c r="C5360" s="294"/>
      <c r="D5360" s="294"/>
      <c r="E5360" s="294"/>
      <c r="F5360" s="310"/>
      <c r="G5360" s="310"/>
      <c r="H5360" s="310"/>
      <c r="I5360" s="295"/>
      <c r="J5360" s="295"/>
      <c r="K5360" s="300">
        <f t="shared" si="657"/>
        <v>1.1000000000000001</v>
      </c>
      <c r="L5360" s="300">
        <f t="shared" si="658"/>
        <v>0</v>
      </c>
      <c r="M5360" s="285">
        <f t="shared" si="659"/>
        <v>0</v>
      </c>
      <c r="N5360" s="1076"/>
      <c r="O5360" s="294"/>
      <c r="P5360" s="404"/>
      <c r="Q5360" s="404"/>
    </row>
    <row r="5361" spans="1:17" ht="14.4" thickTop="1" thickBot="1" x14ac:dyDescent="0.3">
      <c r="A5361" s="292"/>
      <c r="B5361" s="296"/>
      <c r="C5361" s="294"/>
      <c r="D5361" s="294"/>
      <c r="E5361" s="294"/>
      <c r="F5361" s="310"/>
      <c r="G5361" s="310"/>
      <c r="H5361" s="310"/>
      <c r="I5361" s="295"/>
      <c r="J5361" s="295"/>
      <c r="K5361" s="300">
        <f t="shared" si="657"/>
        <v>1.1000000000000001</v>
      </c>
      <c r="L5361" s="300">
        <f t="shared" si="658"/>
        <v>0</v>
      </c>
      <c r="M5361" s="285">
        <f t="shared" si="659"/>
        <v>0</v>
      </c>
      <c r="N5361" s="1076"/>
      <c r="O5361" s="294"/>
      <c r="P5361" s="404"/>
      <c r="Q5361" s="404"/>
    </row>
    <row r="5362" spans="1:17" ht="14.4" thickTop="1" thickBot="1" x14ac:dyDescent="0.3">
      <c r="A5362" s="292"/>
      <c r="B5362" s="296"/>
      <c r="C5362" s="294"/>
      <c r="D5362" s="294"/>
      <c r="E5362" s="294"/>
      <c r="F5362" s="310"/>
      <c r="G5362" s="310"/>
      <c r="H5362" s="310"/>
      <c r="I5362" s="295"/>
      <c r="J5362" s="295"/>
      <c r="K5362" s="300">
        <f t="shared" si="657"/>
        <v>1.1000000000000001</v>
      </c>
      <c r="L5362" s="300">
        <f t="shared" si="658"/>
        <v>0</v>
      </c>
      <c r="M5362" s="285">
        <f t="shared" si="659"/>
        <v>0</v>
      </c>
      <c r="N5362" s="1076"/>
      <c r="O5362" s="294"/>
      <c r="P5362" s="404"/>
      <c r="Q5362" s="404"/>
    </row>
    <row r="5363" spans="1:17" ht="14.4" thickTop="1" thickBot="1" x14ac:dyDescent="0.3">
      <c r="A5363" s="292"/>
      <c r="B5363" s="296"/>
      <c r="C5363" s="294"/>
      <c r="D5363" s="294"/>
      <c r="E5363" s="294"/>
      <c r="F5363" s="310"/>
      <c r="G5363" s="310"/>
      <c r="H5363" s="310"/>
      <c r="I5363" s="295"/>
      <c r="J5363" s="295"/>
      <c r="K5363" s="300">
        <f t="shared" si="657"/>
        <v>1.1000000000000001</v>
      </c>
      <c r="L5363" s="300">
        <f t="shared" si="658"/>
        <v>0</v>
      </c>
      <c r="M5363" s="285">
        <f t="shared" si="659"/>
        <v>0</v>
      </c>
      <c r="N5363" s="1076"/>
      <c r="O5363" s="294"/>
      <c r="P5363" s="404"/>
      <c r="Q5363" s="404"/>
    </row>
    <row r="5364" spans="1:17" ht="14.4" thickTop="1" thickBot="1" x14ac:dyDescent="0.3">
      <c r="A5364" s="292"/>
      <c r="B5364" s="296"/>
      <c r="C5364" s="294"/>
      <c r="D5364" s="294"/>
      <c r="E5364" s="294"/>
      <c r="F5364" s="310"/>
      <c r="G5364" s="310"/>
      <c r="H5364" s="310"/>
      <c r="I5364" s="295"/>
      <c r="J5364" s="295"/>
      <c r="K5364" s="300">
        <f t="shared" si="657"/>
        <v>1.1000000000000001</v>
      </c>
      <c r="L5364" s="300">
        <f t="shared" si="658"/>
        <v>0</v>
      </c>
      <c r="M5364" s="285">
        <f t="shared" si="659"/>
        <v>0</v>
      </c>
      <c r="N5364" s="1076"/>
      <c r="O5364" s="294"/>
      <c r="P5364" s="404"/>
      <c r="Q5364" s="404"/>
    </row>
    <row r="5365" spans="1:17" ht="14.4" thickTop="1" thickBot="1" x14ac:dyDescent="0.3">
      <c r="A5365" s="292"/>
      <c r="B5365" s="296"/>
      <c r="C5365" s="294"/>
      <c r="D5365" s="294"/>
      <c r="E5365" s="294"/>
      <c r="F5365" s="310"/>
      <c r="G5365" s="310"/>
      <c r="H5365" s="310"/>
      <c r="I5365" s="295"/>
      <c r="J5365" s="295"/>
      <c r="K5365" s="300">
        <f t="shared" si="657"/>
        <v>1.1000000000000001</v>
      </c>
      <c r="L5365" s="300">
        <f t="shared" si="658"/>
        <v>0</v>
      </c>
      <c r="M5365" s="285">
        <f t="shared" si="659"/>
        <v>0</v>
      </c>
      <c r="N5365" s="1076"/>
      <c r="O5365" s="294"/>
      <c r="P5365" s="404"/>
      <c r="Q5365" s="404"/>
    </row>
    <row r="5366" spans="1:17" ht="14.4" thickTop="1" thickBot="1" x14ac:dyDescent="0.3">
      <c r="A5366" s="292"/>
      <c r="B5366" s="296"/>
      <c r="C5366" s="294"/>
      <c r="D5366" s="294"/>
      <c r="E5366" s="294"/>
      <c r="F5366" s="310"/>
      <c r="G5366" s="310"/>
      <c r="H5366" s="310"/>
      <c r="I5366" s="295"/>
      <c r="J5366" s="295"/>
      <c r="K5366" s="300">
        <f t="shared" si="657"/>
        <v>1.1000000000000001</v>
      </c>
      <c r="L5366" s="300">
        <f t="shared" si="658"/>
        <v>0</v>
      </c>
      <c r="M5366" s="285">
        <f t="shared" si="659"/>
        <v>0</v>
      </c>
      <c r="N5366" s="1076"/>
      <c r="O5366" s="294"/>
      <c r="P5366" s="404"/>
      <c r="Q5366" s="404"/>
    </row>
    <row r="5367" spans="1:17" ht="14.4" thickTop="1" thickBot="1" x14ac:dyDescent="0.3">
      <c r="A5367" s="292"/>
      <c r="B5367" s="296"/>
      <c r="C5367" s="294"/>
      <c r="D5367" s="294"/>
      <c r="E5367" s="294"/>
      <c r="F5367" s="310"/>
      <c r="G5367" s="310"/>
      <c r="H5367" s="310"/>
      <c r="I5367" s="295"/>
      <c r="J5367" s="295"/>
      <c r="K5367" s="300">
        <f t="shared" si="657"/>
        <v>1.1000000000000001</v>
      </c>
      <c r="L5367" s="300">
        <f t="shared" si="658"/>
        <v>0</v>
      </c>
      <c r="M5367" s="285">
        <f t="shared" si="659"/>
        <v>0</v>
      </c>
      <c r="N5367" s="1076"/>
      <c r="O5367" s="294"/>
      <c r="P5367" s="404"/>
      <c r="Q5367" s="404"/>
    </row>
    <row r="5368" spans="1:17" ht="14.4" thickTop="1" thickBot="1" x14ac:dyDescent="0.3">
      <c r="A5368" s="292"/>
      <c r="B5368" s="296"/>
      <c r="C5368" s="294"/>
      <c r="D5368" s="294"/>
      <c r="E5368" s="294"/>
      <c r="F5368" s="310"/>
      <c r="G5368" s="310"/>
      <c r="H5368" s="310"/>
      <c r="I5368" s="295"/>
      <c r="J5368" s="295"/>
      <c r="K5368" s="300">
        <f t="shared" si="657"/>
        <v>1.1000000000000001</v>
      </c>
      <c r="L5368" s="300">
        <f t="shared" si="658"/>
        <v>0</v>
      </c>
      <c r="M5368" s="285">
        <f t="shared" si="659"/>
        <v>0</v>
      </c>
      <c r="N5368" s="1076"/>
      <c r="O5368" s="294"/>
      <c r="P5368" s="404"/>
      <c r="Q5368" s="404"/>
    </row>
    <row r="5369" spans="1:17" ht="14.4" thickTop="1" thickBot="1" x14ac:dyDescent="0.3">
      <c r="A5369" s="292"/>
      <c r="B5369" s="296"/>
      <c r="C5369" s="294"/>
      <c r="D5369" s="294"/>
      <c r="E5369" s="294"/>
      <c r="F5369" s="310"/>
      <c r="G5369" s="310"/>
      <c r="H5369" s="310"/>
      <c r="I5369" s="295"/>
      <c r="J5369" s="295"/>
      <c r="K5369" s="300">
        <f t="shared" si="657"/>
        <v>1.1000000000000001</v>
      </c>
      <c r="L5369" s="300">
        <f t="shared" si="658"/>
        <v>0</v>
      </c>
      <c r="M5369" s="285">
        <f t="shared" si="659"/>
        <v>0</v>
      </c>
      <c r="N5369" s="1076"/>
      <c r="O5369" s="294"/>
      <c r="P5369" s="404"/>
      <c r="Q5369" s="404"/>
    </row>
    <row r="5370" spans="1:17" ht="14.4" thickTop="1" thickBot="1" x14ac:dyDescent="0.3">
      <c r="A5370" s="292"/>
      <c r="B5370" s="296"/>
      <c r="C5370" s="294"/>
      <c r="D5370" s="294"/>
      <c r="E5370" s="294"/>
      <c r="F5370" s="310"/>
      <c r="G5370" s="310"/>
      <c r="H5370" s="310"/>
      <c r="I5370" s="295"/>
      <c r="J5370" s="295"/>
      <c r="K5370" s="300">
        <f t="shared" si="657"/>
        <v>1.1000000000000001</v>
      </c>
      <c r="L5370" s="300">
        <f t="shared" si="658"/>
        <v>0</v>
      </c>
      <c r="M5370" s="285">
        <f t="shared" si="659"/>
        <v>0</v>
      </c>
      <c r="N5370" s="1076"/>
      <c r="O5370" s="294"/>
      <c r="P5370" s="404"/>
      <c r="Q5370" s="404"/>
    </row>
    <row r="5371" spans="1:17" ht="14.4" thickTop="1" thickBot="1" x14ac:dyDescent="0.3">
      <c r="A5371" s="292"/>
      <c r="B5371" s="296"/>
      <c r="C5371" s="294"/>
      <c r="D5371" s="294"/>
      <c r="E5371" s="294"/>
      <c r="F5371" s="310"/>
      <c r="G5371" s="310"/>
      <c r="H5371" s="310"/>
      <c r="I5371" s="295"/>
      <c r="J5371" s="295"/>
      <c r="K5371" s="300">
        <f t="shared" si="657"/>
        <v>1.1000000000000001</v>
      </c>
      <c r="L5371" s="300">
        <f t="shared" si="658"/>
        <v>0</v>
      </c>
      <c r="M5371" s="285">
        <f t="shared" si="659"/>
        <v>0</v>
      </c>
      <c r="N5371" s="1076"/>
      <c r="O5371" s="294"/>
      <c r="P5371" s="404"/>
      <c r="Q5371" s="404"/>
    </row>
    <row r="5372" spans="1:17" ht="14.4" thickTop="1" thickBot="1" x14ac:dyDescent="0.3">
      <c r="A5372" s="292"/>
      <c r="B5372" s="296"/>
      <c r="C5372" s="294"/>
      <c r="D5372" s="294"/>
      <c r="E5372" s="294"/>
      <c r="F5372" s="310"/>
      <c r="G5372" s="310"/>
      <c r="H5372" s="310"/>
      <c r="I5372" s="295"/>
      <c r="J5372" s="295"/>
      <c r="K5372" s="300">
        <f t="shared" si="657"/>
        <v>1.1000000000000001</v>
      </c>
      <c r="L5372" s="300">
        <f t="shared" si="658"/>
        <v>0</v>
      </c>
      <c r="M5372" s="285">
        <f t="shared" si="659"/>
        <v>0</v>
      </c>
      <c r="N5372" s="1076"/>
      <c r="O5372" s="294"/>
      <c r="P5372" s="404"/>
      <c r="Q5372" s="404"/>
    </row>
    <row r="5373" spans="1:17" ht="14.4" thickTop="1" thickBot="1" x14ac:dyDescent="0.3">
      <c r="A5373" s="292"/>
      <c r="B5373" s="296"/>
      <c r="C5373" s="294"/>
      <c r="D5373" s="294"/>
      <c r="E5373" s="294"/>
      <c r="F5373" s="310"/>
      <c r="G5373" s="310"/>
      <c r="H5373" s="310"/>
      <c r="I5373" s="295"/>
      <c r="J5373" s="295"/>
      <c r="K5373" s="300">
        <f t="shared" si="657"/>
        <v>1.1000000000000001</v>
      </c>
      <c r="L5373" s="300">
        <f t="shared" si="658"/>
        <v>0</v>
      </c>
      <c r="M5373" s="285">
        <f t="shared" si="659"/>
        <v>0</v>
      </c>
      <c r="N5373" s="1076"/>
      <c r="O5373" s="294"/>
      <c r="P5373" s="404"/>
      <c r="Q5373" s="404"/>
    </row>
    <row r="5374" spans="1:17" ht="14.4" thickTop="1" thickBot="1" x14ac:dyDescent="0.3">
      <c r="A5374" s="292"/>
      <c r="B5374" s="296"/>
      <c r="C5374" s="294"/>
      <c r="D5374" s="294"/>
      <c r="E5374" s="294"/>
      <c r="F5374" s="310"/>
      <c r="G5374" s="310"/>
      <c r="H5374" s="310"/>
      <c r="I5374" s="295"/>
      <c r="J5374" s="295"/>
      <c r="K5374" s="300">
        <f t="shared" si="657"/>
        <v>1.1000000000000001</v>
      </c>
      <c r="L5374" s="300">
        <f t="shared" si="658"/>
        <v>0</v>
      </c>
      <c r="M5374" s="285">
        <f t="shared" si="659"/>
        <v>0</v>
      </c>
      <c r="N5374" s="1076"/>
      <c r="O5374" s="294"/>
      <c r="P5374" s="404"/>
      <c r="Q5374" s="404"/>
    </row>
    <row r="5375" spans="1:17" ht="14.4" thickTop="1" thickBot="1" x14ac:dyDescent="0.3">
      <c r="A5375" s="292"/>
      <c r="B5375" s="296"/>
      <c r="C5375" s="294"/>
      <c r="D5375" s="294"/>
      <c r="E5375" s="294"/>
      <c r="F5375" s="310"/>
      <c r="G5375" s="310"/>
      <c r="H5375" s="310"/>
      <c r="I5375" s="295"/>
      <c r="J5375" s="295"/>
      <c r="K5375" s="300">
        <f t="shared" si="657"/>
        <v>1.1000000000000001</v>
      </c>
      <c r="L5375" s="300">
        <f t="shared" si="658"/>
        <v>0</v>
      </c>
      <c r="M5375" s="285">
        <f t="shared" si="659"/>
        <v>0</v>
      </c>
      <c r="N5375" s="1076"/>
      <c r="O5375" s="294"/>
      <c r="P5375" s="404"/>
      <c r="Q5375" s="404"/>
    </row>
    <row r="5376" spans="1:17" ht="14.4" thickTop="1" thickBot="1" x14ac:dyDescent="0.3">
      <c r="A5376" s="292"/>
      <c r="B5376" s="296"/>
      <c r="C5376" s="294"/>
      <c r="D5376" s="294"/>
      <c r="E5376" s="294"/>
      <c r="F5376" s="310"/>
      <c r="G5376" s="310"/>
      <c r="H5376" s="310"/>
      <c r="I5376" s="295"/>
      <c r="J5376" s="295"/>
      <c r="K5376" s="300">
        <f t="shared" si="657"/>
        <v>1.1000000000000001</v>
      </c>
      <c r="L5376" s="300">
        <f t="shared" si="658"/>
        <v>0</v>
      </c>
      <c r="M5376" s="285">
        <f t="shared" si="659"/>
        <v>0</v>
      </c>
      <c r="N5376" s="1076"/>
      <c r="O5376" s="294"/>
      <c r="P5376" s="404"/>
      <c r="Q5376" s="404"/>
    </row>
    <row r="5377" spans="1:17" ht="14.4" thickTop="1" thickBot="1" x14ac:dyDescent="0.3">
      <c r="A5377" s="292"/>
      <c r="B5377" s="296"/>
      <c r="C5377" s="294"/>
      <c r="D5377" s="294"/>
      <c r="E5377" s="294"/>
      <c r="F5377" s="310"/>
      <c r="G5377" s="310"/>
      <c r="H5377" s="310"/>
      <c r="I5377" s="295"/>
      <c r="J5377" s="295"/>
      <c r="K5377" s="300">
        <f t="shared" si="657"/>
        <v>1.1000000000000001</v>
      </c>
      <c r="L5377" s="300">
        <f t="shared" si="658"/>
        <v>0</v>
      </c>
      <c r="M5377" s="285">
        <f t="shared" si="659"/>
        <v>0</v>
      </c>
      <c r="N5377" s="1076"/>
      <c r="O5377" s="294"/>
      <c r="P5377" s="404"/>
      <c r="Q5377" s="404"/>
    </row>
    <row r="5378" spans="1:17" ht="14.4" thickTop="1" thickBot="1" x14ac:dyDescent="0.3">
      <c r="A5378" s="292"/>
      <c r="B5378" s="296"/>
      <c r="C5378" s="294"/>
      <c r="D5378" s="294"/>
      <c r="E5378" s="294"/>
      <c r="F5378" s="310"/>
      <c r="G5378" s="310"/>
      <c r="H5378" s="310"/>
      <c r="I5378" s="295"/>
      <c r="J5378" s="295"/>
      <c r="K5378" s="300">
        <f t="shared" si="657"/>
        <v>1.1000000000000001</v>
      </c>
      <c r="L5378" s="300">
        <f t="shared" si="658"/>
        <v>0</v>
      </c>
      <c r="M5378" s="285">
        <f t="shared" si="659"/>
        <v>0</v>
      </c>
      <c r="N5378" s="1076"/>
      <c r="O5378" s="294"/>
      <c r="P5378" s="404"/>
      <c r="Q5378" s="404"/>
    </row>
    <row r="5379" spans="1:17" ht="14.4" thickTop="1" thickBot="1" x14ac:dyDescent="0.3">
      <c r="A5379" s="292"/>
      <c r="B5379" s="296"/>
      <c r="C5379" s="294"/>
      <c r="D5379" s="294"/>
      <c r="E5379" s="294"/>
      <c r="F5379" s="310"/>
      <c r="G5379" s="310"/>
      <c r="H5379" s="310"/>
      <c r="I5379" s="295"/>
      <c r="J5379" s="295"/>
      <c r="K5379" s="300">
        <f t="shared" si="657"/>
        <v>1.1000000000000001</v>
      </c>
      <c r="L5379" s="300">
        <f t="shared" si="658"/>
        <v>0</v>
      </c>
      <c r="M5379" s="285">
        <f t="shared" si="659"/>
        <v>0</v>
      </c>
      <c r="N5379" s="1076"/>
      <c r="O5379" s="294"/>
      <c r="P5379" s="404"/>
      <c r="Q5379" s="404"/>
    </row>
    <row r="5380" spans="1:17" ht="14.4" thickTop="1" thickBot="1" x14ac:dyDescent="0.3">
      <c r="A5380" s="292"/>
      <c r="B5380" s="296"/>
      <c r="C5380" s="294"/>
      <c r="D5380" s="294"/>
      <c r="E5380" s="294"/>
      <c r="F5380" s="310"/>
      <c r="G5380" s="310"/>
      <c r="H5380" s="310"/>
      <c r="I5380" s="295"/>
      <c r="J5380" s="295"/>
      <c r="K5380" s="300">
        <f t="shared" si="657"/>
        <v>1.1000000000000001</v>
      </c>
      <c r="L5380" s="300">
        <f t="shared" si="658"/>
        <v>0</v>
      </c>
      <c r="M5380" s="285">
        <f t="shared" si="659"/>
        <v>0</v>
      </c>
      <c r="N5380" s="1076"/>
      <c r="O5380" s="294"/>
      <c r="P5380" s="404"/>
      <c r="Q5380" s="404"/>
    </row>
    <row r="5381" spans="1:17" ht="14.4" thickTop="1" thickBot="1" x14ac:dyDescent="0.3">
      <c r="A5381" s="292"/>
      <c r="B5381" s="296"/>
      <c r="C5381" s="294"/>
      <c r="D5381" s="294"/>
      <c r="E5381" s="294"/>
      <c r="F5381" s="310"/>
      <c r="G5381" s="310"/>
      <c r="H5381" s="310"/>
      <c r="I5381" s="295"/>
      <c r="J5381" s="295"/>
      <c r="K5381" s="300">
        <f t="shared" si="657"/>
        <v>1.1000000000000001</v>
      </c>
      <c r="L5381" s="300">
        <f t="shared" si="658"/>
        <v>0</v>
      </c>
      <c r="M5381" s="285">
        <f t="shared" si="659"/>
        <v>0</v>
      </c>
      <c r="N5381" s="1076"/>
      <c r="O5381" s="294"/>
      <c r="P5381" s="404"/>
      <c r="Q5381" s="404"/>
    </row>
    <row r="5382" spans="1:17" ht="14.4" thickTop="1" thickBot="1" x14ac:dyDescent="0.3">
      <c r="A5382" s="292"/>
      <c r="B5382" s="296"/>
      <c r="C5382" s="294"/>
      <c r="D5382" s="294"/>
      <c r="E5382" s="294"/>
      <c r="F5382" s="310"/>
      <c r="G5382" s="310"/>
      <c r="H5382" s="310"/>
      <c r="I5382" s="295"/>
      <c r="J5382" s="295"/>
      <c r="K5382" s="300">
        <f t="shared" si="657"/>
        <v>1.1000000000000001</v>
      </c>
      <c r="L5382" s="300">
        <f t="shared" si="658"/>
        <v>0</v>
      </c>
      <c r="M5382" s="285">
        <f t="shared" si="659"/>
        <v>0</v>
      </c>
      <c r="N5382" s="1076"/>
      <c r="O5382" s="294"/>
      <c r="P5382" s="404"/>
      <c r="Q5382" s="404"/>
    </row>
    <row r="5383" spans="1:17" ht="14.4" thickTop="1" thickBot="1" x14ac:dyDescent="0.3">
      <c r="A5383" s="292"/>
      <c r="B5383" s="296"/>
      <c r="C5383" s="294"/>
      <c r="D5383" s="294"/>
      <c r="E5383" s="294"/>
      <c r="F5383" s="310"/>
      <c r="G5383" s="310"/>
      <c r="H5383" s="310"/>
      <c r="I5383" s="295"/>
      <c r="J5383" s="295"/>
      <c r="K5383" s="300">
        <f t="shared" si="657"/>
        <v>1.1000000000000001</v>
      </c>
      <c r="L5383" s="300">
        <f t="shared" si="658"/>
        <v>0</v>
      </c>
      <c r="M5383" s="285">
        <f t="shared" si="659"/>
        <v>0</v>
      </c>
      <c r="N5383" s="1076"/>
      <c r="O5383" s="294"/>
      <c r="P5383" s="404"/>
      <c r="Q5383" s="404"/>
    </row>
    <row r="5384" spans="1:17" ht="14.4" thickTop="1" thickBot="1" x14ac:dyDescent="0.3">
      <c r="A5384" s="292"/>
      <c r="B5384" s="296"/>
      <c r="C5384" s="294"/>
      <c r="D5384" s="294"/>
      <c r="E5384" s="294"/>
      <c r="F5384" s="310"/>
      <c r="G5384" s="310"/>
      <c r="H5384" s="310"/>
      <c r="I5384" s="295"/>
      <c r="J5384" s="295"/>
      <c r="K5384" s="300">
        <f t="shared" si="657"/>
        <v>1.1000000000000001</v>
      </c>
      <c r="L5384" s="300">
        <f t="shared" si="658"/>
        <v>0</v>
      </c>
      <c r="M5384" s="285">
        <f t="shared" si="659"/>
        <v>0</v>
      </c>
      <c r="N5384" s="1076"/>
      <c r="O5384" s="294"/>
      <c r="P5384" s="404"/>
      <c r="Q5384" s="404"/>
    </row>
    <row r="5385" spans="1:17" ht="14.4" thickTop="1" thickBot="1" x14ac:dyDescent="0.3">
      <c r="A5385" s="292"/>
      <c r="B5385" s="296"/>
      <c r="C5385" s="294"/>
      <c r="D5385" s="294"/>
      <c r="E5385" s="294"/>
      <c r="F5385" s="310"/>
      <c r="G5385" s="310"/>
      <c r="H5385" s="310"/>
      <c r="I5385" s="295"/>
      <c r="J5385" s="295"/>
      <c r="K5385" s="300">
        <f t="shared" si="657"/>
        <v>1.1000000000000001</v>
      </c>
      <c r="L5385" s="300">
        <f t="shared" si="658"/>
        <v>0</v>
      </c>
      <c r="M5385" s="285">
        <f t="shared" si="659"/>
        <v>0</v>
      </c>
      <c r="N5385" s="1076"/>
      <c r="O5385" s="294"/>
      <c r="P5385" s="404"/>
      <c r="Q5385" s="404"/>
    </row>
    <row r="5386" spans="1:17" ht="14.4" thickTop="1" thickBot="1" x14ac:dyDescent="0.3">
      <c r="A5386" s="292"/>
      <c r="B5386" s="296"/>
      <c r="C5386" s="294"/>
      <c r="D5386" s="294"/>
      <c r="E5386" s="294"/>
      <c r="F5386" s="310"/>
      <c r="G5386" s="310"/>
      <c r="H5386" s="310"/>
      <c r="I5386" s="295"/>
      <c r="J5386" s="295"/>
      <c r="K5386" s="300">
        <f t="shared" si="657"/>
        <v>1.1000000000000001</v>
      </c>
      <c r="L5386" s="300">
        <f t="shared" si="658"/>
        <v>0</v>
      </c>
      <c r="M5386" s="285">
        <f t="shared" si="659"/>
        <v>0</v>
      </c>
      <c r="N5386" s="1076"/>
      <c r="O5386" s="294"/>
      <c r="P5386" s="404"/>
      <c r="Q5386" s="404"/>
    </row>
    <row r="5387" spans="1:17" ht="14.4" thickTop="1" thickBot="1" x14ac:dyDescent="0.3">
      <c r="A5387" s="292"/>
      <c r="B5387" s="296"/>
      <c r="C5387" s="294"/>
      <c r="D5387" s="294"/>
      <c r="E5387" s="294"/>
      <c r="F5387" s="310"/>
      <c r="G5387" s="310"/>
      <c r="H5387" s="310"/>
      <c r="I5387" s="295"/>
      <c r="J5387" s="295"/>
      <c r="K5387" s="300">
        <f t="shared" si="657"/>
        <v>1.1000000000000001</v>
      </c>
      <c r="L5387" s="300">
        <f t="shared" si="658"/>
        <v>0</v>
      </c>
      <c r="M5387" s="285">
        <f t="shared" si="659"/>
        <v>0</v>
      </c>
      <c r="N5387" s="1076"/>
      <c r="O5387" s="294"/>
      <c r="P5387" s="404"/>
      <c r="Q5387" s="404"/>
    </row>
    <row r="5388" spans="1:17" ht="14.4" thickTop="1" thickBot="1" x14ac:dyDescent="0.3">
      <c r="A5388" s="292"/>
      <c r="B5388" s="296"/>
      <c r="C5388" s="294"/>
      <c r="D5388" s="294"/>
      <c r="E5388" s="294"/>
      <c r="F5388" s="310"/>
      <c r="G5388" s="310"/>
      <c r="H5388" s="310"/>
      <c r="I5388" s="295"/>
      <c r="J5388" s="295"/>
      <c r="K5388" s="300">
        <f t="shared" si="657"/>
        <v>1.1000000000000001</v>
      </c>
      <c r="L5388" s="300">
        <f t="shared" si="658"/>
        <v>0</v>
      </c>
      <c r="M5388" s="285">
        <f t="shared" si="659"/>
        <v>0</v>
      </c>
      <c r="N5388" s="1076"/>
      <c r="O5388" s="294"/>
      <c r="P5388" s="404"/>
      <c r="Q5388" s="404"/>
    </row>
    <row r="5389" spans="1:17" ht="14.4" thickTop="1" thickBot="1" x14ac:dyDescent="0.3">
      <c r="A5389" s="292"/>
      <c r="B5389" s="296"/>
      <c r="C5389" s="294"/>
      <c r="D5389" s="294"/>
      <c r="E5389" s="294"/>
      <c r="F5389" s="310"/>
      <c r="G5389" s="310"/>
      <c r="H5389" s="310"/>
      <c r="I5389" s="295"/>
      <c r="J5389" s="295"/>
      <c r="K5389" s="300">
        <f t="shared" si="657"/>
        <v>1.1000000000000001</v>
      </c>
      <c r="L5389" s="300">
        <f t="shared" si="658"/>
        <v>0</v>
      </c>
      <c r="M5389" s="285">
        <f t="shared" si="659"/>
        <v>0</v>
      </c>
      <c r="N5389" s="1076"/>
      <c r="O5389" s="294"/>
      <c r="P5389" s="404"/>
      <c r="Q5389" s="404"/>
    </row>
    <row r="5390" spans="1:17" ht="14.4" thickTop="1" thickBot="1" x14ac:dyDescent="0.3">
      <c r="A5390" s="292"/>
      <c r="B5390" s="296"/>
      <c r="C5390" s="294"/>
      <c r="D5390" s="294"/>
      <c r="E5390" s="294"/>
      <c r="F5390" s="310"/>
      <c r="G5390" s="310"/>
      <c r="H5390" s="310"/>
      <c r="I5390" s="295"/>
      <c r="J5390" s="295"/>
      <c r="K5390" s="300">
        <f t="shared" si="657"/>
        <v>1.1000000000000001</v>
      </c>
      <c r="L5390" s="300">
        <f t="shared" si="658"/>
        <v>0</v>
      </c>
      <c r="M5390" s="285">
        <f t="shared" si="659"/>
        <v>0</v>
      </c>
      <c r="N5390" s="1076"/>
      <c r="O5390" s="294"/>
      <c r="P5390" s="404"/>
      <c r="Q5390" s="404"/>
    </row>
    <row r="5391" spans="1:17" ht="14.4" thickTop="1" thickBot="1" x14ac:dyDescent="0.3">
      <c r="A5391" s="292"/>
      <c r="B5391" s="296"/>
      <c r="C5391" s="294"/>
      <c r="D5391" s="294"/>
      <c r="E5391" s="294"/>
      <c r="F5391" s="310"/>
      <c r="G5391" s="310"/>
      <c r="H5391" s="310"/>
      <c r="I5391" s="295"/>
      <c r="J5391" s="295"/>
      <c r="K5391" s="300">
        <f t="shared" si="657"/>
        <v>1.1000000000000001</v>
      </c>
      <c r="L5391" s="300">
        <f t="shared" si="658"/>
        <v>0</v>
      </c>
      <c r="M5391" s="285">
        <f t="shared" si="659"/>
        <v>0</v>
      </c>
      <c r="N5391" s="1076"/>
      <c r="O5391" s="294"/>
      <c r="P5391" s="404"/>
      <c r="Q5391" s="404"/>
    </row>
    <row r="5392" spans="1:17" ht="14.4" thickTop="1" thickBot="1" x14ac:dyDescent="0.3">
      <c r="A5392" s="292"/>
      <c r="B5392" s="296"/>
      <c r="C5392" s="294"/>
      <c r="D5392" s="294"/>
      <c r="E5392" s="294"/>
      <c r="F5392" s="310"/>
      <c r="G5392" s="310"/>
      <c r="H5392" s="310"/>
      <c r="I5392" s="295"/>
      <c r="J5392" s="295"/>
      <c r="K5392" s="300">
        <f t="shared" si="657"/>
        <v>1.1000000000000001</v>
      </c>
      <c r="L5392" s="300">
        <f t="shared" si="658"/>
        <v>0</v>
      </c>
      <c r="M5392" s="285">
        <f t="shared" si="659"/>
        <v>0</v>
      </c>
      <c r="N5392" s="1076"/>
      <c r="O5392" s="294"/>
      <c r="P5392" s="404"/>
      <c r="Q5392" s="404"/>
    </row>
    <row r="5393" spans="1:17" ht="14.4" thickTop="1" thickBot="1" x14ac:dyDescent="0.3">
      <c r="A5393" s="292"/>
      <c r="B5393" s="296"/>
      <c r="C5393" s="294"/>
      <c r="D5393" s="294"/>
      <c r="E5393" s="294"/>
      <c r="F5393" s="310"/>
      <c r="G5393" s="310"/>
      <c r="H5393" s="310"/>
      <c r="I5393" s="295"/>
      <c r="J5393" s="295"/>
      <c r="K5393" s="300">
        <f t="shared" si="657"/>
        <v>1.1000000000000001</v>
      </c>
      <c r="L5393" s="300">
        <f t="shared" si="658"/>
        <v>0</v>
      </c>
      <c r="M5393" s="285">
        <f t="shared" si="659"/>
        <v>0</v>
      </c>
      <c r="N5393" s="1076"/>
      <c r="O5393" s="294"/>
      <c r="P5393" s="404"/>
      <c r="Q5393" s="404"/>
    </row>
    <row r="5394" spans="1:17" ht="14.4" thickTop="1" thickBot="1" x14ac:dyDescent="0.3">
      <c r="A5394" s="292"/>
      <c r="B5394" s="296"/>
      <c r="C5394" s="294"/>
      <c r="D5394" s="294"/>
      <c r="E5394" s="294"/>
      <c r="F5394" s="310"/>
      <c r="G5394" s="310"/>
      <c r="H5394" s="310"/>
      <c r="I5394" s="295"/>
      <c r="J5394" s="295"/>
      <c r="K5394" s="300">
        <f t="shared" si="657"/>
        <v>1.1000000000000001</v>
      </c>
      <c r="L5394" s="300">
        <f t="shared" si="658"/>
        <v>0</v>
      </c>
      <c r="M5394" s="285">
        <f t="shared" si="659"/>
        <v>0</v>
      </c>
      <c r="N5394" s="1076"/>
      <c r="O5394" s="294"/>
      <c r="P5394" s="404"/>
      <c r="Q5394" s="404"/>
    </row>
    <row r="5395" spans="1:17" ht="14.4" thickTop="1" thickBot="1" x14ac:dyDescent="0.3">
      <c r="A5395" s="292"/>
      <c r="B5395" s="296"/>
      <c r="C5395" s="294"/>
      <c r="D5395" s="294"/>
      <c r="E5395" s="294"/>
      <c r="F5395" s="310"/>
      <c r="G5395" s="310"/>
      <c r="H5395" s="310"/>
      <c r="I5395" s="295"/>
      <c r="J5395" s="295"/>
      <c r="K5395" s="300">
        <f t="shared" si="657"/>
        <v>1.1000000000000001</v>
      </c>
      <c r="L5395" s="300">
        <f t="shared" si="658"/>
        <v>0</v>
      </c>
      <c r="M5395" s="285">
        <f t="shared" si="659"/>
        <v>0</v>
      </c>
      <c r="N5395" s="1076"/>
      <c r="O5395" s="294"/>
      <c r="P5395" s="404"/>
      <c r="Q5395" s="404"/>
    </row>
    <row r="5396" spans="1:17" ht="14.4" thickTop="1" thickBot="1" x14ac:dyDescent="0.3">
      <c r="A5396" s="292"/>
      <c r="B5396" s="296"/>
      <c r="C5396" s="294"/>
      <c r="D5396" s="294"/>
      <c r="E5396" s="294"/>
      <c r="F5396" s="310"/>
      <c r="G5396" s="310"/>
      <c r="H5396" s="310"/>
      <c r="I5396" s="295"/>
      <c r="J5396" s="295"/>
      <c r="K5396" s="300">
        <f t="shared" ref="K5396:K5459" si="660">$K$2</f>
        <v>1.1000000000000001</v>
      </c>
      <c r="L5396" s="300">
        <f t="shared" si="658"/>
        <v>0</v>
      </c>
      <c r="M5396" s="285">
        <f t="shared" si="659"/>
        <v>0</v>
      </c>
      <c r="N5396" s="1076"/>
      <c r="O5396" s="294"/>
      <c r="P5396" s="404"/>
      <c r="Q5396" s="404"/>
    </row>
    <row r="5397" spans="1:17" ht="14.4" thickTop="1" thickBot="1" x14ac:dyDescent="0.3">
      <c r="A5397" s="292"/>
      <c r="B5397" s="296"/>
      <c r="C5397" s="294"/>
      <c r="D5397" s="294"/>
      <c r="E5397" s="294"/>
      <c r="F5397" s="310"/>
      <c r="G5397" s="310"/>
      <c r="H5397" s="310"/>
      <c r="I5397" s="295"/>
      <c r="J5397" s="295"/>
      <c r="K5397" s="300">
        <f t="shared" si="660"/>
        <v>1.1000000000000001</v>
      </c>
      <c r="L5397" s="300">
        <f t="shared" si="658"/>
        <v>0</v>
      </c>
      <c r="M5397" s="285">
        <f t="shared" si="659"/>
        <v>0</v>
      </c>
      <c r="N5397" s="1076"/>
      <c r="O5397" s="294"/>
      <c r="P5397" s="404"/>
      <c r="Q5397" s="404"/>
    </row>
    <row r="5398" spans="1:17" ht="14.4" thickTop="1" thickBot="1" x14ac:dyDescent="0.3">
      <c r="A5398" s="292"/>
      <c r="B5398" s="296"/>
      <c r="C5398" s="294"/>
      <c r="D5398" s="294"/>
      <c r="E5398" s="294"/>
      <c r="F5398" s="310"/>
      <c r="G5398" s="310"/>
      <c r="H5398" s="310"/>
      <c r="I5398" s="295"/>
      <c r="J5398" s="295"/>
      <c r="K5398" s="300">
        <f t="shared" si="660"/>
        <v>1.1000000000000001</v>
      </c>
      <c r="L5398" s="300">
        <f t="shared" si="658"/>
        <v>0</v>
      </c>
      <c r="M5398" s="285">
        <f t="shared" si="659"/>
        <v>0</v>
      </c>
      <c r="N5398" s="1076"/>
      <c r="O5398" s="294"/>
      <c r="P5398" s="404"/>
      <c r="Q5398" s="404"/>
    </row>
    <row r="5399" spans="1:17" ht="14.4" thickTop="1" thickBot="1" x14ac:dyDescent="0.3">
      <c r="A5399" s="292"/>
      <c r="B5399" s="296"/>
      <c r="C5399" s="294"/>
      <c r="D5399" s="294"/>
      <c r="E5399" s="294"/>
      <c r="F5399" s="310"/>
      <c r="G5399" s="310"/>
      <c r="H5399" s="310"/>
      <c r="I5399" s="295"/>
      <c r="J5399" s="295"/>
      <c r="K5399" s="300">
        <f t="shared" si="660"/>
        <v>1.1000000000000001</v>
      </c>
      <c r="L5399" s="300">
        <f t="shared" si="658"/>
        <v>0</v>
      </c>
      <c r="M5399" s="285">
        <f t="shared" si="659"/>
        <v>0</v>
      </c>
      <c r="N5399" s="1076"/>
      <c r="O5399" s="294"/>
      <c r="P5399" s="404"/>
      <c r="Q5399" s="404"/>
    </row>
    <row r="5400" spans="1:17" ht="14.4" thickTop="1" thickBot="1" x14ac:dyDescent="0.3">
      <c r="A5400" s="292"/>
      <c r="B5400" s="296"/>
      <c r="C5400" s="294"/>
      <c r="D5400" s="294"/>
      <c r="E5400" s="294"/>
      <c r="F5400" s="310"/>
      <c r="G5400" s="310"/>
      <c r="H5400" s="310"/>
      <c r="I5400" s="295"/>
      <c r="J5400" s="295"/>
      <c r="K5400" s="300">
        <f t="shared" si="660"/>
        <v>1.1000000000000001</v>
      </c>
      <c r="L5400" s="300">
        <f t="shared" si="658"/>
        <v>0</v>
      </c>
      <c r="M5400" s="285">
        <f t="shared" si="659"/>
        <v>0</v>
      </c>
      <c r="N5400" s="1076"/>
      <c r="O5400" s="294"/>
      <c r="P5400" s="404"/>
      <c r="Q5400" s="404"/>
    </row>
    <row r="5401" spans="1:17" ht="14.4" thickTop="1" thickBot="1" x14ac:dyDescent="0.3">
      <c r="A5401" s="292"/>
      <c r="B5401" s="296"/>
      <c r="C5401" s="294"/>
      <c r="D5401" s="294"/>
      <c r="E5401" s="294"/>
      <c r="F5401" s="310"/>
      <c r="G5401" s="310"/>
      <c r="H5401" s="310"/>
      <c r="I5401" s="295"/>
      <c r="J5401" s="295"/>
      <c r="K5401" s="300">
        <f t="shared" si="660"/>
        <v>1.1000000000000001</v>
      </c>
      <c r="L5401" s="300">
        <f t="shared" si="658"/>
        <v>0</v>
      </c>
      <c r="M5401" s="285">
        <f t="shared" si="659"/>
        <v>0</v>
      </c>
      <c r="N5401" s="1076"/>
      <c r="O5401" s="294"/>
      <c r="P5401" s="404"/>
      <c r="Q5401" s="404"/>
    </row>
    <row r="5402" spans="1:17" ht="14.4" thickTop="1" thickBot="1" x14ac:dyDescent="0.3">
      <c r="A5402" s="292"/>
      <c r="B5402" s="296"/>
      <c r="C5402" s="294"/>
      <c r="D5402" s="294"/>
      <c r="E5402" s="294"/>
      <c r="F5402" s="310"/>
      <c r="G5402" s="310"/>
      <c r="H5402" s="310"/>
      <c r="I5402" s="295"/>
      <c r="J5402" s="295"/>
      <c r="K5402" s="300">
        <f t="shared" si="660"/>
        <v>1.1000000000000001</v>
      </c>
      <c r="L5402" s="300">
        <f t="shared" si="658"/>
        <v>0</v>
      </c>
      <c r="M5402" s="285">
        <f t="shared" si="659"/>
        <v>0</v>
      </c>
      <c r="N5402" s="1076"/>
      <c r="O5402" s="294"/>
      <c r="P5402" s="404"/>
      <c r="Q5402" s="404"/>
    </row>
    <row r="5403" spans="1:17" ht="14.4" thickTop="1" thickBot="1" x14ac:dyDescent="0.3">
      <c r="A5403" s="292"/>
      <c r="B5403" s="296"/>
      <c r="C5403" s="294"/>
      <c r="D5403" s="294"/>
      <c r="E5403" s="294"/>
      <c r="F5403" s="310"/>
      <c r="G5403" s="310"/>
      <c r="H5403" s="310"/>
      <c r="I5403" s="295"/>
      <c r="J5403" s="295"/>
      <c r="K5403" s="300">
        <f t="shared" si="660"/>
        <v>1.1000000000000001</v>
      </c>
      <c r="L5403" s="300">
        <f t="shared" si="658"/>
        <v>0</v>
      </c>
      <c r="M5403" s="285">
        <f t="shared" si="659"/>
        <v>0</v>
      </c>
      <c r="N5403" s="1076"/>
      <c r="O5403" s="294"/>
      <c r="P5403" s="404"/>
      <c r="Q5403" s="404"/>
    </row>
    <row r="5404" spans="1:17" ht="14.4" thickTop="1" thickBot="1" x14ac:dyDescent="0.3">
      <c r="A5404" s="292"/>
      <c r="B5404" s="296"/>
      <c r="C5404" s="294"/>
      <c r="D5404" s="294"/>
      <c r="E5404" s="294"/>
      <c r="F5404" s="310"/>
      <c r="G5404" s="310"/>
      <c r="H5404" s="310"/>
      <c r="I5404" s="295"/>
      <c r="J5404" s="295"/>
      <c r="K5404" s="300">
        <f t="shared" si="660"/>
        <v>1.1000000000000001</v>
      </c>
      <c r="L5404" s="300">
        <f t="shared" si="658"/>
        <v>0</v>
      </c>
      <c r="M5404" s="285">
        <f t="shared" si="659"/>
        <v>0</v>
      </c>
      <c r="N5404" s="1076"/>
      <c r="O5404" s="294"/>
      <c r="P5404" s="404"/>
      <c r="Q5404" s="404"/>
    </row>
    <row r="5405" spans="1:17" ht="14.4" thickTop="1" thickBot="1" x14ac:dyDescent="0.3">
      <c r="A5405" s="292"/>
      <c r="B5405" s="296"/>
      <c r="C5405" s="294"/>
      <c r="D5405" s="294"/>
      <c r="E5405" s="294"/>
      <c r="F5405" s="310"/>
      <c r="G5405" s="310"/>
      <c r="H5405" s="310"/>
      <c r="I5405" s="295"/>
      <c r="J5405" s="295"/>
      <c r="K5405" s="300">
        <f t="shared" si="660"/>
        <v>1.1000000000000001</v>
      </c>
      <c r="L5405" s="300">
        <f t="shared" si="658"/>
        <v>0</v>
      </c>
      <c r="M5405" s="285">
        <f t="shared" si="659"/>
        <v>0</v>
      </c>
      <c r="N5405" s="1076"/>
      <c r="O5405" s="294"/>
      <c r="P5405" s="404"/>
      <c r="Q5405" s="404"/>
    </row>
    <row r="5406" spans="1:17" ht="14.4" thickTop="1" thickBot="1" x14ac:dyDescent="0.3">
      <c r="A5406" s="292"/>
      <c r="B5406" s="296"/>
      <c r="C5406" s="294"/>
      <c r="D5406" s="294"/>
      <c r="E5406" s="294"/>
      <c r="F5406" s="310"/>
      <c r="G5406" s="310"/>
      <c r="H5406" s="310"/>
      <c r="I5406" s="295"/>
      <c r="J5406" s="295"/>
      <c r="K5406" s="300">
        <f t="shared" si="660"/>
        <v>1.1000000000000001</v>
      </c>
      <c r="L5406" s="300">
        <f t="shared" si="658"/>
        <v>0</v>
      </c>
      <c r="M5406" s="285">
        <f t="shared" si="659"/>
        <v>0</v>
      </c>
      <c r="N5406" s="1076"/>
      <c r="O5406" s="294"/>
      <c r="P5406" s="404"/>
      <c r="Q5406" s="404"/>
    </row>
    <row r="5407" spans="1:17" ht="14.4" thickTop="1" thickBot="1" x14ac:dyDescent="0.3">
      <c r="A5407" s="292"/>
      <c r="B5407" s="296"/>
      <c r="C5407" s="294"/>
      <c r="D5407" s="294"/>
      <c r="E5407" s="294"/>
      <c r="F5407" s="310"/>
      <c r="G5407" s="310"/>
      <c r="H5407" s="310"/>
      <c r="I5407" s="295"/>
      <c r="J5407" s="295"/>
      <c r="K5407" s="300">
        <f t="shared" si="660"/>
        <v>1.1000000000000001</v>
      </c>
      <c r="L5407" s="300">
        <f t="shared" si="658"/>
        <v>0</v>
      </c>
      <c r="M5407" s="285">
        <f t="shared" si="659"/>
        <v>0</v>
      </c>
      <c r="N5407" s="1076"/>
      <c r="O5407" s="294"/>
      <c r="P5407" s="404"/>
      <c r="Q5407" s="404"/>
    </row>
    <row r="5408" spans="1:17" ht="14.4" thickTop="1" thickBot="1" x14ac:dyDescent="0.3">
      <c r="A5408" s="292"/>
      <c r="B5408" s="296"/>
      <c r="C5408" s="294"/>
      <c r="D5408" s="294"/>
      <c r="E5408" s="294"/>
      <c r="F5408" s="310"/>
      <c r="G5408" s="310"/>
      <c r="H5408" s="310"/>
      <c r="I5408" s="295"/>
      <c r="J5408" s="295"/>
      <c r="K5408" s="300">
        <f t="shared" si="660"/>
        <v>1.1000000000000001</v>
      </c>
      <c r="L5408" s="300">
        <f t="shared" si="658"/>
        <v>0</v>
      </c>
      <c r="M5408" s="285">
        <f t="shared" si="659"/>
        <v>0</v>
      </c>
      <c r="N5408" s="1076"/>
      <c r="O5408" s="294"/>
      <c r="P5408" s="404"/>
      <c r="Q5408" s="404"/>
    </row>
    <row r="5409" spans="1:17" ht="14.4" thickTop="1" thickBot="1" x14ac:dyDescent="0.3">
      <c r="A5409" s="292"/>
      <c r="B5409" s="296"/>
      <c r="C5409" s="294"/>
      <c r="D5409" s="294"/>
      <c r="E5409" s="294"/>
      <c r="F5409" s="310"/>
      <c r="G5409" s="310"/>
      <c r="H5409" s="310"/>
      <c r="I5409" s="295"/>
      <c r="J5409" s="295"/>
      <c r="K5409" s="300">
        <f t="shared" si="660"/>
        <v>1.1000000000000001</v>
      </c>
      <c r="L5409" s="300">
        <f t="shared" si="658"/>
        <v>0</v>
      </c>
      <c r="M5409" s="285">
        <f t="shared" si="659"/>
        <v>0</v>
      </c>
      <c r="N5409" s="1076"/>
      <c r="O5409" s="294"/>
      <c r="P5409" s="404"/>
      <c r="Q5409" s="404"/>
    </row>
    <row r="5410" spans="1:17" ht="14.4" thickTop="1" thickBot="1" x14ac:dyDescent="0.3">
      <c r="A5410" s="292"/>
      <c r="B5410" s="296"/>
      <c r="C5410" s="294"/>
      <c r="D5410" s="294"/>
      <c r="E5410" s="294"/>
      <c r="F5410" s="310"/>
      <c r="G5410" s="310"/>
      <c r="H5410" s="310"/>
      <c r="I5410" s="295"/>
      <c r="J5410" s="295"/>
      <c r="K5410" s="300">
        <f t="shared" si="660"/>
        <v>1.1000000000000001</v>
      </c>
      <c r="L5410" s="300">
        <f t="shared" si="658"/>
        <v>0</v>
      </c>
      <c r="M5410" s="285">
        <f t="shared" si="659"/>
        <v>0</v>
      </c>
      <c r="N5410" s="1076"/>
      <c r="O5410" s="294"/>
      <c r="P5410" s="404"/>
      <c r="Q5410" s="404"/>
    </row>
    <row r="5411" spans="1:17" ht="14.4" thickTop="1" thickBot="1" x14ac:dyDescent="0.3">
      <c r="A5411" s="292"/>
      <c r="B5411" s="296"/>
      <c r="C5411" s="294"/>
      <c r="D5411" s="294"/>
      <c r="E5411" s="294"/>
      <c r="F5411" s="310"/>
      <c r="G5411" s="310"/>
      <c r="H5411" s="310"/>
      <c r="I5411" s="295"/>
      <c r="J5411" s="295"/>
      <c r="K5411" s="300">
        <f t="shared" si="660"/>
        <v>1.1000000000000001</v>
      </c>
      <c r="L5411" s="300">
        <f t="shared" si="658"/>
        <v>0</v>
      </c>
      <c r="M5411" s="285">
        <f t="shared" si="659"/>
        <v>0</v>
      </c>
      <c r="N5411" s="1076"/>
      <c r="O5411" s="294"/>
      <c r="P5411" s="404"/>
      <c r="Q5411" s="404"/>
    </row>
    <row r="5412" spans="1:17" ht="14.4" thickTop="1" thickBot="1" x14ac:dyDescent="0.3">
      <c r="A5412" s="292"/>
      <c r="B5412" s="296"/>
      <c r="C5412" s="294"/>
      <c r="D5412" s="294"/>
      <c r="E5412" s="294"/>
      <c r="F5412" s="310"/>
      <c r="G5412" s="310"/>
      <c r="H5412" s="310"/>
      <c r="I5412" s="295"/>
      <c r="J5412" s="295"/>
      <c r="K5412" s="300">
        <f t="shared" si="660"/>
        <v>1.1000000000000001</v>
      </c>
      <c r="L5412" s="300">
        <f t="shared" si="658"/>
        <v>0</v>
      </c>
      <c r="M5412" s="285">
        <f t="shared" si="659"/>
        <v>0</v>
      </c>
      <c r="N5412" s="1076"/>
      <c r="O5412" s="294"/>
      <c r="P5412" s="404"/>
      <c r="Q5412" s="404"/>
    </row>
    <row r="5413" spans="1:17" ht="14.4" thickTop="1" thickBot="1" x14ac:dyDescent="0.3">
      <c r="A5413" s="292"/>
      <c r="B5413" s="296"/>
      <c r="C5413" s="294"/>
      <c r="D5413" s="294"/>
      <c r="E5413" s="294"/>
      <c r="F5413" s="310"/>
      <c r="G5413" s="310"/>
      <c r="H5413" s="310"/>
      <c r="I5413" s="295"/>
      <c r="J5413" s="295"/>
      <c r="K5413" s="300">
        <f t="shared" si="660"/>
        <v>1.1000000000000001</v>
      </c>
      <c r="L5413" s="300">
        <f t="shared" si="658"/>
        <v>0</v>
      </c>
      <c r="M5413" s="285">
        <f t="shared" si="659"/>
        <v>0</v>
      </c>
      <c r="N5413" s="1076"/>
      <c r="O5413" s="294"/>
      <c r="P5413" s="404"/>
      <c r="Q5413" s="404"/>
    </row>
    <row r="5414" spans="1:17" ht="14.4" thickTop="1" thickBot="1" x14ac:dyDescent="0.3">
      <c r="A5414" s="292"/>
      <c r="B5414" s="296"/>
      <c r="C5414" s="294"/>
      <c r="D5414" s="294"/>
      <c r="E5414" s="294"/>
      <c r="F5414" s="310"/>
      <c r="G5414" s="310"/>
      <c r="H5414" s="310"/>
      <c r="I5414" s="295"/>
      <c r="J5414" s="295"/>
      <c r="K5414" s="300">
        <f t="shared" si="660"/>
        <v>1.1000000000000001</v>
      </c>
      <c r="L5414" s="300">
        <f t="shared" si="658"/>
        <v>0</v>
      </c>
      <c r="M5414" s="285">
        <f t="shared" si="659"/>
        <v>0</v>
      </c>
      <c r="N5414" s="1076"/>
      <c r="O5414" s="294"/>
      <c r="P5414" s="404"/>
      <c r="Q5414" s="404"/>
    </row>
    <row r="5415" spans="1:17" ht="14.4" thickTop="1" thickBot="1" x14ac:dyDescent="0.3">
      <c r="A5415" s="292"/>
      <c r="B5415" s="296"/>
      <c r="C5415" s="294"/>
      <c r="D5415" s="294"/>
      <c r="E5415" s="294"/>
      <c r="F5415" s="310"/>
      <c r="G5415" s="310"/>
      <c r="H5415" s="310"/>
      <c r="I5415" s="295"/>
      <c r="J5415" s="295"/>
      <c r="K5415" s="300">
        <f t="shared" si="660"/>
        <v>1.1000000000000001</v>
      </c>
      <c r="L5415" s="300">
        <f t="shared" si="658"/>
        <v>0</v>
      </c>
      <c r="M5415" s="285">
        <f t="shared" si="659"/>
        <v>0</v>
      </c>
      <c r="N5415" s="1076"/>
      <c r="O5415" s="294"/>
      <c r="P5415" s="404"/>
      <c r="Q5415" s="404"/>
    </row>
    <row r="5416" spans="1:17" ht="14.4" thickTop="1" thickBot="1" x14ac:dyDescent="0.3">
      <c r="A5416" s="292"/>
      <c r="B5416" s="296"/>
      <c r="C5416" s="294"/>
      <c r="D5416" s="294"/>
      <c r="E5416" s="294"/>
      <c r="F5416" s="310"/>
      <c r="G5416" s="310"/>
      <c r="H5416" s="310"/>
      <c r="I5416" s="295"/>
      <c r="J5416" s="295"/>
      <c r="K5416" s="300">
        <f t="shared" si="660"/>
        <v>1.1000000000000001</v>
      </c>
      <c r="L5416" s="300">
        <f t="shared" si="658"/>
        <v>0</v>
      </c>
      <c r="M5416" s="285">
        <f t="shared" si="659"/>
        <v>0</v>
      </c>
      <c r="N5416" s="1076"/>
      <c r="O5416" s="294"/>
      <c r="P5416" s="404"/>
      <c r="Q5416" s="404"/>
    </row>
    <row r="5417" spans="1:17" ht="14.4" thickTop="1" thickBot="1" x14ac:dyDescent="0.3">
      <c r="A5417" s="292"/>
      <c r="B5417" s="296"/>
      <c r="C5417" s="294"/>
      <c r="D5417" s="294"/>
      <c r="E5417" s="294"/>
      <c r="F5417" s="310"/>
      <c r="G5417" s="310"/>
      <c r="H5417" s="310"/>
      <c r="I5417" s="295"/>
      <c r="J5417" s="295"/>
      <c r="K5417" s="300">
        <f t="shared" si="660"/>
        <v>1.1000000000000001</v>
      </c>
      <c r="L5417" s="300">
        <f t="shared" ref="L5417:L5480" si="661">K5417*J5417</f>
        <v>0</v>
      </c>
      <c r="M5417" s="285">
        <f t="shared" si="659"/>
        <v>0</v>
      </c>
      <c r="N5417" s="1076"/>
      <c r="O5417" s="294"/>
      <c r="P5417" s="404"/>
      <c r="Q5417" s="404"/>
    </row>
    <row r="5418" spans="1:17" ht="14.4" thickTop="1" thickBot="1" x14ac:dyDescent="0.3">
      <c r="A5418" s="292"/>
      <c r="B5418" s="296"/>
      <c r="C5418" s="294"/>
      <c r="D5418" s="294"/>
      <c r="E5418" s="294"/>
      <c r="F5418" s="310"/>
      <c r="G5418" s="310"/>
      <c r="H5418" s="310"/>
      <c r="I5418" s="295"/>
      <c r="J5418" s="295"/>
      <c r="K5418" s="300">
        <f t="shared" si="660"/>
        <v>1.1000000000000001</v>
      </c>
      <c r="L5418" s="300">
        <f t="shared" si="661"/>
        <v>0</v>
      </c>
      <c r="M5418" s="285">
        <f t="shared" si="659"/>
        <v>0</v>
      </c>
      <c r="N5418" s="1076"/>
      <c r="O5418" s="294"/>
      <c r="P5418" s="404"/>
      <c r="Q5418" s="404"/>
    </row>
    <row r="5419" spans="1:17" ht="14.4" thickTop="1" thickBot="1" x14ac:dyDescent="0.3">
      <c r="A5419" s="292"/>
      <c r="B5419" s="296"/>
      <c r="C5419" s="294"/>
      <c r="D5419" s="294"/>
      <c r="E5419" s="294"/>
      <c r="F5419" s="310"/>
      <c r="G5419" s="310"/>
      <c r="H5419" s="310"/>
      <c r="I5419" s="295"/>
      <c r="J5419" s="295"/>
      <c r="K5419" s="300">
        <f t="shared" si="660"/>
        <v>1.1000000000000001</v>
      </c>
      <c r="L5419" s="300">
        <f t="shared" si="661"/>
        <v>0</v>
      </c>
      <c r="M5419" s="285">
        <f t="shared" si="659"/>
        <v>0</v>
      </c>
      <c r="N5419" s="1076"/>
      <c r="O5419" s="294"/>
      <c r="P5419" s="404"/>
      <c r="Q5419" s="404"/>
    </row>
    <row r="5420" spans="1:17" ht="14.4" thickTop="1" thickBot="1" x14ac:dyDescent="0.3">
      <c r="A5420" s="292"/>
      <c r="B5420" s="296"/>
      <c r="C5420" s="294"/>
      <c r="D5420" s="294"/>
      <c r="E5420" s="294"/>
      <c r="F5420" s="310"/>
      <c r="G5420" s="310"/>
      <c r="H5420" s="310"/>
      <c r="I5420" s="295"/>
      <c r="J5420" s="295"/>
      <c r="K5420" s="300">
        <f t="shared" si="660"/>
        <v>1.1000000000000001</v>
      </c>
      <c r="L5420" s="300">
        <f t="shared" si="661"/>
        <v>0</v>
      </c>
      <c r="M5420" s="285">
        <f t="shared" si="659"/>
        <v>0</v>
      </c>
      <c r="N5420" s="1076"/>
      <c r="O5420" s="294"/>
      <c r="P5420" s="404"/>
      <c r="Q5420" s="404"/>
    </row>
    <row r="5421" spans="1:17" ht="14.4" thickTop="1" thickBot="1" x14ac:dyDescent="0.3">
      <c r="A5421" s="292"/>
      <c r="B5421" s="296"/>
      <c r="C5421" s="294"/>
      <c r="D5421" s="294"/>
      <c r="E5421" s="294"/>
      <c r="F5421" s="310"/>
      <c r="G5421" s="310"/>
      <c r="H5421" s="310"/>
      <c r="I5421" s="295"/>
      <c r="J5421" s="295"/>
      <c r="K5421" s="300">
        <f t="shared" si="660"/>
        <v>1.1000000000000001</v>
      </c>
      <c r="L5421" s="300">
        <f t="shared" si="661"/>
        <v>0</v>
      </c>
      <c r="M5421" s="285">
        <f t="shared" ref="M5421:M5484" si="662">ROUND(L5421,0)</f>
        <v>0</v>
      </c>
      <c r="N5421" s="1076"/>
      <c r="O5421" s="294"/>
      <c r="P5421" s="404"/>
      <c r="Q5421" s="404"/>
    </row>
    <row r="5422" spans="1:17" ht="14.4" thickTop="1" thickBot="1" x14ac:dyDescent="0.3">
      <c r="A5422" s="292"/>
      <c r="B5422" s="296"/>
      <c r="C5422" s="294"/>
      <c r="D5422" s="294"/>
      <c r="E5422" s="294"/>
      <c r="F5422" s="310"/>
      <c r="G5422" s="310"/>
      <c r="H5422" s="310"/>
      <c r="I5422" s="295"/>
      <c r="J5422" s="295"/>
      <c r="K5422" s="300">
        <f t="shared" si="660"/>
        <v>1.1000000000000001</v>
      </c>
      <c r="L5422" s="300">
        <f t="shared" si="661"/>
        <v>0</v>
      </c>
      <c r="M5422" s="285">
        <f t="shared" si="662"/>
        <v>0</v>
      </c>
      <c r="N5422" s="1076"/>
      <c r="O5422" s="294"/>
      <c r="P5422" s="404"/>
      <c r="Q5422" s="404"/>
    </row>
    <row r="5423" spans="1:17" ht="14.4" thickTop="1" thickBot="1" x14ac:dyDescent="0.3">
      <c r="A5423" s="292"/>
      <c r="B5423" s="296"/>
      <c r="C5423" s="294"/>
      <c r="D5423" s="294"/>
      <c r="E5423" s="294"/>
      <c r="F5423" s="310"/>
      <c r="G5423" s="310"/>
      <c r="H5423" s="310"/>
      <c r="I5423" s="295"/>
      <c r="J5423" s="295"/>
      <c r="K5423" s="300">
        <f t="shared" si="660"/>
        <v>1.1000000000000001</v>
      </c>
      <c r="L5423" s="300">
        <f t="shared" si="661"/>
        <v>0</v>
      </c>
      <c r="M5423" s="285">
        <f t="shared" si="662"/>
        <v>0</v>
      </c>
      <c r="N5423" s="1076"/>
      <c r="O5423" s="294"/>
      <c r="P5423" s="404"/>
      <c r="Q5423" s="404"/>
    </row>
    <row r="5424" spans="1:17" ht="14.4" thickTop="1" thickBot="1" x14ac:dyDescent="0.3">
      <c r="A5424" s="292"/>
      <c r="B5424" s="296"/>
      <c r="C5424" s="294"/>
      <c r="D5424" s="294"/>
      <c r="E5424" s="294"/>
      <c r="F5424" s="310"/>
      <c r="G5424" s="310"/>
      <c r="H5424" s="310"/>
      <c r="I5424" s="295"/>
      <c r="J5424" s="295"/>
      <c r="K5424" s="300">
        <f t="shared" si="660"/>
        <v>1.1000000000000001</v>
      </c>
      <c r="L5424" s="300">
        <f t="shared" si="661"/>
        <v>0</v>
      </c>
      <c r="M5424" s="285">
        <f t="shared" si="662"/>
        <v>0</v>
      </c>
      <c r="N5424" s="1076"/>
      <c r="O5424" s="294"/>
      <c r="P5424" s="404"/>
      <c r="Q5424" s="404"/>
    </row>
    <row r="5425" spans="1:17" ht="14.4" thickTop="1" thickBot="1" x14ac:dyDescent="0.3">
      <c r="A5425" s="292"/>
      <c r="B5425" s="296"/>
      <c r="C5425" s="294"/>
      <c r="D5425" s="294"/>
      <c r="E5425" s="294"/>
      <c r="F5425" s="310"/>
      <c r="G5425" s="310"/>
      <c r="H5425" s="310"/>
      <c r="I5425" s="295"/>
      <c r="J5425" s="295"/>
      <c r="K5425" s="300">
        <f t="shared" si="660"/>
        <v>1.1000000000000001</v>
      </c>
      <c r="L5425" s="300">
        <f t="shared" si="661"/>
        <v>0</v>
      </c>
      <c r="M5425" s="285">
        <f t="shared" si="662"/>
        <v>0</v>
      </c>
      <c r="N5425" s="1076"/>
      <c r="O5425" s="294"/>
      <c r="P5425" s="404"/>
      <c r="Q5425" s="404"/>
    </row>
    <row r="5426" spans="1:17" ht="14.4" thickTop="1" thickBot="1" x14ac:dyDescent="0.3">
      <c r="A5426" s="292"/>
      <c r="B5426" s="296"/>
      <c r="C5426" s="294"/>
      <c r="D5426" s="294"/>
      <c r="E5426" s="294"/>
      <c r="F5426" s="310"/>
      <c r="G5426" s="310"/>
      <c r="H5426" s="310"/>
      <c r="I5426" s="295"/>
      <c r="J5426" s="295"/>
      <c r="K5426" s="300">
        <f t="shared" si="660"/>
        <v>1.1000000000000001</v>
      </c>
      <c r="L5426" s="300">
        <f t="shared" si="661"/>
        <v>0</v>
      </c>
      <c r="M5426" s="285">
        <f t="shared" si="662"/>
        <v>0</v>
      </c>
      <c r="N5426" s="1076"/>
      <c r="O5426" s="294"/>
      <c r="P5426" s="404"/>
      <c r="Q5426" s="404"/>
    </row>
    <row r="5427" spans="1:17" ht="14.4" thickTop="1" thickBot="1" x14ac:dyDescent="0.3">
      <c r="A5427" s="292"/>
      <c r="B5427" s="296"/>
      <c r="C5427" s="294"/>
      <c r="D5427" s="294"/>
      <c r="E5427" s="294"/>
      <c r="F5427" s="310"/>
      <c r="G5427" s="310"/>
      <c r="H5427" s="310"/>
      <c r="I5427" s="295"/>
      <c r="J5427" s="295"/>
      <c r="K5427" s="300">
        <f t="shared" si="660"/>
        <v>1.1000000000000001</v>
      </c>
      <c r="L5427" s="300">
        <f t="shared" si="661"/>
        <v>0</v>
      </c>
      <c r="M5427" s="285">
        <f t="shared" si="662"/>
        <v>0</v>
      </c>
      <c r="N5427" s="1076"/>
      <c r="O5427" s="294"/>
      <c r="P5427" s="404"/>
      <c r="Q5427" s="404"/>
    </row>
    <row r="5428" spans="1:17" ht="14.4" thickTop="1" thickBot="1" x14ac:dyDescent="0.3">
      <c r="A5428" s="292"/>
      <c r="B5428" s="296"/>
      <c r="C5428" s="294"/>
      <c r="D5428" s="294"/>
      <c r="E5428" s="294"/>
      <c r="F5428" s="310"/>
      <c r="G5428" s="310"/>
      <c r="H5428" s="310"/>
      <c r="I5428" s="295"/>
      <c r="J5428" s="295"/>
      <c r="K5428" s="300">
        <f t="shared" si="660"/>
        <v>1.1000000000000001</v>
      </c>
      <c r="L5428" s="300">
        <f t="shared" si="661"/>
        <v>0</v>
      </c>
      <c r="M5428" s="285">
        <f t="shared" si="662"/>
        <v>0</v>
      </c>
      <c r="N5428" s="1076"/>
      <c r="O5428" s="294"/>
      <c r="P5428" s="404"/>
      <c r="Q5428" s="404"/>
    </row>
    <row r="5429" spans="1:17" ht="14.4" thickTop="1" thickBot="1" x14ac:dyDescent="0.3">
      <c r="A5429" s="292"/>
      <c r="B5429" s="296"/>
      <c r="C5429" s="294"/>
      <c r="D5429" s="294"/>
      <c r="E5429" s="294"/>
      <c r="F5429" s="310"/>
      <c r="G5429" s="310"/>
      <c r="H5429" s="310"/>
      <c r="I5429" s="295"/>
      <c r="J5429" s="295"/>
      <c r="K5429" s="300">
        <f t="shared" si="660"/>
        <v>1.1000000000000001</v>
      </c>
      <c r="L5429" s="300">
        <f t="shared" si="661"/>
        <v>0</v>
      </c>
      <c r="M5429" s="285">
        <f t="shared" si="662"/>
        <v>0</v>
      </c>
      <c r="N5429" s="1076"/>
      <c r="O5429" s="294"/>
      <c r="P5429" s="404"/>
      <c r="Q5429" s="404"/>
    </row>
    <row r="5430" spans="1:17" ht="14.4" thickTop="1" thickBot="1" x14ac:dyDescent="0.3">
      <c r="A5430" s="292"/>
      <c r="B5430" s="296"/>
      <c r="C5430" s="294"/>
      <c r="D5430" s="294"/>
      <c r="E5430" s="294"/>
      <c r="F5430" s="310"/>
      <c r="G5430" s="310"/>
      <c r="H5430" s="310"/>
      <c r="I5430" s="295"/>
      <c r="J5430" s="295"/>
      <c r="K5430" s="300">
        <f t="shared" si="660"/>
        <v>1.1000000000000001</v>
      </c>
      <c r="L5430" s="300">
        <f t="shared" si="661"/>
        <v>0</v>
      </c>
      <c r="M5430" s="285">
        <f t="shared" si="662"/>
        <v>0</v>
      </c>
      <c r="N5430" s="1076"/>
      <c r="O5430" s="294"/>
      <c r="P5430" s="404"/>
      <c r="Q5430" s="404"/>
    </row>
    <row r="5431" spans="1:17" ht="14.4" thickTop="1" thickBot="1" x14ac:dyDescent="0.3">
      <c r="A5431" s="292"/>
      <c r="B5431" s="296"/>
      <c r="C5431" s="294"/>
      <c r="D5431" s="294"/>
      <c r="E5431" s="294"/>
      <c r="F5431" s="310"/>
      <c r="G5431" s="310"/>
      <c r="H5431" s="310"/>
      <c r="I5431" s="295"/>
      <c r="J5431" s="295"/>
      <c r="K5431" s="300">
        <f t="shared" si="660"/>
        <v>1.1000000000000001</v>
      </c>
      <c r="L5431" s="300">
        <f t="shared" si="661"/>
        <v>0</v>
      </c>
      <c r="M5431" s="285">
        <f t="shared" si="662"/>
        <v>0</v>
      </c>
      <c r="N5431" s="1076"/>
      <c r="O5431" s="294"/>
      <c r="P5431" s="404"/>
      <c r="Q5431" s="404"/>
    </row>
    <row r="5432" spans="1:17" ht="14.4" thickTop="1" thickBot="1" x14ac:dyDescent="0.3">
      <c r="A5432" s="292"/>
      <c r="B5432" s="296"/>
      <c r="C5432" s="294"/>
      <c r="D5432" s="294"/>
      <c r="E5432" s="294"/>
      <c r="F5432" s="310"/>
      <c r="G5432" s="310"/>
      <c r="H5432" s="310"/>
      <c r="I5432" s="295"/>
      <c r="J5432" s="295"/>
      <c r="K5432" s="300">
        <f t="shared" si="660"/>
        <v>1.1000000000000001</v>
      </c>
      <c r="L5432" s="300">
        <f t="shared" si="661"/>
        <v>0</v>
      </c>
      <c r="M5432" s="285">
        <f t="shared" si="662"/>
        <v>0</v>
      </c>
      <c r="N5432" s="1076"/>
      <c r="O5432" s="294"/>
      <c r="P5432" s="404"/>
      <c r="Q5432" s="404"/>
    </row>
    <row r="5433" spans="1:17" ht="14.4" thickTop="1" thickBot="1" x14ac:dyDescent="0.3">
      <c r="A5433" s="292"/>
      <c r="B5433" s="296"/>
      <c r="C5433" s="294"/>
      <c r="D5433" s="294"/>
      <c r="E5433" s="294"/>
      <c r="F5433" s="310"/>
      <c r="G5433" s="310"/>
      <c r="H5433" s="310"/>
      <c r="I5433" s="295"/>
      <c r="J5433" s="295"/>
      <c r="K5433" s="300">
        <f t="shared" si="660"/>
        <v>1.1000000000000001</v>
      </c>
      <c r="L5433" s="300">
        <f t="shared" si="661"/>
        <v>0</v>
      </c>
      <c r="M5433" s="285">
        <f t="shared" si="662"/>
        <v>0</v>
      </c>
      <c r="N5433" s="1076"/>
      <c r="O5433" s="294"/>
      <c r="P5433" s="404"/>
      <c r="Q5433" s="404"/>
    </row>
    <row r="5434" spans="1:17" ht="14.4" thickTop="1" thickBot="1" x14ac:dyDescent="0.3">
      <c r="A5434" s="292"/>
      <c r="B5434" s="296"/>
      <c r="C5434" s="294"/>
      <c r="D5434" s="294"/>
      <c r="E5434" s="294"/>
      <c r="F5434" s="310"/>
      <c r="G5434" s="310"/>
      <c r="H5434" s="310"/>
      <c r="I5434" s="295"/>
      <c r="J5434" s="295"/>
      <c r="K5434" s="300">
        <f t="shared" si="660"/>
        <v>1.1000000000000001</v>
      </c>
      <c r="L5434" s="300">
        <f t="shared" si="661"/>
        <v>0</v>
      </c>
      <c r="M5434" s="285">
        <f t="shared" si="662"/>
        <v>0</v>
      </c>
      <c r="N5434" s="1076"/>
      <c r="O5434" s="294"/>
      <c r="P5434" s="404"/>
      <c r="Q5434" s="404"/>
    </row>
    <row r="5435" spans="1:17" ht="14.4" thickTop="1" thickBot="1" x14ac:dyDescent="0.3">
      <c r="A5435" s="292"/>
      <c r="B5435" s="296"/>
      <c r="C5435" s="294"/>
      <c r="D5435" s="294"/>
      <c r="E5435" s="294"/>
      <c r="F5435" s="310"/>
      <c r="G5435" s="310"/>
      <c r="H5435" s="310"/>
      <c r="I5435" s="295"/>
      <c r="J5435" s="295"/>
      <c r="K5435" s="300">
        <f t="shared" si="660"/>
        <v>1.1000000000000001</v>
      </c>
      <c r="L5435" s="300">
        <f t="shared" si="661"/>
        <v>0</v>
      </c>
      <c r="M5435" s="285">
        <f t="shared" si="662"/>
        <v>0</v>
      </c>
      <c r="N5435" s="1076"/>
      <c r="O5435" s="294"/>
      <c r="P5435" s="404"/>
      <c r="Q5435" s="404"/>
    </row>
    <row r="5436" spans="1:17" ht="14.4" thickTop="1" thickBot="1" x14ac:dyDescent="0.3">
      <c r="A5436" s="292"/>
      <c r="B5436" s="296"/>
      <c r="C5436" s="294"/>
      <c r="D5436" s="294"/>
      <c r="E5436" s="294"/>
      <c r="F5436" s="310"/>
      <c r="G5436" s="310"/>
      <c r="H5436" s="310"/>
      <c r="I5436" s="295"/>
      <c r="J5436" s="295"/>
      <c r="K5436" s="300">
        <f t="shared" si="660"/>
        <v>1.1000000000000001</v>
      </c>
      <c r="L5436" s="300">
        <f t="shared" si="661"/>
        <v>0</v>
      </c>
      <c r="M5436" s="285">
        <f t="shared" si="662"/>
        <v>0</v>
      </c>
      <c r="N5436" s="1076"/>
      <c r="O5436" s="294"/>
      <c r="P5436" s="404"/>
      <c r="Q5436" s="404"/>
    </row>
    <row r="5437" spans="1:17" ht="14.4" thickTop="1" thickBot="1" x14ac:dyDescent="0.3">
      <c r="A5437" s="292"/>
      <c r="B5437" s="296"/>
      <c r="C5437" s="294"/>
      <c r="D5437" s="294"/>
      <c r="E5437" s="294"/>
      <c r="F5437" s="310"/>
      <c r="G5437" s="310"/>
      <c r="H5437" s="310"/>
      <c r="I5437" s="295"/>
      <c r="J5437" s="295"/>
      <c r="K5437" s="300">
        <f t="shared" si="660"/>
        <v>1.1000000000000001</v>
      </c>
      <c r="L5437" s="300">
        <f t="shared" si="661"/>
        <v>0</v>
      </c>
      <c r="M5437" s="285">
        <f t="shared" si="662"/>
        <v>0</v>
      </c>
      <c r="N5437" s="1076"/>
      <c r="O5437" s="294"/>
      <c r="P5437" s="404"/>
      <c r="Q5437" s="404"/>
    </row>
    <row r="5438" spans="1:17" ht="14.4" thickTop="1" thickBot="1" x14ac:dyDescent="0.3">
      <c r="A5438" s="292"/>
      <c r="B5438" s="296"/>
      <c r="C5438" s="294"/>
      <c r="D5438" s="294"/>
      <c r="E5438" s="294"/>
      <c r="F5438" s="310"/>
      <c r="G5438" s="310"/>
      <c r="H5438" s="310"/>
      <c r="I5438" s="295"/>
      <c r="J5438" s="295"/>
      <c r="K5438" s="300">
        <f t="shared" si="660"/>
        <v>1.1000000000000001</v>
      </c>
      <c r="L5438" s="300">
        <f t="shared" si="661"/>
        <v>0</v>
      </c>
      <c r="M5438" s="285">
        <f t="shared" si="662"/>
        <v>0</v>
      </c>
      <c r="N5438" s="1076"/>
      <c r="O5438" s="294"/>
      <c r="P5438" s="404"/>
      <c r="Q5438" s="404"/>
    </row>
    <row r="5439" spans="1:17" ht="14.4" thickTop="1" thickBot="1" x14ac:dyDescent="0.3">
      <c r="A5439" s="292"/>
      <c r="B5439" s="296"/>
      <c r="C5439" s="294"/>
      <c r="D5439" s="294"/>
      <c r="E5439" s="294"/>
      <c r="F5439" s="310"/>
      <c r="G5439" s="310"/>
      <c r="H5439" s="310"/>
      <c r="I5439" s="295"/>
      <c r="J5439" s="295"/>
      <c r="K5439" s="300">
        <f t="shared" si="660"/>
        <v>1.1000000000000001</v>
      </c>
      <c r="L5439" s="300">
        <f t="shared" si="661"/>
        <v>0</v>
      </c>
      <c r="M5439" s="285">
        <f t="shared" si="662"/>
        <v>0</v>
      </c>
      <c r="N5439" s="1076"/>
      <c r="O5439" s="294"/>
      <c r="P5439" s="404"/>
      <c r="Q5439" s="404"/>
    </row>
    <row r="5440" spans="1:17" ht="14.4" thickTop="1" thickBot="1" x14ac:dyDescent="0.3">
      <c r="A5440" s="292"/>
      <c r="B5440" s="296"/>
      <c r="C5440" s="294"/>
      <c r="D5440" s="294"/>
      <c r="E5440" s="294"/>
      <c r="F5440" s="310"/>
      <c r="G5440" s="310"/>
      <c r="H5440" s="310"/>
      <c r="I5440" s="295"/>
      <c r="J5440" s="295"/>
      <c r="K5440" s="300">
        <f t="shared" si="660"/>
        <v>1.1000000000000001</v>
      </c>
      <c r="L5440" s="300">
        <f t="shared" si="661"/>
        <v>0</v>
      </c>
      <c r="M5440" s="285">
        <f t="shared" si="662"/>
        <v>0</v>
      </c>
      <c r="N5440" s="1076"/>
      <c r="O5440" s="294"/>
      <c r="P5440" s="404"/>
      <c r="Q5440" s="404"/>
    </row>
    <row r="5441" spans="1:17" ht="14.4" thickTop="1" thickBot="1" x14ac:dyDescent="0.3">
      <c r="A5441" s="292"/>
      <c r="B5441" s="296"/>
      <c r="C5441" s="294"/>
      <c r="D5441" s="294"/>
      <c r="E5441" s="294"/>
      <c r="F5441" s="310"/>
      <c r="G5441" s="310"/>
      <c r="H5441" s="310"/>
      <c r="I5441" s="295"/>
      <c r="J5441" s="295"/>
      <c r="K5441" s="300">
        <f t="shared" si="660"/>
        <v>1.1000000000000001</v>
      </c>
      <c r="L5441" s="300">
        <f t="shared" si="661"/>
        <v>0</v>
      </c>
      <c r="M5441" s="285">
        <f t="shared" si="662"/>
        <v>0</v>
      </c>
      <c r="N5441" s="1076"/>
      <c r="O5441" s="294"/>
      <c r="P5441" s="404"/>
      <c r="Q5441" s="404"/>
    </row>
    <row r="5442" spans="1:17" ht="14.4" thickTop="1" thickBot="1" x14ac:dyDescent="0.3">
      <c r="A5442" s="292"/>
      <c r="B5442" s="296"/>
      <c r="C5442" s="294"/>
      <c r="D5442" s="294"/>
      <c r="E5442" s="294"/>
      <c r="F5442" s="310"/>
      <c r="G5442" s="310"/>
      <c r="H5442" s="310"/>
      <c r="I5442" s="295"/>
      <c r="J5442" s="295"/>
      <c r="K5442" s="300">
        <f t="shared" si="660"/>
        <v>1.1000000000000001</v>
      </c>
      <c r="L5442" s="300">
        <f t="shared" si="661"/>
        <v>0</v>
      </c>
      <c r="M5442" s="285">
        <f t="shared" si="662"/>
        <v>0</v>
      </c>
      <c r="N5442" s="1076"/>
      <c r="O5442" s="294"/>
      <c r="P5442" s="404"/>
      <c r="Q5442" s="404"/>
    </row>
    <row r="5443" spans="1:17" ht="14.4" thickTop="1" thickBot="1" x14ac:dyDescent="0.3">
      <c r="A5443" s="292"/>
      <c r="B5443" s="296"/>
      <c r="C5443" s="294"/>
      <c r="D5443" s="294"/>
      <c r="E5443" s="294"/>
      <c r="F5443" s="310"/>
      <c r="G5443" s="310"/>
      <c r="H5443" s="310"/>
      <c r="I5443" s="295"/>
      <c r="J5443" s="295"/>
      <c r="K5443" s="300">
        <f t="shared" si="660"/>
        <v>1.1000000000000001</v>
      </c>
      <c r="L5443" s="300">
        <f t="shared" si="661"/>
        <v>0</v>
      </c>
      <c r="M5443" s="285">
        <f t="shared" si="662"/>
        <v>0</v>
      </c>
      <c r="N5443" s="1076"/>
      <c r="O5443" s="294"/>
      <c r="P5443" s="404"/>
      <c r="Q5443" s="404"/>
    </row>
    <row r="5444" spans="1:17" ht="14.4" thickTop="1" thickBot="1" x14ac:dyDescent="0.3">
      <c r="A5444" s="292"/>
      <c r="B5444" s="296"/>
      <c r="C5444" s="294"/>
      <c r="D5444" s="294"/>
      <c r="E5444" s="294"/>
      <c r="F5444" s="310"/>
      <c r="G5444" s="310"/>
      <c r="H5444" s="310"/>
      <c r="I5444" s="295"/>
      <c r="J5444" s="295"/>
      <c r="K5444" s="300">
        <f t="shared" si="660"/>
        <v>1.1000000000000001</v>
      </c>
      <c r="L5444" s="300">
        <f t="shared" si="661"/>
        <v>0</v>
      </c>
      <c r="M5444" s="285">
        <f t="shared" si="662"/>
        <v>0</v>
      </c>
      <c r="N5444" s="1076"/>
      <c r="O5444" s="294"/>
      <c r="P5444" s="404"/>
      <c r="Q5444" s="404"/>
    </row>
    <row r="5445" spans="1:17" ht="14.4" thickTop="1" thickBot="1" x14ac:dyDescent="0.3">
      <c r="A5445" s="292"/>
      <c r="B5445" s="296"/>
      <c r="C5445" s="294"/>
      <c r="D5445" s="294"/>
      <c r="E5445" s="294"/>
      <c r="F5445" s="310"/>
      <c r="G5445" s="310"/>
      <c r="H5445" s="310"/>
      <c r="I5445" s="295"/>
      <c r="J5445" s="295"/>
      <c r="K5445" s="300">
        <f t="shared" si="660"/>
        <v>1.1000000000000001</v>
      </c>
      <c r="L5445" s="300">
        <f t="shared" si="661"/>
        <v>0</v>
      </c>
      <c r="M5445" s="285">
        <f t="shared" si="662"/>
        <v>0</v>
      </c>
      <c r="N5445" s="1076"/>
      <c r="O5445" s="294"/>
      <c r="P5445" s="404"/>
      <c r="Q5445" s="404"/>
    </row>
    <row r="5446" spans="1:17" ht="14.4" thickTop="1" thickBot="1" x14ac:dyDescent="0.3">
      <c r="A5446" s="292"/>
      <c r="B5446" s="296"/>
      <c r="C5446" s="294"/>
      <c r="D5446" s="294"/>
      <c r="E5446" s="294"/>
      <c r="F5446" s="310"/>
      <c r="G5446" s="310"/>
      <c r="H5446" s="310"/>
      <c r="I5446" s="295"/>
      <c r="J5446" s="295"/>
      <c r="K5446" s="300">
        <f t="shared" si="660"/>
        <v>1.1000000000000001</v>
      </c>
      <c r="L5446" s="300">
        <f t="shared" si="661"/>
        <v>0</v>
      </c>
      <c r="M5446" s="285">
        <f t="shared" si="662"/>
        <v>0</v>
      </c>
      <c r="N5446" s="1076"/>
      <c r="O5446" s="294"/>
      <c r="P5446" s="404"/>
      <c r="Q5446" s="404"/>
    </row>
    <row r="5447" spans="1:17" ht="14.4" thickTop="1" thickBot="1" x14ac:dyDescent="0.3">
      <c r="A5447" s="292"/>
      <c r="B5447" s="296"/>
      <c r="C5447" s="294"/>
      <c r="D5447" s="294"/>
      <c r="E5447" s="294"/>
      <c r="F5447" s="310"/>
      <c r="G5447" s="310"/>
      <c r="H5447" s="310"/>
      <c r="I5447" s="295"/>
      <c r="J5447" s="295"/>
      <c r="K5447" s="300">
        <f t="shared" si="660"/>
        <v>1.1000000000000001</v>
      </c>
      <c r="L5447" s="300">
        <f t="shared" si="661"/>
        <v>0</v>
      </c>
      <c r="M5447" s="285">
        <f t="shared" si="662"/>
        <v>0</v>
      </c>
      <c r="N5447" s="1076"/>
      <c r="O5447" s="294"/>
      <c r="P5447" s="404"/>
      <c r="Q5447" s="404"/>
    </row>
    <row r="5448" spans="1:17" ht="14.4" thickTop="1" thickBot="1" x14ac:dyDescent="0.3">
      <c r="A5448" s="292"/>
      <c r="B5448" s="296"/>
      <c r="C5448" s="294"/>
      <c r="D5448" s="294"/>
      <c r="E5448" s="294"/>
      <c r="F5448" s="310"/>
      <c r="G5448" s="310"/>
      <c r="H5448" s="310"/>
      <c r="I5448" s="295"/>
      <c r="J5448" s="295"/>
      <c r="K5448" s="300">
        <f t="shared" si="660"/>
        <v>1.1000000000000001</v>
      </c>
      <c r="L5448" s="300">
        <f t="shared" si="661"/>
        <v>0</v>
      </c>
      <c r="M5448" s="285">
        <f t="shared" si="662"/>
        <v>0</v>
      </c>
      <c r="N5448" s="1076"/>
      <c r="O5448" s="294"/>
      <c r="P5448" s="404"/>
      <c r="Q5448" s="404"/>
    </row>
    <row r="5449" spans="1:17" ht="14.4" thickTop="1" thickBot="1" x14ac:dyDescent="0.3">
      <c r="A5449" s="292"/>
      <c r="B5449" s="296"/>
      <c r="C5449" s="294"/>
      <c r="D5449" s="294"/>
      <c r="E5449" s="294"/>
      <c r="F5449" s="310"/>
      <c r="G5449" s="310"/>
      <c r="H5449" s="310"/>
      <c r="I5449" s="295"/>
      <c r="J5449" s="295"/>
      <c r="K5449" s="300">
        <f t="shared" si="660"/>
        <v>1.1000000000000001</v>
      </c>
      <c r="L5449" s="300">
        <f t="shared" si="661"/>
        <v>0</v>
      </c>
      <c r="M5449" s="285">
        <f t="shared" si="662"/>
        <v>0</v>
      </c>
      <c r="N5449" s="1076"/>
      <c r="O5449" s="294"/>
      <c r="P5449" s="404"/>
      <c r="Q5449" s="404"/>
    </row>
    <row r="5450" spans="1:17" ht="14.4" thickTop="1" thickBot="1" x14ac:dyDescent="0.3">
      <c r="A5450" s="292"/>
      <c r="B5450" s="296"/>
      <c r="C5450" s="294"/>
      <c r="D5450" s="294"/>
      <c r="E5450" s="294"/>
      <c r="F5450" s="310"/>
      <c r="G5450" s="310"/>
      <c r="H5450" s="310"/>
      <c r="I5450" s="295"/>
      <c r="J5450" s="295"/>
      <c r="K5450" s="300">
        <f t="shared" si="660"/>
        <v>1.1000000000000001</v>
      </c>
      <c r="L5450" s="300">
        <f t="shared" si="661"/>
        <v>0</v>
      </c>
      <c r="M5450" s="285">
        <f t="shared" si="662"/>
        <v>0</v>
      </c>
      <c r="N5450" s="1076"/>
      <c r="O5450" s="294"/>
      <c r="P5450" s="404"/>
      <c r="Q5450" s="404"/>
    </row>
    <row r="5451" spans="1:17" ht="14.4" thickTop="1" thickBot="1" x14ac:dyDescent="0.3">
      <c r="A5451" s="292"/>
      <c r="B5451" s="296"/>
      <c r="C5451" s="294"/>
      <c r="D5451" s="294"/>
      <c r="E5451" s="294"/>
      <c r="F5451" s="310"/>
      <c r="G5451" s="310"/>
      <c r="H5451" s="310"/>
      <c r="I5451" s="295"/>
      <c r="J5451" s="295"/>
      <c r="K5451" s="300">
        <f t="shared" si="660"/>
        <v>1.1000000000000001</v>
      </c>
      <c r="L5451" s="300">
        <f t="shared" si="661"/>
        <v>0</v>
      </c>
      <c r="M5451" s="285">
        <f t="shared" si="662"/>
        <v>0</v>
      </c>
      <c r="N5451" s="1076"/>
      <c r="O5451" s="294"/>
      <c r="P5451" s="404"/>
      <c r="Q5451" s="404"/>
    </row>
    <row r="5452" spans="1:17" ht="14.4" thickTop="1" thickBot="1" x14ac:dyDescent="0.3">
      <c r="A5452" s="292"/>
      <c r="B5452" s="296"/>
      <c r="C5452" s="294"/>
      <c r="D5452" s="294"/>
      <c r="E5452" s="294"/>
      <c r="F5452" s="310"/>
      <c r="G5452" s="310"/>
      <c r="H5452" s="310"/>
      <c r="I5452" s="295"/>
      <c r="J5452" s="295"/>
      <c r="K5452" s="300">
        <f t="shared" si="660"/>
        <v>1.1000000000000001</v>
      </c>
      <c r="L5452" s="300">
        <f t="shared" si="661"/>
        <v>0</v>
      </c>
      <c r="M5452" s="285">
        <f t="shared" si="662"/>
        <v>0</v>
      </c>
      <c r="N5452" s="1076"/>
      <c r="O5452" s="294"/>
      <c r="P5452" s="404"/>
      <c r="Q5452" s="404"/>
    </row>
    <row r="5453" spans="1:17" ht="14.4" thickTop="1" thickBot="1" x14ac:dyDescent="0.3">
      <c r="A5453" s="292"/>
      <c r="B5453" s="296"/>
      <c r="C5453" s="294"/>
      <c r="D5453" s="294"/>
      <c r="E5453" s="294"/>
      <c r="F5453" s="310"/>
      <c r="G5453" s="310"/>
      <c r="H5453" s="310"/>
      <c r="I5453" s="295"/>
      <c r="J5453" s="295"/>
      <c r="K5453" s="300">
        <f t="shared" si="660"/>
        <v>1.1000000000000001</v>
      </c>
      <c r="L5453" s="300">
        <f t="shared" si="661"/>
        <v>0</v>
      </c>
      <c r="M5453" s="285">
        <f t="shared" si="662"/>
        <v>0</v>
      </c>
      <c r="N5453" s="1076"/>
      <c r="O5453" s="294"/>
      <c r="P5453" s="404"/>
      <c r="Q5453" s="404"/>
    </row>
    <row r="5454" spans="1:17" ht="14.4" thickTop="1" thickBot="1" x14ac:dyDescent="0.3">
      <c r="A5454" s="292"/>
      <c r="B5454" s="296"/>
      <c r="C5454" s="294"/>
      <c r="D5454" s="294"/>
      <c r="E5454" s="294"/>
      <c r="F5454" s="310"/>
      <c r="G5454" s="310"/>
      <c r="H5454" s="310"/>
      <c r="I5454" s="295"/>
      <c r="J5454" s="295"/>
      <c r="K5454" s="300">
        <f t="shared" si="660"/>
        <v>1.1000000000000001</v>
      </c>
      <c r="L5454" s="300">
        <f t="shared" si="661"/>
        <v>0</v>
      </c>
      <c r="M5454" s="285">
        <f t="shared" si="662"/>
        <v>0</v>
      </c>
      <c r="N5454" s="1076"/>
      <c r="O5454" s="294"/>
      <c r="P5454" s="404"/>
      <c r="Q5454" s="404"/>
    </row>
    <row r="5455" spans="1:17" ht="14.4" thickTop="1" thickBot="1" x14ac:dyDescent="0.3">
      <c r="A5455" s="292"/>
      <c r="B5455" s="296"/>
      <c r="C5455" s="294"/>
      <c r="D5455" s="294"/>
      <c r="E5455" s="294"/>
      <c r="F5455" s="310"/>
      <c r="G5455" s="310"/>
      <c r="H5455" s="310"/>
      <c r="I5455" s="295"/>
      <c r="J5455" s="295"/>
      <c r="K5455" s="300">
        <f t="shared" si="660"/>
        <v>1.1000000000000001</v>
      </c>
      <c r="L5455" s="300">
        <f t="shared" si="661"/>
        <v>0</v>
      </c>
      <c r="M5455" s="285">
        <f t="shared" si="662"/>
        <v>0</v>
      </c>
      <c r="N5455" s="1076"/>
      <c r="O5455" s="294"/>
      <c r="P5455" s="404"/>
      <c r="Q5455" s="404"/>
    </row>
    <row r="5456" spans="1:17" ht="14.4" thickTop="1" thickBot="1" x14ac:dyDescent="0.3">
      <c r="A5456" s="292"/>
      <c r="B5456" s="296"/>
      <c r="C5456" s="294"/>
      <c r="D5456" s="294"/>
      <c r="E5456" s="294"/>
      <c r="F5456" s="310"/>
      <c r="G5456" s="310"/>
      <c r="H5456" s="310"/>
      <c r="I5456" s="295"/>
      <c r="J5456" s="295"/>
      <c r="K5456" s="300">
        <f t="shared" si="660"/>
        <v>1.1000000000000001</v>
      </c>
      <c r="L5456" s="300">
        <f t="shared" si="661"/>
        <v>0</v>
      </c>
      <c r="M5456" s="285">
        <f t="shared" si="662"/>
        <v>0</v>
      </c>
      <c r="N5456" s="1076"/>
      <c r="O5456" s="294"/>
      <c r="P5456" s="404"/>
      <c r="Q5456" s="404"/>
    </row>
    <row r="5457" spans="1:17" ht="14.4" thickTop="1" thickBot="1" x14ac:dyDescent="0.3">
      <c r="A5457" s="292"/>
      <c r="B5457" s="296"/>
      <c r="C5457" s="294"/>
      <c r="D5457" s="294"/>
      <c r="E5457" s="294"/>
      <c r="F5457" s="310"/>
      <c r="G5457" s="310"/>
      <c r="H5457" s="310"/>
      <c r="I5457" s="295"/>
      <c r="J5457" s="295"/>
      <c r="K5457" s="300">
        <f t="shared" si="660"/>
        <v>1.1000000000000001</v>
      </c>
      <c r="L5457" s="300">
        <f t="shared" si="661"/>
        <v>0</v>
      </c>
      <c r="M5457" s="285">
        <f t="shared" si="662"/>
        <v>0</v>
      </c>
      <c r="N5457" s="1076"/>
      <c r="O5457" s="294"/>
      <c r="P5457" s="404"/>
      <c r="Q5457" s="404"/>
    </row>
    <row r="5458" spans="1:17" ht="14.4" thickTop="1" thickBot="1" x14ac:dyDescent="0.3">
      <c r="A5458" s="292"/>
      <c r="B5458" s="296"/>
      <c r="C5458" s="294"/>
      <c r="D5458" s="294"/>
      <c r="E5458" s="294"/>
      <c r="F5458" s="310"/>
      <c r="G5458" s="310"/>
      <c r="H5458" s="310"/>
      <c r="I5458" s="295"/>
      <c r="J5458" s="295"/>
      <c r="K5458" s="300">
        <f t="shared" si="660"/>
        <v>1.1000000000000001</v>
      </c>
      <c r="L5458" s="300">
        <f t="shared" si="661"/>
        <v>0</v>
      </c>
      <c r="M5458" s="285">
        <f t="shared" si="662"/>
        <v>0</v>
      </c>
      <c r="N5458" s="1076"/>
      <c r="O5458" s="294"/>
      <c r="P5458" s="404"/>
      <c r="Q5458" s="404"/>
    </row>
    <row r="5459" spans="1:17" ht="14.4" thickTop="1" thickBot="1" x14ac:dyDescent="0.3">
      <c r="A5459" s="292"/>
      <c r="B5459" s="296"/>
      <c r="C5459" s="294"/>
      <c r="D5459" s="294"/>
      <c r="E5459" s="294"/>
      <c r="F5459" s="310"/>
      <c r="G5459" s="310"/>
      <c r="H5459" s="310"/>
      <c r="I5459" s="295"/>
      <c r="J5459" s="295"/>
      <c r="K5459" s="300">
        <f t="shared" si="660"/>
        <v>1.1000000000000001</v>
      </c>
      <c r="L5459" s="300">
        <f t="shared" si="661"/>
        <v>0</v>
      </c>
      <c r="M5459" s="285">
        <f t="shared" si="662"/>
        <v>0</v>
      </c>
      <c r="N5459" s="1076"/>
      <c r="O5459" s="294"/>
      <c r="P5459" s="404"/>
      <c r="Q5459" s="404"/>
    </row>
    <row r="5460" spans="1:17" ht="14.4" thickTop="1" thickBot="1" x14ac:dyDescent="0.3">
      <c r="A5460" s="292"/>
      <c r="B5460" s="296"/>
      <c r="C5460" s="294"/>
      <c r="D5460" s="294"/>
      <c r="E5460" s="294"/>
      <c r="F5460" s="310"/>
      <c r="G5460" s="310"/>
      <c r="H5460" s="310"/>
      <c r="I5460" s="295"/>
      <c r="J5460" s="295"/>
      <c r="K5460" s="300">
        <f t="shared" ref="K5460:K5523" si="663">$K$2</f>
        <v>1.1000000000000001</v>
      </c>
      <c r="L5460" s="300">
        <f t="shared" si="661"/>
        <v>0</v>
      </c>
      <c r="M5460" s="285">
        <f t="shared" si="662"/>
        <v>0</v>
      </c>
      <c r="N5460" s="1076"/>
      <c r="O5460" s="294"/>
      <c r="P5460" s="404"/>
      <c r="Q5460" s="404"/>
    </row>
    <row r="5461" spans="1:17" ht="14.4" thickTop="1" thickBot="1" x14ac:dyDescent="0.3">
      <c r="A5461" s="292"/>
      <c r="B5461" s="296"/>
      <c r="C5461" s="294"/>
      <c r="D5461" s="294"/>
      <c r="E5461" s="294"/>
      <c r="F5461" s="310"/>
      <c r="G5461" s="310"/>
      <c r="H5461" s="310"/>
      <c r="I5461" s="295"/>
      <c r="J5461" s="295"/>
      <c r="K5461" s="300">
        <f t="shared" si="663"/>
        <v>1.1000000000000001</v>
      </c>
      <c r="L5461" s="300">
        <f t="shared" si="661"/>
        <v>0</v>
      </c>
      <c r="M5461" s="285">
        <f t="shared" si="662"/>
        <v>0</v>
      </c>
      <c r="N5461" s="1076"/>
      <c r="O5461" s="294"/>
      <c r="P5461" s="404"/>
      <c r="Q5461" s="404"/>
    </row>
    <row r="5462" spans="1:17" ht="14.4" thickTop="1" thickBot="1" x14ac:dyDescent="0.3">
      <c r="A5462" s="292"/>
      <c r="B5462" s="296"/>
      <c r="C5462" s="294"/>
      <c r="D5462" s="294"/>
      <c r="E5462" s="294"/>
      <c r="F5462" s="310"/>
      <c r="G5462" s="310"/>
      <c r="H5462" s="310"/>
      <c r="I5462" s="295"/>
      <c r="J5462" s="295"/>
      <c r="K5462" s="300">
        <f t="shared" si="663"/>
        <v>1.1000000000000001</v>
      </c>
      <c r="L5462" s="300">
        <f t="shared" si="661"/>
        <v>0</v>
      </c>
      <c r="M5462" s="285">
        <f t="shared" si="662"/>
        <v>0</v>
      </c>
      <c r="N5462" s="1076"/>
      <c r="O5462" s="294"/>
      <c r="P5462" s="404"/>
      <c r="Q5462" s="404"/>
    </row>
    <row r="5463" spans="1:17" ht="14.4" thickTop="1" thickBot="1" x14ac:dyDescent="0.3">
      <c r="A5463" s="292"/>
      <c r="B5463" s="296"/>
      <c r="C5463" s="294"/>
      <c r="D5463" s="294"/>
      <c r="E5463" s="294"/>
      <c r="F5463" s="310"/>
      <c r="G5463" s="310"/>
      <c r="H5463" s="310"/>
      <c r="I5463" s="295"/>
      <c r="J5463" s="295"/>
      <c r="K5463" s="300">
        <f t="shared" si="663"/>
        <v>1.1000000000000001</v>
      </c>
      <c r="L5463" s="300">
        <f t="shared" si="661"/>
        <v>0</v>
      </c>
      <c r="M5463" s="285">
        <f t="shared" si="662"/>
        <v>0</v>
      </c>
      <c r="N5463" s="1076"/>
      <c r="O5463" s="294"/>
      <c r="P5463" s="404"/>
      <c r="Q5463" s="404"/>
    </row>
    <row r="5464" spans="1:17" ht="14.4" thickTop="1" thickBot="1" x14ac:dyDescent="0.3">
      <c r="A5464" s="292"/>
      <c r="B5464" s="296"/>
      <c r="C5464" s="294"/>
      <c r="D5464" s="294"/>
      <c r="E5464" s="294"/>
      <c r="F5464" s="310"/>
      <c r="G5464" s="310"/>
      <c r="H5464" s="310"/>
      <c r="I5464" s="295"/>
      <c r="J5464" s="295"/>
      <c r="K5464" s="300">
        <f t="shared" si="663"/>
        <v>1.1000000000000001</v>
      </c>
      <c r="L5464" s="300">
        <f t="shared" si="661"/>
        <v>0</v>
      </c>
      <c r="M5464" s="285">
        <f t="shared" si="662"/>
        <v>0</v>
      </c>
      <c r="N5464" s="1076"/>
      <c r="O5464" s="294"/>
      <c r="P5464" s="404"/>
      <c r="Q5464" s="404"/>
    </row>
    <row r="5465" spans="1:17" ht="14.4" thickTop="1" thickBot="1" x14ac:dyDescent="0.3">
      <c r="A5465" s="292"/>
      <c r="B5465" s="296"/>
      <c r="C5465" s="294"/>
      <c r="D5465" s="294"/>
      <c r="E5465" s="294"/>
      <c r="F5465" s="310"/>
      <c r="G5465" s="310"/>
      <c r="H5465" s="310"/>
      <c r="I5465" s="295"/>
      <c r="J5465" s="295"/>
      <c r="K5465" s="300">
        <f t="shared" si="663"/>
        <v>1.1000000000000001</v>
      </c>
      <c r="L5465" s="300">
        <f t="shared" si="661"/>
        <v>0</v>
      </c>
      <c r="M5465" s="285">
        <f t="shared" si="662"/>
        <v>0</v>
      </c>
      <c r="N5465" s="1076"/>
      <c r="O5465" s="294"/>
      <c r="P5465" s="404"/>
      <c r="Q5465" s="404"/>
    </row>
    <row r="5466" spans="1:17" ht="14.4" thickTop="1" thickBot="1" x14ac:dyDescent="0.3">
      <c r="A5466" s="292"/>
      <c r="B5466" s="296"/>
      <c r="C5466" s="294"/>
      <c r="D5466" s="294"/>
      <c r="E5466" s="294"/>
      <c r="F5466" s="310"/>
      <c r="G5466" s="310"/>
      <c r="H5466" s="310"/>
      <c r="I5466" s="295"/>
      <c r="J5466" s="295"/>
      <c r="K5466" s="300">
        <f t="shared" si="663"/>
        <v>1.1000000000000001</v>
      </c>
      <c r="L5466" s="300">
        <f t="shared" si="661"/>
        <v>0</v>
      </c>
      <c r="M5466" s="285">
        <f t="shared" si="662"/>
        <v>0</v>
      </c>
      <c r="N5466" s="1076"/>
      <c r="O5466" s="294"/>
      <c r="P5466" s="404"/>
      <c r="Q5466" s="404"/>
    </row>
    <row r="5467" spans="1:17" ht="14.4" thickTop="1" thickBot="1" x14ac:dyDescent="0.3">
      <c r="A5467" s="292"/>
      <c r="B5467" s="296"/>
      <c r="C5467" s="294"/>
      <c r="D5467" s="294"/>
      <c r="E5467" s="294"/>
      <c r="F5467" s="310"/>
      <c r="G5467" s="310"/>
      <c r="H5467" s="310"/>
      <c r="I5467" s="295"/>
      <c r="J5467" s="295"/>
      <c r="K5467" s="300">
        <f t="shared" si="663"/>
        <v>1.1000000000000001</v>
      </c>
      <c r="L5467" s="300">
        <f t="shared" si="661"/>
        <v>0</v>
      </c>
      <c r="M5467" s="285">
        <f t="shared" si="662"/>
        <v>0</v>
      </c>
      <c r="N5467" s="1076"/>
      <c r="O5467" s="294"/>
      <c r="P5467" s="404"/>
      <c r="Q5467" s="404"/>
    </row>
    <row r="5468" spans="1:17" ht="14.4" thickTop="1" thickBot="1" x14ac:dyDescent="0.3">
      <c r="A5468" s="292"/>
      <c r="B5468" s="296"/>
      <c r="C5468" s="294"/>
      <c r="D5468" s="294"/>
      <c r="E5468" s="294"/>
      <c r="F5468" s="310"/>
      <c r="G5468" s="310"/>
      <c r="H5468" s="310"/>
      <c r="I5468" s="295"/>
      <c r="J5468" s="295"/>
      <c r="K5468" s="300">
        <f t="shared" si="663"/>
        <v>1.1000000000000001</v>
      </c>
      <c r="L5468" s="300">
        <f t="shared" si="661"/>
        <v>0</v>
      </c>
      <c r="M5468" s="285">
        <f t="shared" si="662"/>
        <v>0</v>
      </c>
      <c r="N5468" s="1076"/>
      <c r="O5468" s="294"/>
      <c r="P5468" s="404"/>
      <c r="Q5468" s="404"/>
    </row>
    <row r="5469" spans="1:17" ht="14.4" thickTop="1" thickBot="1" x14ac:dyDescent="0.3">
      <c r="A5469" s="292"/>
      <c r="B5469" s="296"/>
      <c r="C5469" s="294"/>
      <c r="D5469" s="294"/>
      <c r="E5469" s="294"/>
      <c r="F5469" s="310"/>
      <c r="G5469" s="310"/>
      <c r="H5469" s="310"/>
      <c r="I5469" s="295"/>
      <c r="J5469" s="295"/>
      <c r="K5469" s="300">
        <f t="shared" si="663"/>
        <v>1.1000000000000001</v>
      </c>
      <c r="L5469" s="300">
        <f t="shared" si="661"/>
        <v>0</v>
      </c>
      <c r="M5469" s="285">
        <f t="shared" si="662"/>
        <v>0</v>
      </c>
      <c r="N5469" s="1076"/>
      <c r="O5469" s="294"/>
      <c r="P5469" s="404"/>
      <c r="Q5469" s="404"/>
    </row>
    <row r="5470" spans="1:17" ht="14.4" thickTop="1" thickBot="1" x14ac:dyDescent="0.3">
      <c r="A5470" s="292"/>
      <c r="B5470" s="296"/>
      <c r="C5470" s="294"/>
      <c r="D5470" s="294"/>
      <c r="E5470" s="294"/>
      <c r="F5470" s="310"/>
      <c r="G5470" s="310"/>
      <c r="H5470" s="310"/>
      <c r="I5470" s="295"/>
      <c r="J5470" s="295"/>
      <c r="K5470" s="300">
        <f t="shared" si="663"/>
        <v>1.1000000000000001</v>
      </c>
      <c r="L5470" s="300">
        <f t="shared" si="661"/>
        <v>0</v>
      </c>
      <c r="M5470" s="285">
        <f t="shared" si="662"/>
        <v>0</v>
      </c>
      <c r="N5470" s="1076"/>
      <c r="O5470" s="294"/>
      <c r="P5470" s="404"/>
      <c r="Q5470" s="404"/>
    </row>
    <row r="5471" spans="1:17" ht="14.4" thickTop="1" thickBot="1" x14ac:dyDescent="0.3">
      <c r="A5471" s="292"/>
      <c r="B5471" s="296"/>
      <c r="C5471" s="294"/>
      <c r="D5471" s="294"/>
      <c r="E5471" s="294"/>
      <c r="F5471" s="310"/>
      <c r="G5471" s="310"/>
      <c r="H5471" s="310"/>
      <c r="I5471" s="295"/>
      <c r="J5471" s="295"/>
      <c r="K5471" s="300">
        <f t="shared" si="663"/>
        <v>1.1000000000000001</v>
      </c>
      <c r="L5471" s="300">
        <f t="shared" si="661"/>
        <v>0</v>
      </c>
      <c r="M5471" s="285">
        <f t="shared" si="662"/>
        <v>0</v>
      </c>
      <c r="N5471" s="1076"/>
      <c r="O5471" s="294"/>
      <c r="P5471" s="404"/>
      <c r="Q5471" s="404"/>
    </row>
    <row r="5472" spans="1:17" ht="14.4" thickTop="1" thickBot="1" x14ac:dyDescent="0.3">
      <c r="A5472" s="292"/>
      <c r="B5472" s="296"/>
      <c r="C5472" s="294"/>
      <c r="D5472" s="294"/>
      <c r="E5472" s="294"/>
      <c r="F5472" s="310"/>
      <c r="G5472" s="310"/>
      <c r="H5472" s="310"/>
      <c r="I5472" s="295"/>
      <c r="J5472" s="295"/>
      <c r="K5472" s="300">
        <f t="shared" si="663"/>
        <v>1.1000000000000001</v>
      </c>
      <c r="L5472" s="300">
        <f t="shared" si="661"/>
        <v>0</v>
      </c>
      <c r="M5472" s="285">
        <f t="shared" si="662"/>
        <v>0</v>
      </c>
      <c r="N5472" s="1076"/>
      <c r="O5472" s="294"/>
      <c r="P5472" s="404"/>
      <c r="Q5472" s="404"/>
    </row>
    <row r="5473" spans="1:17" ht="14.4" thickTop="1" thickBot="1" x14ac:dyDescent="0.3">
      <c r="A5473" s="292"/>
      <c r="B5473" s="296"/>
      <c r="C5473" s="294"/>
      <c r="D5473" s="294"/>
      <c r="E5473" s="294"/>
      <c r="F5473" s="310"/>
      <c r="G5473" s="310"/>
      <c r="H5473" s="310"/>
      <c r="I5473" s="295"/>
      <c r="J5473" s="295"/>
      <c r="K5473" s="300">
        <f t="shared" si="663"/>
        <v>1.1000000000000001</v>
      </c>
      <c r="L5473" s="300">
        <f t="shared" si="661"/>
        <v>0</v>
      </c>
      <c r="M5473" s="285">
        <f t="shared" si="662"/>
        <v>0</v>
      </c>
      <c r="N5473" s="1076"/>
      <c r="O5473" s="294"/>
      <c r="P5473" s="404"/>
      <c r="Q5473" s="404"/>
    </row>
    <row r="5474" spans="1:17" ht="14.4" thickTop="1" thickBot="1" x14ac:dyDescent="0.3">
      <c r="A5474" s="292"/>
      <c r="B5474" s="296"/>
      <c r="C5474" s="294"/>
      <c r="D5474" s="294"/>
      <c r="E5474" s="294"/>
      <c r="F5474" s="310"/>
      <c r="G5474" s="310"/>
      <c r="H5474" s="310"/>
      <c r="I5474" s="295"/>
      <c r="J5474" s="295"/>
      <c r="K5474" s="300">
        <f t="shared" si="663"/>
        <v>1.1000000000000001</v>
      </c>
      <c r="L5474" s="300">
        <f t="shared" si="661"/>
        <v>0</v>
      </c>
      <c r="M5474" s="285">
        <f t="shared" si="662"/>
        <v>0</v>
      </c>
      <c r="N5474" s="1076"/>
      <c r="O5474" s="294"/>
      <c r="P5474" s="404"/>
      <c r="Q5474" s="404"/>
    </row>
    <row r="5475" spans="1:17" ht="14.4" thickTop="1" thickBot="1" x14ac:dyDescent="0.3">
      <c r="A5475" s="292"/>
      <c r="B5475" s="296"/>
      <c r="C5475" s="294"/>
      <c r="D5475" s="294"/>
      <c r="E5475" s="294"/>
      <c r="F5475" s="310"/>
      <c r="G5475" s="310"/>
      <c r="H5475" s="310"/>
      <c r="I5475" s="295"/>
      <c r="J5475" s="295"/>
      <c r="K5475" s="300">
        <f t="shared" si="663"/>
        <v>1.1000000000000001</v>
      </c>
      <c r="L5475" s="300">
        <f t="shared" si="661"/>
        <v>0</v>
      </c>
      <c r="M5475" s="285">
        <f t="shared" si="662"/>
        <v>0</v>
      </c>
      <c r="N5475" s="1076"/>
      <c r="O5475" s="294"/>
      <c r="P5475" s="404"/>
      <c r="Q5475" s="404"/>
    </row>
    <row r="5476" spans="1:17" ht="14.4" thickTop="1" thickBot="1" x14ac:dyDescent="0.3">
      <c r="A5476" s="292"/>
      <c r="B5476" s="296"/>
      <c r="C5476" s="294"/>
      <c r="D5476" s="294"/>
      <c r="E5476" s="294"/>
      <c r="F5476" s="310"/>
      <c r="G5476" s="310"/>
      <c r="H5476" s="310"/>
      <c r="I5476" s="295"/>
      <c r="J5476" s="295"/>
      <c r="K5476" s="300">
        <f t="shared" si="663"/>
        <v>1.1000000000000001</v>
      </c>
      <c r="L5476" s="300">
        <f t="shared" si="661"/>
        <v>0</v>
      </c>
      <c r="M5476" s="285">
        <f t="shared" si="662"/>
        <v>0</v>
      </c>
      <c r="N5476" s="1076"/>
      <c r="O5476" s="294"/>
      <c r="P5476" s="404"/>
      <c r="Q5476" s="404"/>
    </row>
    <row r="5477" spans="1:17" ht="14.4" thickTop="1" thickBot="1" x14ac:dyDescent="0.3">
      <c r="A5477" s="292"/>
      <c r="B5477" s="296"/>
      <c r="C5477" s="294"/>
      <c r="D5477" s="294"/>
      <c r="E5477" s="294"/>
      <c r="F5477" s="310"/>
      <c r="G5477" s="310"/>
      <c r="H5477" s="310"/>
      <c r="I5477" s="295"/>
      <c r="J5477" s="295"/>
      <c r="K5477" s="300">
        <f t="shared" si="663"/>
        <v>1.1000000000000001</v>
      </c>
      <c r="L5477" s="300">
        <f t="shared" si="661"/>
        <v>0</v>
      </c>
      <c r="M5477" s="285">
        <f t="shared" si="662"/>
        <v>0</v>
      </c>
      <c r="N5477" s="1076"/>
      <c r="O5477" s="294"/>
      <c r="P5477" s="404"/>
      <c r="Q5477" s="404"/>
    </row>
    <row r="5478" spans="1:17" ht="14.4" thickTop="1" thickBot="1" x14ac:dyDescent="0.3">
      <c r="A5478" s="292"/>
      <c r="B5478" s="296"/>
      <c r="C5478" s="294"/>
      <c r="D5478" s="294"/>
      <c r="E5478" s="294"/>
      <c r="F5478" s="310"/>
      <c r="G5478" s="310"/>
      <c r="H5478" s="310"/>
      <c r="I5478" s="295"/>
      <c r="J5478" s="295"/>
      <c r="K5478" s="300">
        <f t="shared" si="663"/>
        <v>1.1000000000000001</v>
      </c>
      <c r="L5478" s="300">
        <f t="shared" si="661"/>
        <v>0</v>
      </c>
      <c r="M5478" s="285">
        <f t="shared" si="662"/>
        <v>0</v>
      </c>
      <c r="N5478" s="1076"/>
      <c r="O5478" s="294"/>
      <c r="P5478" s="404"/>
      <c r="Q5478" s="404"/>
    </row>
    <row r="5479" spans="1:17" ht="14.4" thickTop="1" thickBot="1" x14ac:dyDescent="0.3">
      <c r="A5479" s="292"/>
      <c r="B5479" s="296"/>
      <c r="C5479" s="294"/>
      <c r="D5479" s="294"/>
      <c r="E5479" s="294"/>
      <c r="F5479" s="310"/>
      <c r="G5479" s="310"/>
      <c r="H5479" s="310"/>
      <c r="I5479" s="295"/>
      <c r="J5479" s="295"/>
      <c r="K5479" s="300">
        <f t="shared" si="663"/>
        <v>1.1000000000000001</v>
      </c>
      <c r="L5479" s="300">
        <f t="shared" si="661"/>
        <v>0</v>
      </c>
      <c r="M5479" s="285">
        <f t="shared" si="662"/>
        <v>0</v>
      </c>
      <c r="N5479" s="1076"/>
      <c r="O5479" s="294"/>
      <c r="P5479" s="404"/>
      <c r="Q5479" s="404"/>
    </row>
    <row r="5480" spans="1:17" ht="14.4" thickTop="1" thickBot="1" x14ac:dyDescent="0.3">
      <c r="A5480" s="292"/>
      <c r="B5480" s="296"/>
      <c r="C5480" s="294"/>
      <c r="D5480" s="294"/>
      <c r="E5480" s="294"/>
      <c r="F5480" s="310"/>
      <c r="G5480" s="310"/>
      <c r="H5480" s="310"/>
      <c r="I5480" s="295"/>
      <c r="J5480" s="295"/>
      <c r="K5480" s="300">
        <f t="shared" si="663"/>
        <v>1.1000000000000001</v>
      </c>
      <c r="L5480" s="300">
        <f t="shared" si="661"/>
        <v>0</v>
      </c>
      <c r="M5480" s="285">
        <f t="shared" si="662"/>
        <v>0</v>
      </c>
      <c r="N5480" s="1076"/>
      <c r="O5480" s="294"/>
      <c r="P5480" s="404"/>
      <c r="Q5480" s="404"/>
    </row>
    <row r="5481" spans="1:17" ht="14.4" thickTop="1" thickBot="1" x14ac:dyDescent="0.3">
      <c r="A5481" s="292"/>
      <c r="B5481" s="296"/>
      <c r="C5481" s="294"/>
      <c r="D5481" s="294"/>
      <c r="E5481" s="294"/>
      <c r="F5481" s="310"/>
      <c r="G5481" s="310"/>
      <c r="H5481" s="310"/>
      <c r="I5481" s="295"/>
      <c r="J5481" s="295"/>
      <c r="K5481" s="300">
        <f t="shared" si="663"/>
        <v>1.1000000000000001</v>
      </c>
      <c r="L5481" s="300">
        <f t="shared" ref="L5481:L5544" si="664">K5481*J5481</f>
        <v>0</v>
      </c>
      <c r="M5481" s="285">
        <f t="shared" si="662"/>
        <v>0</v>
      </c>
      <c r="N5481" s="1076"/>
      <c r="O5481" s="294"/>
      <c r="P5481" s="404"/>
      <c r="Q5481" s="404"/>
    </row>
    <row r="5482" spans="1:17" ht="14.4" thickTop="1" thickBot="1" x14ac:dyDescent="0.3">
      <c r="A5482" s="292"/>
      <c r="B5482" s="296"/>
      <c r="C5482" s="294"/>
      <c r="D5482" s="294"/>
      <c r="E5482" s="294"/>
      <c r="F5482" s="310"/>
      <c r="G5482" s="310"/>
      <c r="H5482" s="310"/>
      <c r="I5482" s="295"/>
      <c r="J5482" s="295"/>
      <c r="K5482" s="300">
        <f t="shared" si="663"/>
        <v>1.1000000000000001</v>
      </c>
      <c r="L5482" s="300">
        <f t="shared" si="664"/>
        <v>0</v>
      </c>
      <c r="M5482" s="285">
        <f t="shared" si="662"/>
        <v>0</v>
      </c>
      <c r="N5482" s="1076"/>
      <c r="O5482" s="294"/>
      <c r="P5482" s="404"/>
      <c r="Q5482" s="404"/>
    </row>
    <row r="5483" spans="1:17" ht="14.4" thickTop="1" thickBot="1" x14ac:dyDescent="0.3">
      <c r="A5483" s="292"/>
      <c r="B5483" s="296"/>
      <c r="C5483" s="294"/>
      <c r="D5483" s="294"/>
      <c r="E5483" s="294"/>
      <c r="F5483" s="310"/>
      <c r="G5483" s="310"/>
      <c r="H5483" s="310"/>
      <c r="I5483" s="295"/>
      <c r="J5483" s="295"/>
      <c r="K5483" s="300">
        <f t="shared" si="663"/>
        <v>1.1000000000000001</v>
      </c>
      <c r="L5483" s="300">
        <f t="shared" si="664"/>
        <v>0</v>
      </c>
      <c r="M5483" s="285">
        <f t="shared" si="662"/>
        <v>0</v>
      </c>
      <c r="N5483" s="1076"/>
      <c r="O5483" s="294"/>
      <c r="P5483" s="404"/>
      <c r="Q5483" s="404"/>
    </row>
    <row r="5484" spans="1:17" ht="14.4" thickTop="1" thickBot="1" x14ac:dyDescent="0.3">
      <c r="A5484" s="292"/>
      <c r="B5484" s="296"/>
      <c r="C5484" s="294"/>
      <c r="D5484" s="294"/>
      <c r="E5484" s="294"/>
      <c r="F5484" s="310"/>
      <c r="G5484" s="310"/>
      <c r="H5484" s="310"/>
      <c r="I5484" s="295"/>
      <c r="J5484" s="295"/>
      <c r="K5484" s="300">
        <f t="shared" si="663"/>
        <v>1.1000000000000001</v>
      </c>
      <c r="L5484" s="300">
        <f t="shared" si="664"/>
        <v>0</v>
      </c>
      <c r="M5484" s="285">
        <f t="shared" si="662"/>
        <v>0</v>
      </c>
      <c r="N5484" s="1076"/>
      <c r="O5484" s="294"/>
      <c r="P5484" s="404"/>
      <c r="Q5484" s="404"/>
    </row>
    <row r="5485" spans="1:17" ht="14.4" thickTop="1" thickBot="1" x14ac:dyDescent="0.3">
      <c r="A5485" s="292"/>
      <c r="B5485" s="296"/>
      <c r="C5485" s="294"/>
      <c r="D5485" s="294"/>
      <c r="E5485" s="294"/>
      <c r="F5485" s="310"/>
      <c r="G5485" s="310"/>
      <c r="H5485" s="310"/>
      <c r="I5485" s="295"/>
      <c r="J5485" s="295"/>
      <c r="K5485" s="300">
        <f t="shared" si="663"/>
        <v>1.1000000000000001</v>
      </c>
      <c r="L5485" s="300">
        <f t="shared" si="664"/>
        <v>0</v>
      </c>
      <c r="M5485" s="285">
        <f t="shared" ref="M5485:M5548" si="665">ROUND(L5485,0)</f>
        <v>0</v>
      </c>
      <c r="N5485" s="1076"/>
      <c r="O5485" s="294"/>
      <c r="P5485" s="404"/>
      <c r="Q5485" s="404"/>
    </row>
    <row r="5486" spans="1:17" ht="14.4" thickTop="1" thickBot="1" x14ac:dyDescent="0.3">
      <c r="A5486" s="292"/>
      <c r="B5486" s="296"/>
      <c r="C5486" s="294"/>
      <c r="D5486" s="294"/>
      <c r="E5486" s="294"/>
      <c r="F5486" s="310"/>
      <c r="G5486" s="310"/>
      <c r="H5486" s="310"/>
      <c r="I5486" s="295"/>
      <c r="J5486" s="295"/>
      <c r="K5486" s="300">
        <f t="shared" si="663"/>
        <v>1.1000000000000001</v>
      </c>
      <c r="L5486" s="300">
        <f t="shared" si="664"/>
        <v>0</v>
      </c>
      <c r="M5486" s="285">
        <f t="shared" si="665"/>
        <v>0</v>
      </c>
      <c r="N5486" s="1076"/>
      <c r="O5486" s="294"/>
      <c r="P5486" s="404"/>
      <c r="Q5486" s="404"/>
    </row>
    <row r="5487" spans="1:17" ht="14.4" thickTop="1" thickBot="1" x14ac:dyDescent="0.3">
      <c r="A5487" s="292"/>
      <c r="B5487" s="296"/>
      <c r="C5487" s="294"/>
      <c r="D5487" s="294"/>
      <c r="E5487" s="294"/>
      <c r="F5487" s="310"/>
      <c r="G5487" s="310"/>
      <c r="H5487" s="310"/>
      <c r="I5487" s="295"/>
      <c r="J5487" s="295"/>
      <c r="K5487" s="300">
        <f t="shared" si="663"/>
        <v>1.1000000000000001</v>
      </c>
      <c r="L5487" s="300">
        <f t="shared" si="664"/>
        <v>0</v>
      </c>
      <c r="M5487" s="285">
        <f t="shared" si="665"/>
        <v>0</v>
      </c>
      <c r="N5487" s="1076"/>
      <c r="O5487" s="294"/>
      <c r="P5487" s="404"/>
      <c r="Q5487" s="404"/>
    </row>
    <row r="5488" spans="1:17" ht="14.4" thickTop="1" thickBot="1" x14ac:dyDescent="0.3">
      <c r="A5488" s="292"/>
      <c r="B5488" s="296"/>
      <c r="C5488" s="294"/>
      <c r="D5488" s="294"/>
      <c r="E5488" s="294"/>
      <c r="F5488" s="310"/>
      <c r="G5488" s="310"/>
      <c r="H5488" s="310"/>
      <c r="I5488" s="295"/>
      <c r="J5488" s="295"/>
      <c r="K5488" s="300">
        <f t="shared" si="663"/>
        <v>1.1000000000000001</v>
      </c>
      <c r="L5488" s="300">
        <f t="shared" si="664"/>
        <v>0</v>
      </c>
      <c r="M5488" s="285">
        <f t="shared" si="665"/>
        <v>0</v>
      </c>
      <c r="N5488" s="1076"/>
      <c r="O5488" s="294"/>
      <c r="P5488" s="404"/>
      <c r="Q5488" s="404"/>
    </row>
    <row r="5489" spans="1:17" ht="14.4" thickTop="1" thickBot="1" x14ac:dyDescent="0.3">
      <c r="A5489" s="292"/>
      <c r="B5489" s="296"/>
      <c r="C5489" s="294"/>
      <c r="D5489" s="294"/>
      <c r="E5489" s="294"/>
      <c r="F5489" s="310"/>
      <c r="G5489" s="310"/>
      <c r="H5489" s="310"/>
      <c r="I5489" s="295"/>
      <c r="J5489" s="295"/>
      <c r="K5489" s="300">
        <f t="shared" si="663"/>
        <v>1.1000000000000001</v>
      </c>
      <c r="L5489" s="300">
        <f t="shared" si="664"/>
        <v>0</v>
      </c>
      <c r="M5489" s="285">
        <f t="shared" si="665"/>
        <v>0</v>
      </c>
      <c r="N5489" s="1076"/>
      <c r="O5489" s="294"/>
      <c r="P5489" s="404"/>
      <c r="Q5489" s="404"/>
    </row>
    <row r="5490" spans="1:17" ht="14.4" thickTop="1" thickBot="1" x14ac:dyDescent="0.3">
      <c r="A5490" s="292"/>
      <c r="B5490" s="296"/>
      <c r="C5490" s="294"/>
      <c r="D5490" s="294"/>
      <c r="E5490" s="294"/>
      <c r="F5490" s="310"/>
      <c r="G5490" s="310"/>
      <c r="H5490" s="310"/>
      <c r="I5490" s="295"/>
      <c r="J5490" s="295"/>
      <c r="K5490" s="300">
        <f t="shared" si="663"/>
        <v>1.1000000000000001</v>
      </c>
      <c r="L5490" s="300">
        <f t="shared" si="664"/>
        <v>0</v>
      </c>
      <c r="M5490" s="285">
        <f t="shared" si="665"/>
        <v>0</v>
      </c>
      <c r="N5490" s="1076"/>
      <c r="O5490" s="294"/>
      <c r="P5490" s="404"/>
      <c r="Q5490" s="404"/>
    </row>
    <row r="5491" spans="1:17" ht="14.4" thickTop="1" thickBot="1" x14ac:dyDescent="0.3">
      <c r="A5491" s="292"/>
      <c r="B5491" s="296"/>
      <c r="C5491" s="294"/>
      <c r="D5491" s="294"/>
      <c r="E5491" s="294"/>
      <c r="F5491" s="310"/>
      <c r="G5491" s="310"/>
      <c r="H5491" s="310"/>
      <c r="I5491" s="295"/>
      <c r="J5491" s="295"/>
      <c r="K5491" s="300">
        <f t="shared" si="663"/>
        <v>1.1000000000000001</v>
      </c>
      <c r="L5491" s="300">
        <f t="shared" si="664"/>
        <v>0</v>
      </c>
      <c r="M5491" s="285">
        <f t="shared" si="665"/>
        <v>0</v>
      </c>
      <c r="N5491" s="1076"/>
      <c r="O5491" s="294"/>
      <c r="P5491" s="404"/>
      <c r="Q5491" s="404"/>
    </row>
    <row r="5492" spans="1:17" ht="14.4" thickTop="1" thickBot="1" x14ac:dyDescent="0.3">
      <c r="A5492" s="292"/>
      <c r="B5492" s="296"/>
      <c r="C5492" s="294"/>
      <c r="D5492" s="294"/>
      <c r="E5492" s="294"/>
      <c r="F5492" s="310"/>
      <c r="G5492" s="310"/>
      <c r="H5492" s="310"/>
      <c r="I5492" s="295"/>
      <c r="J5492" s="295"/>
      <c r="K5492" s="300">
        <f t="shared" si="663"/>
        <v>1.1000000000000001</v>
      </c>
      <c r="L5492" s="300">
        <f t="shared" si="664"/>
        <v>0</v>
      </c>
      <c r="M5492" s="285">
        <f t="shared" si="665"/>
        <v>0</v>
      </c>
      <c r="N5492" s="1076"/>
      <c r="O5492" s="294"/>
      <c r="P5492" s="404"/>
      <c r="Q5492" s="404"/>
    </row>
    <row r="5493" spans="1:17" ht="14.4" thickTop="1" thickBot="1" x14ac:dyDescent="0.3">
      <c r="A5493" s="292"/>
      <c r="B5493" s="296"/>
      <c r="C5493" s="294"/>
      <c r="D5493" s="294"/>
      <c r="E5493" s="294"/>
      <c r="F5493" s="310"/>
      <c r="G5493" s="310"/>
      <c r="H5493" s="310"/>
      <c r="I5493" s="295"/>
      <c r="J5493" s="295"/>
      <c r="K5493" s="300">
        <f t="shared" si="663"/>
        <v>1.1000000000000001</v>
      </c>
      <c r="L5493" s="300">
        <f t="shared" si="664"/>
        <v>0</v>
      </c>
      <c r="M5493" s="285">
        <f t="shared" si="665"/>
        <v>0</v>
      </c>
      <c r="N5493" s="1076"/>
      <c r="O5493" s="294"/>
      <c r="P5493" s="404"/>
      <c r="Q5493" s="404"/>
    </row>
    <row r="5494" spans="1:17" ht="14.4" thickTop="1" thickBot="1" x14ac:dyDescent="0.3">
      <c r="A5494" s="292"/>
      <c r="B5494" s="296"/>
      <c r="C5494" s="294"/>
      <c r="D5494" s="294"/>
      <c r="E5494" s="294"/>
      <c r="F5494" s="310"/>
      <c r="G5494" s="310"/>
      <c r="H5494" s="310"/>
      <c r="I5494" s="295"/>
      <c r="J5494" s="295"/>
      <c r="K5494" s="300">
        <f t="shared" si="663"/>
        <v>1.1000000000000001</v>
      </c>
      <c r="L5494" s="300">
        <f t="shared" si="664"/>
        <v>0</v>
      </c>
      <c r="M5494" s="285">
        <f t="shared" si="665"/>
        <v>0</v>
      </c>
      <c r="N5494" s="1076"/>
      <c r="O5494" s="294"/>
      <c r="P5494" s="404"/>
      <c r="Q5494" s="404"/>
    </row>
    <row r="5495" spans="1:17" ht="14.4" thickTop="1" thickBot="1" x14ac:dyDescent="0.3">
      <c r="A5495" s="292"/>
      <c r="B5495" s="296"/>
      <c r="C5495" s="294"/>
      <c r="D5495" s="294"/>
      <c r="E5495" s="294"/>
      <c r="F5495" s="310"/>
      <c r="G5495" s="310"/>
      <c r="H5495" s="310"/>
      <c r="I5495" s="295"/>
      <c r="J5495" s="295"/>
      <c r="K5495" s="300">
        <f t="shared" si="663"/>
        <v>1.1000000000000001</v>
      </c>
      <c r="L5495" s="300">
        <f t="shared" si="664"/>
        <v>0</v>
      </c>
      <c r="M5495" s="285">
        <f t="shared" si="665"/>
        <v>0</v>
      </c>
      <c r="N5495" s="1076"/>
      <c r="O5495" s="294"/>
      <c r="P5495" s="404"/>
      <c r="Q5495" s="404"/>
    </row>
    <row r="5496" spans="1:17" ht="14.4" thickTop="1" thickBot="1" x14ac:dyDescent="0.3">
      <c r="A5496" s="292"/>
      <c r="B5496" s="296"/>
      <c r="C5496" s="294"/>
      <c r="D5496" s="294"/>
      <c r="E5496" s="294"/>
      <c r="F5496" s="310"/>
      <c r="G5496" s="310"/>
      <c r="H5496" s="310"/>
      <c r="I5496" s="295"/>
      <c r="J5496" s="295"/>
      <c r="K5496" s="300">
        <f t="shared" si="663"/>
        <v>1.1000000000000001</v>
      </c>
      <c r="L5496" s="300">
        <f t="shared" si="664"/>
        <v>0</v>
      </c>
      <c r="M5496" s="285">
        <f t="shared" si="665"/>
        <v>0</v>
      </c>
      <c r="N5496" s="1076"/>
      <c r="O5496" s="294"/>
      <c r="P5496" s="404"/>
      <c r="Q5496" s="404"/>
    </row>
    <row r="5497" spans="1:17" ht="14.4" thickTop="1" thickBot="1" x14ac:dyDescent="0.3">
      <c r="A5497" s="292"/>
      <c r="B5497" s="296"/>
      <c r="C5497" s="294"/>
      <c r="D5497" s="294"/>
      <c r="E5497" s="294"/>
      <c r="F5497" s="310"/>
      <c r="G5497" s="310"/>
      <c r="H5497" s="310"/>
      <c r="I5497" s="295"/>
      <c r="J5497" s="295"/>
      <c r="K5497" s="300">
        <f t="shared" si="663"/>
        <v>1.1000000000000001</v>
      </c>
      <c r="L5497" s="300">
        <f t="shared" si="664"/>
        <v>0</v>
      </c>
      <c r="M5497" s="285">
        <f t="shared" si="665"/>
        <v>0</v>
      </c>
      <c r="N5497" s="1076"/>
      <c r="O5497" s="294"/>
      <c r="P5497" s="404"/>
      <c r="Q5497" s="404"/>
    </row>
    <row r="5498" spans="1:17" ht="14.4" thickTop="1" thickBot="1" x14ac:dyDescent="0.3">
      <c r="A5498" s="292"/>
      <c r="B5498" s="296"/>
      <c r="C5498" s="294"/>
      <c r="D5498" s="294"/>
      <c r="E5498" s="294"/>
      <c r="F5498" s="310"/>
      <c r="G5498" s="310"/>
      <c r="H5498" s="310"/>
      <c r="I5498" s="295"/>
      <c r="J5498" s="295"/>
      <c r="K5498" s="300">
        <f t="shared" si="663"/>
        <v>1.1000000000000001</v>
      </c>
      <c r="L5498" s="300">
        <f t="shared" si="664"/>
        <v>0</v>
      </c>
      <c r="M5498" s="285">
        <f t="shared" si="665"/>
        <v>0</v>
      </c>
      <c r="N5498" s="1076"/>
      <c r="O5498" s="294"/>
      <c r="P5498" s="404"/>
      <c r="Q5498" s="404"/>
    </row>
    <row r="5499" spans="1:17" ht="14.4" thickTop="1" thickBot="1" x14ac:dyDescent="0.3">
      <c r="A5499" s="292"/>
      <c r="B5499" s="296"/>
      <c r="C5499" s="294"/>
      <c r="D5499" s="294"/>
      <c r="E5499" s="294"/>
      <c r="F5499" s="310"/>
      <c r="G5499" s="310"/>
      <c r="H5499" s="310"/>
      <c r="I5499" s="295"/>
      <c r="J5499" s="295"/>
      <c r="K5499" s="300">
        <f t="shared" si="663"/>
        <v>1.1000000000000001</v>
      </c>
      <c r="L5499" s="300">
        <f t="shared" si="664"/>
        <v>0</v>
      </c>
      <c r="M5499" s="285">
        <f t="shared" si="665"/>
        <v>0</v>
      </c>
      <c r="N5499" s="1076"/>
      <c r="O5499" s="294"/>
      <c r="P5499" s="404"/>
      <c r="Q5499" s="404"/>
    </row>
    <row r="5500" spans="1:17" ht="14.4" thickTop="1" thickBot="1" x14ac:dyDescent="0.3">
      <c r="A5500" s="292"/>
      <c r="B5500" s="296"/>
      <c r="C5500" s="294"/>
      <c r="D5500" s="294"/>
      <c r="E5500" s="294"/>
      <c r="F5500" s="310"/>
      <c r="G5500" s="310"/>
      <c r="H5500" s="310"/>
      <c r="I5500" s="295"/>
      <c r="J5500" s="295"/>
      <c r="K5500" s="300">
        <f t="shared" si="663"/>
        <v>1.1000000000000001</v>
      </c>
      <c r="L5500" s="300">
        <f t="shared" si="664"/>
        <v>0</v>
      </c>
      <c r="M5500" s="285">
        <f t="shared" si="665"/>
        <v>0</v>
      </c>
      <c r="N5500" s="1076"/>
      <c r="O5500" s="294"/>
      <c r="P5500" s="404"/>
      <c r="Q5500" s="404"/>
    </row>
    <row r="5501" spans="1:17" ht="14.4" thickTop="1" thickBot="1" x14ac:dyDescent="0.3">
      <c r="A5501" s="292"/>
      <c r="B5501" s="296"/>
      <c r="C5501" s="294"/>
      <c r="D5501" s="294"/>
      <c r="E5501" s="294"/>
      <c r="F5501" s="310"/>
      <c r="G5501" s="310"/>
      <c r="H5501" s="310"/>
      <c r="I5501" s="295"/>
      <c r="J5501" s="295"/>
      <c r="K5501" s="300">
        <f t="shared" si="663"/>
        <v>1.1000000000000001</v>
      </c>
      <c r="L5501" s="300">
        <f t="shared" si="664"/>
        <v>0</v>
      </c>
      <c r="M5501" s="285">
        <f t="shared" si="665"/>
        <v>0</v>
      </c>
      <c r="N5501" s="1076"/>
      <c r="O5501" s="294"/>
      <c r="P5501" s="404"/>
      <c r="Q5501" s="404"/>
    </row>
    <row r="5502" spans="1:17" ht="14.4" thickTop="1" thickBot="1" x14ac:dyDescent="0.3">
      <c r="A5502" s="292"/>
      <c r="B5502" s="296"/>
      <c r="C5502" s="294"/>
      <c r="D5502" s="294"/>
      <c r="E5502" s="294"/>
      <c r="F5502" s="310"/>
      <c r="G5502" s="310"/>
      <c r="H5502" s="310"/>
      <c r="I5502" s="295"/>
      <c r="J5502" s="295"/>
      <c r="K5502" s="300">
        <f t="shared" si="663"/>
        <v>1.1000000000000001</v>
      </c>
      <c r="L5502" s="300">
        <f t="shared" si="664"/>
        <v>0</v>
      </c>
      <c r="M5502" s="285">
        <f t="shared" si="665"/>
        <v>0</v>
      </c>
      <c r="N5502" s="1076"/>
      <c r="O5502" s="294"/>
      <c r="P5502" s="404"/>
      <c r="Q5502" s="404"/>
    </row>
    <row r="5503" spans="1:17" ht="14.4" thickTop="1" thickBot="1" x14ac:dyDescent="0.3">
      <c r="A5503" s="292"/>
      <c r="B5503" s="296"/>
      <c r="C5503" s="294"/>
      <c r="D5503" s="294"/>
      <c r="E5503" s="294"/>
      <c r="F5503" s="310"/>
      <c r="G5503" s="310"/>
      <c r="H5503" s="310"/>
      <c r="I5503" s="295"/>
      <c r="J5503" s="295"/>
      <c r="K5503" s="300">
        <f t="shared" si="663"/>
        <v>1.1000000000000001</v>
      </c>
      <c r="L5503" s="300">
        <f t="shared" si="664"/>
        <v>0</v>
      </c>
      <c r="M5503" s="285">
        <f t="shared" si="665"/>
        <v>0</v>
      </c>
      <c r="N5503" s="1076"/>
      <c r="O5503" s="294"/>
      <c r="P5503" s="404"/>
      <c r="Q5503" s="404"/>
    </row>
    <row r="5504" spans="1:17" ht="14.4" thickTop="1" thickBot="1" x14ac:dyDescent="0.3">
      <c r="A5504" s="292"/>
      <c r="B5504" s="296"/>
      <c r="C5504" s="294"/>
      <c r="D5504" s="294"/>
      <c r="E5504" s="294"/>
      <c r="F5504" s="310"/>
      <c r="G5504" s="310"/>
      <c r="H5504" s="310"/>
      <c r="I5504" s="295"/>
      <c r="J5504" s="295"/>
      <c r="K5504" s="300">
        <f t="shared" si="663"/>
        <v>1.1000000000000001</v>
      </c>
      <c r="L5504" s="300">
        <f t="shared" si="664"/>
        <v>0</v>
      </c>
      <c r="M5504" s="285">
        <f t="shared" si="665"/>
        <v>0</v>
      </c>
      <c r="N5504" s="1076"/>
      <c r="O5504" s="294"/>
      <c r="P5504" s="404"/>
      <c r="Q5504" s="404"/>
    </row>
    <row r="5505" spans="1:17" ht="14.4" thickTop="1" thickBot="1" x14ac:dyDescent="0.3">
      <c r="A5505" s="292"/>
      <c r="B5505" s="296"/>
      <c r="C5505" s="294"/>
      <c r="D5505" s="294"/>
      <c r="E5505" s="294"/>
      <c r="F5505" s="310"/>
      <c r="G5505" s="310"/>
      <c r="H5505" s="310"/>
      <c r="I5505" s="295"/>
      <c r="J5505" s="295"/>
      <c r="K5505" s="300">
        <f t="shared" si="663"/>
        <v>1.1000000000000001</v>
      </c>
      <c r="L5505" s="300">
        <f t="shared" si="664"/>
        <v>0</v>
      </c>
      <c r="M5505" s="285">
        <f t="shared" si="665"/>
        <v>0</v>
      </c>
      <c r="N5505" s="1076"/>
      <c r="O5505" s="294"/>
      <c r="P5505" s="404"/>
      <c r="Q5505" s="404"/>
    </row>
    <row r="5506" spans="1:17" ht="14.4" thickTop="1" thickBot="1" x14ac:dyDescent="0.3">
      <c r="A5506" s="292"/>
      <c r="B5506" s="296"/>
      <c r="C5506" s="294"/>
      <c r="D5506" s="294"/>
      <c r="E5506" s="294"/>
      <c r="F5506" s="310"/>
      <c r="G5506" s="310"/>
      <c r="H5506" s="310"/>
      <c r="I5506" s="295"/>
      <c r="J5506" s="295"/>
      <c r="K5506" s="300">
        <f t="shared" si="663"/>
        <v>1.1000000000000001</v>
      </c>
      <c r="L5506" s="300">
        <f t="shared" si="664"/>
        <v>0</v>
      </c>
      <c r="M5506" s="285">
        <f t="shared" si="665"/>
        <v>0</v>
      </c>
      <c r="N5506" s="1076"/>
      <c r="O5506" s="294"/>
      <c r="P5506" s="404"/>
      <c r="Q5506" s="404"/>
    </row>
    <row r="5507" spans="1:17" ht="14.4" thickTop="1" thickBot="1" x14ac:dyDescent="0.3">
      <c r="A5507" s="292"/>
      <c r="B5507" s="296"/>
      <c r="C5507" s="294"/>
      <c r="D5507" s="294"/>
      <c r="E5507" s="294"/>
      <c r="F5507" s="310"/>
      <c r="G5507" s="310"/>
      <c r="H5507" s="310"/>
      <c r="I5507" s="295"/>
      <c r="J5507" s="295"/>
      <c r="K5507" s="300">
        <f t="shared" si="663"/>
        <v>1.1000000000000001</v>
      </c>
      <c r="L5507" s="300">
        <f t="shared" si="664"/>
        <v>0</v>
      </c>
      <c r="M5507" s="285">
        <f t="shared" si="665"/>
        <v>0</v>
      </c>
      <c r="N5507" s="1076"/>
      <c r="O5507" s="294"/>
      <c r="P5507" s="404"/>
      <c r="Q5507" s="404"/>
    </row>
    <row r="5508" spans="1:17" ht="14.4" thickTop="1" thickBot="1" x14ac:dyDescent="0.3">
      <c r="A5508" s="292"/>
      <c r="B5508" s="296"/>
      <c r="C5508" s="294"/>
      <c r="D5508" s="294"/>
      <c r="E5508" s="294"/>
      <c r="F5508" s="310"/>
      <c r="G5508" s="310"/>
      <c r="H5508" s="310"/>
      <c r="I5508" s="295"/>
      <c r="J5508" s="295"/>
      <c r="K5508" s="300">
        <f t="shared" si="663"/>
        <v>1.1000000000000001</v>
      </c>
      <c r="L5508" s="300">
        <f t="shared" si="664"/>
        <v>0</v>
      </c>
      <c r="M5508" s="285">
        <f t="shared" si="665"/>
        <v>0</v>
      </c>
      <c r="N5508" s="1076"/>
      <c r="O5508" s="294"/>
      <c r="P5508" s="404"/>
      <c r="Q5508" s="404"/>
    </row>
    <row r="5509" spans="1:17" ht="14.4" thickTop="1" thickBot="1" x14ac:dyDescent="0.3">
      <c r="A5509" s="292"/>
      <c r="B5509" s="296"/>
      <c r="C5509" s="294"/>
      <c r="D5509" s="294"/>
      <c r="E5509" s="294"/>
      <c r="F5509" s="310"/>
      <c r="G5509" s="310"/>
      <c r="H5509" s="310"/>
      <c r="I5509" s="295"/>
      <c r="J5509" s="295"/>
      <c r="K5509" s="300">
        <f t="shared" si="663"/>
        <v>1.1000000000000001</v>
      </c>
      <c r="L5509" s="300">
        <f t="shared" si="664"/>
        <v>0</v>
      </c>
      <c r="M5509" s="285">
        <f t="shared" si="665"/>
        <v>0</v>
      </c>
      <c r="N5509" s="1076"/>
      <c r="O5509" s="294"/>
      <c r="P5509" s="404"/>
      <c r="Q5509" s="404"/>
    </row>
    <row r="5510" spans="1:17" ht="14.4" thickTop="1" thickBot="1" x14ac:dyDescent="0.3">
      <c r="A5510" s="292"/>
      <c r="B5510" s="296"/>
      <c r="C5510" s="294"/>
      <c r="D5510" s="294"/>
      <c r="E5510" s="294"/>
      <c r="F5510" s="310"/>
      <c r="G5510" s="310"/>
      <c r="H5510" s="310"/>
      <c r="I5510" s="295"/>
      <c r="J5510" s="295"/>
      <c r="K5510" s="300">
        <f t="shared" si="663"/>
        <v>1.1000000000000001</v>
      </c>
      <c r="L5510" s="300">
        <f t="shared" si="664"/>
        <v>0</v>
      </c>
      <c r="M5510" s="285">
        <f t="shared" si="665"/>
        <v>0</v>
      </c>
      <c r="N5510" s="1076"/>
      <c r="O5510" s="294"/>
      <c r="P5510" s="404"/>
      <c r="Q5510" s="404"/>
    </row>
    <row r="5511" spans="1:17" ht="14.4" thickTop="1" thickBot="1" x14ac:dyDescent="0.3">
      <c r="A5511" s="292"/>
      <c r="B5511" s="296"/>
      <c r="C5511" s="294"/>
      <c r="D5511" s="294"/>
      <c r="E5511" s="294"/>
      <c r="F5511" s="310"/>
      <c r="G5511" s="310"/>
      <c r="H5511" s="310"/>
      <c r="I5511" s="295"/>
      <c r="J5511" s="295"/>
      <c r="K5511" s="300">
        <f t="shared" si="663"/>
        <v>1.1000000000000001</v>
      </c>
      <c r="L5511" s="300">
        <f t="shared" si="664"/>
        <v>0</v>
      </c>
      <c r="M5511" s="285">
        <f t="shared" si="665"/>
        <v>0</v>
      </c>
      <c r="N5511" s="1076"/>
      <c r="O5511" s="294"/>
      <c r="P5511" s="404"/>
      <c r="Q5511" s="404"/>
    </row>
    <row r="5512" spans="1:17" ht="14.4" thickTop="1" thickBot="1" x14ac:dyDescent="0.3">
      <c r="A5512" s="292"/>
      <c r="B5512" s="296"/>
      <c r="C5512" s="294"/>
      <c r="D5512" s="294"/>
      <c r="E5512" s="294"/>
      <c r="F5512" s="310"/>
      <c r="G5512" s="310"/>
      <c r="H5512" s="310"/>
      <c r="I5512" s="295"/>
      <c r="J5512" s="295"/>
      <c r="K5512" s="300">
        <f t="shared" si="663"/>
        <v>1.1000000000000001</v>
      </c>
      <c r="L5512" s="300">
        <f t="shared" si="664"/>
        <v>0</v>
      </c>
      <c r="M5512" s="285">
        <f t="shared" si="665"/>
        <v>0</v>
      </c>
      <c r="N5512" s="1076"/>
      <c r="O5512" s="294"/>
      <c r="P5512" s="404"/>
      <c r="Q5512" s="404"/>
    </row>
    <row r="5513" spans="1:17" ht="14.4" thickTop="1" thickBot="1" x14ac:dyDescent="0.3">
      <c r="A5513" s="292"/>
      <c r="B5513" s="296"/>
      <c r="C5513" s="294"/>
      <c r="D5513" s="294"/>
      <c r="E5513" s="294"/>
      <c r="F5513" s="310"/>
      <c r="G5513" s="310"/>
      <c r="H5513" s="310"/>
      <c r="I5513" s="295"/>
      <c r="J5513" s="295"/>
      <c r="K5513" s="300">
        <f t="shared" si="663"/>
        <v>1.1000000000000001</v>
      </c>
      <c r="L5513" s="300">
        <f t="shared" si="664"/>
        <v>0</v>
      </c>
      <c r="M5513" s="285">
        <f t="shared" si="665"/>
        <v>0</v>
      </c>
      <c r="N5513" s="1076"/>
      <c r="O5513" s="294"/>
      <c r="P5513" s="404"/>
      <c r="Q5513" s="404"/>
    </row>
    <row r="5514" spans="1:17" ht="14.4" thickTop="1" thickBot="1" x14ac:dyDescent="0.3">
      <c r="A5514" s="292"/>
      <c r="B5514" s="296"/>
      <c r="C5514" s="294"/>
      <c r="D5514" s="294"/>
      <c r="E5514" s="294"/>
      <c r="F5514" s="310"/>
      <c r="G5514" s="310"/>
      <c r="H5514" s="310"/>
      <c r="I5514" s="295"/>
      <c r="J5514" s="295"/>
      <c r="K5514" s="300">
        <f t="shared" si="663"/>
        <v>1.1000000000000001</v>
      </c>
      <c r="L5514" s="300">
        <f t="shared" si="664"/>
        <v>0</v>
      </c>
      <c r="M5514" s="285">
        <f t="shared" si="665"/>
        <v>0</v>
      </c>
      <c r="N5514" s="1076"/>
      <c r="O5514" s="294"/>
      <c r="P5514" s="404"/>
      <c r="Q5514" s="404"/>
    </row>
    <row r="5515" spans="1:17" ht="14.4" thickTop="1" thickBot="1" x14ac:dyDescent="0.3">
      <c r="A5515" s="292"/>
      <c r="B5515" s="296"/>
      <c r="C5515" s="294"/>
      <c r="D5515" s="294"/>
      <c r="E5515" s="294"/>
      <c r="F5515" s="310"/>
      <c r="G5515" s="310"/>
      <c r="H5515" s="310"/>
      <c r="I5515" s="295"/>
      <c r="J5515" s="295"/>
      <c r="K5515" s="300">
        <f t="shared" si="663"/>
        <v>1.1000000000000001</v>
      </c>
      <c r="L5515" s="300">
        <f t="shared" si="664"/>
        <v>0</v>
      </c>
      <c r="M5515" s="285">
        <f t="shared" si="665"/>
        <v>0</v>
      </c>
      <c r="N5515" s="1076"/>
      <c r="O5515" s="294"/>
      <c r="P5515" s="404"/>
      <c r="Q5515" s="404"/>
    </row>
    <row r="5516" spans="1:17" ht="14.4" thickTop="1" thickBot="1" x14ac:dyDescent="0.3">
      <c r="A5516" s="292"/>
      <c r="B5516" s="296"/>
      <c r="C5516" s="294"/>
      <c r="D5516" s="294"/>
      <c r="E5516" s="294"/>
      <c r="F5516" s="310"/>
      <c r="G5516" s="310"/>
      <c r="H5516" s="310"/>
      <c r="I5516" s="295"/>
      <c r="J5516" s="295"/>
      <c r="K5516" s="300">
        <f t="shared" si="663"/>
        <v>1.1000000000000001</v>
      </c>
      <c r="L5516" s="300">
        <f t="shared" si="664"/>
        <v>0</v>
      </c>
      <c r="M5516" s="285">
        <f t="shared" si="665"/>
        <v>0</v>
      </c>
      <c r="N5516" s="1076"/>
      <c r="O5516" s="294"/>
      <c r="P5516" s="404"/>
      <c r="Q5516" s="404"/>
    </row>
    <row r="5517" spans="1:17" ht="14.4" thickTop="1" thickBot="1" x14ac:dyDescent="0.3">
      <c r="A5517" s="292"/>
      <c r="B5517" s="296"/>
      <c r="C5517" s="294"/>
      <c r="D5517" s="294"/>
      <c r="E5517" s="294"/>
      <c r="F5517" s="310"/>
      <c r="G5517" s="310"/>
      <c r="H5517" s="310"/>
      <c r="I5517" s="295"/>
      <c r="J5517" s="295"/>
      <c r="K5517" s="300">
        <f t="shared" si="663"/>
        <v>1.1000000000000001</v>
      </c>
      <c r="L5517" s="300">
        <f t="shared" si="664"/>
        <v>0</v>
      </c>
      <c r="M5517" s="285">
        <f t="shared" si="665"/>
        <v>0</v>
      </c>
      <c r="N5517" s="1076"/>
      <c r="O5517" s="294"/>
      <c r="P5517" s="404"/>
      <c r="Q5517" s="404"/>
    </row>
    <row r="5518" spans="1:17" ht="14.4" thickTop="1" thickBot="1" x14ac:dyDescent="0.3">
      <c r="A5518" s="292"/>
      <c r="B5518" s="296"/>
      <c r="C5518" s="294"/>
      <c r="D5518" s="294"/>
      <c r="E5518" s="294"/>
      <c r="F5518" s="310"/>
      <c r="G5518" s="310"/>
      <c r="H5518" s="310"/>
      <c r="I5518" s="295"/>
      <c r="J5518" s="295"/>
      <c r="K5518" s="300">
        <f t="shared" si="663"/>
        <v>1.1000000000000001</v>
      </c>
      <c r="L5518" s="300">
        <f t="shared" si="664"/>
        <v>0</v>
      </c>
      <c r="M5518" s="285">
        <f t="shared" si="665"/>
        <v>0</v>
      </c>
      <c r="N5518" s="1076"/>
      <c r="O5518" s="294"/>
      <c r="P5518" s="404"/>
      <c r="Q5518" s="404"/>
    </row>
    <row r="5519" spans="1:17" ht="14.4" thickTop="1" thickBot="1" x14ac:dyDescent="0.3">
      <c r="A5519" s="292"/>
      <c r="B5519" s="296"/>
      <c r="C5519" s="294"/>
      <c r="D5519" s="294"/>
      <c r="E5519" s="294"/>
      <c r="F5519" s="310"/>
      <c r="G5519" s="310"/>
      <c r="H5519" s="310"/>
      <c r="I5519" s="295"/>
      <c r="J5519" s="295"/>
      <c r="K5519" s="300">
        <f t="shared" si="663"/>
        <v>1.1000000000000001</v>
      </c>
      <c r="L5519" s="300">
        <f t="shared" si="664"/>
        <v>0</v>
      </c>
      <c r="M5519" s="285">
        <f t="shared" si="665"/>
        <v>0</v>
      </c>
      <c r="N5519" s="1076"/>
      <c r="O5519" s="294"/>
      <c r="P5519" s="404"/>
      <c r="Q5519" s="404"/>
    </row>
    <row r="5520" spans="1:17" ht="14.4" thickTop="1" thickBot="1" x14ac:dyDescent="0.3">
      <c r="A5520" s="292"/>
      <c r="B5520" s="296"/>
      <c r="C5520" s="294"/>
      <c r="D5520" s="294"/>
      <c r="E5520" s="294"/>
      <c r="F5520" s="310"/>
      <c r="G5520" s="310"/>
      <c r="H5520" s="310"/>
      <c r="I5520" s="295"/>
      <c r="J5520" s="295"/>
      <c r="K5520" s="300">
        <f t="shared" si="663"/>
        <v>1.1000000000000001</v>
      </c>
      <c r="L5520" s="300">
        <f t="shared" si="664"/>
        <v>0</v>
      </c>
      <c r="M5520" s="285">
        <f t="shared" si="665"/>
        <v>0</v>
      </c>
      <c r="N5520" s="1076"/>
      <c r="O5520" s="294"/>
      <c r="P5520" s="404"/>
      <c r="Q5520" s="404"/>
    </row>
    <row r="5521" spans="1:17" ht="14.4" thickTop="1" thickBot="1" x14ac:dyDescent="0.3">
      <c r="A5521" s="292"/>
      <c r="B5521" s="296"/>
      <c r="C5521" s="294"/>
      <c r="D5521" s="294"/>
      <c r="E5521" s="294"/>
      <c r="F5521" s="310"/>
      <c r="G5521" s="310"/>
      <c r="H5521" s="310"/>
      <c r="I5521" s="295"/>
      <c r="J5521" s="295"/>
      <c r="K5521" s="300">
        <f t="shared" si="663"/>
        <v>1.1000000000000001</v>
      </c>
      <c r="L5521" s="300">
        <f t="shared" si="664"/>
        <v>0</v>
      </c>
      <c r="M5521" s="285">
        <f t="shared" si="665"/>
        <v>0</v>
      </c>
      <c r="N5521" s="1076"/>
      <c r="O5521" s="294"/>
      <c r="P5521" s="404"/>
      <c r="Q5521" s="404"/>
    </row>
    <row r="5522" spans="1:17" ht="14.4" thickTop="1" thickBot="1" x14ac:dyDescent="0.3">
      <c r="A5522" s="292"/>
      <c r="B5522" s="296"/>
      <c r="C5522" s="294"/>
      <c r="D5522" s="294"/>
      <c r="E5522" s="294"/>
      <c r="F5522" s="310"/>
      <c r="G5522" s="310"/>
      <c r="H5522" s="310"/>
      <c r="I5522" s="295"/>
      <c r="J5522" s="295"/>
      <c r="K5522" s="300">
        <f t="shared" si="663"/>
        <v>1.1000000000000001</v>
      </c>
      <c r="L5522" s="300">
        <f t="shared" si="664"/>
        <v>0</v>
      </c>
      <c r="M5522" s="285">
        <f t="shared" si="665"/>
        <v>0</v>
      </c>
      <c r="N5522" s="1076"/>
      <c r="O5522" s="294"/>
      <c r="P5522" s="404"/>
      <c r="Q5522" s="404"/>
    </row>
    <row r="5523" spans="1:17" ht="14.4" thickTop="1" thickBot="1" x14ac:dyDescent="0.3">
      <c r="A5523" s="292"/>
      <c r="B5523" s="296"/>
      <c r="C5523" s="294"/>
      <c r="D5523" s="294"/>
      <c r="E5523" s="294"/>
      <c r="F5523" s="310"/>
      <c r="G5523" s="310"/>
      <c r="H5523" s="310"/>
      <c r="I5523" s="295"/>
      <c r="J5523" s="295"/>
      <c r="K5523" s="300">
        <f t="shared" si="663"/>
        <v>1.1000000000000001</v>
      </c>
      <c r="L5523" s="300">
        <f t="shared" si="664"/>
        <v>0</v>
      </c>
      <c r="M5523" s="285">
        <f t="shared" si="665"/>
        <v>0</v>
      </c>
      <c r="N5523" s="1076"/>
      <c r="O5523" s="294"/>
      <c r="P5523" s="404"/>
      <c r="Q5523" s="404"/>
    </row>
    <row r="5524" spans="1:17" ht="14.4" thickTop="1" thickBot="1" x14ac:dyDescent="0.3">
      <c r="A5524" s="292"/>
      <c r="B5524" s="296"/>
      <c r="C5524" s="294"/>
      <c r="D5524" s="294"/>
      <c r="E5524" s="294"/>
      <c r="F5524" s="310"/>
      <c r="G5524" s="310"/>
      <c r="H5524" s="310"/>
      <c r="I5524" s="295"/>
      <c r="J5524" s="295"/>
      <c r="K5524" s="300">
        <f t="shared" ref="K5524:K5587" si="666">$K$2</f>
        <v>1.1000000000000001</v>
      </c>
      <c r="L5524" s="300">
        <f t="shared" si="664"/>
        <v>0</v>
      </c>
      <c r="M5524" s="285">
        <f t="shared" si="665"/>
        <v>0</v>
      </c>
      <c r="N5524" s="1076"/>
      <c r="O5524" s="294"/>
      <c r="P5524" s="404"/>
      <c r="Q5524" s="404"/>
    </row>
    <row r="5525" spans="1:17" ht="14.4" thickTop="1" thickBot="1" x14ac:dyDescent="0.3">
      <c r="A5525" s="292"/>
      <c r="B5525" s="296"/>
      <c r="C5525" s="294"/>
      <c r="D5525" s="294"/>
      <c r="E5525" s="294"/>
      <c r="F5525" s="310"/>
      <c r="G5525" s="310"/>
      <c r="H5525" s="310"/>
      <c r="I5525" s="295"/>
      <c r="J5525" s="295"/>
      <c r="K5525" s="300">
        <f t="shared" si="666"/>
        <v>1.1000000000000001</v>
      </c>
      <c r="L5525" s="300">
        <f t="shared" si="664"/>
        <v>0</v>
      </c>
      <c r="M5525" s="285">
        <f t="shared" si="665"/>
        <v>0</v>
      </c>
      <c r="N5525" s="1076"/>
      <c r="O5525" s="294"/>
      <c r="P5525" s="404"/>
      <c r="Q5525" s="404"/>
    </row>
    <row r="5526" spans="1:17" ht="14.4" thickTop="1" thickBot="1" x14ac:dyDescent="0.3">
      <c r="A5526" s="292"/>
      <c r="B5526" s="296"/>
      <c r="C5526" s="294"/>
      <c r="D5526" s="294"/>
      <c r="E5526" s="294"/>
      <c r="F5526" s="310"/>
      <c r="G5526" s="310"/>
      <c r="H5526" s="310"/>
      <c r="I5526" s="295"/>
      <c r="J5526" s="295"/>
      <c r="K5526" s="300">
        <f t="shared" si="666"/>
        <v>1.1000000000000001</v>
      </c>
      <c r="L5526" s="300">
        <f t="shared" si="664"/>
        <v>0</v>
      </c>
      <c r="M5526" s="285">
        <f t="shared" si="665"/>
        <v>0</v>
      </c>
      <c r="N5526" s="1076"/>
      <c r="O5526" s="294"/>
      <c r="P5526" s="404"/>
      <c r="Q5526" s="404"/>
    </row>
    <row r="5527" spans="1:17" ht="14.4" thickTop="1" thickBot="1" x14ac:dyDescent="0.3">
      <c r="A5527" s="292"/>
      <c r="B5527" s="296"/>
      <c r="C5527" s="294"/>
      <c r="D5527" s="294"/>
      <c r="E5527" s="294"/>
      <c r="F5527" s="310"/>
      <c r="G5527" s="310"/>
      <c r="H5527" s="310"/>
      <c r="I5527" s="295"/>
      <c r="J5527" s="295"/>
      <c r="K5527" s="300">
        <f t="shared" si="666"/>
        <v>1.1000000000000001</v>
      </c>
      <c r="L5527" s="300">
        <f t="shared" si="664"/>
        <v>0</v>
      </c>
      <c r="M5527" s="285">
        <f t="shared" si="665"/>
        <v>0</v>
      </c>
      <c r="N5527" s="1076"/>
      <c r="O5527" s="294"/>
      <c r="P5527" s="404"/>
      <c r="Q5527" s="404"/>
    </row>
    <row r="5528" spans="1:17" ht="14.4" thickTop="1" thickBot="1" x14ac:dyDescent="0.3">
      <c r="A5528" s="292"/>
      <c r="B5528" s="296"/>
      <c r="C5528" s="294"/>
      <c r="D5528" s="294"/>
      <c r="E5528" s="294"/>
      <c r="F5528" s="310"/>
      <c r="G5528" s="310"/>
      <c r="H5528" s="310"/>
      <c r="I5528" s="295"/>
      <c r="J5528" s="295"/>
      <c r="K5528" s="300">
        <f t="shared" si="666"/>
        <v>1.1000000000000001</v>
      </c>
      <c r="L5528" s="300">
        <f t="shared" si="664"/>
        <v>0</v>
      </c>
      <c r="M5528" s="285">
        <f t="shared" si="665"/>
        <v>0</v>
      </c>
      <c r="N5528" s="1076"/>
      <c r="O5528" s="294"/>
      <c r="P5528" s="404"/>
      <c r="Q5528" s="404"/>
    </row>
    <row r="5529" spans="1:17" ht="14.4" thickTop="1" thickBot="1" x14ac:dyDescent="0.3">
      <c r="A5529" s="292"/>
      <c r="B5529" s="296"/>
      <c r="C5529" s="294"/>
      <c r="D5529" s="294"/>
      <c r="E5529" s="294"/>
      <c r="F5529" s="310"/>
      <c r="G5529" s="310"/>
      <c r="H5529" s="310"/>
      <c r="I5529" s="295"/>
      <c r="J5529" s="295"/>
      <c r="K5529" s="300">
        <f t="shared" si="666"/>
        <v>1.1000000000000001</v>
      </c>
      <c r="L5529" s="300">
        <f t="shared" si="664"/>
        <v>0</v>
      </c>
      <c r="M5529" s="285">
        <f t="shared" si="665"/>
        <v>0</v>
      </c>
      <c r="N5529" s="1076"/>
      <c r="O5529" s="294"/>
      <c r="P5529" s="404"/>
      <c r="Q5529" s="404"/>
    </row>
    <row r="5530" spans="1:17" ht="14.4" thickTop="1" thickBot="1" x14ac:dyDescent="0.3">
      <c r="A5530" s="292"/>
      <c r="B5530" s="296"/>
      <c r="C5530" s="294"/>
      <c r="D5530" s="294"/>
      <c r="E5530" s="294"/>
      <c r="F5530" s="310"/>
      <c r="G5530" s="310"/>
      <c r="H5530" s="310"/>
      <c r="I5530" s="295"/>
      <c r="J5530" s="295"/>
      <c r="K5530" s="300">
        <f t="shared" si="666"/>
        <v>1.1000000000000001</v>
      </c>
      <c r="L5530" s="300">
        <f t="shared" si="664"/>
        <v>0</v>
      </c>
      <c r="M5530" s="285">
        <f t="shared" si="665"/>
        <v>0</v>
      </c>
      <c r="N5530" s="1076"/>
      <c r="O5530" s="294"/>
      <c r="P5530" s="404"/>
      <c r="Q5530" s="404"/>
    </row>
    <row r="5531" spans="1:17" ht="14.4" thickTop="1" thickBot="1" x14ac:dyDescent="0.3">
      <c r="A5531" s="292"/>
      <c r="B5531" s="296"/>
      <c r="C5531" s="294"/>
      <c r="D5531" s="294"/>
      <c r="E5531" s="294"/>
      <c r="F5531" s="310"/>
      <c r="G5531" s="310"/>
      <c r="H5531" s="310"/>
      <c r="I5531" s="295"/>
      <c r="J5531" s="295"/>
      <c r="K5531" s="300">
        <f t="shared" si="666"/>
        <v>1.1000000000000001</v>
      </c>
      <c r="L5531" s="300">
        <f t="shared" si="664"/>
        <v>0</v>
      </c>
      <c r="M5531" s="285">
        <f t="shared" si="665"/>
        <v>0</v>
      </c>
      <c r="N5531" s="1076"/>
      <c r="O5531" s="294"/>
      <c r="P5531" s="404"/>
      <c r="Q5531" s="404"/>
    </row>
    <row r="5532" spans="1:17" ht="14.4" thickTop="1" thickBot="1" x14ac:dyDescent="0.3">
      <c r="A5532" s="292"/>
      <c r="B5532" s="296"/>
      <c r="C5532" s="294"/>
      <c r="D5532" s="294"/>
      <c r="E5532" s="294"/>
      <c r="F5532" s="310"/>
      <c r="G5532" s="310"/>
      <c r="H5532" s="310"/>
      <c r="I5532" s="295"/>
      <c r="J5532" s="295"/>
      <c r="K5532" s="300">
        <f t="shared" si="666"/>
        <v>1.1000000000000001</v>
      </c>
      <c r="L5532" s="300">
        <f t="shared" si="664"/>
        <v>0</v>
      </c>
      <c r="M5532" s="285">
        <f t="shared" si="665"/>
        <v>0</v>
      </c>
      <c r="N5532" s="1076"/>
      <c r="O5532" s="294"/>
      <c r="P5532" s="404"/>
      <c r="Q5532" s="404"/>
    </row>
    <row r="5533" spans="1:17" ht="14.4" thickTop="1" thickBot="1" x14ac:dyDescent="0.3">
      <c r="A5533" s="292"/>
      <c r="B5533" s="296"/>
      <c r="C5533" s="294"/>
      <c r="D5533" s="294"/>
      <c r="E5533" s="294"/>
      <c r="F5533" s="310"/>
      <c r="G5533" s="310"/>
      <c r="H5533" s="310"/>
      <c r="I5533" s="295"/>
      <c r="J5533" s="295"/>
      <c r="K5533" s="300">
        <f t="shared" si="666"/>
        <v>1.1000000000000001</v>
      </c>
      <c r="L5533" s="300">
        <f t="shared" si="664"/>
        <v>0</v>
      </c>
      <c r="M5533" s="285">
        <f t="shared" si="665"/>
        <v>0</v>
      </c>
      <c r="N5533" s="1076"/>
      <c r="O5533" s="294"/>
      <c r="P5533" s="404"/>
      <c r="Q5533" s="404"/>
    </row>
    <row r="5534" spans="1:17" ht="14.4" thickTop="1" thickBot="1" x14ac:dyDescent="0.3">
      <c r="A5534" s="292"/>
      <c r="B5534" s="296"/>
      <c r="C5534" s="294"/>
      <c r="D5534" s="294"/>
      <c r="E5534" s="294"/>
      <c r="F5534" s="310"/>
      <c r="G5534" s="310"/>
      <c r="H5534" s="310"/>
      <c r="I5534" s="295"/>
      <c r="J5534" s="295"/>
      <c r="K5534" s="300">
        <f t="shared" si="666"/>
        <v>1.1000000000000001</v>
      </c>
      <c r="L5534" s="300">
        <f t="shared" si="664"/>
        <v>0</v>
      </c>
      <c r="M5534" s="285">
        <f t="shared" si="665"/>
        <v>0</v>
      </c>
      <c r="N5534" s="1076"/>
      <c r="O5534" s="294"/>
      <c r="P5534" s="404"/>
      <c r="Q5534" s="404"/>
    </row>
    <row r="5535" spans="1:17" ht="14.4" thickTop="1" thickBot="1" x14ac:dyDescent="0.3">
      <c r="A5535" s="292"/>
      <c r="B5535" s="296"/>
      <c r="C5535" s="294"/>
      <c r="D5535" s="294"/>
      <c r="E5535" s="294"/>
      <c r="F5535" s="310"/>
      <c r="G5535" s="310"/>
      <c r="H5535" s="310"/>
      <c r="I5535" s="295"/>
      <c r="J5535" s="295"/>
      <c r="K5535" s="300">
        <f t="shared" si="666"/>
        <v>1.1000000000000001</v>
      </c>
      <c r="L5535" s="300">
        <f t="shared" si="664"/>
        <v>0</v>
      </c>
      <c r="M5535" s="285">
        <f t="shared" si="665"/>
        <v>0</v>
      </c>
      <c r="N5535" s="1076"/>
      <c r="O5535" s="294"/>
      <c r="P5535" s="404"/>
      <c r="Q5535" s="404"/>
    </row>
    <row r="5536" spans="1:17" ht="14.4" thickTop="1" thickBot="1" x14ac:dyDescent="0.3">
      <c r="A5536" s="292"/>
      <c r="B5536" s="296"/>
      <c r="C5536" s="294"/>
      <c r="D5536" s="294"/>
      <c r="E5536" s="294"/>
      <c r="F5536" s="310"/>
      <c r="G5536" s="310"/>
      <c r="H5536" s="310"/>
      <c r="I5536" s="295"/>
      <c r="J5536" s="295"/>
      <c r="K5536" s="300">
        <f t="shared" si="666"/>
        <v>1.1000000000000001</v>
      </c>
      <c r="L5536" s="300">
        <f t="shared" si="664"/>
        <v>0</v>
      </c>
      <c r="M5536" s="285">
        <f t="shared" si="665"/>
        <v>0</v>
      </c>
      <c r="N5536" s="1076"/>
      <c r="O5536" s="294"/>
      <c r="P5536" s="404"/>
      <c r="Q5536" s="404"/>
    </row>
    <row r="5537" spans="1:17" ht="14.4" thickTop="1" thickBot="1" x14ac:dyDescent="0.3">
      <c r="A5537" s="292"/>
      <c r="B5537" s="296"/>
      <c r="C5537" s="294"/>
      <c r="D5537" s="294"/>
      <c r="E5537" s="294"/>
      <c r="F5537" s="310"/>
      <c r="G5537" s="310"/>
      <c r="H5537" s="310"/>
      <c r="I5537" s="295"/>
      <c r="J5537" s="295"/>
      <c r="K5537" s="300">
        <f t="shared" si="666"/>
        <v>1.1000000000000001</v>
      </c>
      <c r="L5537" s="300">
        <f t="shared" si="664"/>
        <v>0</v>
      </c>
      <c r="M5537" s="285">
        <f t="shared" si="665"/>
        <v>0</v>
      </c>
      <c r="N5537" s="1076"/>
      <c r="O5537" s="294"/>
      <c r="P5537" s="404"/>
      <c r="Q5537" s="404"/>
    </row>
    <row r="5538" spans="1:17" ht="14.4" thickTop="1" thickBot="1" x14ac:dyDescent="0.3">
      <c r="A5538" s="292"/>
      <c r="B5538" s="296"/>
      <c r="C5538" s="294"/>
      <c r="D5538" s="294"/>
      <c r="E5538" s="294"/>
      <c r="F5538" s="310"/>
      <c r="G5538" s="310"/>
      <c r="H5538" s="310"/>
      <c r="I5538" s="295"/>
      <c r="J5538" s="295"/>
      <c r="K5538" s="300">
        <f t="shared" si="666"/>
        <v>1.1000000000000001</v>
      </c>
      <c r="L5538" s="300">
        <f t="shared" si="664"/>
        <v>0</v>
      </c>
      <c r="M5538" s="285">
        <f t="shared" si="665"/>
        <v>0</v>
      </c>
      <c r="N5538" s="1076"/>
      <c r="O5538" s="294"/>
      <c r="P5538" s="404"/>
      <c r="Q5538" s="404"/>
    </row>
    <row r="5539" spans="1:17" ht="14.4" thickTop="1" thickBot="1" x14ac:dyDescent="0.3">
      <c r="A5539" s="292"/>
      <c r="B5539" s="296"/>
      <c r="C5539" s="294"/>
      <c r="D5539" s="294"/>
      <c r="E5539" s="294"/>
      <c r="F5539" s="310"/>
      <c r="G5539" s="310"/>
      <c r="H5539" s="310"/>
      <c r="I5539" s="295"/>
      <c r="J5539" s="295"/>
      <c r="K5539" s="300">
        <f t="shared" si="666"/>
        <v>1.1000000000000001</v>
      </c>
      <c r="L5539" s="300">
        <f t="shared" si="664"/>
        <v>0</v>
      </c>
      <c r="M5539" s="285">
        <f t="shared" si="665"/>
        <v>0</v>
      </c>
      <c r="N5539" s="1076"/>
      <c r="O5539" s="294"/>
      <c r="P5539" s="404"/>
      <c r="Q5539" s="404"/>
    </row>
    <row r="5540" spans="1:17" ht="14.4" thickTop="1" thickBot="1" x14ac:dyDescent="0.3">
      <c r="A5540" s="292"/>
      <c r="B5540" s="296"/>
      <c r="C5540" s="294"/>
      <c r="D5540" s="294"/>
      <c r="E5540" s="294"/>
      <c r="F5540" s="310"/>
      <c r="G5540" s="310"/>
      <c r="H5540" s="310"/>
      <c r="I5540" s="295"/>
      <c r="J5540" s="295"/>
      <c r="K5540" s="300">
        <f t="shared" si="666"/>
        <v>1.1000000000000001</v>
      </c>
      <c r="L5540" s="300">
        <f t="shared" si="664"/>
        <v>0</v>
      </c>
      <c r="M5540" s="285">
        <f t="shared" si="665"/>
        <v>0</v>
      </c>
      <c r="N5540" s="1076"/>
      <c r="O5540" s="294"/>
      <c r="P5540" s="404"/>
      <c r="Q5540" s="404"/>
    </row>
    <row r="5541" spans="1:17" ht="14.4" thickTop="1" thickBot="1" x14ac:dyDescent="0.3">
      <c r="A5541" s="292"/>
      <c r="B5541" s="296"/>
      <c r="C5541" s="294"/>
      <c r="D5541" s="294"/>
      <c r="E5541" s="294"/>
      <c r="F5541" s="310"/>
      <c r="G5541" s="310"/>
      <c r="H5541" s="310"/>
      <c r="I5541" s="295"/>
      <c r="J5541" s="295"/>
      <c r="K5541" s="300">
        <f t="shared" si="666"/>
        <v>1.1000000000000001</v>
      </c>
      <c r="L5541" s="300">
        <f t="shared" si="664"/>
        <v>0</v>
      </c>
      <c r="M5541" s="285">
        <f t="shared" si="665"/>
        <v>0</v>
      </c>
      <c r="N5541" s="1076"/>
      <c r="O5541" s="294"/>
      <c r="P5541" s="404"/>
      <c r="Q5541" s="404"/>
    </row>
    <row r="5542" spans="1:17" ht="14.4" thickTop="1" thickBot="1" x14ac:dyDescent="0.3">
      <c r="A5542" s="292"/>
      <c r="B5542" s="296"/>
      <c r="C5542" s="294"/>
      <c r="D5542" s="294"/>
      <c r="E5542" s="294"/>
      <c r="F5542" s="310"/>
      <c r="G5542" s="310"/>
      <c r="H5542" s="310"/>
      <c r="I5542" s="295"/>
      <c r="J5542" s="295"/>
      <c r="K5542" s="300">
        <f t="shared" si="666"/>
        <v>1.1000000000000001</v>
      </c>
      <c r="L5542" s="300">
        <f t="shared" si="664"/>
        <v>0</v>
      </c>
      <c r="M5542" s="285">
        <f t="shared" si="665"/>
        <v>0</v>
      </c>
      <c r="N5542" s="1076"/>
      <c r="O5542" s="294"/>
      <c r="P5542" s="404"/>
      <c r="Q5542" s="404"/>
    </row>
    <row r="5543" spans="1:17" ht="14.4" thickTop="1" thickBot="1" x14ac:dyDescent="0.3">
      <c r="A5543" s="292"/>
      <c r="B5543" s="296"/>
      <c r="C5543" s="294"/>
      <c r="D5543" s="294"/>
      <c r="E5543" s="294"/>
      <c r="F5543" s="310"/>
      <c r="G5543" s="310"/>
      <c r="H5543" s="310"/>
      <c r="I5543" s="295"/>
      <c r="J5543" s="295"/>
      <c r="K5543" s="300">
        <f t="shared" si="666"/>
        <v>1.1000000000000001</v>
      </c>
      <c r="L5543" s="300">
        <f t="shared" si="664"/>
        <v>0</v>
      </c>
      <c r="M5543" s="285">
        <f t="shared" si="665"/>
        <v>0</v>
      </c>
      <c r="N5543" s="1076"/>
      <c r="O5543" s="294"/>
      <c r="P5543" s="404"/>
      <c r="Q5543" s="404"/>
    </row>
    <row r="5544" spans="1:17" ht="14.4" thickTop="1" thickBot="1" x14ac:dyDescent="0.3">
      <c r="A5544" s="292"/>
      <c r="B5544" s="296"/>
      <c r="C5544" s="294"/>
      <c r="D5544" s="294"/>
      <c r="E5544" s="294"/>
      <c r="F5544" s="310"/>
      <c r="G5544" s="310"/>
      <c r="H5544" s="310"/>
      <c r="I5544" s="295"/>
      <c r="J5544" s="295"/>
      <c r="K5544" s="300">
        <f t="shared" si="666"/>
        <v>1.1000000000000001</v>
      </c>
      <c r="L5544" s="300">
        <f t="shared" si="664"/>
        <v>0</v>
      </c>
      <c r="M5544" s="285">
        <f t="shared" si="665"/>
        <v>0</v>
      </c>
      <c r="N5544" s="1076"/>
      <c r="O5544" s="294"/>
      <c r="P5544" s="404"/>
      <c r="Q5544" s="404"/>
    </row>
    <row r="5545" spans="1:17" ht="14.4" thickTop="1" thickBot="1" x14ac:dyDescent="0.3">
      <c r="A5545" s="292"/>
      <c r="B5545" s="296"/>
      <c r="C5545" s="294"/>
      <c r="D5545" s="294"/>
      <c r="E5545" s="294"/>
      <c r="F5545" s="310"/>
      <c r="G5545" s="310"/>
      <c r="H5545" s="310"/>
      <c r="I5545" s="295"/>
      <c r="J5545" s="295"/>
      <c r="K5545" s="300">
        <f t="shared" si="666"/>
        <v>1.1000000000000001</v>
      </c>
      <c r="L5545" s="300">
        <f t="shared" ref="L5545:L5608" si="667">K5545*J5545</f>
        <v>0</v>
      </c>
      <c r="M5545" s="285">
        <f t="shared" si="665"/>
        <v>0</v>
      </c>
      <c r="N5545" s="1076"/>
      <c r="O5545" s="294"/>
      <c r="P5545" s="404"/>
      <c r="Q5545" s="404"/>
    </row>
    <row r="5546" spans="1:17" ht="14.4" thickTop="1" thickBot="1" x14ac:dyDescent="0.3">
      <c r="A5546" s="292"/>
      <c r="B5546" s="296"/>
      <c r="C5546" s="294"/>
      <c r="D5546" s="294"/>
      <c r="E5546" s="294"/>
      <c r="F5546" s="310"/>
      <c r="G5546" s="310"/>
      <c r="H5546" s="310"/>
      <c r="I5546" s="295"/>
      <c r="J5546" s="295"/>
      <c r="K5546" s="300">
        <f t="shared" si="666"/>
        <v>1.1000000000000001</v>
      </c>
      <c r="L5546" s="300">
        <f t="shared" si="667"/>
        <v>0</v>
      </c>
      <c r="M5546" s="285">
        <f t="shared" si="665"/>
        <v>0</v>
      </c>
      <c r="N5546" s="1076"/>
      <c r="O5546" s="294"/>
      <c r="P5546" s="404"/>
      <c r="Q5546" s="404"/>
    </row>
    <row r="5547" spans="1:17" ht="14.4" thickTop="1" thickBot="1" x14ac:dyDescent="0.3">
      <c r="A5547" s="292"/>
      <c r="B5547" s="296"/>
      <c r="C5547" s="294"/>
      <c r="D5547" s="294"/>
      <c r="E5547" s="294"/>
      <c r="F5547" s="310"/>
      <c r="G5547" s="310"/>
      <c r="H5547" s="310"/>
      <c r="I5547" s="295"/>
      <c r="J5547" s="295"/>
      <c r="K5547" s="300">
        <f t="shared" si="666"/>
        <v>1.1000000000000001</v>
      </c>
      <c r="L5547" s="300">
        <f t="shared" si="667"/>
        <v>0</v>
      </c>
      <c r="M5547" s="285">
        <f t="shared" si="665"/>
        <v>0</v>
      </c>
      <c r="N5547" s="1076"/>
      <c r="O5547" s="294"/>
      <c r="P5547" s="404"/>
      <c r="Q5547" s="404"/>
    </row>
    <row r="5548" spans="1:17" ht="14.4" thickTop="1" thickBot="1" x14ac:dyDescent="0.3">
      <c r="A5548" s="292"/>
      <c r="B5548" s="296"/>
      <c r="C5548" s="294"/>
      <c r="D5548" s="294"/>
      <c r="E5548" s="294"/>
      <c r="F5548" s="310"/>
      <c r="G5548" s="310"/>
      <c r="H5548" s="310"/>
      <c r="I5548" s="295"/>
      <c r="J5548" s="295"/>
      <c r="K5548" s="300">
        <f t="shared" si="666"/>
        <v>1.1000000000000001</v>
      </c>
      <c r="L5548" s="300">
        <f t="shared" si="667"/>
        <v>0</v>
      </c>
      <c r="M5548" s="285">
        <f t="shared" si="665"/>
        <v>0</v>
      </c>
      <c r="N5548" s="1076"/>
      <c r="O5548" s="294"/>
      <c r="P5548" s="404"/>
      <c r="Q5548" s="404"/>
    </row>
    <row r="5549" spans="1:17" ht="14.4" thickTop="1" thickBot="1" x14ac:dyDescent="0.3">
      <c r="A5549" s="292"/>
      <c r="B5549" s="296"/>
      <c r="C5549" s="294"/>
      <c r="D5549" s="294"/>
      <c r="E5549" s="294"/>
      <c r="F5549" s="310"/>
      <c r="G5549" s="310"/>
      <c r="H5549" s="310"/>
      <c r="I5549" s="295"/>
      <c r="J5549" s="295"/>
      <c r="K5549" s="300">
        <f t="shared" si="666"/>
        <v>1.1000000000000001</v>
      </c>
      <c r="L5549" s="300">
        <f t="shared" si="667"/>
        <v>0</v>
      </c>
      <c r="M5549" s="285">
        <f t="shared" ref="M5549:M5612" si="668">ROUND(L5549,0)</f>
        <v>0</v>
      </c>
      <c r="N5549" s="1076"/>
      <c r="O5549" s="294"/>
      <c r="P5549" s="404"/>
      <c r="Q5549" s="404"/>
    </row>
    <row r="5550" spans="1:17" ht="14.4" thickTop="1" thickBot="1" x14ac:dyDescent="0.3">
      <c r="A5550" s="292"/>
      <c r="B5550" s="296"/>
      <c r="C5550" s="294"/>
      <c r="D5550" s="294"/>
      <c r="E5550" s="294"/>
      <c r="F5550" s="310"/>
      <c r="G5550" s="310"/>
      <c r="H5550" s="310"/>
      <c r="I5550" s="295"/>
      <c r="J5550" s="295"/>
      <c r="K5550" s="300">
        <f t="shared" si="666"/>
        <v>1.1000000000000001</v>
      </c>
      <c r="L5550" s="300">
        <f t="shared" si="667"/>
        <v>0</v>
      </c>
      <c r="M5550" s="285">
        <f t="shared" si="668"/>
        <v>0</v>
      </c>
      <c r="N5550" s="1076"/>
      <c r="O5550" s="294"/>
      <c r="P5550" s="404"/>
      <c r="Q5550" s="404"/>
    </row>
    <row r="5551" spans="1:17" ht="14.4" thickTop="1" thickBot="1" x14ac:dyDescent="0.3">
      <c r="A5551" s="292"/>
      <c r="B5551" s="296"/>
      <c r="C5551" s="294"/>
      <c r="D5551" s="294"/>
      <c r="E5551" s="294"/>
      <c r="F5551" s="310"/>
      <c r="G5551" s="310"/>
      <c r="H5551" s="310"/>
      <c r="I5551" s="295"/>
      <c r="J5551" s="295"/>
      <c r="K5551" s="300">
        <f t="shared" si="666"/>
        <v>1.1000000000000001</v>
      </c>
      <c r="L5551" s="300">
        <f t="shared" si="667"/>
        <v>0</v>
      </c>
      <c r="M5551" s="285">
        <f t="shared" si="668"/>
        <v>0</v>
      </c>
      <c r="N5551" s="1076"/>
      <c r="O5551" s="294"/>
      <c r="P5551" s="404"/>
      <c r="Q5551" s="404"/>
    </row>
    <row r="5552" spans="1:17" ht="14.4" thickTop="1" thickBot="1" x14ac:dyDescent="0.3">
      <c r="A5552" s="292"/>
      <c r="B5552" s="296"/>
      <c r="C5552" s="294"/>
      <c r="D5552" s="294"/>
      <c r="E5552" s="294"/>
      <c r="F5552" s="310"/>
      <c r="G5552" s="310"/>
      <c r="H5552" s="310"/>
      <c r="I5552" s="295"/>
      <c r="J5552" s="295"/>
      <c r="K5552" s="300">
        <f t="shared" si="666"/>
        <v>1.1000000000000001</v>
      </c>
      <c r="L5552" s="300">
        <f t="shared" si="667"/>
        <v>0</v>
      </c>
      <c r="M5552" s="285">
        <f t="shared" si="668"/>
        <v>0</v>
      </c>
      <c r="N5552" s="1076"/>
      <c r="O5552" s="294"/>
      <c r="P5552" s="404"/>
      <c r="Q5552" s="404"/>
    </row>
    <row r="5553" spans="1:17" ht="14.4" thickTop="1" thickBot="1" x14ac:dyDescent="0.3">
      <c r="A5553" s="292"/>
      <c r="B5553" s="296"/>
      <c r="C5553" s="294"/>
      <c r="D5553" s="294"/>
      <c r="E5553" s="294"/>
      <c r="F5553" s="310"/>
      <c r="G5553" s="310"/>
      <c r="H5553" s="310"/>
      <c r="I5553" s="295"/>
      <c r="J5553" s="295"/>
      <c r="K5553" s="300">
        <f t="shared" si="666"/>
        <v>1.1000000000000001</v>
      </c>
      <c r="L5553" s="300">
        <f t="shared" si="667"/>
        <v>0</v>
      </c>
      <c r="M5553" s="285">
        <f t="shared" si="668"/>
        <v>0</v>
      </c>
      <c r="N5553" s="1076"/>
      <c r="O5553" s="294"/>
      <c r="P5553" s="404"/>
      <c r="Q5553" s="404"/>
    </row>
    <row r="5554" spans="1:17" ht="14.4" thickTop="1" thickBot="1" x14ac:dyDescent="0.3">
      <c r="A5554" s="292"/>
      <c r="B5554" s="296"/>
      <c r="C5554" s="294"/>
      <c r="D5554" s="294"/>
      <c r="E5554" s="294"/>
      <c r="F5554" s="310"/>
      <c r="G5554" s="310"/>
      <c r="H5554" s="310"/>
      <c r="I5554" s="295"/>
      <c r="J5554" s="295"/>
      <c r="K5554" s="300">
        <f t="shared" si="666"/>
        <v>1.1000000000000001</v>
      </c>
      <c r="L5554" s="300">
        <f t="shared" si="667"/>
        <v>0</v>
      </c>
      <c r="M5554" s="285">
        <f t="shared" si="668"/>
        <v>0</v>
      </c>
      <c r="N5554" s="1076"/>
      <c r="O5554" s="294"/>
      <c r="P5554" s="404"/>
      <c r="Q5554" s="404"/>
    </row>
    <row r="5555" spans="1:17" ht="14.4" thickTop="1" thickBot="1" x14ac:dyDescent="0.3">
      <c r="A5555" s="292"/>
      <c r="B5555" s="296"/>
      <c r="C5555" s="294"/>
      <c r="D5555" s="294"/>
      <c r="E5555" s="294"/>
      <c r="F5555" s="310"/>
      <c r="G5555" s="310"/>
      <c r="H5555" s="310"/>
      <c r="I5555" s="295"/>
      <c r="J5555" s="295"/>
      <c r="K5555" s="300">
        <f t="shared" si="666"/>
        <v>1.1000000000000001</v>
      </c>
      <c r="L5555" s="300">
        <f t="shared" si="667"/>
        <v>0</v>
      </c>
      <c r="M5555" s="285">
        <f t="shared" si="668"/>
        <v>0</v>
      </c>
      <c r="N5555" s="1076"/>
      <c r="O5555" s="294"/>
      <c r="P5555" s="404"/>
      <c r="Q5555" s="404"/>
    </row>
    <row r="5556" spans="1:17" ht="14.4" thickTop="1" thickBot="1" x14ac:dyDescent="0.3">
      <c r="A5556" s="292"/>
      <c r="B5556" s="296"/>
      <c r="C5556" s="294"/>
      <c r="D5556" s="294"/>
      <c r="E5556" s="294"/>
      <c r="F5556" s="310"/>
      <c r="G5556" s="310"/>
      <c r="H5556" s="310"/>
      <c r="I5556" s="295"/>
      <c r="J5556" s="295"/>
      <c r="K5556" s="300">
        <f t="shared" si="666"/>
        <v>1.1000000000000001</v>
      </c>
      <c r="L5556" s="300">
        <f t="shared" si="667"/>
        <v>0</v>
      </c>
      <c r="M5556" s="285">
        <f t="shared" si="668"/>
        <v>0</v>
      </c>
      <c r="N5556" s="1076"/>
      <c r="O5556" s="294"/>
      <c r="P5556" s="404"/>
      <c r="Q5556" s="404"/>
    </row>
    <row r="5557" spans="1:17" ht="14.4" thickTop="1" thickBot="1" x14ac:dyDescent="0.3">
      <c r="A5557" s="292"/>
      <c r="B5557" s="296"/>
      <c r="C5557" s="294"/>
      <c r="D5557" s="294"/>
      <c r="E5557" s="294"/>
      <c r="F5557" s="310"/>
      <c r="G5557" s="310"/>
      <c r="H5557" s="310"/>
      <c r="I5557" s="295"/>
      <c r="J5557" s="295"/>
      <c r="K5557" s="300">
        <f t="shared" si="666"/>
        <v>1.1000000000000001</v>
      </c>
      <c r="L5557" s="300">
        <f t="shared" si="667"/>
        <v>0</v>
      </c>
      <c r="M5557" s="285">
        <f t="shared" si="668"/>
        <v>0</v>
      </c>
      <c r="N5557" s="1076"/>
      <c r="O5557" s="294"/>
      <c r="P5557" s="404"/>
      <c r="Q5557" s="404"/>
    </row>
    <row r="5558" spans="1:17" ht="14.4" thickTop="1" thickBot="1" x14ac:dyDescent="0.3">
      <c r="A5558" s="292"/>
      <c r="B5558" s="296"/>
      <c r="C5558" s="294"/>
      <c r="D5558" s="294"/>
      <c r="E5558" s="294"/>
      <c r="F5558" s="310"/>
      <c r="G5558" s="310"/>
      <c r="H5558" s="310"/>
      <c r="I5558" s="295"/>
      <c r="J5558" s="295"/>
      <c r="K5558" s="300">
        <f t="shared" si="666"/>
        <v>1.1000000000000001</v>
      </c>
      <c r="L5558" s="300">
        <f t="shared" si="667"/>
        <v>0</v>
      </c>
      <c r="M5558" s="285">
        <f t="shared" si="668"/>
        <v>0</v>
      </c>
      <c r="N5558" s="1076"/>
      <c r="O5558" s="294"/>
      <c r="P5558" s="404"/>
      <c r="Q5558" s="404"/>
    </row>
    <row r="5559" spans="1:17" ht="14.4" thickTop="1" thickBot="1" x14ac:dyDescent="0.3">
      <c r="A5559" s="292"/>
      <c r="B5559" s="296"/>
      <c r="C5559" s="294"/>
      <c r="D5559" s="294"/>
      <c r="E5559" s="294"/>
      <c r="F5559" s="310"/>
      <c r="G5559" s="310"/>
      <c r="H5559" s="310"/>
      <c r="I5559" s="295"/>
      <c r="J5559" s="295"/>
      <c r="K5559" s="300">
        <f t="shared" si="666"/>
        <v>1.1000000000000001</v>
      </c>
      <c r="L5559" s="300">
        <f t="shared" si="667"/>
        <v>0</v>
      </c>
      <c r="M5559" s="285">
        <f t="shared" si="668"/>
        <v>0</v>
      </c>
      <c r="N5559" s="1076"/>
      <c r="O5559" s="294"/>
      <c r="P5559" s="404"/>
      <c r="Q5559" s="404"/>
    </row>
    <row r="5560" spans="1:17" ht="14.4" thickTop="1" thickBot="1" x14ac:dyDescent="0.3">
      <c r="A5560" s="292"/>
      <c r="B5560" s="296"/>
      <c r="C5560" s="294"/>
      <c r="D5560" s="294"/>
      <c r="E5560" s="294"/>
      <c r="F5560" s="310"/>
      <c r="G5560" s="310"/>
      <c r="H5560" s="310"/>
      <c r="I5560" s="295"/>
      <c r="J5560" s="295"/>
      <c r="K5560" s="300">
        <f t="shared" si="666"/>
        <v>1.1000000000000001</v>
      </c>
      <c r="L5560" s="300">
        <f t="shared" si="667"/>
        <v>0</v>
      </c>
      <c r="M5560" s="285">
        <f t="shared" si="668"/>
        <v>0</v>
      </c>
      <c r="N5560" s="1076"/>
      <c r="O5560" s="294"/>
      <c r="P5560" s="404"/>
      <c r="Q5560" s="404"/>
    </row>
    <row r="5561" spans="1:17" ht="14.4" thickTop="1" thickBot="1" x14ac:dyDescent="0.3">
      <c r="A5561" s="292"/>
      <c r="B5561" s="296"/>
      <c r="C5561" s="294"/>
      <c r="D5561" s="294"/>
      <c r="E5561" s="294"/>
      <c r="F5561" s="310"/>
      <c r="G5561" s="310"/>
      <c r="H5561" s="310"/>
      <c r="I5561" s="295"/>
      <c r="J5561" s="295"/>
      <c r="K5561" s="300">
        <f t="shared" si="666"/>
        <v>1.1000000000000001</v>
      </c>
      <c r="L5561" s="300">
        <f t="shared" si="667"/>
        <v>0</v>
      </c>
      <c r="M5561" s="285">
        <f t="shared" si="668"/>
        <v>0</v>
      </c>
      <c r="N5561" s="1076"/>
      <c r="O5561" s="294"/>
      <c r="P5561" s="404"/>
      <c r="Q5561" s="404"/>
    </row>
    <row r="5562" spans="1:17" ht="14.4" thickTop="1" thickBot="1" x14ac:dyDescent="0.3">
      <c r="A5562" s="292"/>
      <c r="B5562" s="296"/>
      <c r="C5562" s="294"/>
      <c r="D5562" s="294"/>
      <c r="E5562" s="294"/>
      <c r="F5562" s="310"/>
      <c r="G5562" s="310"/>
      <c r="H5562" s="310"/>
      <c r="I5562" s="295"/>
      <c r="J5562" s="295"/>
      <c r="K5562" s="300">
        <f t="shared" si="666"/>
        <v>1.1000000000000001</v>
      </c>
      <c r="L5562" s="300">
        <f t="shared" si="667"/>
        <v>0</v>
      </c>
      <c r="M5562" s="285">
        <f t="shared" si="668"/>
        <v>0</v>
      </c>
      <c r="N5562" s="1076"/>
      <c r="O5562" s="294"/>
      <c r="P5562" s="404"/>
      <c r="Q5562" s="404"/>
    </row>
    <row r="5563" spans="1:17" ht="14.4" thickTop="1" thickBot="1" x14ac:dyDescent="0.3">
      <c r="A5563" s="292"/>
      <c r="B5563" s="296"/>
      <c r="C5563" s="294"/>
      <c r="D5563" s="294"/>
      <c r="E5563" s="294"/>
      <c r="F5563" s="310"/>
      <c r="G5563" s="310"/>
      <c r="H5563" s="310"/>
      <c r="I5563" s="295"/>
      <c r="J5563" s="295"/>
      <c r="K5563" s="300">
        <f t="shared" si="666"/>
        <v>1.1000000000000001</v>
      </c>
      <c r="L5563" s="300">
        <f t="shared" si="667"/>
        <v>0</v>
      </c>
      <c r="M5563" s="285">
        <f t="shared" si="668"/>
        <v>0</v>
      </c>
      <c r="N5563" s="1076"/>
      <c r="O5563" s="294"/>
      <c r="P5563" s="404"/>
      <c r="Q5563" s="404"/>
    </row>
    <row r="5564" spans="1:17" ht="14.4" thickTop="1" thickBot="1" x14ac:dyDescent="0.3">
      <c r="A5564" s="292"/>
      <c r="B5564" s="296"/>
      <c r="C5564" s="294"/>
      <c r="D5564" s="294"/>
      <c r="E5564" s="294"/>
      <c r="F5564" s="310"/>
      <c r="G5564" s="310"/>
      <c r="H5564" s="310"/>
      <c r="I5564" s="295"/>
      <c r="J5564" s="295"/>
      <c r="K5564" s="300">
        <f t="shared" si="666"/>
        <v>1.1000000000000001</v>
      </c>
      <c r="L5564" s="300">
        <f t="shared" si="667"/>
        <v>0</v>
      </c>
      <c r="M5564" s="285">
        <f t="shared" si="668"/>
        <v>0</v>
      </c>
      <c r="N5564" s="1076"/>
      <c r="O5564" s="294"/>
      <c r="P5564" s="404"/>
      <c r="Q5564" s="404"/>
    </row>
    <row r="5565" spans="1:17" ht="14.4" thickTop="1" thickBot="1" x14ac:dyDescent="0.3">
      <c r="A5565" s="292"/>
      <c r="B5565" s="296"/>
      <c r="C5565" s="294"/>
      <c r="D5565" s="294"/>
      <c r="E5565" s="294"/>
      <c r="F5565" s="310"/>
      <c r="G5565" s="310"/>
      <c r="H5565" s="310"/>
      <c r="I5565" s="295"/>
      <c r="J5565" s="295"/>
      <c r="K5565" s="300">
        <f t="shared" si="666"/>
        <v>1.1000000000000001</v>
      </c>
      <c r="L5565" s="300">
        <f t="shared" si="667"/>
        <v>0</v>
      </c>
      <c r="M5565" s="285">
        <f t="shared" si="668"/>
        <v>0</v>
      </c>
      <c r="N5565" s="1076"/>
      <c r="O5565" s="294"/>
      <c r="P5565" s="404"/>
      <c r="Q5565" s="404"/>
    </row>
    <row r="5566" spans="1:17" ht="14.4" thickTop="1" thickBot="1" x14ac:dyDescent="0.3">
      <c r="A5566" s="292"/>
      <c r="B5566" s="296"/>
      <c r="C5566" s="294"/>
      <c r="D5566" s="294"/>
      <c r="E5566" s="294"/>
      <c r="F5566" s="310"/>
      <c r="G5566" s="310"/>
      <c r="H5566" s="310"/>
      <c r="I5566" s="295"/>
      <c r="J5566" s="295"/>
      <c r="K5566" s="300">
        <f t="shared" si="666"/>
        <v>1.1000000000000001</v>
      </c>
      <c r="L5566" s="300">
        <f t="shared" si="667"/>
        <v>0</v>
      </c>
      <c r="M5566" s="285">
        <f t="shared" si="668"/>
        <v>0</v>
      </c>
      <c r="N5566" s="1076"/>
      <c r="O5566" s="294"/>
      <c r="P5566" s="404"/>
      <c r="Q5566" s="404"/>
    </row>
    <row r="5567" spans="1:17" ht="14.4" thickTop="1" thickBot="1" x14ac:dyDescent="0.3">
      <c r="A5567" s="292"/>
      <c r="B5567" s="296"/>
      <c r="C5567" s="294"/>
      <c r="D5567" s="294"/>
      <c r="E5567" s="294"/>
      <c r="F5567" s="310"/>
      <c r="G5567" s="310"/>
      <c r="H5567" s="310"/>
      <c r="I5567" s="295"/>
      <c r="J5567" s="295"/>
      <c r="K5567" s="300">
        <f t="shared" si="666"/>
        <v>1.1000000000000001</v>
      </c>
      <c r="L5567" s="300">
        <f t="shared" si="667"/>
        <v>0</v>
      </c>
      <c r="M5567" s="285">
        <f t="shared" si="668"/>
        <v>0</v>
      </c>
      <c r="N5567" s="1076"/>
      <c r="O5567" s="294"/>
      <c r="P5567" s="404"/>
      <c r="Q5567" s="404"/>
    </row>
    <row r="5568" spans="1:17" ht="14.4" thickTop="1" thickBot="1" x14ac:dyDescent="0.3">
      <c r="A5568" s="292"/>
      <c r="B5568" s="296"/>
      <c r="C5568" s="294"/>
      <c r="D5568" s="294"/>
      <c r="E5568" s="294"/>
      <c r="F5568" s="310"/>
      <c r="G5568" s="310"/>
      <c r="H5568" s="310"/>
      <c r="I5568" s="295"/>
      <c r="J5568" s="295"/>
      <c r="K5568" s="300">
        <f t="shared" si="666"/>
        <v>1.1000000000000001</v>
      </c>
      <c r="L5568" s="300">
        <f t="shared" si="667"/>
        <v>0</v>
      </c>
      <c r="M5568" s="285">
        <f t="shared" si="668"/>
        <v>0</v>
      </c>
      <c r="N5568" s="1076"/>
      <c r="O5568" s="294"/>
      <c r="P5568" s="404"/>
      <c r="Q5568" s="404"/>
    </row>
    <row r="5569" spans="1:17" ht="14.4" thickTop="1" thickBot="1" x14ac:dyDescent="0.3">
      <c r="A5569" s="292"/>
      <c r="B5569" s="296"/>
      <c r="C5569" s="294"/>
      <c r="D5569" s="294"/>
      <c r="E5569" s="294"/>
      <c r="F5569" s="310"/>
      <c r="G5569" s="310"/>
      <c r="H5569" s="310"/>
      <c r="I5569" s="295"/>
      <c r="J5569" s="295"/>
      <c r="K5569" s="300">
        <f t="shared" si="666"/>
        <v>1.1000000000000001</v>
      </c>
      <c r="L5569" s="300">
        <f t="shared" si="667"/>
        <v>0</v>
      </c>
      <c r="M5569" s="285">
        <f t="shared" si="668"/>
        <v>0</v>
      </c>
      <c r="N5569" s="1076"/>
      <c r="O5569" s="294"/>
      <c r="P5569" s="404"/>
      <c r="Q5569" s="404"/>
    </row>
    <row r="5570" spans="1:17" ht="14.4" thickTop="1" thickBot="1" x14ac:dyDescent="0.3">
      <c r="A5570" s="292"/>
      <c r="B5570" s="296"/>
      <c r="C5570" s="294"/>
      <c r="D5570" s="294"/>
      <c r="E5570" s="294"/>
      <c r="F5570" s="310"/>
      <c r="G5570" s="310"/>
      <c r="H5570" s="310"/>
      <c r="I5570" s="295"/>
      <c r="J5570" s="295"/>
      <c r="K5570" s="300">
        <f t="shared" si="666"/>
        <v>1.1000000000000001</v>
      </c>
      <c r="L5570" s="300">
        <f t="shared" si="667"/>
        <v>0</v>
      </c>
      <c r="M5570" s="285">
        <f t="shared" si="668"/>
        <v>0</v>
      </c>
      <c r="N5570" s="1076"/>
      <c r="O5570" s="294"/>
      <c r="P5570" s="404"/>
      <c r="Q5570" s="404"/>
    </row>
    <row r="5571" spans="1:17" ht="14.4" thickTop="1" thickBot="1" x14ac:dyDescent="0.3">
      <c r="A5571" s="292"/>
      <c r="B5571" s="296"/>
      <c r="C5571" s="294"/>
      <c r="D5571" s="294"/>
      <c r="E5571" s="294"/>
      <c r="F5571" s="310"/>
      <c r="G5571" s="310"/>
      <c r="H5571" s="310"/>
      <c r="I5571" s="295"/>
      <c r="J5571" s="295"/>
      <c r="K5571" s="300">
        <f t="shared" si="666"/>
        <v>1.1000000000000001</v>
      </c>
      <c r="L5571" s="300">
        <f t="shared" si="667"/>
        <v>0</v>
      </c>
      <c r="M5571" s="285">
        <f t="shared" si="668"/>
        <v>0</v>
      </c>
      <c r="N5571" s="1076"/>
      <c r="O5571" s="294"/>
      <c r="P5571" s="404"/>
      <c r="Q5571" s="404"/>
    </row>
    <row r="5572" spans="1:17" ht="14.4" thickTop="1" thickBot="1" x14ac:dyDescent="0.3">
      <c r="A5572" s="292"/>
      <c r="B5572" s="296"/>
      <c r="C5572" s="294"/>
      <c r="D5572" s="294"/>
      <c r="E5572" s="294"/>
      <c r="F5572" s="310"/>
      <c r="G5572" s="310"/>
      <c r="H5572" s="310"/>
      <c r="I5572" s="295"/>
      <c r="J5572" s="295"/>
      <c r="K5572" s="300">
        <f t="shared" si="666"/>
        <v>1.1000000000000001</v>
      </c>
      <c r="L5572" s="300">
        <f t="shared" si="667"/>
        <v>0</v>
      </c>
      <c r="M5572" s="285">
        <f t="shared" si="668"/>
        <v>0</v>
      </c>
      <c r="N5572" s="1076"/>
      <c r="O5572" s="294"/>
      <c r="P5572" s="404"/>
      <c r="Q5572" s="404"/>
    </row>
    <row r="5573" spans="1:17" ht="14.4" thickTop="1" thickBot="1" x14ac:dyDescent="0.3">
      <c r="A5573" s="292"/>
      <c r="B5573" s="296"/>
      <c r="C5573" s="294"/>
      <c r="D5573" s="294"/>
      <c r="E5573" s="294"/>
      <c r="F5573" s="310"/>
      <c r="G5573" s="310"/>
      <c r="H5573" s="310"/>
      <c r="I5573" s="295"/>
      <c r="J5573" s="295"/>
      <c r="K5573" s="300">
        <f t="shared" si="666"/>
        <v>1.1000000000000001</v>
      </c>
      <c r="L5573" s="300">
        <f t="shared" si="667"/>
        <v>0</v>
      </c>
      <c r="M5573" s="285">
        <f t="shared" si="668"/>
        <v>0</v>
      </c>
      <c r="N5573" s="1076"/>
      <c r="O5573" s="294"/>
      <c r="P5573" s="404"/>
      <c r="Q5573" s="404"/>
    </row>
    <row r="5574" spans="1:17" ht="14.4" thickTop="1" thickBot="1" x14ac:dyDescent="0.3">
      <c r="A5574" s="292"/>
      <c r="B5574" s="296"/>
      <c r="C5574" s="294"/>
      <c r="D5574" s="294"/>
      <c r="E5574" s="294"/>
      <c r="F5574" s="310"/>
      <c r="G5574" s="310"/>
      <c r="H5574" s="310"/>
      <c r="I5574" s="295"/>
      <c r="J5574" s="295"/>
      <c r="K5574" s="300">
        <f t="shared" si="666"/>
        <v>1.1000000000000001</v>
      </c>
      <c r="L5574" s="300">
        <f t="shared" si="667"/>
        <v>0</v>
      </c>
      <c r="M5574" s="285">
        <f t="shared" si="668"/>
        <v>0</v>
      </c>
      <c r="N5574" s="1076"/>
      <c r="O5574" s="294"/>
      <c r="P5574" s="404"/>
      <c r="Q5574" s="404"/>
    </row>
    <row r="5575" spans="1:17" ht="14.4" thickTop="1" thickBot="1" x14ac:dyDescent="0.3">
      <c r="A5575" s="292"/>
      <c r="B5575" s="296"/>
      <c r="C5575" s="294"/>
      <c r="D5575" s="294"/>
      <c r="E5575" s="294"/>
      <c r="F5575" s="310"/>
      <c r="G5575" s="310"/>
      <c r="H5575" s="310"/>
      <c r="I5575" s="295"/>
      <c r="J5575" s="295"/>
      <c r="K5575" s="300">
        <f t="shared" si="666"/>
        <v>1.1000000000000001</v>
      </c>
      <c r="L5575" s="300">
        <f t="shared" si="667"/>
        <v>0</v>
      </c>
      <c r="M5575" s="285">
        <f t="shared" si="668"/>
        <v>0</v>
      </c>
      <c r="N5575" s="1076"/>
      <c r="O5575" s="294"/>
      <c r="P5575" s="404"/>
      <c r="Q5575" s="404"/>
    </row>
    <row r="5576" spans="1:17" ht="14.4" thickTop="1" thickBot="1" x14ac:dyDescent="0.3">
      <c r="A5576" s="292"/>
      <c r="B5576" s="296"/>
      <c r="C5576" s="294"/>
      <c r="D5576" s="294"/>
      <c r="E5576" s="294"/>
      <c r="F5576" s="310"/>
      <c r="G5576" s="310"/>
      <c r="H5576" s="310"/>
      <c r="I5576" s="295"/>
      <c r="J5576" s="295"/>
      <c r="K5576" s="300">
        <f t="shared" si="666"/>
        <v>1.1000000000000001</v>
      </c>
      <c r="L5576" s="300">
        <f t="shared" si="667"/>
        <v>0</v>
      </c>
      <c r="M5576" s="285">
        <f t="shared" si="668"/>
        <v>0</v>
      </c>
      <c r="N5576" s="1076"/>
      <c r="O5576" s="294"/>
      <c r="P5576" s="404"/>
      <c r="Q5576" s="404"/>
    </row>
    <row r="5577" spans="1:17" ht="14.4" thickTop="1" thickBot="1" x14ac:dyDescent="0.3">
      <c r="A5577" s="292"/>
      <c r="B5577" s="296"/>
      <c r="C5577" s="294"/>
      <c r="D5577" s="294"/>
      <c r="E5577" s="294"/>
      <c r="F5577" s="310"/>
      <c r="G5577" s="310"/>
      <c r="H5577" s="310"/>
      <c r="I5577" s="295"/>
      <c r="J5577" s="295"/>
      <c r="K5577" s="300">
        <f t="shared" si="666"/>
        <v>1.1000000000000001</v>
      </c>
      <c r="L5577" s="300">
        <f t="shared" si="667"/>
        <v>0</v>
      </c>
      <c r="M5577" s="285">
        <f t="shared" si="668"/>
        <v>0</v>
      </c>
      <c r="N5577" s="1076"/>
      <c r="O5577" s="294"/>
      <c r="P5577" s="404"/>
      <c r="Q5577" s="404"/>
    </row>
    <row r="5578" spans="1:17" ht="14.4" thickTop="1" thickBot="1" x14ac:dyDescent="0.3">
      <c r="A5578" s="292"/>
      <c r="B5578" s="296"/>
      <c r="C5578" s="294"/>
      <c r="D5578" s="294"/>
      <c r="E5578" s="294"/>
      <c r="F5578" s="310"/>
      <c r="G5578" s="310"/>
      <c r="H5578" s="310"/>
      <c r="I5578" s="295"/>
      <c r="J5578" s="295"/>
      <c r="K5578" s="300">
        <f t="shared" si="666"/>
        <v>1.1000000000000001</v>
      </c>
      <c r="L5578" s="300">
        <f t="shared" si="667"/>
        <v>0</v>
      </c>
      <c r="M5578" s="285">
        <f t="shared" si="668"/>
        <v>0</v>
      </c>
      <c r="N5578" s="1076"/>
      <c r="O5578" s="294"/>
      <c r="P5578" s="404"/>
      <c r="Q5578" s="404"/>
    </row>
    <row r="5579" spans="1:17" ht="14.4" thickTop="1" thickBot="1" x14ac:dyDescent="0.3">
      <c r="A5579" s="292"/>
      <c r="B5579" s="296"/>
      <c r="C5579" s="294"/>
      <c r="D5579" s="294"/>
      <c r="E5579" s="294"/>
      <c r="F5579" s="310"/>
      <c r="G5579" s="310"/>
      <c r="H5579" s="310"/>
      <c r="I5579" s="295"/>
      <c r="J5579" s="295"/>
      <c r="K5579" s="300">
        <f t="shared" si="666"/>
        <v>1.1000000000000001</v>
      </c>
      <c r="L5579" s="300">
        <f t="shared" si="667"/>
        <v>0</v>
      </c>
      <c r="M5579" s="285">
        <f t="shared" si="668"/>
        <v>0</v>
      </c>
      <c r="N5579" s="1076"/>
      <c r="O5579" s="294"/>
      <c r="P5579" s="404"/>
      <c r="Q5579" s="404"/>
    </row>
    <row r="5580" spans="1:17" ht="14.4" thickTop="1" thickBot="1" x14ac:dyDescent="0.3">
      <c r="A5580" s="292"/>
      <c r="B5580" s="296"/>
      <c r="C5580" s="294"/>
      <c r="D5580" s="294"/>
      <c r="E5580" s="294"/>
      <c r="F5580" s="310"/>
      <c r="G5580" s="310"/>
      <c r="H5580" s="310"/>
      <c r="I5580" s="295"/>
      <c r="J5580" s="295"/>
      <c r="K5580" s="300">
        <f t="shared" si="666"/>
        <v>1.1000000000000001</v>
      </c>
      <c r="L5580" s="300">
        <f t="shared" si="667"/>
        <v>0</v>
      </c>
      <c r="M5580" s="285">
        <f t="shared" si="668"/>
        <v>0</v>
      </c>
      <c r="N5580" s="1076"/>
      <c r="O5580" s="294"/>
      <c r="P5580" s="404"/>
      <c r="Q5580" s="404"/>
    </row>
    <row r="5581" spans="1:17" ht="14.4" thickTop="1" thickBot="1" x14ac:dyDescent="0.3">
      <c r="A5581" s="292"/>
      <c r="B5581" s="296"/>
      <c r="C5581" s="294"/>
      <c r="D5581" s="294"/>
      <c r="E5581" s="294"/>
      <c r="F5581" s="310"/>
      <c r="G5581" s="310"/>
      <c r="H5581" s="310"/>
      <c r="I5581" s="295"/>
      <c r="J5581" s="295"/>
      <c r="K5581" s="300">
        <f t="shared" si="666"/>
        <v>1.1000000000000001</v>
      </c>
      <c r="L5581" s="300">
        <f t="shared" si="667"/>
        <v>0</v>
      </c>
      <c r="M5581" s="285">
        <f t="shared" si="668"/>
        <v>0</v>
      </c>
      <c r="N5581" s="1076"/>
      <c r="O5581" s="294"/>
      <c r="P5581" s="404"/>
      <c r="Q5581" s="404"/>
    </row>
    <row r="5582" spans="1:17" ht="14.4" thickTop="1" thickBot="1" x14ac:dyDescent="0.3">
      <c r="A5582" s="292"/>
      <c r="B5582" s="296"/>
      <c r="C5582" s="294"/>
      <c r="D5582" s="294"/>
      <c r="E5582" s="294"/>
      <c r="F5582" s="310"/>
      <c r="G5582" s="310"/>
      <c r="H5582" s="310"/>
      <c r="I5582" s="295"/>
      <c r="J5582" s="295"/>
      <c r="K5582" s="300">
        <f t="shared" si="666"/>
        <v>1.1000000000000001</v>
      </c>
      <c r="L5582" s="300">
        <f t="shared" si="667"/>
        <v>0</v>
      </c>
      <c r="M5582" s="285">
        <f t="shared" si="668"/>
        <v>0</v>
      </c>
      <c r="N5582" s="1076"/>
      <c r="O5582" s="294"/>
      <c r="P5582" s="404"/>
      <c r="Q5582" s="404"/>
    </row>
    <row r="5583" spans="1:17" ht="14.4" thickTop="1" thickBot="1" x14ac:dyDescent="0.3">
      <c r="A5583" s="292"/>
      <c r="B5583" s="296"/>
      <c r="C5583" s="294"/>
      <c r="D5583" s="294"/>
      <c r="E5583" s="294"/>
      <c r="F5583" s="310"/>
      <c r="G5583" s="310"/>
      <c r="H5583" s="310"/>
      <c r="I5583" s="295"/>
      <c r="J5583" s="295"/>
      <c r="K5583" s="300">
        <f t="shared" si="666"/>
        <v>1.1000000000000001</v>
      </c>
      <c r="L5583" s="300">
        <f t="shared" si="667"/>
        <v>0</v>
      </c>
      <c r="M5583" s="285">
        <f t="shared" si="668"/>
        <v>0</v>
      </c>
      <c r="N5583" s="1076"/>
      <c r="O5583" s="294"/>
      <c r="P5583" s="404"/>
      <c r="Q5583" s="404"/>
    </row>
    <row r="5584" spans="1:17" ht="14.4" thickTop="1" thickBot="1" x14ac:dyDescent="0.3">
      <c r="A5584" s="292"/>
      <c r="B5584" s="296"/>
      <c r="C5584" s="294"/>
      <c r="D5584" s="294"/>
      <c r="E5584" s="294"/>
      <c r="F5584" s="310"/>
      <c r="G5584" s="310"/>
      <c r="H5584" s="310"/>
      <c r="I5584" s="295"/>
      <c r="J5584" s="295"/>
      <c r="K5584" s="300">
        <f t="shared" si="666"/>
        <v>1.1000000000000001</v>
      </c>
      <c r="L5584" s="300">
        <f t="shared" si="667"/>
        <v>0</v>
      </c>
      <c r="M5584" s="285">
        <f t="shared" si="668"/>
        <v>0</v>
      </c>
      <c r="N5584" s="1076"/>
      <c r="O5584" s="294"/>
      <c r="P5584" s="404"/>
      <c r="Q5584" s="404"/>
    </row>
    <row r="5585" spans="1:17" ht="14.4" thickTop="1" thickBot="1" x14ac:dyDescent="0.3">
      <c r="A5585" s="292"/>
      <c r="B5585" s="296"/>
      <c r="C5585" s="294"/>
      <c r="D5585" s="294"/>
      <c r="E5585" s="294"/>
      <c r="F5585" s="310"/>
      <c r="G5585" s="310"/>
      <c r="H5585" s="310"/>
      <c r="I5585" s="295"/>
      <c r="J5585" s="295"/>
      <c r="K5585" s="300">
        <f t="shared" si="666"/>
        <v>1.1000000000000001</v>
      </c>
      <c r="L5585" s="300">
        <f t="shared" si="667"/>
        <v>0</v>
      </c>
      <c r="M5585" s="285">
        <f t="shared" si="668"/>
        <v>0</v>
      </c>
      <c r="N5585" s="1076"/>
      <c r="O5585" s="294"/>
      <c r="P5585" s="404"/>
      <c r="Q5585" s="404"/>
    </row>
    <row r="5586" spans="1:17" ht="14.4" thickTop="1" thickBot="1" x14ac:dyDescent="0.3">
      <c r="A5586" s="292"/>
      <c r="B5586" s="296"/>
      <c r="C5586" s="294"/>
      <c r="D5586" s="294"/>
      <c r="E5586" s="294"/>
      <c r="F5586" s="310"/>
      <c r="G5586" s="310"/>
      <c r="H5586" s="310"/>
      <c r="I5586" s="295"/>
      <c r="J5586" s="295"/>
      <c r="K5586" s="300">
        <f t="shared" si="666"/>
        <v>1.1000000000000001</v>
      </c>
      <c r="L5586" s="300">
        <f t="shared" si="667"/>
        <v>0</v>
      </c>
      <c r="M5586" s="285">
        <f t="shared" si="668"/>
        <v>0</v>
      </c>
      <c r="N5586" s="1076"/>
      <c r="O5586" s="294"/>
      <c r="P5586" s="404"/>
      <c r="Q5586" s="404"/>
    </row>
    <row r="5587" spans="1:17" ht="14.4" thickTop="1" thickBot="1" x14ac:dyDescent="0.3">
      <c r="A5587" s="292"/>
      <c r="B5587" s="296"/>
      <c r="C5587" s="294"/>
      <c r="D5587" s="294"/>
      <c r="E5587" s="294"/>
      <c r="F5587" s="310"/>
      <c r="G5587" s="310"/>
      <c r="H5587" s="310"/>
      <c r="I5587" s="295"/>
      <c r="J5587" s="295"/>
      <c r="K5587" s="300">
        <f t="shared" si="666"/>
        <v>1.1000000000000001</v>
      </c>
      <c r="L5587" s="300">
        <f t="shared" si="667"/>
        <v>0</v>
      </c>
      <c r="M5587" s="285">
        <f t="shared" si="668"/>
        <v>0</v>
      </c>
      <c r="N5587" s="1076"/>
      <c r="O5587" s="294"/>
      <c r="P5587" s="404"/>
      <c r="Q5587" s="404"/>
    </row>
    <row r="5588" spans="1:17" ht="14.4" thickTop="1" thickBot="1" x14ac:dyDescent="0.3">
      <c r="A5588" s="292"/>
      <c r="B5588" s="296"/>
      <c r="C5588" s="294"/>
      <c r="D5588" s="294"/>
      <c r="E5588" s="294"/>
      <c r="F5588" s="310"/>
      <c r="G5588" s="310"/>
      <c r="H5588" s="310"/>
      <c r="I5588" s="295"/>
      <c r="J5588" s="295"/>
      <c r="K5588" s="300">
        <f t="shared" ref="K5588:K5651" si="669">$K$2</f>
        <v>1.1000000000000001</v>
      </c>
      <c r="L5588" s="300">
        <f t="shared" si="667"/>
        <v>0</v>
      </c>
      <c r="M5588" s="285">
        <f t="shared" si="668"/>
        <v>0</v>
      </c>
      <c r="N5588" s="1076"/>
      <c r="O5588" s="294"/>
      <c r="P5588" s="404"/>
      <c r="Q5588" s="404"/>
    </row>
    <row r="5589" spans="1:17" ht="14.4" thickTop="1" thickBot="1" x14ac:dyDescent="0.3">
      <c r="A5589" s="292"/>
      <c r="B5589" s="296"/>
      <c r="C5589" s="294"/>
      <c r="D5589" s="294"/>
      <c r="E5589" s="294"/>
      <c r="F5589" s="310"/>
      <c r="G5589" s="310"/>
      <c r="H5589" s="310"/>
      <c r="I5589" s="295"/>
      <c r="J5589" s="295"/>
      <c r="K5589" s="300">
        <f t="shared" si="669"/>
        <v>1.1000000000000001</v>
      </c>
      <c r="L5589" s="300">
        <f t="shared" si="667"/>
        <v>0</v>
      </c>
      <c r="M5589" s="285">
        <f t="shared" si="668"/>
        <v>0</v>
      </c>
      <c r="N5589" s="1076"/>
      <c r="O5589" s="294"/>
      <c r="P5589" s="404"/>
      <c r="Q5589" s="404"/>
    </row>
    <row r="5590" spans="1:17" ht="14.4" thickTop="1" thickBot="1" x14ac:dyDescent="0.3">
      <c r="A5590" s="292"/>
      <c r="B5590" s="296"/>
      <c r="C5590" s="294"/>
      <c r="D5590" s="294"/>
      <c r="E5590" s="294"/>
      <c r="F5590" s="310"/>
      <c r="G5590" s="310"/>
      <c r="H5590" s="310"/>
      <c r="I5590" s="295"/>
      <c r="J5590" s="295"/>
      <c r="K5590" s="300">
        <f t="shared" si="669"/>
        <v>1.1000000000000001</v>
      </c>
      <c r="L5590" s="300">
        <f t="shared" si="667"/>
        <v>0</v>
      </c>
      <c r="M5590" s="285">
        <f t="shared" si="668"/>
        <v>0</v>
      </c>
      <c r="N5590" s="1076"/>
      <c r="O5590" s="294"/>
      <c r="P5590" s="404"/>
      <c r="Q5590" s="404"/>
    </row>
    <row r="5591" spans="1:17" ht="14.4" thickTop="1" thickBot="1" x14ac:dyDescent="0.3">
      <c r="A5591" s="292"/>
      <c r="B5591" s="296"/>
      <c r="C5591" s="294"/>
      <c r="D5591" s="294"/>
      <c r="E5591" s="294"/>
      <c r="F5591" s="310"/>
      <c r="G5591" s="310"/>
      <c r="H5591" s="310"/>
      <c r="I5591" s="295"/>
      <c r="J5591" s="295"/>
      <c r="K5591" s="300">
        <f t="shared" si="669"/>
        <v>1.1000000000000001</v>
      </c>
      <c r="L5591" s="300">
        <f t="shared" si="667"/>
        <v>0</v>
      </c>
      <c r="M5591" s="285">
        <f t="shared" si="668"/>
        <v>0</v>
      </c>
      <c r="N5591" s="1076"/>
      <c r="O5591" s="294"/>
      <c r="P5591" s="404"/>
      <c r="Q5591" s="404"/>
    </row>
    <row r="5592" spans="1:17" ht="14.4" thickTop="1" thickBot="1" x14ac:dyDescent="0.3">
      <c r="A5592" s="292"/>
      <c r="B5592" s="296"/>
      <c r="C5592" s="294"/>
      <c r="D5592" s="294"/>
      <c r="E5592" s="294"/>
      <c r="F5592" s="310"/>
      <c r="G5592" s="310"/>
      <c r="H5592" s="310"/>
      <c r="I5592" s="295"/>
      <c r="J5592" s="295"/>
      <c r="K5592" s="300">
        <f t="shared" si="669"/>
        <v>1.1000000000000001</v>
      </c>
      <c r="L5592" s="300">
        <f t="shared" si="667"/>
        <v>0</v>
      </c>
      <c r="M5592" s="285">
        <f t="shared" si="668"/>
        <v>0</v>
      </c>
      <c r="N5592" s="1076"/>
      <c r="O5592" s="294"/>
      <c r="P5592" s="404"/>
      <c r="Q5592" s="404"/>
    </row>
    <row r="5593" spans="1:17" ht="14.4" thickTop="1" thickBot="1" x14ac:dyDescent="0.3">
      <c r="A5593" s="292"/>
      <c r="B5593" s="296"/>
      <c r="C5593" s="294"/>
      <c r="D5593" s="294"/>
      <c r="E5593" s="294"/>
      <c r="F5593" s="310"/>
      <c r="G5593" s="310"/>
      <c r="H5593" s="310"/>
      <c r="I5593" s="295"/>
      <c r="J5593" s="295"/>
      <c r="K5593" s="300">
        <f t="shared" si="669"/>
        <v>1.1000000000000001</v>
      </c>
      <c r="L5593" s="300">
        <f t="shared" si="667"/>
        <v>0</v>
      </c>
      <c r="M5593" s="285">
        <f t="shared" si="668"/>
        <v>0</v>
      </c>
      <c r="N5593" s="1076"/>
      <c r="O5593" s="294"/>
      <c r="P5593" s="404"/>
      <c r="Q5593" s="404"/>
    </row>
    <row r="5594" spans="1:17" ht="14.4" thickTop="1" thickBot="1" x14ac:dyDescent="0.3">
      <c r="A5594" s="292"/>
      <c r="B5594" s="296"/>
      <c r="C5594" s="294"/>
      <c r="D5594" s="294"/>
      <c r="E5594" s="294"/>
      <c r="F5594" s="310"/>
      <c r="G5594" s="310"/>
      <c r="H5594" s="310"/>
      <c r="I5594" s="295"/>
      <c r="J5594" s="295"/>
      <c r="K5594" s="300">
        <f t="shared" si="669"/>
        <v>1.1000000000000001</v>
      </c>
      <c r="L5594" s="300">
        <f t="shared" si="667"/>
        <v>0</v>
      </c>
      <c r="M5594" s="285">
        <f t="shared" si="668"/>
        <v>0</v>
      </c>
      <c r="N5594" s="1076"/>
      <c r="O5594" s="294"/>
      <c r="P5594" s="404"/>
      <c r="Q5594" s="404"/>
    </row>
    <row r="5595" spans="1:17" ht="14.4" thickTop="1" thickBot="1" x14ac:dyDescent="0.3">
      <c r="A5595" s="292"/>
      <c r="B5595" s="296"/>
      <c r="C5595" s="294"/>
      <c r="D5595" s="294"/>
      <c r="E5595" s="294"/>
      <c r="F5595" s="310"/>
      <c r="G5595" s="310"/>
      <c r="H5595" s="310"/>
      <c r="I5595" s="295"/>
      <c r="J5595" s="295"/>
      <c r="K5595" s="300">
        <f t="shared" si="669"/>
        <v>1.1000000000000001</v>
      </c>
      <c r="L5595" s="300">
        <f t="shared" si="667"/>
        <v>0</v>
      </c>
      <c r="M5595" s="285">
        <f t="shared" si="668"/>
        <v>0</v>
      </c>
      <c r="N5595" s="1076"/>
      <c r="O5595" s="294"/>
      <c r="P5595" s="404"/>
      <c r="Q5595" s="404"/>
    </row>
    <row r="5596" spans="1:17" ht="14.4" thickTop="1" thickBot="1" x14ac:dyDescent="0.3">
      <c r="A5596" s="292"/>
      <c r="B5596" s="296"/>
      <c r="C5596" s="294"/>
      <c r="D5596" s="294"/>
      <c r="E5596" s="294"/>
      <c r="F5596" s="310"/>
      <c r="G5596" s="310"/>
      <c r="H5596" s="310"/>
      <c r="I5596" s="295"/>
      <c r="J5596" s="295"/>
      <c r="K5596" s="300">
        <f t="shared" si="669"/>
        <v>1.1000000000000001</v>
      </c>
      <c r="L5596" s="300">
        <f t="shared" si="667"/>
        <v>0</v>
      </c>
      <c r="M5596" s="285">
        <f t="shared" si="668"/>
        <v>0</v>
      </c>
      <c r="N5596" s="1076"/>
      <c r="O5596" s="294"/>
      <c r="P5596" s="404"/>
      <c r="Q5596" s="404"/>
    </row>
    <row r="5597" spans="1:17" ht="14.4" thickTop="1" thickBot="1" x14ac:dyDescent="0.3">
      <c r="A5597" s="292"/>
      <c r="B5597" s="296"/>
      <c r="C5597" s="294"/>
      <c r="D5597" s="294"/>
      <c r="E5597" s="294"/>
      <c r="F5597" s="310"/>
      <c r="G5597" s="310"/>
      <c r="H5597" s="310"/>
      <c r="I5597" s="295"/>
      <c r="J5597" s="295"/>
      <c r="K5597" s="300">
        <f t="shared" si="669"/>
        <v>1.1000000000000001</v>
      </c>
      <c r="L5597" s="300">
        <f t="shared" si="667"/>
        <v>0</v>
      </c>
      <c r="M5597" s="285">
        <f t="shared" si="668"/>
        <v>0</v>
      </c>
      <c r="N5597" s="1076"/>
      <c r="O5597" s="294"/>
      <c r="P5597" s="404"/>
      <c r="Q5597" s="404"/>
    </row>
    <row r="5598" spans="1:17" ht="14.4" thickTop="1" thickBot="1" x14ac:dyDescent="0.3">
      <c r="A5598" s="292"/>
      <c r="B5598" s="296"/>
      <c r="C5598" s="294"/>
      <c r="D5598" s="294"/>
      <c r="E5598" s="294"/>
      <c r="F5598" s="310"/>
      <c r="G5598" s="310"/>
      <c r="H5598" s="310"/>
      <c r="I5598" s="295"/>
      <c r="J5598" s="295"/>
      <c r="K5598" s="300">
        <f t="shared" si="669"/>
        <v>1.1000000000000001</v>
      </c>
      <c r="L5598" s="300">
        <f t="shared" si="667"/>
        <v>0</v>
      </c>
      <c r="M5598" s="285">
        <f t="shared" si="668"/>
        <v>0</v>
      </c>
      <c r="N5598" s="1076"/>
      <c r="O5598" s="294"/>
      <c r="P5598" s="404"/>
      <c r="Q5598" s="404"/>
    </row>
    <row r="5599" spans="1:17" ht="14.4" thickTop="1" thickBot="1" x14ac:dyDescent="0.3">
      <c r="A5599" s="292"/>
      <c r="B5599" s="296"/>
      <c r="C5599" s="294"/>
      <c r="D5599" s="294"/>
      <c r="E5599" s="294"/>
      <c r="F5599" s="310"/>
      <c r="G5599" s="310"/>
      <c r="H5599" s="310"/>
      <c r="I5599" s="295"/>
      <c r="J5599" s="295"/>
      <c r="K5599" s="300">
        <f t="shared" si="669"/>
        <v>1.1000000000000001</v>
      </c>
      <c r="L5599" s="300">
        <f t="shared" si="667"/>
        <v>0</v>
      </c>
      <c r="M5599" s="285">
        <f t="shared" si="668"/>
        <v>0</v>
      </c>
      <c r="N5599" s="1076"/>
      <c r="O5599" s="294"/>
      <c r="P5599" s="404"/>
      <c r="Q5599" s="404"/>
    </row>
    <row r="5600" spans="1:17" ht="14.4" thickTop="1" thickBot="1" x14ac:dyDescent="0.3">
      <c r="A5600" s="292"/>
      <c r="B5600" s="296"/>
      <c r="C5600" s="294"/>
      <c r="D5600" s="294"/>
      <c r="E5600" s="294"/>
      <c r="F5600" s="310"/>
      <c r="G5600" s="310"/>
      <c r="H5600" s="310"/>
      <c r="I5600" s="295"/>
      <c r="J5600" s="295"/>
      <c r="K5600" s="300">
        <f t="shared" si="669"/>
        <v>1.1000000000000001</v>
      </c>
      <c r="L5600" s="300">
        <f t="shared" si="667"/>
        <v>0</v>
      </c>
      <c r="M5600" s="285">
        <f t="shared" si="668"/>
        <v>0</v>
      </c>
      <c r="N5600" s="1076"/>
      <c r="O5600" s="294"/>
      <c r="P5600" s="404"/>
      <c r="Q5600" s="404"/>
    </row>
    <row r="5601" spans="1:17" ht="14.4" thickTop="1" thickBot="1" x14ac:dyDescent="0.3">
      <c r="A5601" s="292"/>
      <c r="B5601" s="296"/>
      <c r="C5601" s="294"/>
      <c r="D5601" s="294"/>
      <c r="E5601" s="294"/>
      <c r="F5601" s="310"/>
      <c r="G5601" s="310"/>
      <c r="H5601" s="310"/>
      <c r="I5601" s="295"/>
      <c r="J5601" s="295"/>
      <c r="K5601" s="300">
        <f t="shared" si="669"/>
        <v>1.1000000000000001</v>
      </c>
      <c r="L5601" s="300">
        <f t="shared" si="667"/>
        <v>0</v>
      </c>
      <c r="M5601" s="285">
        <f t="shared" si="668"/>
        <v>0</v>
      </c>
      <c r="N5601" s="1076"/>
      <c r="O5601" s="294"/>
      <c r="P5601" s="404"/>
      <c r="Q5601" s="404"/>
    </row>
    <row r="5602" spans="1:17" ht="14.4" thickTop="1" thickBot="1" x14ac:dyDescent="0.3">
      <c r="A5602" s="292"/>
      <c r="B5602" s="296"/>
      <c r="C5602" s="294"/>
      <c r="D5602" s="294"/>
      <c r="E5602" s="294"/>
      <c r="F5602" s="310"/>
      <c r="G5602" s="310"/>
      <c r="H5602" s="310"/>
      <c r="I5602" s="295"/>
      <c r="J5602" s="295"/>
      <c r="K5602" s="300">
        <f t="shared" si="669"/>
        <v>1.1000000000000001</v>
      </c>
      <c r="L5602" s="300">
        <f t="shared" si="667"/>
        <v>0</v>
      </c>
      <c r="M5602" s="285">
        <f t="shared" si="668"/>
        <v>0</v>
      </c>
      <c r="N5602" s="1076"/>
      <c r="O5602" s="294"/>
      <c r="P5602" s="404"/>
      <c r="Q5602" s="404"/>
    </row>
    <row r="5603" spans="1:17" ht="14.4" thickTop="1" thickBot="1" x14ac:dyDescent="0.3">
      <c r="A5603" s="292"/>
      <c r="B5603" s="296"/>
      <c r="C5603" s="294"/>
      <c r="D5603" s="294"/>
      <c r="E5603" s="294"/>
      <c r="F5603" s="310"/>
      <c r="G5603" s="310"/>
      <c r="H5603" s="310"/>
      <c r="I5603" s="295"/>
      <c r="J5603" s="295"/>
      <c r="K5603" s="300">
        <f t="shared" si="669"/>
        <v>1.1000000000000001</v>
      </c>
      <c r="L5603" s="300">
        <f t="shared" si="667"/>
        <v>0</v>
      </c>
      <c r="M5603" s="285">
        <f t="shared" si="668"/>
        <v>0</v>
      </c>
      <c r="N5603" s="1076"/>
      <c r="O5603" s="294"/>
      <c r="P5603" s="404"/>
      <c r="Q5603" s="404"/>
    </row>
    <row r="5604" spans="1:17" ht="14.4" thickTop="1" thickBot="1" x14ac:dyDescent="0.3">
      <c r="A5604" s="292"/>
      <c r="B5604" s="296"/>
      <c r="C5604" s="294"/>
      <c r="D5604" s="294"/>
      <c r="E5604" s="294"/>
      <c r="F5604" s="310"/>
      <c r="G5604" s="310"/>
      <c r="H5604" s="310"/>
      <c r="I5604" s="295"/>
      <c r="J5604" s="295"/>
      <c r="K5604" s="300">
        <f t="shared" si="669"/>
        <v>1.1000000000000001</v>
      </c>
      <c r="L5604" s="300">
        <f t="shared" si="667"/>
        <v>0</v>
      </c>
      <c r="M5604" s="285">
        <f t="shared" si="668"/>
        <v>0</v>
      </c>
      <c r="N5604" s="1076"/>
      <c r="O5604" s="294"/>
      <c r="P5604" s="404"/>
      <c r="Q5604" s="404"/>
    </row>
    <row r="5605" spans="1:17" ht="14.4" thickTop="1" thickBot="1" x14ac:dyDescent="0.3">
      <c r="A5605" s="292"/>
      <c r="B5605" s="296"/>
      <c r="C5605" s="294"/>
      <c r="D5605" s="294"/>
      <c r="E5605" s="294"/>
      <c r="F5605" s="310"/>
      <c r="G5605" s="310"/>
      <c r="H5605" s="310"/>
      <c r="I5605" s="295"/>
      <c r="J5605" s="295"/>
      <c r="K5605" s="300">
        <f t="shared" si="669"/>
        <v>1.1000000000000001</v>
      </c>
      <c r="L5605" s="300">
        <f t="shared" si="667"/>
        <v>0</v>
      </c>
      <c r="M5605" s="285">
        <f t="shared" si="668"/>
        <v>0</v>
      </c>
      <c r="N5605" s="1076"/>
      <c r="O5605" s="294"/>
      <c r="P5605" s="404"/>
      <c r="Q5605" s="404"/>
    </row>
    <row r="5606" spans="1:17" ht="14.4" thickTop="1" thickBot="1" x14ac:dyDescent="0.3">
      <c r="A5606" s="292"/>
      <c r="B5606" s="296"/>
      <c r="C5606" s="294"/>
      <c r="D5606" s="294"/>
      <c r="E5606" s="294"/>
      <c r="F5606" s="310"/>
      <c r="G5606" s="310"/>
      <c r="H5606" s="310"/>
      <c r="I5606" s="295"/>
      <c r="J5606" s="295"/>
      <c r="K5606" s="300">
        <f t="shared" si="669"/>
        <v>1.1000000000000001</v>
      </c>
      <c r="L5606" s="300">
        <f t="shared" si="667"/>
        <v>0</v>
      </c>
      <c r="M5606" s="285">
        <f t="shared" si="668"/>
        <v>0</v>
      </c>
      <c r="N5606" s="1076"/>
      <c r="O5606" s="294"/>
      <c r="P5606" s="404"/>
      <c r="Q5606" s="404"/>
    </row>
    <row r="5607" spans="1:17" ht="14.4" thickTop="1" thickBot="1" x14ac:dyDescent="0.3">
      <c r="A5607" s="292"/>
      <c r="B5607" s="296"/>
      <c r="C5607" s="294"/>
      <c r="D5607" s="294"/>
      <c r="E5607" s="294"/>
      <c r="F5607" s="310"/>
      <c r="G5607" s="310"/>
      <c r="H5607" s="310"/>
      <c r="I5607" s="295"/>
      <c r="J5607" s="295"/>
      <c r="K5607" s="300">
        <f t="shared" si="669"/>
        <v>1.1000000000000001</v>
      </c>
      <c r="L5607" s="300">
        <f t="shared" si="667"/>
        <v>0</v>
      </c>
      <c r="M5607" s="285">
        <f t="shared" si="668"/>
        <v>0</v>
      </c>
      <c r="N5607" s="1076"/>
      <c r="O5607" s="294"/>
      <c r="P5607" s="404"/>
      <c r="Q5607" s="404"/>
    </row>
    <row r="5608" spans="1:17" ht="14.4" thickTop="1" thickBot="1" x14ac:dyDescent="0.3">
      <c r="A5608" s="292"/>
      <c r="B5608" s="296"/>
      <c r="C5608" s="294"/>
      <c r="D5608" s="294"/>
      <c r="E5608" s="294"/>
      <c r="F5608" s="310"/>
      <c r="G5608" s="310"/>
      <c r="H5608" s="310"/>
      <c r="I5608" s="295"/>
      <c r="J5608" s="295"/>
      <c r="K5608" s="300">
        <f t="shared" si="669"/>
        <v>1.1000000000000001</v>
      </c>
      <c r="L5608" s="300">
        <f t="shared" si="667"/>
        <v>0</v>
      </c>
      <c r="M5608" s="285">
        <f t="shared" si="668"/>
        <v>0</v>
      </c>
      <c r="N5608" s="1076"/>
      <c r="O5608" s="294"/>
      <c r="P5608" s="404"/>
      <c r="Q5608" s="404"/>
    </row>
    <row r="5609" spans="1:17" ht="14.4" thickTop="1" thickBot="1" x14ac:dyDescent="0.3">
      <c r="A5609" s="292"/>
      <c r="B5609" s="296"/>
      <c r="C5609" s="294"/>
      <c r="D5609" s="294"/>
      <c r="E5609" s="294"/>
      <c r="F5609" s="310"/>
      <c r="G5609" s="310"/>
      <c r="H5609" s="310"/>
      <c r="I5609" s="295"/>
      <c r="J5609" s="295"/>
      <c r="K5609" s="300">
        <f t="shared" si="669"/>
        <v>1.1000000000000001</v>
      </c>
      <c r="L5609" s="300">
        <f t="shared" ref="L5609:L5672" si="670">K5609*J5609</f>
        <v>0</v>
      </c>
      <c r="M5609" s="285">
        <f t="shared" si="668"/>
        <v>0</v>
      </c>
      <c r="N5609" s="1076"/>
      <c r="O5609" s="294"/>
      <c r="P5609" s="404"/>
      <c r="Q5609" s="404"/>
    </row>
    <row r="5610" spans="1:17" ht="14.4" thickTop="1" thickBot="1" x14ac:dyDescent="0.3">
      <c r="A5610" s="292"/>
      <c r="B5610" s="296"/>
      <c r="C5610" s="294"/>
      <c r="D5610" s="294"/>
      <c r="E5610" s="294"/>
      <c r="F5610" s="310"/>
      <c r="G5610" s="310"/>
      <c r="H5610" s="310"/>
      <c r="I5610" s="295"/>
      <c r="J5610" s="295"/>
      <c r="K5610" s="300">
        <f t="shared" si="669"/>
        <v>1.1000000000000001</v>
      </c>
      <c r="L5610" s="300">
        <f t="shared" si="670"/>
        <v>0</v>
      </c>
      <c r="M5610" s="285">
        <f t="shared" si="668"/>
        <v>0</v>
      </c>
      <c r="N5610" s="1076"/>
      <c r="O5610" s="294"/>
      <c r="P5610" s="404"/>
      <c r="Q5610" s="404"/>
    </row>
    <row r="5611" spans="1:17" ht="14.4" thickTop="1" thickBot="1" x14ac:dyDescent="0.3">
      <c r="A5611" s="292"/>
      <c r="B5611" s="296"/>
      <c r="C5611" s="294"/>
      <c r="D5611" s="294"/>
      <c r="E5611" s="294"/>
      <c r="F5611" s="310"/>
      <c r="G5611" s="310"/>
      <c r="H5611" s="310"/>
      <c r="I5611" s="295"/>
      <c r="J5611" s="295"/>
      <c r="K5611" s="300">
        <f t="shared" si="669"/>
        <v>1.1000000000000001</v>
      </c>
      <c r="L5611" s="300">
        <f t="shared" si="670"/>
        <v>0</v>
      </c>
      <c r="M5611" s="285">
        <f t="shared" si="668"/>
        <v>0</v>
      </c>
      <c r="N5611" s="1076"/>
      <c r="O5611" s="294"/>
      <c r="P5611" s="404"/>
      <c r="Q5611" s="404"/>
    </row>
    <row r="5612" spans="1:17" ht="14.4" thickTop="1" thickBot="1" x14ac:dyDescent="0.3">
      <c r="A5612" s="292"/>
      <c r="B5612" s="296"/>
      <c r="C5612" s="294"/>
      <c r="D5612" s="294"/>
      <c r="E5612" s="294"/>
      <c r="F5612" s="310"/>
      <c r="G5612" s="310"/>
      <c r="H5612" s="310"/>
      <c r="I5612" s="295"/>
      <c r="J5612" s="295"/>
      <c r="K5612" s="300">
        <f t="shared" si="669"/>
        <v>1.1000000000000001</v>
      </c>
      <c r="L5612" s="300">
        <f t="shared" si="670"/>
        <v>0</v>
      </c>
      <c r="M5612" s="285">
        <f t="shared" si="668"/>
        <v>0</v>
      </c>
      <c r="N5612" s="1076"/>
      <c r="O5612" s="294"/>
      <c r="P5612" s="404"/>
      <c r="Q5612" s="404"/>
    </row>
    <row r="5613" spans="1:17" ht="14.4" thickTop="1" thickBot="1" x14ac:dyDescent="0.3">
      <c r="A5613" s="292"/>
      <c r="B5613" s="296"/>
      <c r="C5613" s="294"/>
      <c r="D5613" s="294"/>
      <c r="E5613" s="294"/>
      <c r="F5613" s="310"/>
      <c r="G5613" s="310"/>
      <c r="H5613" s="310"/>
      <c r="I5613" s="295"/>
      <c r="J5613" s="295"/>
      <c r="K5613" s="300">
        <f t="shared" si="669"/>
        <v>1.1000000000000001</v>
      </c>
      <c r="L5613" s="300">
        <f t="shared" si="670"/>
        <v>0</v>
      </c>
      <c r="M5613" s="285">
        <f t="shared" ref="M5613:M5676" si="671">ROUND(L5613,0)</f>
        <v>0</v>
      </c>
      <c r="N5613" s="1076"/>
      <c r="O5613" s="294"/>
      <c r="P5613" s="404"/>
      <c r="Q5613" s="404"/>
    </row>
    <row r="5614" spans="1:17" ht="14.4" thickTop="1" thickBot="1" x14ac:dyDescent="0.3">
      <c r="A5614" s="292"/>
      <c r="B5614" s="296"/>
      <c r="C5614" s="294"/>
      <c r="D5614" s="294"/>
      <c r="E5614" s="294"/>
      <c r="F5614" s="310"/>
      <c r="G5614" s="310"/>
      <c r="H5614" s="310"/>
      <c r="I5614" s="295"/>
      <c r="J5614" s="295"/>
      <c r="K5614" s="300">
        <f t="shared" si="669"/>
        <v>1.1000000000000001</v>
      </c>
      <c r="L5614" s="300">
        <f t="shared" si="670"/>
        <v>0</v>
      </c>
      <c r="M5614" s="285">
        <f t="shared" si="671"/>
        <v>0</v>
      </c>
      <c r="N5614" s="1076"/>
      <c r="O5614" s="294"/>
      <c r="P5614" s="404"/>
      <c r="Q5614" s="404"/>
    </row>
    <row r="5615" spans="1:17" ht="14.4" thickTop="1" thickBot="1" x14ac:dyDescent="0.3">
      <c r="A5615" s="292"/>
      <c r="B5615" s="296"/>
      <c r="C5615" s="294"/>
      <c r="D5615" s="294"/>
      <c r="E5615" s="294"/>
      <c r="F5615" s="310"/>
      <c r="G5615" s="310"/>
      <c r="H5615" s="310"/>
      <c r="I5615" s="295"/>
      <c r="J5615" s="295"/>
      <c r="K5615" s="300">
        <f t="shared" si="669"/>
        <v>1.1000000000000001</v>
      </c>
      <c r="L5615" s="300">
        <f t="shared" si="670"/>
        <v>0</v>
      </c>
      <c r="M5615" s="285">
        <f t="shared" si="671"/>
        <v>0</v>
      </c>
      <c r="N5615" s="1076"/>
      <c r="O5615" s="294"/>
      <c r="P5615" s="404"/>
      <c r="Q5615" s="404"/>
    </row>
    <row r="5616" spans="1:17" ht="14.4" thickTop="1" thickBot="1" x14ac:dyDescent="0.3">
      <c r="A5616" s="292"/>
      <c r="B5616" s="296"/>
      <c r="C5616" s="294"/>
      <c r="D5616" s="294"/>
      <c r="E5616" s="294"/>
      <c r="F5616" s="310"/>
      <c r="G5616" s="310"/>
      <c r="H5616" s="310"/>
      <c r="I5616" s="295"/>
      <c r="J5616" s="295"/>
      <c r="K5616" s="300">
        <f t="shared" si="669"/>
        <v>1.1000000000000001</v>
      </c>
      <c r="L5616" s="300">
        <f t="shared" si="670"/>
        <v>0</v>
      </c>
      <c r="M5616" s="285">
        <f t="shared" si="671"/>
        <v>0</v>
      </c>
      <c r="N5616" s="1076"/>
      <c r="O5616" s="294"/>
      <c r="P5616" s="404"/>
      <c r="Q5616" s="404"/>
    </row>
    <row r="5617" spans="1:17" ht="14.4" thickTop="1" thickBot="1" x14ac:dyDescent="0.3">
      <c r="A5617" s="292"/>
      <c r="B5617" s="296"/>
      <c r="C5617" s="294"/>
      <c r="D5617" s="294"/>
      <c r="E5617" s="294"/>
      <c r="F5617" s="310"/>
      <c r="G5617" s="310"/>
      <c r="H5617" s="310"/>
      <c r="I5617" s="295"/>
      <c r="J5617" s="295"/>
      <c r="K5617" s="300">
        <f t="shared" si="669"/>
        <v>1.1000000000000001</v>
      </c>
      <c r="L5617" s="300">
        <f t="shared" si="670"/>
        <v>0</v>
      </c>
      <c r="M5617" s="285">
        <f t="shared" si="671"/>
        <v>0</v>
      </c>
      <c r="N5617" s="1076"/>
      <c r="O5617" s="294"/>
      <c r="P5617" s="404"/>
      <c r="Q5617" s="404"/>
    </row>
    <row r="5618" spans="1:17" ht="14.4" thickTop="1" thickBot="1" x14ac:dyDescent="0.3">
      <c r="A5618" s="292"/>
      <c r="B5618" s="296"/>
      <c r="C5618" s="294"/>
      <c r="D5618" s="294"/>
      <c r="E5618" s="294"/>
      <c r="F5618" s="310"/>
      <c r="G5618" s="310"/>
      <c r="H5618" s="310"/>
      <c r="I5618" s="295"/>
      <c r="J5618" s="295"/>
      <c r="K5618" s="300">
        <f t="shared" si="669"/>
        <v>1.1000000000000001</v>
      </c>
      <c r="L5618" s="300">
        <f t="shared" si="670"/>
        <v>0</v>
      </c>
      <c r="M5618" s="285">
        <f t="shared" si="671"/>
        <v>0</v>
      </c>
      <c r="N5618" s="1076"/>
      <c r="O5618" s="294"/>
      <c r="P5618" s="404"/>
      <c r="Q5618" s="404"/>
    </row>
    <row r="5619" spans="1:17" ht="14.4" thickTop="1" thickBot="1" x14ac:dyDescent="0.3">
      <c r="A5619" s="292"/>
      <c r="B5619" s="296"/>
      <c r="C5619" s="294"/>
      <c r="D5619" s="294"/>
      <c r="E5619" s="294"/>
      <c r="F5619" s="310"/>
      <c r="G5619" s="310"/>
      <c r="H5619" s="310"/>
      <c r="I5619" s="295"/>
      <c r="J5619" s="295"/>
      <c r="K5619" s="300">
        <f t="shared" si="669"/>
        <v>1.1000000000000001</v>
      </c>
      <c r="L5619" s="300">
        <f t="shared" si="670"/>
        <v>0</v>
      </c>
      <c r="M5619" s="285">
        <f t="shared" si="671"/>
        <v>0</v>
      </c>
      <c r="N5619" s="1076"/>
      <c r="O5619" s="294"/>
      <c r="P5619" s="404"/>
      <c r="Q5619" s="404"/>
    </row>
    <row r="5620" spans="1:17" ht="14.4" thickTop="1" thickBot="1" x14ac:dyDescent="0.3">
      <c r="A5620" s="292"/>
      <c r="B5620" s="294" t="s">
        <v>1543</v>
      </c>
      <c r="C5620" s="294"/>
      <c r="D5620" s="294"/>
      <c r="E5620" s="294"/>
      <c r="F5620" s="310"/>
      <c r="G5620" s="310"/>
      <c r="H5620" s="310"/>
      <c r="I5620" s="295"/>
      <c r="J5620" s="295"/>
      <c r="K5620" s="300">
        <f t="shared" si="669"/>
        <v>1.1000000000000001</v>
      </c>
      <c r="L5620" s="300">
        <f t="shared" si="670"/>
        <v>0</v>
      </c>
      <c r="M5620" s="285">
        <f t="shared" si="671"/>
        <v>0</v>
      </c>
      <c r="N5620" s="1076"/>
      <c r="O5620" s="294"/>
      <c r="P5620" s="404"/>
      <c r="Q5620" s="404"/>
    </row>
    <row r="5621" spans="1:17" ht="14.4" thickTop="1" thickBot="1" x14ac:dyDescent="0.3">
      <c r="A5621" s="292"/>
      <c r="B5621" s="294"/>
      <c r="C5621" s="294"/>
      <c r="D5621" s="294"/>
      <c r="E5621" s="294"/>
      <c r="F5621" s="310"/>
      <c r="G5621" s="310"/>
      <c r="H5621" s="310"/>
      <c r="I5621" s="295"/>
      <c r="J5621" s="295"/>
      <c r="K5621" s="300">
        <f t="shared" si="669"/>
        <v>1.1000000000000001</v>
      </c>
      <c r="L5621" s="300">
        <f t="shared" si="670"/>
        <v>0</v>
      </c>
      <c r="M5621" s="285">
        <f t="shared" si="671"/>
        <v>0</v>
      </c>
      <c r="N5621" s="1076"/>
      <c r="O5621" s="294"/>
      <c r="P5621" s="404"/>
      <c r="Q5621" s="404"/>
    </row>
    <row r="5622" spans="1:17" ht="14.4" thickTop="1" thickBot="1" x14ac:dyDescent="0.3">
      <c r="A5622" s="292"/>
      <c r="B5622" s="294"/>
      <c r="C5622" s="294"/>
      <c r="D5622" s="294"/>
      <c r="E5622" s="294"/>
      <c r="F5622" s="310"/>
      <c r="G5622" s="310"/>
      <c r="H5622" s="310"/>
      <c r="I5622" s="295"/>
      <c r="J5622" s="295"/>
      <c r="K5622" s="300">
        <f t="shared" si="669"/>
        <v>1.1000000000000001</v>
      </c>
      <c r="L5622" s="300">
        <f t="shared" si="670"/>
        <v>0</v>
      </c>
      <c r="M5622" s="285">
        <f t="shared" si="671"/>
        <v>0</v>
      </c>
      <c r="N5622" s="1076"/>
      <c r="O5622" s="294"/>
      <c r="P5622" s="404"/>
      <c r="Q5622" s="404"/>
    </row>
    <row r="5623" spans="1:17" ht="14.4" thickTop="1" thickBot="1" x14ac:dyDescent="0.3">
      <c r="A5623" s="292"/>
      <c r="B5623" s="294"/>
      <c r="C5623" s="294"/>
      <c r="D5623" s="294"/>
      <c r="E5623" s="294"/>
      <c r="F5623" s="310"/>
      <c r="G5623" s="310"/>
      <c r="H5623" s="310"/>
      <c r="I5623" s="295"/>
      <c r="J5623" s="295"/>
      <c r="K5623" s="300">
        <f t="shared" si="669"/>
        <v>1.1000000000000001</v>
      </c>
      <c r="L5623" s="300">
        <f t="shared" si="670"/>
        <v>0</v>
      </c>
      <c r="M5623" s="285">
        <f t="shared" si="671"/>
        <v>0</v>
      </c>
      <c r="N5623" s="1076"/>
      <c r="O5623" s="294"/>
      <c r="P5623" s="404"/>
      <c r="Q5623" s="404"/>
    </row>
    <row r="5624" spans="1:17" ht="14.4" thickTop="1" thickBot="1" x14ac:dyDescent="0.3">
      <c r="A5624" s="292"/>
      <c r="B5624" s="294"/>
      <c r="C5624" s="294"/>
      <c r="D5624" s="294"/>
      <c r="E5624" s="294"/>
      <c r="F5624" s="310"/>
      <c r="G5624" s="310"/>
      <c r="H5624" s="310"/>
      <c r="I5624" s="295"/>
      <c r="J5624" s="295"/>
      <c r="K5624" s="300">
        <f t="shared" si="669"/>
        <v>1.1000000000000001</v>
      </c>
      <c r="L5624" s="300">
        <f t="shared" si="670"/>
        <v>0</v>
      </c>
      <c r="M5624" s="285">
        <f t="shared" si="671"/>
        <v>0</v>
      </c>
      <c r="N5624" s="1076"/>
      <c r="O5624" s="294"/>
      <c r="P5624" s="404"/>
      <c r="Q5624" s="404"/>
    </row>
    <row r="5625" spans="1:17" ht="14.4" thickTop="1" thickBot="1" x14ac:dyDescent="0.3">
      <c r="A5625" s="292"/>
      <c r="B5625" s="294"/>
      <c r="C5625" s="294"/>
      <c r="D5625" s="294"/>
      <c r="E5625" s="294"/>
      <c r="F5625" s="310"/>
      <c r="G5625" s="310"/>
      <c r="H5625" s="310"/>
      <c r="I5625" s="295"/>
      <c r="J5625" s="295"/>
      <c r="K5625" s="300">
        <f t="shared" si="669"/>
        <v>1.1000000000000001</v>
      </c>
      <c r="L5625" s="300">
        <f t="shared" si="670"/>
        <v>0</v>
      </c>
      <c r="M5625" s="285">
        <f t="shared" si="671"/>
        <v>0</v>
      </c>
      <c r="N5625" s="1076"/>
      <c r="O5625" s="294"/>
      <c r="P5625" s="404"/>
      <c r="Q5625" s="404"/>
    </row>
    <row r="5626" spans="1:17" ht="14.4" thickTop="1" thickBot="1" x14ac:dyDescent="0.3">
      <c r="A5626" s="292"/>
      <c r="B5626" s="294"/>
      <c r="C5626" s="294"/>
      <c r="D5626" s="294"/>
      <c r="E5626" s="294"/>
      <c r="F5626" s="310"/>
      <c r="G5626" s="310"/>
      <c r="H5626" s="310"/>
      <c r="I5626" s="295"/>
      <c r="J5626" s="295"/>
      <c r="K5626" s="300">
        <f t="shared" si="669"/>
        <v>1.1000000000000001</v>
      </c>
      <c r="L5626" s="300">
        <f t="shared" si="670"/>
        <v>0</v>
      </c>
      <c r="M5626" s="285">
        <f t="shared" si="671"/>
        <v>0</v>
      </c>
      <c r="N5626" s="1076"/>
      <c r="O5626" s="294"/>
      <c r="P5626" s="404"/>
      <c r="Q5626" s="404"/>
    </row>
    <row r="5627" spans="1:17" ht="14.4" thickTop="1" thickBot="1" x14ac:dyDescent="0.3">
      <c r="A5627" s="292"/>
      <c r="B5627" s="294"/>
      <c r="C5627" s="294"/>
      <c r="D5627" s="294"/>
      <c r="E5627" s="294"/>
      <c r="F5627" s="310"/>
      <c r="G5627" s="310"/>
      <c r="H5627" s="310"/>
      <c r="I5627" s="295"/>
      <c r="J5627" s="295"/>
      <c r="K5627" s="300">
        <f t="shared" si="669"/>
        <v>1.1000000000000001</v>
      </c>
      <c r="L5627" s="300">
        <f t="shared" si="670"/>
        <v>0</v>
      </c>
      <c r="M5627" s="285">
        <f t="shared" si="671"/>
        <v>0</v>
      </c>
      <c r="N5627" s="1076"/>
      <c r="O5627" s="294"/>
      <c r="P5627" s="404"/>
      <c r="Q5627" s="404"/>
    </row>
    <row r="5628" spans="1:17" ht="14.4" thickTop="1" thickBot="1" x14ac:dyDescent="0.3">
      <c r="A5628" s="292"/>
      <c r="B5628" s="294"/>
      <c r="C5628" s="294"/>
      <c r="D5628" s="294"/>
      <c r="E5628" s="294"/>
      <c r="F5628" s="310"/>
      <c r="G5628" s="310"/>
      <c r="H5628" s="310"/>
      <c r="I5628" s="295"/>
      <c r="J5628" s="295"/>
      <c r="K5628" s="300">
        <f t="shared" si="669"/>
        <v>1.1000000000000001</v>
      </c>
      <c r="L5628" s="300">
        <f t="shared" si="670"/>
        <v>0</v>
      </c>
      <c r="M5628" s="285">
        <f t="shared" si="671"/>
        <v>0</v>
      </c>
      <c r="N5628" s="1076"/>
      <c r="O5628" s="294"/>
      <c r="P5628" s="404"/>
      <c r="Q5628" s="404"/>
    </row>
    <row r="5629" spans="1:17" ht="14.4" thickTop="1" thickBot="1" x14ac:dyDescent="0.3">
      <c r="A5629" s="292"/>
      <c r="B5629" s="294"/>
      <c r="C5629" s="294"/>
      <c r="D5629" s="294"/>
      <c r="E5629" s="294"/>
      <c r="F5629" s="310"/>
      <c r="G5629" s="310"/>
      <c r="H5629" s="310"/>
      <c r="I5629" s="295"/>
      <c r="J5629" s="295"/>
      <c r="K5629" s="300">
        <f t="shared" si="669"/>
        <v>1.1000000000000001</v>
      </c>
      <c r="L5629" s="300">
        <f t="shared" si="670"/>
        <v>0</v>
      </c>
      <c r="M5629" s="285">
        <f t="shared" si="671"/>
        <v>0</v>
      </c>
      <c r="N5629" s="1076"/>
      <c r="O5629" s="294"/>
      <c r="P5629" s="404"/>
      <c r="Q5629" s="404"/>
    </row>
    <row r="5630" spans="1:17" ht="14.4" thickTop="1" thickBot="1" x14ac:dyDescent="0.3">
      <c r="A5630" s="292"/>
      <c r="B5630" s="294"/>
      <c r="C5630" s="294"/>
      <c r="D5630" s="294"/>
      <c r="E5630" s="294"/>
      <c r="F5630" s="310"/>
      <c r="G5630" s="310"/>
      <c r="H5630" s="310"/>
      <c r="I5630" s="295"/>
      <c r="J5630" s="295"/>
      <c r="K5630" s="300">
        <f t="shared" si="669"/>
        <v>1.1000000000000001</v>
      </c>
      <c r="L5630" s="300">
        <f t="shared" si="670"/>
        <v>0</v>
      </c>
      <c r="M5630" s="285">
        <f t="shared" si="671"/>
        <v>0</v>
      </c>
      <c r="N5630" s="1076"/>
      <c r="O5630" s="294"/>
      <c r="P5630" s="404"/>
      <c r="Q5630" s="404"/>
    </row>
    <row r="5631" spans="1:17" ht="14.4" thickTop="1" thickBot="1" x14ac:dyDescent="0.3">
      <c r="A5631" s="292"/>
      <c r="B5631" s="294"/>
      <c r="C5631" s="294"/>
      <c r="D5631" s="294"/>
      <c r="E5631" s="294"/>
      <c r="F5631" s="310"/>
      <c r="G5631" s="310"/>
      <c r="H5631" s="310"/>
      <c r="I5631" s="295"/>
      <c r="J5631" s="295"/>
      <c r="K5631" s="300">
        <f t="shared" si="669"/>
        <v>1.1000000000000001</v>
      </c>
      <c r="L5631" s="300">
        <f t="shared" si="670"/>
        <v>0</v>
      </c>
      <c r="M5631" s="285">
        <f t="shared" si="671"/>
        <v>0</v>
      </c>
      <c r="N5631" s="1076"/>
      <c r="O5631" s="294"/>
      <c r="P5631" s="404"/>
      <c r="Q5631" s="404"/>
    </row>
    <row r="5632" spans="1:17" ht="14.4" thickTop="1" thickBot="1" x14ac:dyDescent="0.3">
      <c r="A5632" s="292"/>
      <c r="B5632" s="294"/>
      <c r="C5632" s="294"/>
      <c r="D5632" s="294"/>
      <c r="E5632" s="294"/>
      <c r="F5632" s="310"/>
      <c r="G5632" s="310"/>
      <c r="H5632" s="310"/>
      <c r="I5632" s="295"/>
      <c r="J5632" s="295"/>
      <c r="K5632" s="300">
        <f t="shared" si="669"/>
        <v>1.1000000000000001</v>
      </c>
      <c r="L5632" s="300">
        <f t="shared" si="670"/>
        <v>0</v>
      </c>
      <c r="M5632" s="285">
        <f t="shared" si="671"/>
        <v>0</v>
      </c>
      <c r="N5632" s="1076"/>
      <c r="O5632" s="294"/>
      <c r="P5632" s="404"/>
      <c r="Q5632" s="404"/>
    </row>
    <row r="5633" spans="1:17" ht="14.4" thickTop="1" thickBot="1" x14ac:dyDescent="0.3">
      <c r="A5633" s="292"/>
      <c r="B5633" s="294"/>
      <c r="C5633" s="294"/>
      <c r="D5633" s="294"/>
      <c r="E5633" s="294"/>
      <c r="F5633" s="310"/>
      <c r="G5633" s="310"/>
      <c r="H5633" s="310"/>
      <c r="I5633" s="295"/>
      <c r="J5633" s="295"/>
      <c r="K5633" s="300">
        <f t="shared" si="669"/>
        <v>1.1000000000000001</v>
      </c>
      <c r="L5633" s="300">
        <f t="shared" si="670"/>
        <v>0</v>
      </c>
      <c r="M5633" s="285">
        <f t="shared" si="671"/>
        <v>0</v>
      </c>
      <c r="N5633" s="1076"/>
      <c r="O5633" s="294"/>
      <c r="P5633" s="404"/>
      <c r="Q5633" s="404"/>
    </row>
    <row r="5634" spans="1:17" ht="14.4" thickTop="1" thickBot="1" x14ac:dyDescent="0.3">
      <c r="A5634" s="292"/>
      <c r="B5634" s="294"/>
      <c r="C5634" s="294"/>
      <c r="D5634" s="294"/>
      <c r="E5634" s="294"/>
      <c r="F5634" s="310"/>
      <c r="G5634" s="310"/>
      <c r="H5634" s="310"/>
      <c r="I5634" s="295"/>
      <c r="J5634" s="295"/>
      <c r="K5634" s="300">
        <f t="shared" si="669"/>
        <v>1.1000000000000001</v>
      </c>
      <c r="L5634" s="300">
        <f t="shared" si="670"/>
        <v>0</v>
      </c>
      <c r="M5634" s="285">
        <f t="shared" si="671"/>
        <v>0</v>
      </c>
      <c r="N5634" s="1076"/>
      <c r="O5634" s="294"/>
      <c r="P5634" s="404"/>
      <c r="Q5634" s="404"/>
    </row>
    <row r="5635" spans="1:17" ht="14.4" thickTop="1" thickBot="1" x14ac:dyDescent="0.3">
      <c r="A5635" s="292"/>
      <c r="B5635" s="294"/>
      <c r="C5635" s="294"/>
      <c r="D5635" s="294"/>
      <c r="E5635" s="294"/>
      <c r="F5635" s="310"/>
      <c r="G5635" s="310"/>
      <c r="H5635" s="310"/>
      <c r="I5635" s="295"/>
      <c r="J5635" s="295"/>
      <c r="K5635" s="300">
        <f t="shared" si="669"/>
        <v>1.1000000000000001</v>
      </c>
      <c r="L5635" s="300">
        <f t="shared" si="670"/>
        <v>0</v>
      </c>
      <c r="M5635" s="285">
        <f t="shared" si="671"/>
        <v>0</v>
      </c>
      <c r="N5635" s="1076"/>
      <c r="O5635" s="294"/>
      <c r="P5635" s="404"/>
      <c r="Q5635" s="404"/>
    </row>
    <row r="5636" spans="1:17" ht="14.4" thickTop="1" thickBot="1" x14ac:dyDescent="0.3">
      <c r="A5636" s="292"/>
      <c r="B5636" s="294"/>
      <c r="C5636" s="294"/>
      <c r="D5636" s="294"/>
      <c r="E5636" s="294"/>
      <c r="F5636" s="310"/>
      <c r="G5636" s="310"/>
      <c r="H5636" s="310"/>
      <c r="I5636" s="295"/>
      <c r="J5636" s="295"/>
      <c r="K5636" s="300">
        <f t="shared" si="669"/>
        <v>1.1000000000000001</v>
      </c>
      <c r="L5636" s="300">
        <f t="shared" si="670"/>
        <v>0</v>
      </c>
      <c r="M5636" s="285">
        <f t="shared" si="671"/>
        <v>0</v>
      </c>
      <c r="N5636" s="1076"/>
      <c r="O5636" s="294"/>
      <c r="P5636" s="404"/>
      <c r="Q5636" s="404"/>
    </row>
    <row r="5637" spans="1:17" ht="14.4" thickTop="1" thickBot="1" x14ac:dyDescent="0.3">
      <c r="A5637" s="292"/>
      <c r="B5637" s="294"/>
      <c r="C5637" s="294"/>
      <c r="D5637" s="294"/>
      <c r="E5637" s="294"/>
      <c r="F5637" s="310"/>
      <c r="G5637" s="310"/>
      <c r="H5637" s="310"/>
      <c r="I5637" s="295"/>
      <c r="J5637" s="295"/>
      <c r="K5637" s="300">
        <f t="shared" si="669"/>
        <v>1.1000000000000001</v>
      </c>
      <c r="L5637" s="300">
        <f t="shared" si="670"/>
        <v>0</v>
      </c>
      <c r="M5637" s="285">
        <f t="shared" si="671"/>
        <v>0</v>
      </c>
      <c r="N5637" s="1076"/>
      <c r="O5637" s="294"/>
      <c r="P5637" s="404"/>
      <c r="Q5637" s="404"/>
    </row>
    <row r="5638" spans="1:17" ht="14.4" thickTop="1" thickBot="1" x14ac:dyDescent="0.3">
      <c r="A5638" s="292"/>
      <c r="B5638" s="294"/>
      <c r="C5638" s="294"/>
      <c r="D5638" s="294"/>
      <c r="E5638" s="294"/>
      <c r="F5638" s="310"/>
      <c r="G5638" s="310"/>
      <c r="H5638" s="310"/>
      <c r="I5638" s="295"/>
      <c r="J5638" s="295"/>
      <c r="K5638" s="300">
        <f t="shared" si="669"/>
        <v>1.1000000000000001</v>
      </c>
      <c r="L5638" s="300">
        <f t="shared" si="670"/>
        <v>0</v>
      </c>
      <c r="M5638" s="285">
        <f t="shared" si="671"/>
        <v>0</v>
      </c>
      <c r="N5638" s="1076"/>
      <c r="O5638" s="294"/>
      <c r="P5638" s="404"/>
      <c r="Q5638" s="404"/>
    </row>
    <row r="5639" spans="1:17" ht="14.4" thickTop="1" thickBot="1" x14ac:dyDescent="0.3">
      <c r="A5639" s="292"/>
      <c r="B5639" s="294"/>
      <c r="C5639" s="294"/>
      <c r="D5639" s="294"/>
      <c r="E5639" s="294"/>
      <c r="F5639" s="310"/>
      <c r="G5639" s="310"/>
      <c r="H5639" s="310"/>
      <c r="I5639" s="295"/>
      <c r="J5639" s="295"/>
      <c r="K5639" s="300">
        <f t="shared" si="669"/>
        <v>1.1000000000000001</v>
      </c>
      <c r="L5639" s="300">
        <f t="shared" si="670"/>
        <v>0</v>
      </c>
      <c r="M5639" s="285">
        <f t="shared" si="671"/>
        <v>0</v>
      </c>
      <c r="N5639" s="1076"/>
      <c r="O5639" s="294"/>
      <c r="P5639" s="404"/>
      <c r="Q5639" s="404"/>
    </row>
    <row r="5640" spans="1:17" ht="14.4" thickTop="1" thickBot="1" x14ac:dyDescent="0.3">
      <c r="A5640" s="292"/>
      <c r="B5640" s="294"/>
      <c r="C5640" s="294"/>
      <c r="D5640" s="294"/>
      <c r="E5640" s="294"/>
      <c r="F5640" s="310"/>
      <c r="G5640" s="310"/>
      <c r="H5640" s="310"/>
      <c r="I5640" s="295"/>
      <c r="J5640" s="295"/>
      <c r="K5640" s="300">
        <f t="shared" si="669"/>
        <v>1.1000000000000001</v>
      </c>
      <c r="L5640" s="300">
        <f t="shared" si="670"/>
        <v>0</v>
      </c>
      <c r="M5640" s="285">
        <f t="shared" si="671"/>
        <v>0</v>
      </c>
      <c r="N5640" s="1076"/>
      <c r="O5640" s="294"/>
      <c r="P5640" s="404"/>
      <c r="Q5640" s="404"/>
    </row>
    <row r="5641" spans="1:17" ht="14.4" thickTop="1" thickBot="1" x14ac:dyDescent="0.3">
      <c r="A5641" s="292"/>
      <c r="B5641" s="294"/>
      <c r="C5641" s="294"/>
      <c r="D5641" s="294"/>
      <c r="E5641" s="294"/>
      <c r="F5641" s="310"/>
      <c r="G5641" s="310"/>
      <c r="H5641" s="310"/>
      <c r="I5641" s="295"/>
      <c r="J5641" s="295"/>
      <c r="K5641" s="300">
        <f t="shared" si="669"/>
        <v>1.1000000000000001</v>
      </c>
      <c r="L5641" s="300">
        <f t="shared" si="670"/>
        <v>0</v>
      </c>
      <c r="M5641" s="285">
        <f t="shared" si="671"/>
        <v>0</v>
      </c>
      <c r="N5641" s="1076"/>
      <c r="O5641" s="294"/>
      <c r="P5641" s="404"/>
      <c r="Q5641" s="404"/>
    </row>
    <row r="5642" spans="1:17" ht="14.4" thickTop="1" thickBot="1" x14ac:dyDescent="0.3">
      <c r="A5642" s="292"/>
      <c r="B5642" s="294"/>
      <c r="C5642" s="294"/>
      <c r="D5642" s="294"/>
      <c r="E5642" s="294"/>
      <c r="F5642" s="310"/>
      <c r="G5642" s="310"/>
      <c r="H5642" s="310"/>
      <c r="I5642" s="295"/>
      <c r="J5642" s="295"/>
      <c r="K5642" s="300">
        <f t="shared" si="669"/>
        <v>1.1000000000000001</v>
      </c>
      <c r="L5642" s="300">
        <f t="shared" si="670"/>
        <v>0</v>
      </c>
      <c r="M5642" s="285">
        <f t="shared" si="671"/>
        <v>0</v>
      </c>
      <c r="N5642" s="1076"/>
      <c r="O5642" s="294"/>
      <c r="P5642" s="404"/>
      <c r="Q5642" s="404"/>
    </row>
    <row r="5643" spans="1:17" ht="14.4" thickTop="1" thickBot="1" x14ac:dyDescent="0.3">
      <c r="A5643" s="292"/>
      <c r="B5643" s="294"/>
      <c r="C5643" s="294"/>
      <c r="D5643" s="294"/>
      <c r="E5643" s="294"/>
      <c r="F5643" s="310"/>
      <c r="G5643" s="310"/>
      <c r="H5643" s="310"/>
      <c r="I5643" s="295"/>
      <c r="J5643" s="295"/>
      <c r="K5643" s="300">
        <f t="shared" si="669"/>
        <v>1.1000000000000001</v>
      </c>
      <c r="L5643" s="300">
        <f t="shared" si="670"/>
        <v>0</v>
      </c>
      <c r="M5643" s="285">
        <f t="shared" si="671"/>
        <v>0</v>
      </c>
      <c r="N5643" s="1076"/>
      <c r="O5643" s="294"/>
      <c r="P5643" s="404"/>
      <c r="Q5643" s="404"/>
    </row>
    <row r="5644" spans="1:17" ht="14.4" thickTop="1" thickBot="1" x14ac:dyDescent="0.3">
      <c r="A5644" s="292"/>
      <c r="B5644" s="294"/>
      <c r="C5644" s="294"/>
      <c r="D5644" s="294"/>
      <c r="E5644" s="294"/>
      <c r="F5644" s="310"/>
      <c r="G5644" s="310"/>
      <c r="H5644" s="310"/>
      <c r="I5644" s="295"/>
      <c r="J5644" s="295"/>
      <c r="K5644" s="300">
        <f t="shared" si="669"/>
        <v>1.1000000000000001</v>
      </c>
      <c r="L5644" s="300">
        <f t="shared" si="670"/>
        <v>0</v>
      </c>
      <c r="M5644" s="285">
        <f t="shared" si="671"/>
        <v>0</v>
      </c>
      <c r="N5644" s="1076"/>
      <c r="O5644" s="294"/>
      <c r="P5644" s="404"/>
      <c r="Q5644" s="404"/>
    </row>
    <row r="5645" spans="1:17" ht="14.4" thickTop="1" thickBot="1" x14ac:dyDescent="0.3">
      <c r="A5645" s="292"/>
      <c r="B5645" s="294"/>
      <c r="C5645" s="294"/>
      <c r="D5645" s="294"/>
      <c r="E5645" s="294"/>
      <c r="F5645" s="310"/>
      <c r="G5645" s="310"/>
      <c r="H5645" s="310"/>
      <c r="I5645" s="295"/>
      <c r="J5645" s="295"/>
      <c r="K5645" s="300">
        <f t="shared" si="669"/>
        <v>1.1000000000000001</v>
      </c>
      <c r="L5645" s="300">
        <f t="shared" si="670"/>
        <v>0</v>
      </c>
      <c r="M5645" s="285">
        <f t="shared" si="671"/>
        <v>0</v>
      </c>
      <c r="N5645" s="1076"/>
      <c r="O5645" s="294"/>
      <c r="P5645" s="404"/>
      <c r="Q5645" s="404"/>
    </row>
    <row r="5646" spans="1:17" ht="14.4" thickTop="1" thickBot="1" x14ac:dyDescent="0.3">
      <c r="A5646" s="292"/>
      <c r="B5646" s="294"/>
      <c r="C5646" s="294"/>
      <c r="D5646" s="294"/>
      <c r="E5646" s="294"/>
      <c r="F5646" s="310"/>
      <c r="G5646" s="310"/>
      <c r="H5646" s="310"/>
      <c r="I5646" s="295"/>
      <c r="J5646" s="295"/>
      <c r="K5646" s="300">
        <f t="shared" si="669"/>
        <v>1.1000000000000001</v>
      </c>
      <c r="L5646" s="300">
        <f t="shared" si="670"/>
        <v>0</v>
      </c>
      <c r="M5646" s="285">
        <f t="shared" si="671"/>
        <v>0</v>
      </c>
      <c r="N5646" s="1076"/>
      <c r="O5646" s="294"/>
      <c r="P5646" s="404"/>
      <c r="Q5646" s="404"/>
    </row>
    <row r="5647" spans="1:17" ht="14.4" thickTop="1" thickBot="1" x14ac:dyDescent="0.3">
      <c r="A5647" s="292"/>
      <c r="B5647" s="294"/>
      <c r="C5647" s="294"/>
      <c r="D5647" s="294"/>
      <c r="E5647" s="294"/>
      <c r="F5647" s="310"/>
      <c r="G5647" s="310"/>
      <c r="H5647" s="310"/>
      <c r="I5647" s="295"/>
      <c r="J5647" s="295"/>
      <c r="K5647" s="300">
        <f t="shared" si="669"/>
        <v>1.1000000000000001</v>
      </c>
      <c r="L5647" s="300">
        <f t="shared" si="670"/>
        <v>0</v>
      </c>
      <c r="M5647" s="285">
        <f t="shared" si="671"/>
        <v>0</v>
      </c>
      <c r="N5647" s="1076"/>
      <c r="O5647" s="294"/>
      <c r="P5647" s="404"/>
      <c r="Q5647" s="404"/>
    </row>
    <row r="5648" spans="1:17" ht="14.4" thickTop="1" thickBot="1" x14ac:dyDescent="0.3">
      <c r="A5648" s="292"/>
      <c r="B5648" s="294"/>
      <c r="C5648" s="294"/>
      <c r="D5648" s="294"/>
      <c r="E5648" s="294"/>
      <c r="F5648" s="310"/>
      <c r="G5648" s="310"/>
      <c r="H5648" s="310"/>
      <c r="I5648" s="295"/>
      <c r="J5648" s="295"/>
      <c r="K5648" s="300">
        <f t="shared" si="669"/>
        <v>1.1000000000000001</v>
      </c>
      <c r="L5648" s="300">
        <f t="shared" si="670"/>
        <v>0</v>
      </c>
      <c r="M5648" s="285">
        <f t="shared" si="671"/>
        <v>0</v>
      </c>
      <c r="N5648" s="1076"/>
      <c r="O5648" s="294"/>
      <c r="P5648" s="404"/>
      <c r="Q5648" s="404"/>
    </row>
    <row r="5649" spans="1:17" ht="14.4" thickTop="1" thickBot="1" x14ac:dyDescent="0.3">
      <c r="A5649" s="292"/>
      <c r="B5649" s="294"/>
      <c r="C5649" s="294"/>
      <c r="D5649" s="294"/>
      <c r="E5649" s="294"/>
      <c r="F5649" s="310"/>
      <c r="G5649" s="310"/>
      <c r="H5649" s="310"/>
      <c r="I5649" s="295"/>
      <c r="J5649" s="295"/>
      <c r="K5649" s="300">
        <f t="shared" si="669"/>
        <v>1.1000000000000001</v>
      </c>
      <c r="L5649" s="300">
        <f t="shared" si="670"/>
        <v>0</v>
      </c>
      <c r="M5649" s="285">
        <f t="shared" si="671"/>
        <v>0</v>
      </c>
      <c r="N5649" s="1076"/>
      <c r="O5649" s="294"/>
      <c r="P5649" s="404"/>
      <c r="Q5649" s="404"/>
    </row>
    <row r="5650" spans="1:17" ht="14.4" thickTop="1" thickBot="1" x14ac:dyDescent="0.3">
      <c r="A5650" s="292"/>
      <c r="B5650" s="294"/>
      <c r="C5650" s="294"/>
      <c r="D5650" s="294"/>
      <c r="E5650" s="294"/>
      <c r="F5650" s="310"/>
      <c r="G5650" s="310"/>
      <c r="H5650" s="310"/>
      <c r="I5650" s="295"/>
      <c r="J5650" s="295"/>
      <c r="K5650" s="300">
        <f t="shared" si="669"/>
        <v>1.1000000000000001</v>
      </c>
      <c r="L5650" s="300">
        <f t="shared" si="670"/>
        <v>0</v>
      </c>
      <c r="M5650" s="285">
        <f t="shared" si="671"/>
        <v>0</v>
      </c>
      <c r="N5650" s="1076"/>
      <c r="O5650" s="294"/>
      <c r="P5650" s="404"/>
      <c r="Q5650" s="404"/>
    </row>
    <row r="5651" spans="1:17" ht="14.4" thickTop="1" thickBot="1" x14ac:dyDescent="0.3">
      <c r="A5651" s="292"/>
      <c r="B5651" s="294"/>
      <c r="C5651" s="294"/>
      <c r="D5651" s="294"/>
      <c r="E5651" s="294"/>
      <c r="F5651" s="310"/>
      <c r="G5651" s="310"/>
      <c r="H5651" s="310"/>
      <c r="I5651" s="295"/>
      <c r="J5651" s="295"/>
      <c r="K5651" s="300">
        <f t="shared" si="669"/>
        <v>1.1000000000000001</v>
      </c>
      <c r="L5651" s="300">
        <f t="shared" si="670"/>
        <v>0</v>
      </c>
      <c r="M5651" s="285">
        <f t="shared" si="671"/>
        <v>0</v>
      </c>
      <c r="N5651" s="1076"/>
      <c r="O5651" s="294"/>
      <c r="P5651" s="404"/>
      <c r="Q5651" s="404"/>
    </row>
    <row r="5652" spans="1:17" ht="14.4" thickTop="1" thickBot="1" x14ac:dyDescent="0.3">
      <c r="A5652" s="292"/>
      <c r="B5652" s="294"/>
      <c r="C5652" s="294"/>
      <c r="D5652" s="294"/>
      <c r="E5652" s="294"/>
      <c r="F5652" s="310"/>
      <c r="G5652" s="310"/>
      <c r="H5652" s="310"/>
      <c r="I5652" s="295"/>
      <c r="J5652" s="295"/>
      <c r="K5652" s="300">
        <f t="shared" ref="K5652:K5681" si="672">$K$2</f>
        <v>1.1000000000000001</v>
      </c>
      <c r="L5652" s="300">
        <f t="shared" si="670"/>
        <v>0</v>
      </c>
      <c r="M5652" s="285">
        <f t="shared" si="671"/>
        <v>0</v>
      </c>
      <c r="N5652" s="1076"/>
      <c r="O5652" s="294"/>
      <c r="P5652" s="404"/>
      <c r="Q5652" s="404"/>
    </row>
    <row r="5653" spans="1:17" ht="14.4" thickTop="1" thickBot="1" x14ac:dyDescent="0.3">
      <c r="A5653" s="292"/>
      <c r="B5653" s="294"/>
      <c r="C5653" s="294"/>
      <c r="D5653" s="294"/>
      <c r="E5653" s="294"/>
      <c r="F5653" s="310"/>
      <c r="G5653" s="310"/>
      <c r="H5653" s="310"/>
      <c r="I5653" s="295"/>
      <c r="J5653" s="295"/>
      <c r="K5653" s="300">
        <f t="shared" si="672"/>
        <v>1.1000000000000001</v>
      </c>
      <c r="L5653" s="300">
        <f t="shared" si="670"/>
        <v>0</v>
      </c>
      <c r="M5653" s="285">
        <f t="shared" si="671"/>
        <v>0</v>
      </c>
      <c r="N5653" s="1076"/>
      <c r="O5653" s="294"/>
      <c r="P5653" s="404"/>
      <c r="Q5653" s="404"/>
    </row>
    <row r="5654" spans="1:17" ht="14.4" thickTop="1" thickBot="1" x14ac:dyDescent="0.3">
      <c r="A5654" s="292"/>
      <c r="B5654" s="294"/>
      <c r="C5654" s="294"/>
      <c r="D5654" s="294"/>
      <c r="E5654" s="294"/>
      <c r="F5654" s="310"/>
      <c r="G5654" s="310"/>
      <c r="H5654" s="310"/>
      <c r="I5654" s="295"/>
      <c r="J5654" s="295"/>
      <c r="K5654" s="300">
        <f t="shared" si="672"/>
        <v>1.1000000000000001</v>
      </c>
      <c r="L5654" s="300">
        <f t="shared" si="670"/>
        <v>0</v>
      </c>
      <c r="M5654" s="285">
        <f t="shared" si="671"/>
        <v>0</v>
      </c>
      <c r="N5654" s="1076"/>
      <c r="O5654" s="294"/>
      <c r="P5654" s="404"/>
      <c r="Q5654" s="404"/>
    </row>
    <row r="5655" spans="1:17" ht="14.4" thickTop="1" thickBot="1" x14ac:dyDescent="0.3">
      <c r="A5655" s="292"/>
      <c r="B5655" s="294"/>
      <c r="C5655" s="294"/>
      <c r="D5655" s="294"/>
      <c r="E5655" s="294"/>
      <c r="F5655" s="310"/>
      <c r="G5655" s="310"/>
      <c r="H5655" s="310"/>
      <c r="I5655" s="295"/>
      <c r="J5655" s="295"/>
      <c r="K5655" s="300">
        <f t="shared" si="672"/>
        <v>1.1000000000000001</v>
      </c>
      <c r="L5655" s="300">
        <f t="shared" si="670"/>
        <v>0</v>
      </c>
      <c r="M5655" s="285">
        <f t="shared" si="671"/>
        <v>0</v>
      </c>
      <c r="N5655" s="1076"/>
      <c r="O5655" s="294"/>
      <c r="P5655" s="404"/>
      <c r="Q5655" s="404"/>
    </row>
    <row r="5656" spans="1:17" ht="14.4" thickTop="1" thickBot="1" x14ac:dyDescent="0.3">
      <c r="A5656" s="292"/>
      <c r="B5656" s="294"/>
      <c r="C5656" s="294"/>
      <c r="D5656" s="294"/>
      <c r="E5656" s="294"/>
      <c r="F5656" s="310"/>
      <c r="G5656" s="310"/>
      <c r="H5656" s="310"/>
      <c r="I5656" s="295"/>
      <c r="J5656" s="295"/>
      <c r="K5656" s="300">
        <f t="shared" si="672"/>
        <v>1.1000000000000001</v>
      </c>
      <c r="L5656" s="300">
        <f t="shared" si="670"/>
        <v>0</v>
      </c>
      <c r="M5656" s="285">
        <f t="shared" si="671"/>
        <v>0</v>
      </c>
      <c r="N5656" s="1076"/>
      <c r="O5656" s="294"/>
      <c r="P5656" s="404"/>
      <c r="Q5656" s="404"/>
    </row>
    <row r="5657" spans="1:17" ht="14.4" thickTop="1" thickBot="1" x14ac:dyDescent="0.3">
      <c r="A5657" s="292"/>
      <c r="B5657" s="294"/>
      <c r="C5657" s="294"/>
      <c r="D5657" s="294"/>
      <c r="E5657" s="294"/>
      <c r="F5657" s="310"/>
      <c r="G5657" s="310"/>
      <c r="H5657" s="310"/>
      <c r="I5657" s="295"/>
      <c r="J5657" s="295"/>
      <c r="K5657" s="300">
        <f t="shared" si="672"/>
        <v>1.1000000000000001</v>
      </c>
      <c r="L5657" s="300">
        <f t="shared" si="670"/>
        <v>0</v>
      </c>
      <c r="M5657" s="285">
        <f t="shared" si="671"/>
        <v>0</v>
      </c>
      <c r="N5657" s="1076"/>
      <c r="O5657" s="294"/>
      <c r="P5657" s="404"/>
      <c r="Q5657" s="404"/>
    </row>
    <row r="5658" spans="1:17" ht="14.4" thickTop="1" thickBot="1" x14ac:dyDescent="0.3">
      <c r="A5658" s="292"/>
      <c r="B5658" s="294"/>
      <c r="C5658" s="294"/>
      <c r="D5658" s="294"/>
      <c r="E5658" s="294"/>
      <c r="F5658" s="310"/>
      <c r="G5658" s="310"/>
      <c r="H5658" s="310"/>
      <c r="I5658" s="295"/>
      <c r="J5658" s="295"/>
      <c r="K5658" s="300">
        <f t="shared" si="672"/>
        <v>1.1000000000000001</v>
      </c>
      <c r="L5658" s="300">
        <f t="shared" si="670"/>
        <v>0</v>
      </c>
      <c r="M5658" s="285">
        <f t="shared" si="671"/>
        <v>0</v>
      </c>
      <c r="N5658" s="1076"/>
      <c r="O5658" s="294"/>
      <c r="P5658" s="404"/>
      <c r="Q5658" s="404"/>
    </row>
    <row r="5659" spans="1:17" ht="14.4" thickTop="1" thickBot="1" x14ac:dyDescent="0.3">
      <c r="A5659" s="292"/>
      <c r="B5659" s="294"/>
      <c r="C5659" s="294"/>
      <c r="D5659" s="294"/>
      <c r="E5659" s="294"/>
      <c r="F5659" s="310"/>
      <c r="G5659" s="310"/>
      <c r="H5659" s="310"/>
      <c r="I5659" s="295"/>
      <c r="J5659" s="295"/>
      <c r="K5659" s="300">
        <f t="shared" si="672"/>
        <v>1.1000000000000001</v>
      </c>
      <c r="L5659" s="300">
        <f t="shared" si="670"/>
        <v>0</v>
      </c>
      <c r="M5659" s="285">
        <f t="shared" si="671"/>
        <v>0</v>
      </c>
      <c r="N5659" s="1076"/>
      <c r="O5659" s="294"/>
      <c r="P5659" s="404"/>
      <c r="Q5659" s="404"/>
    </row>
    <row r="5660" spans="1:17" ht="14.4" thickTop="1" thickBot="1" x14ac:dyDescent="0.3">
      <c r="A5660" s="292"/>
      <c r="B5660" s="294"/>
      <c r="C5660" s="294"/>
      <c r="D5660" s="294"/>
      <c r="E5660" s="294"/>
      <c r="F5660" s="310"/>
      <c r="G5660" s="310"/>
      <c r="H5660" s="310"/>
      <c r="I5660" s="295"/>
      <c r="J5660" s="295"/>
      <c r="K5660" s="300">
        <f t="shared" si="672"/>
        <v>1.1000000000000001</v>
      </c>
      <c r="L5660" s="300">
        <f t="shared" si="670"/>
        <v>0</v>
      </c>
      <c r="M5660" s="285">
        <f t="shared" si="671"/>
        <v>0</v>
      </c>
      <c r="N5660" s="1076"/>
      <c r="O5660" s="294"/>
      <c r="P5660" s="404"/>
      <c r="Q5660" s="404"/>
    </row>
    <row r="5661" spans="1:17" ht="14.4" thickTop="1" thickBot="1" x14ac:dyDescent="0.3">
      <c r="A5661" s="292"/>
      <c r="B5661" s="294"/>
      <c r="C5661" s="294"/>
      <c r="D5661" s="294"/>
      <c r="E5661" s="294"/>
      <c r="F5661" s="310"/>
      <c r="G5661" s="310"/>
      <c r="H5661" s="310"/>
      <c r="I5661" s="295"/>
      <c r="J5661" s="295"/>
      <c r="K5661" s="300">
        <f t="shared" si="672"/>
        <v>1.1000000000000001</v>
      </c>
      <c r="L5661" s="300">
        <f t="shared" si="670"/>
        <v>0</v>
      </c>
      <c r="M5661" s="285">
        <f t="shared" si="671"/>
        <v>0</v>
      </c>
      <c r="N5661" s="1076"/>
      <c r="O5661" s="294"/>
      <c r="P5661" s="404"/>
      <c r="Q5661" s="404"/>
    </row>
    <row r="5662" spans="1:17" ht="14.4" thickTop="1" thickBot="1" x14ac:dyDescent="0.3">
      <c r="A5662" s="292"/>
      <c r="B5662" s="294"/>
      <c r="C5662" s="294"/>
      <c r="D5662" s="294"/>
      <c r="E5662" s="294"/>
      <c r="F5662" s="310"/>
      <c r="G5662" s="310"/>
      <c r="H5662" s="310"/>
      <c r="I5662" s="295"/>
      <c r="J5662" s="295"/>
      <c r="K5662" s="300">
        <f t="shared" si="672"/>
        <v>1.1000000000000001</v>
      </c>
      <c r="L5662" s="300">
        <f t="shared" si="670"/>
        <v>0</v>
      </c>
      <c r="M5662" s="285">
        <f t="shared" si="671"/>
        <v>0</v>
      </c>
      <c r="N5662" s="1076"/>
      <c r="O5662" s="294"/>
      <c r="P5662" s="404"/>
      <c r="Q5662" s="404"/>
    </row>
    <row r="5663" spans="1:17" ht="14.4" thickTop="1" thickBot="1" x14ac:dyDescent="0.3">
      <c r="A5663" s="292"/>
      <c r="B5663" s="294"/>
      <c r="C5663" s="294"/>
      <c r="D5663" s="294"/>
      <c r="E5663" s="294"/>
      <c r="F5663" s="310"/>
      <c r="G5663" s="310"/>
      <c r="H5663" s="310"/>
      <c r="I5663" s="295"/>
      <c r="J5663" s="295"/>
      <c r="K5663" s="300">
        <f t="shared" si="672"/>
        <v>1.1000000000000001</v>
      </c>
      <c r="L5663" s="300">
        <f t="shared" si="670"/>
        <v>0</v>
      </c>
      <c r="M5663" s="285">
        <f t="shared" si="671"/>
        <v>0</v>
      </c>
      <c r="N5663" s="1076"/>
      <c r="O5663" s="294"/>
      <c r="P5663" s="404"/>
      <c r="Q5663" s="404"/>
    </row>
    <row r="5664" spans="1:17" ht="14.4" thickTop="1" thickBot="1" x14ac:dyDescent="0.3">
      <c r="A5664" s="292"/>
      <c r="B5664" s="294"/>
      <c r="C5664" s="294"/>
      <c r="D5664" s="294"/>
      <c r="E5664" s="294"/>
      <c r="F5664" s="310"/>
      <c r="G5664" s="310"/>
      <c r="H5664" s="310"/>
      <c r="I5664" s="295"/>
      <c r="J5664" s="295"/>
      <c r="K5664" s="300">
        <f t="shared" si="672"/>
        <v>1.1000000000000001</v>
      </c>
      <c r="L5664" s="300">
        <f t="shared" si="670"/>
        <v>0</v>
      </c>
      <c r="M5664" s="285">
        <f t="shared" si="671"/>
        <v>0</v>
      </c>
      <c r="N5664" s="1076"/>
      <c r="O5664" s="294"/>
      <c r="P5664" s="404"/>
      <c r="Q5664" s="404"/>
    </row>
    <row r="5665" spans="1:17" ht="14.4" thickTop="1" thickBot="1" x14ac:dyDescent="0.3">
      <c r="A5665" s="292"/>
      <c r="B5665" s="294"/>
      <c r="C5665" s="294"/>
      <c r="D5665" s="294"/>
      <c r="E5665" s="294"/>
      <c r="F5665" s="310"/>
      <c r="G5665" s="310"/>
      <c r="H5665" s="310"/>
      <c r="I5665" s="295"/>
      <c r="J5665" s="295"/>
      <c r="K5665" s="300">
        <f t="shared" si="672"/>
        <v>1.1000000000000001</v>
      </c>
      <c r="L5665" s="300">
        <f t="shared" si="670"/>
        <v>0</v>
      </c>
      <c r="M5665" s="285">
        <f t="shared" si="671"/>
        <v>0</v>
      </c>
      <c r="N5665" s="1076"/>
      <c r="O5665" s="294"/>
      <c r="P5665" s="404"/>
      <c r="Q5665" s="404"/>
    </row>
    <row r="5666" spans="1:17" ht="14.4" thickTop="1" thickBot="1" x14ac:dyDescent="0.3">
      <c r="A5666" s="292"/>
      <c r="B5666" s="294"/>
      <c r="C5666" s="294"/>
      <c r="D5666" s="294"/>
      <c r="E5666" s="294"/>
      <c r="F5666" s="310"/>
      <c r="G5666" s="310"/>
      <c r="H5666" s="310"/>
      <c r="I5666" s="295"/>
      <c r="J5666" s="295"/>
      <c r="K5666" s="300">
        <f t="shared" si="672"/>
        <v>1.1000000000000001</v>
      </c>
      <c r="L5666" s="300">
        <f t="shared" si="670"/>
        <v>0</v>
      </c>
      <c r="M5666" s="285">
        <f t="shared" si="671"/>
        <v>0</v>
      </c>
      <c r="N5666" s="1076"/>
      <c r="O5666" s="294"/>
      <c r="P5666" s="404"/>
      <c r="Q5666" s="404"/>
    </row>
    <row r="5667" spans="1:17" ht="14.4" thickTop="1" thickBot="1" x14ac:dyDescent="0.3">
      <c r="A5667" s="292"/>
      <c r="B5667" s="294"/>
      <c r="C5667" s="294"/>
      <c r="D5667" s="294"/>
      <c r="E5667" s="294"/>
      <c r="F5667" s="310"/>
      <c r="G5667" s="310"/>
      <c r="H5667" s="310"/>
      <c r="I5667" s="295"/>
      <c r="J5667" s="295"/>
      <c r="K5667" s="300">
        <f t="shared" si="672"/>
        <v>1.1000000000000001</v>
      </c>
      <c r="L5667" s="300">
        <f t="shared" si="670"/>
        <v>0</v>
      </c>
      <c r="M5667" s="285">
        <f t="shared" si="671"/>
        <v>0</v>
      </c>
      <c r="N5667" s="1076"/>
      <c r="O5667" s="294"/>
      <c r="P5667" s="404"/>
      <c r="Q5667" s="404"/>
    </row>
    <row r="5668" spans="1:17" ht="14.4" thickTop="1" thickBot="1" x14ac:dyDescent="0.3">
      <c r="A5668" s="292"/>
      <c r="B5668" s="294"/>
      <c r="C5668" s="294"/>
      <c r="D5668" s="294"/>
      <c r="E5668" s="294"/>
      <c r="F5668" s="310"/>
      <c r="G5668" s="310"/>
      <c r="H5668" s="310"/>
      <c r="I5668" s="295"/>
      <c r="J5668" s="295"/>
      <c r="K5668" s="300">
        <f t="shared" si="672"/>
        <v>1.1000000000000001</v>
      </c>
      <c r="L5668" s="300">
        <f t="shared" si="670"/>
        <v>0</v>
      </c>
      <c r="M5668" s="285">
        <f t="shared" si="671"/>
        <v>0</v>
      </c>
      <c r="N5668" s="1076"/>
      <c r="O5668" s="294"/>
      <c r="P5668" s="404"/>
      <c r="Q5668" s="404"/>
    </row>
    <row r="5669" spans="1:17" ht="14.4" thickTop="1" thickBot="1" x14ac:dyDescent="0.3">
      <c r="A5669" s="292"/>
      <c r="B5669" s="294"/>
      <c r="C5669" s="294"/>
      <c r="D5669" s="294"/>
      <c r="E5669" s="294"/>
      <c r="F5669" s="310"/>
      <c r="G5669" s="310"/>
      <c r="H5669" s="310"/>
      <c r="I5669" s="295"/>
      <c r="J5669" s="295"/>
      <c r="K5669" s="300">
        <f t="shared" si="672"/>
        <v>1.1000000000000001</v>
      </c>
      <c r="L5669" s="300">
        <f t="shared" si="670"/>
        <v>0</v>
      </c>
      <c r="M5669" s="285">
        <f t="shared" si="671"/>
        <v>0</v>
      </c>
      <c r="N5669" s="1076"/>
      <c r="O5669" s="294"/>
      <c r="P5669" s="404"/>
      <c r="Q5669" s="404"/>
    </row>
    <row r="5670" spans="1:17" ht="14.4" thickTop="1" thickBot="1" x14ac:dyDescent="0.3">
      <c r="A5670" s="292"/>
      <c r="B5670" s="294"/>
      <c r="C5670" s="294"/>
      <c r="D5670" s="294"/>
      <c r="E5670" s="294"/>
      <c r="F5670" s="310"/>
      <c r="G5670" s="310"/>
      <c r="H5670" s="310"/>
      <c r="I5670" s="295"/>
      <c r="J5670" s="295"/>
      <c r="K5670" s="300">
        <f t="shared" si="672"/>
        <v>1.1000000000000001</v>
      </c>
      <c r="L5670" s="300">
        <f t="shared" si="670"/>
        <v>0</v>
      </c>
      <c r="M5670" s="285">
        <f t="shared" si="671"/>
        <v>0</v>
      </c>
      <c r="N5670" s="1076"/>
      <c r="O5670" s="294"/>
      <c r="P5670" s="404"/>
      <c r="Q5670" s="404"/>
    </row>
    <row r="5671" spans="1:17" ht="14.4" thickTop="1" thickBot="1" x14ac:dyDescent="0.3">
      <c r="A5671" s="292"/>
      <c r="B5671" s="294"/>
      <c r="C5671" s="294"/>
      <c r="D5671" s="294"/>
      <c r="E5671" s="294"/>
      <c r="F5671" s="310"/>
      <c r="G5671" s="310"/>
      <c r="H5671" s="310"/>
      <c r="I5671" s="295"/>
      <c r="J5671" s="295"/>
      <c r="K5671" s="300">
        <f t="shared" si="672"/>
        <v>1.1000000000000001</v>
      </c>
      <c r="L5671" s="300">
        <f t="shared" si="670"/>
        <v>0</v>
      </c>
      <c r="M5671" s="285">
        <f t="shared" si="671"/>
        <v>0</v>
      </c>
      <c r="N5671" s="1076"/>
      <c r="O5671" s="294"/>
      <c r="P5671" s="404"/>
      <c r="Q5671" s="404"/>
    </row>
    <row r="5672" spans="1:17" ht="14.4" thickTop="1" thickBot="1" x14ac:dyDescent="0.3">
      <c r="A5672" s="292"/>
      <c r="B5672" s="294"/>
      <c r="C5672" s="294"/>
      <c r="D5672" s="294"/>
      <c r="E5672" s="294"/>
      <c r="F5672" s="310"/>
      <c r="G5672" s="310"/>
      <c r="H5672" s="310"/>
      <c r="I5672" s="295"/>
      <c r="J5672" s="295"/>
      <c r="K5672" s="300">
        <f t="shared" si="672"/>
        <v>1.1000000000000001</v>
      </c>
      <c r="L5672" s="300">
        <f t="shared" si="670"/>
        <v>0</v>
      </c>
      <c r="M5672" s="285">
        <f t="shared" si="671"/>
        <v>0</v>
      </c>
      <c r="N5672" s="1076"/>
      <c r="O5672" s="294"/>
      <c r="P5672" s="404"/>
      <c r="Q5672" s="404"/>
    </row>
    <row r="5673" spans="1:17" ht="14.4" thickTop="1" thickBot="1" x14ac:dyDescent="0.3">
      <c r="A5673" s="292"/>
      <c r="B5673" s="294"/>
      <c r="C5673" s="294"/>
      <c r="D5673" s="294"/>
      <c r="E5673" s="294"/>
      <c r="F5673" s="310"/>
      <c r="G5673" s="310"/>
      <c r="H5673" s="310"/>
      <c r="I5673" s="295"/>
      <c r="J5673" s="295"/>
      <c r="K5673" s="300">
        <f t="shared" si="672"/>
        <v>1.1000000000000001</v>
      </c>
      <c r="L5673" s="300">
        <f t="shared" ref="L5673:L5681" si="673">K5673*J5673</f>
        <v>0</v>
      </c>
      <c r="M5673" s="285">
        <f t="shared" si="671"/>
        <v>0</v>
      </c>
      <c r="N5673" s="1076"/>
      <c r="O5673" s="294"/>
      <c r="P5673" s="404"/>
      <c r="Q5673" s="404"/>
    </row>
    <row r="5674" spans="1:17" ht="14.4" thickTop="1" thickBot="1" x14ac:dyDescent="0.3">
      <c r="A5674" s="292"/>
      <c r="B5674" s="294"/>
      <c r="C5674" s="294"/>
      <c r="D5674" s="294"/>
      <c r="E5674" s="294"/>
      <c r="F5674" s="310"/>
      <c r="G5674" s="310"/>
      <c r="H5674" s="310"/>
      <c r="I5674" s="295"/>
      <c r="J5674" s="295"/>
      <c r="K5674" s="300">
        <f t="shared" si="672"/>
        <v>1.1000000000000001</v>
      </c>
      <c r="L5674" s="300">
        <f t="shared" si="673"/>
        <v>0</v>
      </c>
      <c r="M5674" s="285">
        <f t="shared" si="671"/>
        <v>0</v>
      </c>
      <c r="N5674" s="1076"/>
      <c r="O5674" s="294"/>
      <c r="P5674" s="404"/>
      <c r="Q5674" s="404"/>
    </row>
    <row r="5675" spans="1:17" ht="14.4" thickTop="1" thickBot="1" x14ac:dyDescent="0.3">
      <c r="A5675" s="292"/>
      <c r="B5675" s="294"/>
      <c r="C5675" s="294"/>
      <c r="D5675" s="294"/>
      <c r="E5675" s="294"/>
      <c r="F5675" s="310"/>
      <c r="G5675" s="310"/>
      <c r="H5675" s="310"/>
      <c r="I5675" s="295"/>
      <c r="J5675" s="295"/>
      <c r="K5675" s="300">
        <f t="shared" si="672"/>
        <v>1.1000000000000001</v>
      </c>
      <c r="L5675" s="300">
        <f t="shared" si="673"/>
        <v>0</v>
      </c>
      <c r="M5675" s="285">
        <f t="shared" si="671"/>
        <v>0</v>
      </c>
      <c r="N5675" s="1076"/>
      <c r="O5675" s="294"/>
      <c r="P5675" s="404"/>
      <c r="Q5675" s="404"/>
    </row>
    <row r="5676" spans="1:17" ht="14.4" thickTop="1" thickBot="1" x14ac:dyDescent="0.3">
      <c r="A5676" s="292"/>
      <c r="B5676" s="294"/>
      <c r="C5676" s="294"/>
      <c r="D5676" s="294"/>
      <c r="E5676" s="294"/>
      <c r="F5676" s="310"/>
      <c r="G5676" s="310"/>
      <c r="H5676" s="310"/>
      <c r="I5676" s="295"/>
      <c r="J5676" s="295"/>
      <c r="K5676" s="300">
        <f t="shared" si="672"/>
        <v>1.1000000000000001</v>
      </c>
      <c r="L5676" s="300">
        <f t="shared" si="673"/>
        <v>0</v>
      </c>
      <c r="M5676" s="285">
        <f t="shared" si="671"/>
        <v>0</v>
      </c>
      <c r="N5676" s="1076"/>
      <c r="O5676" s="296"/>
      <c r="P5676" s="405"/>
      <c r="Q5676" s="405"/>
    </row>
    <row r="5677" spans="1:17" ht="14.4" thickTop="1" thickBot="1" x14ac:dyDescent="0.3">
      <c r="A5677" s="292"/>
      <c r="B5677" s="294"/>
      <c r="C5677" s="294"/>
      <c r="D5677" s="294"/>
      <c r="E5677" s="294"/>
      <c r="F5677" s="310"/>
      <c r="G5677" s="310"/>
      <c r="H5677" s="310"/>
      <c r="I5677" s="295"/>
      <c r="J5677" s="295"/>
      <c r="K5677" s="300">
        <f t="shared" si="672"/>
        <v>1.1000000000000001</v>
      </c>
      <c r="L5677" s="300">
        <f t="shared" si="673"/>
        <v>0</v>
      </c>
      <c r="M5677" s="285">
        <f t="shared" ref="M5677:M5681" si="674">ROUND(L5677,0)</f>
        <v>0</v>
      </c>
      <c r="N5677" s="1076"/>
      <c r="O5677" s="294"/>
      <c r="P5677" s="404"/>
      <c r="Q5677" s="404"/>
    </row>
    <row r="5678" spans="1:17" ht="14.4" thickTop="1" thickBot="1" x14ac:dyDescent="0.3">
      <c r="A5678" s="292"/>
      <c r="B5678" s="294"/>
      <c r="C5678" s="294"/>
      <c r="D5678" s="294"/>
      <c r="E5678" s="294"/>
      <c r="F5678" s="310"/>
      <c r="G5678" s="310"/>
      <c r="H5678" s="310"/>
      <c r="I5678" s="295"/>
      <c r="J5678" s="295"/>
      <c r="K5678" s="300">
        <f t="shared" si="672"/>
        <v>1.1000000000000001</v>
      </c>
      <c r="L5678" s="300">
        <f t="shared" si="673"/>
        <v>0</v>
      </c>
      <c r="M5678" s="285">
        <f t="shared" si="674"/>
        <v>0</v>
      </c>
      <c r="N5678" s="1076"/>
      <c r="O5678" s="294"/>
      <c r="P5678" s="404"/>
      <c r="Q5678" s="404"/>
    </row>
    <row r="5679" spans="1:17" ht="14.4" thickTop="1" thickBot="1" x14ac:dyDescent="0.3">
      <c r="A5679" s="292"/>
      <c r="B5679" s="294"/>
      <c r="C5679" s="294"/>
      <c r="D5679" s="294"/>
      <c r="E5679" s="294"/>
      <c r="F5679" s="310"/>
      <c r="G5679" s="310"/>
      <c r="H5679" s="310"/>
      <c r="I5679" s="295"/>
      <c r="J5679" s="295"/>
      <c r="K5679" s="300">
        <f t="shared" si="672"/>
        <v>1.1000000000000001</v>
      </c>
      <c r="L5679" s="300">
        <f t="shared" si="673"/>
        <v>0</v>
      </c>
      <c r="M5679" s="285">
        <f t="shared" si="674"/>
        <v>0</v>
      </c>
      <c r="N5679" s="1076"/>
      <c r="O5679" s="294"/>
      <c r="P5679" s="404"/>
      <c r="Q5679" s="404"/>
    </row>
    <row r="5680" spans="1:17" ht="14.4" thickTop="1" thickBot="1" x14ac:dyDescent="0.3">
      <c r="A5680" s="292"/>
      <c r="B5680" s="294"/>
      <c r="C5680" s="294"/>
      <c r="D5680" s="294"/>
      <c r="E5680" s="294"/>
      <c r="F5680" s="310"/>
      <c r="G5680" s="310"/>
      <c r="H5680" s="310"/>
      <c r="I5680" s="295"/>
      <c r="J5680" s="295"/>
      <c r="K5680" s="300">
        <f t="shared" si="672"/>
        <v>1.1000000000000001</v>
      </c>
      <c r="L5680" s="300">
        <f t="shared" si="673"/>
        <v>0</v>
      </c>
      <c r="M5680" s="285">
        <f t="shared" si="674"/>
        <v>0</v>
      </c>
      <c r="N5680" s="1076"/>
      <c r="O5680" s="294"/>
      <c r="P5680" s="404"/>
      <c r="Q5680" s="404"/>
    </row>
    <row r="5681" spans="1:17" ht="14.4" thickTop="1" thickBot="1" x14ac:dyDescent="0.3">
      <c r="A5681" s="292"/>
      <c r="B5681" s="294"/>
      <c r="C5681" s="294"/>
      <c r="D5681" s="294"/>
      <c r="E5681" s="294"/>
      <c r="F5681" s="310"/>
      <c r="G5681" s="310"/>
      <c r="H5681" s="310"/>
      <c r="I5681" s="295"/>
      <c r="J5681" s="295"/>
      <c r="K5681" s="300">
        <f t="shared" si="672"/>
        <v>1.1000000000000001</v>
      </c>
      <c r="L5681" s="300">
        <f t="shared" si="673"/>
        <v>0</v>
      </c>
      <c r="M5681" s="285">
        <f t="shared" si="674"/>
        <v>0</v>
      </c>
      <c r="N5681" s="1076"/>
      <c r="O5681" s="294"/>
      <c r="P5681" s="404"/>
      <c r="Q5681" s="404"/>
    </row>
    <row r="5682" spans="1:17" ht="13.8" thickTop="1" x14ac:dyDescent="0.25"/>
  </sheetData>
  <mergeCells count="2">
    <mergeCell ref="C1:E1"/>
    <mergeCell ref="B3:F3"/>
  </mergeCells>
  <pageMargins left="0.7" right="0.7" top="0.75" bottom="0.75" header="0.3" footer="0.3"/>
  <pageSetup orientation="portrait" r:id="rId1"/>
  <colBreaks count="1" manualBreakCount="1">
    <brk id="1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S70"/>
  <sheetViews>
    <sheetView view="pageBreakPreview" zoomScaleSheetLayoutView="100" workbookViewId="0">
      <selection activeCell="K35" sqref="K35"/>
    </sheetView>
  </sheetViews>
  <sheetFormatPr defaultColWidth="9" defaultRowHeight="13.2" x14ac:dyDescent="0.25"/>
  <cols>
    <col min="1" max="1" width="16.109375" style="906" customWidth="1"/>
    <col min="2" max="2" width="41.6640625" style="906" customWidth="1"/>
    <col min="3" max="3" width="10.5546875" style="906" customWidth="1"/>
    <col min="4" max="4" width="7.44140625" style="911" customWidth="1"/>
    <col min="5" max="5" width="4.6640625" style="906" customWidth="1"/>
    <col min="6" max="6" width="22" style="906" customWidth="1"/>
    <col min="7" max="7" width="3.6640625" style="912" customWidth="1"/>
    <col min="8" max="8" width="1.6640625" style="906" customWidth="1"/>
    <col min="9" max="12" width="9" style="906"/>
    <col min="13" max="13" width="14.77734375" style="1117" bestFit="1" customWidth="1"/>
    <col min="14" max="16384" width="9" style="906"/>
  </cols>
  <sheetData>
    <row r="1" spans="1:19" ht="27" customHeight="1" x14ac:dyDescent="0.25">
      <c r="A1" s="2758"/>
      <c r="B1" s="2759"/>
      <c r="C1" s="2759"/>
      <c r="D1" s="2760"/>
      <c r="E1" s="2759"/>
      <c r="F1" s="2759"/>
      <c r="G1" s="2761"/>
      <c r="H1" s="904"/>
    </row>
    <row r="2" spans="1:19" ht="24.75" customHeight="1" x14ac:dyDescent="0.25">
      <c r="A2" s="2762"/>
      <c r="B2" s="904"/>
      <c r="C2" s="904"/>
      <c r="D2" s="905"/>
      <c r="E2" s="904"/>
      <c r="F2" s="904"/>
      <c r="G2" s="2763"/>
      <c r="H2" s="904"/>
    </row>
    <row r="3" spans="1:19" ht="20.399999999999999" x14ac:dyDescent="0.35">
      <c r="A3" s="2764"/>
      <c r="B3" s="907"/>
      <c r="C3" s="907"/>
      <c r="D3" s="907"/>
      <c r="E3" s="907"/>
      <c r="F3" s="907"/>
      <c r="G3" s="2765"/>
      <c r="H3" s="907"/>
      <c r="I3" s="907"/>
    </row>
    <row r="4" spans="1:19" ht="20.399999999999999" x14ac:dyDescent="0.35">
      <c r="A4" s="2764"/>
      <c r="B4" s="907"/>
      <c r="C4" s="907"/>
      <c r="D4" s="907"/>
      <c r="E4" s="907"/>
      <c r="F4" s="907"/>
      <c r="G4" s="2765"/>
      <c r="H4" s="907"/>
      <c r="I4" s="907"/>
    </row>
    <row r="5" spans="1:19" ht="20.399999999999999" x14ac:dyDescent="0.35">
      <c r="A5" s="2764"/>
      <c r="B5" s="907"/>
      <c r="C5" s="907"/>
      <c r="D5" s="907"/>
      <c r="E5" s="907"/>
      <c r="F5" s="907"/>
      <c r="G5" s="2765"/>
      <c r="H5" s="907"/>
      <c r="I5" s="907"/>
    </row>
    <row r="6" spans="1:19" ht="20.399999999999999" x14ac:dyDescent="0.35">
      <c r="A6" s="2766"/>
      <c r="B6" s="908"/>
      <c r="C6" s="908"/>
      <c r="D6" s="908"/>
      <c r="E6" s="908"/>
      <c r="F6" s="908"/>
      <c r="G6" s="2767"/>
      <c r="H6" s="908"/>
      <c r="I6" s="907"/>
      <c r="J6" s="906">
        <f>450*4</f>
        <v>1800</v>
      </c>
    </row>
    <row r="7" spans="1:19" ht="20.399999999999999" x14ac:dyDescent="0.35">
      <c r="A7" s="2766"/>
      <c r="B7" s="908"/>
      <c r="C7" s="908"/>
      <c r="D7" s="908"/>
      <c r="E7" s="908"/>
      <c r="F7" s="908"/>
      <c r="G7" s="2767"/>
      <c r="H7" s="908"/>
      <c r="I7" s="907"/>
    </row>
    <row r="8" spans="1:19" ht="20.399999999999999" x14ac:dyDescent="0.35">
      <c r="A8" s="2766"/>
      <c r="B8" s="908"/>
      <c r="C8" s="908"/>
      <c r="D8" s="908"/>
      <c r="E8" s="908"/>
      <c r="F8" s="908"/>
      <c r="G8" s="2767"/>
      <c r="H8" s="908"/>
      <c r="I8" s="907"/>
    </row>
    <row r="9" spans="1:19" ht="20.399999999999999" x14ac:dyDescent="0.35">
      <c r="A9" s="2766"/>
      <c r="B9" s="908"/>
      <c r="C9" s="908"/>
      <c r="D9" s="908"/>
      <c r="E9" s="908"/>
      <c r="F9" s="908"/>
      <c r="G9" s="2767"/>
      <c r="H9" s="908"/>
      <c r="I9" s="907"/>
    </row>
    <row r="10" spans="1:19" ht="27.6" x14ac:dyDescent="0.25">
      <c r="A10" s="2849" t="s">
        <v>3126</v>
      </c>
      <c r="B10" s="2850"/>
      <c r="C10" s="2850"/>
      <c r="D10" s="2850"/>
      <c r="E10" s="2850"/>
      <c r="F10" s="2850"/>
      <c r="G10" s="2851"/>
      <c r="H10" s="914"/>
      <c r="I10" s="914"/>
    </row>
    <row r="11" spans="1:19" ht="20.399999999999999" x14ac:dyDescent="0.35">
      <c r="A11" s="2766"/>
      <c r="B11" s="908"/>
      <c r="C11" s="908"/>
      <c r="D11" s="908"/>
      <c r="E11" s="908"/>
      <c r="F11" s="908"/>
      <c r="G11" s="2767"/>
      <c r="H11" s="908"/>
      <c r="I11" s="907"/>
    </row>
    <row r="12" spans="1:19" s="909" customFormat="1" ht="89.4" customHeight="1" x14ac:dyDescent="0.35">
      <c r="A12" s="2852" t="s">
        <v>3275</v>
      </c>
      <c r="B12" s="2853"/>
      <c r="C12" s="2853"/>
      <c r="D12" s="2853"/>
      <c r="E12" s="2853"/>
      <c r="F12" s="2853"/>
      <c r="G12" s="2854"/>
      <c r="H12" s="1073"/>
      <c r="M12" s="1118"/>
      <c r="N12" s="909" t="e">
        <f>#REF!*45</f>
        <v>#REF!</v>
      </c>
      <c r="O12" s="909">
        <f>310</f>
        <v>310</v>
      </c>
      <c r="P12" s="909" t="e">
        <f>N12-O12</f>
        <v>#REF!</v>
      </c>
      <c r="S12" s="909">
        <f>19.5*2</f>
        <v>39</v>
      </c>
    </row>
    <row r="13" spans="1:19" s="910" customFormat="1" ht="18" x14ac:dyDescent="0.35">
      <c r="A13" s="2768"/>
      <c r="B13" s="2769"/>
      <c r="C13" s="2769"/>
      <c r="D13" s="2769"/>
      <c r="E13" s="2769"/>
      <c r="F13" s="2769"/>
      <c r="G13" s="2770"/>
      <c r="M13" s="1119"/>
      <c r="S13" s="910">
        <f>S12*5</f>
        <v>195</v>
      </c>
    </row>
    <row r="14" spans="1:19" s="910" customFormat="1" ht="15.6" customHeight="1" x14ac:dyDescent="0.35">
      <c r="A14" s="2764"/>
      <c r="B14" s="907"/>
      <c r="C14" s="907"/>
      <c r="D14" s="907"/>
      <c r="E14" s="907"/>
      <c r="F14" s="907"/>
      <c r="G14" s="2765"/>
      <c r="H14" s="907"/>
      <c r="M14" s="1119"/>
    </row>
    <row r="15" spans="1:19" ht="16.5" customHeight="1" x14ac:dyDescent="0.25">
      <c r="A15" s="2762"/>
      <c r="B15" s="904"/>
      <c r="C15" s="904"/>
      <c r="D15" s="905"/>
      <c r="E15" s="904"/>
      <c r="F15" s="904"/>
      <c r="G15" s="2763"/>
      <c r="O15" s="906">
        <f>O12/45</f>
        <v>6.8888888888888893</v>
      </c>
    </row>
    <row r="16" spans="1:19" ht="20.399999999999999" x14ac:dyDescent="0.35">
      <c r="A16" s="2771"/>
      <c r="B16" s="1113"/>
      <c r="C16" s="1113"/>
      <c r="D16" s="1113"/>
      <c r="E16" s="1113"/>
      <c r="F16" s="1113"/>
      <c r="G16" s="2772"/>
      <c r="H16" s="1113"/>
      <c r="I16" s="907"/>
      <c r="O16" s="906">
        <f>O15*338</f>
        <v>2328.4444444444448</v>
      </c>
      <c r="S16" s="906">
        <f>S13/45</f>
        <v>4.333333333333333</v>
      </c>
    </row>
    <row r="17" spans="1:19" x14ac:dyDescent="0.25">
      <c r="A17" s="2762"/>
      <c r="B17" s="904"/>
      <c r="C17" s="904"/>
      <c r="D17" s="904"/>
      <c r="E17" s="904"/>
      <c r="F17" s="904"/>
      <c r="G17" s="2773"/>
      <c r="S17" s="906">
        <f>S16*338</f>
        <v>1464.6666666666665</v>
      </c>
    </row>
    <row r="18" spans="1:19" x14ac:dyDescent="0.25">
      <c r="A18" s="2762"/>
      <c r="B18" s="904"/>
      <c r="C18" s="904"/>
      <c r="D18" s="905"/>
      <c r="E18" s="904"/>
      <c r="F18" s="904"/>
      <c r="G18" s="2763"/>
      <c r="S18" s="906">
        <f>S17*5</f>
        <v>7323.3333333333321</v>
      </c>
    </row>
    <row r="19" spans="1:19" x14ac:dyDescent="0.25">
      <c r="A19" s="2762"/>
      <c r="B19" s="904"/>
      <c r="C19" s="904"/>
      <c r="D19" s="905"/>
      <c r="E19" s="904"/>
      <c r="F19" s="904"/>
      <c r="G19" s="2763"/>
    </row>
    <row r="20" spans="1:19" x14ac:dyDescent="0.25">
      <c r="A20" s="2762"/>
      <c r="B20" s="904"/>
      <c r="C20" s="904"/>
      <c r="D20" s="905"/>
      <c r="E20" s="904"/>
      <c r="F20" s="904"/>
      <c r="G20" s="2763"/>
    </row>
    <row r="21" spans="1:19" x14ac:dyDescent="0.25">
      <c r="A21" s="2762"/>
      <c r="B21" s="904"/>
      <c r="C21" s="904"/>
      <c r="D21" s="905"/>
      <c r="E21" s="904"/>
      <c r="F21" s="904"/>
      <c r="G21" s="2763"/>
    </row>
    <row r="22" spans="1:19" x14ac:dyDescent="0.25">
      <c r="A22" s="2762"/>
      <c r="B22" s="904"/>
      <c r="C22" s="904"/>
      <c r="D22" s="905"/>
      <c r="E22" s="904"/>
      <c r="F22" s="904"/>
      <c r="G22" s="2763"/>
    </row>
    <row r="23" spans="1:19" x14ac:dyDescent="0.25">
      <c r="A23" s="2762"/>
      <c r="B23" s="904"/>
      <c r="C23" s="904"/>
      <c r="D23" s="905"/>
      <c r="E23" s="904"/>
      <c r="F23" s="904"/>
      <c r="G23" s="2763"/>
    </row>
    <row r="24" spans="1:19" x14ac:dyDescent="0.25">
      <c r="A24" s="2762"/>
      <c r="B24" s="904"/>
      <c r="C24" s="904"/>
      <c r="D24" s="905"/>
      <c r="E24" s="904"/>
      <c r="F24" s="904"/>
      <c r="G24" s="2763"/>
    </row>
    <row r="25" spans="1:19" x14ac:dyDescent="0.25">
      <c r="A25" s="2762"/>
      <c r="B25" s="904"/>
      <c r="C25" s="904"/>
      <c r="D25" s="905"/>
      <c r="E25" s="904"/>
      <c r="F25" s="904"/>
      <c r="G25" s="2763"/>
    </row>
    <row r="26" spans="1:19" x14ac:dyDescent="0.25">
      <c r="A26" s="2762"/>
      <c r="B26" s="904"/>
      <c r="C26" s="904"/>
      <c r="D26" s="905"/>
      <c r="E26" s="904"/>
      <c r="F26" s="904"/>
      <c r="G26" s="2763"/>
    </row>
    <row r="27" spans="1:19" x14ac:dyDescent="0.25">
      <c r="A27" s="2762"/>
      <c r="B27" s="904"/>
      <c r="C27" s="904"/>
      <c r="D27" s="905"/>
      <c r="E27" s="904"/>
      <c r="F27" s="904"/>
      <c r="G27" s="2763"/>
    </row>
    <row r="28" spans="1:19" x14ac:dyDescent="0.25">
      <c r="A28" s="2762"/>
      <c r="B28" s="904"/>
      <c r="C28" s="904"/>
      <c r="D28" s="905"/>
      <c r="E28" s="904"/>
      <c r="F28" s="904"/>
      <c r="G28" s="2763"/>
    </row>
    <row r="29" spans="1:19" x14ac:dyDescent="0.25">
      <c r="A29" s="2762"/>
      <c r="B29" s="904"/>
      <c r="C29" s="904"/>
      <c r="D29" s="905"/>
      <c r="E29" s="904"/>
      <c r="F29" s="904"/>
      <c r="G29" s="2763"/>
    </row>
    <row r="30" spans="1:19" x14ac:dyDescent="0.25">
      <c r="A30" s="2762"/>
      <c r="B30" s="904"/>
      <c r="C30" s="904"/>
      <c r="D30" s="905"/>
      <c r="E30" s="904"/>
      <c r="F30" s="904"/>
      <c r="G30" s="2763"/>
    </row>
    <row r="31" spans="1:19" x14ac:dyDescent="0.25">
      <c r="A31" s="2762"/>
      <c r="B31" s="904"/>
      <c r="C31" s="904"/>
      <c r="D31" s="905"/>
      <c r="E31" s="904"/>
      <c r="F31" s="904"/>
      <c r="G31" s="2763"/>
    </row>
    <row r="32" spans="1:19" x14ac:dyDescent="0.25">
      <c r="A32" s="2762"/>
      <c r="B32" s="904"/>
      <c r="C32" s="904"/>
      <c r="D32" s="905"/>
      <c r="E32" s="904"/>
      <c r="F32" s="904"/>
      <c r="G32" s="2763"/>
    </row>
    <row r="33" spans="1:11" x14ac:dyDescent="0.25">
      <c r="A33" s="2762"/>
      <c r="B33" s="904"/>
      <c r="C33" s="904"/>
      <c r="D33" s="905"/>
      <c r="E33" s="904"/>
      <c r="F33" s="904"/>
      <c r="G33" s="2763"/>
    </row>
    <row r="34" spans="1:11" x14ac:dyDescent="0.25">
      <c r="A34" s="2762"/>
      <c r="B34" s="904"/>
      <c r="C34" s="904"/>
      <c r="D34" s="905"/>
      <c r="E34" s="904"/>
      <c r="F34" s="904"/>
      <c r="G34" s="2763"/>
    </row>
    <row r="35" spans="1:11" x14ac:dyDescent="0.25">
      <c r="A35" s="2762"/>
      <c r="B35" s="904"/>
      <c r="C35" s="904"/>
      <c r="D35" s="905"/>
      <c r="E35" s="904"/>
      <c r="F35" s="904"/>
      <c r="G35" s="2763"/>
    </row>
    <row r="36" spans="1:11" x14ac:dyDescent="0.25">
      <c r="A36" s="2762"/>
      <c r="B36" s="904"/>
      <c r="C36" s="904"/>
      <c r="D36" s="905"/>
      <c r="E36" s="904"/>
      <c r="F36" s="904"/>
      <c r="G36" s="2763"/>
    </row>
    <row r="37" spans="1:11" x14ac:dyDescent="0.25">
      <c r="A37" s="2762"/>
      <c r="B37" s="904"/>
      <c r="C37" s="904"/>
      <c r="D37" s="905"/>
      <c r="E37" s="904"/>
      <c r="F37" s="904"/>
      <c r="G37" s="2763"/>
    </row>
    <row r="38" spans="1:11" x14ac:dyDescent="0.25">
      <c r="A38" s="2762"/>
      <c r="B38" s="904"/>
      <c r="C38" s="904"/>
      <c r="D38" s="905"/>
      <c r="E38" s="904"/>
      <c r="F38" s="904"/>
      <c r="G38" s="2763"/>
    </row>
    <row r="39" spans="1:11" x14ac:dyDescent="0.25">
      <c r="A39" s="2762"/>
      <c r="B39" s="904"/>
      <c r="C39" s="904"/>
      <c r="D39" s="905"/>
      <c r="E39" s="904"/>
      <c r="F39" s="904"/>
      <c r="G39" s="2763"/>
    </row>
    <row r="40" spans="1:11" x14ac:dyDescent="0.25">
      <c r="A40" s="2762"/>
      <c r="B40" s="904"/>
      <c r="C40" s="904"/>
      <c r="D40" s="905"/>
      <c r="E40" s="904"/>
      <c r="F40" s="904"/>
      <c r="G40" s="2763"/>
    </row>
    <row r="41" spans="1:11" x14ac:dyDescent="0.25">
      <c r="A41" s="2762"/>
      <c r="B41" s="904"/>
      <c r="C41" s="904"/>
      <c r="D41" s="905"/>
      <c r="E41" s="904"/>
      <c r="F41" s="904"/>
      <c r="G41" s="2763"/>
    </row>
    <row r="42" spans="1:11" x14ac:dyDescent="0.25">
      <c r="A42" s="2762"/>
      <c r="B42" s="904"/>
      <c r="C42" s="904"/>
      <c r="D42" s="905"/>
      <c r="E42" s="904"/>
      <c r="F42" s="904"/>
      <c r="G42" s="2763"/>
    </row>
    <row r="43" spans="1:11" x14ac:dyDescent="0.25">
      <c r="A43" s="2762"/>
      <c r="B43" s="904"/>
      <c r="C43" s="904"/>
      <c r="D43" s="905"/>
      <c r="E43" s="904"/>
      <c r="F43" s="904"/>
      <c r="G43" s="2763"/>
      <c r="K43" s="913"/>
    </row>
    <row r="44" spans="1:11" x14ac:dyDescent="0.25">
      <c r="A44" s="2762"/>
      <c r="B44" s="904"/>
      <c r="C44" s="904"/>
      <c r="D44" s="905"/>
      <c r="E44" s="904"/>
      <c r="F44" s="904"/>
      <c r="G44" s="2763"/>
    </row>
    <row r="45" spans="1:11" x14ac:dyDescent="0.25">
      <c r="A45" s="2762"/>
      <c r="B45" s="904"/>
      <c r="C45" s="904"/>
      <c r="D45" s="905"/>
      <c r="E45" s="904"/>
      <c r="F45" s="904"/>
      <c r="G45" s="2763"/>
    </row>
    <row r="46" spans="1:11" x14ac:dyDescent="0.25">
      <c r="A46" s="2762"/>
      <c r="B46" s="904"/>
      <c r="C46" s="904"/>
      <c r="D46" s="905"/>
      <c r="E46" s="904"/>
      <c r="F46" s="904"/>
      <c r="G46" s="2763"/>
    </row>
    <row r="47" spans="1:11" x14ac:dyDescent="0.25">
      <c r="A47" s="2762"/>
      <c r="B47" s="904"/>
      <c r="C47" s="904"/>
      <c r="D47" s="905"/>
      <c r="E47" s="904"/>
      <c r="F47" s="904"/>
      <c r="G47" s="2763"/>
    </row>
    <row r="48" spans="1:11" x14ac:dyDescent="0.25">
      <c r="A48" s="2762"/>
      <c r="B48" s="904"/>
      <c r="C48" s="904"/>
      <c r="D48" s="905"/>
      <c r="E48" s="904"/>
      <c r="F48" s="904"/>
      <c r="G48" s="2763"/>
    </row>
    <row r="49" spans="1:7" x14ac:dyDescent="0.25">
      <c r="A49" s="2762"/>
      <c r="B49" s="904"/>
      <c r="C49" s="904"/>
      <c r="D49" s="905"/>
      <c r="E49" s="904"/>
      <c r="F49" s="904"/>
      <c r="G49" s="2763"/>
    </row>
    <row r="50" spans="1:7" ht="13.8" thickBot="1" x14ac:dyDescent="0.3">
      <c r="A50" s="2774"/>
      <c r="B50" s="2775"/>
      <c r="C50" s="2775"/>
      <c r="D50" s="2776"/>
      <c r="E50" s="2775"/>
      <c r="F50" s="2775"/>
      <c r="G50" s="2777"/>
    </row>
    <row r="61" spans="1:7" x14ac:dyDescent="0.25">
      <c r="B61" s="1117">
        <v>180000</v>
      </c>
    </row>
    <row r="62" spans="1:7" x14ac:dyDescent="0.25">
      <c r="B62" s="2105">
        <f>B61*12</f>
        <v>2160000</v>
      </c>
    </row>
    <row r="63" spans="1:7" x14ac:dyDescent="0.25">
      <c r="B63" s="2105">
        <f>B62/300</f>
        <v>7200</v>
      </c>
    </row>
    <row r="65" spans="2:3" x14ac:dyDescent="0.25">
      <c r="B65" s="1117">
        <v>100000</v>
      </c>
    </row>
    <row r="66" spans="2:3" x14ac:dyDescent="0.25">
      <c r="B66" s="2105">
        <f>B65*12</f>
        <v>1200000</v>
      </c>
      <c r="C66" s="2105"/>
    </row>
    <row r="67" spans="2:3" x14ac:dyDescent="0.25">
      <c r="B67" s="2105">
        <f>B66/300</f>
        <v>4000</v>
      </c>
    </row>
    <row r="70" spans="2:3" x14ac:dyDescent="0.25">
      <c r="B70" s="2105">
        <f>B62-B66</f>
        <v>960000</v>
      </c>
    </row>
  </sheetData>
  <mergeCells count="2">
    <mergeCell ref="A10:G10"/>
    <mergeCell ref="A12:G12"/>
  </mergeCells>
  <printOptions horizontalCentered="1" verticalCentered="1"/>
  <pageMargins left="0.43307086614173229" right="0.31496062992125984" top="0.67" bottom="0.39" header="0.55118110236220474" footer="0.31496062992125984"/>
  <pageSetup paperSize="9"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0"/>
  <sheetViews>
    <sheetView view="pageBreakPreview" topLeftCell="A7" zoomScaleNormal="85" zoomScaleSheetLayoutView="100" workbookViewId="0">
      <selection activeCell="L47" sqref="L47"/>
    </sheetView>
  </sheetViews>
  <sheetFormatPr defaultColWidth="9.21875" defaultRowHeight="15.6" x14ac:dyDescent="0.25"/>
  <cols>
    <col min="1" max="1" width="11" style="335" customWidth="1"/>
    <col min="2" max="2" width="50.109375" style="336" customWidth="1"/>
    <col min="3" max="3" width="17.77734375" style="337" bestFit="1" customWidth="1"/>
    <col min="4" max="6" width="22.44140625" style="337" customWidth="1"/>
    <col min="7" max="7" width="22.44140625" style="1124" customWidth="1"/>
    <col min="8" max="10" width="15" style="316" bestFit="1" customWidth="1"/>
    <col min="11" max="11" width="13.88671875" style="316" bestFit="1" customWidth="1"/>
    <col min="12" max="12" width="15" style="316" bestFit="1" customWidth="1"/>
    <col min="13" max="13" width="29.77734375" style="316" customWidth="1"/>
    <col min="14" max="14" width="13.88671875" style="316" bestFit="1" customWidth="1"/>
    <col min="15" max="15" width="11" style="316" bestFit="1" customWidth="1"/>
    <col min="16" max="16384" width="9.21875" style="316"/>
  </cols>
  <sheetData>
    <row r="1" spans="1:14" ht="66.599999999999994" customHeight="1" thickBot="1" x14ac:dyDescent="0.35">
      <c r="A1" s="2855" t="s">
        <v>3276</v>
      </c>
      <c r="B1" s="2856"/>
      <c r="C1" s="2857"/>
      <c r="D1" s="2482"/>
      <c r="E1" s="2778"/>
      <c r="F1" s="2778"/>
      <c r="G1" s="2779"/>
      <c r="M1" s="316">
        <f>1850+2500</f>
        <v>4350</v>
      </c>
      <c r="N1" s="316">
        <f>M1*1.25</f>
        <v>5437.5</v>
      </c>
    </row>
    <row r="2" spans="1:14" ht="16.2" thickBot="1" x14ac:dyDescent="0.3">
      <c r="A2" s="2868" t="s">
        <v>1588</v>
      </c>
      <c r="B2" s="2869"/>
      <c r="C2" s="2870"/>
      <c r="D2" s="1080">
        <v>200000000</v>
      </c>
      <c r="E2" s="1153">
        <v>100000000</v>
      </c>
      <c r="F2" s="1153"/>
      <c r="G2" s="2780"/>
    </row>
    <row r="3" spans="1:14" ht="18.600000000000001" customHeight="1" thickBot="1" x14ac:dyDescent="0.35">
      <c r="A3" s="313" t="s">
        <v>927</v>
      </c>
      <c r="B3" s="314" t="s">
        <v>684</v>
      </c>
      <c r="C3" s="315" t="s">
        <v>926</v>
      </c>
      <c r="D3" s="1081"/>
      <c r="E3" s="1081"/>
      <c r="F3" s="1081"/>
      <c r="G3" s="2781"/>
      <c r="H3" s="316" t="e">
        <f>C7+#REF!</f>
        <v>#REF!</v>
      </c>
      <c r="K3" s="316">
        <f>C9/9</f>
        <v>5274321.472222222</v>
      </c>
    </row>
    <row r="4" spans="1:14" s="182" customFormat="1" ht="13.8" x14ac:dyDescent="0.25">
      <c r="A4" s="9"/>
      <c r="B4" s="6"/>
      <c r="C4" s="1093"/>
      <c r="D4" s="1127">
        <f>D2*0.2</f>
        <v>40000000</v>
      </c>
      <c r="E4" s="1094"/>
      <c r="F4" s="1094"/>
      <c r="G4" s="2782"/>
    </row>
    <row r="5" spans="1:14" x14ac:dyDescent="0.25">
      <c r="A5" s="320" t="s">
        <v>1029</v>
      </c>
      <c r="B5" s="321" t="s">
        <v>8</v>
      </c>
      <c r="C5" s="322">
        <f>+prelims!I135</f>
        <v>318750</v>
      </c>
      <c r="D5" s="1082">
        <f>D2*0.05</f>
        <v>10000000</v>
      </c>
      <c r="E5" s="1082">
        <f>C5/C7*100</f>
        <v>0.6760318803485289</v>
      </c>
      <c r="F5" s="1082"/>
      <c r="G5" s="2783">
        <f>C5/C7</f>
        <v>6.7603188034852891E-3</v>
      </c>
      <c r="H5" s="316" t="e">
        <f>C7+C15+#REF!</f>
        <v>#REF!</v>
      </c>
      <c r="I5" s="316" t="e">
        <f>C5/H5*100</f>
        <v>#REF!</v>
      </c>
      <c r="J5" s="316" t="e">
        <f>C5/H3*100</f>
        <v>#REF!</v>
      </c>
    </row>
    <row r="6" spans="1:14" s="182" customFormat="1" ht="13.2" x14ac:dyDescent="0.25">
      <c r="A6" s="122"/>
      <c r="B6" s="123"/>
      <c r="C6" s="1095"/>
      <c r="D6" s="1096"/>
      <c r="E6" s="1096"/>
      <c r="F6" s="1096"/>
      <c r="G6" s="2784"/>
    </row>
    <row r="7" spans="1:14" x14ac:dyDescent="0.25">
      <c r="A7" s="320" t="s">
        <v>1030</v>
      </c>
      <c r="B7" s="321" t="s">
        <v>89</v>
      </c>
      <c r="C7" s="322">
        <f>+summary!C19</f>
        <v>47150143.25</v>
      </c>
      <c r="D7" s="1082">
        <f>SUM(D4:D5)</f>
        <v>50000000</v>
      </c>
      <c r="E7" s="1082">
        <f>C5/E2*100</f>
        <v>0.31874999999999998</v>
      </c>
      <c r="F7" s="1082"/>
      <c r="G7" s="2783"/>
      <c r="H7" s="316">
        <f>60000000-C5</f>
        <v>59681250</v>
      </c>
      <c r="I7" s="316">
        <f>SUM(C7:C15)</f>
        <v>143587929.75</v>
      </c>
      <c r="M7" s="316">
        <f>1850/10.76</f>
        <v>171.93308550185873</v>
      </c>
    </row>
    <row r="8" spans="1:14" s="182" customFormat="1" ht="13.2" x14ac:dyDescent="0.25">
      <c r="A8" s="122"/>
      <c r="B8" s="123"/>
      <c r="C8" s="1095"/>
      <c r="D8" s="1096"/>
      <c r="E8" s="1096"/>
      <c r="F8" s="1096"/>
      <c r="G8" s="2784"/>
      <c r="K8" s="182" t="e">
        <f>#REF!*8500</f>
        <v>#REF!</v>
      </c>
      <c r="M8" s="182">
        <f>4399</f>
        <v>4399</v>
      </c>
    </row>
    <row r="9" spans="1:14" x14ac:dyDescent="0.25">
      <c r="A9" s="320"/>
      <c r="B9" s="327" t="s">
        <v>1596</v>
      </c>
      <c r="C9" s="758">
        <f>SUM(C4:C7)</f>
        <v>47468893.25</v>
      </c>
      <c r="D9" s="1083">
        <f>C5+C7</f>
        <v>47468893.25</v>
      </c>
      <c r="E9" s="1083"/>
      <c r="F9" s="1083"/>
      <c r="G9" s="2785"/>
      <c r="I9" s="316" t="e">
        <f>C9-summary!#REF!-'grnd summry- tender'!#REF!</f>
        <v>#REF!</v>
      </c>
      <c r="K9" s="316">
        <f>C9*0.95</f>
        <v>45095448.587499999</v>
      </c>
      <c r="L9" s="316">
        <f>C9/9000</f>
        <v>5274.3214722222219</v>
      </c>
    </row>
    <row r="10" spans="1:14" s="182" customFormat="1" ht="13.2" x14ac:dyDescent="0.25">
      <c r="A10" s="122"/>
      <c r="B10" s="123"/>
      <c r="C10" s="1095"/>
      <c r="D10" s="1096"/>
      <c r="E10" s="1096">
        <f>52*3.9*0.3</f>
        <v>60.839999999999989</v>
      </c>
      <c r="F10" s="1096"/>
      <c r="G10" s="2784"/>
    </row>
    <row r="11" spans="1:14" x14ac:dyDescent="0.25">
      <c r="A11" s="320"/>
      <c r="B11" s="326" t="s">
        <v>91</v>
      </c>
      <c r="C11" s="322"/>
      <c r="D11" s="1082"/>
      <c r="E11" s="1082">
        <f>E10*21500</f>
        <v>1308059.9999999998</v>
      </c>
      <c r="F11" s="1082"/>
      <c r="G11" s="2783"/>
    </row>
    <row r="12" spans="1:14" s="182" customFormat="1" ht="13.2" x14ac:dyDescent="0.25">
      <c r="A12" s="122"/>
      <c r="B12" s="146"/>
      <c r="C12" s="1095"/>
      <c r="D12" s="1096"/>
      <c r="E12" s="1096"/>
      <c r="F12" s="1096"/>
      <c r="G12" s="2786">
        <f>1650/350</f>
        <v>4.7142857142857144</v>
      </c>
    </row>
    <row r="13" spans="1:14" x14ac:dyDescent="0.25">
      <c r="A13" s="320"/>
      <c r="B13" s="327" t="s">
        <v>3185</v>
      </c>
      <c r="C13" s="758">
        <f>SUM(C9)</f>
        <v>47468893.25</v>
      </c>
      <c r="D13" s="1083">
        <v>204919277.36000001</v>
      </c>
      <c r="E13" s="1083">
        <f>59*3.9*2</f>
        <v>460.2</v>
      </c>
      <c r="F13" s="1083"/>
      <c r="G13" s="2785"/>
    </row>
    <row r="14" spans="1:14" s="182" customFormat="1" ht="13.2" x14ac:dyDescent="0.25">
      <c r="A14" s="122"/>
      <c r="B14" s="123"/>
      <c r="C14" s="1095"/>
      <c r="D14" s="1096">
        <f>C13-D13</f>
        <v>-157450384.11000001</v>
      </c>
      <c r="E14" s="1096">
        <f>E13*1450</f>
        <v>667290</v>
      </c>
      <c r="F14" s="1096"/>
      <c r="G14" s="2784"/>
    </row>
    <row r="15" spans="1:14" x14ac:dyDescent="0.25">
      <c r="A15" s="320" t="s">
        <v>1031</v>
      </c>
      <c r="B15" s="326" t="s">
        <v>94</v>
      </c>
      <c r="C15" s="322">
        <f>Ps!H9</f>
        <v>1500000</v>
      </c>
      <c r="D15" s="1082"/>
      <c r="E15" s="1082"/>
      <c r="F15" s="1082"/>
      <c r="G15" s="2783"/>
      <c r="H15" s="316">
        <f>SUM(C5:C7)</f>
        <v>47468893.25</v>
      </c>
      <c r="I15" s="316">
        <f>SUM(C9:C15)</f>
        <v>96437786.5</v>
      </c>
      <c r="J15" s="316">
        <f>C13/9000</f>
        <v>5274.3214722222219</v>
      </c>
      <c r="K15" s="316">
        <f>9000*9100</f>
        <v>81900000</v>
      </c>
    </row>
    <row r="16" spans="1:14" s="182" customFormat="1" ht="13.2" x14ac:dyDescent="0.25">
      <c r="A16" s="122"/>
      <c r="B16" s="146"/>
      <c r="C16" s="1095"/>
      <c r="D16" s="1096"/>
      <c r="E16" s="1096">
        <f>E10*95</f>
        <v>5779.7999999999993</v>
      </c>
      <c r="F16" s="1096"/>
      <c r="G16" s="2784"/>
    </row>
    <row r="17" spans="1:14" x14ac:dyDescent="0.25">
      <c r="A17" s="320"/>
      <c r="B17" s="327" t="s">
        <v>3184</v>
      </c>
      <c r="C17" s="758">
        <f>SUM(C13:C15)</f>
        <v>48968893.25</v>
      </c>
      <c r="D17" s="1083">
        <f>'[19]grnd summry- tender'!$C$13</f>
        <v>52997390</v>
      </c>
      <c r="E17" s="1082">
        <f>E16*282</f>
        <v>1629903.5999999999</v>
      </c>
      <c r="F17" s="1082"/>
      <c r="G17" s="2783"/>
    </row>
    <row r="18" spans="1:14" s="182" customFormat="1" ht="13.2" x14ac:dyDescent="0.25">
      <c r="A18" s="122"/>
      <c r="B18" s="146"/>
      <c r="C18" s="1095"/>
      <c r="D18" s="1096"/>
      <c r="E18" s="1096"/>
      <c r="F18" s="1096"/>
      <c r="G18" s="2786">
        <f>2022-18</f>
        <v>2004</v>
      </c>
    </row>
    <row r="19" spans="1:14" x14ac:dyDescent="0.25">
      <c r="A19" s="320" t="s">
        <v>1791</v>
      </c>
      <c r="B19" s="326" t="s">
        <v>1792</v>
      </c>
      <c r="C19" s="322"/>
      <c r="D19" s="1082">
        <f>D17+C17</f>
        <v>101966283.25</v>
      </c>
      <c r="E19" s="1082" t="e">
        <f>E17+E14+E11+#REF!</f>
        <v>#REF!</v>
      </c>
      <c r="F19" s="1082"/>
      <c r="G19" s="2783"/>
      <c r="H19" s="316">
        <f>SUM(C7:C8)</f>
        <v>47150143.25</v>
      </c>
      <c r="I19" s="316">
        <f>SUM(C9:C19)</f>
        <v>145406679.75</v>
      </c>
      <c r="J19" s="316">
        <f>C15/9000</f>
        <v>166.66666666666666</v>
      </c>
      <c r="K19" s="316">
        <f>9000*9100</f>
        <v>81900000</v>
      </c>
    </row>
    <row r="20" spans="1:14" s="182" customFormat="1" ht="13.2" x14ac:dyDescent="0.25">
      <c r="A20" s="122"/>
      <c r="B20" s="123"/>
      <c r="C20" s="1095"/>
      <c r="D20" s="1096"/>
      <c r="E20" s="1096"/>
      <c r="F20" s="1096"/>
      <c r="G20" s="2784"/>
    </row>
    <row r="21" spans="1:14" ht="16.2" thickBot="1" x14ac:dyDescent="0.3">
      <c r="A21" s="2100"/>
      <c r="B21" s="2101" t="s">
        <v>1969</v>
      </c>
      <c r="C21" s="2102">
        <f>+C17</f>
        <v>48968893.25</v>
      </c>
      <c r="D21" s="1084"/>
      <c r="E21" s="1084"/>
      <c r="F21" s="1084"/>
      <c r="G21" s="2787"/>
      <c r="I21" s="316">
        <f>C5/C7*100</f>
        <v>0.6760318803485289</v>
      </c>
      <c r="J21" s="316">
        <f>H7*3%</f>
        <v>1790437.5</v>
      </c>
      <c r="K21" s="316">
        <f>C5/H7*100</f>
        <v>0.53408733898837579</v>
      </c>
      <c r="M21" s="316">
        <f>H7*0.0486</f>
        <v>2900508.75</v>
      </c>
      <c r="N21" s="316" t="e">
        <f>C21-#REF!</f>
        <v>#REF!</v>
      </c>
    </row>
    <row r="22" spans="1:14" x14ac:dyDescent="0.25">
      <c r="A22" s="2103"/>
      <c r="B22" s="327"/>
      <c r="C22" s="2104"/>
      <c r="D22" s="1084"/>
      <c r="E22" s="1084"/>
      <c r="F22" s="1084"/>
      <c r="G22" s="2787"/>
    </row>
    <row r="23" spans="1:14" ht="93.6" customHeight="1" thickBot="1" x14ac:dyDescent="0.3">
      <c r="A23" s="2871" t="s">
        <v>3342</v>
      </c>
      <c r="B23" s="2872"/>
      <c r="C23" s="2873"/>
      <c r="D23" s="1084"/>
      <c r="E23" s="1084"/>
      <c r="F23" s="1084"/>
      <c r="G23" s="2787"/>
    </row>
    <row r="24" spans="1:14" s="182" customFormat="1" ht="13.2" x14ac:dyDescent="0.25">
      <c r="A24" s="142"/>
      <c r="B24" s="146"/>
      <c r="C24" s="1097"/>
      <c r="D24" s="1098"/>
      <c r="E24" s="1098"/>
      <c r="F24" s="1098"/>
      <c r="G24" s="2788"/>
    </row>
    <row r="25" spans="1:14" x14ac:dyDescent="0.3">
      <c r="A25" s="329"/>
      <c r="B25" s="414" t="s">
        <v>3102</v>
      </c>
      <c r="C25" s="331">
        <f>C21*0.15</f>
        <v>7345333.9874999998</v>
      </c>
      <c r="D25" s="1085">
        <f>D19*1.08</f>
        <v>110123585.91000001</v>
      </c>
      <c r="E25" s="1085">
        <f>C9/24</f>
        <v>1977870.5520833333</v>
      </c>
      <c r="F25" s="1085"/>
      <c r="G25" s="2789"/>
      <c r="L25" s="316">
        <f>10000*2*12</f>
        <v>240000</v>
      </c>
    </row>
    <row r="26" spans="1:14" s="182" customFormat="1" ht="13.2" x14ac:dyDescent="0.25">
      <c r="A26" s="148"/>
      <c r="B26" s="1099"/>
      <c r="C26" s="1100"/>
      <c r="D26" s="1101"/>
      <c r="E26" s="1101"/>
      <c r="F26" s="1101"/>
      <c r="G26" s="2790"/>
      <c r="I26" s="182">
        <f>C7+C5</f>
        <v>47468893.25</v>
      </c>
      <c r="N26" s="182" t="e">
        <f>#REF!/187</f>
        <v>#REF!</v>
      </c>
    </row>
    <row r="27" spans="1:14" ht="16.2" thickBot="1" x14ac:dyDescent="0.35">
      <c r="A27" s="332"/>
      <c r="B27" s="752" t="s">
        <v>1970</v>
      </c>
      <c r="C27" s="415">
        <f>C21+C25</f>
        <v>56314227.237499997</v>
      </c>
      <c r="D27" s="1086"/>
      <c r="E27" s="1086"/>
      <c r="F27" s="1086"/>
      <c r="G27" s="2791"/>
      <c r="L27" s="316">
        <f>SUM(L25:L26)</f>
        <v>240000</v>
      </c>
    </row>
    <row r="28" spans="1:14" x14ac:dyDescent="0.25">
      <c r="A28" s="2858"/>
      <c r="B28" s="2859"/>
      <c r="C28" s="2859"/>
      <c r="D28" s="927"/>
      <c r="E28" s="1154"/>
      <c r="F28" s="1154">
        <f>34+6</f>
        <v>40</v>
      </c>
      <c r="G28" s="2792"/>
      <c r="I28" s="316">
        <f>I26/9000</f>
        <v>5274.3214722222219</v>
      </c>
    </row>
    <row r="29" spans="1:14" s="24" customFormat="1" ht="13.8" x14ac:dyDescent="0.25">
      <c r="A29" s="2860" t="s">
        <v>1617</v>
      </c>
      <c r="B29" s="2861"/>
      <c r="C29" s="2861"/>
      <c r="D29" s="2480"/>
      <c r="E29" s="1155"/>
      <c r="F29" s="1155"/>
      <c r="G29" s="2793"/>
    </row>
    <row r="30" spans="1:14" s="24" customFormat="1" ht="34.200000000000003" customHeight="1" x14ac:dyDescent="0.25">
      <c r="A30" s="2862" t="s">
        <v>1618</v>
      </c>
      <c r="B30" s="2863"/>
      <c r="C30" s="2863"/>
      <c r="D30" s="2481"/>
      <c r="E30" s="1156"/>
      <c r="F30" s="1156"/>
      <c r="G30" s="2794"/>
    </row>
    <row r="31" spans="1:14" s="24" customFormat="1" ht="13.8" x14ac:dyDescent="0.25">
      <c r="A31" s="2795"/>
      <c r="B31" s="2478"/>
      <c r="C31" s="2478"/>
      <c r="D31" s="2478"/>
      <c r="E31" s="1157">
        <f>'[20]grnd summry- tender'!$C$19</f>
        <v>260718369.79767433</v>
      </c>
      <c r="F31" s="1157"/>
      <c r="G31" s="2796"/>
      <c r="K31" s="24">
        <f>C13-C73</f>
        <v>-12531106.75</v>
      </c>
    </row>
    <row r="32" spans="1:14" s="24" customFormat="1" ht="13.8" x14ac:dyDescent="0.25">
      <c r="A32" s="2797"/>
      <c r="B32" s="754"/>
      <c r="C32" s="755"/>
      <c r="D32" s="755"/>
      <c r="E32" s="755"/>
      <c r="F32" s="755"/>
      <c r="G32" s="2798"/>
    </row>
    <row r="33" spans="1:11" s="24" customFormat="1" ht="13.8" x14ac:dyDescent="0.25">
      <c r="A33" s="2864" t="s">
        <v>1591</v>
      </c>
      <c r="B33" s="2865"/>
      <c r="C33" s="2865"/>
      <c r="D33" s="2479"/>
      <c r="E33" s="1158"/>
      <c r="F33" s="1158"/>
      <c r="G33" s="2799"/>
    </row>
    <row r="34" spans="1:11" s="24" customFormat="1" ht="13.8" x14ac:dyDescent="0.25">
      <c r="A34" s="2800"/>
      <c r="B34" s="2479"/>
      <c r="C34" s="2479"/>
      <c r="D34" s="2479"/>
      <c r="E34" s="1158">
        <f>C17-E31</f>
        <v>-211749476.54767433</v>
      </c>
      <c r="F34" s="1158"/>
      <c r="G34" s="2799"/>
      <c r="I34" s="24">
        <v>90875054.120000005</v>
      </c>
    </row>
    <row r="35" spans="1:11" s="24" customFormat="1" ht="13.8" x14ac:dyDescent="0.25">
      <c r="A35" s="2800"/>
      <c r="B35" s="2479"/>
      <c r="C35" s="2479"/>
      <c r="D35" s="2479"/>
      <c r="E35" s="1158"/>
      <c r="F35" s="1158"/>
      <c r="G35" s="2799"/>
      <c r="K35" s="24">
        <f>K31*1.44%</f>
        <v>-180447.93719999999</v>
      </c>
    </row>
    <row r="36" spans="1:11" s="24" customFormat="1" ht="13.8" x14ac:dyDescent="0.25">
      <c r="A36" s="2864" t="s">
        <v>1587</v>
      </c>
      <c r="B36" s="2865"/>
      <c r="C36" s="2865"/>
      <c r="D36" s="2479"/>
      <c r="E36" s="1158"/>
      <c r="F36" s="1158"/>
      <c r="G36" s="2799"/>
    </row>
    <row r="37" spans="1:11" s="24" customFormat="1" ht="13.8" x14ac:dyDescent="0.25">
      <c r="A37" s="2864" t="s">
        <v>1592</v>
      </c>
      <c r="B37" s="2865"/>
      <c r="C37" s="2865"/>
      <c r="D37" s="2479"/>
      <c r="E37" s="1158"/>
      <c r="F37" s="1158"/>
      <c r="G37" s="2799"/>
    </row>
    <row r="38" spans="1:11" s="24" customFormat="1" ht="13.8" x14ac:dyDescent="0.25">
      <c r="A38" s="2800"/>
      <c r="B38" s="2479"/>
      <c r="C38" s="2479"/>
      <c r="D38" s="2479"/>
      <c r="E38" s="1158"/>
      <c r="F38" s="1158"/>
      <c r="G38" s="2801">
        <v>2600000</v>
      </c>
    </row>
    <row r="39" spans="1:11" s="24" customFormat="1" ht="14.4" thickBot="1" x14ac:dyDescent="0.3">
      <c r="A39" s="2802"/>
      <c r="B39" s="2803"/>
      <c r="C39" s="2803"/>
      <c r="D39" s="2803"/>
      <c r="E39" s="2804"/>
      <c r="F39" s="2804"/>
      <c r="G39" s="2805">
        <f>G38*0.2</f>
        <v>520000</v>
      </c>
    </row>
    <row r="40" spans="1:11" s="24" customFormat="1" ht="13.8" x14ac:dyDescent="0.25">
      <c r="A40" s="2865" t="s">
        <v>1593</v>
      </c>
      <c r="B40" s="2865"/>
      <c r="C40" s="2865"/>
      <c r="D40" s="1115"/>
      <c r="E40" s="1158"/>
      <c r="F40" s="1158"/>
      <c r="G40" s="1121"/>
    </row>
    <row r="41" spans="1:11" s="24" customFormat="1" ht="23.4" customHeight="1" x14ac:dyDescent="0.25">
      <c r="A41" s="2867" t="s">
        <v>1590</v>
      </c>
      <c r="B41" s="2867"/>
      <c r="C41" s="2867"/>
      <c r="D41" s="1114"/>
      <c r="E41" s="1091"/>
      <c r="F41" s="1091"/>
      <c r="G41" s="1122"/>
    </row>
    <row r="42" spans="1:11" s="24" customFormat="1" ht="23.4" customHeight="1" x14ac:dyDescent="0.25">
      <c r="A42" s="2866" t="s">
        <v>1589</v>
      </c>
      <c r="B42" s="2866"/>
      <c r="C42" s="2866"/>
      <c r="D42" s="1116"/>
      <c r="E42" s="1157"/>
      <c r="F42" s="1157"/>
      <c r="G42" s="1120"/>
    </row>
    <row r="43" spans="1:11" s="24" customFormat="1" ht="23.4" customHeight="1" x14ac:dyDescent="0.25">
      <c r="A43" s="2866" t="s">
        <v>1590</v>
      </c>
      <c r="B43" s="2866"/>
      <c r="C43" s="2866"/>
      <c r="D43" s="1116"/>
      <c r="E43" s="1157"/>
      <c r="F43" s="1157"/>
      <c r="G43" s="1120"/>
    </row>
    <row r="44" spans="1:11" s="24" customFormat="1" ht="19.8" customHeight="1" x14ac:dyDescent="0.25">
      <c r="A44" s="759"/>
      <c r="B44" s="759"/>
      <c r="C44" s="759"/>
      <c r="D44" s="1116"/>
      <c r="E44" s="1157"/>
      <c r="F44" s="1157"/>
      <c r="G44" s="1120"/>
    </row>
    <row r="45" spans="1:11" s="24" customFormat="1" ht="13.8" x14ac:dyDescent="0.25">
      <c r="A45" s="756"/>
      <c r="B45" s="756"/>
      <c r="C45" s="756"/>
      <c r="D45" s="1115"/>
      <c r="E45" s="1158"/>
      <c r="F45" s="1158"/>
      <c r="G45" s="1121"/>
    </row>
    <row r="46" spans="1:11" s="24" customFormat="1" ht="13.8" x14ac:dyDescent="0.25">
      <c r="A46" s="2865" t="s">
        <v>1599</v>
      </c>
      <c r="B46" s="2865"/>
      <c r="C46" s="2865"/>
      <c r="D46" s="1115"/>
      <c r="E46" s="1158"/>
      <c r="F46" s="1158"/>
      <c r="G46" s="1121"/>
    </row>
    <row r="47" spans="1:11" s="24" customFormat="1" ht="13.8" x14ac:dyDescent="0.25">
      <c r="A47" s="2865" t="s">
        <v>1598</v>
      </c>
      <c r="B47" s="2865"/>
      <c r="C47" s="2865"/>
      <c r="D47" s="1115"/>
      <c r="E47" s="1158">
        <f>6000*13500</f>
        <v>81000000</v>
      </c>
      <c r="F47" s="1158">
        <v>40000000</v>
      </c>
      <c r="G47" s="1121"/>
    </row>
    <row r="48" spans="1:11" s="24" customFormat="1" ht="13.8" x14ac:dyDescent="0.25">
      <c r="A48" s="2865" t="s">
        <v>1597</v>
      </c>
      <c r="B48" s="2865"/>
      <c r="C48" s="2865"/>
      <c r="D48" s="1115"/>
      <c r="E48" s="1158"/>
      <c r="F48" s="1158"/>
      <c r="G48" s="1121"/>
    </row>
    <row r="49" spans="1:7" s="24" customFormat="1" ht="32.4" customHeight="1" x14ac:dyDescent="0.25">
      <c r="A49" s="2866" t="s">
        <v>1839</v>
      </c>
      <c r="B49" s="2866"/>
      <c r="C49" s="2866"/>
      <c r="D49" s="1116"/>
      <c r="E49" s="1157"/>
      <c r="F49" s="1157">
        <f>F47/10000</f>
        <v>4000</v>
      </c>
      <c r="G49" s="1120"/>
    </row>
    <row r="50" spans="1:7" s="24" customFormat="1" ht="32.4" customHeight="1" x14ac:dyDescent="0.25">
      <c r="A50" s="2866" t="s">
        <v>1839</v>
      </c>
      <c r="B50" s="2866"/>
      <c r="C50" s="2866"/>
      <c r="D50" s="1116"/>
      <c r="E50" s="1157"/>
      <c r="F50" s="1157"/>
      <c r="G50" s="1120"/>
    </row>
    <row r="51" spans="1:7" s="24" customFormat="1" ht="32.4" customHeight="1" x14ac:dyDescent="0.25">
      <c r="A51" s="2866" t="s">
        <v>1839</v>
      </c>
      <c r="B51" s="2866"/>
      <c r="C51" s="2866"/>
      <c r="D51" s="1116"/>
      <c r="E51" s="1157"/>
      <c r="F51" s="1157"/>
      <c r="G51" s="1120"/>
    </row>
    <row r="52" spans="1:7" s="757" customFormat="1" ht="32.4" customHeight="1" x14ac:dyDescent="0.25">
      <c r="A52" s="2867" t="s">
        <v>1600</v>
      </c>
      <c r="B52" s="2867"/>
      <c r="C52" s="2867"/>
      <c r="D52" s="1114"/>
      <c r="E52" s="1091"/>
      <c r="F52" s="1091"/>
      <c r="G52" s="1122"/>
    </row>
    <row r="53" spans="1:7" s="757" customFormat="1" ht="13.8" x14ac:dyDescent="0.25">
      <c r="A53" s="1090"/>
      <c r="B53" s="1090"/>
      <c r="C53" s="1090"/>
      <c r="D53" s="1114"/>
      <c r="E53" s="1091"/>
      <c r="F53" s="1091"/>
      <c r="G53" s="1122"/>
    </row>
    <row r="54" spans="1:7" s="757" customFormat="1" ht="13.8" x14ac:dyDescent="0.25">
      <c r="A54" s="1090"/>
      <c r="B54" s="1090" t="s">
        <v>799</v>
      </c>
      <c r="C54" s="1091">
        <f>97.7*10.76</f>
        <v>1051.252</v>
      </c>
      <c r="D54" s="1091"/>
      <c r="E54" s="1091"/>
      <c r="F54" s="1091"/>
      <c r="G54" s="1122"/>
    </row>
    <row r="55" spans="1:7" s="757" customFormat="1" ht="13.8" x14ac:dyDescent="0.25">
      <c r="A55" s="1090"/>
      <c r="B55" s="1090" t="s">
        <v>802</v>
      </c>
      <c r="C55" s="1091">
        <f>95*10.76</f>
        <v>1022.1999999999999</v>
      </c>
      <c r="D55" s="1091"/>
      <c r="E55" s="1091"/>
      <c r="F55" s="1091"/>
      <c r="G55" s="1122"/>
    </row>
    <row r="56" spans="1:7" s="757" customFormat="1" ht="13.8" x14ac:dyDescent="0.25">
      <c r="A56" s="1090"/>
      <c r="B56" s="1090" t="s">
        <v>803</v>
      </c>
      <c r="C56" s="1091">
        <f t="shared" ref="C56:C57" si="0">95*10.76</f>
        <v>1022.1999999999999</v>
      </c>
      <c r="D56" s="1091"/>
      <c r="E56" s="1091"/>
      <c r="F56" s="1091"/>
      <c r="G56" s="1122"/>
    </row>
    <row r="57" spans="1:7" s="757" customFormat="1" ht="13.8" x14ac:dyDescent="0.25">
      <c r="A57" s="1185"/>
      <c r="B57" s="1185" t="s">
        <v>2604</v>
      </c>
      <c r="C57" s="1091">
        <f t="shared" si="0"/>
        <v>1022.1999999999999</v>
      </c>
      <c r="D57" s="1091"/>
      <c r="E57" s="1091"/>
      <c r="F57" s="1091"/>
      <c r="G57" s="1122"/>
    </row>
    <row r="58" spans="1:7" s="757" customFormat="1" ht="13.8" x14ac:dyDescent="0.25">
      <c r="A58" s="1185"/>
      <c r="B58" s="1185"/>
      <c r="C58" s="1091"/>
      <c r="D58" s="1091"/>
      <c r="E58" s="1091"/>
      <c r="F58" s="1091"/>
      <c r="G58" s="1122"/>
    </row>
    <row r="59" spans="1:7" s="757" customFormat="1" ht="13.8" x14ac:dyDescent="0.25">
      <c r="A59" s="1185"/>
      <c r="B59" s="1185"/>
      <c r="C59" s="1091"/>
      <c r="D59" s="1091"/>
      <c r="E59" s="1091"/>
      <c r="F59" s="1091"/>
      <c r="G59" s="1122"/>
    </row>
    <row r="60" spans="1:7" s="757" customFormat="1" ht="13.8" x14ac:dyDescent="0.25">
      <c r="A60" s="1090"/>
      <c r="B60" s="1090" t="s">
        <v>1957</v>
      </c>
      <c r="C60" s="1091">
        <f>SUM(C54:C57)</f>
        <v>4117.8519999999999</v>
      </c>
      <c r="D60" s="1091"/>
      <c r="E60" s="1091"/>
      <c r="F60" s="1091"/>
      <c r="G60" s="1122"/>
    </row>
    <row r="61" spans="1:7" s="757" customFormat="1" ht="13.8" x14ac:dyDescent="0.25">
      <c r="A61" s="1090"/>
      <c r="B61" s="1090"/>
      <c r="C61" s="1091"/>
      <c r="D61" s="1091"/>
      <c r="E61" s="1091"/>
      <c r="F61" s="1091"/>
      <c r="G61" s="1122"/>
    </row>
    <row r="62" spans="1:7" s="757" customFormat="1" ht="13.8" x14ac:dyDescent="0.25">
      <c r="A62" s="1090"/>
      <c r="B62" s="1090" t="s">
        <v>1958</v>
      </c>
      <c r="C62" s="1091">
        <f>C7/C60</f>
        <v>11450.179183224653</v>
      </c>
      <c r="D62" s="1091">
        <f>D9/C60</f>
        <v>11527.586044860282</v>
      </c>
      <c r="E62" s="1091"/>
      <c r="F62" s="1091"/>
      <c r="G62" s="1122"/>
    </row>
    <row r="63" spans="1:7" s="757" customFormat="1" ht="13.8" x14ac:dyDescent="0.25">
      <c r="A63" s="1090"/>
      <c r="B63" s="1090"/>
      <c r="C63" s="1091"/>
      <c r="D63" s="1091"/>
      <c r="E63" s="1091"/>
      <c r="F63" s="1091"/>
      <c r="G63" s="1122"/>
    </row>
    <row r="64" spans="1:7" s="757" customFormat="1" ht="13.8" x14ac:dyDescent="0.25">
      <c r="A64" s="1090"/>
      <c r="B64" s="1090"/>
      <c r="C64" s="1091"/>
      <c r="D64" s="1091"/>
      <c r="E64" s="1091"/>
      <c r="F64" s="1091"/>
      <c r="G64" s="1122"/>
    </row>
    <row r="65" spans="1:11" s="757" customFormat="1" ht="13.8" x14ac:dyDescent="0.25">
      <c r="A65" s="1090"/>
      <c r="B65" s="1090"/>
      <c r="C65" s="1091"/>
      <c r="D65" s="1091"/>
      <c r="E65" s="1091"/>
      <c r="F65" s="1091"/>
      <c r="G65" s="1122"/>
    </row>
    <row r="66" spans="1:11" s="757" customFormat="1" ht="13.8" x14ac:dyDescent="0.25">
      <c r="A66" s="1090"/>
      <c r="B66" s="1090"/>
      <c r="C66" s="1091"/>
      <c r="D66" s="1091"/>
      <c r="E66" s="1091"/>
      <c r="F66" s="1091"/>
      <c r="G66" s="1122"/>
    </row>
    <row r="67" spans="1:11" s="757" customFormat="1" ht="13.8" x14ac:dyDescent="0.25">
      <c r="A67" s="1090"/>
      <c r="B67" s="1090"/>
      <c r="C67" s="1090"/>
      <c r="D67" s="1114"/>
      <c r="E67" s="1091"/>
      <c r="F67" s="1091">
        <f>600</f>
        <v>600</v>
      </c>
      <c r="G67" s="1122"/>
    </row>
    <row r="68" spans="1:11" s="757" customFormat="1" ht="13.8" x14ac:dyDescent="0.25">
      <c r="A68" s="1090"/>
      <c r="B68" s="1090"/>
      <c r="C68" s="1090"/>
      <c r="D68" s="1114"/>
      <c r="E68" s="1091"/>
      <c r="F68" s="1091">
        <v>350</v>
      </c>
      <c r="G68" s="1122"/>
    </row>
    <row r="69" spans="1:11" s="757" customFormat="1" ht="13.8" x14ac:dyDescent="0.25">
      <c r="A69" s="1090"/>
      <c r="B69" s="1090"/>
      <c r="C69" s="1090"/>
      <c r="D69" s="1114"/>
      <c r="E69" s="1091"/>
      <c r="F69" s="1091">
        <f>F68*F67</f>
        <v>210000</v>
      </c>
      <c r="G69" s="1122"/>
    </row>
    <row r="70" spans="1:11" s="757" customFormat="1" ht="13.8" x14ac:dyDescent="0.25">
      <c r="A70" s="1090"/>
      <c r="B70" s="1090"/>
      <c r="C70" s="1090"/>
      <c r="D70" s="1114"/>
      <c r="E70" s="1091"/>
      <c r="F70" s="1091"/>
      <c r="G70" s="1122"/>
    </row>
    <row r="71" spans="1:11" s="757" customFormat="1" ht="13.8" x14ac:dyDescent="0.25">
      <c r="A71" s="1090"/>
      <c r="B71" s="1090"/>
      <c r="C71" s="1090"/>
      <c r="D71" s="1114"/>
      <c r="E71" s="1091"/>
      <c r="F71" s="1091">
        <f>F69/1000</f>
        <v>210</v>
      </c>
      <c r="G71" s="1122"/>
    </row>
    <row r="72" spans="1:11" s="757" customFormat="1" ht="14.4" thickBot="1" x14ac:dyDescent="0.3">
      <c r="A72" s="1090"/>
      <c r="B72" s="1090"/>
      <c r="C72" s="1090"/>
      <c r="D72" s="1114"/>
      <c r="E72" s="1091"/>
      <c r="F72" s="1091"/>
      <c r="G72" s="1122"/>
    </row>
    <row r="73" spans="1:11" x14ac:dyDescent="0.3">
      <c r="A73" s="753">
        <v>60000000</v>
      </c>
      <c r="B73" s="753">
        <v>60000000</v>
      </c>
      <c r="C73" s="753">
        <v>60000000</v>
      </c>
      <c r="D73" s="1087"/>
      <c r="E73" s="1087"/>
      <c r="F73" s="1087"/>
      <c r="G73" s="1123"/>
      <c r="H73" s="316" t="e">
        <f>#REF!-A73</f>
        <v>#REF!</v>
      </c>
    </row>
    <row r="74" spans="1:11" x14ac:dyDescent="0.25">
      <c r="B74" s="336" t="s">
        <v>1586</v>
      </c>
      <c r="C74" s="337">
        <f>A73*0.0144</f>
        <v>864000</v>
      </c>
      <c r="I74" s="316" t="e">
        <f>H73*1.44%</f>
        <v>#REF!</v>
      </c>
    </row>
    <row r="75" spans="1:11" x14ac:dyDescent="0.25">
      <c r="C75" s="337">
        <f>C13*1.44%</f>
        <v>683552.06279999996</v>
      </c>
    </row>
    <row r="78" spans="1:11" x14ac:dyDescent="0.25">
      <c r="B78" s="726" t="s">
        <v>1553</v>
      </c>
      <c r="C78" s="727">
        <v>0.23</v>
      </c>
      <c r="D78" s="1088"/>
      <c r="E78" s="1128"/>
      <c r="F78" s="1128"/>
      <c r="G78" s="1125"/>
      <c r="H78" s="316">
        <f>C78*C75</f>
        <v>157216.97444399999</v>
      </c>
      <c r="I78" s="316">
        <f>C78*C74</f>
        <v>198720</v>
      </c>
      <c r="J78" s="316">
        <f>I78-H78</f>
        <v>41503.025556000008</v>
      </c>
      <c r="K78" s="316" t="e">
        <f>#REF!/9000</f>
        <v>#REF!</v>
      </c>
    </row>
    <row r="79" spans="1:11" x14ac:dyDescent="0.25">
      <c r="B79" s="726" t="s">
        <v>1554</v>
      </c>
      <c r="C79" s="727">
        <v>0.18</v>
      </c>
      <c r="D79" s="1088"/>
      <c r="E79" s="1128"/>
      <c r="F79" s="1128"/>
      <c r="G79" s="1125"/>
      <c r="H79" s="316">
        <f>C79*C75</f>
        <v>123039.37130399999</v>
      </c>
      <c r="I79" s="316">
        <f>C79*C74</f>
        <v>155520</v>
      </c>
      <c r="J79" s="316">
        <f t="shared" ref="J79:J83" si="1">I79-H79</f>
        <v>32480.628696000014</v>
      </c>
    </row>
    <row r="80" spans="1:11" x14ac:dyDescent="0.25">
      <c r="B80" s="726" t="s">
        <v>1555</v>
      </c>
      <c r="C80" s="727">
        <v>0.22</v>
      </c>
      <c r="D80" s="1088"/>
      <c r="E80" s="1128"/>
      <c r="F80" s="1128"/>
      <c r="G80" s="1125"/>
      <c r="H80" s="316">
        <f>C80*C75</f>
        <v>150381.45381599999</v>
      </c>
      <c r="I80" s="316">
        <f>C80*C74</f>
        <v>190080</v>
      </c>
      <c r="J80" s="316">
        <f t="shared" si="1"/>
        <v>39698.546184000006</v>
      </c>
    </row>
    <row r="81" spans="2:13" x14ac:dyDescent="0.25">
      <c r="B81" s="726" t="s">
        <v>1556</v>
      </c>
      <c r="C81" s="727">
        <v>0.1</v>
      </c>
      <c r="D81" s="1088"/>
      <c r="E81" s="1128"/>
      <c r="F81" s="1128"/>
      <c r="G81" s="1125"/>
      <c r="H81" s="316">
        <f>C81*C75</f>
        <v>68355.206279999999</v>
      </c>
      <c r="I81" s="316">
        <f>C81*C74</f>
        <v>86400</v>
      </c>
      <c r="J81" s="316">
        <f t="shared" si="1"/>
        <v>18044.793720000001</v>
      </c>
      <c r="K81" s="316">
        <f>SUM(I78:I81)</f>
        <v>630720</v>
      </c>
      <c r="L81" s="316">
        <f>J81-175000</f>
        <v>-156955.20627999998</v>
      </c>
      <c r="M81" s="316">
        <f>K81-175000</f>
        <v>455720</v>
      </c>
    </row>
    <row r="82" spans="2:13" x14ac:dyDescent="0.25">
      <c r="B82" s="726" t="s">
        <v>1557</v>
      </c>
      <c r="C82" s="727">
        <v>0.12</v>
      </c>
      <c r="D82" s="1088"/>
      <c r="E82" s="1128"/>
      <c r="F82" s="1128"/>
      <c r="G82" s="1125"/>
      <c r="H82" s="316">
        <f>C82*C75</f>
        <v>82026.247535999995</v>
      </c>
      <c r="I82" s="316">
        <f>C82*C74</f>
        <v>103680</v>
      </c>
      <c r="J82" s="316">
        <f t="shared" si="1"/>
        <v>21653.752464000005</v>
      </c>
    </row>
    <row r="83" spans="2:13" x14ac:dyDescent="0.25">
      <c r="B83" s="726" t="s">
        <v>1558</v>
      </c>
      <c r="C83" s="727">
        <v>0.15</v>
      </c>
      <c r="D83" s="1088"/>
      <c r="E83" s="1128">
        <v>8300</v>
      </c>
      <c r="F83" s="1128"/>
      <c r="G83" s="1125"/>
      <c r="H83" s="316">
        <f>C83*C75</f>
        <v>102532.80941999999</v>
      </c>
      <c r="I83" s="316">
        <f>C83*C74</f>
        <v>129600</v>
      </c>
      <c r="J83" s="316">
        <f t="shared" si="1"/>
        <v>27067.19058000001</v>
      </c>
    </row>
    <row r="85" spans="2:13" x14ac:dyDescent="0.25">
      <c r="H85" s="316">
        <f>SUM(H78:H84)</f>
        <v>683552.06279999996</v>
      </c>
      <c r="I85" s="316">
        <f>SUM(I78:I84)</f>
        <v>864000</v>
      </c>
    </row>
    <row r="86" spans="2:13" x14ac:dyDescent="0.25">
      <c r="B86" s="336" t="s">
        <v>1564</v>
      </c>
      <c r="H86" s="316">
        <f>12*80500</f>
        <v>966000</v>
      </c>
      <c r="I86" s="316">
        <f>H86</f>
        <v>966000</v>
      </c>
      <c r="J86" s="316">
        <f>SUM(J78:J83)</f>
        <v>180447.93720000004</v>
      </c>
      <c r="M86" s="316">
        <f>SUM(H78:H81)</f>
        <v>498993.00584399997</v>
      </c>
    </row>
    <row r="87" spans="2:13" x14ac:dyDescent="0.25">
      <c r="B87" s="336" t="s">
        <v>1565</v>
      </c>
      <c r="H87" s="316">
        <f>24*10000</f>
        <v>240000</v>
      </c>
      <c r="I87" s="316">
        <f>H87</f>
        <v>240000</v>
      </c>
    </row>
    <row r="89" spans="2:13" x14ac:dyDescent="0.25">
      <c r="C89" s="337">
        <v>100000</v>
      </c>
      <c r="H89" s="316">
        <f>SUM(H85:H87)</f>
        <v>1889552.0628</v>
      </c>
      <c r="I89" s="316">
        <f>SUM(I85:I87)</f>
        <v>2070000</v>
      </c>
      <c r="J89" s="316">
        <f>H89-I89</f>
        <v>-180447.93720000004</v>
      </c>
    </row>
    <row r="96" spans="2:13" x14ac:dyDescent="0.25">
      <c r="C96" s="337">
        <f>400000</f>
        <v>400000</v>
      </c>
    </row>
    <row r="115" spans="3:7" x14ac:dyDescent="0.25">
      <c r="C115" s="337">
        <v>7200000</v>
      </c>
      <c r="G115" s="1124">
        <v>1000000000</v>
      </c>
    </row>
    <row r="119" spans="3:7" x14ac:dyDescent="0.25">
      <c r="C119" s="337">
        <f>C115/450</f>
        <v>16000</v>
      </c>
    </row>
    <row r="120" spans="3:7" x14ac:dyDescent="0.25">
      <c r="G120" s="1124">
        <f>G115*0.015</f>
        <v>15000000</v>
      </c>
    </row>
  </sheetData>
  <mergeCells count="20">
    <mergeCell ref="A49:C49"/>
    <mergeCell ref="A50:C50"/>
    <mergeCell ref="A51:C51"/>
    <mergeCell ref="A52:C52"/>
    <mergeCell ref="A2:C2"/>
    <mergeCell ref="A42:C42"/>
    <mergeCell ref="A43:C43"/>
    <mergeCell ref="A46:C46"/>
    <mergeCell ref="A47:C47"/>
    <mergeCell ref="A48:C48"/>
    <mergeCell ref="A36:C36"/>
    <mergeCell ref="A37:C37"/>
    <mergeCell ref="A40:C40"/>
    <mergeCell ref="A41:C41"/>
    <mergeCell ref="A23:C23"/>
    <mergeCell ref="A1:C1"/>
    <mergeCell ref="A28:C28"/>
    <mergeCell ref="A29:C29"/>
    <mergeCell ref="A30:C30"/>
    <mergeCell ref="A33:C33"/>
  </mergeCells>
  <pageMargins left="0.69" right="0.43" top="0.9055118110236221" bottom="0.23622047244094491" header="0.35433070866141736" footer="2.5590551181102366"/>
  <pageSetup scale="12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6"/>
  <sheetViews>
    <sheetView view="pageBreakPreview" topLeftCell="A126" zoomScale="99" zoomScaleNormal="85" zoomScaleSheetLayoutView="99" workbookViewId="0">
      <selection activeCell="L47" sqref="L47"/>
    </sheetView>
  </sheetViews>
  <sheetFormatPr defaultColWidth="9.21875" defaultRowHeight="13.8" x14ac:dyDescent="0.25"/>
  <cols>
    <col min="1" max="1" width="7.21875" style="409" customWidth="1"/>
    <col min="2" max="2" width="47" style="36" customWidth="1"/>
    <col min="3" max="3" width="9.33203125" style="38" customWidth="1"/>
    <col min="4" max="4" width="5.5546875" style="39" customWidth="1"/>
    <col min="5" max="5" width="5.6640625" style="38" customWidth="1"/>
    <col min="6" max="7" width="14" style="2461" hidden="1" customWidth="1"/>
    <col min="8" max="8" width="14" style="202" customWidth="1"/>
    <col min="9" max="9" width="14" style="39" bestFit="1" customWidth="1"/>
    <col min="10" max="10" width="11.77734375" style="24" bestFit="1" customWidth="1"/>
    <col min="11" max="11" width="13.88671875" style="24" bestFit="1" customWidth="1"/>
    <col min="12" max="12" width="16.44140625" style="24" bestFit="1" customWidth="1"/>
    <col min="13" max="13" width="12.77734375" style="24" bestFit="1" customWidth="1"/>
    <col min="14" max="14" width="14" style="24" bestFit="1" customWidth="1"/>
    <col min="15" max="15" width="13" style="24" bestFit="1" customWidth="1"/>
    <col min="16" max="16" width="11.77734375" style="24" bestFit="1" customWidth="1"/>
    <col min="17" max="16384" width="9.21875" style="24"/>
  </cols>
  <sheetData>
    <row r="1" spans="1:10" s="31" customFormat="1" ht="42" thickBot="1" x14ac:dyDescent="0.3">
      <c r="A1" s="2545" t="s">
        <v>0</v>
      </c>
      <c r="B1" s="2426" t="s">
        <v>1</v>
      </c>
      <c r="C1" s="2546" t="s">
        <v>1774</v>
      </c>
      <c r="D1" s="1942" t="s">
        <v>2</v>
      </c>
      <c r="E1" s="2444" t="s">
        <v>3</v>
      </c>
      <c r="F1" s="2547" t="s">
        <v>3565</v>
      </c>
      <c r="G1" s="2547" t="s">
        <v>3708</v>
      </c>
      <c r="H1" s="2548" t="s">
        <v>1286</v>
      </c>
      <c r="I1" s="1944" t="s">
        <v>5</v>
      </c>
      <c r="J1" s="31">
        <v>0.8</v>
      </c>
    </row>
    <row r="2" spans="1:10" s="31" customFormat="1" x14ac:dyDescent="0.25">
      <c r="A2" s="1974"/>
      <c r="B2" s="352" t="s">
        <v>6</v>
      </c>
      <c r="C2" s="894"/>
      <c r="D2" s="353"/>
      <c r="E2" s="354"/>
      <c r="F2" s="2448"/>
      <c r="G2" s="2449"/>
      <c r="H2" s="2196"/>
      <c r="I2" s="1975"/>
    </row>
    <row r="3" spans="1:10" s="31" customFormat="1" x14ac:dyDescent="0.25">
      <c r="A3" s="1976" t="s">
        <v>7</v>
      </c>
      <c r="B3" s="355" t="s">
        <v>922</v>
      </c>
      <c r="C3" s="895"/>
      <c r="D3" s="52"/>
      <c r="E3" s="356"/>
      <c r="F3" s="2450"/>
      <c r="G3" s="2451"/>
      <c r="H3" s="2197"/>
      <c r="I3" s="54"/>
    </row>
    <row r="4" spans="1:10" s="31" customFormat="1" x14ac:dyDescent="0.25">
      <c r="A4" s="1977"/>
      <c r="B4" s="357"/>
      <c r="C4" s="356"/>
      <c r="D4" s="52"/>
      <c r="E4" s="356"/>
      <c r="F4" s="2450"/>
      <c r="G4" s="2451"/>
      <c r="H4" s="2197"/>
      <c r="I4" s="54"/>
    </row>
    <row r="5" spans="1:10" s="31" customFormat="1" ht="69" x14ac:dyDescent="0.25">
      <c r="A5" s="1977"/>
      <c r="B5" s="357" t="s">
        <v>10</v>
      </c>
      <c r="C5" s="356"/>
      <c r="D5" s="52"/>
      <c r="E5" s="356"/>
      <c r="F5" s="2450"/>
      <c r="G5" s="2451"/>
      <c r="H5" s="2197"/>
      <c r="I5" s="54"/>
    </row>
    <row r="6" spans="1:10" s="31" customFormat="1" x14ac:dyDescent="0.25">
      <c r="A6" s="1977"/>
      <c r="B6" s="357"/>
      <c r="C6" s="356"/>
      <c r="D6" s="52"/>
      <c r="E6" s="356"/>
      <c r="F6" s="2450"/>
      <c r="G6" s="2451"/>
      <c r="H6" s="2197"/>
      <c r="I6" s="54"/>
    </row>
    <row r="7" spans="1:10" s="31" customFormat="1" ht="55.2" x14ac:dyDescent="0.25">
      <c r="A7" s="1977"/>
      <c r="B7" s="357" t="s">
        <v>1024</v>
      </c>
      <c r="C7" s="356"/>
      <c r="D7" s="52"/>
      <c r="E7" s="356"/>
      <c r="F7" s="2450"/>
      <c r="G7" s="2451"/>
      <c r="H7" s="2197"/>
      <c r="I7" s="54"/>
    </row>
    <row r="8" spans="1:10" s="31" customFormat="1" x14ac:dyDescent="0.25">
      <c r="A8" s="1977"/>
      <c r="B8" s="357"/>
      <c r="C8" s="356"/>
      <c r="D8" s="52"/>
      <c r="E8" s="356"/>
      <c r="F8" s="2450"/>
      <c r="G8" s="2451"/>
      <c r="H8" s="2197"/>
      <c r="I8" s="54"/>
    </row>
    <row r="9" spans="1:10" s="31" customFormat="1" ht="55.2" x14ac:dyDescent="0.25">
      <c r="A9" s="1977"/>
      <c r="B9" s="411" t="s">
        <v>1025</v>
      </c>
      <c r="C9" s="896"/>
      <c r="D9" s="52"/>
      <c r="E9" s="356"/>
      <c r="F9" s="2450"/>
      <c r="G9" s="2451"/>
      <c r="H9" s="2197"/>
      <c r="I9" s="54"/>
    </row>
    <row r="10" spans="1:10" s="31" customFormat="1" x14ac:dyDescent="0.25">
      <c r="A10" s="1977"/>
      <c r="B10" s="410"/>
      <c r="C10" s="897"/>
      <c r="D10" s="52"/>
      <c r="E10" s="356"/>
      <c r="F10" s="2450"/>
      <c r="G10" s="2451"/>
      <c r="H10" s="2197"/>
      <c r="I10" s="54"/>
    </row>
    <row r="11" spans="1:10" s="31" customFormat="1" x14ac:dyDescent="0.25">
      <c r="A11" s="1977"/>
      <c r="B11" s="892" t="s">
        <v>1776</v>
      </c>
      <c r="C11" s="898"/>
      <c r="D11" s="52"/>
      <c r="E11" s="356"/>
      <c r="F11" s="2450"/>
      <c r="G11" s="2451"/>
      <c r="H11" s="2197"/>
      <c r="I11" s="54"/>
    </row>
    <row r="12" spans="1:10" s="31" customFormat="1" x14ac:dyDescent="0.25">
      <c r="A12" s="1977"/>
      <c r="B12" s="891" t="s">
        <v>1777</v>
      </c>
      <c r="C12" s="899"/>
      <c r="D12" s="52"/>
      <c r="E12" s="356"/>
      <c r="F12" s="2450"/>
      <c r="G12" s="2451"/>
      <c r="H12" s="2197"/>
      <c r="I12" s="54"/>
    </row>
    <row r="13" spans="1:10" s="31" customFormat="1" x14ac:dyDescent="0.25">
      <c r="A13" s="1977"/>
      <c r="B13" s="891" t="s">
        <v>1760</v>
      </c>
      <c r="C13" s="899"/>
      <c r="D13" s="52"/>
      <c r="E13" s="356"/>
      <c r="F13" s="2450"/>
      <c r="G13" s="2451"/>
      <c r="H13" s="2197"/>
      <c r="I13" s="54"/>
    </row>
    <row r="14" spans="1:10" s="31" customFormat="1" x14ac:dyDescent="0.25">
      <c r="A14" s="1977"/>
      <c r="B14" s="891" t="s">
        <v>1761</v>
      </c>
      <c r="C14" s="899"/>
      <c r="D14" s="52"/>
      <c r="E14" s="356"/>
      <c r="F14" s="2450"/>
      <c r="G14" s="2451"/>
      <c r="H14" s="2197"/>
      <c r="I14" s="54"/>
    </row>
    <row r="15" spans="1:10" s="31" customFormat="1" x14ac:dyDescent="0.25">
      <c r="A15" s="1977"/>
      <c r="B15" s="891" t="s">
        <v>1762</v>
      </c>
      <c r="C15" s="899"/>
      <c r="D15" s="52"/>
      <c r="E15" s="356"/>
      <c r="F15" s="2450"/>
      <c r="G15" s="2451"/>
      <c r="H15" s="2197"/>
      <c r="I15" s="54"/>
    </row>
    <row r="16" spans="1:10" s="31" customFormat="1" x14ac:dyDescent="0.25">
      <c r="A16" s="1977"/>
      <c r="B16" s="410"/>
      <c r="C16" s="897"/>
      <c r="D16" s="52"/>
      <c r="E16" s="356"/>
      <c r="F16" s="2450"/>
      <c r="G16" s="2451"/>
      <c r="H16" s="2197"/>
      <c r="I16" s="54"/>
    </row>
    <row r="17" spans="1:9" s="31" customFormat="1" x14ac:dyDescent="0.25">
      <c r="A17" s="1977"/>
      <c r="B17" s="891" t="s">
        <v>1778</v>
      </c>
      <c r="C17" s="899"/>
      <c r="D17" s="52"/>
      <c r="E17" s="356"/>
      <c r="F17" s="2450"/>
      <c r="G17" s="2451"/>
      <c r="H17" s="2197"/>
      <c r="I17" s="54"/>
    </row>
    <row r="18" spans="1:9" s="31" customFormat="1" x14ac:dyDescent="0.25">
      <c r="A18" s="1977"/>
      <c r="B18" s="891" t="s">
        <v>1763</v>
      </c>
      <c r="C18" s="899"/>
      <c r="D18" s="52"/>
      <c r="E18" s="356"/>
      <c r="F18" s="2450"/>
      <c r="G18" s="2451"/>
      <c r="H18" s="2197"/>
      <c r="I18" s="54"/>
    </row>
    <row r="19" spans="1:9" s="31" customFormat="1" x14ac:dyDescent="0.25">
      <c r="A19" s="1977"/>
      <c r="B19" s="891"/>
      <c r="C19" s="899"/>
      <c r="D19" s="52"/>
      <c r="E19" s="356"/>
      <c r="F19" s="2450"/>
      <c r="G19" s="2451"/>
      <c r="H19" s="2197"/>
      <c r="I19" s="54"/>
    </row>
    <row r="20" spans="1:9" s="31" customFormat="1" x14ac:dyDescent="0.25">
      <c r="A20" s="1977"/>
      <c r="B20" s="891" t="s">
        <v>1779</v>
      </c>
      <c r="C20" s="899"/>
      <c r="D20" s="52"/>
      <c r="E20" s="356"/>
      <c r="F20" s="2450"/>
      <c r="G20" s="2451"/>
      <c r="H20" s="2197"/>
      <c r="I20" s="54"/>
    </row>
    <row r="21" spans="1:9" s="31" customFormat="1" x14ac:dyDescent="0.25">
      <c r="A21" s="1977"/>
      <c r="B21" s="891" t="s">
        <v>1764</v>
      </c>
      <c r="C21" s="899"/>
      <c r="D21" s="52"/>
      <c r="E21" s="356"/>
      <c r="F21" s="2450"/>
      <c r="G21" s="2451"/>
      <c r="H21" s="2197"/>
      <c r="I21" s="54"/>
    </row>
    <row r="22" spans="1:9" s="31" customFormat="1" x14ac:dyDescent="0.25">
      <c r="A22" s="1977"/>
      <c r="B22" s="891" t="s">
        <v>1765</v>
      </c>
      <c r="C22" s="899"/>
      <c r="D22" s="52"/>
      <c r="E22" s="356"/>
      <c r="F22" s="2450"/>
      <c r="G22" s="2451"/>
      <c r="H22" s="2197"/>
      <c r="I22" s="54"/>
    </row>
    <row r="23" spans="1:9" s="31" customFormat="1" x14ac:dyDescent="0.25">
      <c r="A23" s="1977"/>
      <c r="B23" s="891" t="s">
        <v>1766</v>
      </c>
      <c r="C23" s="899"/>
      <c r="D23" s="52"/>
      <c r="E23" s="356"/>
      <c r="F23" s="2450"/>
      <c r="G23" s="2451"/>
      <c r="H23" s="2197"/>
      <c r="I23" s="54"/>
    </row>
    <row r="24" spans="1:9" s="31" customFormat="1" x14ac:dyDescent="0.25">
      <c r="A24" s="1977"/>
      <c r="B24" s="891"/>
      <c r="C24" s="899"/>
      <c r="D24" s="52"/>
      <c r="E24" s="356"/>
      <c r="F24" s="2450"/>
      <c r="G24" s="2451"/>
      <c r="H24" s="2197"/>
      <c r="I24" s="54"/>
    </row>
    <row r="25" spans="1:9" s="31" customFormat="1" x14ac:dyDescent="0.25">
      <c r="A25" s="1977"/>
      <c r="B25" s="891" t="s">
        <v>2030</v>
      </c>
      <c r="C25" s="899"/>
      <c r="D25" s="52"/>
      <c r="E25" s="356"/>
      <c r="F25" s="2450"/>
      <c r="G25" s="2451"/>
      <c r="H25" s="2197"/>
      <c r="I25" s="54"/>
    </row>
    <row r="26" spans="1:9" s="31" customFormat="1" x14ac:dyDescent="0.25">
      <c r="A26" s="1977"/>
      <c r="B26" s="891"/>
      <c r="C26" s="899"/>
      <c r="D26" s="52"/>
      <c r="E26" s="356"/>
      <c r="F26" s="2450"/>
      <c r="G26" s="2451"/>
      <c r="H26" s="2197"/>
      <c r="I26" s="54"/>
    </row>
    <row r="27" spans="1:9" s="31" customFormat="1" x14ac:dyDescent="0.25">
      <c r="A27" s="1977"/>
      <c r="B27" s="891" t="s">
        <v>1770</v>
      </c>
      <c r="C27" s="899"/>
      <c r="D27" s="52"/>
      <c r="E27" s="356"/>
      <c r="F27" s="2450"/>
      <c r="G27" s="2451"/>
      <c r="H27" s="2197"/>
      <c r="I27" s="54"/>
    </row>
    <row r="28" spans="1:9" s="31" customFormat="1" x14ac:dyDescent="0.25">
      <c r="A28" s="1977"/>
      <c r="B28" s="891"/>
      <c r="C28" s="899"/>
      <c r="D28" s="52"/>
      <c r="E28" s="356"/>
      <c r="F28" s="2450"/>
      <c r="G28" s="2451"/>
      <c r="H28" s="2197"/>
      <c r="I28" s="54"/>
    </row>
    <row r="29" spans="1:9" s="31" customFormat="1" x14ac:dyDescent="0.25">
      <c r="A29" s="1977"/>
      <c r="B29" s="891" t="s">
        <v>1771</v>
      </c>
      <c r="C29" s="899"/>
      <c r="D29" s="52"/>
      <c r="E29" s="356"/>
      <c r="F29" s="2450"/>
      <c r="G29" s="2451"/>
      <c r="H29" s="2197"/>
      <c r="I29" s="54"/>
    </row>
    <row r="30" spans="1:9" s="31" customFormat="1" x14ac:dyDescent="0.25">
      <c r="A30" s="1977"/>
      <c r="B30" s="891" t="s">
        <v>1767</v>
      </c>
      <c r="C30" s="899"/>
      <c r="D30" s="52"/>
      <c r="E30" s="356"/>
      <c r="F30" s="2450"/>
      <c r="G30" s="2451"/>
      <c r="H30" s="2197"/>
      <c r="I30" s="54"/>
    </row>
    <row r="31" spans="1:9" s="31" customFormat="1" x14ac:dyDescent="0.25">
      <c r="A31" s="1977"/>
      <c r="B31" s="891" t="s">
        <v>1768</v>
      </c>
      <c r="C31" s="899"/>
      <c r="D31" s="52"/>
      <c r="E31" s="356"/>
      <c r="F31" s="2450"/>
      <c r="G31" s="2451"/>
      <c r="H31" s="2197"/>
      <c r="I31" s="54"/>
    </row>
    <row r="32" spans="1:9" s="31" customFormat="1" x14ac:dyDescent="0.25">
      <c r="A32" s="1977"/>
      <c r="B32" s="891" t="s">
        <v>1769</v>
      </c>
      <c r="C32" s="899"/>
      <c r="D32" s="52"/>
      <c r="E32" s="356"/>
      <c r="F32" s="2450"/>
      <c r="G32" s="2451"/>
      <c r="H32" s="2197"/>
      <c r="I32" s="54"/>
    </row>
    <row r="33" spans="1:9" s="31" customFormat="1" x14ac:dyDescent="0.25">
      <c r="A33" s="1977"/>
      <c r="B33" s="891"/>
      <c r="C33" s="899"/>
      <c r="D33" s="52"/>
      <c r="E33" s="356"/>
      <c r="F33" s="2450"/>
      <c r="G33" s="2451"/>
      <c r="H33" s="2197"/>
      <c r="I33" s="54"/>
    </row>
    <row r="34" spans="1:9" s="31" customFormat="1" x14ac:dyDescent="0.25">
      <c r="A34" s="1977"/>
      <c r="B34" s="891" t="s">
        <v>1772</v>
      </c>
      <c r="C34" s="899"/>
      <c r="D34" s="52"/>
      <c r="E34" s="356"/>
      <c r="F34" s="2450"/>
      <c r="G34" s="2451"/>
      <c r="H34" s="2197"/>
      <c r="I34" s="54"/>
    </row>
    <row r="35" spans="1:9" s="31" customFormat="1" x14ac:dyDescent="0.25">
      <c r="A35" s="1977"/>
      <c r="B35" s="891"/>
      <c r="C35" s="899"/>
      <c r="D35" s="52"/>
      <c r="E35" s="356"/>
      <c r="F35" s="2450"/>
      <c r="G35" s="2451"/>
      <c r="H35" s="2197"/>
      <c r="I35" s="54"/>
    </row>
    <row r="36" spans="1:9" s="31" customFormat="1" ht="66" x14ac:dyDescent="0.25">
      <c r="A36" s="1977"/>
      <c r="B36" s="893" t="s">
        <v>1773</v>
      </c>
      <c r="C36" s="900"/>
      <c r="D36" s="52"/>
      <c r="E36" s="356"/>
      <c r="F36" s="2450"/>
      <c r="G36" s="2451"/>
      <c r="H36" s="2197"/>
      <c r="I36" s="54"/>
    </row>
    <row r="37" spans="1:9" s="31" customFormat="1" x14ac:dyDescent="0.25">
      <c r="A37" s="1977"/>
      <c r="B37" s="410"/>
      <c r="C37" s="897"/>
      <c r="D37" s="52"/>
      <c r="E37" s="356"/>
      <c r="F37" s="2450"/>
      <c r="G37" s="2451"/>
      <c r="H37" s="2197"/>
      <c r="I37" s="54"/>
    </row>
    <row r="38" spans="1:9" s="31" customFormat="1" x14ac:dyDescent="0.25">
      <c r="A38" s="1976">
        <v>1</v>
      </c>
      <c r="B38" s="355" t="s">
        <v>994</v>
      </c>
      <c r="C38" s="895"/>
      <c r="D38" s="86"/>
      <c r="E38" s="349"/>
      <c r="F38" s="2452"/>
      <c r="G38" s="2453"/>
      <c r="H38" s="2198"/>
      <c r="I38" s="84"/>
    </row>
    <row r="39" spans="1:9" s="31" customFormat="1" x14ac:dyDescent="0.25">
      <c r="A39" s="1977"/>
      <c r="B39" s="355"/>
      <c r="C39" s="895"/>
      <c r="D39" s="86"/>
      <c r="E39" s="349"/>
      <c r="F39" s="2452"/>
      <c r="G39" s="2453"/>
      <c r="H39" s="2198"/>
      <c r="I39" s="84"/>
    </row>
    <row r="40" spans="1:9" s="31" customFormat="1" x14ac:dyDescent="0.25">
      <c r="A40" s="1977">
        <f>A38+0.01</f>
        <v>1.01</v>
      </c>
      <c r="B40" s="406" t="s">
        <v>995</v>
      </c>
      <c r="C40" s="901" t="s">
        <v>1775</v>
      </c>
      <c r="D40" s="86">
        <v>1</v>
      </c>
      <c r="E40" s="349" t="s">
        <v>13</v>
      </c>
      <c r="F40" s="2452"/>
      <c r="G40" s="2453"/>
      <c r="H40" s="2198"/>
      <c r="I40" s="2446" t="s">
        <v>3717</v>
      </c>
    </row>
    <row r="41" spans="1:9" s="31" customFormat="1" x14ac:dyDescent="0.25">
      <c r="A41" s="1977"/>
      <c r="B41" s="406"/>
      <c r="C41" s="901"/>
      <c r="D41" s="86"/>
      <c r="E41" s="349"/>
      <c r="F41" s="2452"/>
      <c r="G41" s="2453"/>
      <c r="H41" s="2198"/>
      <c r="I41" s="84"/>
    </row>
    <row r="42" spans="1:9" s="31" customFormat="1" x14ac:dyDescent="0.25">
      <c r="A42" s="1977">
        <f>A40+0.01</f>
        <v>1.02</v>
      </c>
      <c r="B42" s="406" t="s">
        <v>996</v>
      </c>
      <c r="C42" s="901" t="s">
        <v>1775</v>
      </c>
      <c r="D42" s="86">
        <v>1</v>
      </c>
      <c r="E42" s="349" t="s">
        <v>13</v>
      </c>
      <c r="F42" s="2452"/>
      <c r="G42" s="2453"/>
      <c r="H42" s="2198"/>
      <c r="I42" s="2446" t="s">
        <v>3717</v>
      </c>
    </row>
    <row r="43" spans="1:9" s="31" customFormat="1" ht="14.4" thickBot="1" x14ac:dyDescent="0.3">
      <c r="A43" s="2712"/>
      <c r="B43" s="2713"/>
      <c r="C43" s="2714"/>
      <c r="D43" s="2715"/>
      <c r="E43" s="2716"/>
      <c r="F43" s="2717"/>
      <c r="G43" s="2718"/>
      <c r="H43" s="2719"/>
      <c r="I43" s="2720"/>
    </row>
    <row r="44" spans="1:9" s="31" customFormat="1" ht="61.2" customHeight="1" thickTop="1" x14ac:dyDescent="0.25">
      <c r="A44" s="2721">
        <f>A42+0.01</f>
        <v>1.03</v>
      </c>
      <c r="B44" s="2722" t="s">
        <v>1034</v>
      </c>
      <c r="C44" s="2723" t="s">
        <v>1775</v>
      </c>
      <c r="D44" s="2724">
        <v>1</v>
      </c>
      <c r="E44" s="2725" t="s">
        <v>13</v>
      </c>
      <c r="F44" s="2726"/>
      <c r="G44" s="2727"/>
      <c r="H44" s="2728"/>
      <c r="I44" s="2729" t="s">
        <v>3717</v>
      </c>
    </row>
    <row r="45" spans="1:9" s="31" customFormat="1" x14ac:dyDescent="0.25">
      <c r="A45" s="1977"/>
      <c r="B45" s="406"/>
      <c r="C45" s="901"/>
      <c r="D45" s="86"/>
      <c r="E45" s="349"/>
      <c r="F45" s="2452"/>
      <c r="G45" s="2453"/>
      <c r="H45" s="2198"/>
      <c r="I45" s="84"/>
    </row>
    <row r="46" spans="1:9" s="31" customFormat="1" x14ac:dyDescent="0.25">
      <c r="A46" s="1977"/>
      <c r="B46" s="406" t="s">
        <v>997</v>
      </c>
      <c r="C46" s="901"/>
      <c r="D46" s="86"/>
      <c r="E46" s="349"/>
      <c r="F46" s="2452"/>
      <c r="G46" s="2453"/>
      <c r="H46" s="2198"/>
      <c r="I46" s="84"/>
    </row>
    <row r="47" spans="1:9" s="31" customFormat="1" x14ac:dyDescent="0.25">
      <c r="A47" s="1977"/>
      <c r="B47" s="406"/>
      <c r="C47" s="901"/>
      <c r="D47" s="86"/>
      <c r="E47" s="349"/>
      <c r="F47" s="2452"/>
      <c r="G47" s="2453"/>
      <c r="H47" s="2198"/>
      <c r="I47" s="84"/>
    </row>
    <row r="48" spans="1:9" s="31" customFormat="1" ht="41.4" x14ac:dyDescent="0.25">
      <c r="A48" s="1977"/>
      <c r="B48" s="359" t="s">
        <v>998</v>
      </c>
      <c r="C48" s="902"/>
      <c r="D48" s="86"/>
      <c r="E48" s="349"/>
      <c r="F48" s="2452"/>
      <c r="G48" s="2453"/>
      <c r="H48" s="2198"/>
      <c r="I48" s="84"/>
    </row>
    <row r="49" spans="1:9" s="31" customFormat="1" x14ac:dyDescent="0.25">
      <c r="A49" s="1977"/>
      <c r="B49" s="359"/>
      <c r="C49" s="902"/>
      <c r="D49" s="86"/>
      <c r="E49" s="349"/>
      <c r="F49" s="2452"/>
      <c r="G49" s="2453"/>
      <c r="H49" s="2198"/>
      <c r="I49" s="84"/>
    </row>
    <row r="50" spans="1:9" s="31" customFormat="1" ht="41.4" x14ac:dyDescent="0.25">
      <c r="A50" s="1977"/>
      <c r="B50" s="359" t="s">
        <v>999</v>
      </c>
      <c r="C50" s="902"/>
      <c r="D50" s="86"/>
      <c r="E50" s="349"/>
      <c r="F50" s="2452"/>
      <c r="G50" s="2453"/>
      <c r="H50" s="2198"/>
      <c r="I50" s="84"/>
    </row>
    <row r="51" spans="1:9" s="31" customFormat="1" x14ac:dyDescent="0.25">
      <c r="A51" s="1977"/>
      <c r="B51" s="359"/>
      <c r="C51" s="902"/>
      <c r="D51" s="86"/>
      <c r="E51" s="349"/>
      <c r="F51" s="2452"/>
      <c r="G51" s="2453"/>
      <c r="H51" s="2198"/>
      <c r="I51" s="84"/>
    </row>
    <row r="52" spans="1:9" s="31" customFormat="1" ht="27.6" x14ac:dyDescent="0.25">
      <c r="A52" s="1977"/>
      <c r="B52" s="359" t="s">
        <v>1000</v>
      </c>
      <c r="C52" s="902"/>
      <c r="D52" s="86"/>
      <c r="E52" s="349"/>
      <c r="F52" s="2452"/>
      <c r="G52" s="2453"/>
      <c r="H52" s="2198"/>
      <c r="I52" s="84"/>
    </row>
    <row r="53" spans="1:9" s="31" customFormat="1" x14ac:dyDescent="0.25">
      <c r="A53" s="1977"/>
      <c r="B53" s="359"/>
      <c r="C53" s="902"/>
      <c r="D53" s="86"/>
      <c r="E53" s="349"/>
      <c r="F53" s="2452"/>
      <c r="G53" s="2453"/>
      <c r="H53" s="2198"/>
      <c r="I53" s="84"/>
    </row>
    <row r="54" spans="1:9" s="31" customFormat="1" ht="27.6" x14ac:dyDescent="0.25">
      <c r="A54" s="1977"/>
      <c r="B54" s="359" t="s">
        <v>1001</v>
      </c>
      <c r="C54" s="902"/>
      <c r="D54" s="86"/>
      <c r="E54" s="349"/>
      <c r="F54" s="2452"/>
      <c r="G54" s="2453"/>
      <c r="H54" s="2198"/>
      <c r="I54" s="84"/>
    </row>
    <row r="55" spans="1:9" s="31" customFormat="1" x14ac:dyDescent="0.25">
      <c r="A55" s="1977"/>
      <c r="B55" s="359"/>
      <c r="C55" s="902"/>
      <c r="D55" s="86"/>
      <c r="E55" s="349"/>
      <c r="F55" s="2452"/>
      <c r="G55" s="2453"/>
      <c r="H55" s="2198"/>
      <c r="I55" s="84"/>
    </row>
    <row r="56" spans="1:9" s="31" customFormat="1" ht="46.2" customHeight="1" x14ac:dyDescent="0.25">
      <c r="A56" s="1977"/>
      <c r="B56" s="359" t="s">
        <v>1002</v>
      </c>
      <c r="C56" s="902"/>
      <c r="D56" s="86"/>
      <c r="E56" s="349"/>
      <c r="F56" s="2452"/>
      <c r="G56" s="2453"/>
      <c r="H56" s="2198"/>
      <c r="I56" s="84"/>
    </row>
    <row r="57" spans="1:9" s="31" customFormat="1" x14ac:dyDescent="0.25">
      <c r="A57" s="1977"/>
      <c r="B57" s="359"/>
      <c r="C57" s="902"/>
      <c r="D57" s="86"/>
      <c r="E57" s="349"/>
      <c r="F57" s="2452"/>
      <c r="G57" s="2453"/>
      <c r="H57" s="2198"/>
      <c r="I57" s="84"/>
    </row>
    <row r="58" spans="1:9" s="31" customFormat="1" ht="29.4" customHeight="1" x14ac:dyDescent="0.25">
      <c r="A58" s="1977"/>
      <c r="B58" s="359" t="s">
        <v>1003</v>
      </c>
      <c r="C58" s="902"/>
      <c r="D58" s="86"/>
      <c r="E58" s="349"/>
      <c r="F58" s="2452"/>
      <c r="G58" s="2453"/>
      <c r="H58" s="2198"/>
      <c r="I58" s="84"/>
    </row>
    <row r="59" spans="1:9" s="31" customFormat="1" x14ac:dyDescent="0.25">
      <c r="A59" s="1977"/>
      <c r="B59" s="359"/>
      <c r="C59" s="902"/>
      <c r="D59" s="86"/>
      <c r="E59" s="349"/>
      <c r="F59" s="2452"/>
      <c r="G59" s="2453"/>
      <c r="H59" s="2198"/>
      <c r="I59" s="84"/>
    </row>
    <row r="60" spans="1:9" s="31" customFormat="1" ht="43.8" customHeight="1" x14ac:dyDescent="0.25">
      <c r="A60" s="1977"/>
      <c r="B60" s="359" t="s">
        <v>1004</v>
      </c>
      <c r="C60" s="902"/>
      <c r="D60" s="86"/>
      <c r="E60" s="349"/>
      <c r="F60" s="2452"/>
      <c r="G60" s="2453"/>
      <c r="H60" s="2198"/>
      <c r="I60" s="84"/>
    </row>
    <row r="61" spans="1:9" s="31" customFormat="1" x14ac:dyDescent="0.25">
      <c r="A61" s="1977"/>
      <c r="B61" s="359"/>
      <c r="C61" s="902"/>
      <c r="D61" s="86"/>
      <c r="E61" s="349"/>
      <c r="F61" s="2452"/>
      <c r="G61" s="2453"/>
      <c r="H61" s="2198"/>
      <c r="I61" s="84"/>
    </row>
    <row r="62" spans="1:9" s="31" customFormat="1" ht="102" customHeight="1" x14ac:dyDescent="0.25">
      <c r="A62" s="1977"/>
      <c r="B62" s="359" t="s">
        <v>1005</v>
      </c>
      <c r="C62" s="902"/>
      <c r="D62" s="86"/>
      <c r="E62" s="349"/>
      <c r="F62" s="2452"/>
      <c r="G62" s="2453"/>
      <c r="H62" s="2198"/>
      <c r="I62" s="84"/>
    </row>
    <row r="63" spans="1:9" s="31" customFormat="1" x14ac:dyDescent="0.25">
      <c r="A63" s="1977"/>
      <c r="B63" s="359"/>
      <c r="C63" s="902"/>
      <c r="D63" s="86"/>
      <c r="E63" s="349"/>
      <c r="F63" s="2452"/>
      <c r="G63" s="2453"/>
      <c r="H63" s="2198"/>
      <c r="I63" s="84"/>
    </row>
    <row r="64" spans="1:9" s="31" customFormat="1" ht="27.6" x14ac:dyDescent="0.25">
      <c r="A64" s="2441">
        <f>A44+0.01</f>
        <v>1.04</v>
      </c>
      <c r="B64" s="1522" t="s">
        <v>1035</v>
      </c>
      <c r="C64" s="1407" t="s">
        <v>1775</v>
      </c>
      <c r="D64" s="2442">
        <v>1</v>
      </c>
      <c r="E64" s="1403" t="s">
        <v>13</v>
      </c>
      <c r="F64" s="2456"/>
      <c r="G64" s="2455"/>
      <c r="H64" s="2199"/>
      <c r="I64" s="2446" t="s">
        <v>3717</v>
      </c>
    </row>
    <row r="65" spans="1:10" s="31" customFormat="1" x14ac:dyDescent="0.25">
      <c r="A65" s="1977"/>
      <c r="B65" s="359"/>
      <c r="C65" s="902"/>
      <c r="D65" s="86"/>
      <c r="E65" s="349"/>
      <c r="F65" s="2452"/>
      <c r="G65" s="2453"/>
      <c r="H65" s="2198"/>
      <c r="I65" s="84"/>
    </row>
    <row r="66" spans="1:10" s="31" customFormat="1" x14ac:dyDescent="0.25">
      <c r="A66" s="1977"/>
      <c r="B66" s="359" t="s">
        <v>1006</v>
      </c>
      <c r="C66" s="902"/>
      <c r="D66" s="86"/>
      <c r="E66" s="349"/>
      <c r="F66" s="2452"/>
      <c r="G66" s="2453"/>
      <c r="H66" s="2198"/>
      <c r="I66" s="84"/>
    </row>
    <row r="67" spans="1:10" s="31" customFormat="1" ht="27.6" x14ac:dyDescent="0.25">
      <c r="A67" s="1977"/>
      <c r="B67" s="359" t="s">
        <v>1007</v>
      </c>
      <c r="C67" s="902"/>
      <c r="D67" s="86"/>
      <c r="E67" s="349"/>
      <c r="F67" s="2452"/>
      <c r="G67" s="2453"/>
      <c r="H67" s="2198"/>
      <c r="I67" s="84"/>
    </row>
    <row r="68" spans="1:10" s="31" customFormat="1" ht="27.6" x14ac:dyDescent="0.25">
      <c r="A68" s="1977"/>
      <c r="B68" s="359" t="s">
        <v>1616</v>
      </c>
      <c r="C68" s="902"/>
      <c r="D68" s="86"/>
      <c r="E68" s="349"/>
      <c r="F68" s="2452"/>
      <c r="G68" s="2453"/>
      <c r="H68" s="2198"/>
      <c r="I68" s="84"/>
    </row>
    <row r="69" spans="1:10" s="31" customFormat="1" x14ac:dyDescent="0.25">
      <c r="A69" s="1977"/>
      <c r="B69" s="359"/>
      <c r="C69" s="902"/>
      <c r="D69" s="86"/>
      <c r="E69" s="349"/>
      <c r="F69" s="2452"/>
      <c r="G69" s="2453"/>
      <c r="H69" s="2198"/>
      <c r="I69" s="84"/>
    </row>
    <row r="70" spans="1:10" s="31" customFormat="1" hidden="1" x14ac:dyDescent="0.25">
      <c r="A70" s="1979">
        <v>2</v>
      </c>
      <c r="B70" s="1159" t="s">
        <v>1008</v>
      </c>
      <c r="C70" s="1160"/>
      <c r="D70" s="936"/>
      <c r="E70" s="937"/>
      <c r="F70" s="2457"/>
      <c r="G70" s="2458"/>
      <c r="H70" s="2200"/>
      <c r="I70" s="1980"/>
    </row>
    <row r="71" spans="1:10" s="31" customFormat="1" hidden="1" x14ac:dyDescent="0.25">
      <c r="A71" s="1977"/>
      <c r="B71" s="359"/>
      <c r="C71" s="902"/>
      <c r="D71" s="86"/>
      <c r="E71" s="349"/>
      <c r="F71" s="2452"/>
      <c r="G71" s="2453"/>
      <c r="H71" s="2198"/>
      <c r="I71" s="84"/>
    </row>
    <row r="72" spans="1:10" s="31" customFormat="1" ht="87" hidden="1" customHeight="1" x14ac:dyDescent="0.25">
      <c r="A72" s="1977">
        <f>A70+0.01</f>
        <v>2.0099999999999998</v>
      </c>
      <c r="B72" s="359" t="s">
        <v>2495</v>
      </c>
      <c r="C72" s="902" t="s">
        <v>555</v>
      </c>
      <c r="D72" s="86">
        <v>1</v>
      </c>
      <c r="E72" s="349" t="s">
        <v>13</v>
      </c>
      <c r="F72" s="2452"/>
      <c r="G72" s="2453"/>
      <c r="H72" s="2198"/>
      <c r="I72" s="84"/>
      <c r="J72" s="1978"/>
    </row>
    <row r="73" spans="1:10" s="31" customFormat="1" ht="18" hidden="1" customHeight="1" x14ac:dyDescent="0.25">
      <c r="A73" s="1977"/>
      <c r="B73" s="359" t="s">
        <v>1009</v>
      </c>
      <c r="C73" s="902"/>
      <c r="D73" s="86"/>
      <c r="E73" s="349"/>
      <c r="F73" s="2452"/>
      <c r="G73" s="2453"/>
      <c r="H73" s="2198"/>
      <c r="I73" s="84"/>
    </row>
    <row r="74" spans="1:10" s="31" customFormat="1" ht="27.6" hidden="1" x14ac:dyDescent="0.25">
      <c r="A74" s="1977"/>
      <c r="B74" s="359" t="s">
        <v>2432</v>
      </c>
      <c r="C74" s="902"/>
      <c r="D74" s="86"/>
      <c r="E74" s="349"/>
      <c r="F74" s="2452"/>
      <c r="G74" s="2453"/>
      <c r="H74" s="2198"/>
      <c r="I74" s="84"/>
    </row>
    <row r="75" spans="1:10" s="31" customFormat="1" ht="27.6" hidden="1" x14ac:dyDescent="0.25">
      <c r="A75" s="1977"/>
      <c r="B75" s="359" t="s">
        <v>2433</v>
      </c>
      <c r="C75" s="902"/>
      <c r="D75" s="86"/>
      <c r="E75" s="349"/>
      <c r="F75" s="2452"/>
      <c r="G75" s="2453"/>
      <c r="H75" s="2198"/>
      <c r="I75" s="84"/>
    </row>
    <row r="76" spans="1:10" s="31" customFormat="1" ht="27.6" hidden="1" x14ac:dyDescent="0.25">
      <c r="A76" s="1977"/>
      <c r="B76" s="359" t="s">
        <v>2493</v>
      </c>
      <c r="C76" s="902"/>
      <c r="D76" s="86"/>
      <c r="E76" s="349"/>
      <c r="F76" s="2452"/>
      <c r="G76" s="2453"/>
      <c r="H76" s="2198"/>
      <c r="I76" s="84"/>
    </row>
    <row r="77" spans="1:10" s="31" customFormat="1" hidden="1" x14ac:dyDescent="0.25">
      <c r="A77" s="1977"/>
      <c r="B77" s="359" t="s">
        <v>1995</v>
      </c>
      <c r="C77" s="902"/>
      <c r="D77" s="86"/>
      <c r="E77" s="349"/>
      <c r="F77" s="2452"/>
      <c r="G77" s="2453"/>
      <c r="H77" s="2198"/>
      <c r="I77" s="84"/>
    </row>
    <row r="78" spans="1:10" s="31" customFormat="1" ht="27.6" hidden="1" x14ac:dyDescent="0.25">
      <c r="A78" s="1977"/>
      <c r="B78" s="359" t="s">
        <v>2434</v>
      </c>
      <c r="C78" s="902"/>
      <c r="D78" s="86"/>
      <c r="E78" s="349"/>
      <c r="F78" s="2452"/>
      <c r="G78" s="2453"/>
      <c r="H78" s="2198"/>
      <c r="I78" s="84"/>
    </row>
    <row r="79" spans="1:10" s="31" customFormat="1" hidden="1" x14ac:dyDescent="0.25">
      <c r="A79" s="1977"/>
      <c r="B79" s="359" t="s">
        <v>2491</v>
      </c>
      <c r="C79" s="902"/>
      <c r="D79" s="86"/>
      <c r="E79" s="349"/>
      <c r="F79" s="2452"/>
      <c r="G79" s="2453"/>
      <c r="H79" s="2198"/>
      <c r="I79" s="84"/>
    </row>
    <row r="80" spans="1:10" s="31" customFormat="1" hidden="1" x14ac:dyDescent="0.25">
      <c r="A80" s="1977"/>
      <c r="B80" s="359" t="s">
        <v>2492</v>
      </c>
      <c r="C80" s="902"/>
      <c r="D80" s="86"/>
      <c r="E80" s="349"/>
      <c r="F80" s="2452"/>
      <c r="G80" s="2453"/>
      <c r="H80" s="2198"/>
      <c r="I80" s="84"/>
    </row>
    <row r="81" spans="1:9" s="31" customFormat="1" hidden="1" x14ac:dyDescent="0.25">
      <c r="A81" s="1977"/>
      <c r="B81" s="359" t="s">
        <v>2506</v>
      </c>
      <c r="C81" s="902"/>
      <c r="D81" s="86"/>
      <c r="E81" s="349"/>
      <c r="F81" s="2452"/>
      <c r="G81" s="2453"/>
      <c r="H81" s="2198"/>
      <c r="I81" s="84"/>
    </row>
    <row r="82" spans="1:9" s="31" customFormat="1" hidden="1" x14ac:dyDescent="0.25">
      <c r="A82" s="1977"/>
      <c r="B82" s="359"/>
      <c r="C82" s="902"/>
      <c r="D82" s="86"/>
      <c r="E82" s="349"/>
      <c r="F82" s="2452"/>
      <c r="G82" s="2453"/>
      <c r="H82" s="2198"/>
      <c r="I82" s="84"/>
    </row>
    <row r="83" spans="1:9" s="31" customFormat="1" x14ac:dyDescent="0.25">
      <c r="A83" s="1976">
        <v>2</v>
      </c>
      <c r="B83" s="407" t="s">
        <v>1010</v>
      </c>
      <c r="C83" s="903"/>
      <c r="D83" s="86"/>
      <c r="E83" s="349"/>
      <c r="F83" s="2452"/>
      <c r="G83" s="2453"/>
      <c r="H83" s="2198"/>
      <c r="I83" s="84"/>
    </row>
    <row r="84" spans="1:9" s="31" customFormat="1" ht="14.4" thickBot="1" x14ac:dyDescent="0.3">
      <c r="A84" s="2712"/>
      <c r="B84" s="2730"/>
      <c r="C84" s="2731"/>
      <c r="D84" s="2715"/>
      <c r="E84" s="2716"/>
      <c r="F84" s="2717"/>
      <c r="G84" s="2718"/>
      <c r="H84" s="2719"/>
      <c r="I84" s="2720"/>
    </row>
    <row r="85" spans="1:9" s="31" customFormat="1" ht="101.4" customHeight="1" thickTop="1" x14ac:dyDescent="0.25">
      <c r="A85" s="2721">
        <f>A83+0.01</f>
        <v>2.0099999999999998</v>
      </c>
      <c r="B85" s="2722" t="s">
        <v>3109</v>
      </c>
      <c r="C85" s="2723" t="s">
        <v>555</v>
      </c>
      <c r="D85" s="2724">
        <v>1</v>
      </c>
      <c r="E85" s="2725" t="s">
        <v>13</v>
      </c>
      <c r="F85" s="2726">
        <v>190000</v>
      </c>
      <c r="G85" s="2638">
        <f>+$J$1</f>
        <v>0.8</v>
      </c>
      <c r="H85" s="2639">
        <f t="shared" ref="H85" si="0">ROUNDUP(F85/G85,-1)</f>
        <v>237500</v>
      </c>
      <c r="I85" s="2640">
        <f>D85*H85</f>
        <v>237500</v>
      </c>
    </row>
    <row r="86" spans="1:9" s="31" customFormat="1" ht="14.4" thickBot="1" x14ac:dyDescent="0.3">
      <c r="A86" s="1977"/>
      <c r="B86" s="359"/>
      <c r="C86" s="902"/>
      <c r="D86" s="86"/>
      <c r="E86" s="349"/>
      <c r="F86" s="2452"/>
      <c r="G86" s="2453"/>
      <c r="H86" s="2198"/>
      <c r="I86" s="84"/>
    </row>
    <row r="87" spans="1:9" s="31" customFormat="1" ht="42.6" hidden="1" thickTop="1" thickBot="1" x14ac:dyDescent="0.3">
      <c r="A87" s="2712" t="e">
        <f>#REF!+0.01</f>
        <v>#REF!</v>
      </c>
      <c r="B87" s="2730" t="s">
        <v>1997</v>
      </c>
      <c r="C87" s="2731" t="s">
        <v>555</v>
      </c>
      <c r="D87" s="2715">
        <v>1</v>
      </c>
      <c r="E87" s="2716" t="s">
        <v>13</v>
      </c>
      <c r="F87" s="2717"/>
      <c r="G87" s="2717"/>
      <c r="H87" s="2753"/>
      <c r="I87" s="2720"/>
    </row>
    <row r="88" spans="1:9" s="31" customFormat="1" ht="15" hidden="1" thickTop="1" thickBot="1" x14ac:dyDescent="0.3">
      <c r="A88" s="2740">
        <v>3</v>
      </c>
      <c r="B88" s="2741" t="s">
        <v>1011</v>
      </c>
      <c r="C88" s="2742"/>
      <c r="D88" s="2735"/>
      <c r="E88" s="2736"/>
      <c r="F88" s="2737"/>
      <c r="G88" s="2737"/>
      <c r="H88" s="2738"/>
      <c r="I88" s="2739"/>
    </row>
    <row r="89" spans="1:9" s="31" customFormat="1" ht="15" hidden="1" thickTop="1" thickBot="1" x14ac:dyDescent="0.3">
      <c r="A89" s="2732"/>
      <c r="B89" s="2733"/>
      <c r="C89" s="2734"/>
      <c r="D89" s="2735"/>
      <c r="E89" s="2736"/>
      <c r="F89" s="2737"/>
      <c r="G89" s="2737"/>
      <c r="H89" s="2738"/>
      <c r="I89" s="2739"/>
    </row>
    <row r="90" spans="1:9" s="31" customFormat="1" ht="42.6" hidden="1" thickTop="1" thickBot="1" x14ac:dyDescent="0.3">
      <c r="A90" s="2732">
        <f>A88+0.01</f>
        <v>3.01</v>
      </c>
      <c r="B90" s="2743" t="s">
        <v>1012</v>
      </c>
      <c r="C90" s="2734" t="s">
        <v>557</v>
      </c>
      <c r="D90" s="2735">
        <v>1</v>
      </c>
      <c r="E90" s="2736" t="s">
        <v>13</v>
      </c>
      <c r="F90" s="2737"/>
      <c r="G90" s="2737"/>
      <c r="H90" s="2738"/>
      <c r="I90" s="2739"/>
    </row>
    <row r="91" spans="1:9" s="31" customFormat="1" ht="15" hidden="1" thickTop="1" thickBot="1" x14ac:dyDescent="0.3">
      <c r="A91" s="2732"/>
      <c r="B91" s="2733" t="s">
        <v>2530</v>
      </c>
      <c r="C91" s="2734"/>
      <c r="D91" s="2735"/>
      <c r="E91" s="2736"/>
      <c r="F91" s="2737"/>
      <c r="G91" s="2737"/>
      <c r="H91" s="2738"/>
      <c r="I91" s="2739"/>
    </row>
    <row r="92" spans="1:9" s="31" customFormat="1" ht="28.8" hidden="1" thickTop="1" thickBot="1" x14ac:dyDescent="0.3">
      <c r="A92" s="2732"/>
      <c r="B92" s="2733" t="s">
        <v>2488</v>
      </c>
      <c r="C92" s="2734"/>
      <c r="D92" s="2735"/>
      <c r="E92" s="2736"/>
      <c r="F92" s="2737"/>
      <c r="G92" s="2737"/>
      <c r="H92" s="2738"/>
      <c r="I92" s="2739"/>
    </row>
    <row r="93" spans="1:9" s="31" customFormat="1" ht="28.8" hidden="1" thickTop="1" thickBot="1" x14ac:dyDescent="0.3">
      <c r="A93" s="2732"/>
      <c r="B93" s="2733" t="s">
        <v>2489</v>
      </c>
      <c r="C93" s="2734"/>
      <c r="D93" s="2735"/>
      <c r="E93" s="2736"/>
      <c r="F93" s="2737"/>
      <c r="G93" s="2737"/>
      <c r="H93" s="2738"/>
      <c r="I93" s="2739"/>
    </row>
    <row r="94" spans="1:9" s="31" customFormat="1" ht="28.8" hidden="1" thickTop="1" thickBot="1" x14ac:dyDescent="0.3">
      <c r="A94" s="2732"/>
      <c r="B94" s="2733" t="s">
        <v>2490</v>
      </c>
      <c r="C94" s="2734"/>
      <c r="D94" s="2735"/>
      <c r="E94" s="2736"/>
      <c r="F94" s="2737"/>
      <c r="G94" s="2737"/>
      <c r="H94" s="2738"/>
      <c r="I94" s="2739"/>
    </row>
    <row r="95" spans="1:9" s="31" customFormat="1" ht="15" hidden="1" thickTop="1" thickBot="1" x14ac:dyDescent="0.3">
      <c r="A95" s="2732"/>
      <c r="B95" s="2733" t="s">
        <v>1996</v>
      </c>
      <c r="C95" s="2734"/>
      <c r="D95" s="2735"/>
      <c r="E95" s="2736"/>
      <c r="F95" s="2737"/>
      <c r="G95" s="2737"/>
      <c r="H95" s="2738"/>
      <c r="I95" s="2739"/>
    </row>
    <row r="96" spans="1:9" s="31" customFormat="1" ht="15" hidden="1" thickTop="1" thickBot="1" x14ac:dyDescent="0.3">
      <c r="A96" s="2732"/>
      <c r="B96" s="2733"/>
      <c r="C96" s="2734"/>
      <c r="D96" s="2735"/>
      <c r="E96" s="2736"/>
      <c r="F96" s="2737"/>
      <c r="G96" s="2737"/>
      <c r="H96" s="2738"/>
      <c r="I96" s="2739"/>
    </row>
    <row r="97" spans="1:9" s="31" customFormat="1" ht="14.4" thickTop="1" x14ac:dyDescent="0.25">
      <c r="A97" s="2744">
        <v>3</v>
      </c>
      <c r="B97" s="2745" t="s">
        <v>1013</v>
      </c>
      <c r="C97" s="2746"/>
      <c r="D97" s="2747"/>
      <c r="E97" s="2748"/>
      <c r="F97" s="2749"/>
      <c r="G97" s="2750"/>
      <c r="H97" s="2751"/>
      <c r="I97" s="2752"/>
    </row>
    <row r="98" spans="1:9" s="31" customFormat="1" x14ac:dyDescent="0.25">
      <c r="A98" s="1976"/>
      <c r="B98" s="407"/>
      <c r="C98" s="903"/>
      <c r="D98" s="86"/>
      <c r="E98" s="349"/>
      <c r="F98" s="2452"/>
      <c r="G98" s="2453"/>
      <c r="H98" s="2198"/>
      <c r="I98" s="84"/>
    </row>
    <row r="99" spans="1:9" s="31" customFormat="1" ht="92.4" customHeight="1" x14ac:dyDescent="0.25">
      <c r="A99" s="2441">
        <f>A97+0.01</f>
        <v>3.01</v>
      </c>
      <c r="B99" s="1522" t="s">
        <v>2446</v>
      </c>
      <c r="C99" s="1407" t="s">
        <v>559</v>
      </c>
      <c r="D99" s="2442">
        <v>1</v>
      </c>
      <c r="E99" s="1403" t="s">
        <v>13</v>
      </c>
      <c r="F99" s="2456">
        <v>65000</v>
      </c>
      <c r="G99" s="2459">
        <f>+$J$1</f>
        <v>0.8</v>
      </c>
      <c r="H99" s="2375">
        <f t="shared" ref="H99" si="1">ROUNDUP(F99/G99,-1)</f>
        <v>81250</v>
      </c>
      <c r="I99" s="2533">
        <f>D99*H99</f>
        <v>81250</v>
      </c>
    </row>
    <row r="100" spans="1:9" s="31" customFormat="1" x14ac:dyDescent="0.25">
      <c r="A100" s="1977"/>
      <c r="B100" s="359"/>
      <c r="C100" s="902"/>
      <c r="D100" s="86"/>
      <c r="E100" s="349"/>
      <c r="F100" s="2452"/>
      <c r="G100" s="2453"/>
      <c r="H100" s="2198"/>
      <c r="I100" s="84"/>
    </row>
    <row r="101" spans="1:9" s="31" customFormat="1" x14ac:dyDescent="0.25">
      <c r="A101" s="1976">
        <v>4</v>
      </c>
      <c r="B101" s="407" t="s">
        <v>1014</v>
      </c>
      <c r="C101" s="903"/>
      <c r="D101" s="86"/>
      <c r="E101" s="349"/>
      <c r="F101" s="2452"/>
      <c r="G101" s="2453"/>
      <c r="H101" s="2198"/>
      <c r="I101" s="84"/>
    </row>
    <row r="102" spans="1:9" s="31" customFormat="1" x14ac:dyDescent="0.25">
      <c r="A102" s="1977"/>
      <c r="B102" s="407"/>
      <c r="C102" s="903"/>
      <c r="D102" s="86"/>
      <c r="E102" s="349"/>
      <c r="F102" s="2452"/>
      <c r="G102" s="2453"/>
      <c r="H102" s="2198"/>
      <c r="I102" s="84"/>
    </row>
    <row r="103" spans="1:9" s="31" customFormat="1" ht="75.599999999999994" hidden="1" customHeight="1" x14ac:dyDescent="0.25">
      <c r="A103" s="1977">
        <f>A101+0.01</f>
        <v>4.01</v>
      </c>
      <c r="B103" s="359" t="s">
        <v>1015</v>
      </c>
      <c r="C103" s="902" t="s">
        <v>557</v>
      </c>
      <c r="D103" s="86">
        <v>1</v>
      </c>
      <c r="E103" s="349" t="s">
        <v>13</v>
      </c>
      <c r="F103" s="2452"/>
      <c r="G103" s="2453"/>
      <c r="H103" s="2198"/>
      <c r="I103" s="84"/>
    </row>
    <row r="104" spans="1:9" s="31" customFormat="1" hidden="1" x14ac:dyDescent="0.25">
      <c r="A104" s="1977"/>
      <c r="B104" s="359"/>
      <c r="C104" s="902"/>
      <c r="D104" s="86"/>
      <c r="E104" s="349"/>
      <c r="F104" s="2452"/>
      <c r="G104" s="2453"/>
      <c r="H104" s="2198"/>
      <c r="I104" s="84"/>
    </row>
    <row r="105" spans="1:9" s="31" customFormat="1" ht="73.2" hidden="1" customHeight="1" x14ac:dyDescent="0.25">
      <c r="A105" s="1977">
        <f>A103+0.01</f>
        <v>4.0199999999999996</v>
      </c>
      <c r="B105" s="359" t="s">
        <v>1016</v>
      </c>
      <c r="C105" s="902" t="s">
        <v>558</v>
      </c>
      <c r="D105" s="86">
        <v>1</v>
      </c>
      <c r="E105" s="349" t="s">
        <v>13</v>
      </c>
      <c r="F105" s="2452"/>
      <c r="G105" s="2453"/>
      <c r="H105" s="2198"/>
      <c r="I105" s="84"/>
    </row>
    <row r="106" spans="1:9" s="31" customFormat="1" hidden="1" x14ac:dyDescent="0.25">
      <c r="A106" s="1977"/>
      <c r="B106" s="359"/>
      <c r="C106" s="902"/>
      <c r="D106" s="86"/>
      <c r="E106" s="349"/>
      <c r="F106" s="2452"/>
      <c r="G106" s="2453"/>
      <c r="H106" s="2198"/>
      <c r="I106" s="84"/>
    </row>
    <row r="107" spans="1:9" s="31" customFormat="1" ht="55.2" x14ac:dyDescent="0.25">
      <c r="A107" s="1977">
        <f>A101+0.01</f>
        <v>4.01</v>
      </c>
      <c r="B107" s="1146" t="s">
        <v>2572</v>
      </c>
      <c r="C107" s="1407" t="s">
        <v>557</v>
      </c>
      <c r="D107" s="2442">
        <v>1</v>
      </c>
      <c r="E107" s="1403" t="s">
        <v>13</v>
      </c>
      <c r="F107" s="2456"/>
      <c r="G107" s="2455"/>
      <c r="H107" s="2199"/>
      <c r="I107" s="2446" t="s">
        <v>3717</v>
      </c>
    </row>
    <row r="108" spans="1:9" s="31" customFormat="1" x14ac:dyDescent="0.25">
      <c r="A108" s="1977"/>
      <c r="B108" s="1146" t="s">
        <v>2447</v>
      </c>
      <c r="C108" s="902"/>
      <c r="D108" s="86"/>
      <c r="E108" s="349"/>
      <c r="F108" s="2452"/>
      <c r="G108" s="2453"/>
      <c r="H108" s="2198"/>
      <c r="I108" s="84"/>
    </row>
    <row r="109" spans="1:9" s="31" customFormat="1" x14ac:dyDescent="0.25">
      <c r="A109" s="1977"/>
      <c r="B109" s="1146" t="s">
        <v>2448</v>
      </c>
      <c r="C109" s="902"/>
      <c r="D109" s="86"/>
      <c r="E109" s="349"/>
      <c r="F109" s="2452"/>
      <c r="G109" s="2453"/>
      <c r="H109" s="2198"/>
      <c r="I109" s="84"/>
    </row>
    <row r="110" spans="1:9" s="31" customFormat="1" x14ac:dyDescent="0.25">
      <c r="A110" s="1977"/>
      <c r="B110" s="1146" t="s">
        <v>2567</v>
      </c>
      <c r="C110" s="902"/>
      <c r="D110" s="86"/>
      <c r="E110" s="349"/>
      <c r="F110" s="2452"/>
      <c r="G110" s="2453"/>
      <c r="H110" s="2198"/>
      <c r="I110" s="84"/>
    </row>
    <row r="111" spans="1:9" s="31" customFormat="1" x14ac:dyDescent="0.25">
      <c r="A111" s="1977"/>
      <c r="B111" s="1146"/>
      <c r="C111" s="902"/>
      <c r="D111" s="86"/>
      <c r="E111" s="349"/>
      <c r="F111" s="2452"/>
      <c r="G111" s="2453"/>
      <c r="H111" s="2198"/>
      <c r="I111" s="84"/>
    </row>
    <row r="112" spans="1:9" s="31" customFormat="1" x14ac:dyDescent="0.25">
      <c r="A112" s="1976">
        <v>5</v>
      </c>
      <c r="B112" s="355" t="s">
        <v>1017</v>
      </c>
      <c r="C112" s="895"/>
      <c r="D112" s="86"/>
      <c r="E112" s="349"/>
      <c r="F112" s="2452"/>
      <c r="G112" s="2453"/>
      <c r="H112" s="2198"/>
      <c r="I112" s="84"/>
    </row>
    <row r="113" spans="1:16" s="31" customFormat="1" x14ac:dyDescent="0.25">
      <c r="A113" s="1977"/>
      <c r="B113" s="406"/>
      <c r="C113" s="901"/>
      <c r="D113" s="86"/>
      <c r="E113" s="349"/>
      <c r="F113" s="2452"/>
      <c r="G113" s="2453"/>
      <c r="H113" s="2198"/>
      <c r="I113" s="84"/>
    </row>
    <row r="114" spans="1:16" s="31" customFormat="1" ht="44.4" hidden="1" customHeight="1" x14ac:dyDescent="0.25">
      <c r="A114" s="1977">
        <f>A112+0.01</f>
        <v>5.01</v>
      </c>
      <c r="B114" s="359" t="s">
        <v>2031</v>
      </c>
      <c r="C114" s="902" t="s">
        <v>557</v>
      </c>
      <c r="D114" s="86">
        <v>1</v>
      </c>
      <c r="E114" s="349" t="s">
        <v>13</v>
      </c>
      <c r="F114" s="2452"/>
      <c r="G114" s="2453"/>
      <c r="H114" s="2198"/>
      <c r="I114" s="84"/>
    </row>
    <row r="115" spans="1:16" s="31" customFormat="1" hidden="1" x14ac:dyDescent="0.25">
      <c r="A115" s="1977"/>
      <c r="B115" s="406"/>
      <c r="C115" s="901"/>
      <c r="D115" s="86"/>
      <c r="E115" s="349"/>
      <c r="F115" s="2452"/>
      <c r="G115" s="2453"/>
      <c r="H115" s="2198"/>
      <c r="I115" s="84"/>
    </row>
    <row r="116" spans="1:16" s="31" customFormat="1" ht="55.2" x14ac:dyDescent="0.25">
      <c r="A116" s="1977">
        <f>A114+0.01</f>
        <v>5.0199999999999996</v>
      </c>
      <c r="B116" s="408" t="s">
        <v>1018</v>
      </c>
      <c r="C116" s="902" t="s">
        <v>557</v>
      </c>
      <c r="D116" s="86">
        <v>1</v>
      </c>
      <c r="E116" s="349" t="s">
        <v>13</v>
      </c>
      <c r="F116" s="2452"/>
      <c r="G116" s="2453"/>
      <c r="H116" s="2198"/>
      <c r="I116" s="2446" t="s">
        <v>3717</v>
      </c>
    </row>
    <row r="117" spans="1:16" s="31" customFormat="1" x14ac:dyDescent="0.25">
      <c r="A117" s="1977"/>
      <c r="B117" s="406"/>
      <c r="C117" s="901"/>
      <c r="D117" s="86"/>
      <c r="E117" s="349"/>
      <c r="F117" s="2452"/>
      <c r="G117" s="2453"/>
      <c r="H117" s="2198"/>
      <c r="I117" s="84"/>
    </row>
    <row r="118" spans="1:16" s="31" customFormat="1" ht="45" customHeight="1" x14ac:dyDescent="0.25">
      <c r="A118" s="1977">
        <f>A116+0.01</f>
        <v>5.0299999999999994</v>
      </c>
      <c r="B118" s="359" t="s">
        <v>1019</v>
      </c>
      <c r="C118" s="902" t="s">
        <v>559</v>
      </c>
      <c r="D118" s="86">
        <v>1</v>
      </c>
      <c r="E118" s="349" t="s">
        <v>13</v>
      </c>
      <c r="F118" s="2452"/>
      <c r="G118" s="2453"/>
      <c r="H118" s="2198"/>
      <c r="I118" s="2446" t="s">
        <v>3717</v>
      </c>
    </row>
    <row r="119" spans="1:16" s="31" customFormat="1" ht="27.6" hidden="1" x14ac:dyDescent="0.25">
      <c r="A119" s="1977">
        <f>A118+0.01</f>
        <v>5.0399999999999991</v>
      </c>
      <c r="B119" s="359" t="s">
        <v>2484</v>
      </c>
      <c r="C119" s="902" t="s">
        <v>559</v>
      </c>
      <c r="D119" s="86">
        <v>1</v>
      </c>
      <c r="E119" s="349" t="s">
        <v>13</v>
      </c>
      <c r="F119" s="2452"/>
      <c r="G119" s="2453"/>
      <c r="H119" s="2198"/>
      <c r="I119" s="84"/>
    </row>
    <row r="120" spans="1:16" s="31" customFormat="1" hidden="1" x14ac:dyDescent="0.25">
      <c r="A120" s="1977"/>
      <c r="B120" s="359"/>
      <c r="C120" s="902"/>
      <c r="D120" s="86"/>
      <c r="E120" s="349"/>
      <c r="F120" s="2452"/>
      <c r="G120" s="2453"/>
      <c r="H120" s="2198"/>
      <c r="I120" s="84"/>
    </row>
    <row r="121" spans="1:16" s="31" customFormat="1" ht="90.6" hidden="1" customHeight="1" x14ac:dyDescent="0.25">
      <c r="A121" s="1977">
        <f>A118+0.01</f>
        <v>5.0399999999999991</v>
      </c>
      <c r="B121" s="359" t="s">
        <v>2531</v>
      </c>
      <c r="C121" s="902" t="s">
        <v>557</v>
      </c>
      <c r="D121" s="86">
        <v>1</v>
      </c>
      <c r="E121" s="349" t="s">
        <v>13</v>
      </c>
      <c r="F121" s="2452"/>
      <c r="G121" s="2453"/>
      <c r="H121" s="2198"/>
      <c r="I121" s="84"/>
    </row>
    <row r="122" spans="1:16" s="31" customFormat="1" hidden="1" x14ac:dyDescent="0.25">
      <c r="A122" s="1977"/>
      <c r="B122" s="359"/>
      <c r="C122" s="902"/>
      <c r="D122" s="86"/>
      <c r="E122" s="349"/>
      <c r="F122" s="2452"/>
      <c r="G122" s="2453"/>
      <c r="H122" s="2198"/>
      <c r="I122" s="84"/>
    </row>
    <row r="123" spans="1:16" s="31" customFormat="1" hidden="1" x14ac:dyDescent="0.25">
      <c r="A123" s="1976">
        <v>6</v>
      </c>
      <c r="B123" s="355" t="s">
        <v>1020</v>
      </c>
      <c r="C123" s="895"/>
      <c r="D123" s="86"/>
      <c r="E123" s="349"/>
      <c r="F123" s="2452"/>
      <c r="G123" s="2453"/>
      <c r="H123" s="2198"/>
      <c r="I123" s="84"/>
    </row>
    <row r="124" spans="1:16" s="31" customFormat="1" hidden="1" x14ac:dyDescent="0.25">
      <c r="A124" s="1977"/>
      <c r="B124" s="406"/>
      <c r="C124" s="901"/>
      <c r="D124" s="86"/>
      <c r="E124" s="349"/>
      <c r="F124" s="2452"/>
      <c r="G124" s="2453"/>
      <c r="H124" s="2198"/>
      <c r="I124" s="84"/>
    </row>
    <row r="125" spans="1:16" s="31" customFormat="1" ht="75.599999999999994" hidden="1" customHeight="1" x14ac:dyDescent="0.25">
      <c r="A125" s="1977">
        <f>A123+0.01</f>
        <v>6.01</v>
      </c>
      <c r="B125" s="359" t="s">
        <v>2389</v>
      </c>
      <c r="C125" s="902" t="s">
        <v>557</v>
      </c>
      <c r="D125" s="86">
        <v>1</v>
      </c>
      <c r="E125" s="349" t="s">
        <v>13</v>
      </c>
      <c r="F125" s="2452"/>
      <c r="G125" s="2453"/>
      <c r="H125" s="2198"/>
      <c r="I125" s="84"/>
      <c r="O125" s="31" t="e">
        <f>#REF!*10.76</f>
        <v>#REF!</v>
      </c>
      <c r="P125" s="31" t="e">
        <f>O125*250</f>
        <v>#REF!</v>
      </c>
    </row>
    <row r="126" spans="1:16" s="31" customFormat="1" x14ac:dyDescent="0.25">
      <c r="A126" s="1977"/>
      <c r="B126" s="406"/>
      <c r="C126" s="901"/>
      <c r="D126" s="86"/>
      <c r="E126" s="349"/>
      <c r="F126" s="2452"/>
      <c r="G126" s="2453"/>
      <c r="H126" s="2198"/>
      <c r="I126" s="84"/>
    </row>
    <row r="127" spans="1:16" s="31" customFormat="1" x14ac:dyDescent="0.25">
      <c r="A127" s="1976">
        <v>6</v>
      </c>
      <c r="B127" s="355" t="s">
        <v>1021</v>
      </c>
      <c r="C127" s="895"/>
      <c r="D127" s="86"/>
      <c r="E127" s="349"/>
      <c r="F127" s="2452"/>
      <c r="G127" s="2453"/>
      <c r="H127" s="2198"/>
      <c r="I127" s="84"/>
    </row>
    <row r="128" spans="1:16" s="31" customFormat="1" x14ac:dyDescent="0.25">
      <c r="A128" s="1977"/>
      <c r="B128" s="406"/>
      <c r="C128" s="901"/>
      <c r="D128" s="86"/>
      <c r="E128" s="349"/>
      <c r="F128" s="2452"/>
      <c r="G128" s="2453"/>
      <c r="H128" s="2198"/>
      <c r="I128" s="84"/>
    </row>
    <row r="129" spans="1:9" s="31" customFormat="1" ht="69" x14ac:dyDescent="0.25">
      <c r="A129" s="1977">
        <f>A127+0.01</f>
        <v>6.01</v>
      </c>
      <c r="B129" s="359" t="s">
        <v>1022</v>
      </c>
      <c r="C129" s="902" t="s">
        <v>557</v>
      </c>
      <c r="D129" s="86">
        <v>1</v>
      </c>
      <c r="E129" s="349" t="s">
        <v>13</v>
      </c>
      <c r="F129" s="2452"/>
      <c r="G129" s="2453"/>
      <c r="H129" s="2198"/>
      <c r="I129" s="2443" t="s">
        <v>3718</v>
      </c>
    </row>
    <row r="130" spans="1:9" s="31" customFormat="1" x14ac:dyDescent="0.25">
      <c r="A130" s="1977"/>
      <c r="B130" s="406"/>
      <c r="C130" s="901"/>
      <c r="D130" s="86"/>
      <c r="E130" s="349"/>
      <c r="F130" s="2452"/>
      <c r="G130" s="2453"/>
      <c r="H130" s="2198"/>
      <c r="I130" s="84"/>
    </row>
    <row r="131" spans="1:9" s="31" customFormat="1" ht="59.4" customHeight="1" thickBot="1" x14ac:dyDescent="0.3">
      <c r="A131" s="2712">
        <f>A129+0.01</f>
        <v>6.02</v>
      </c>
      <c r="B131" s="2730" t="s">
        <v>1023</v>
      </c>
      <c r="C131" s="2731" t="s">
        <v>557</v>
      </c>
      <c r="D131" s="2715">
        <v>1</v>
      </c>
      <c r="E131" s="2716" t="s">
        <v>13</v>
      </c>
      <c r="F131" s="2717"/>
      <c r="G131" s="2718"/>
      <c r="H131" s="2719"/>
      <c r="I131" s="2754" t="s">
        <v>3718</v>
      </c>
    </row>
    <row r="132" spans="1:9" s="31" customFormat="1" ht="14.4" thickTop="1" x14ac:dyDescent="0.25">
      <c r="A132" s="2755"/>
      <c r="B132" s="2756"/>
      <c r="C132" s="2757"/>
      <c r="D132" s="2747"/>
      <c r="E132" s="2748"/>
      <c r="F132" s="2749"/>
      <c r="G132" s="2750"/>
      <c r="H132" s="2751"/>
      <c r="I132" s="2752"/>
    </row>
    <row r="133" spans="1:9" s="31" customFormat="1" ht="96.6" x14ac:dyDescent="0.25">
      <c r="A133" s="1977">
        <f>A131+0.01</f>
        <v>6.0299999999999994</v>
      </c>
      <c r="B133" s="359" t="s">
        <v>2435</v>
      </c>
      <c r="C133" s="902" t="s">
        <v>558</v>
      </c>
      <c r="D133" s="86">
        <v>1</v>
      </c>
      <c r="E133" s="349" t="s">
        <v>13</v>
      </c>
      <c r="F133" s="2452"/>
      <c r="G133" s="2453"/>
      <c r="H133" s="2198"/>
      <c r="I133" s="2443" t="s">
        <v>3718</v>
      </c>
    </row>
    <row r="134" spans="1:9" s="31" customFormat="1" ht="14.4" thickBot="1" x14ac:dyDescent="0.3">
      <c r="A134" s="1977"/>
      <c r="B134" s="358"/>
      <c r="C134" s="902"/>
      <c r="D134" s="86"/>
      <c r="E134" s="349"/>
      <c r="F134" s="2452"/>
      <c r="G134" s="2453"/>
      <c r="H134" s="2198"/>
      <c r="I134" s="84"/>
    </row>
    <row r="135" spans="1:9" s="31" customFormat="1" ht="28.2" thickBot="1" x14ac:dyDescent="0.3">
      <c r="A135" s="2549"/>
      <c r="B135" s="2550" t="s">
        <v>924</v>
      </c>
      <c r="C135" s="2551"/>
      <c r="D135" s="2552"/>
      <c r="E135" s="2553"/>
      <c r="F135" s="2491"/>
      <c r="G135" s="2492"/>
      <c r="H135" s="2238"/>
      <c r="I135" s="2554">
        <f>SUM(I26:I134)</f>
        <v>318750</v>
      </c>
    </row>
    <row r="136" spans="1:9" x14ac:dyDescent="0.25">
      <c r="B136" s="162"/>
      <c r="C136" s="164"/>
      <c r="D136" s="163"/>
      <c r="E136" s="164"/>
      <c r="F136" s="2460"/>
      <c r="G136" s="2460"/>
      <c r="H136" s="216"/>
      <c r="I136" s="164"/>
    </row>
  </sheetData>
  <pageMargins left="0.59055118110236227" right="0.35433070866141736" top="0.43307086614173229" bottom="0.23622047244094491" header="0.35433070866141736" footer="0.19685039370078741"/>
  <pageSetup scale="95" orientation="portrait" r:id="rId1"/>
  <headerFooter alignWithMargins="0">
    <oddFooter>&amp;C&amp;P</oddFooter>
  </headerFooter>
  <rowBreaks count="3" manualBreakCount="3">
    <brk id="43" max="8" man="1"/>
    <brk id="84" max="8" man="1"/>
    <brk id="131" max="8" man="1"/>
  </rowBreaks>
  <colBreaks count="1" manualBreakCount="1">
    <brk id="9"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E45"/>
  <sheetViews>
    <sheetView view="pageBreakPreview" topLeftCell="A7" zoomScaleNormal="85" zoomScaleSheetLayoutView="100" workbookViewId="0">
      <selection activeCell="B15" sqref="B15"/>
    </sheetView>
  </sheetViews>
  <sheetFormatPr defaultColWidth="9.21875" defaultRowHeight="15.6" x14ac:dyDescent="0.25"/>
  <cols>
    <col min="1" max="1" width="8.21875" style="335" customWidth="1"/>
    <col min="2" max="2" width="61.21875" style="336" customWidth="1"/>
    <col min="3" max="3" width="19.44140625" style="337" customWidth="1"/>
    <col min="4" max="4" width="12.33203125" style="316" bestFit="1" customWidth="1"/>
    <col min="5" max="5" width="13.88671875" style="316" bestFit="1" customWidth="1"/>
    <col min="6" max="6" width="10" style="316" bestFit="1" customWidth="1"/>
    <col min="7" max="7" width="13.88671875" style="316" bestFit="1" customWidth="1"/>
    <col min="8" max="9" width="15" style="316" bestFit="1" customWidth="1"/>
    <col min="10" max="10" width="13.88671875" style="316" bestFit="1" customWidth="1"/>
    <col min="11" max="16384" width="9.21875" style="316"/>
  </cols>
  <sheetData>
    <row r="1" spans="1:4" x14ac:dyDescent="0.25">
      <c r="A1" s="338"/>
      <c r="B1" s="339"/>
      <c r="C1" s="1173"/>
    </row>
    <row r="2" spans="1:4" x14ac:dyDescent="0.3">
      <c r="A2" s="2874" t="s">
        <v>80</v>
      </c>
      <c r="B2" s="2875"/>
      <c r="C2" s="2876"/>
    </row>
    <row r="3" spans="1:4" ht="16.2" thickBot="1" x14ac:dyDescent="0.35">
      <c r="A3" s="346"/>
      <c r="B3" s="347"/>
      <c r="C3" s="1176"/>
    </row>
    <row r="4" spans="1:4" ht="16.2" thickBot="1" x14ac:dyDescent="0.35">
      <c r="A4" s="344" t="s">
        <v>0</v>
      </c>
      <c r="B4" s="345" t="s">
        <v>1</v>
      </c>
      <c r="C4" s="2544" t="s">
        <v>5</v>
      </c>
    </row>
    <row r="5" spans="1:4" x14ac:dyDescent="0.3">
      <c r="A5" s="340"/>
      <c r="B5" s="341"/>
      <c r="C5" s="1177"/>
    </row>
    <row r="6" spans="1:4" x14ac:dyDescent="0.3">
      <c r="A6" s="1171"/>
      <c r="B6" s="1172"/>
      <c r="C6" s="319"/>
    </row>
    <row r="7" spans="1:4" ht="18" customHeight="1" x14ac:dyDescent="0.3">
      <c r="A7" s="317" t="s">
        <v>127</v>
      </c>
      <c r="B7" s="318" t="str">
        <f>exca!B2</f>
        <v>B - EXCAVATION &amp; EARTH WORK</v>
      </c>
      <c r="C7" s="319">
        <f>+exca!H57</f>
        <v>733800</v>
      </c>
      <c r="D7" s="316">
        <v>0.75</v>
      </c>
    </row>
    <row r="8" spans="1:4" ht="18" customHeight="1" x14ac:dyDescent="0.3">
      <c r="A8" s="320" t="s">
        <v>558</v>
      </c>
      <c r="B8" s="323" t="str">
        <f>masnry!B2</f>
        <v>F - MASONRY WORKS</v>
      </c>
      <c r="C8" s="319">
        <f>+masnry!H44</f>
        <v>5928300</v>
      </c>
      <c r="D8" s="316">
        <v>0.75</v>
      </c>
    </row>
    <row r="9" spans="1:4" ht="18" customHeight="1" x14ac:dyDescent="0.3">
      <c r="A9" s="320" t="s">
        <v>559</v>
      </c>
      <c r="B9" s="323" t="str">
        <f>flooring!B2</f>
        <v>J - FLOORING WORK</v>
      </c>
      <c r="C9" s="319">
        <f>+flooring!H11</f>
        <v>201660</v>
      </c>
      <c r="D9" s="316">
        <v>0.75</v>
      </c>
    </row>
    <row r="10" spans="1:4" ht="18" customHeight="1" x14ac:dyDescent="0.3">
      <c r="A10" s="320" t="s">
        <v>560</v>
      </c>
      <c r="B10" s="323" t="str">
        <f>waterprof!B2</f>
        <v>E - WATER PROOFING WORK</v>
      </c>
      <c r="C10" s="319">
        <f>+waterprof!H50</f>
        <v>947610</v>
      </c>
      <c r="D10" s="316">
        <v>0.8</v>
      </c>
    </row>
    <row r="11" spans="1:4" ht="18" customHeight="1" x14ac:dyDescent="0.3">
      <c r="A11" s="320" t="s">
        <v>561</v>
      </c>
      <c r="B11" s="323" t="str">
        <f>plastering!B2</f>
        <v>K  -  PLASTERING WORK</v>
      </c>
      <c r="C11" s="319">
        <f>+plastering!H62</f>
        <v>4495240</v>
      </c>
      <c r="D11" s="316">
        <v>0.75</v>
      </c>
    </row>
    <row r="12" spans="1:4" ht="18" customHeight="1" x14ac:dyDescent="0.3">
      <c r="A12" s="320" t="s">
        <v>562</v>
      </c>
      <c r="B12" s="323" t="str">
        <f>tile!B2</f>
        <v>L -  TILING WORK</v>
      </c>
      <c r="C12" s="319">
        <f>+tile!H278</f>
        <v>8817580</v>
      </c>
      <c r="D12" s="316">
        <v>0.85</v>
      </c>
    </row>
    <row r="13" spans="1:4" x14ac:dyDescent="0.3">
      <c r="A13" s="320" t="s">
        <v>563</v>
      </c>
      <c r="B13" s="323" t="str">
        <f>paint!B2</f>
        <v>M  -  COLOUR WASHING, PAINTING &amp; POLISHING</v>
      </c>
      <c r="C13" s="319">
        <f>+paint!H25</f>
        <v>2418543.25</v>
      </c>
      <c r="D13" s="316">
        <v>0.75</v>
      </c>
    </row>
    <row r="14" spans="1:4" x14ac:dyDescent="0.3">
      <c r="A14" s="320" t="s">
        <v>565</v>
      </c>
      <c r="B14" s="323" t="str">
        <f>plumbing!B2</f>
        <v>S  -  PLUMBING AND DRAINAGE WORK</v>
      </c>
      <c r="C14" s="319">
        <f>+plumbing!H235</f>
        <v>2545670</v>
      </c>
      <c r="D14" s="316">
        <v>0.85</v>
      </c>
    </row>
    <row r="15" spans="1:4" ht="18" customHeight="1" x14ac:dyDescent="0.3">
      <c r="A15" s="320" t="s">
        <v>566</v>
      </c>
      <c r="B15" s="323" t="str">
        <f>electicle!B2</f>
        <v>V - ELECTRICAL INSTALLATION.</v>
      </c>
      <c r="C15" s="319">
        <f>+'electicle '!H302</f>
        <v>6307830</v>
      </c>
      <c r="D15" s="316">
        <v>0.8</v>
      </c>
    </row>
    <row r="16" spans="1:4" x14ac:dyDescent="0.3">
      <c r="A16" s="320" t="s">
        <v>567</v>
      </c>
      <c r="B16" s="323" t="str">
        <f>metal!B2</f>
        <v>W - METAL WORK</v>
      </c>
      <c r="C16" s="319">
        <f>+metal!H160</f>
        <v>10787630</v>
      </c>
      <c r="D16" s="316">
        <v>0.9</v>
      </c>
    </row>
    <row r="17" spans="1:4" x14ac:dyDescent="0.3">
      <c r="A17" s="320" t="s">
        <v>568</v>
      </c>
      <c r="B17" s="323" t="str">
        <f>roof!B2</f>
        <v>Q  -  ROOFING AND CEILING</v>
      </c>
      <c r="C17" s="319">
        <f>+roof!H4</f>
        <v>3966280</v>
      </c>
      <c r="D17" s="316">
        <v>0.85</v>
      </c>
    </row>
    <row r="18" spans="1:4" ht="16.2" thickBot="1" x14ac:dyDescent="0.35">
      <c r="A18" s="320"/>
      <c r="B18" s="323"/>
      <c r="C18" s="319"/>
    </row>
    <row r="19" spans="1:4" ht="16.2" thickBot="1" x14ac:dyDescent="0.3">
      <c r="A19" s="342"/>
      <c r="B19" s="343" t="s">
        <v>45</v>
      </c>
      <c r="C19" s="1174">
        <f>SUM(C6:C17)</f>
        <v>47150143.25</v>
      </c>
    </row>
    <row r="20" spans="1:4" x14ac:dyDescent="0.3">
      <c r="A20" s="333"/>
      <c r="B20" s="334"/>
      <c r="C20" s="1175"/>
    </row>
    <row r="21" spans="1:4" x14ac:dyDescent="0.3">
      <c r="A21" s="333"/>
      <c r="B21" s="334"/>
      <c r="C21" s="1175"/>
    </row>
    <row r="22" spans="1:4" x14ac:dyDescent="0.3">
      <c r="A22" s="333"/>
      <c r="B22" s="334"/>
      <c r="C22" s="1175"/>
    </row>
    <row r="23" spans="1:4" x14ac:dyDescent="0.3">
      <c r="A23" s="333"/>
      <c r="B23" s="334"/>
      <c r="C23" s="1175"/>
    </row>
    <row r="24" spans="1:4" x14ac:dyDescent="0.3">
      <c r="A24" s="333"/>
      <c r="B24" s="334"/>
      <c r="C24" s="1175"/>
    </row>
    <row r="25" spans="1:4" x14ac:dyDescent="0.3">
      <c r="A25" s="333"/>
      <c r="B25" s="334"/>
      <c r="C25" s="1175"/>
    </row>
    <row r="26" spans="1:4" x14ac:dyDescent="0.3">
      <c r="A26" s="333"/>
      <c r="B26" s="334"/>
      <c r="C26" s="1175"/>
    </row>
    <row r="27" spans="1:4" x14ac:dyDescent="0.3">
      <c r="A27" s="333"/>
      <c r="B27" s="334"/>
      <c r="C27" s="1175"/>
    </row>
    <row r="28" spans="1:4" x14ac:dyDescent="0.3">
      <c r="A28" s="333"/>
      <c r="B28" s="334"/>
      <c r="C28" s="1175"/>
    </row>
    <row r="29" spans="1:4" x14ac:dyDescent="0.3">
      <c r="A29" s="333"/>
      <c r="B29" s="334"/>
      <c r="C29" s="1175"/>
    </row>
    <row r="30" spans="1:4" x14ac:dyDescent="0.3">
      <c r="A30" s="333"/>
      <c r="B30" s="334"/>
      <c r="C30" s="1175"/>
    </row>
    <row r="31" spans="1:4" x14ac:dyDescent="0.3">
      <c r="A31" s="333"/>
      <c r="B31" s="334"/>
      <c r="C31" s="1175"/>
    </row>
    <row r="32" spans="1:4" x14ac:dyDescent="0.3">
      <c r="A32" s="333"/>
      <c r="B32" s="334"/>
      <c r="C32" s="1175"/>
    </row>
    <row r="36" spans="2:5" x14ac:dyDescent="0.25">
      <c r="B36" s="336" t="s">
        <v>1959</v>
      </c>
      <c r="C36" s="337">
        <v>690</v>
      </c>
      <c r="E36" s="316" t="e">
        <f>C6+C7+#REF!+C8+C9+C10+C11+C12+C13+#REF!+C14+C15+C16+#REF!+#REF!</f>
        <v>#REF!</v>
      </c>
    </row>
    <row r="37" spans="2:5" x14ac:dyDescent="0.25">
      <c r="B37" s="336" t="s">
        <v>1960</v>
      </c>
      <c r="C37" s="337">
        <v>1360</v>
      </c>
    </row>
    <row r="38" spans="2:5" x14ac:dyDescent="0.25">
      <c r="B38" s="336" t="s">
        <v>1961</v>
      </c>
      <c r="C38" s="337">
        <v>1360</v>
      </c>
    </row>
    <row r="39" spans="2:5" x14ac:dyDescent="0.25">
      <c r="B39" s="336" t="s">
        <v>1962</v>
      </c>
      <c r="C39" s="337">
        <v>650</v>
      </c>
    </row>
    <row r="42" spans="2:5" x14ac:dyDescent="0.25">
      <c r="C42" s="337">
        <f>SUM(C36:C41)</f>
        <v>4060</v>
      </c>
    </row>
    <row r="45" spans="2:5" x14ac:dyDescent="0.25">
      <c r="C45" s="337">
        <f>C19/C42</f>
        <v>11613.33577586207</v>
      </c>
    </row>
  </sheetData>
  <mergeCells count="1">
    <mergeCell ref="A2:C2"/>
  </mergeCells>
  <pageMargins left="0.59055118110236227" right="0.39370078740157483" top="1.0629921259842521" bottom="0.23622047244094491" header="0.51181102362204722" footer="0.51181102362204722"/>
  <pageSetup scale="110" orientation="portrait" r:id="rId1"/>
  <headerFooter alignWithMargins="0">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K95"/>
  <sheetViews>
    <sheetView tabSelected="1" view="pageBreakPreview" zoomScaleNormal="85" zoomScaleSheetLayoutView="100" workbookViewId="0">
      <pane ySplit="1" topLeftCell="A5" activePane="bottomLeft" state="frozen"/>
      <selection activeCell="L47" sqref="L47"/>
      <selection pane="bottomLeft" activeCell="K47" sqref="K47"/>
    </sheetView>
  </sheetViews>
  <sheetFormatPr defaultColWidth="9.21875" defaultRowHeight="13.8" x14ac:dyDescent="0.25"/>
  <cols>
    <col min="1" max="1" width="4.88671875" style="38" bestFit="1" customWidth="1"/>
    <col min="2" max="2" width="53.77734375" style="36" bestFit="1" customWidth="1"/>
    <col min="3" max="3" width="9.109375" style="39" bestFit="1" customWidth="1"/>
    <col min="4" max="4" width="5.77734375" style="38" bestFit="1" customWidth="1"/>
    <col min="5" max="5" width="11.5546875" style="2461" customWidth="1"/>
    <col min="6" max="6" width="11.44140625" style="2461" customWidth="1"/>
    <col min="7" max="7" width="11.44140625" style="202" customWidth="1"/>
    <col min="8" max="8" width="12.5546875" style="39" bestFit="1" customWidth="1"/>
    <col min="9" max="9" width="9.44140625" style="39" customWidth="1"/>
    <col min="10" max="10" width="9.21875" style="24"/>
    <col min="11" max="11" width="12.44140625" style="24" bestFit="1" customWidth="1"/>
    <col min="12" max="12" width="10" style="24" bestFit="1" customWidth="1"/>
    <col min="13" max="13" width="11" style="24" bestFit="1" customWidth="1"/>
    <col min="14" max="15" width="12.88671875" style="24" bestFit="1" customWidth="1"/>
    <col min="16" max="16" width="10.33203125" style="24" bestFit="1" customWidth="1"/>
    <col min="17" max="16384" width="9.21875" style="24"/>
  </cols>
  <sheetData>
    <row r="1" spans="1:10" s="31" customFormat="1" ht="14.4" thickBot="1" x14ac:dyDescent="0.3">
      <c r="A1" s="45" t="s">
        <v>0</v>
      </c>
      <c r="B1" s="47" t="s">
        <v>1</v>
      </c>
      <c r="C1" s="47" t="s">
        <v>2</v>
      </c>
      <c r="D1" s="1981" t="s">
        <v>3</v>
      </c>
      <c r="E1" s="2508" t="s">
        <v>3565</v>
      </c>
      <c r="F1" s="2509" t="s">
        <v>3566</v>
      </c>
      <c r="G1" s="2195" t="s">
        <v>4</v>
      </c>
      <c r="H1" s="49" t="s">
        <v>5</v>
      </c>
      <c r="I1" s="305">
        <f>+summary!D7</f>
        <v>0.75</v>
      </c>
    </row>
    <row r="2" spans="1:10" s="12" customFormat="1" ht="28.05" customHeight="1" x14ac:dyDescent="0.25">
      <c r="A2" s="1900"/>
      <c r="B2" s="361" t="s">
        <v>136</v>
      </c>
      <c r="C2" s="362"/>
      <c r="D2" s="251"/>
      <c r="E2" s="2496"/>
      <c r="F2" s="2497"/>
      <c r="G2" s="2201"/>
      <c r="H2" s="1901"/>
      <c r="I2" s="306"/>
    </row>
    <row r="3" spans="1:10" s="12" customFormat="1" ht="15.6" x14ac:dyDescent="0.25">
      <c r="A3" s="1900"/>
      <c r="B3" s="361" t="s">
        <v>869</v>
      </c>
      <c r="C3" s="362"/>
      <c r="D3" s="251"/>
      <c r="E3" s="2496"/>
      <c r="F3" s="2497"/>
      <c r="G3" s="2201"/>
      <c r="H3" s="1901"/>
      <c r="I3" s="306"/>
    </row>
    <row r="4" spans="1:10" s="12" customFormat="1" ht="20.100000000000001" customHeight="1" x14ac:dyDescent="0.25">
      <c r="A4" s="1900"/>
      <c r="B4" s="364" t="s">
        <v>236</v>
      </c>
      <c r="C4" s="365"/>
      <c r="D4" s="251"/>
      <c r="E4" s="2496"/>
      <c r="F4" s="2497"/>
      <c r="G4" s="2201"/>
      <c r="H4" s="1901"/>
      <c r="I4" s="306"/>
    </row>
    <row r="5" spans="1:10" s="12" customFormat="1" x14ac:dyDescent="0.25">
      <c r="A5" s="1900"/>
      <c r="B5" s="366" t="s">
        <v>865</v>
      </c>
      <c r="C5" s="365"/>
      <c r="D5" s="251"/>
      <c r="E5" s="2496"/>
      <c r="F5" s="2497"/>
      <c r="G5" s="2201"/>
      <c r="H5" s="1901"/>
      <c r="I5" s="306"/>
    </row>
    <row r="6" spans="1:10" s="12" customFormat="1" x14ac:dyDescent="0.25">
      <c r="A6" s="1900"/>
      <c r="B6" s="366" t="s">
        <v>866</v>
      </c>
      <c r="C6" s="365"/>
      <c r="D6" s="251"/>
      <c r="E6" s="2496"/>
      <c r="F6" s="2497"/>
      <c r="G6" s="2201"/>
      <c r="H6" s="1901"/>
      <c r="I6" s="306"/>
    </row>
    <row r="7" spans="1:10" s="12" customFormat="1" x14ac:dyDescent="0.25">
      <c r="A7" s="1900"/>
      <c r="B7" s="366" t="s">
        <v>867</v>
      </c>
      <c r="C7" s="365"/>
      <c r="D7" s="251"/>
      <c r="E7" s="2496"/>
      <c r="F7" s="2497"/>
      <c r="G7" s="2201"/>
      <c r="H7" s="1901"/>
      <c r="I7" s="306"/>
    </row>
    <row r="8" spans="1:10" s="12" customFormat="1" x14ac:dyDescent="0.25">
      <c r="A8" s="1900"/>
      <c r="B8" s="366" t="s">
        <v>868</v>
      </c>
      <c r="C8" s="365"/>
      <c r="D8" s="251"/>
      <c r="E8" s="2496"/>
      <c r="F8" s="2497"/>
      <c r="G8" s="2201"/>
      <c r="H8" s="1901"/>
      <c r="I8" s="306"/>
    </row>
    <row r="9" spans="1:10" s="12" customFormat="1" x14ac:dyDescent="0.25">
      <c r="A9" s="1900"/>
      <c r="B9" s="366"/>
      <c r="C9" s="365"/>
      <c r="D9" s="251"/>
      <c r="E9" s="2496"/>
      <c r="F9" s="2497"/>
      <c r="G9" s="2201"/>
      <c r="H9" s="1901"/>
      <c r="I9" s="306"/>
    </row>
    <row r="10" spans="1:10" s="12" customFormat="1" ht="27.6" x14ac:dyDescent="0.25">
      <c r="A10" s="1900" t="s">
        <v>138</v>
      </c>
      <c r="B10" s="373" t="s">
        <v>2548</v>
      </c>
      <c r="C10" s="374">
        <v>300</v>
      </c>
      <c r="D10" s="2242" t="s">
        <v>2423</v>
      </c>
      <c r="E10" s="2468">
        <v>1000</v>
      </c>
      <c r="F10" s="2468">
        <f>+I1</f>
        <v>0.75</v>
      </c>
      <c r="G10" s="374">
        <f>ROUNDUP(E10/F10,-1)</f>
        <v>1340</v>
      </c>
      <c r="H10" s="2529">
        <f>C10*G10</f>
        <v>402000</v>
      </c>
      <c r="I10" s="2233"/>
      <c r="J10" s="12">
        <f>+C10*10.76</f>
        <v>3228</v>
      </c>
    </row>
    <row r="11" spans="1:10" x14ac:dyDescent="0.25">
      <c r="A11" s="1902"/>
      <c r="B11" s="368"/>
      <c r="C11" s="369"/>
      <c r="D11" s="251"/>
      <c r="E11" s="2496"/>
      <c r="F11" s="2497"/>
      <c r="G11" s="2201"/>
      <c r="H11" s="1901"/>
      <c r="I11" s="306"/>
    </row>
    <row r="12" spans="1:10" ht="41.4" x14ac:dyDescent="0.25">
      <c r="A12" s="1902" t="s">
        <v>405</v>
      </c>
      <c r="B12" s="368" t="s">
        <v>2431</v>
      </c>
      <c r="C12" s="374">
        <v>300</v>
      </c>
      <c r="D12" s="2242" t="s">
        <v>2423</v>
      </c>
      <c r="E12" s="2468">
        <f>+[21]RBD!$F$95</f>
        <v>278</v>
      </c>
      <c r="F12" s="2468">
        <f>+$I$1</f>
        <v>0.75</v>
      </c>
      <c r="G12" s="374">
        <f>ROUNDUP(E12/F12,-1)</f>
        <v>380</v>
      </c>
      <c r="H12" s="2529">
        <f>C12*G12</f>
        <v>114000</v>
      </c>
      <c r="I12" s="306"/>
    </row>
    <row r="13" spans="1:10" x14ac:dyDescent="0.25">
      <c r="A13" s="1902"/>
      <c r="B13" s="368"/>
      <c r="C13" s="374"/>
      <c r="D13" s="2242"/>
      <c r="E13" s="2496"/>
      <c r="F13" s="2497"/>
      <c r="G13" s="2201"/>
      <c r="H13" s="1901"/>
      <c r="I13" s="306"/>
    </row>
    <row r="14" spans="1:10" hidden="1" x14ac:dyDescent="0.25">
      <c r="A14" s="1902"/>
      <c r="B14" s="364" t="s">
        <v>870</v>
      </c>
      <c r="C14" s="374"/>
      <c r="D14" s="2242"/>
      <c r="E14" s="2496"/>
      <c r="F14" s="2497"/>
      <c r="G14" s="2201"/>
      <c r="H14" s="1901"/>
      <c r="I14" s="306"/>
    </row>
    <row r="15" spans="1:10" hidden="1" x14ac:dyDescent="0.25">
      <c r="A15" s="1902"/>
      <c r="B15" s="370"/>
      <c r="C15" s="374"/>
      <c r="D15" s="2242"/>
      <c r="E15" s="2496"/>
      <c r="F15" s="2497"/>
      <c r="G15" s="2201"/>
      <c r="H15" s="1901"/>
      <c r="I15" s="306"/>
    </row>
    <row r="16" spans="1:10" hidden="1" x14ac:dyDescent="0.25">
      <c r="A16" s="1902"/>
      <c r="B16" s="364" t="s">
        <v>175</v>
      </c>
      <c r="C16" s="374"/>
      <c r="D16" s="2242"/>
      <c r="E16" s="2496"/>
      <c r="F16" s="2497"/>
      <c r="G16" s="2201"/>
      <c r="H16" s="1901"/>
      <c r="I16" s="306"/>
    </row>
    <row r="17" spans="1:9" ht="26.4" hidden="1" x14ac:dyDescent="0.25">
      <c r="A17" s="1902"/>
      <c r="B17" s="364" t="s">
        <v>872</v>
      </c>
      <c r="C17" s="374"/>
      <c r="D17" s="2242"/>
      <c r="E17" s="2496"/>
      <c r="F17" s="2497"/>
      <c r="G17" s="2201"/>
      <c r="H17" s="1901"/>
      <c r="I17" s="306"/>
    </row>
    <row r="18" spans="1:9" hidden="1" x14ac:dyDescent="0.25">
      <c r="A18" s="1902"/>
      <c r="B18" s="364"/>
      <c r="C18" s="374"/>
      <c r="D18" s="2242"/>
      <c r="E18" s="2496"/>
      <c r="F18" s="2497"/>
      <c r="G18" s="2201"/>
      <c r="H18" s="1901"/>
      <c r="I18" s="306"/>
    </row>
    <row r="19" spans="1:9" s="12" customFormat="1" ht="26.4" hidden="1" x14ac:dyDescent="0.25">
      <c r="A19" s="1900"/>
      <c r="B19" s="371" t="s">
        <v>871</v>
      </c>
      <c r="C19" s="372"/>
      <c r="D19" s="2242"/>
      <c r="E19" s="2496"/>
      <c r="F19" s="2497"/>
      <c r="G19" s="2201"/>
      <c r="H19" s="1901"/>
      <c r="I19" s="306"/>
    </row>
    <row r="20" spans="1:9" s="12" customFormat="1" hidden="1" x14ac:dyDescent="0.25">
      <c r="A20" s="1900"/>
      <c r="B20" s="371"/>
      <c r="C20" s="372"/>
      <c r="D20" s="2242"/>
      <c r="E20" s="2496"/>
      <c r="F20" s="2497"/>
      <c r="G20" s="2201"/>
      <c r="H20" s="1901"/>
      <c r="I20" s="306"/>
    </row>
    <row r="21" spans="1:9" s="12" customFormat="1" ht="26.4" hidden="1" x14ac:dyDescent="0.25">
      <c r="A21" s="1900"/>
      <c r="B21" s="371" t="s">
        <v>873</v>
      </c>
      <c r="C21" s="372"/>
      <c r="D21" s="2242"/>
      <c r="E21" s="2496"/>
      <c r="F21" s="2497"/>
      <c r="G21" s="2201"/>
      <c r="H21" s="1901"/>
      <c r="I21" s="306"/>
    </row>
    <row r="22" spans="1:9" ht="55.2" hidden="1" x14ac:dyDescent="0.25">
      <c r="A22" s="2003" t="s">
        <v>406</v>
      </c>
      <c r="B22" s="2008" t="s">
        <v>2615</v>
      </c>
      <c r="C22" s="2031"/>
      <c r="D22" s="1184" t="s">
        <v>2508</v>
      </c>
      <c r="E22" s="2496"/>
      <c r="F22" s="2497"/>
      <c r="G22" s="2202"/>
      <c r="H22" s="2007"/>
      <c r="I22" s="306"/>
    </row>
    <row r="23" spans="1:9" s="12" customFormat="1" hidden="1" x14ac:dyDescent="0.25">
      <c r="A23" s="1900"/>
      <c r="B23" s="373"/>
      <c r="C23" s="374"/>
      <c r="D23" s="2242"/>
      <c r="E23" s="2496"/>
      <c r="F23" s="2497"/>
      <c r="G23" s="2201"/>
      <c r="H23" s="1901"/>
      <c r="I23" s="306"/>
    </row>
    <row r="24" spans="1:9" s="1188" customFormat="1" hidden="1" x14ac:dyDescent="0.25">
      <c r="A24" s="1928"/>
      <c r="B24" s="2030" t="s">
        <v>1058</v>
      </c>
      <c r="C24" s="2031"/>
      <c r="D24" s="1184"/>
      <c r="E24" s="2496"/>
      <c r="F24" s="2497"/>
      <c r="G24" s="2202"/>
      <c r="H24" s="2007"/>
      <c r="I24" s="2032"/>
    </row>
    <row r="25" spans="1:9" s="1188" customFormat="1" ht="27.6" hidden="1" x14ac:dyDescent="0.25">
      <c r="A25" s="1928" t="s">
        <v>140</v>
      </c>
      <c r="B25" s="2033" t="s">
        <v>2616</v>
      </c>
      <c r="C25" s="2031"/>
      <c r="D25" s="1184" t="s">
        <v>2423</v>
      </c>
      <c r="E25" s="2496"/>
      <c r="F25" s="2497"/>
      <c r="G25" s="2202"/>
      <c r="H25" s="2007"/>
      <c r="I25" s="2032"/>
    </row>
    <row r="26" spans="1:9" s="1188" customFormat="1" hidden="1" x14ac:dyDescent="0.25">
      <c r="A26" s="1928"/>
      <c r="B26" s="2033"/>
      <c r="C26" s="2031"/>
      <c r="D26" s="1184"/>
      <c r="E26" s="2496"/>
      <c r="F26" s="2497"/>
      <c r="G26" s="2202"/>
      <c r="H26" s="2007"/>
      <c r="I26" s="2032"/>
    </row>
    <row r="27" spans="1:9" s="12" customFormat="1" hidden="1" x14ac:dyDescent="0.25">
      <c r="A27" s="1900"/>
      <c r="B27" s="367" t="s">
        <v>142</v>
      </c>
      <c r="C27" s="365"/>
      <c r="D27" s="2242"/>
      <c r="E27" s="2496"/>
      <c r="F27" s="2497"/>
      <c r="G27" s="2201"/>
      <c r="H27" s="1901"/>
      <c r="I27" s="306"/>
    </row>
    <row r="28" spans="1:9" s="12" customFormat="1" ht="15" hidden="1" customHeight="1" x14ac:dyDescent="0.25">
      <c r="A28" s="1900"/>
      <c r="B28" s="367" t="s">
        <v>143</v>
      </c>
      <c r="C28" s="365"/>
      <c r="D28" s="2242"/>
      <c r="E28" s="2496"/>
      <c r="F28" s="2497"/>
      <c r="G28" s="2201"/>
      <c r="H28" s="1901"/>
      <c r="I28" s="306"/>
    </row>
    <row r="29" spans="1:9" s="12" customFormat="1" ht="27.6" hidden="1" x14ac:dyDescent="0.25">
      <c r="A29" s="1900"/>
      <c r="B29" s="375" t="s">
        <v>144</v>
      </c>
      <c r="C29" s="372"/>
      <c r="D29" s="2242"/>
      <c r="E29" s="2496"/>
      <c r="F29" s="2497"/>
      <c r="G29" s="2201"/>
      <c r="H29" s="1901"/>
      <c r="I29" s="306"/>
    </row>
    <row r="30" spans="1:9" s="12" customFormat="1" ht="41.4" hidden="1" x14ac:dyDescent="0.25">
      <c r="A30" s="1982" t="s">
        <v>145</v>
      </c>
      <c r="B30" s="375" t="s">
        <v>146</v>
      </c>
      <c r="C30" s="372"/>
      <c r="D30" s="2242"/>
      <c r="E30" s="2496"/>
      <c r="F30" s="2497"/>
      <c r="G30" s="2201"/>
      <c r="H30" s="1901"/>
      <c r="I30" s="306"/>
    </row>
    <row r="31" spans="1:9" s="12" customFormat="1" hidden="1" x14ac:dyDescent="0.25">
      <c r="A31" s="1982" t="s">
        <v>147</v>
      </c>
      <c r="B31" s="375" t="s">
        <v>148</v>
      </c>
      <c r="C31" s="372"/>
      <c r="D31" s="2242"/>
      <c r="E31" s="2496"/>
      <c r="F31" s="2497"/>
      <c r="G31" s="2201"/>
      <c r="H31" s="1901"/>
      <c r="I31" s="306"/>
    </row>
    <row r="32" spans="1:9" s="12" customFormat="1" ht="27.6" hidden="1" x14ac:dyDescent="0.25">
      <c r="A32" s="1982" t="s">
        <v>149</v>
      </c>
      <c r="B32" s="375" t="s">
        <v>150</v>
      </c>
      <c r="C32" s="372"/>
      <c r="D32" s="2242"/>
      <c r="E32" s="2496"/>
      <c r="F32" s="2497"/>
      <c r="G32" s="2201"/>
      <c r="H32" s="1901"/>
      <c r="I32" s="306"/>
    </row>
    <row r="33" spans="1:9" s="12" customFormat="1" ht="16.8" hidden="1" x14ac:dyDescent="0.25">
      <c r="A33" s="1982" t="s">
        <v>151</v>
      </c>
      <c r="B33" s="375" t="s">
        <v>152</v>
      </c>
      <c r="C33" s="372"/>
      <c r="D33" s="2242"/>
      <c r="E33" s="2496"/>
      <c r="F33" s="2497"/>
      <c r="G33" s="2201"/>
      <c r="H33" s="1901"/>
      <c r="I33" s="306"/>
    </row>
    <row r="34" spans="1:9" s="12" customFormat="1" hidden="1" x14ac:dyDescent="0.25">
      <c r="A34" s="1982"/>
      <c r="B34" s="375"/>
      <c r="C34" s="372"/>
      <c r="D34" s="2242"/>
      <c r="E34" s="2496"/>
      <c r="F34" s="2497"/>
      <c r="G34" s="2201"/>
      <c r="H34" s="1901"/>
      <c r="I34" s="306"/>
    </row>
    <row r="35" spans="1:9" s="1188" customFormat="1" hidden="1" x14ac:dyDescent="0.25">
      <c r="A35" s="2034"/>
      <c r="B35" s="2035" t="s">
        <v>1757</v>
      </c>
      <c r="C35" s="2036"/>
      <c r="D35" s="1184"/>
      <c r="E35" s="2496"/>
      <c r="F35" s="2497"/>
      <c r="G35" s="2202"/>
      <c r="H35" s="2007"/>
      <c r="I35" s="2032"/>
    </row>
    <row r="36" spans="1:9" s="2037" customFormat="1" ht="77.400000000000006" hidden="1" customHeight="1" x14ac:dyDescent="0.25">
      <c r="A36" s="2003" t="s">
        <v>407</v>
      </c>
      <c r="B36" s="2008" t="s">
        <v>2547</v>
      </c>
      <c r="C36" s="2031"/>
      <c r="D36" s="1184" t="s">
        <v>2508</v>
      </c>
      <c r="E36" s="2496"/>
      <c r="F36" s="2497"/>
      <c r="G36" s="2202"/>
      <c r="H36" s="2007"/>
      <c r="I36" s="2032"/>
    </row>
    <row r="37" spans="1:9" hidden="1" x14ac:dyDescent="0.25">
      <c r="A37" s="1902"/>
      <c r="B37" s="368"/>
      <c r="C37" s="374"/>
      <c r="D37" s="2242"/>
      <c r="E37" s="2496"/>
      <c r="F37" s="2497"/>
      <c r="G37" s="2201"/>
      <c r="H37" s="1901"/>
      <c r="I37" s="306"/>
    </row>
    <row r="38" spans="1:9" hidden="1" x14ac:dyDescent="0.25">
      <c r="A38" s="1902"/>
      <c r="B38" s="977" t="s">
        <v>3205</v>
      </c>
      <c r="C38" s="374"/>
      <c r="D38" s="2242"/>
      <c r="E38" s="2496"/>
      <c r="F38" s="2497"/>
      <c r="G38" s="2201"/>
      <c r="H38" s="1901"/>
      <c r="I38" s="306"/>
    </row>
    <row r="39" spans="1:9" ht="69" hidden="1" x14ac:dyDescent="0.25">
      <c r="A39" s="1902"/>
      <c r="B39" s="368" t="s">
        <v>3206</v>
      </c>
      <c r="C39" s="374"/>
      <c r="D39" s="2242" t="s">
        <v>2508</v>
      </c>
      <c r="E39" s="2496"/>
      <c r="F39" s="2497"/>
      <c r="G39" s="2201"/>
      <c r="H39" s="1901"/>
      <c r="I39" s="306"/>
    </row>
    <row r="40" spans="1:9" hidden="1" x14ac:dyDescent="0.25">
      <c r="A40" s="1902"/>
      <c r="B40" s="368"/>
      <c r="C40" s="374"/>
      <c r="D40" s="2242"/>
      <c r="E40" s="2496"/>
      <c r="F40" s="2497"/>
      <c r="G40" s="2201"/>
      <c r="H40" s="1901"/>
      <c r="I40" s="306"/>
    </row>
    <row r="41" spans="1:9" hidden="1" x14ac:dyDescent="0.25">
      <c r="A41" s="1902"/>
      <c r="B41" s="368"/>
      <c r="C41" s="374"/>
      <c r="D41" s="2242"/>
      <c r="E41" s="2496"/>
      <c r="F41" s="2497"/>
      <c r="G41" s="2201"/>
      <c r="H41" s="1901"/>
      <c r="I41" s="306"/>
    </row>
    <row r="42" spans="1:9" hidden="1" x14ac:dyDescent="0.25">
      <c r="A42" s="1902"/>
      <c r="B42" s="368"/>
      <c r="C42" s="374"/>
      <c r="D42" s="2242"/>
      <c r="E42" s="2496"/>
      <c r="F42" s="2497"/>
      <c r="G42" s="2201"/>
      <c r="H42" s="1901"/>
      <c r="I42" s="306"/>
    </row>
    <row r="43" spans="1:9" hidden="1" x14ac:dyDescent="0.25">
      <c r="A43" s="1902"/>
      <c r="B43" s="368"/>
      <c r="C43" s="374"/>
      <c r="D43" s="2242"/>
      <c r="E43" s="2496"/>
      <c r="F43" s="2497"/>
      <c r="G43" s="2201"/>
      <c r="H43" s="1901"/>
      <c r="I43" s="306"/>
    </row>
    <row r="44" spans="1:9" ht="14.4" hidden="1" thickBot="1" x14ac:dyDescent="0.3">
      <c r="A44" s="1905"/>
      <c r="B44" s="960"/>
      <c r="C44" s="2234"/>
      <c r="D44" s="1009"/>
      <c r="E44" s="2498"/>
      <c r="F44" s="2499"/>
      <c r="G44" s="2203"/>
      <c r="H44" s="1906"/>
      <c r="I44" s="306"/>
    </row>
    <row r="45" spans="1:9" s="1188" customFormat="1" hidden="1" x14ac:dyDescent="0.25">
      <c r="A45" s="2066"/>
      <c r="B45" s="2099" t="s">
        <v>1758</v>
      </c>
      <c r="C45" s="2235"/>
      <c r="D45" s="2236"/>
      <c r="E45" s="2494"/>
      <c r="F45" s="2495"/>
      <c r="G45" s="2204"/>
      <c r="H45" s="2062"/>
      <c r="I45" s="2032"/>
    </row>
    <row r="46" spans="1:9" s="1188" customFormat="1" ht="66" hidden="1" x14ac:dyDescent="0.25">
      <c r="A46" s="2003" t="s">
        <v>408</v>
      </c>
      <c r="B46" s="2038" t="s">
        <v>2496</v>
      </c>
      <c r="C46" s="2031"/>
      <c r="D46" s="1184" t="s">
        <v>2508</v>
      </c>
      <c r="E46" s="2496"/>
      <c r="F46" s="2497"/>
      <c r="G46" s="2202"/>
      <c r="H46" s="2007"/>
      <c r="I46" s="2032"/>
    </row>
    <row r="47" spans="1:9" s="12" customFormat="1" x14ac:dyDescent="0.25">
      <c r="A47" s="1902"/>
      <c r="B47" s="890"/>
      <c r="C47" s="374"/>
      <c r="D47" s="2242"/>
      <c r="E47" s="2496"/>
      <c r="F47" s="2497"/>
      <c r="G47" s="2201"/>
      <c r="H47" s="1901"/>
      <c r="I47" s="306"/>
    </row>
    <row r="48" spans="1:9" s="12" customFormat="1" ht="15.6" x14ac:dyDescent="0.25">
      <c r="A48" s="1900"/>
      <c r="B48" s="377" t="s">
        <v>158</v>
      </c>
      <c r="C48" s="378"/>
      <c r="D48" s="2242"/>
      <c r="E48" s="2496"/>
      <c r="F48" s="2497"/>
      <c r="G48" s="2201"/>
      <c r="H48" s="1901"/>
      <c r="I48" s="306"/>
    </row>
    <row r="49" spans="1:9" ht="87" customHeight="1" x14ac:dyDescent="0.25">
      <c r="A49" s="1902" t="s">
        <v>409</v>
      </c>
      <c r="B49" s="368" t="s">
        <v>159</v>
      </c>
      <c r="C49" s="374">
        <v>180</v>
      </c>
      <c r="D49" s="2242" t="s">
        <v>2423</v>
      </c>
      <c r="E49" s="2468">
        <f>+[21]RBD!$F$146</f>
        <v>904</v>
      </c>
      <c r="F49" s="2468">
        <f>+$I$1</f>
        <v>0.75</v>
      </c>
      <c r="G49" s="374">
        <f>ROUNDUP(E49/F49,-1)</f>
        <v>1210</v>
      </c>
      <c r="H49" s="2529">
        <f>C49*G49</f>
        <v>217800</v>
      </c>
      <c r="I49" s="306"/>
    </row>
    <row r="50" spans="1:9" hidden="1" x14ac:dyDescent="0.25">
      <c r="A50" s="1902"/>
      <c r="B50" s="368"/>
      <c r="C50" s="369"/>
      <c r="D50" s="251"/>
      <c r="E50" s="2496"/>
      <c r="F50" s="2497"/>
      <c r="G50" s="2201"/>
      <c r="H50" s="1901"/>
      <c r="I50" s="306"/>
    </row>
    <row r="51" spans="1:9" hidden="1" x14ac:dyDescent="0.25">
      <c r="A51" s="1902"/>
      <c r="B51" s="396" t="s">
        <v>1755</v>
      </c>
      <c r="C51" s="369"/>
      <c r="D51" s="251"/>
      <c r="E51" s="2496"/>
      <c r="F51" s="2497"/>
      <c r="G51" s="2201"/>
      <c r="H51" s="1901"/>
      <c r="I51" s="306"/>
    </row>
    <row r="52" spans="1:9" s="889" customFormat="1" ht="27.6" hidden="1" x14ac:dyDescent="0.25">
      <c r="A52" s="1903" t="s">
        <v>1756</v>
      </c>
      <c r="B52" s="1067" t="s">
        <v>1944</v>
      </c>
      <c r="C52" s="886"/>
      <c r="D52" s="885" t="s">
        <v>13</v>
      </c>
      <c r="E52" s="2496"/>
      <c r="F52" s="2497"/>
      <c r="G52" s="2205"/>
      <c r="H52" s="1904"/>
      <c r="I52" s="1077"/>
    </row>
    <row r="53" spans="1:9" hidden="1" x14ac:dyDescent="0.25">
      <c r="A53" s="1902"/>
      <c r="B53" s="368"/>
      <c r="C53" s="369"/>
      <c r="D53" s="251"/>
      <c r="E53" s="2496"/>
      <c r="F53" s="2497"/>
      <c r="G53" s="2201"/>
      <c r="H53" s="1901"/>
      <c r="I53" s="306"/>
    </row>
    <row r="54" spans="1:9" hidden="1" x14ac:dyDescent="0.25">
      <c r="A54" s="1902"/>
      <c r="B54" s="396" t="s">
        <v>1840</v>
      </c>
      <c r="C54" s="369"/>
      <c r="D54" s="251"/>
      <c r="E54" s="2496"/>
      <c r="F54" s="2497"/>
      <c r="G54" s="2201"/>
      <c r="H54" s="1901"/>
      <c r="I54" s="306"/>
    </row>
    <row r="55" spans="1:9" hidden="1" x14ac:dyDescent="0.25">
      <c r="A55" s="1902" t="s">
        <v>1841</v>
      </c>
      <c r="B55" s="368" t="s">
        <v>1842</v>
      </c>
      <c r="C55" s="369"/>
      <c r="D55" s="251" t="s">
        <v>13</v>
      </c>
      <c r="E55" s="2496"/>
      <c r="F55" s="2497"/>
      <c r="G55" s="2201"/>
      <c r="H55" s="1901"/>
      <c r="I55" s="306"/>
    </row>
    <row r="56" spans="1:9" ht="14.4" thickBot="1" x14ac:dyDescent="0.3">
      <c r="A56" s="1902"/>
      <c r="B56" s="368"/>
      <c r="C56" s="369"/>
      <c r="D56" s="251"/>
      <c r="E56" s="2496"/>
      <c r="F56" s="2497"/>
      <c r="G56" s="2201"/>
      <c r="H56" s="1901"/>
      <c r="I56" s="306"/>
    </row>
    <row r="57" spans="1:9" s="12" customFormat="1" ht="28.2" thickBot="1" x14ac:dyDescent="0.3">
      <c r="A57" s="379"/>
      <c r="B57" s="1916" t="s">
        <v>905</v>
      </c>
      <c r="C57" s="380"/>
      <c r="D57" s="2237"/>
      <c r="E57" s="2491"/>
      <c r="F57" s="2492"/>
      <c r="G57" s="2238"/>
      <c r="H57" s="2239">
        <f>SUM(H9:H56)</f>
        <v>733800</v>
      </c>
      <c r="I57" s="2240"/>
    </row>
    <row r="89" spans="3:11" x14ac:dyDescent="0.25">
      <c r="D89" s="38">
        <f>600/10.76</f>
        <v>55.762081784386616</v>
      </c>
      <c r="I89" s="39">
        <f>1000/50</f>
        <v>20</v>
      </c>
    </row>
    <row r="90" spans="3:11" x14ac:dyDescent="0.25">
      <c r="D90" s="38">
        <f>D89*0.05</f>
        <v>2.7881040892193312</v>
      </c>
      <c r="I90" s="39">
        <f>50/1000</f>
        <v>0.05</v>
      </c>
      <c r="K90" s="24">
        <f>D90/2.83</f>
        <v>0.98519579124357992</v>
      </c>
    </row>
    <row r="93" spans="3:11" x14ac:dyDescent="0.25">
      <c r="C93" s="39" t="s">
        <v>1045</v>
      </c>
      <c r="D93" s="38">
        <f>13*K90</f>
        <v>12.807545286166539</v>
      </c>
    </row>
    <row r="94" spans="3:11" x14ac:dyDescent="0.25">
      <c r="C94" s="39" t="s">
        <v>1046</v>
      </c>
      <c r="D94" s="38">
        <f>0.53*K90</f>
        <v>0.52215376935909741</v>
      </c>
    </row>
    <row r="95" spans="3:11" x14ac:dyDescent="0.25">
      <c r="C95" s="39" t="s">
        <v>1047</v>
      </c>
      <c r="D95" s="38">
        <f>0.92*K90</f>
        <v>0.90638012794409362</v>
      </c>
    </row>
  </sheetData>
  <pageMargins left="0.51181102362204722" right="0.28999999999999998" top="0.55118110236220474" bottom="0.23622047244094491" header="0.51181102362204722" footer="0.51181102362204722"/>
  <pageSetup orientation="portrait" r:id="rId1"/>
  <headerFooter alignWithMargins="0">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Y44"/>
  <sheetViews>
    <sheetView view="pageBreakPreview" zoomScaleNormal="85" zoomScaleSheetLayoutView="100" workbookViewId="0">
      <selection activeCell="L47" sqref="L47"/>
    </sheetView>
  </sheetViews>
  <sheetFormatPr defaultColWidth="9.21875" defaultRowHeight="13.8" x14ac:dyDescent="0.25"/>
  <cols>
    <col min="1" max="1" width="7.5546875" style="38" customWidth="1"/>
    <col min="2" max="2" width="52.21875" style="36" customWidth="1"/>
    <col min="3" max="3" width="8" style="39" customWidth="1"/>
    <col min="4" max="4" width="6.6640625" style="38" customWidth="1"/>
    <col min="5" max="5" width="9.5546875" style="2507" hidden="1" customWidth="1"/>
    <col min="6" max="6" width="11.77734375" style="2507" hidden="1" customWidth="1"/>
    <col min="7" max="7" width="12.5546875" style="202" customWidth="1"/>
    <col min="8" max="8" width="12.6640625" style="39" bestFit="1" customWidth="1"/>
    <col min="9" max="13" width="12.6640625" style="39" customWidth="1"/>
    <col min="14" max="17" width="11.6640625" style="39" customWidth="1"/>
    <col min="18" max="18" width="12.6640625" style="24" bestFit="1" customWidth="1"/>
    <col min="19" max="19" width="12.44140625" style="24" bestFit="1" customWidth="1"/>
    <col min="20" max="20" width="11.6640625" style="24" bestFit="1" customWidth="1"/>
    <col min="21" max="21" width="12.6640625" style="24" bestFit="1" customWidth="1"/>
    <col min="22" max="23" width="12.88671875" style="24" bestFit="1" customWidth="1"/>
    <col min="24" max="25" width="11.6640625" style="24" bestFit="1" customWidth="1"/>
    <col min="26" max="16384" width="9.21875" style="24"/>
  </cols>
  <sheetData>
    <row r="1" spans="1:25" s="31" customFormat="1" ht="14.4" thickBot="1" x14ac:dyDescent="0.3">
      <c r="A1" s="45" t="s">
        <v>0</v>
      </c>
      <c r="B1" s="46" t="s">
        <v>1</v>
      </c>
      <c r="C1" s="47" t="s">
        <v>2</v>
      </c>
      <c r="D1" s="48" t="s">
        <v>3</v>
      </c>
      <c r="E1" s="2530" t="s">
        <v>3565</v>
      </c>
      <c r="F1" s="2531" t="s">
        <v>3708</v>
      </c>
      <c r="G1" s="2532" t="s">
        <v>1286</v>
      </c>
      <c r="H1" s="49" t="s">
        <v>5</v>
      </c>
      <c r="I1" s="305">
        <f>+summary!D8</f>
        <v>0.75</v>
      </c>
      <c r="J1" s="305"/>
      <c r="K1" s="305"/>
      <c r="L1" s="305"/>
      <c r="M1" s="305"/>
      <c r="N1" s="305"/>
      <c r="O1" s="305"/>
      <c r="P1" s="305"/>
      <c r="Q1" s="305"/>
    </row>
    <row r="2" spans="1:25" s="12" customFormat="1" ht="15.6" x14ac:dyDescent="0.25">
      <c r="A2" s="1898"/>
      <c r="B2" s="386" t="s">
        <v>876</v>
      </c>
      <c r="C2" s="387"/>
      <c r="D2" s="388"/>
      <c r="E2" s="2504"/>
      <c r="F2" s="2504"/>
      <c r="G2" s="389"/>
      <c r="H2" s="1899"/>
      <c r="I2" s="306"/>
      <c r="J2" s="306">
        <f>2890/338</f>
        <v>8.550295857988166</v>
      </c>
      <c r="K2" s="306"/>
      <c r="L2" s="306"/>
      <c r="M2" s="306"/>
      <c r="N2" s="306"/>
      <c r="O2" s="306"/>
      <c r="P2" s="306" t="e">
        <f>#REF!*100</f>
        <v>#REF!</v>
      </c>
      <c r="Q2" s="306" t="e">
        <f>P2/9.29</f>
        <v>#REF!</v>
      </c>
      <c r="R2" s="12" t="e">
        <f>Q2*0.225</f>
        <v>#REF!</v>
      </c>
      <c r="S2" s="12" t="e">
        <f>R2/2.83</f>
        <v>#REF!</v>
      </c>
      <c r="T2" s="12" t="e">
        <f>S2*N3</f>
        <v>#REF!</v>
      </c>
      <c r="U2" s="12" t="e">
        <f>T2/#REF!</f>
        <v>#REF!</v>
      </c>
    </row>
    <row r="3" spans="1:25" s="12" customFormat="1" ht="15.6" x14ac:dyDescent="0.25">
      <c r="A3" s="1900">
        <v>1</v>
      </c>
      <c r="B3" s="377" t="s">
        <v>574</v>
      </c>
      <c r="C3" s="378"/>
      <c r="D3" s="251"/>
      <c r="E3" s="2500"/>
      <c r="F3" s="2500"/>
      <c r="G3" s="350"/>
      <c r="H3" s="1901"/>
      <c r="I3" s="306"/>
      <c r="J3" s="306"/>
      <c r="K3" s="306"/>
      <c r="L3" s="306"/>
      <c r="M3" s="306"/>
      <c r="N3" s="306">
        <v>81297</v>
      </c>
      <c r="O3" s="306">
        <f>N3/12*9</f>
        <v>60972.75</v>
      </c>
      <c r="P3" s="306"/>
      <c r="Q3" s="306"/>
    </row>
    <row r="4" spans="1:25" s="12" customFormat="1" ht="15.6" x14ac:dyDescent="0.25">
      <c r="A4" s="1900"/>
      <c r="B4" s="390" t="s">
        <v>236</v>
      </c>
      <c r="C4" s="378"/>
      <c r="D4" s="251"/>
      <c r="E4" s="2500"/>
      <c r="F4" s="2500"/>
      <c r="G4" s="350"/>
      <c r="H4" s="1901"/>
      <c r="I4" s="306"/>
      <c r="J4" s="306"/>
      <c r="K4" s="306"/>
      <c r="L4" s="306"/>
      <c r="M4" s="306"/>
      <c r="N4" s="306">
        <v>85362</v>
      </c>
      <c r="O4" s="306">
        <f>N4/12*9</f>
        <v>64021.5</v>
      </c>
      <c r="P4" s="306"/>
      <c r="Q4" s="306"/>
      <c r="S4" s="12" t="e">
        <f>#REF!*2.83</f>
        <v>#REF!</v>
      </c>
      <c r="T4" s="12" t="e">
        <f>S4/300*225</f>
        <v>#REF!</v>
      </c>
    </row>
    <row r="5" spans="1:25" s="12" customFormat="1" ht="15.6" x14ac:dyDescent="0.25">
      <c r="A5" s="1900"/>
      <c r="B5" s="391" t="s">
        <v>865</v>
      </c>
      <c r="C5" s="378"/>
      <c r="D5" s="251"/>
      <c r="E5" s="2500"/>
      <c r="F5" s="2500"/>
      <c r="G5" s="350"/>
      <c r="H5" s="1901"/>
      <c r="I5" s="306"/>
      <c r="J5" s="306"/>
      <c r="K5" s="306"/>
      <c r="L5" s="306"/>
      <c r="M5" s="306"/>
      <c r="N5" s="306">
        <v>86988</v>
      </c>
      <c r="O5" s="306">
        <f>N5/12*9</f>
        <v>65241</v>
      </c>
      <c r="P5" s="306"/>
      <c r="Q5" s="306"/>
      <c r="U5" s="12" t="e">
        <f>#REF!/T4</f>
        <v>#REF!</v>
      </c>
      <c r="W5" s="12">
        <v>3099</v>
      </c>
      <c r="X5" s="12" t="e">
        <f>W5*#REF!</f>
        <v>#REF!</v>
      </c>
    </row>
    <row r="6" spans="1:25" s="12" customFormat="1" ht="15.6" x14ac:dyDescent="0.25">
      <c r="A6" s="1900"/>
      <c r="B6" s="391" t="s">
        <v>866</v>
      </c>
      <c r="C6" s="378"/>
      <c r="D6" s="251"/>
      <c r="E6" s="2500"/>
      <c r="F6" s="2500"/>
      <c r="G6" s="350"/>
      <c r="H6" s="1901"/>
      <c r="I6" s="306"/>
      <c r="J6" s="306"/>
      <c r="K6" s="306"/>
      <c r="L6" s="306"/>
      <c r="M6" s="306"/>
      <c r="N6" s="306" t="e">
        <f>N7/10.76</f>
        <v>#REF!</v>
      </c>
      <c r="O6" s="306" t="e">
        <f>#REF!/0.3*0.225</f>
        <v>#REF!</v>
      </c>
      <c r="P6" s="306" t="e">
        <f>O6/9.29</f>
        <v>#REF!</v>
      </c>
      <c r="Q6" s="306"/>
      <c r="R6" s="12" t="e">
        <f>#REF!*100</f>
        <v>#REF!</v>
      </c>
    </row>
    <row r="7" spans="1:25" s="12" customFormat="1" ht="15.6" x14ac:dyDescent="0.25">
      <c r="A7" s="1900"/>
      <c r="B7" s="391" t="s">
        <v>867</v>
      </c>
      <c r="C7" s="378"/>
      <c r="D7" s="251"/>
      <c r="E7" s="2500"/>
      <c r="F7" s="2500"/>
      <c r="G7" s="350"/>
      <c r="H7" s="1901"/>
      <c r="I7" s="306"/>
      <c r="J7" s="306"/>
      <c r="K7" s="306"/>
      <c r="L7" s="306"/>
      <c r="M7" s="306"/>
      <c r="N7" s="306" t="e">
        <f>'m shet rolf'!#REF!</f>
        <v>#REF!</v>
      </c>
      <c r="O7" s="306" t="e">
        <f>#REF!*0.225</f>
        <v>#REF!</v>
      </c>
      <c r="P7" s="306"/>
      <c r="Q7" s="306"/>
      <c r="R7" s="12" t="e">
        <f>R6/35.29</f>
        <v>#REF!</v>
      </c>
      <c r="S7" s="12" t="e">
        <f>#REF!*2.83</f>
        <v>#REF!</v>
      </c>
    </row>
    <row r="8" spans="1:25" s="12" customFormat="1" ht="15.6" x14ac:dyDescent="0.25">
      <c r="A8" s="1900"/>
      <c r="B8" s="391" t="s">
        <v>868</v>
      </c>
      <c r="C8" s="378"/>
      <c r="D8" s="251"/>
      <c r="E8" s="2500"/>
      <c r="F8" s="2500"/>
      <c r="G8" s="350"/>
      <c r="H8" s="1901"/>
      <c r="I8" s="306"/>
      <c r="J8" s="306"/>
      <c r="K8" s="306"/>
      <c r="L8" s="306"/>
      <c r="M8" s="306"/>
      <c r="N8" s="306" t="e">
        <f>N7*P6</f>
        <v>#REF!</v>
      </c>
      <c r="O8" s="306"/>
      <c r="P8" s="306"/>
      <c r="Q8" s="306"/>
      <c r="U8" s="12">
        <f>9/12</f>
        <v>0.75</v>
      </c>
    </row>
    <row r="9" spans="1:25" s="12" customFormat="1" ht="10.8" customHeight="1" x14ac:dyDescent="0.25">
      <c r="A9" s="1900"/>
      <c r="B9" s="377"/>
      <c r="C9" s="378"/>
      <c r="D9" s="251"/>
      <c r="E9" s="2500"/>
      <c r="F9" s="2500"/>
      <c r="G9" s="350"/>
      <c r="H9" s="1901"/>
      <c r="I9" s="306"/>
      <c r="J9" s="306"/>
      <c r="K9" s="306"/>
      <c r="L9" s="306"/>
      <c r="M9" s="306"/>
      <c r="N9" s="306"/>
      <c r="O9" s="306"/>
      <c r="P9" s="306"/>
      <c r="Q9" s="306"/>
    </row>
    <row r="10" spans="1:25" s="12" customFormat="1" ht="15.6" x14ac:dyDescent="0.25">
      <c r="A10" s="1900"/>
      <c r="B10" s="391" t="s">
        <v>877</v>
      </c>
      <c r="C10" s="378"/>
      <c r="D10" s="251"/>
      <c r="E10" s="2500"/>
      <c r="F10" s="2500"/>
      <c r="G10" s="350"/>
      <c r="H10" s="1901"/>
      <c r="I10" s="306"/>
      <c r="J10" s="306"/>
      <c r="K10" s="306"/>
      <c r="L10" s="306"/>
      <c r="M10" s="306"/>
      <c r="N10" s="306"/>
      <c r="O10" s="306"/>
      <c r="P10" s="306">
        <v>27881</v>
      </c>
      <c r="Q10" s="306"/>
    </row>
    <row r="11" spans="1:25" s="12" customFormat="1" ht="28.8" customHeight="1" x14ac:dyDescent="0.25">
      <c r="A11" s="1900">
        <f>A3+0.01</f>
        <v>1.01</v>
      </c>
      <c r="B11" s="373" t="s">
        <v>3173</v>
      </c>
      <c r="C11" s="374">
        <f>'m shet rolf'!N28</f>
        <v>244</v>
      </c>
      <c r="D11" s="2484" t="s">
        <v>2423</v>
      </c>
      <c r="E11" s="2505">
        <f>+'Rate Breakdowns'!G592</f>
        <v>5802.933261571583</v>
      </c>
      <c r="F11" s="2468">
        <f>+I1</f>
        <v>0.75</v>
      </c>
      <c r="G11" s="374">
        <f>ROUNDUP(E11/F11,-1)</f>
        <v>7740</v>
      </c>
      <c r="H11" s="2529">
        <f>C11*G11</f>
        <v>1888560</v>
      </c>
      <c r="I11" s="2233"/>
      <c r="J11" s="2233"/>
      <c r="K11" s="2233"/>
      <c r="L11" s="2233"/>
      <c r="M11" s="2233"/>
      <c r="N11" s="2233">
        <f>G11/4*9</f>
        <v>17415</v>
      </c>
      <c r="O11" s="2233"/>
      <c r="P11" s="2233">
        <f>P10/4.5*9</f>
        <v>55762</v>
      </c>
      <c r="Q11" s="2233" t="e">
        <f>P11-#REF!</f>
        <v>#REF!</v>
      </c>
      <c r="S11" s="12">
        <f>+C11*10.76/100</f>
        <v>26.2544</v>
      </c>
      <c r="T11" s="12">
        <v>9.7797640000000001</v>
      </c>
      <c r="V11" s="12">
        <f>G13-G11</f>
        <v>40</v>
      </c>
      <c r="W11" s="12">
        <v>387.4</v>
      </c>
    </row>
    <row r="12" spans="1:25" x14ac:dyDescent="0.25">
      <c r="A12" s="1902"/>
      <c r="B12" s="368"/>
      <c r="C12" s="369"/>
      <c r="D12" s="251"/>
      <c r="E12" s="2500"/>
      <c r="F12" s="2500"/>
      <c r="G12" s="350"/>
      <c r="H12" s="1901"/>
      <c r="I12" s="306"/>
      <c r="J12" s="306"/>
      <c r="K12" s="306"/>
      <c r="L12" s="306"/>
      <c r="M12" s="306"/>
      <c r="N12" s="306">
        <f>N11/9.29</f>
        <v>1874.5963401506999</v>
      </c>
      <c r="O12" s="306"/>
      <c r="P12" s="306"/>
      <c r="Q12" s="306" t="e">
        <f>#REF!-#REF!</f>
        <v>#REF!</v>
      </c>
      <c r="Y12" s="24">
        <f>27881</f>
        <v>27881</v>
      </c>
    </row>
    <row r="13" spans="1:25" s="12" customFormat="1" ht="27.6" x14ac:dyDescent="0.25">
      <c r="A13" s="1900">
        <f>A11+0.01</f>
        <v>1.02</v>
      </c>
      <c r="B13" s="373" t="s">
        <v>3174</v>
      </c>
      <c r="C13" s="374">
        <f>'m shet rolf'!N50</f>
        <v>182</v>
      </c>
      <c r="D13" s="2484" t="s">
        <v>2423</v>
      </c>
      <c r="E13" s="2505">
        <f>+E11*1.005</f>
        <v>5831.9479278794406</v>
      </c>
      <c r="F13" s="2468">
        <f>+$I$1</f>
        <v>0.75</v>
      </c>
      <c r="G13" s="374">
        <f>ROUNDUP(E13/F13,-1)</f>
        <v>7780</v>
      </c>
      <c r="H13" s="2529">
        <f>C13*G13</f>
        <v>1415960</v>
      </c>
      <c r="I13" s="2233"/>
      <c r="J13" s="2233"/>
      <c r="K13" s="2233"/>
      <c r="L13" s="2233"/>
      <c r="M13" s="2233"/>
      <c r="N13" s="2233"/>
      <c r="O13" s="2233">
        <f>G11*1.12</f>
        <v>8668.8000000000011</v>
      </c>
      <c r="P13" s="2233"/>
      <c r="Q13" s="2233" t="e">
        <f>G11+Q12</f>
        <v>#REF!</v>
      </c>
      <c r="S13" s="12">
        <f t="shared" ref="S13:S15" si="0">+C13*10.76/100</f>
        <v>19.583199999999998</v>
      </c>
      <c r="T13" s="12">
        <v>13.927744000000001</v>
      </c>
      <c r="V13" s="12">
        <f>G15-G13</f>
        <v>40</v>
      </c>
      <c r="W13" s="12">
        <v>581.1</v>
      </c>
      <c r="Y13" s="12">
        <f>Y12/4.5*9</f>
        <v>55762</v>
      </c>
    </row>
    <row r="14" spans="1:25" x14ac:dyDescent="0.25">
      <c r="A14" s="1902"/>
      <c r="B14" s="368"/>
      <c r="C14" s="369"/>
      <c r="D14" s="251"/>
      <c r="E14" s="2500"/>
      <c r="F14" s="2500"/>
      <c r="G14" s="350"/>
      <c r="H14" s="1901"/>
      <c r="I14" s="306"/>
      <c r="J14" s="306"/>
      <c r="K14" s="306"/>
      <c r="L14" s="306"/>
      <c r="M14" s="306"/>
      <c r="N14" s="306"/>
      <c r="O14" s="306"/>
      <c r="P14" s="306"/>
      <c r="Q14" s="306"/>
      <c r="Y14" s="24" t="e">
        <f>#REF!/12*9</f>
        <v>#REF!</v>
      </c>
    </row>
    <row r="15" spans="1:25" s="12" customFormat="1" ht="27.6" x14ac:dyDescent="0.25">
      <c r="A15" s="1900">
        <f>A13+0.01</f>
        <v>1.03</v>
      </c>
      <c r="B15" s="373" t="s">
        <v>3175</v>
      </c>
      <c r="C15" s="374">
        <f>'m shet rolf'!N73</f>
        <v>261</v>
      </c>
      <c r="D15" s="2484" t="s">
        <v>2423</v>
      </c>
      <c r="E15" s="2505">
        <f>+E11*1.01</f>
        <v>5860.9625941872991</v>
      </c>
      <c r="F15" s="2468">
        <f>+$I$1</f>
        <v>0.75</v>
      </c>
      <c r="G15" s="374">
        <f>ROUNDUP(E15/F15,-1)</f>
        <v>7820</v>
      </c>
      <c r="H15" s="2529">
        <f>C15*G15</f>
        <v>2041020</v>
      </c>
      <c r="I15" s="2233"/>
      <c r="J15" s="2233"/>
      <c r="K15" s="2233"/>
      <c r="L15" s="2233"/>
      <c r="M15" s="2233"/>
      <c r="N15" s="2233"/>
      <c r="O15" s="2233"/>
      <c r="P15" s="2233" t="e">
        <f>#REF!*100</f>
        <v>#REF!</v>
      </c>
      <c r="Q15" s="2233"/>
      <c r="S15" s="12">
        <f t="shared" si="0"/>
        <v>28.083600000000001</v>
      </c>
      <c r="T15" s="12">
        <v>14.462515999999999</v>
      </c>
      <c r="V15" s="12" t="e">
        <f>#REF!-G15</f>
        <v>#REF!</v>
      </c>
      <c r="W15" s="12">
        <v>968.5</v>
      </c>
      <c r="Y15" s="12" t="e">
        <f>Y14*#REF!</f>
        <v>#REF!</v>
      </c>
    </row>
    <row r="16" spans="1:25" x14ac:dyDescent="0.25">
      <c r="A16" s="1902"/>
      <c r="B16" s="393"/>
      <c r="C16" s="369"/>
      <c r="D16" s="251"/>
      <c r="E16" s="2500"/>
      <c r="F16" s="2500"/>
      <c r="G16" s="350"/>
      <c r="H16" s="1901"/>
      <c r="I16" s="306"/>
      <c r="J16" s="306"/>
      <c r="K16" s="306"/>
      <c r="L16" s="306"/>
      <c r="M16" s="306"/>
      <c r="N16" s="306"/>
      <c r="O16" s="306"/>
      <c r="P16" s="306"/>
      <c r="Q16" s="306"/>
    </row>
    <row r="17" spans="1:25" ht="27.6" x14ac:dyDescent="0.25">
      <c r="A17" s="1902">
        <f>A15+0.01</f>
        <v>1.04</v>
      </c>
      <c r="B17" s="368" t="s">
        <v>3282</v>
      </c>
      <c r="C17" s="369">
        <f>'m shet rolf'!N75</f>
        <v>60</v>
      </c>
      <c r="D17" s="251" t="s">
        <v>2423</v>
      </c>
      <c r="E17" s="2505">
        <f>+E11*1.015</f>
        <v>5889.9772604951559</v>
      </c>
      <c r="F17" s="2468">
        <f>+$I$1</f>
        <v>0.75</v>
      </c>
      <c r="G17" s="374">
        <f>ROUNDUP(E17/F17,-1)</f>
        <v>7860</v>
      </c>
      <c r="H17" s="2529">
        <f>C17*G17</f>
        <v>471600</v>
      </c>
      <c r="I17" s="306"/>
      <c r="J17" s="306"/>
      <c r="K17" s="306"/>
      <c r="L17" s="306"/>
      <c r="M17" s="306"/>
      <c r="N17" s="306"/>
      <c r="O17" s="306"/>
      <c r="P17" s="306"/>
      <c r="Q17" s="306"/>
    </row>
    <row r="18" spans="1:25" x14ac:dyDescent="0.25">
      <c r="A18" s="1902"/>
      <c r="B18" s="368"/>
      <c r="C18" s="369"/>
      <c r="D18" s="251"/>
      <c r="E18" s="2500"/>
      <c r="F18" s="2500"/>
      <c r="G18" s="350"/>
      <c r="H18" s="1901"/>
      <c r="I18" s="306"/>
      <c r="J18" s="306"/>
      <c r="K18" s="306"/>
      <c r="L18" s="306"/>
      <c r="M18" s="306"/>
      <c r="N18" s="306"/>
      <c r="O18" s="306"/>
      <c r="P18" s="306"/>
      <c r="Q18" s="306"/>
    </row>
    <row r="19" spans="1:25" x14ac:dyDescent="0.25">
      <c r="A19" s="1902"/>
      <c r="B19" s="391" t="s">
        <v>3137</v>
      </c>
      <c r="C19" s="369"/>
      <c r="D19" s="251"/>
      <c r="E19" s="2500"/>
      <c r="F19" s="2500"/>
      <c r="G19" s="350"/>
      <c r="H19" s="1901"/>
      <c r="I19" s="306"/>
      <c r="J19" s="306"/>
      <c r="K19" s="306"/>
      <c r="L19" s="306"/>
      <c r="M19" s="306"/>
      <c r="N19" s="306"/>
      <c r="O19" s="306"/>
      <c r="P19" s="306"/>
      <c r="Q19" s="306"/>
    </row>
    <row r="20" spans="1:25" x14ac:dyDescent="0.25">
      <c r="A20" s="1902"/>
      <c r="B20" s="368"/>
      <c r="C20" s="369"/>
      <c r="D20" s="251"/>
      <c r="E20" s="2500"/>
      <c r="F20" s="2500"/>
      <c r="G20" s="350"/>
      <c r="H20" s="1901"/>
      <c r="I20" s="306"/>
      <c r="J20" s="306"/>
      <c r="K20" s="306"/>
      <c r="L20" s="306"/>
      <c r="M20" s="306"/>
      <c r="N20" s="306"/>
      <c r="O20" s="306"/>
      <c r="P20" s="306"/>
      <c r="Q20" s="306"/>
    </row>
    <row r="21" spans="1:25" ht="27.6" hidden="1" x14ac:dyDescent="0.25">
      <c r="A21" s="1902">
        <f>A17+0.01</f>
        <v>1.05</v>
      </c>
      <c r="B21" s="368" t="s">
        <v>3176</v>
      </c>
      <c r="C21" s="369"/>
      <c r="D21" s="251" t="s">
        <v>2423</v>
      </c>
      <c r="E21" s="2500"/>
      <c r="F21" s="2500"/>
      <c r="G21" s="350"/>
      <c r="H21" s="1901"/>
      <c r="I21" s="306"/>
      <c r="J21" s="306"/>
      <c r="K21" s="306"/>
      <c r="L21" s="306"/>
      <c r="M21" s="306"/>
      <c r="N21" s="306">
        <f>G21/4*9</f>
        <v>0</v>
      </c>
      <c r="O21" s="306"/>
      <c r="P21" s="306">
        <f>P20/4.5*9</f>
        <v>0</v>
      </c>
      <c r="Q21" s="306" t="e">
        <f>P21-#REF!</f>
        <v>#REF!</v>
      </c>
      <c r="S21" s="24">
        <f>+C21*10.76/100</f>
        <v>0</v>
      </c>
      <c r="T21" s="24">
        <v>9.7797640000000001</v>
      </c>
      <c r="V21" s="24">
        <f>G23-G21</f>
        <v>3960</v>
      </c>
      <c r="W21" s="24">
        <v>387.4</v>
      </c>
    </row>
    <row r="22" spans="1:25" hidden="1" x14ac:dyDescent="0.25">
      <c r="A22" s="1902"/>
      <c r="B22" s="368"/>
      <c r="C22" s="369"/>
      <c r="D22" s="251"/>
      <c r="E22" s="2500"/>
      <c r="F22" s="2500"/>
      <c r="G22" s="350"/>
      <c r="H22" s="1901"/>
      <c r="I22" s="306"/>
      <c r="J22" s="306"/>
      <c r="K22" s="306"/>
      <c r="L22" s="306"/>
      <c r="M22" s="306"/>
      <c r="N22" s="306">
        <f>N21/9.29</f>
        <v>0</v>
      </c>
      <c r="O22" s="306"/>
      <c r="P22" s="306"/>
      <c r="Q22" s="306" t="e">
        <f>#REF!-#REF!</f>
        <v>#REF!</v>
      </c>
      <c r="Y22" s="24">
        <f>27881</f>
        <v>27881</v>
      </c>
    </row>
    <row r="23" spans="1:25" ht="27.6" x14ac:dyDescent="0.25">
      <c r="A23" s="1902">
        <f>A21+0.01</f>
        <v>1.06</v>
      </c>
      <c r="B23" s="368" t="s">
        <v>3177</v>
      </c>
      <c r="C23" s="369">
        <f>'m shet rolf'!N81</f>
        <v>14</v>
      </c>
      <c r="D23" s="251" t="s">
        <v>2423</v>
      </c>
      <c r="E23" s="2500">
        <f>+'Rate Breakdowns'!G645</f>
        <v>2963.6174650161465</v>
      </c>
      <c r="F23" s="2468">
        <f>+$I$1</f>
        <v>0.75</v>
      </c>
      <c r="G23" s="374">
        <f>ROUNDUP(E23/F23,-1)</f>
        <v>3960</v>
      </c>
      <c r="H23" s="2529">
        <f>C23*G23</f>
        <v>55440</v>
      </c>
      <c r="I23" s="306"/>
      <c r="J23" s="306"/>
      <c r="K23" s="306"/>
      <c r="L23" s="306"/>
      <c r="M23" s="306"/>
      <c r="N23" s="306"/>
      <c r="O23" s="306">
        <f>G21*1.12</f>
        <v>0</v>
      </c>
      <c r="P23" s="306"/>
      <c r="Q23" s="306" t="e">
        <f>G21+Q22</f>
        <v>#REF!</v>
      </c>
      <c r="S23" s="24">
        <f t="shared" ref="S23" si="1">+C23*10.76/100</f>
        <v>1.5064</v>
      </c>
      <c r="T23" s="24">
        <v>13.927744000000001</v>
      </c>
      <c r="V23" s="24">
        <f>G25-G23</f>
        <v>20</v>
      </c>
      <c r="W23" s="24">
        <v>581.1</v>
      </c>
      <c r="Y23" s="24">
        <f>Y22/4.5*9</f>
        <v>55762</v>
      </c>
    </row>
    <row r="24" spans="1:25" x14ac:dyDescent="0.25">
      <c r="A24" s="1902"/>
      <c r="B24" s="368"/>
      <c r="C24" s="369"/>
      <c r="D24" s="251"/>
      <c r="E24" s="2500"/>
      <c r="F24" s="2500"/>
      <c r="G24" s="350"/>
      <c r="H24" s="1901"/>
      <c r="I24" s="306"/>
      <c r="J24" s="306"/>
      <c r="K24" s="306"/>
      <c r="L24" s="306"/>
      <c r="M24" s="306"/>
      <c r="N24" s="306"/>
      <c r="O24" s="306"/>
      <c r="P24" s="306"/>
      <c r="Q24" s="306"/>
      <c r="Y24" s="24" t="e">
        <f>#REF!/12*9</f>
        <v>#REF!</v>
      </c>
    </row>
    <row r="25" spans="1:25" ht="27.6" x14ac:dyDescent="0.25">
      <c r="A25" s="1902">
        <f>A23+0.01</f>
        <v>1.07</v>
      </c>
      <c r="B25" s="368" t="s">
        <v>3178</v>
      </c>
      <c r="C25" s="369">
        <f>C23</f>
        <v>14</v>
      </c>
      <c r="D25" s="251" t="s">
        <v>2423</v>
      </c>
      <c r="E25" s="2505">
        <f>+E23*1.005</f>
        <v>2978.4355523412269</v>
      </c>
      <c r="F25" s="2468">
        <f>+$I$1</f>
        <v>0.75</v>
      </c>
      <c r="G25" s="374">
        <f>ROUNDUP(E25/F25,-1)</f>
        <v>3980</v>
      </c>
      <c r="H25" s="2529">
        <f>C25*G25</f>
        <v>55720</v>
      </c>
      <c r="I25" s="306"/>
      <c r="J25" s="306"/>
      <c r="K25" s="306"/>
      <c r="L25" s="306"/>
      <c r="M25" s="306"/>
      <c r="N25" s="306"/>
      <c r="O25" s="306"/>
      <c r="P25" s="306" t="e">
        <f>#REF!*100</f>
        <v>#REF!</v>
      </c>
      <c r="Q25" s="306"/>
      <c r="S25" s="24">
        <f t="shared" ref="S25" si="2">+C25*10.76/100</f>
        <v>1.5064</v>
      </c>
      <c r="T25" s="24">
        <v>14.462515999999999</v>
      </c>
      <c r="V25" s="24" t="e">
        <f>#REF!-G25</f>
        <v>#REF!</v>
      </c>
      <c r="W25" s="24">
        <v>968.5</v>
      </c>
      <c r="Y25" s="24" t="e">
        <f>Y24*#REF!</f>
        <v>#REF!</v>
      </c>
    </row>
    <row r="26" spans="1:25" hidden="1" x14ac:dyDescent="0.25">
      <c r="A26" s="1902"/>
      <c r="B26" s="393"/>
      <c r="C26" s="369"/>
      <c r="D26" s="251"/>
      <c r="E26" s="2500"/>
      <c r="F26" s="2500"/>
      <c r="G26" s="350"/>
      <c r="H26" s="1901"/>
      <c r="I26" s="306"/>
      <c r="J26" s="306"/>
      <c r="K26" s="306"/>
      <c r="L26" s="306"/>
      <c r="M26" s="306"/>
      <c r="N26" s="306"/>
      <c r="O26" s="306"/>
      <c r="P26" s="306"/>
      <c r="Q26" s="306"/>
    </row>
    <row r="27" spans="1:25" ht="27.6" hidden="1" x14ac:dyDescent="0.25">
      <c r="A27" s="1902">
        <f>A25+0.01</f>
        <v>1.08</v>
      </c>
      <c r="B27" s="368" t="s">
        <v>3138</v>
      </c>
      <c r="C27" s="369"/>
      <c r="D27" s="251" t="s">
        <v>2423</v>
      </c>
      <c r="E27" s="2500"/>
      <c r="F27" s="2500"/>
      <c r="G27" s="350"/>
      <c r="H27" s="1901"/>
      <c r="I27" s="306"/>
      <c r="J27" s="306"/>
      <c r="K27" s="306"/>
      <c r="L27" s="306"/>
      <c r="M27" s="306"/>
      <c r="N27" s="306"/>
      <c r="O27" s="306"/>
      <c r="P27" s="306"/>
      <c r="Q27" s="306"/>
    </row>
    <row r="28" spans="1:25" hidden="1" x14ac:dyDescent="0.25">
      <c r="A28" s="1902"/>
      <c r="B28" s="368"/>
      <c r="C28" s="369"/>
      <c r="D28" s="251"/>
      <c r="E28" s="2500"/>
      <c r="F28" s="2500"/>
      <c r="G28" s="350"/>
      <c r="H28" s="1901"/>
      <c r="I28" s="306"/>
      <c r="J28" s="306"/>
      <c r="K28" s="306"/>
      <c r="L28" s="306"/>
      <c r="M28" s="306"/>
      <c r="N28" s="306"/>
      <c r="O28" s="306"/>
      <c r="P28" s="306"/>
      <c r="Q28" s="306"/>
    </row>
    <row r="29" spans="1:25" ht="41.4" hidden="1" x14ac:dyDescent="0.25">
      <c r="A29" s="1902" t="s">
        <v>495</v>
      </c>
      <c r="B29" s="368" t="s">
        <v>3149</v>
      </c>
      <c r="C29" s="369"/>
      <c r="D29" s="251" t="s">
        <v>2423</v>
      </c>
      <c r="E29" s="2500"/>
      <c r="F29" s="2500"/>
      <c r="G29" s="350"/>
      <c r="H29" s="1901"/>
      <c r="I29" s="306"/>
      <c r="J29" s="306"/>
      <c r="K29" s="306"/>
      <c r="L29" s="306"/>
      <c r="M29" s="306"/>
      <c r="N29" s="306"/>
      <c r="O29" s="306"/>
      <c r="P29" s="306"/>
      <c r="Q29" s="306"/>
    </row>
    <row r="30" spans="1:25" hidden="1" x14ac:dyDescent="0.25">
      <c r="A30" s="1902"/>
      <c r="B30" s="368"/>
      <c r="C30" s="369"/>
      <c r="D30" s="251"/>
      <c r="E30" s="2500"/>
      <c r="F30" s="2500"/>
      <c r="G30" s="350"/>
      <c r="H30" s="1901"/>
      <c r="I30" s="306"/>
      <c r="J30" s="306"/>
      <c r="K30" s="306"/>
      <c r="L30" s="306"/>
      <c r="M30" s="306"/>
      <c r="N30" s="306"/>
      <c r="O30" s="306"/>
      <c r="P30" s="306"/>
      <c r="Q30" s="306"/>
    </row>
    <row r="31" spans="1:25" ht="45" hidden="1" customHeight="1" x14ac:dyDescent="0.25">
      <c r="A31" s="1902" t="s">
        <v>496</v>
      </c>
      <c r="B31" s="368" t="s">
        <v>3150</v>
      </c>
      <c r="C31" s="369"/>
      <c r="D31" s="251" t="s">
        <v>2423</v>
      </c>
      <c r="E31" s="2500"/>
      <c r="F31" s="2500"/>
      <c r="G31" s="350"/>
      <c r="H31" s="1901"/>
      <c r="I31" s="306"/>
      <c r="J31" s="306"/>
      <c r="K31" s="306"/>
      <c r="L31" s="306"/>
      <c r="M31" s="306"/>
      <c r="N31" s="306"/>
      <c r="O31" s="306"/>
      <c r="P31" s="306"/>
      <c r="Q31" s="306"/>
    </row>
    <row r="32" spans="1:25" hidden="1" x14ac:dyDescent="0.25">
      <c r="A32" s="1902"/>
      <c r="B32" s="368"/>
      <c r="C32" s="369"/>
      <c r="D32" s="251"/>
      <c r="E32" s="2500"/>
      <c r="F32" s="2500"/>
      <c r="G32" s="350"/>
      <c r="H32" s="1901"/>
      <c r="I32" s="306"/>
      <c r="J32" s="306"/>
      <c r="K32" s="306"/>
      <c r="L32" s="306"/>
      <c r="M32" s="306"/>
      <c r="N32" s="306"/>
      <c r="O32" s="306"/>
      <c r="P32" s="306"/>
      <c r="Q32" s="306"/>
    </row>
    <row r="33" spans="1:19" s="889" customFormat="1" ht="45" hidden="1" customHeight="1" x14ac:dyDescent="0.25">
      <c r="A33" s="1903" t="s">
        <v>497</v>
      </c>
      <c r="B33" s="1067" t="s">
        <v>2579</v>
      </c>
      <c r="C33" s="886"/>
      <c r="D33" s="885" t="s">
        <v>2423</v>
      </c>
      <c r="E33" s="2500"/>
      <c r="F33" s="2500"/>
      <c r="G33" s="887"/>
      <c r="H33" s="1904"/>
      <c r="I33" s="1077"/>
      <c r="J33" s="1077"/>
      <c r="K33" s="1077"/>
      <c r="L33" s="1077"/>
      <c r="M33" s="1077"/>
      <c r="N33" s="1077"/>
      <c r="O33" s="1077"/>
      <c r="P33" s="1077"/>
      <c r="Q33" s="1077"/>
    </row>
    <row r="34" spans="1:19" hidden="1" x14ac:dyDescent="0.25">
      <c r="A34" s="1902"/>
      <c r="B34" s="368"/>
      <c r="C34" s="369"/>
      <c r="D34" s="251"/>
      <c r="E34" s="2500"/>
      <c r="F34" s="2500"/>
      <c r="G34" s="350"/>
      <c r="H34" s="1901"/>
      <c r="I34" s="306"/>
      <c r="J34" s="306"/>
      <c r="K34" s="306"/>
      <c r="L34" s="306"/>
      <c r="M34" s="306"/>
      <c r="N34" s="306"/>
      <c r="O34" s="306"/>
      <c r="P34" s="306"/>
      <c r="Q34" s="306"/>
    </row>
    <row r="35" spans="1:19" ht="45" hidden="1" customHeight="1" x14ac:dyDescent="0.25">
      <c r="A35" s="1902" t="s">
        <v>498</v>
      </c>
      <c r="B35" s="368" t="s">
        <v>3153</v>
      </c>
      <c r="C35" s="369"/>
      <c r="D35" s="251" t="s">
        <v>2423</v>
      </c>
      <c r="E35" s="2500"/>
      <c r="F35" s="2500"/>
      <c r="G35" s="350"/>
      <c r="H35" s="1901"/>
      <c r="I35" s="306"/>
      <c r="J35" s="306"/>
      <c r="K35" s="306"/>
      <c r="L35" s="306"/>
      <c r="M35" s="306"/>
      <c r="N35" s="306"/>
      <c r="O35" s="306"/>
      <c r="P35" s="306"/>
      <c r="Q35" s="306"/>
    </row>
    <row r="36" spans="1:19" ht="41.4" hidden="1" x14ac:dyDescent="0.25">
      <c r="A36" s="1902" t="s">
        <v>1867</v>
      </c>
      <c r="B36" s="368" t="s">
        <v>3136</v>
      </c>
      <c r="C36" s="369"/>
      <c r="D36" s="251" t="s">
        <v>2423</v>
      </c>
      <c r="E36" s="2500"/>
      <c r="F36" s="2500"/>
      <c r="G36" s="350"/>
      <c r="H36" s="1901"/>
      <c r="I36" s="306"/>
      <c r="J36" s="306"/>
      <c r="K36" s="306"/>
      <c r="L36" s="306"/>
      <c r="M36" s="306"/>
      <c r="N36" s="306"/>
      <c r="O36" s="306"/>
      <c r="P36" s="306"/>
      <c r="Q36" s="306"/>
    </row>
    <row r="37" spans="1:19" hidden="1" x14ac:dyDescent="0.25">
      <c r="A37" s="1902"/>
      <c r="B37" s="368"/>
      <c r="C37" s="369"/>
      <c r="D37" s="251"/>
      <c r="E37" s="2500"/>
      <c r="F37" s="2500"/>
      <c r="G37" s="350"/>
      <c r="H37" s="1901"/>
      <c r="I37" s="306"/>
      <c r="J37" s="306"/>
      <c r="K37" s="306"/>
      <c r="L37" s="306"/>
      <c r="M37" s="306"/>
      <c r="N37" s="306"/>
      <c r="O37" s="306"/>
      <c r="P37" s="306"/>
      <c r="Q37" s="306"/>
    </row>
    <row r="38" spans="1:19" ht="41.4" hidden="1" x14ac:dyDescent="0.25">
      <c r="A38" s="1902" t="s">
        <v>1867</v>
      </c>
      <c r="B38" s="368" t="s">
        <v>2580</v>
      </c>
      <c r="C38" s="369"/>
      <c r="D38" s="251" t="s">
        <v>2423</v>
      </c>
      <c r="E38" s="2500"/>
      <c r="F38" s="2500"/>
      <c r="G38" s="350"/>
      <c r="H38" s="1901"/>
      <c r="I38" s="306"/>
      <c r="J38" s="306"/>
      <c r="K38" s="306"/>
      <c r="L38" s="306"/>
      <c r="M38" s="306"/>
      <c r="N38" s="306"/>
      <c r="O38" s="306"/>
      <c r="P38" s="306"/>
      <c r="Q38" s="306"/>
    </row>
    <row r="39" spans="1:19" hidden="1" x14ac:dyDescent="0.25">
      <c r="A39" s="1902"/>
      <c r="B39" s="368"/>
      <c r="C39" s="369"/>
      <c r="D39" s="251"/>
      <c r="E39" s="2500"/>
      <c r="F39" s="2500"/>
      <c r="G39" s="350"/>
      <c r="H39" s="1901"/>
      <c r="I39" s="306"/>
      <c r="J39" s="306"/>
      <c r="K39" s="306"/>
      <c r="L39" s="306"/>
      <c r="M39" s="306"/>
      <c r="N39" s="306"/>
      <c r="O39" s="306"/>
      <c r="P39" s="306"/>
      <c r="Q39" s="306"/>
    </row>
    <row r="40" spans="1:19" ht="41.4" hidden="1" x14ac:dyDescent="0.25">
      <c r="A40" s="1902" t="s">
        <v>1867</v>
      </c>
      <c r="B40" s="368" t="s">
        <v>2581</v>
      </c>
      <c r="C40" s="369"/>
      <c r="D40" s="251" t="s">
        <v>2423</v>
      </c>
      <c r="E40" s="2500"/>
      <c r="F40" s="2500"/>
      <c r="G40" s="350"/>
      <c r="H40" s="1901"/>
      <c r="I40" s="306"/>
      <c r="J40" s="306"/>
      <c r="K40" s="306"/>
      <c r="L40" s="306"/>
      <c r="M40" s="306"/>
      <c r="N40" s="306"/>
      <c r="O40" s="306"/>
      <c r="P40" s="306"/>
      <c r="Q40" s="306"/>
    </row>
    <row r="41" spans="1:19" s="1188" customFormat="1" ht="15.6" hidden="1" x14ac:dyDescent="0.25">
      <c r="A41" s="1928"/>
      <c r="B41" s="2096" t="s">
        <v>1865</v>
      </c>
      <c r="C41" s="2097"/>
      <c r="D41" s="2005"/>
      <c r="E41" s="2500"/>
      <c r="F41" s="2500"/>
      <c r="G41" s="2006"/>
      <c r="H41" s="2007"/>
      <c r="I41" s="2032"/>
      <c r="J41" s="2032"/>
      <c r="K41" s="2032"/>
      <c r="L41" s="2032"/>
      <c r="M41" s="2032"/>
      <c r="N41" s="2032"/>
      <c r="O41" s="2032"/>
      <c r="P41" s="2032" t="e">
        <f>#REF!*100</f>
        <v>#REF!</v>
      </c>
      <c r="Q41" s="2032"/>
    </row>
    <row r="42" spans="1:19" s="2098" customFormat="1" ht="27.6" hidden="1" x14ac:dyDescent="0.25">
      <c r="A42" s="2003" t="s">
        <v>211</v>
      </c>
      <c r="B42" s="2008" t="s">
        <v>1044</v>
      </c>
      <c r="C42" s="2004"/>
      <c r="D42" s="2005" t="s">
        <v>2508</v>
      </c>
      <c r="E42" s="2500"/>
      <c r="F42" s="2500"/>
      <c r="G42" s="2006"/>
      <c r="H42" s="2007"/>
      <c r="I42" s="2032"/>
      <c r="J42" s="2032"/>
      <c r="K42" s="2032"/>
      <c r="L42" s="2032"/>
      <c r="M42" s="2032"/>
      <c r="N42" s="2032">
        <f>27+27+12+12</f>
        <v>78</v>
      </c>
      <c r="O42" s="2032">
        <f>N42*1.05</f>
        <v>81.900000000000006</v>
      </c>
      <c r="P42" s="2032">
        <f>O42/9.29</f>
        <v>8.8159311087190542</v>
      </c>
      <c r="Q42" s="2032"/>
      <c r="S42" s="2098">
        <f>14.36/2.83</f>
        <v>5.0742049469964661</v>
      </c>
    </row>
    <row r="43" spans="1:19" s="36" customFormat="1" ht="14.4" thickBot="1" x14ac:dyDescent="0.3">
      <c r="A43" s="1902"/>
      <c r="B43" s="368"/>
      <c r="C43" s="369"/>
      <c r="D43" s="251"/>
      <c r="E43" s="2500"/>
      <c r="F43" s="2500"/>
      <c r="G43" s="350"/>
      <c r="H43" s="1901"/>
      <c r="I43" s="306"/>
      <c r="J43" s="306"/>
      <c r="K43" s="306"/>
      <c r="L43" s="306"/>
      <c r="M43" s="306"/>
      <c r="N43" s="306"/>
      <c r="O43" s="306"/>
      <c r="P43" s="306"/>
      <c r="Q43" s="306"/>
    </row>
    <row r="44" spans="1:19" s="12" customFormat="1" ht="14.4" thickBot="1" x14ac:dyDescent="0.3">
      <c r="A44" s="379"/>
      <c r="B44" s="384" t="s">
        <v>907</v>
      </c>
      <c r="C44" s="380"/>
      <c r="D44" s="381"/>
      <c r="E44" s="2506"/>
      <c r="F44" s="2506"/>
      <c r="G44" s="382"/>
      <c r="H44" s="383">
        <f>SUM(H11:H43)</f>
        <v>5928300</v>
      </c>
      <c r="I44" s="307"/>
      <c r="J44" s="307"/>
      <c r="K44" s="307"/>
      <c r="L44" s="307"/>
      <c r="M44" s="307"/>
      <c r="N44" s="307"/>
      <c r="O44" s="307"/>
      <c r="P44" s="307"/>
      <c r="Q44" s="307"/>
    </row>
  </sheetData>
  <pageMargins left="0.51181102362204722" right="0.32" top="0.6692913385826772" bottom="0.23622047244094491" header="0.51181102362204722" footer="0.51181102362204722"/>
  <pageSetup orientation="portrait" r:id="rId1"/>
  <headerFooter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L16"/>
  <sheetViews>
    <sheetView view="pageBreakPreview" zoomScaleNormal="85" zoomScaleSheetLayoutView="100" workbookViewId="0">
      <pane ySplit="1" topLeftCell="A2" activePane="bottomLeft" state="frozen"/>
      <selection activeCell="L47" sqref="L47"/>
      <selection pane="bottomLeft" activeCell="L47" sqref="L47"/>
    </sheetView>
  </sheetViews>
  <sheetFormatPr defaultColWidth="9.21875" defaultRowHeight="13.8" x14ac:dyDescent="0.25"/>
  <cols>
    <col min="1" max="1" width="5.33203125" style="38" customWidth="1"/>
    <col min="2" max="2" width="53.44140625" style="36" customWidth="1"/>
    <col min="3" max="3" width="8.5546875" style="39" customWidth="1"/>
    <col min="4" max="4" width="8.21875" style="38" customWidth="1"/>
    <col min="5" max="6" width="10.44140625" style="2461" hidden="1" customWidth="1"/>
    <col min="7" max="7" width="10.44140625" style="202" customWidth="1"/>
    <col min="8" max="8" width="10.109375" style="39" bestFit="1" customWidth="1"/>
    <col min="9" max="9" width="9.21875" style="24"/>
    <col min="10" max="10" width="12.44140625" style="24" bestFit="1" customWidth="1"/>
    <col min="11" max="11" width="10" style="24" bestFit="1" customWidth="1"/>
    <col min="12" max="12" width="11" style="24" bestFit="1" customWidth="1"/>
    <col min="13" max="14" width="12.88671875" style="24" bestFit="1" customWidth="1"/>
    <col min="15" max="15" width="10.33203125" style="24" bestFit="1" customWidth="1"/>
    <col min="16" max="16384" width="9.21875" style="24"/>
  </cols>
  <sheetData>
    <row r="1" spans="1:12" s="31" customFormat="1" ht="14.4" thickBot="1" x14ac:dyDescent="0.3">
      <c r="A1" s="45" t="s">
        <v>0</v>
      </c>
      <c r="B1" s="46" t="s">
        <v>1</v>
      </c>
      <c r="C1" s="47" t="s">
        <v>2</v>
      </c>
      <c r="D1" s="48" t="s">
        <v>3</v>
      </c>
      <c r="E1" s="2530" t="s">
        <v>3565</v>
      </c>
      <c r="F1" s="2531" t="s">
        <v>3708</v>
      </c>
      <c r="G1" s="2532" t="s">
        <v>1286</v>
      </c>
      <c r="H1" s="49" t="s">
        <v>5</v>
      </c>
      <c r="I1" s="31">
        <f>+summary!D9</f>
        <v>0.75</v>
      </c>
    </row>
    <row r="2" spans="1:12" s="12" customFormat="1" ht="28.05" customHeight="1" x14ac:dyDescent="0.25">
      <c r="A2" s="1898"/>
      <c r="B2" s="386" t="s">
        <v>908</v>
      </c>
      <c r="C2" s="387"/>
      <c r="D2" s="388"/>
      <c r="E2" s="2494"/>
      <c r="F2" s="2495"/>
      <c r="G2" s="2207"/>
      <c r="H2" s="1899"/>
    </row>
    <row r="3" spans="1:12" s="12" customFormat="1" ht="15.6" x14ac:dyDescent="0.25">
      <c r="A3" s="1900"/>
      <c r="B3" s="377"/>
      <c r="C3" s="378"/>
      <c r="D3" s="251"/>
      <c r="E3" s="2496"/>
      <c r="F3" s="2497"/>
      <c r="G3" s="2201"/>
      <c r="H3" s="1901"/>
    </row>
    <row r="4" spans="1:12" s="12" customFormat="1" ht="27.6" x14ac:dyDescent="0.25">
      <c r="A4" s="1900" t="s">
        <v>214</v>
      </c>
      <c r="B4" s="373" t="s">
        <v>1089</v>
      </c>
      <c r="C4" s="374">
        <v>50</v>
      </c>
      <c r="D4" s="2484" t="s">
        <v>2423</v>
      </c>
      <c r="E4" s="2456">
        <f>+'Rate Breakdowns'!G854</f>
        <v>1403.0281216361682</v>
      </c>
      <c r="F4" s="2468">
        <f>+$I$1</f>
        <v>0.75</v>
      </c>
      <c r="G4" s="374">
        <f>ROUNDUP(E4/F4,-1)</f>
        <v>1880</v>
      </c>
      <c r="H4" s="2529">
        <f>C4*G4</f>
        <v>94000</v>
      </c>
    </row>
    <row r="5" spans="1:12" x14ac:dyDescent="0.25">
      <c r="A5" s="1902"/>
      <c r="B5" s="368"/>
      <c r="C5" s="369"/>
      <c r="D5" s="251"/>
      <c r="E5" s="2496"/>
      <c r="F5" s="2497"/>
      <c r="G5" s="2201"/>
      <c r="H5" s="1901"/>
    </row>
    <row r="6" spans="1:12" s="12" customFormat="1" ht="27.6" x14ac:dyDescent="0.25">
      <c r="A6" s="1900" t="s">
        <v>216</v>
      </c>
      <c r="B6" s="373" t="s">
        <v>1090</v>
      </c>
      <c r="C6" s="374">
        <f>'m shet rolf'!N83</f>
        <v>222</v>
      </c>
      <c r="D6" s="2484" t="s">
        <v>2423</v>
      </c>
      <c r="E6" s="2456">
        <f>+'Rate Breakdowns'!G112</f>
        <v>255.65123789020456</v>
      </c>
      <c r="F6" s="2468">
        <f>+$I$1</f>
        <v>0.75</v>
      </c>
      <c r="G6" s="374">
        <f>ROUNDUP(E6/F6,-1)</f>
        <v>350</v>
      </c>
      <c r="H6" s="2529">
        <f>C6*G6</f>
        <v>77700</v>
      </c>
      <c r="K6" s="2402"/>
      <c r="L6" s="2403"/>
    </row>
    <row r="7" spans="1:12" x14ac:dyDescent="0.25">
      <c r="A7" s="1902"/>
      <c r="B7" s="368"/>
      <c r="C7" s="369"/>
      <c r="D7" s="251"/>
      <c r="E7" s="2496"/>
      <c r="F7" s="2497"/>
      <c r="G7" s="2201"/>
      <c r="H7" s="1901"/>
      <c r="K7" s="348"/>
      <c r="L7" s="394"/>
    </row>
    <row r="8" spans="1:12" s="889" customFormat="1" ht="82.8" x14ac:dyDescent="0.25">
      <c r="A8" s="1903" t="s">
        <v>218</v>
      </c>
      <c r="B8" s="1067" t="s">
        <v>1091</v>
      </c>
      <c r="C8" s="886"/>
      <c r="D8" s="885"/>
      <c r="E8" s="2496"/>
      <c r="F8" s="2497"/>
      <c r="G8" s="2205"/>
      <c r="H8" s="1904"/>
      <c r="K8" s="2000"/>
      <c r="L8" s="2001"/>
    </row>
    <row r="9" spans="1:12" s="889" customFormat="1" x14ac:dyDescent="0.25">
      <c r="A9" s="1903"/>
      <c r="B9" s="1067" t="s">
        <v>3128</v>
      </c>
      <c r="C9" s="886">
        <f>'m shet rolf'!N86</f>
        <v>14</v>
      </c>
      <c r="D9" s="885" t="s">
        <v>2423</v>
      </c>
      <c r="E9" s="2496">
        <v>1600</v>
      </c>
      <c r="F9" s="2468">
        <f>+$I$1</f>
        <v>0.75</v>
      </c>
      <c r="G9" s="374">
        <f>ROUNDUP(E9/F9,-1)</f>
        <v>2140</v>
      </c>
      <c r="H9" s="2529">
        <f>C9*G9</f>
        <v>29960</v>
      </c>
    </row>
    <row r="10" spans="1:12" ht="14.4" thickBot="1" x14ac:dyDescent="0.3">
      <c r="A10" s="1902"/>
      <c r="B10" s="368"/>
      <c r="C10" s="369"/>
      <c r="D10" s="251"/>
      <c r="E10" s="2496"/>
      <c r="F10" s="2497"/>
      <c r="G10" s="2201"/>
      <c r="H10" s="1901"/>
    </row>
    <row r="11" spans="1:12" ht="14.4" thickBot="1" x14ac:dyDescent="0.3">
      <c r="A11" s="379"/>
      <c r="B11" s="384" t="s">
        <v>909</v>
      </c>
      <c r="C11" s="380"/>
      <c r="D11" s="381"/>
      <c r="E11" s="2502"/>
      <c r="F11" s="2503"/>
      <c r="G11" s="2206"/>
      <c r="H11" s="383">
        <f>SUM(H3:H10)</f>
        <v>201660</v>
      </c>
    </row>
    <row r="15" spans="1:12" x14ac:dyDescent="0.25">
      <c r="C15" s="39">
        <f>5*8</f>
        <v>40</v>
      </c>
    </row>
    <row r="16" spans="1:12" x14ac:dyDescent="0.25">
      <c r="C16" s="39">
        <f>C15/10.76</f>
        <v>3.7174721189591078</v>
      </c>
    </row>
  </sheetData>
  <pageMargins left="0.51181102362204722" right="0.51181102362204722" top="0.6692913385826772" bottom="0.23622047244094491" header="0.51181102362204722" footer="0.51181102362204722"/>
  <pageSetup orientation="portrait" r:id="rId1"/>
  <headerFooter alignWithMargins="0">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A1:I56"/>
  <sheetViews>
    <sheetView view="pageBreakPreview" zoomScaleNormal="85" zoomScaleSheetLayoutView="100" workbookViewId="0">
      <pane ySplit="1" topLeftCell="A2" activePane="bottomLeft" state="frozen"/>
      <selection activeCell="L47" sqref="L47"/>
      <selection pane="bottomLeft" activeCell="L47" sqref="L47"/>
    </sheetView>
  </sheetViews>
  <sheetFormatPr defaultColWidth="9.21875" defaultRowHeight="13.8" x14ac:dyDescent="0.25"/>
  <cols>
    <col min="1" max="1" width="8.21875" style="38" customWidth="1"/>
    <col min="2" max="2" width="52.33203125" style="36" customWidth="1"/>
    <col min="3" max="3" width="9.109375" style="39" customWidth="1"/>
    <col min="4" max="4" width="5.44140625" style="38" bestFit="1" customWidth="1"/>
    <col min="5" max="6" width="10.44140625" style="2461" hidden="1" customWidth="1"/>
    <col min="7" max="7" width="10.44140625" style="202" customWidth="1"/>
    <col min="8" max="8" width="11.6640625" style="39" bestFit="1" customWidth="1"/>
    <col min="9" max="9" width="9.21875" style="24"/>
    <col min="10" max="10" width="26.88671875" style="24" customWidth="1"/>
    <col min="11" max="11" width="10" style="24" bestFit="1" customWidth="1"/>
    <col min="12" max="12" width="11" style="24" bestFit="1" customWidth="1"/>
    <col min="13" max="14" width="12.88671875" style="24" bestFit="1" customWidth="1"/>
    <col min="15" max="15" width="10.33203125" style="24" bestFit="1" customWidth="1"/>
    <col min="16" max="16384" width="9.21875" style="24"/>
  </cols>
  <sheetData>
    <row r="1" spans="1:9" s="31" customFormat="1" ht="14.4" thickBot="1" x14ac:dyDescent="0.3">
      <c r="A1" s="45" t="s">
        <v>0</v>
      </c>
      <c r="B1" s="46" t="s">
        <v>1</v>
      </c>
      <c r="C1" s="47" t="s">
        <v>2</v>
      </c>
      <c r="D1" s="48" t="s">
        <v>3</v>
      </c>
      <c r="E1" s="2530" t="s">
        <v>3565</v>
      </c>
      <c r="F1" s="2531" t="s">
        <v>3708</v>
      </c>
      <c r="G1" s="2532" t="s">
        <v>1286</v>
      </c>
      <c r="H1" s="49" t="s">
        <v>5</v>
      </c>
      <c r="I1" s="31">
        <f>+summary!D10</f>
        <v>0.8</v>
      </c>
    </row>
    <row r="2" spans="1:9" x14ac:dyDescent="0.25">
      <c r="A2" s="1907"/>
      <c r="B2" s="958" t="s">
        <v>928</v>
      </c>
      <c r="C2" s="959"/>
      <c r="D2" s="388"/>
      <c r="E2" s="2494"/>
      <c r="F2" s="2495"/>
      <c r="G2" s="2207"/>
      <c r="H2" s="1899"/>
    </row>
    <row r="3" spans="1:9" x14ac:dyDescent="0.25">
      <c r="A3" s="1902"/>
      <c r="B3" s="396"/>
      <c r="C3" s="369"/>
      <c r="D3" s="251"/>
      <c r="E3" s="2496"/>
      <c r="F3" s="2497"/>
      <c r="G3" s="2201"/>
      <c r="H3" s="1901"/>
    </row>
    <row r="4" spans="1:9" ht="41.4" x14ac:dyDescent="0.25">
      <c r="A4" s="1902"/>
      <c r="B4" s="1042" t="s">
        <v>1356</v>
      </c>
      <c r="C4" s="369"/>
      <c r="D4" s="251"/>
      <c r="E4" s="2496"/>
      <c r="F4" s="2497"/>
      <c r="G4" s="2201"/>
      <c r="H4" s="1901"/>
    </row>
    <row r="5" spans="1:9" x14ac:dyDescent="0.25">
      <c r="A5" s="1902"/>
      <c r="B5" s="396"/>
      <c r="C5" s="369"/>
      <c r="D5" s="251"/>
      <c r="E5" s="2496"/>
      <c r="F5" s="2497"/>
      <c r="G5" s="2201"/>
      <c r="H5" s="1901"/>
    </row>
    <row r="6" spans="1:9" ht="27.6" x14ac:dyDescent="0.25">
      <c r="A6" s="1902"/>
      <c r="B6" s="396" t="s">
        <v>1092</v>
      </c>
      <c r="C6" s="369"/>
      <c r="D6" s="251"/>
      <c r="E6" s="2496"/>
      <c r="F6" s="2497"/>
      <c r="G6" s="2201"/>
      <c r="H6" s="1901"/>
    </row>
    <row r="7" spans="1:9" x14ac:dyDescent="0.25">
      <c r="A7" s="1902"/>
      <c r="B7" s="396"/>
      <c r="C7" s="369"/>
      <c r="D7" s="251"/>
      <c r="E7" s="2496"/>
      <c r="F7" s="2497"/>
      <c r="G7" s="2201"/>
      <c r="H7" s="1901"/>
    </row>
    <row r="8" spans="1:9" ht="113.4" customHeight="1" x14ac:dyDescent="0.25">
      <c r="A8" s="1902"/>
      <c r="B8" s="1042" t="s">
        <v>881</v>
      </c>
      <c r="C8" s="369"/>
      <c r="D8" s="251"/>
      <c r="E8" s="2496"/>
      <c r="F8" s="2497"/>
      <c r="G8" s="2201"/>
      <c r="H8" s="1901"/>
    </row>
    <row r="9" spans="1:9" x14ac:dyDescent="0.25">
      <c r="A9" s="1902"/>
      <c r="B9" s="396" t="s">
        <v>882</v>
      </c>
      <c r="C9" s="369"/>
      <c r="D9" s="251"/>
      <c r="E9" s="2496"/>
      <c r="F9" s="2497"/>
      <c r="G9" s="2201"/>
      <c r="H9" s="1901"/>
    </row>
    <row r="10" spans="1:9" x14ac:dyDescent="0.25">
      <c r="A10" s="1902"/>
      <c r="B10" s="396"/>
      <c r="C10" s="369"/>
      <c r="D10" s="251"/>
      <c r="E10" s="2496"/>
      <c r="F10" s="2497"/>
      <c r="G10" s="2201"/>
      <c r="H10" s="1901"/>
    </row>
    <row r="11" spans="1:9" ht="47.4" customHeight="1" x14ac:dyDescent="0.25">
      <c r="A11" s="1902"/>
      <c r="B11" s="1149" t="s">
        <v>1355</v>
      </c>
      <c r="C11" s="369"/>
      <c r="D11" s="251"/>
      <c r="E11" s="2496"/>
      <c r="F11" s="2497"/>
      <c r="G11" s="2201"/>
      <c r="H11" s="1901"/>
    </row>
    <row r="12" spans="1:9" x14ac:dyDescent="0.25">
      <c r="A12" s="1902"/>
      <c r="B12" s="396"/>
      <c r="C12" s="369"/>
      <c r="D12" s="251"/>
      <c r="E12" s="2496"/>
      <c r="F12" s="2497"/>
      <c r="G12" s="2201"/>
      <c r="H12" s="1901"/>
    </row>
    <row r="13" spans="1:9" ht="118.8" customHeight="1" x14ac:dyDescent="0.25">
      <c r="A13" s="1902"/>
      <c r="B13" s="396" t="s">
        <v>2416</v>
      </c>
      <c r="C13" s="369"/>
      <c r="D13" s="251"/>
      <c r="E13" s="2496"/>
      <c r="F13" s="2497"/>
      <c r="G13" s="2201"/>
      <c r="H13" s="1901"/>
    </row>
    <row r="14" spans="1:9" x14ac:dyDescent="0.25">
      <c r="A14" s="1902"/>
      <c r="B14" s="396"/>
      <c r="C14" s="369"/>
      <c r="D14" s="251"/>
      <c r="E14" s="2496"/>
      <c r="F14" s="2497"/>
      <c r="G14" s="2201"/>
      <c r="H14" s="1901"/>
    </row>
    <row r="15" spans="1:9" ht="27.6" x14ac:dyDescent="0.25">
      <c r="A15" s="1902"/>
      <c r="B15" s="396" t="s">
        <v>1357</v>
      </c>
      <c r="C15" s="369"/>
      <c r="D15" s="251"/>
      <c r="E15" s="2496"/>
      <c r="F15" s="2497"/>
      <c r="G15" s="2201"/>
      <c r="H15" s="1901"/>
    </row>
    <row r="16" spans="1:9" x14ac:dyDescent="0.25">
      <c r="A16" s="1902"/>
      <c r="B16" s="396"/>
      <c r="C16" s="369"/>
      <c r="D16" s="251"/>
      <c r="E16" s="2496"/>
      <c r="F16" s="2497"/>
      <c r="G16" s="2201"/>
      <c r="H16" s="1901"/>
    </row>
    <row r="17" spans="1:8" ht="108.6" customHeight="1" x14ac:dyDescent="0.25">
      <c r="A17" s="1902"/>
      <c r="B17" s="396" t="s">
        <v>2533</v>
      </c>
      <c r="C17" s="369"/>
      <c r="D17" s="251"/>
      <c r="E17" s="2496"/>
      <c r="F17" s="2497"/>
      <c r="G17" s="2201"/>
      <c r="H17" s="1901"/>
    </row>
    <row r="18" spans="1:8" x14ac:dyDescent="0.25">
      <c r="A18" s="1902"/>
      <c r="B18" s="396"/>
      <c r="C18" s="369"/>
      <c r="D18" s="251"/>
      <c r="E18" s="2496"/>
      <c r="F18" s="2497"/>
      <c r="G18" s="2201"/>
      <c r="H18" s="1901"/>
    </row>
    <row r="19" spans="1:8" x14ac:dyDescent="0.25">
      <c r="A19" s="1902"/>
      <c r="B19" s="396"/>
      <c r="C19" s="369"/>
      <c r="D19" s="251"/>
      <c r="E19" s="2496"/>
      <c r="F19" s="2497"/>
      <c r="G19" s="2201"/>
      <c r="H19" s="1901"/>
    </row>
    <row r="20" spans="1:8" x14ac:dyDescent="0.25">
      <c r="A20" s="1902"/>
      <c r="B20" s="396"/>
      <c r="C20" s="369"/>
      <c r="D20" s="251"/>
      <c r="E20" s="2496"/>
      <c r="F20" s="2497"/>
      <c r="G20" s="2201"/>
      <c r="H20" s="1901"/>
    </row>
    <row r="21" spans="1:8" x14ac:dyDescent="0.25">
      <c r="A21" s="1902"/>
      <c r="B21" s="396"/>
      <c r="C21" s="369"/>
      <c r="D21" s="251"/>
      <c r="E21" s="2496"/>
      <c r="F21" s="2497"/>
      <c r="G21" s="2201"/>
      <c r="H21" s="1901"/>
    </row>
    <row r="22" spans="1:8" x14ac:dyDescent="0.25">
      <c r="A22" s="1902"/>
      <c r="B22" s="396"/>
      <c r="C22" s="369"/>
      <c r="D22" s="251"/>
      <c r="E22" s="2496"/>
      <c r="F22" s="2497"/>
      <c r="G22" s="2201"/>
      <c r="H22" s="1901"/>
    </row>
    <row r="23" spans="1:8" x14ac:dyDescent="0.25">
      <c r="A23" s="1902"/>
      <c r="B23" s="396"/>
      <c r="C23" s="369"/>
      <c r="D23" s="251"/>
      <c r="E23" s="2496"/>
      <c r="F23" s="2497"/>
      <c r="G23" s="2201"/>
      <c r="H23" s="1901"/>
    </row>
    <row r="24" spans="1:8" x14ac:dyDescent="0.25">
      <c r="A24" s="1902"/>
      <c r="B24" s="396"/>
      <c r="C24" s="369"/>
      <c r="D24" s="251"/>
      <c r="E24" s="2496"/>
      <c r="F24" s="2497"/>
      <c r="G24" s="2201"/>
      <c r="H24" s="1901"/>
    </row>
    <row r="25" spans="1:8" x14ac:dyDescent="0.25">
      <c r="A25" s="1902"/>
      <c r="B25" s="396"/>
      <c r="C25" s="369"/>
      <c r="D25" s="251"/>
      <c r="E25" s="2496"/>
      <c r="F25" s="2497"/>
      <c r="G25" s="2201"/>
      <c r="H25" s="1901"/>
    </row>
    <row r="26" spans="1:8" x14ac:dyDescent="0.25">
      <c r="A26" s="1902"/>
      <c r="B26" s="396"/>
      <c r="C26" s="369"/>
      <c r="D26" s="251"/>
      <c r="E26" s="2496"/>
      <c r="F26" s="2497"/>
      <c r="G26" s="2201"/>
      <c r="H26" s="1901"/>
    </row>
    <row r="27" spans="1:8" x14ac:dyDescent="0.25">
      <c r="A27" s="1902"/>
      <c r="B27" s="396"/>
      <c r="C27" s="369"/>
      <c r="D27" s="251"/>
      <c r="E27" s="2496"/>
      <c r="F27" s="2497"/>
      <c r="G27" s="2201"/>
      <c r="H27" s="1901"/>
    </row>
    <row r="28" spans="1:8" ht="14.4" thickBot="1" x14ac:dyDescent="0.3">
      <c r="A28" s="1905"/>
      <c r="B28" s="1066"/>
      <c r="C28" s="961"/>
      <c r="D28" s="962"/>
      <c r="E28" s="2498"/>
      <c r="F28" s="2499"/>
      <c r="G28" s="2203"/>
      <c r="H28" s="1906"/>
    </row>
    <row r="29" spans="1:8" ht="48" customHeight="1" x14ac:dyDescent="0.25">
      <c r="A29" s="1907" t="s">
        <v>929</v>
      </c>
      <c r="B29" s="1948" t="s">
        <v>883</v>
      </c>
      <c r="C29" s="959"/>
      <c r="D29" s="388"/>
      <c r="E29" s="2494"/>
      <c r="F29" s="2495"/>
      <c r="G29" s="2207"/>
      <c r="H29" s="1899"/>
    </row>
    <row r="30" spans="1:8" x14ac:dyDescent="0.25">
      <c r="A30" s="1902"/>
      <c r="B30" s="368"/>
      <c r="C30" s="369"/>
      <c r="D30" s="251"/>
      <c r="E30" s="2496"/>
      <c r="F30" s="2497"/>
      <c r="G30" s="2201"/>
      <c r="H30" s="1901"/>
    </row>
    <row r="31" spans="1:8" ht="123.6" customHeight="1" x14ac:dyDescent="0.25">
      <c r="A31" s="1902"/>
      <c r="B31" s="368" t="s">
        <v>3181</v>
      </c>
      <c r="C31" s="369"/>
      <c r="D31" s="251"/>
      <c r="E31" s="2500"/>
      <c r="F31" s="2501"/>
      <c r="G31" s="2208"/>
      <c r="H31" s="1901"/>
    </row>
    <row r="32" spans="1:8" x14ac:dyDescent="0.25">
      <c r="A32" s="1902" t="s">
        <v>930</v>
      </c>
      <c r="B32" s="368" t="s">
        <v>884</v>
      </c>
      <c r="C32" s="369">
        <f>'m shet rolf'!N94</f>
        <v>19</v>
      </c>
      <c r="D32" s="251" t="s">
        <v>2586</v>
      </c>
      <c r="E32" s="2496">
        <f>+'Rate Breakdowns'!G539</f>
        <v>3634.1032258064515</v>
      </c>
      <c r="F32" s="2468">
        <f>+I1</f>
        <v>0.8</v>
      </c>
      <c r="G32" s="374">
        <f>ROUNDUP(E32/F32,-1)</f>
        <v>4550</v>
      </c>
      <c r="H32" s="2529">
        <f>C32*G32</f>
        <v>86450</v>
      </c>
    </row>
    <row r="33" spans="1:8" x14ac:dyDescent="0.25">
      <c r="A33" s="1902" t="s">
        <v>931</v>
      </c>
      <c r="B33" s="368" t="s">
        <v>885</v>
      </c>
      <c r="C33" s="369">
        <f>'m shet rolf'!N116</f>
        <v>54</v>
      </c>
      <c r="D33" s="251" t="s">
        <v>2586</v>
      </c>
      <c r="E33" s="2496">
        <f>+E32*1.005</f>
        <v>3652.2737419354835</v>
      </c>
      <c r="F33" s="2468">
        <f>+$I$1</f>
        <v>0.8</v>
      </c>
      <c r="G33" s="374">
        <f t="shared" ref="G33:G34" si="0">ROUNDUP(E33/F33,-1)</f>
        <v>4570</v>
      </c>
      <c r="H33" s="2529">
        <f t="shared" ref="H33:H34" si="1">C33*G33</f>
        <v>246780</v>
      </c>
    </row>
    <row r="34" spans="1:8" x14ac:dyDescent="0.25">
      <c r="A34" s="1902" t="s">
        <v>2582</v>
      </c>
      <c r="B34" s="368" t="s">
        <v>3103</v>
      </c>
      <c r="C34" s="369">
        <f>'m shet rolf'!N139</f>
        <v>36</v>
      </c>
      <c r="D34" s="251" t="s">
        <v>2586</v>
      </c>
      <c r="E34" s="2496">
        <f>+E32*1.01</f>
        <v>3670.4442580645159</v>
      </c>
      <c r="F34" s="2468">
        <f>+$I$1</f>
        <v>0.8</v>
      </c>
      <c r="G34" s="374">
        <f t="shared" si="0"/>
        <v>4590</v>
      </c>
      <c r="H34" s="2529">
        <f t="shared" si="1"/>
        <v>165240</v>
      </c>
    </row>
    <row r="35" spans="1:8" hidden="1" x14ac:dyDescent="0.25">
      <c r="A35" s="1902" t="s">
        <v>2583</v>
      </c>
      <c r="B35" s="368" t="s">
        <v>3139</v>
      </c>
      <c r="C35" s="369"/>
      <c r="D35" s="251" t="s">
        <v>2586</v>
      </c>
      <c r="E35" s="2496"/>
      <c r="F35" s="2497"/>
      <c r="G35" s="2201"/>
      <c r="H35" s="1901"/>
    </row>
    <row r="36" spans="1:8" x14ac:dyDescent="0.25">
      <c r="A36" s="1902"/>
      <c r="B36" s="368"/>
      <c r="C36" s="369"/>
      <c r="D36" s="251"/>
      <c r="E36" s="2496"/>
      <c r="F36" s="2497"/>
      <c r="G36" s="2201"/>
      <c r="H36" s="1901"/>
    </row>
    <row r="37" spans="1:8" ht="49.2" customHeight="1" x14ac:dyDescent="0.25">
      <c r="A37" s="1902" t="s">
        <v>932</v>
      </c>
      <c r="B37" s="368" t="s">
        <v>1094</v>
      </c>
      <c r="C37" s="369"/>
      <c r="D37" s="251"/>
      <c r="E37" s="2496"/>
      <c r="F37" s="2497"/>
      <c r="G37" s="2201"/>
      <c r="H37" s="1901"/>
    </row>
    <row r="38" spans="1:8" x14ac:dyDescent="0.25">
      <c r="A38" s="1902"/>
      <c r="B38" s="368"/>
      <c r="C38" s="369"/>
      <c r="D38" s="251"/>
      <c r="E38" s="2496"/>
      <c r="F38" s="2497"/>
      <c r="G38" s="2201"/>
      <c r="H38" s="1901"/>
    </row>
    <row r="39" spans="1:8" ht="132" customHeight="1" x14ac:dyDescent="0.25">
      <c r="A39" s="1902"/>
      <c r="B39" s="392" t="s">
        <v>3159</v>
      </c>
      <c r="C39" s="369"/>
      <c r="D39" s="251"/>
      <c r="E39" s="2496"/>
      <c r="F39" s="2497"/>
      <c r="G39" s="2201"/>
      <c r="H39" s="1901"/>
    </row>
    <row r="40" spans="1:8" hidden="1" x14ac:dyDescent="0.25">
      <c r="A40" s="1902" t="s">
        <v>933</v>
      </c>
      <c r="B40" s="368" t="s">
        <v>884</v>
      </c>
      <c r="C40" s="369"/>
      <c r="D40" s="251" t="s">
        <v>2586</v>
      </c>
      <c r="E40" s="2496"/>
      <c r="F40" s="2497"/>
      <c r="G40" s="2201"/>
      <c r="H40" s="1901"/>
    </row>
    <row r="41" spans="1:8" x14ac:dyDescent="0.25">
      <c r="A41" s="1902" t="s">
        <v>934</v>
      </c>
      <c r="B41" s="368" t="s">
        <v>885</v>
      </c>
      <c r="C41" s="369">
        <f>'m shet rolf'!N157</f>
        <v>55</v>
      </c>
      <c r="D41" s="251" t="s">
        <v>2586</v>
      </c>
      <c r="E41" s="2496">
        <f>+E33</f>
        <v>3652.2737419354835</v>
      </c>
      <c r="F41" s="2468">
        <f t="shared" ref="F41:F43" si="2">+$I$1</f>
        <v>0.8</v>
      </c>
      <c r="G41" s="374">
        <f t="shared" ref="G41:G43" si="3">ROUNDUP(E41/F41,-1)</f>
        <v>4570</v>
      </c>
      <c r="H41" s="2529">
        <f t="shared" ref="H41:H43" si="4">C41*G41</f>
        <v>251350</v>
      </c>
    </row>
    <row r="42" spans="1:8" x14ac:dyDescent="0.25">
      <c r="A42" s="1902" t="s">
        <v>2587</v>
      </c>
      <c r="B42" s="368" t="s">
        <v>878</v>
      </c>
      <c r="C42" s="369">
        <f>'m shet rolf'!N162</f>
        <v>29</v>
      </c>
      <c r="D42" s="251" t="s">
        <v>2586</v>
      </c>
      <c r="E42" s="2496">
        <f>+E34</f>
        <v>3670.4442580645159</v>
      </c>
      <c r="F42" s="2468">
        <f t="shared" si="2"/>
        <v>0.8</v>
      </c>
      <c r="G42" s="374">
        <f t="shared" si="3"/>
        <v>4590</v>
      </c>
      <c r="H42" s="2529">
        <f t="shared" si="4"/>
        <v>133110</v>
      </c>
    </row>
    <row r="43" spans="1:8" x14ac:dyDescent="0.25">
      <c r="A43" s="1902" t="s">
        <v>2588</v>
      </c>
      <c r="B43" s="368" t="s">
        <v>3139</v>
      </c>
      <c r="C43" s="369">
        <f>flooring!C9</f>
        <v>14</v>
      </c>
      <c r="D43" s="251" t="s">
        <v>2586</v>
      </c>
      <c r="E43" s="2496">
        <f>+E32*1.015</f>
        <v>3688.6147741935479</v>
      </c>
      <c r="F43" s="2468">
        <f t="shared" si="2"/>
        <v>0.8</v>
      </c>
      <c r="G43" s="374">
        <f t="shared" si="3"/>
        <v>4620</v>
      </c>
      <c r="H43" s="2529">
        <f t="shared" si="4"/>
        <v>64680</v>
      </c>
    </row>
    <row r="44" spans="1:8" hidden="1" x14ac:dyDescent="0.25">
      <c r="A44" s="1902" t="s">
        <v>2589</v>
      </c>
      <c r="B44" s="368" t="s">
        <v>3154</v>
      </c>
      <c r="C44" s="369"/>
      <c r="D44" s="251" t="s">
        <v>2586</v>
      </c>
      <c r="E44" s="2496"/>
      <c r="F44" s="2497"/>
      <c r="G44" s="2201"/>
      <c r="H44" s="1901"/>
    </row>
    <row r="45" spans="1:8" ht="82.8" hidden="1" x14ac:dyDescent="0.25">
      <c r="A45" s="1902" t="s">
        <v>195</v>
      </c>
      <c r="B45" s="368" t="s">
        <v>2353</v>
      </c>
      <c r="C45" s="369"/>
      <c r="D45" s="251"/>
      <c r="E45" s="2496"/>
      <c r="F45" s="2497"/>
      <c r="G45" s="2201"/>
      <c r="H45" s="1901"/>
    </row>
    <row r="46" spans="1:8" hidden="1" x14ac:dyDescent="0.25">
      <c r="A46" s="1902" t="s">
        <v>2354</v>
      </c>
      <c r="B46" s="368" t="s">
        <v>2585</v>
      </c>
      <c r="C46" s="369"/>
      <c r="D46" s="251" t="s">
        <v>2586</v>
      </c>
      <c r="E46" s="2496"/>
      <c r="F46" s="2497"/>
      <c r="G46" s="2201"/>
      <c r="H46" s="1901"/>
    </row>
    <row r="47" spans="1:8" hidden="1" x14ac:dyDescent="0.25">
      <c r="A47" s="1902" t="s">
        <v>2590</v>
      </c>
      <c r="B47" s="368" t="s">
        <v>2345</v>
      </c>
      <c r="C47" s="369"/>
      <c r="D47" s="251" t="s">
        <v>2586</v>
      </c>
      <c r="E47" s="2496"/>
      <c r="F47" s="2497"/>
      <c r="G47" s="2201"/>
      <c r="H47" s="1901"/>
    </row>
    <row r="48" spans="1:8" hidden="1" x14ac:dyDescent="0.25">
      <c r="A48" s="1902" t="s">
        <v>2591</v>
      </c>
      <c r="B48" s="368" t="s">
        <v>2592</v>
      </c>
      <c r="C48" s="369"/>
      <c r="D48" s="251" t="s">
        <v>2586</v>
      </c>
      <c r="E48" s="2496"/>
      <c r="F48" s="2497"/>
      <c r="G48" s="2201"/>
      <c r="H48" s="1901"/>
    </row>
    <row r="49" spans="1:8" ht="14.4" thickBot="1" x14ac:dyDescent="0.3">
      <c r="A49" s="1905"/>
      <c r="B49" s="960"/>
      <c r="C49" s="961"/>
      <c r="D49" s="962"/>
      <c r="E49" s="2498"/>
      <c r="F49" s="2499"/>
      <c r="G49" s="2203"/>
      <c r="H49" s="1906"/>
    </row>
    <row r="50" spans="1:8" s="12" customFormat="1" ht="31.8" customHeight="1" thickBot="1" x14ac:dyDescent="0.3">
      <c r="A50" s="379"/>
      <c r="B50" s="1916" t="s">
        <v>910</v>
      </c>
      <c r="C50" s="380"/>
      <c r="D50" s="381"/>
      <c r="E50" s="2502"/>
      <c r="F50" s="2503"/>
      <c r="G50" s="2206"/>
      <c r="H50" s="1993">
        <f>SUM(H32:H49)</f>
        <v>947610</v>
      </c>
    </row>
    <row r="56" spans="1:8" x14ac:dyDescent="0.25">
      <c r="H56" s="39" t="e">
        <f>#REF!+H41+H46</f>
        <v>#REF!</v>
      </c>
    </row>
  </sheetData>
  <pageMargins left="0.51181102362204722" right="0.51181102362204722" top="0.51181102362204722" bottom="0.23622047244094491" header="0.51181102362204722" footer="0.27559055118110237"/>
  <pageSetup orientation="portrait" r:id="rId1"/>
  <headerFooter alignWithMargins="0">
    <oddFooter>&amp;C&amp;P</oddFooter>
  </headerFooter>
  <rowBreaks count="1" manualBreakCount="1">
    <brk id="28"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sheetPr>
  <dimension ref="A1:Q71"/>
  <sheetViews>
    <sheetView view="pageBreakPreview" zoomScaleNormal="85" zoomScaleSheetLayoutView="100" workbookViewId="0">
      <selection activeCell="L47" sqref="L47"/>
    </sheetView>
  </sheetViews>
  <sheetFormatPr defaultColWidth="9.21875" defaultRowHeight="13.8" x14ac:dyDescent="0.25"/>
  <cols>
    <col min="1" max="1" width="7.109375" style="669" customWidth="1"/>
    <col min="2" max="2" width="51.21875" style="2438" customWidth="1"/>
    <col min="3" max="3" width="8.88671875" style="2439" customWidth="1"/>
    <col min="4" max="4" width="5.109375" style="669" bestFit="1" customWidth="1"/>
    <col min="5" max="6" width="10.44140625" style="2493" hidden="1" customWidth="1"/>
    <col min="7" max="7" width="10.44140625" style="2440" customWidth="1"/>
    <col min="8" max="8" width="12.6640625" style="2439" bestFit="1" customWidth="1"/>
    <col min="9" max="9" width="9.21875" style="12"/>
    <col min="10" max="10" width="12.44140625" style="12" bestFit="1" customWidth="1"/>
    <col min="11" max="11" width="10" style="12" bestFit="1" customWidth="1"/>
    <col min="12" max="12" width="11" style="12" bestFit="1" customWidth="1"/>
    <col min="13" max="14" width="12.88671875" style="12" bestFit="1" customWidth="1"/>
    <col min="15" max="15" width="10.33203125" style="12" bestFit="1" customWidth="1"/>
    <col min="16" max="16384" width="9.21875" style="12"/>
  </cols>
  <sheetData>
    <row r="1" spans="1:17" s="31" customFormat="1" ht="14.4" thickBot="1" x14ac:dyDescent="0.3">
      <c r="A1" s="2425" t="s">
        <v>0</v>
      </c>
      <c r="B1" s="2426" t="s">
        <v>1</v>
      </c>
      <c r="C1" s="1942" t="s">
        <v>2</v>
      </c>
      <c r="D1" s="48" t="s">
        <v>3</v>
      </c>
      <c r="E1" s="2530" t="s">
        <v>3565</v>
      </c>
      <c r="F1" s="2531" t="s">
        <v>3708</v>
      </c>
      <c r="G1" s="2532" t="s">
        <v>1286</v>
      </c>
      <c r="H1" s="49" t="s">
        <v>5</v>
      </c>
      <c r="I1" s="31">
        <f>+summary!D11</f>
        <v>0.75</v>
      </c>
    </row>
    <row r="2" spans="1:17" ht="15.6" x14ac:dyDescent="0.25">
      <c r="A2" s="1898"/>
      <c r="B2" s="386" t="s">
        <v>911</v>
      </c>
      <c r="C2" s="387"/>
      <c r="D2" s="401"/>
      <c r="E2" s="2454"/>
      <c r="F2" s="2488"/>
      <c r="G2" s="2427"/>
      <c r="H2" s="2428"/>
    </row>
    <row r="3" spans="1:17" ht="15.6" x14ac:dyDescent="0.25">
      <c r="A3" s="1900"/>
      <c r="B3" s="377" t="s">
        <v>175</v>
      </c>
      <c r="C3" s="378"/>
      <c r="D3" s="2242"/>
      <c r="E3" s="2456"/>
      <c r="F3" s="2455"/>
      <c r="G3" s="2199"/>
      <c r="H3" s="2376"/>
    </row>
    <row r="4" spans="1:17" ht="46.8" x14ac:dyDescent="0.25">
      <c r="A4" s="1900"/>
      <c r="B4" s="397" t="s">
        <v>888</v>
      </c>
      <c r="C4" s="378"/>
      <c r="D4" s="2484"/>
      <c r="E4" s="2456"/>
      <c r="F4" s="2455"/>
      <c r="G4" s="2199"/>
      <c r="H4" s="2376"/>
    </row>
    <row r="5" spans="1:17" ht="15.6" x14ac:dyDescent="0.25">
      <c r="A5" s="1900"/>
      <c r="B5" s="377"/>
      <c r="C5" s="378"/>
      <c r="D5" s="2484"/>
      <c r="E5" s="2456"/>
      <c r="F5" s="2455"/>
      <c r="G5" s="2199"/>
      <c r="H5" s="2376"/>
    </row>
    <row r="6" spans="1:17" ht="46.8" x14ac:dyDescent="0.25">
      <c r="A6" s="1900"/>
      <c r="B6" s="398" t="s">
        <v>889</v>
      </c>
      <c r="C6" s="378"/>
      <c r="D6" s="2484"/>
      <c r="E6" s="2456"/>
      <c r="F6" s="2455"/>
      <c r="G6" s="2199"/>
      <c r="H6" s="2376"/>
    </row>
    <row r="7" spans="1:17" ht="15.6" x14ac:dyDescent="0.25">
      <c r="A7" s="1900"/>
      <c r="B7" s="398"/>
      <c r="C7" s="378"/>
      <c r="D7" s="2484"/>
      <c r="E7" s="2456"/>
      <c r="F7" s="2455"/>
      <c r="G7" s="2199"/>
      <c r="H7" s="2376"/>
      <c r="P7" s="12">
        <f>O7*0.6</f>
        <v>0</v>
      </c>
      <c r="Q7" s="12">
        <f>P7*10.76</f>
        <v>0</v>
      </c>
    </row>
    <row r="8" spans="1:17" ht="15.6" x14ac:dyDescent="0.25">
      <c r="A8" s="1900"/>
      <c r="B8" s="399" t="s">
        <v>890</v>
      </c>
      <c r="C8" s="378"/>
      <c r="D8" s="2484"/>
      <c r="E8" s="2456"/>
      <c r="F8" s="2455"/>
      <c r="G8" s="2199"/>
      <c r="H8" s="2376"/>
      <c r="P8" s="12">
        <f>P7/9.29</f>
        <v>0</v>
      </c>
    </row>
    <row r="9" spans="1:17" ht="48" customHeight="1" x14ac:dyDescent="0.25">
      <c r="A9" s="1900" t="s">
        <v>221</v>
      </c>
      <c r="B9" s="373" t="s">
        <v>1878</v>
      </c>
      <c r="C9" s="374">
        <v>52</v>
      </c>
      <c r="D9" s="2484" t="s">
        <v>2586</v>
      </c>
      <c r="E9" s="2456">
        <f>+'Rate Breakdowns'!G703</f>
        <v>1874.5357911733047</v>
      </c>
      <c r="F9" s="2468">
        <f>+$I$1</f>
        <v>0.75</v>
      </c>
      <c r="G9" s="374">
        <f>ROUNDUP(E9/F9,-1)</f>
        <v>2500</v>
      </c>
      <c r="H9" s="2529">
        <f>C9*G9</f>
        <v>130000</v>
      </c>
    </row>
    <row r="10" spans="1:17" x14ac:dyDescent="0.25">
      <c r="A10" s="1900"/>
      <c r="B10" s="373"/>
      <c r="C10" s="374"/>
      <c r="D10" s="2484"/>
      <c r="E10" s="2456"/>
      <c r="F10" s="2455"/>
      <c r="G10" s="2199"/>
      <c r="H10" s="2376"/>
    </row>
    <row r="11" spans="1:17" ht="55.2" x14ac:dyDescent="0.25">
      <c r="A11" s="1900" t="s">
        <v>222</v>
      </c>
      <c r="B11" s="1132" t="s">
        <v>1879</v>
      </c>
      <c r="C11" s="374"/>
      <c r="D11" s="2484"/>
      <c r="E11" s="2456"/>
      <c r="F11" s="2455"/>
      <c r="G11" s="2199"/>
      <c r="H11" s="2376"/>
    </row>
    <row r="12" spans="1:17" x14ac:dyDescent="0.25">
      <c r="A12" s="1900" t="s">
        <v>505</v>
      </c>
      <c r="B12" s="373" t="s">
        <v>61</v>
      </c>
      <c r="C12" s="374">
        <f>'m shet rolf'!N178</f>
        <v>133</v>
      </c>
      <c r="D12" s="2484" t="s">
        <v>2586</v>
      </c>
      <c r="E12" s="2456">
        <f>+'Rate Breakdowns'!G767</f>
        <v>1871.1632131324006</v>
      </c>
      <c r="F12" s="2468">
        <f>+$I$1</f>
        <v>0.75</v>
      </c>
      <c r="G12" s="374">
        <f>ROUNDUP(E12/F12,-1)</f>
        <v>2500</v>
      </c>
      <c r="H12" s="2529">
        <f>C12*G12</f>
        <v>332500</v>
      </c>
    </row>
    <row r="13" spans="1:17" x14ac:dyDescent="0.25">
      <c r="A13" s="1900" t="s">
        <v>506</v>
      </c>
      <c r="B13" s="373" t="s">
        <v>62</v>
      </c>
      <c r="C13" s="374">
        <f>'m shet rolf'!N204</f>
        <v>182</v>
      </c>
      <c r="D13" s="2484" t="s">
        <v>2586</v>
      </c>
      <c r="E13" s="2456">
        <f>+E12*1.01</f>
        <v>1889.8748452637246</v>
      </c>
      <c r="F13" s="2468">
        <f>+$I$1</f>
        <v>0.75</v>
      </c>
      <c r="G13" s="374">
        <f>ROUNDUP(E13/F13,-1)</f>
        <v>2520</v>
      </c>
      <c r="H13" s="2529">
        <f>C13*G13</f>
        <v>458640</v>
      </c>
    </row>
    <row r="14" spans="1:17" s="1191" customFormat="1" x14ac:dyDescent="0.25">
      <c r="A14" s="1927" t="s">
        <v>507</v>
      </c>
      <c r="B14" s="2429" t="s">
        <v>2350</v>
      </c>
      <c r="C14" s="2430">
        <f>'m shet rolf'!N227</f>
        <v>152</v>
      </c>
      <c r="D14" s="1069" t="s">
        <v>2586</v>
      </c>
      <c r="E14" s="2456">
        <f>+E12*1.02</f>
        <v>1908.5864773950486</v>
      </c>
      <c r="F14" s="2468">
        <f>+$I$1</f>
        <v>0.75</v>
      </c>
      <c r="G14" s="374">
        <f>ROUNDUP(E14/F14,-1)</f>
        <v>2550</v>
      </c>
      <c r="H14" s="2529">
        <f>C14*G14</f>
        <v>387600</v>
      </c>
    </row>
    <row r="15" spans="1:17" x14ac:dyDescent="0.25">
      <c r="A15" s="1900" t="s">
        <v>508</v>
      </c>
      <c r="B15" s="373" t="s">
        <v>3288</v>
      </c>
      <c r="C15" s="374">
        <f>'m shet rolf'!N240</f>
        <v>52</v>
      </c>
      <c r="D15" s="2484" t="s">
        <v>2586</v>
      </c>
      <c r="E15" s="2456">
        <f>+E12*1.03</f>
        <v>1927.2981095263726</v>
      </c>
      <c r="F15" s="2468">
        <f>+$I$1</f>
        <v>0.75</v>
      </c>
      <c r="G15" s="374">
        <f>ROUNDUP(E15/F15,-1)</f>
        <v>2570</v>
      </c>
      <c r="H15" s="2529">
        <f>C15*G15</f>
        <v>133640</v>
      </c>
    </row>
    <row r="16" spans="1:17" x14ac:dyDescent="0.25">
      <c r="A16" s="1900"/>
      <c r="B16" s="2431"/>
      <c r="C16" s="374"/>
      <c r="D16" s="2484"/>
      <c r="E16" s="2456"/>
      <c r="F16" s="2455"/>
      <c r="G16" s="2199"/>
      <c r="H16" s="2376"/>
    </row>
    <row r="17" spans="1:8" x14ac:dyDescent="0.25">
      <c r="A17" s="1900" t="s">
        <v>223</v>
      </c>
      <c r="B17" s="2432" t="s">
        <v>892</v>
      </c>
      <c r="C17" s="374"/>
      <c r="D17" s="2484"/>
      <c r="E17" s="2456"/>
      <c r="F17" s="2455"/>
      <c r="G17" s="2199"/>
      <c r="H17" s="2376"/>
    </row>
    <row r="18" spans="1:8" ht="55.2" x14ac:dyDescent="0.25">
      <c r="A18" s="1900" t="s">
        <v>893</v>
      </c>
      <c r="B18" s="403" t="s">
        <v>1883</v>
      </c>
      <c r="C18" s="374">
        <f>'m shet rolf'!N191</f>
        <v>116</v>
      </c>
      <c r="D18" s="2484" t="s">
        <v>2424</v>
      </c>
      <c r="E18" s="2456">
        <v>600</v>
      </c>
      <c r="F18" s="2468">
        <f>+$I$1</f>
        <v>0.75</v>
      </c>
      <c r="G18" s="374">
        <f>ROUNDUP(E18/F18,-1)</f>
        <v>800</v>
      </c>
      <c r="H18" s="2529">
        <f>C18*G18</f>
        <v>92800</v>
      </c>
    </row>
    <row r="19" spans="1:8" x14ac:dyDescent="0.25">
      <c r="A19" s="1900"/>
      <c r="B19" s="373"/>
      <c r="C19" s="374"/>
      <c r="D19" s="2484"/>
      <c r="E19" s="2456"/>
      <c r="F19" s="2455"/>
      <c r="G19" s="2199"/>
      <c r="H19" s="2376"/>
    </row>
    <row r="20" spans="1:8" ht="45.6" customHeight="1" x14ac:dyDescent="0.25">
      <c r="A20" s="1900" t="s">
        <v>894</v>
      </c>
      <c r="B20" s="1132" t="s">
        <v>1884</v>
      </c>
      <c r="C20" s="374">
        <f>'m shet rolf'!N215</f>
        <v>110</v>
      </c>
      <c r="D20" s="2484" t="s">
        <v>2424</v>
      </c>
      <c r="E20" s="2456">
        <v>630</v>
      </c>
      <c r="F20" s="2468">
        <f>+$I$1</f>
        <v>0.75</v>
      </c>
      <c r="G20" s="374">
        <f>ROUNDUP(E20/F20,-1)</f>
        <v>840</v>
      </c>
      <c r="H20" s="2529">
        <f>C20*G20</f>
        <v>92400</v>
      </c>
    </row>
    <row r="21" spans="1:8" x14ac:dyDescent="0.25">
      <c r="A21" s="1900"/>
      <c r="B21" s="1132"/>
      <c r="C21" s="374"/>
      <c r="D21" s="2484"/>
      <c r="E21" s="2456"/>
      <c r="F21" s="2455"/>
      <c r="G21" s="2199"/>
      <c r="H21" s="2376"/>
    </row>
    <row r="22" spans="1:8" ht="41.4" x14ac:dyDescent="0.25">
      <c r="A22" s="1900" t="s">
        <v>2594</v>
      </c>
      <c r="B22" s="1132" t="s">
        <v>3129</v>
      </c>
      <c r="C22" s="374">
        <f>'m shet rolf'!N238</f>
        <v>115</v>
      </c>
      <c r="D22" s="2484" t="s">
        <v>2424</v>
      </c>
      <c r="E22" s="2456">
        <v>660</v>
      </c>
      <c r="F22" s="2468">
        <f>+$I$1</f>
        <v>0.75</v>
      </c>
      <c r="G22" s="374">
        <f>ROUNDUP(E22/F22,-1)</f>
        <v>880</v>
      </c>
      <c r="H22" s="2529">
        <f>C22*G22</f>
        <v>101200</v>
      </c>
    </row>
    <row r="23" spans="1:8" x14ac:dyDescent="0.25">
      <c r="A23" s="1900"/>
      <c r="B23" s="1132"/>
      <c r="C23" s="374"/>
      <c r="D23" s="2484"/>
      <c r="E23" s="2456"/>
      <c r="F23" s="2455"/>
      <c r="G23" s="2199"/>
      <c r="H23" s="2376"/>
    </row>
    <row r="24" spans="1:8" ht="41.4" hidden="1" x14ac:dyDescent="0.25">
      <c r="A24" s="1900" t="s">
        <v>2595</v>
      </c>
      <c r="B24" s="1132" t="s">
        <v>3130</v>
      </c>
      <c r="C24" s="374"/>
      <c r="D24" s="2484" t="s">
        <v>2424</v>
      </c>
      <c r="E24" s="2456"/>
      <c r="F24" s="2455"/>
      <c r="G24" s="2199"/>
      <c r="H24" s="2376"/>
    </row>
    <row r="25" spans="1:8" hidden="1" x14ac:dyDescent="0.25">
      <c r="A25" s="1900"/>
      <c r="B25" s="1132"/>
      <c r="C25" s="374"/>
      <c r="D25" s="2484"/>
      <c r="E25" s="2456"/>
      <c r="F25" s="2455"/>
      <c r="G25" s="2199"/>
      <c r="H25" s="2376"/>
    </row>
    <row r="26" spans="1:8" ht="41.4" hidden="1" x14ac:dyDescent="0.25">
      <c r="A26" s="1900" t="s">
        <v>2596</v>
      </c>
      <c r="B26" s="1132" t="s">
        <v>3131</v>
      </c>
      <c r="C26" s="374"/>
      <c r="D26" s="2484" t="s">
        <v>2424</v>
      </c>
      <c r="E26" s="2456"/>
      <c r="F26" s="2455"/>
      <c r="G26" s="2199"/>
      <c r="H26" s="2376"/>
    </row>
    <row r="27" spans="1:8" hidden="1" x14ac:dyDescent="0.25">
      <c r="A27" s="1900"/>
      <c r="B27" s="1132"/>
      <c r="C27" s="374"/>
      <c r="D27" s="2484"/>
      <c r="E27" s="2456"/>
      <c r="F27" s="2455"/>
      <c r="G27" s="2199"/>
      <c r="H27" s="2376"/>
    </row>
    <row r="28" spans="1:8" hidden="1" x14ac:dyDescent="0.25">
      <c r="A28" s="1900"/>
      <c r="B28" s="1132"/>
      <c r="C28" s="374"/>
      <c r="D28" s="2484"/>
      <c r="E28" s="2456"/>
      <c r="F28" s="2455"/>
      <c r="G28" s="2199"/>
      <c r="H28" s="2376"/>
    </row>
    <row r="29" spans="1:8" hidden="1" x14ac:dyDescent="0.25">
      <c r="A29" s="1900"/>
      <c r="B29" s="1132"/>
      <c r="C29" s="374"/>
      <c r="D29" s="2484"/>
      <c r="E29" s="2456"/>
      <c r="F29" s="2455"/>
      <c r="G29" s="2199"/>
      <c r="H29" s="2376"/>
    </row>
    <row r="30" spans="1:8" hidden="1" x14ac:dyDescent="0.25">
      <c r="A30" s="1900"/>
      <c r="B30" s="1132"/>
      <c r="C30" s="374"/>
      <c r="D30" s="2484"/>
      <c r="E30" s="2456"/>
      <c r="F30" s="2455"/>
      <c r="G30" s="2199"/>
      <c r="H30" s="2376"/>
    </row>
    <row r="31" spans="1:8" hidden="1" x14ac:dyDescent="0.25">
      <c r="A31" s="1900"/>
      <c r="B31" s="1132"/>
      <c r="C31" s="374"/>
      <c r="D31" s="2484"/>
      <c r="E31" s="2456"/>
      <c r="F31" s="2455"/>
      <c r="G31" s="2199"/>
      <c r="H31" s="2376"/>
    </row>
    <row r="32" spans="1:8" hidden="1" x14ac:dyDescent="0.25">
      <c r="A32" s="1900"/>
      <c r="B32" s="1132"/>
      <c r="C32" s="374"/>
      <c r="D32" s="2484"/>
      <c r="E32" s="2456"/>
      <c r="F32" s="2455"/>
      <c r="G32" s="2199"/>
      <c r="H32" s="2376"/>
    </row>
    <row r="33" spans="1:8" hidden="1" x14ac:dyDescent="0.25">
      <c r="A33" s="1900"/>
      <c r="B33" s="1132"/>
      <c r="C33" s="374"/>
      <c r="D33" s="2484"/>
      <c r="E33" s="2456"/>
      <c r="F33" s="2455"/>
      <c r="G33" s="2199"/>
      <c r="H33" s="2376"/>
    </row>
    <row r="34" spans="1:8" hidden="1" x14ac:dyDescent="0.25">
      <c r="A34" s="1900"/>
      <c r="B34" s="1132"/>
      <c r="C34" s="374"/>
      <c r="D34" s="2484"/>
      <c r="E34" s="2456"/>
      <c r="F34" s="2455"/>
      <c r="G34" s="2199"/>
      <c r="H34" s="2376"/>
    </row>
    <row r="35" spans="1:8" x14ac:dyDescent="0.25">
      <c r="A35" s="1900"/>
      <c r="B35" s="375" t="s">
        <v>891</v>
      </c>
      <c r="C35" s="374"/>
      <c r="D35" s="2484"/>
      <c r="E35" s="2456"/>
      <c r="F35" s="2455"/>
      <c r="G35" s="2199"/>
      <c r="H35" s="2376"/>
    </row>
    <row r="36" spans="1:8" ht="45.6" customHeight="1" x14ac:dyDescent="0.25">
      <c r="A36" s="1900" t="s">
        <v>224</v>
      </c>
      <c r="B36" s="373" t="s">
        <v>2597</v>
      </c>
      <c r="C36" s="374"/>
      <c r="D36" s="2484"/>
      <c r="E36" s="2456"/>
      <c r="F36" s="2455"/>
      <c r="G36" s="2199"/>
      <c r="H36" s="2376"/>
    </row>
    <row r="37" spans="1:8" x14ac:dyDescent="0.25">
      <c r="A37" s="1900" t="s">
        <v>510</v>
      </c>
      <c r="B37" s="373" t="s">
        <v>61</v>
      </c>
      <c r="C37" s="374">
        <f>'m shet rolf'!N259</f>
        <v>258</v>
      </c>
      <c r="D37" s="2484" t="s">
        <v>2586</v>
      </c>
      <c r="E37" s="2456">
        <f>+'Rate Breakdowns'!G739</f>
        <v>1531.5224703982778</v>
      </c>
      <c r="F37" s="2468">
        <f t="shared" ref="F37:F39" si="0">+$I$1</f>
        <v>0.75</v>
      </c>
      <c r="G37" s="374">
        <f t="shared" ref="G37:G39" si="1">ROUNDUP(E37/F37,-1)</f>
        <v>2050</v>
      </c>
      <c r="H37" s="2529">
        <f t="shared" ref="H37:H39" si="2">C37*G37</f>
        <v>528900</v>
      </c>
    </row>
    <row r="38" spans="1:8" x14ac:dyDescent="0.25">
      <c r="A38" s="1900" t="s">
        <v>512</v>
      </c>
      <c r="B38" s="373" t="s">
        <v>62</v>
      </c>
      <c r="C38" s="374">
        <f>'m shet rolf'!N289</f>
        <v>298</v>
      </c>
      <c r="D38" s="2484" t="s">
        <v>2586</v>
      </c>
      <c r="E38" s="2456">
        <f>+E37*1.005</f>
        <v>1539.1800827502691</v>
      </c>
      <c r="F38" s="2468">
        <f t="shared" si="0"/>
        <v>0.75</v>
      </c>
      <c r="G38" s="374">
        <f t="shared" si="1"/>
        <v>2060</v>
      </c>
      <c r="H38" s="2529">
        <f t="shared" si="2"/>
        <v>613880</v>
      </c>
    </row>
    <row r="39" spans="1:8" s="1191" customFormat="1" x14ac:dyDescent="0.25">
      <c r="A39" s="1927" t="s">
        <v>513</v>
      </c>
      <c r="B39" s="2429" t="s">
        <v>2598</v>
      </c>
      <c r="C39" s="2430">
        <f>'m shet rolf'!N314</f>
        <v>333</v>
      </c>
      <c r="D39" s="1069" t="s">
        <v>2586</v>
      </c>
      <c r="E39" s="2456">
        <f>+E37*1.01</f>
        <v>1546.8376951022606</v>
      </c>
      <c r="F39" s="2468">
        <f t="shared" si="0"/>
        <v>0.75</v>
      </c>
      <c r="G39" s="374">
        <f t="shared" si="1"/>
        <v>2070</v>
      </c>
      <c r="H39" s="2529">
        <f t="shared" si="2"/>
        <v>689310</v>
      </c>
    </row>
    <row r="40" spans="1:8" hidden="1" x14ac:dyDescent="0.25">
      <c r="A40" s="1900" t="s">
        <v>511</v>
      </c>
      <c r="B40" s="373" t="s">
        <v>2593</v>
      </c>
      <c r="C40" s="374"/>
      <c r="D40" s="2484" t="s">
        <v>2586</v>
      </c>
      <c r="E40" s="2456"/>
      <c r="F40" s="2455"/>
      <c r="G40" s="2199"/>
      <c r="H40" s="2376"/>
    </row>
    <row r="41" spans="1:8" x14ac:dyDescent="0.25">
      <c r="A41" s="1900"/>
      <c r="B41" s="373"/>
      <c r="C41" s="374"/>
      <c r="D41" s="2484"/>
      <c r="E41" s="2456"/>
      <c r="F41" s="2455"/>
      <c r="G41" s="2199"/>
      <c r="H41" s="2376"/>
    </row>
    <row r="42" spans="1:8" x14ac:dyDescent="0.25">
      <c r="A42" s="1900" t="s">
        <v>225</v>
      </c>
      <c r="B42" s="375" t="s">
        <v>895</v>
      </c>
      <c r="C42" s="374"/>
      <c r="D42" s="2484"/>
      <c r="E42" s="2456"/>
      <c r="F42" s="2455"/>
      <c r="G42" s="2199"/>
      <c r="H42" s="2376"/>
    </row>
    <row r="43" spans="1:8" ht="58.2" customHeight="1" x14ac:dyDescent="0.25">
      <c r="A43" s="1900" t="s">
        <v>896</v>
      </c>
      <c r="B43" s="403" t="s">
        <v>1908</v>
      </c>
      <c r="C43" s="374">
        <f>'m shet rolf'!N276</f>
        <v>163</v>
      </c>
      <c r="D43" s="2484" t="str">
        <f>D20</f>
        <v>L.m</v>
      </c>
      <c r="E43" s="2456">
        <v>600</v>
      </c>
      <c r="F43" s="2468">
        <f>+$I$1</f>
        <v>0.75</v>
      </c>
      <c r="G43" s="374">
        <f>ROUNDUP(E43/F43,-1)</f>
        <v>800</v>
      </c>
      <c r="H43" s="2529">
        <f>C43*G43</f>
        <v>130400</v>
      </c>
    </row>
    <row r="44" spans="1:8" ht="14.4" thickBot="1" x14ac:dyDescent="0.3">
      <c r="A44" s="1922"/>
      <c r="B44" s="2433"/>
      <c r="C44" s="2234"/>
      <c r="D44" s="1009"/>
      <c r="E44" s="2489"/>
      <c r="F44" s="2490"/>
      <c r="G44" s="2434"/>
      <c r="H44" s="2435"/>
    </row>
    <row r="45" spans="1:8" ht="57.6" customHeight="1" x14ac:dyDescent="0.25">
      <c r="A45" s="1898" t="s">
        <v>897</v>
      </c>
      <c r="B45" s="2436" t="s">
        <v>1909</v>
      </c>
      <c r="C45" s="2437">
        <f>'m shet rolf'!N301</f>
        <v>169</v>
      </c>
      <c r="D45" s="401" t="str">
        <f>D43</f>
        <v>L.m</v>
      </c>
      <c r="E45" s="2454">
        <v>600</v>
      </c>
      <c r="F45" s="2555">
        <f>+$I$1</f>
        <v>0.75</v>
      </c>
      <c r="G45" s="2437">
        <f>ROUNDUP(E45/F45,-1)</f>
        <v>800</v>
      </c>
      <c r="H45" s="2556">
        <f>C45*G45</f>
        <v>135200</v>
      </c>
    </row>
    <row r="46" spans="1:8" ht="9" customHeight="1" x14ac:dyDescent="0.25">
      <c r="A46" s="1900"/>
      <c r="B46" s="373"/>
      <c r="C46" s="374"/>
      <c r="D46" s="2484"/>
      <c r="E46" s="2456"/>
      <c r="F46" s="2455"/>
      <c r="G46" s="2199"/>
      <c r="H46" s="2376"/>
    </row>
    <row r="47" spans="1:8" ht="58.8" customHeight="1" x14ac:dyDescent="0.25">
      <c r="A47" s="1900" t="s">
        <v>2599</v>
      </c>
      <c r="B47" s="1132" t="s">
        <v>3132</v>
      </c>
      <c r="C47" s="374">
        <f>'m shet rolf'!N326</f>
        <v>188</v>
      </c>
      <c r="D47" s="2484" t="str">
        <f>D45</f>
        <v>L.m</v>
      </c>
      <c r="E47" s="2456">
        <v>600</v>
      </c>
      <c r="F47" s="2468">
        <f>+$I$1</f>
        <v>0.75</v>
      </c>
      <c r="G47" s="374">
        <f>ROUNDUP(E47/F47,-1)</f>
        <v>800</v>
      </c>
      <c r="H47" s="2529">
        <f>C47*G47</f>
        <v>150400</v>
      </c>
    </row>
    <row r="48" spans="1:8" x14ac:dyDescent="0.25">
      <c r="A48" s="1900"/>
      <c r="B48" s="373"/>
      <c r="C48" s="374"/>
      <c r="D48" s="2484"/>
      <c r="E48" s="2456"/>
      <c r="F48" s="2455"/>
      <c r="G48" s="2199"/>
      <c r="H48" s="2376"/>
    </row>
    <row r="49" spans="1:8" ht="55.2" hidden="1" x14ac:dyDescent="0.25">
      <c r="A49" s="1900" t="s">
        <v>2600</v>
      </c>
      <c r="B49" s="1132" t="s">
        <v>3133</v>
      </c>
      <c r="C49" s="374"/>
      <c r="D49" s="2484" t="str">
        <f>D47</f>
        <v>L.m</v>
      </c>
      <c r="E49" s="2456"/>
      <c r="F49" s="2455"/>
      <c r="G49" s="2199"/>
      <c r="H49" s="2376"/>
    </row>
    <row r="50" spans="1:8" hidden="1" x14ac:dyDescent="0.25">
      <c r="A50" s="1900"/>
      <c r="B50" s="373"/>
      <c r="C50" s="374"/>
      <c r="D50" s="2484"/>
      <c r="E50" s="2456"/>
      <c r="F50" s="2455"/>
      <c r="G50" s="2199"/>
      <c r="H50" s="2376"/>
    </row>
    <row r="51" spans="1:8" ht="46.2" customHeight="1" x14ac:dyDescent="0.25">
      <c r="A51" s="1900" t="s">
        <v>226</v>
      </c>
      <c r="B51" s="373" t="s">
        <v>2601</v>
      </c>
      <c r="C51" s="2430"/>
      <c r="D51" s="2484"/>
      <c r="E51" s="2456"/>
      <c r="F51" s="2455"/>
      <c r="G51" s="2199"/>
      <c r="H51" s="2376"/>
    </row>
    <row r="52" spans="1:8" x14ac:dyDescent="0.25">
      <c r="A52" s="1900" t="s">
        <v>515</v>
      </c>
      <c r="B52" s="373" t="s">
        <v>61</v>
      </c>
      <c r="C52" s="2430">
        <f>'m shet rolf'!N329+concrete!C224</f>
        <v>245</v>
      </c>
      <c r="D52" s="2484" t="s">
        <v>2586</v>
      </c>
      <c r="E52" s="2456">
        <v>830</v>
      </c>
      <c r="F52" s="2468">
        <f t="shared" ref="F52:F54" si="3">+$I$1</f>
        <v>0.75</v>
      </c>
      <c r="G52" s="374">
        <f t="shared" ref="G52:G54" si="4">ROUNDUP(E52/F52,-1)</f>
        <v>1110</v>
      </c>
      <c r="H52" s="2529">
        <f t="shared" ref="H52:H54" si="5">C52*G52</f>
        <v>271950</v>
      </c>
    </row>
    <row r="53" spans="1:8" x14ac:dyDescent="0.25">
      <c r="A53" s="1900" t="s">
        <v>516</v>
      </c>
      <c r="B53" s="373" t="s">
        <v>62</v>
      </c>
      <c r="C53" s="2430">
        <f>'m shet rolf'!N331+concrete!C225</f>
        <v>208</v>
      </c>
      <c r="D53" s="2484" t="s">
        <v>2586</v>
      </c>
      <c r="E53" s="2456">
        <v>830</v>
      </c>
      <c r="F53" s="2468">
        <f t="shared" si="3"/>
        <v>0.75</v>
      </c>
      <c r="G53" s="374">
        <f t="shared" si="4"/>
        <v>1110</v>
      </c>
      <c r="H53" s="2529">
        <f t="shared" si="5"/>
        <v>230880</v>
      </c>
    </row>
    <row r="54" spans="1:8" x14ac:dyDescent="0.25">
      <c r="A54" s="1900" t="s">
        <v>517</v>
      </c>
      <c r="B54" s="373" t="s">
        <v>3290</v>
      </c>
      <c r="C54" s="2430">
        <f>'m shet rolf'!N333+concrete!C226</f>
        <v>14</v>
      </c>
      <c r="D54" s="2484" t="s">
        <v>2586</v>
      </c>
      <c r="E54" s="2456">
        <v>830</v>
      </c>
      <c r="F54" s="2468">
        <f t="shared" si="3"/>
        <v>0.75</v>
      </c>
      <c r="G54" s="374">
        <f t="shared" si="4"/>
        <v>1110</v>
      </c>
      <c r="H54" s="2529">
        <f t="shared" si="5"/>
        <v>15540</v>
      </c>
    </row>
    <row r="55" spans="1:8" hidden="1" x14ac:dyDescent="0.25">
      <c r="A55" s="1900" t="s">
        <v>518</v>
      </c>
      <c r="B55" s="373" t="s">
        <v>3155</v>
      </c>
      <c r="C55" s="2430"/>
      <c r="D55" s="2242" t="s">
        <v>2586</v>
      </c>
      <c r="E55" s="2456"/>
      <c r="F55" s="2455"/>
      <c r="G55" s="2199"/>
      <c r="H55" s="2376"/>
    </row>
    <row r="56" spans="1:8" ht="14.4" thickBot="1" x14ac:dyDescent="0.3">
      <c r="A56" s="1900"/>
      <c r="B56" s="373"/>
      <c r="C56" s="2430"/>
      <c r="D56" s="2242"/>
      <c r="E56" s="2456"/>
      <c r="F56" s="2455"/>
      <c r="G56" s="2199"/>
      <c r="H56" s="2376"/>
    </row>
    <row r="57" spans="1:8" ht="14.4" hidden="1" thickBot="1" x14ac:dyDescent="0.3">
      <c r="A57" s="1900" t="s">
        <v>1784</v>
      </c>
      <c r="B57" s="375" t="s">
        <v>1783</v>
      </c>
      <c r="C57" s="2430"/>
      <c r="D57" s="2242"/>
      <c r="E57" s="2456"/>
      <c r="F57" s="2455"/>
      <c r="G57" s="2199"/>
      <c r="H57" s="2376"/>
    </row>
    <row r="58" spans="1:8" ht="49.2" hidden="1" customHeight="1" x14ac:dyDescent="0.25">
      <c r="A58" s="1900"/>
      <c r="B58" s="373" t="s">
        <v>1785</v>
      </c>
      <c r="C58" s="2430"/>
      <c r="D58" s="2242"/>
      <c r="E58" s="2456"/>
      <c r="F58" s="2455"/>
      <c r="G58" s="2199"/>
      <c r="H58" s="2376"/>
    </row>
    <row r="59" spans="1:8" ht="14.4" hidden="1" thickBot="1" x14ac:dyDescent="0.3">
      <c r="A59" s="1900" t="s">
        <v>1788</v>
      </c>
      <c r="B59" s="373" t="s">
        <v>61</v>
      </c>
      <c r="C59" s="2430"/>
      <c r="D59" s="2242" t="str">
        <f>D45</f>
        <v>L.m</v>
      </c>
      <c r="E59" s="2456"/>
      <c r="F59" s="2455"/>
      <c r="G59" s="2199"/>
      <c r="H59" s="2376"/>
    </row>
    <row r="60" spans="1:8" ht="14.4" hidden="1" thickBot="1" x14ac:dyDescent="0.3">
      <c r="A60" s="1900" t="s">
        <v>1789</v>
      </c>
      <c r="B60" s="373" t="s">
        <v>62</v>
      </c>
      <c r="C60" s="2430"/>
      <c r="D60" s="2242" t="str">
        <f>D59</f>
        <v>L.m</v>
      </c>
      <c r="E60" s="2456"/>
      <c r="F60" s="2455"/>
      <c r="G60" s="2199"/>
      <c r="H60" s="2376"/>
    </row>
    <row r="61" spans="1:8" ht="14.4" hidden="1" thickBot="1" x14ac:dyDescent="0.3">
      <c r="A61" s="1900" t="s">
        <v>2602</v>
      </c>
      <c r="B61" s="373" t="s">
        <v>2598</v>
      </c>
      <c r="C61" s="2430"/>
      <c r="D61" s="2242" t="str">
        <f>D47</f>
        <v>L.m</v>
      </c>
      <c r="E61" s="2456"/>
      <c r="F61" s="2455"/>
      <c r="G61" s="2199"/>
      <c r="H61" s="2376"/>
    </row>
    <row r="62" spans="1:8" ht="14.4" thickBot="1" x14ac:dyDescent="0.3">
      <c r="A62" s="379"/>
      <c r="B62" s="384" t="s">
        <v>912</v>
      </c>
      <c r="C62" s="2002"/>
      <c r="D62" s="2237"/>
      <c r="E62" s="2491"/>
      <c r="F62" s="2492"/>
      <c r="G62" s="2238"/>
      <c r="H62" s="2239">
        <f>SUM(H4:H61)</f>
        <v>4495240</v>
      </c>
    </row>
    <row r="71" spans="8:8" x14ac:dyDescent="0.25">
      <c r="H71" s="2439" t="e">
        <f>#REF!+#REF!+#REF!+#REF!+#REF!</f>
        <v>#REF!</v>
      </c>
    </row>
  </sheetData>
  <pageMargins left="0.59055118110236227" right="0.39370078740157483" top="0.39370078740157483" bottom="0.23622047244094491" header="0.39370078740157483" footer="0.51181102362204722"/>
  <pageSetup orientation="portrait" r:id="rId1"/>
  <headerFooter alignWithMargins="0">
    <oddFooter>&amp;C&amp;P</oddFooter>
  </headerFooter>
  <rowBreaks count="1" manualBreakCount="1">
    <brk id="44" max="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sheetPr>
  <dimension ref="A1:Q286"/>
  <sheetViews>
    <sheetView view="pageBreakPreview" topLeftCell="A193" zoomScaleNormal="85" zoomScaleSheetLayoutView="100" workbookViewId="0">
      <selection activeCell="L47" sqref="L47"/>
    </sheetView>
  </sheetViews>
  <sheetFormatPr defaultColWidth="9.21875" defaultRowHeight="13.8" x14ac:dyDescent="0.25"/>
  <cols>
    <col min="1" max="1" width="8.21875" style="1893" customWidth="1"/>
    <col min="2" max="2" width="52" style="1894" customWidth="1"/>
    <col min="3" max="3" width="8.109375" style="1077" bestFit="1" customWidth="1"/>
    <col min="4" max="4" width="4.77734375" style="1893" bestFit="1" customWidth="1"/>
    <col min="5" max="6" width="11.44140625" style="2461" hidden="1" customWidth="1"/>
    <col min="7" max="7" width="11.44140625" style="2029" customWidth="1"/>
    <col min="8" max="8" width="12.6640625" style="1077" bestFit="1" customWidth="1"/>
    <col min="9" max="9" width="12.6640625" style="1077" customWidth="1"/>
    <col min="10" max="10" width="9.21875" style="889"/>
    <col min="11" max="11" width="12.44140625" style="889" bestFit="1" customWidth="1"/>
    <col min="12" max="12" width="10" style="889" bestFit="1" customWidth="1"/>
    <col min="13" max="13" width="11" style="889" bestFit="1" customWidth="1"/>
    <col min="14" max="15" width="12.88671875" style="889" bestFit="1" customWidth="1"/>
    <col min="16" max="16" width="10.33203125" style="889" bestFit="1" customWidth="1"/>
    <col min="17" max="16384" width="9.21875" style="889"/>
  </cols>
  <sheetData>
    <row r="1" spans="1:9" s="1191" customFormat="1" ht="14.4" thickBot="1" x14ac:dyDescent="0.3">
      <c r="A1" s="1952" t="s">
        <v>0</v>
      </c>
      <c r="B1" s="1953" t="s">
        <v>1</v>
      </c>
      <c r="C1" s="2009" t="s">
        <v>2</v>
      </c>
      <c r="D1" s="2010" t="s">
        <v>3</v>
      </c>
      <c r="E1" s="2508" t="s">
        <v>3565</v>
      </c>
      <c r="F1" s="2509" t="s">
        <v>3708</v>
      </c>
      <c r="G1" s="2209" t="s">
        <v>1286</v>
      </c>
      <c r="H1" s="2012" t="s">
        <v>5</v>
      </c>
      <c r="I1" s="2013">
        <f>+summary!D12</f>
        <v>0.85</v>
      </c>
    </row>
    <row r="2" spans="1:9" s="1191" customFormat="1" ht="15.6" x14ac:dyDescent="0.25">
      <c r="A2" s="1936"/>
      <c r="B2" s="1937" t="s">
        <v>913</v>
      </c>
      <c r="C2" s="2014"/>
      <c r="D2" s="1914"/>
      <c r="E2" s="2494"/>
      <c r="F2" s="2495"/>
      <c r="G2" s="2210"/>
      <c r="H2" s="1915"/>
      <c r="I2" s="1077"/>
    </row>
    <row r="3" spans="1:9" s="1191" customFormat="1" x14ac:dyDescent="0.25">
      <c r="A3" s="1927"/>
      <c r="B3" s="2015" t="s">
        <v>175</v>
      </c>
      <c r="C3" s="2016"/>
      <c r="D3" s="885"/>
      <c r="E3" s="2496"/>
      <c r="F3" s="2497"/>
      <c r="G3" s="2205"/>
      <c r="H3" s="1904"/>
      <c r="I3" s="1077"/>
    </row>
    <row r="4" spans="1:9" s="1191" customFormat="1" x14ac:dyDescent="0.25">
      <c r="A4" s="1927"/>
      <c r="B4" s="2015"/>
      <c r="C4" s="2016"/>
      <c r="D4" s="885"/>
      <c r="E4" s="2496"/>
      <c r="F4" s="2497"/>
      <c r="G4" s="2205"/>
      <c r="H4" s="1904"/>
      <c r="I4" s="1077"/>
    </row>
    <row r="5" spans="1:9" s="1191" customFormat="1" ht="41.4" x14ac:dyDescent="0.25">
      <c r="A5" s="1927"/>
      <c r="B5" s="2017" t="s">
        <v>899</v>
      </c>
      <c r="C5" s="2016"/>
      <c r="D5" s="885"/>
      <c r="E5" s="2496"/>
      <c r="F5" s="2497"/>
      <c r="G5" s="2205"/>
      <c r="H5" s="1904"/>
      <c r="I5" s="1077"/>
    </row>
    <row r="6" spans="1:9" s="1191" customFormat="1" x14ac:dyDescent="0.25">
      <c r="A6" s="1927"/>
      <c r="B6" s="2017"/>
      <c r="C6" s="2016"/>
      <c r="D6" s="885"/>
      <c r="E6" s="2496"/>
      <c r="F6" s="2497"/>
      <c r="G6" s="2205"/>
      <c r="H6" s="1904"/>
      <c r="I6" s="1077"/>
    </row>
    <row r="7" spans="1:9" s="1191" customFormat="1" ht="41.4" x14ac:dyDescent="0.25">
      <c r="A7" s="1927"/>
      <c r="B7" s="2017" t="s">
        <v>900</v>
      </c>
      <c r="C7" s="2016"/>
      <c r="D7" s="885"/>
      <c r="E7" s="2496"/>
      <c r="F7" s="2497"/>
      <c r="G7" s="2205"/>
      <c r="H7" s="1904"/>
      <c r="I7" s="1077"/>
    </row>
    <row r="8" spans="1:9" s="1191" customFormat="1" x14ac:dyDescent="0.25">
      <c r="A8" s="1927"/>
      <c r="B8" s="2015"/>
      <c r="C8" s="2016"/>
      <c r="D8" s="885"/>
      <c r="E8" s="2496"/>
      <c r="F8" s="2497"/>
      <c r="G8" s="2205"/>
      <c r="H8" s="1904"/>
      <c r="I8" s="1077"/>
    </row>
    <row r="9" spans="1:9" s="1191" customFormat="1" ht="27.6" x14ac:dyDescent="0.25">
      <c r="A9" s="1927"/>
      <c r="B9" s="2018" t="s">
        <v>229</v>
      </c>
      <c r="C9" s="2019"/>
      <c r="D9" s="885"/>
      <c r="E9" s="2496"/>
      <c r="F9" s="2497"/>
      <c r="G9" s="2205"/>
      <c r="H9" s="1904"/>
      <c r="I9" s="1077"/>
    </row>
    <row r="10" spans="1:9" s="1191" customFormat="1" x14ac:dyDescent="0.25">
      <c r="A10" s="1927"/>
      <c r="B10" s="2018"/>
      <c r="C10" s="2019"/>
      <c r="D10" s="885"/>
      <c r="E10" s="2496"/>
      <c r="F10" s="2497"/>
      <c r="G10" s="2205"/>
      <c r="H10" s="1904"/>
      <c r="I10" s="1077"/>
    </row>
    <row r="11" spans="1:9" s="1191" customFormat="1" ht="27.6" x14ac:dyDescent="0.25">
      <c r="A11" s="1927"/>
      <c r="B11" s="2018" t="s">
        <v>1467</v>
      </c>
      <c r="C11" s="2019"/>
      <c r="D11" s="885"/>
      <c r="E11" s="2496"/>
      <c r="F11" s="2497"/>
      <c r="G11" s="2205"/>
      <c r="H11" s="1904"/>
      <c r="I11" s="1077"/>
    </row>
    <row r="12" spans="1:9" s="1191" customFormat="1" x14ac:dyDescent="0.25">
      <c r="A12" s="1927"/>
      <c r="B12" s="2018"/>
      <c r="C12" s="2019"/>
      <c r="D12" s="885"/>
      <c r="E12" s="2496"/>
      <c r="F12" s="2497"/>
      <c r="G12" s="2205"/>
      <c r="H12" s="1904"/>
      <c r="I12" s="1077"/>
    </row>
    <row r="13" spans="1:9" s="1191" customFormat="1" ht="27.6" x14ac:dyDescent="0.25">
      <c r="A13" s="1927"/>
      <c r="B13" s="2018" t="s">
        <v>901</v>
      </c>
      <c r="C13" s="2019"/>
      <c r="D13" s="885"/>
      <c r="E13" s="2496"/>
      <c r="F13" s="2497"/>
      <c r="G13" s="2205"/>
      <c r="H13" s="1904"/>
      <c r="I13" s="1077"/>
    </row>
    <row r="14" spans="1:9" s="1191" customFormat="1" x14ac:dyDescent="0.25">
      <c r="A14" s="1927"/>
      <c r="B14" s="2018"/>
      <c r="C14" s="2019"/>
      <c r="D14" s="885"/>
      <c r="E14" s="2496"/>
      <c r="F14" s="2497"/>
      <c r="G14" s="2205"/>
      <c r="H14" s="1904"/>
      <c r="I14" s="1077"/>
    </row>
    <row r="15" spans="1:9" s="1191" customFormat="1" x14ac:dyDescent="0.25">
      <c r="A15" s="1927">
        <v>1</v>
      </c>
      <c r="B15" s="2015" t="s">
        <v>2507</v>
      </c>
      <c r="C15" s="2016"/>
      <c r="D15" s="885"/>
      <c r="E15" s="2496"/>
      <c r="F15" s="2497"/>
      <c r="G15" s="2205"/>
      <c r="H15" s="1904"/>
      <c r="I15" s="1077"/>
    </row>
    <row r="16" spans="1:9" ht="82.8" x14ac:dyDescent="0.25">
      <c r="A16" s="1903"/>
      <c r="B16" s="1067" t="s">
        <v>3110</v>
      </c>
      <c r="C16" s="886"/>
      <c r="D16" s="885"/>
      <c r="E16" s="2496"/>
      <c r="F16" s="2497"/>
      <c r="G16" s="2205"/>
      <c r="H16" s="1904"/>
    </row>
    <row r="17" spans="1:16" x14ac:dyDescent="0.25">
      <c r="A17" s="2410">
        <f>A15+0.01</f>
        <v>1.01</v>
      </c>
      <c r="B17" s="2411" t="s">
        <v>884</v>
      </c>
      <c r="C17" s="2412">
        <f>'m shet rolf'!N103</f>
        <v>32</v>
      </c>
      <c r="D17" s="2413" t="s">
        <v>2423</v>
      </c>
      <c r="E17" s="2514">
        <f>+'Rate Breakdowns'!G972</f>
        <v>9167.6903928955871</v>
      </c>
      <c r="F17" s="2459">
        <f>+$I$1</f>
        <v>0.85</v>
      </c>
      <c r="G17" s="2375">
        <f>ROUNDUP(E17/F17,-1)</f>
        <v>10790</v>
      </c>
      <c r="H17" s="2533">
        <f>C17*G17</f>
        <v>345280</v>
      </c>
    </row>
    <row r="18" spans="1:16" x14ac:dyDescent="0.25">
      <c r="A18" s="2410">
        <f>A17+0.01</f>
        <v>1.02</v>
      </c>
      <c r="B18" s="2411" t="s">
        <v>885</v>
      </c>
      <c r="C18" s="2412">
        <f>'m shet rolf'!N128</f>
        <v>92</v>
      </c>
      <c r="D18" s="2413" t="s">
        <v>2423</v>
      </c>
      <c r="E18" s="2514">
        <f>+E17*1.01</f>
        <v>9259.3672968245428</v>
      </c>
      <c r="F18" s="2459">
        <f t="shared" ref="F18:F20" si="0">+$I$1</f>
        <v>0.85</v>
      </c>
      <c r="G18" s="2375">
        <f t="shared" ref="G18:G20" si="1">ROUNDUP(E18/F18,-1)</f>
        <v>10900</v>
      </c>
      <c r="H18" s="2533">
        <f>C18*G18</f>
        <v>1002800</v>
      </c>
    </row>
    <row r="19" spans="1:16" x14ac:dyDescent="0.25">
      <c r="A19" s="2410">
        <f t="shared" ref="A19:A20" si="2">A18+0.01</f>
        <v>1.03</v>
      </c>
      <c r="B19" s="2411" t="s">
        <v>59</v>
      </c>
      <c r="C19" s="2412">
        <f>'m shet rolf'!N151</f>
        <v>61</v>
      </c>
      <c r="D19" s="2413" t="s">
        <v>2423</v>
      </c>
      <c r="E19" s="2514">
        <f>+E17*1.02</f>
        <v>9351.0442007534984</v>
      </c>
      <c r="F19" s="2459">
        <f t="shared" si="0"/>
        <v>0.85</v>
      </c>
      <c r="G19" s="2375">
        <f t="shared" si="1"/>
        <v>11010</v>
      </c>
      <c r="H19" s="2533">
        <f>C19*G19</f>
        <v>671610</v>
      </c>
    </row>
    <row r="20" spans="1:16" hidden="1" x14ac:dyDescent="0.25">
      <c r="A20" s="1903">
        <f t="shared" si="2"/>
        <v>1.04</v>
      </c>
      <c r="B20" s="1067" t="s">
        <v>2669</v>
      </c>
      <c r="C20" s="886"/>
      <c r="D20" s="885" t="s">
        <v>2423</v>
      </c>
      <c r="E20" s="2496"/>
      <c r="F20" s="2515">
        <f t="shared" si="0"/>
        <v>0.85</v>
      </c>
      <c r="G20" s="2409">
        <f t="shared" si="1"/>
        <v>0</v>
      </c>
      <c r="H20" s="2534">
        <f t="shared" ref="H20" si="3">C20*G20</f>
        <v>0</v>
      </c>
    </row>
    <row r="21" spans="1:16" x14ac:dyDescent="0.25">
      <c r="A21" s="1903"/>
      <c r="B21" s="1067"/>
      <c r="C21" s="886"/>
      <c r="D21" s="885"/>
      <c r="E21" s="2496"/>
      <c r="F21" s="2497"/>
      <c r="G21" s="2205"/>
      <c r="H21" s="1904"/>
    </row>
    <row r="22" spans="1:16" s="1191" customFormat="1" x14ac:dyDescent="0.25">
      <c r="A22" s="1927"/>
      <c r="B22" s="2015" t="s">
        <v>235</v>
      </c>
      <c r="C22" s="2016"/>
      <c r="D22" s="885"/>
      <c r="E22" s="2496"/>
      <c r="F22" s="2497"/>
      <c r="G22" s="2205"/>
      <c r="H22" s="1904"/>
      <c r="I22" s="1077"/>
    </row>
    <row r="23" spans="1:16" s="1191" customFormat="1" x14ac:dyDescent="0.25">
      <c r="A23" s="1927"/>
      <c r="B23" s="2015" t="s">
        <v>236</v>
      </c>
      <c r="C23" s="2016"/>
      <c r="D23" s="885"/>
      <c r="E23" s="2496"/>
      <c r="F23" s="2497"/>
      <c r="G23" s="2205"/>
      <c r="H23" s="1904"/>
      <c r="I23" s="1077"/>
    </row>
    <row r="24" spans="1:16" s="1191" customFormat="1" ht="41.4" x14ac:dyDescent="0.25">
      <c r="A24" s="1927"/>
      <c r="B24" s="2018" t="s">
        <v>1465</v>
      </c>
      <c r="C24" s="2019"/>
      <c r="D24" s="885"/>
      <c r="E24" s="2496"/>
      <c r="F24" s="2497"/>
      <c r="G24" s="2205"/>
      <c r="H24" s="1904"/>
      <c r="I24" s="1077"/>
    </row>
    <row r="25" spans="1:16" s="1191" customFormat="1" ht="27.6" x14ac:dyDescent="0.25">
      <c r="A25" s="1927"/>
      <c r="B25" s="2018" t="s">
        <v>2455</v>
      </c>
      <c r="C25" s="2019"/>
      <c r="D25" s="885"/>
      <c r="E25" s="2496"/>
      <c r="F25" s="2497"/>
      <c r="G25" s="2205"/>
      <c r="H25" s="1904"/>
      <c r="I25" s="1077"/>
    </row>
    <row r="26" spans="1:16" s="1191" customFormat="1" x14ac:dyDescent="0.25">
      <c r="A26" s="1927"/>
      <c r="B26" s="2018"/>
      <c r="C26" s="2019"/>
      <c r="D26" s="885"/>
      <c r="E26" s="2496"/>
      <c r="F26" s="2497"/>
      <c r="G26" s="2205"/>
      <c r="H26" s="1904"/>
      <c r="I26" s="1077"/>
    </row>
    <row r="27" spans="1:16" s="1191" customFormat="1" ht="27.6" x14ac:dyDescent="0.25">
      <c r="A27" s="1927"/>
      <c r="B27" s="2018" t="s">
        <v>1466</v>
      </c>
      <c r="C27" s="2019"/>
      <c r="D27" s="885"/>
      <c r="E27" s="2496"/>
      <c r="F27" s="2497"/>
      <c r="G27" s="2205"/>
      <c r="H27" s="1904"/>
      <c r="I27" s="1077"/>
    </row>
    <row r="28" spans="1:16" s="1191" customFormat="1" x14ac:dyDescent="0.25">
      <c r="A28" s="1927"/>
      <c r="B28" s="2018"/>
      <c r="C28" s="2019"/>
      <c r="D28" s="885"/>
      <c r="E28" s="2496"/>
      <c r="F28" s="2497"/>
      <c r="G28" s="2205"/>
      <c r="H28" s="1904"/>
      <c r="I28" s="1077"/>
    </row>
    <row r="29" spans="1:16" s="1191" customFormat="1" x14ac:dyDescent="0.25">
      <c r="A29" s="1927">
        <v>2</v>
      </c>
      <c r="B29" s="1147" t="s">
        <v>884</v>
      </c>
      <c r="C29" s="2019"/>
      <c r="D29" s="885"/>
      <c r="E29" s="2496"/>
      <c r="F29" s="2497"/>
      <c r="G29" s="2205"/>
      <c r="H29" s="1904"/>
      <c r="I29" s="1077"/>
    </row>
    <row r="30" spans="1:16" ht="27.6" x14ac:dyDescent="0.25">
      <c r="A30" s="1903">
        <f>A29+0.01</f>
        <v>2.0099999999999998</v>
      </c>
      <c r="B30" s="1145" t="s">
        <v>2603</v>
      </c>
      <c r="C30" s="886"/>
      <c r="D30" s="885"/>
      <c r="E30" s="2496"/>
      <c r="F30" s="2497"/>
      <c r="G30" s="2205"/>
      <c r="H30" s="1904"/>
      <c r="I30" s="1217"/>
    </row>
    <row r="31" spans="1:16" x14ac:dyDescent="0.25">
      <c r="A31" s="2414"/>
      <c r="B31" s="2415" t="s">
        <v>61</v>
      </c>
      <c r="C31" s="2416">
        <f>'m shet rolf'!N351</f>
        <v>33</v>
      </c>
      <c r="D31" s="2417" t="s">
        <v>2423</v>
      </c>
      <c r="E31" s="2516">
        <v>1450</v>
      </c>
      <c r="F31" s="2459">
        <f>+$I$1</f>
        <v>0.85</v>
      </c>
      <c r="G31" s="2375">
        <f>ROUNDUP(E31/F31,-1)</f>
        <v>1710</v>
      </c>
      <c r="H31" s="2533">
        <f>C31*G31</f>
        <v>56430</v>
      </c>
      <c r="P31" s="889" t="e">
        <f>E31-#REF!</f>
        <v>#REF!</v>
      </c>
    </row>
    <row r="32" spans="1:16" x14ac:dyDescent="0.25">
      <c r="A32" s="1903"/>
      <c r="B32" s="1067"/>
      <c r="C32" s="886"/>
      <c r="D32" s="885"/>
      <c r="E32" s="2496"/>
      <c r="F32" s="2497"/>
      <c r="G32" s="2205"/>
      <c r="H32" s="1904"/>
    </row>
    <row r="33" spans="1:17" x14ac:dyDescent="0.25">
      <c r="A33" s="1903"/>
      <c r="B33" s="1067"/>
      <c r="C33" s="886"/>
      <c r="D33" s="885"/>
      <c r="E33" s="2496"/>
      <c r="F33" s="2497"/>
      <c r="G33" s="2205"/>
      <c r="H33" s="1904"/>
    </row>
    <row r="34" spans="1:17" ht="82.8" x14ac:dyDescent="0.25">
      <c r="A34" s="1903">
        <f>A30+0.01</f>
        <v>2.0199999999999996</v>
      </c>
      <c r="B34" s="1145" t="s">
        <v>3298</v>
      </c>
      <c r="C34" s="886"/>
      <c r="D34" s="885"/>
      <c r="E34" s="2496"/>
      <c r="F34" s="2497"/>
      <c r="G34" s="2205"/>
      <c r="H34" s="1904"/>
    </row>
    <row r="35" spans="1:17" x14ac:dyDescent="0.25">
      <c r="A35" s="2414"/>
      <c r="B35" s="2415" t="s">
        <v>61</v>
      </c>
      <c r="C35" s="2416">
        <f>'m shet rolf'!N340</f>
        <v>105</v>
      </c>
      <c r="D35" s="2417" t="s">
        <v>2423</v>
      </c>
      <c r="E35" s="2516">
        <f>+'Rate Breakdowns'!G972*1.03</f>
        <v>9442.7211046824541</v>
      </c>
      <c r="F35" s="2459">
        <f>+$I$1</f>
        <v>0.85</v>
      </c>
      <c r="G35" s="2375">
        <f>ROUNDUP(E35/F35,-1)</f>
        <v>11110</v>
      </c>
      <c r="H35" s="2533">
        <f>C35*G35</f>
        <v>1166550</v>
      </c>
    </row>
    <row r="36" spans="1:17" ht="14.4" thickBot="1" x14ac:dyDescent="0.3">
      <c r="A36" s="2557"/>
      <c r="B36" s="2558"/>
      <c r="C36" s="2559"/>
      <c r="D36" s="2560"/>
      <c r="E36" s="2561"/>
      <c r="F36" s="2562"/>
      <c r="G36" s="2563"/>
      <c r="H36" s="2564"/>
    </row>
    <row r="37" spans="1:17" ht="42" thickTop="1" x14ac:dyDescent="0.25">
      <c r="A37" s="2565">
        <f>A34+0.01</f>
        <v>2.0299999999999994</v>
      </c>
      <c r="B37" s="2566" t="s">
        <v>988</v>
      </c>
      <c r="C37" s="2567"/>
      <c r="D37" s="2568"/>
      <c r="E37" s="2569"/>
      <c r="F37" s="2570"/>
      <c r="G37" s="2571"/>
      <c r="H37" s="2572"/>
    </row>
    <row r="38" spans="1:17" x14ac:dyDescent="0.25">
      <c r="A38" s="2414"/>
      <c r="B38" s="2415" t="s">
        <v>61</v>
      </c>
      <c r="C38" s="2416">
        <f>'m shet rolf'!N342</f>
        <v>56</v>
      </c>
      <c r="D38" s="2417" t="s">
        <v>2424</v>
      </c>
      <c r="E38" s="2516">
        <f>+'Rate Breakdowns'!G1029</f>
        <v>1560.6097560975609</v>
      </c>
      <c r="F38" s="2459">
        <f>+$I$1</f>
        <v>0.85</v>
      </c>
      <c r="G38" s="2375">
        <f>ROUNDUP(E38/F38,-1)</f>
        <v>1840</v>
      </c>
      <c r="H38" s="2533">
        <f>C38*G38</f>
        <v>103040</v>
      </c>
    </row>
    <row r="39" spans="1:17" x14ac:dyDescent="0.25">
      <c r="A39" s="1903"/>
      <c r="B39" s="1067"/>
      <c r="C39" s="886"/>
      <c r="D39" s="885"/>
      <c r="E39" s="2496"/>
      <c r="F39" s="2497"/>
      <c r="G39" s="2205"/>
      <c r="H39" s="1904"/>
    </row>
    <row r="40" spans="1:17" ht="76.2" customHeight="1" x14ac:dyDescent="0.25">
      <c r="A40" s="1903">
        <f>A37+0.01</f>
        <v>2.0399999999999991</v>
      </c>
      <c r="B40" s="1908" t="s">
        <v>3299</v>
      </c>
      <c r="C40" s="886"/>
      <c r="D40" s="885"/>
      <c r="E40" s="2496"/>
      <c r="F40" s="2497"/>
      <c r="G40" s="2205"/>
      <c r="H40" s="1904"/>
      <c r="P40" s="889">
        <f>4*2</f>
        <v>8</v>
      </c>
      <c r="Q40" s="889">
        <f>P40*P41</f>
        <v>1282</v>
      </c>
    </row>
    <row r="41" spans="1:17" x14ac:dyDescent="0.25">
      <c r="A41" s="2414"/>
      <c r="B41" s="2415" t="s">
        <v>1787</v>
      </c>
      <c r="C41" s="2416">
        <f>'m shet rolf'!N345</f>
        <v>32</v>
      </c>
      <c r="D41" s="2417" t="s">
        <v>2423</v>
      </c>
      <c r="E41" s="2516">
        <f>+'Rate Breakdowns'!G972</f>
        <v>9167.6903928955871</v>
      </c>
      <c r="F41" s="2459">
        <f>+$I$1</f>
        <v>0.85</v>
      </c>
      <c r="G41" s="2375">
        <f>ROUNDUP(E41/F41,-1)</f>
        <v>10790</v>
      </c>
      <c r="H41" s="2533">
        <f>C41*G41</f>
        <v>345280</v>
      </c>
      <c r="P41" s="889">
        <f>1282/8</f>
        <v>160.25</v>
      </c>
    </row>
    <row r="42" spans="1:17" x14ac:dyDescent="0.25">
      <c r="A42" s="1903"/>
      <c r="B42" s="1067"/>
      <c r="C42" s="886"/>
      <c r="D42" s="885"/>
      <c r="E42" s="2496"/>
      <c r="F42" s="2497"/>
      <c r="G42" s="2205"/>
      <c r="H42" s="1904"/>
    </row>
    <row r="43" spans="1:17" ht="41.4" x14ac:dyDescent="0.25">
      <c r="A43" s="1903">
        <f>A40+0.01</f>
        <v>2.0499999999999989</v>
      </c>
      <c r="B43" s="1908" t="s">
        <v>988</v>
      </c>
      <c r="C43" s="886"/>
      <c r="D43" s="885"/>
      <c r="E43" s="2496"/>
      <c r="F43" s="2497"/>
      <c r="G43" s="2205"/>
      <c r="H43" s="1904"/>
    </row>
    <row r="44" spans="1:17" x14ac:dyDescent="0.25">
      <c r="A44" s="2414"/>
      <c r="B44" s="2415" t="s">
        <v>2517</v>
      </c>
      <c r="C44" s="2416">
        <f>'m shet rolf'!N349</f>
        <v>33</v>
      </c>
      <c r="D44" s="2417" t="s">
        <v>2424</v>
      </c>
      <c r="E44" s="2516">
        <f>+'Rate Breakdowns'!G1029</f>
        <v>1560.6097560975609</v>
      </c>
      <c r="F44" s="2459">
        <f>+$I$1</f>
        <v>0.85</v>
      </c>
      <c r="G44" s="2375">
        <f>ROUNDUP(E44/F44,-1)</f>
        <v>1840</v>
      </c>
      <c r="H44" s="2533">
        <f>C44*G44</f>
        <v>60720</v>
      </c>
    </row>
    <row r="45" spans="1:17" x14ac:dyDescent="0.25">
      <c r="A45" s="1903"/>
      <c r="B45" s="1067"/>
      <c r="C45" s="886"/>
      <c r="D45" s="885"/>
      <c r="E45" s="2496"/>
      <c r="F45" s="2497"/>
      <c r="G45" s="2205"/>
      <c r="H45" s="1904"/>
    </row>
    <row r="46" spans="1:17" ht="69" x14ac:dyDescent="0.25">
      <c r="A46" s="1903">
        <f>A43+0.01</f>
        <v>2.0599999999999987</v>
      </c>
      <c r="B46" s="1145" t="s">
        <v>3304</v>
      </c>
      <c r="C46" s="886"/>
      <c r="D46" s="885"/>
      <c r="E46" s="2496"/>
      <c r="F46" s="2497"/>
      <c r="G46" s="2205"/>
      <c r="H46" s="1904"/>
    </row>
    <row r="47" spans="1:17" x14ac:dyDescent="0.25">
      <c r="A47" s="2414"/>
      <c r="B47" s="2415" t="s">
        <v>1787</v>
      </c>
      <c r="C47" s="2416">
        <f>'m shet rolf'!N356</f>
        <v>12</v>
      </c>
      <c r="D47" s="2417" t="s">
        <v>2423</v>
      </c>
      <c r="E47" s="2516">
        <f>+'Rate Breakdowns'!G972*1.15</f>
        <v>10542.843951829924</v>
      </c>
      <c r="F47" s="2459">
        <f>+$I$1</f>
        <v>0.85</v>
      </c>
      <c r="G47" s="2375">
        <f>ROUNDUP(E47/F47,-1)</f>
        <v>12410</v>
      </c>
      <c r="H47" s="2533">
        <f>C47*G47</f>
        <v>148920</v>
      </c>
    </row>
    <row r="48" spans="1:17" x14ac:dyDescent="0.25">
      <c r="A48" s="1903"/>
      <c r="B48" s="1067"/>
      <c r="C48" s="886"/>
      <c r="D48" s="885"/>
      <c r="E48" s="2496"/>
      <c r="F48" s="2497"/>
      <c r="G48" s="2205"/>
      <c r="H48" s="1904"/>
    </row>
    <row r="49" spans="1:8" ht="41.4" x14ac:dyDescent="0.25">
      <c r="A49" s="1903">
        <f>A46+0.01</f>
        <v>2.0699999999999985</v>
      </c>
      <c r="B49" s="1908" t="s">
        <v>988</v>
      </c>
      <c r="C49" s="886"/>
      <c r="D49" s="885"/>
      <c r="E49" s="2496"/>
      <c r="F49" s="2497"/>
      <c r="G49" s="2205"/>
      <c r="H49" s="1904"/>
    </row>
    <row r="50" spans="1:8" x14ac:dyDescent="0.25">
      <c r="A50" s="2414"/>
      <c r="B50" s="2415" t="s">
        <v>2517</v>
      </c>
      <c r="C50" s="2416">
        <f>'m shet rolf'!N357</f>
        <v>14</v>
      </c>
      <c r="D50" s="2417" t="s">
        <v>2424</v>
      </c>
      <c r="E50" s="2516">
        <f>+'Rate Breakdowns'!G1029</f>
        <v>1560.6097560975609</v>
      </c>
      <c r="F50" s="2459">
        <f>+$I$1</f>
        <v>0.85</v>
      </c>
      <c r="G50" s="2375">
        <f>ROUNDUP(E50/F50,-1)</f>
        <v>1840</v>
      </c>
      <c r="H50" s="2533">
        <f>C50*G50</f>
        <v>25760</v>
      </c>
    </row>
    <row r="51" spans="1:8" x14ac:dyDescent="0.25">
      <c r="A51" s="1903"/>
      <c r="B51" s="1067"/>
      <c r="C51" s="886"/>
      <c r="D51" s="885"/>
      <c r="E51" s="2496"/>
      <c r="F51" s="2497"/>
      <c r="G51" s="2205"/>
      <c r="H51" s="1904"/>
    </row>
    <row r="52" spans="1:8" ht="69" x14ac:dyDescent="0.25">
      <c r="A52" s="1903">
        <f>A49+0.01</f>
        <v>2.0799999999999983</v>
      </c>
      <c r="B52" s="1145" t="s">
        <v>3301</v>
      </c>
      <c r="C52" s="886"/>
      <c r="D52" s="885"/>
      <c r="E52" s="2496"/>
      <c r="F52" s="2497"/>
      <c r="G52" s="2205"/>
      <c r="H52" s="1904"/>
    </row>
    <row r="53" spans="1:8" x14ac:dyDescent="0.25">
      <c r="A53" s="2414"/>
      <c r="B53" s="2415" t="s">
        <v>2517</v>
      </c>
      <c r="C53" s="2416">
        <f>'m shet rolf'!N353</f>
        <v>6</v>
      </c>
      <c r="D53" s="2417" t="s">
        <v>2423</v>
      </c>
      <c r="E53" s="2516">
        <f>+E41</f>
        <v>9167.6903928955871</v>
      </c>
      <c r="F53" s="2459">
        <f>+$I$1</f>
        <v>0.85</v>
      </c>
      <c r="G53" s="2375">
        <f>ROUNDUP(E53/F53,-1)</f>
        <v>10790</v>
      </c>
      <c r="H53" s="2533">
        <f>C53*G53</f>
        <v>64740</v>
      </c>
    </row>
    <row r="54" spans="1:8" x14ac:dyDescent="0.25">
      <c r="A54" s="1903"/>
      <c r="B54" s="1067"/>
      <c r="C54" s="886" t="s">
        <v>3303</v>
      </c>
      <c r="D54" s="885"/>
      <c r="E54" s="2496"/>
      <c r="F54" s="2497"/>
      <c r="G54" s="2205"/>
      <c r="H54" s="1904"/>
    </row>
    <row r="55" spans="1:8" ht="41.4" x14ac:dyDescent="0.25">
      <c r="A55" s="1903">
        <f>A52+0.01</f>
        <v>2.0899999999999981</v>
      </c>
      <c r="B55" s="1908" t="s">
        <v>988</v>
      </c>
      <c r="C55" s="886"/>
      <c r="D55" s="885"/>
      <c r="E55" s="2496"/>
      <c r="F55" s="2497"/>
      <c r="G55" s="2205"/>
      <c r="H55" s="1904"/>
    </row>
    <row r="56" spans="1:8" x14ac:dyDescent="0.25">
      <c r="A56" s="2414"/>
      <c r="B56" s="2415" t="s">
        <v>2517</v>
      </c>
      <c r="C56" s="2416">
        <f>'m shet rolf'!N354</f>
        <v>10</v>
      </c>
      <c r="D56" s="2417" t="s">
        <v>2424</v>
      </c>
      <c r="E56" s="2516">
        <f>+E50</f>
        <v>1560.6097560975609</v>
      </c>
      <c r="F56" s="2459">
        <f>+$I$1</f>
        <v>0.85</v>
      </c>
      <c r="G56" s="2375">
        <f>ROUNDUP(E56/F56,-1)</f>
        <v>1840</v>
      </c>
      <c r="H56" s="2533">
        <f>C56*G56</f>
        <v>18400</v>
      </c>
    </row>
    <row r="57" spans="1:8" x14ac:dyDescent="0.25">
      <c r="A57" s="1903"/>
      <c r="B57" s="1067"/>
      <c r="C57" s="886"/>
      <c r="D57" s="885"/>
      <c r="E57" s="2496"/>
      <c r="F57" s="2497"/>
      <c r="G57" s="2205"/>
      <c r="H57" s="1904"/>
    </row>
    <row r="58" spans="1:8" ht="69" x14ac:dyDescent="0.25">
      <c r="A58" s="1903">
        <f>A55+0.01</f>
        <v>2.0999999999999979</v>
      </c>
      <c r="B58" s="1145" t="s">
        <v>3300</v>
      </c>
      <c r="C58" s="886"/>
      <c r="D58" s="885"/>
      <c r="E58" s="2496"/>
      <c r="F58" s="2497"/>
      <c r="G58" s="2205"/>
      <c r="H58" s="1904"/>
    </row>
    <row r="59" spans="1:8" x14ac:dyDescent="0.25">
      <c r="A59" s="2414"/>
      <c r="B59" s="2415" t="s">
        <v>61</v>
      </c>
      <c r="C59" s="2416">
        <f>'m shet rolf'!N97</f>
        <v>6</v>
      </c>
      <c r="D59" s="2417" t="s">
        <v>2423</v>
      </c>
      <c r="E59" s="2516">
        <f>+E41</f>
        <v>9167.6903928955871</v>
      </c>
      <c r="F59" s="2459">
        <f>+$I$1</f>
        <v>0.85</v>
      </c>
      <c r="G59" s="2375">
        <f>ROUNDUP(E59/F59,-1)</f>
        <v>10790</v>
      </c>
      <c r="H59" s="2533">
        <f>C59*G59</f>
        <v>64740</v>
      </c>
    </row>
    <row r="60" spans="1:8" x14ac:dyDescent="0.25">
      <c r="A60" s="1903"/>
      <c r="B60" s="1067"/>
      <c r="C60" s="886"/>
      <c r="D60" s="885"/>
      <c r="E60" s="2496"/>
      <c r="F60" s="2497"/>
      <c r="G60" s="2205"/>
      <c r="H60" s="1904"/>
    </row>
    <row r="61" spans="1:8" ht="69" hidden="1" x14ac:dyDescent="0.25">
      <c r="A61" s="1903">
        <f>A58+0.01</f>
        <v>2.1099999999999977</v>
      </c>
      <c r="B61" s="1145" t="s">
        <v>3115</v>
      </c>
      <c r="C61" s="886"/>
      <c r="D61" s="885"/>
      <c r="E61" s="2496"/>
      <c r="F61" s="2497"/>
      <c r="G61" s="2205"/>
      <c r="H61" s="1904"/>
    </row>
    <row r="62" spans="1:8" hidden="1" x14ac:dyDescent="0.25">
      <c r="A62" s="1903"/>
      <c r="B62" s="1067" t="s">
        <v>3104</v>
      </c>
      <c r="C62" s="886"/>
      <c r="D62" s="885" t="s">
        <v>2423</v>
      </c>
      <c r="E62" s="2496"/>
      <c r="F62" s="2497"/>
      <c r="G62" s="2205"/>
      <c r="H62" s="1904"/>
    </row>
    <row r="63" spans="1:8" hidden="1" x14ac:dyDescent="0.25">
      <c r="A63" s="1903"/>
      <c r="B63" s="1067"/>
      <c r="C63" s="886"/>
      <c r="D63" s="885"/>
      <c r="E63" s="2496"/>
      <c r="F63" s="2497"/>
      <c r="G63" s="2205"/>
      <c r="H63" s="1904"/>
    </row>
    <row r="64" spans="1:8" hidden="1" x14ac:dyDescent="0.25">
      <c r="A64" s="1903"/>
      <c r="B64" s="1067"/>
      <c r="C64" s="886"/>
      <c r="D64" s="885"/>
      <c r="E64" s="2496"/>
      <c r="F64" s="2497"/>
      <c r="G64" s="2205"/>
      <c r="H64" s="1904"/>
    </row>
    <row r="65" spans="1:8" ht="41.4" hidden="1" x14ac:dyDescent="0.25">
      <c r="A65" s="1903">
        <f>A61+0.01</f>
        <v>2.1199999999999974</v>
      </c>
      <c r="B65" s="1908" t="s">
        <v>988</v>
      </c>
      <c r="C65" s="886"/>
      <c r="D65" s="885"/>
      <c r="E65" s="2496"/>
      <c r="F65" s="2497"/>
      <c r="G65" s="2205"/>
      <c r="H65" s="1904"/>
    </row>
    <row r="66" spans="1:8" hidden="1" x14ac:dyDescent="0.25">
      <c r="A66" s="1903"/>
      <c r="B66" s="1067" t="s">
        <v>3104</v>
      </c>
      <c r="C66" s="886"/>
      <c r="D66" s="885" t="s">
        <v>2423</v>
      </c>
      <c r="E66" s="2496"/>
      <c r="F66" s="2497"/>
      <c r="G66" s="2205"/>
      <c r="H66" s="1904"/>
    </row>
    <row r="67" spans="1:8" ht="27.6" hidden="1" x14ac:dyDescent="0.25">
      <c r="A67" s="1903">
        <f>A58+0.01</f>
        <v>2.1099999999999977</v>
      </c>
      <c r="B67" s="1067" t="s">
        <v>3193</v>
      </c>
      <c r="C67" s="886"/>
      <c r="D67" s="885"/>
      <c r="E67" s="2496"/>
      <c r="F67" s="2497"/>
      <c r="G67" s="2205"/>
      <c r="H67" s="1904"/>
    </row>
    <row r="68" spans="1:8" hidden="1" x14ac:dyDescent="0.25">
      <c r="A68" s="1903"/>
      <c r="B68" s="1067" t="s">
        <v>61</v>
      </c>
      <c r="C68" s="886"/>
      <c r="D68" s="885" t="s">
        <v>2423</v>
      </c>
      <c r="E68" s="2496"/>
      <c r="F68" s="2497"/>
      <c r="G68" s="2205"/>
      <c r="H68" s="1904"/>
    </row>
    <row r="69" spans="1:8" hidden="1" x14ac:dyDescent="0.25">
      <c r="A69" s="1903"/>
      <c r="B69" s="1067"/>
      <c r="C69" s="886"/>
      <c r="D69" s="885"/>
      <c r="E69" s="2496"/>
      <c r="F69" s="2497"/>
      <c r="G69" s="2205"/>
      <c r="H69" s="1904"/>
    </row>
    <row r="70" spans="1:8" ht="27.6" hidden="1" x14ac:dyDescent="0.25">
      <c r="A70" s="1903">
        <f>A67+0.01</f>
        <v>2.1199999999999974</v>
      </c>
      <c r="B70" s="1908" t="s">
        <v>3157</v>
      </c>
      <c r="C70" s="886"/>
      <c r="D70" s="885"/>
      <c r="E70" s="2496"/>
      <c r="F70" s="2497"/>
      <c r="G70" s="2205"/>
      <c r="H70" s="1904"/>
    </row>
    <row r="71" spans="1:8" hidden="1" x14ac:dyDescent="0.25">
      <c r="A71" s="1903"/>
      <c r="B71" s="1067" t="s">
        <v>61</v>
      </c>
      <c r="C71" s="886"/>
      <c r="D71" s="885" t="s">
        <v>2424</v>
      </c>
      <c r="E71" s="2496"/>
      <c r="F71" s="2497"/>
      <c r="G71" s="2205"/>
      <c r="H71" s="1904"/>
    </row>
    <row r="72" spans="1:8" ht="69" x14ac:dyDescent="0.25">
      <c r="A72" s="1903">
        <f>A58+0.01</f>
        <v>2.1099999999999977</v>
      </c>
      <c r="B72" s="1145" t="s">
        <v>3306</v>
      </c>
      <c r="C72" s="886"/>
      <c r="D72" s="885"/>
      <c r="E72" s="2496"/>
      <c r="F72" s="2497"/>
      <c r="G72" s="2205"/>
      <c r="H72" s="1904"/>
    </row>
    <row r="73" spans="1:8" x14ac:dyDescent="0.25">
      <c r="A73" s="2414"/>
      <c r="B73" s="2415" t="s">
        <v>61</v>
      </c>
      <c r="C73" s="2416">
        <f>'m shet rolf'!N361</f>
        <v>32</v>
      </c>
      <c r="D73" s="2417" t="s">
        <v>2423</v>
      </c>
      <c r="E73" s="2496">
        <f>+E53</f>
        <v>9167.6903928955871</v>
      </c>
      <c r="F73" s="2459">
        <f>+$I$1</f>
        <v>0.85</v>
      </c>
      <c r="G73" s="2375">
        <f>ROUNDUP(E73/F73,-1)</f>
        <v>10790</v>
      </c>
      <c r="H73" s="2533">
        <f>C73*G73</f>
        <v>345280</v>
      </c>
    </row>
    <row r="74" spans="1:8" ht="14.4" thickBot="1" x14ac:dyDescent="0.3">
      <c r="A74" s="2557"/>
      <c r="B74" s="2558"/>
      <c r="C74" s="2559"/>
      <c r="D74" s="2560"/>
      <c r="E74" s="2573"/>
      <c r="F74" s="2562"/>
      <c r="G74" s="2563"/>
      <c r="H74" s="2564"/>
    </row>
    <row r="75" spans="1:8" ht="45.6" customHeight="1" thickTop="1" x14ac:dyDescent="0.25">
      <c r="A75" s="2565">
        <f>A72+0.01</f>
        <v>2.1199999999999974</v>
      </c>
      <c r="B75" s="2566" t="s">
        <v>988</v>
      </c>
      <c r="C75" s="2567"/>
      <c r="D75" s="2568"/>
      <c r="E75" s="2569"/>
      <c r="F75" s="2570"/>
      <c r="G75" s="2571"/>
      <c r="H75" s="2572"/>
    </row>
    <row r="76" spans="1:8" x14ac:dyDescent="0.25">
      <c r="A76" s="2414"/>
      <c r="B76" s="2415" t="s">
        <v>2517</v>
      </c>
      <c r="C76" s="2416">
        <f>'m shet rolf'!N364</f>
        <v>27</v>
      </c>
      <c r="D76" s="2417" t="s">
        <v>2424</v>
      </c>
      <c r="E76" s="2516">
        <f>+E56</f>
        <v>1560.6097560975609</v>
      </c>
      <c r="F76" s="2459">
        <f>+$I$1</f>
        <v>0.85</v>
      </c>
      <c r="G76" s="2375">
        <f>ROUNDUP(E76/F76,-1)</f>
        <v>1840</v>
      </c>
      <c r="H76" s="2533">
        <f>C76*G76</f>
        <v>49680</v>
      </c>
    </row>
    <row r="77" spans="1:8" x14ac:dyDescent="0.25">
      <c r="A77" s="1903"/>
      <c r="B77" s="1067"/>
      <c r="C77" s="886"/>
      <c r="D77" s="885"/>
      <c r="E77" s="2496"/>
      <c r="F77" s="2497"/>
      <c r="G77" s="2205"/>
      <c r="H77" s="1904"/>
    </row>
    <row r="78" spans="1:8" ht="41.4" hidden="1" x14ac:dyDescent="0.25">
      <c r="A78" s="1903">
        <f>A70+0.01</f>
        <v>2.1299999999999972</v>
      </c>
      <c r="B78" s="1067" t="s">
        <v>3158</v>
      </c>
      <c r="C78" s="886"/>
      <c r="D78" s="885"/>
      <c r="E78" s="2496"/>
      <c r="F78" s="2497"/>
      <c r="G78" s="2205"/>
      <c r="H78" s="1904"/>
    </row>
    <row r="79" spans="1:8" hidden="1" x14ac:dyDescent="0.25">
      <c r="A79" s="1903"/>
      <c r="B79" s="1067" t="s">
        <v>61</v>
      </c>
      <c r="C79" s="886"/>
      <c r="D79" s="885" t="s">
        <v>2423</v>
      </c>
      <c r="E79" s="2496"/>
      <c r="F79" s="2497"/>
      <c r="G79" s="2205"/>
      <c r="H79" s="1904"/>
    </row>
    <row r="80" spans="1:8" hidden="1" x14ac:dyDescent="0.25">
      <c r="A80" s="1903"/>
      <c r="B80" s="1067"/>
      <c r="C80" s="886"/>
      <c r="D80" s="885"/>
      <c r="E80" s="2496"/>
      <c r="F80" s="2497"/>
      <c r="G80" s="2205"/>
      <c r="H80" s="1904"/>
    </row>
    <row r="81" spans="1:8" ht="27.6" hidden="1" x14ac:dyDescent="0.25">
      <c r="A81" s="1903">
        <f>A78+0.01</f>
        <v>2.139999999999997</v>
      </c>
      <c r="B81" s="1908" t="s">
        <v>3157</v>
      </c>
      <c r="C81" s="886"/>
      <c r="D81" s="885"/>
      <c r="E81" s="2496"/>
      <c r="F81" s="2497"/>
      <c r="G81" s="2205"/>
      <c r="H81" s="1904"/>
    </row>
    <row r="82" spans="1:8" hidden="1" x14ac:dyDescent="0.25">
      <c r="A82" s="1903"/>
      <c r="B82" s="1067" t="s">
        <v>61</v>
      </c>
      <c r="C82" s="886"/>
      <c r="D82" s="885" t="s">
        <v>2424</v>
      </c>
      <c r="E82" s="2496"/>
      <c r="F82" s="2497"/>
      <c r="G82" s="2205"/>
      <c r="H82" s="1904"/>
    </row>
    <row r="83" spans="1:8" hidden="1" x14ac:dyDescent="0.25">
      <c r="A83" s="1903"/>
      <c r="B83" s="1067"/>
      <c r="C83" s="886"/>
      <c r="D83" s="885"/>
      <c r="E83" s="2496"/>
      <c r="F83" s="2497"/>
      <c r="G83" s="2205"/>
      <c r="H83" s="1904"/>
    </row>
    <row r="84" spans="1:8" hidden="1" x14ac:dyDescent="0.25">
      <c r="A84" s="1903">
        <f>A70+0.01</f>
        <v>2.1299999999999972</v>
      </c>
      <c r="B84" s="1067" t="s">
        <v>3194</v>
      </c>
      <c r="C84" s="886"/>
      <c r="D84" s="885" t="s">
        <v>2423</v>
      </c>
      <c r="E84" s="2496"/>
      <c r="F84" s="2497"/>
      <c r="G84" s="2205"/>
      <c r="H84" s="1904"/>
    </row>
    <row r="85" spans="1:8" hidden="1" x14ac:dyDescent="0.25">
      <c r="A85" s="1903"/>
      <c r="B85" s="1067"/>
      <c r="C85" s="886"/>
      <c r="D85" s="885"/>
      <c r="E85" s="2496"/>
      <c r="F85" s="2497"/>
      <c r="G85" s="2205"/>
      <c r="H85" s="1904"/>
    </row>
    <row r="86" spans="1:8" x14ac:dyDescent="0.25">
      <c r="A86" s="1903">
        <v>3</v>
      </c>
      <c r="B86" s="1877" t="s">
        <v>885</v>
      </c>
      <c r="C86" s="886"/>
      <c r="D86" s="885"/>
      <c r="E86" s="2496"/>
      <c r="F86" s="2497"/>
      <c r="G86" s="2205"/>
      <c r="H86" s="1904"/>
    </row>
    <row r="87" spans="1:8" x14ac:dyDescent="0.25">
      <c r="A87" s="1903"/>
      <c r="B87" s="1877"/>
      <c r="C87" s="886"/>
      <c r="D87" s="885"/>
      <c r="E87" s="2496"/>
      <c r="F87" s="2497"/>
      <c r="G87" s="2205"/>
      <c r="H87" s="1904"/>
    </row>
    <row r="88" spans="1:8" ht="82.8" x14ac:dyDescent="0.25">
      <c r="A88" s="1903">
        <f>A86+0.01</f>
        <v>3.01</v>
      </c>
      <c r="B88" s="1145" t="s">
        <v>3298</v>
      </c>
      <c r="C88" s="886"/>
      <c r="D88" s="885"/>
      <c r="E88" s="2496"/>
      <c r="F88" s="2497"/>
      <c r="G88" s="2205"/>
      <c r="H88" s="1904"/>
    </row>
    <row r="89" spans="1:8" x14ac:dyDescent="0.25">
      <c r="A89" s="2414"/>
      <c r="B89" s="2415" t="s">
        <v>62</v>
      </c>
      <c r="C89" s="2416">
        <f>'m shet rolf'!N367</f>
        <v>36</v>
      </c>
      <c r="D89" s="2417" t="s">
        <v>2423</v>
      </c>
      <c r="E89" s="2516">
        <f>+E35*1.05</f>
        <v>9914.8571599165771</v>
      </c>
      <c r="F89" s="2459">
        <f>+$I$1</f>
        <v>0.85</v>
      </c>
      <c r="G89" s="2375">
        <f>ROUNDUP(E89/F89,-1)</f>
        <v>11670</v>
      </c>
      <c r="H89" s="2533">
        <f>C89*G89</f>
        <v>420120</v>
      </c>
    </row>
    <row r="90" spans="1:8" x14ac:dyDescent="0.25">
      <c r="A90" s="1903"/>
      <c r="B90" s="1067"/>
      <c r="C90" s="886"/>
      <c r="D90" s="885"/>
      <c r="E90" s="2496"/>
      <c r="F90" s="2497"/>
      <c r="G90" s="2205"/>
      <c r="H90" s="1904"/>
    </row>
    <row r="91" spans="1:8" ht="41.4" x14ac:dyDescent="0.25">
      <c r="A91" s="1903">
        <f>A88+0.01</f>
        <v>3.0199999999999996</v>
      </c>
      <c r="B91" s="1908" t="s">
        <v>988</v>
      </c>
      <c r="C91" s="886"/>
      <c r="D91" s="885"/>
      <c r="E91" s="2496"/>
      <c r="F91" s="2497"/>
      <c r="G91" s="2205"/>
      <c r="H91" s="1904"/>
    </row>
    <row r="92" spans="1:8" x14ac:dyDescent="0.25">
      <c r="A92" s="2414"/>
      <c r="B92" s="2415" t="s">
        <v>62</v>
      </c>
      <c r="C92" s="2416">
        <f>'m shet rolf'!N368</f>
        <v>36</v>
      </c>
      <c r="D92" s="2417" t="s">
        <v>2424</v>
      </c>
      <c r="E92" s="2516">
        <f>+E44*1.05</f>
        <v>1638.6402439024389</v>
      </c>
      <c r="F92" s="2459">
        <f>+$I$1</f>
        <v>0.85</v>
      </c>
      <c r="G92" s="2375">
        <f>ROUNDUP(E92/F92,-1)</f>
        <v>1930</v>
      </c>
      <c r="H92" s="2533">
        <f>C92*G92</f>
        <v>69480</v>
      </c>
    </row>
    <row r="93" spans="1:8" x14ac:dyDescent="0.25">
      <c r="A93" s="1903"/>
      <c r="B93" s="1877"/>
      <c r="C93" s="886"/>
      <c r="D93" s="885"/>
      <c r="E93" s="2496"/>
      <c r="F93" s="2497"/>
      <c r="G93" s="2205"/>
      <c r="H93" s="1904"/>
    </row>
    <row r="94" spans="1:8" ht="74.400000000000006" customHeight="1" x14ac:dyDescent="0.25">
      <c r="A94" s="1903">
        <f>A91+0.01</f>
        <v>3.0299999999999994</v>
      </c>
      <c r="B94" s="1908" t="s">
        <v>3299</v>
      </c>
      <c r="C94" s="886"/>
      <c r="D94" s="885"/>
      <c r="E94" s="2496"/>
      <c r="F94" s="2497"/>
      <c r="G94" s="2205"/>
      <c r="H94" s="1904"/>
    </row>
    <row r="95" spans="1:8" x14ac:dyDescent="0.25">
      <c r="A95" s="2535"/>
      <c r="B95" s="2536" t="s">
        <v>62</v>
      </c>
      <c r="C95" s="2537">
        <f>'m shet rolf'!N372</f>
        <v>44</v>
      </c>
      <c r="D95" s="2538" t="s">
        <v>2423</v>
      </c>
      <c r="E95" s="2539">
        <f>+E53*1.05</f>
        <v>9626.0749125403672</v>
      </c>
      <c r="F95" s="2540">
        <f>+$I$1</f>
        <v>0.85</v>
      </c>
      <c r="G95" s="2541">
        <f>ROUNDUP(E95/F95,-1)</f>
        <v>11330</v>
      </c>
      <c r="H95" s="2542">
        <f>C95*G95</f>
        <v>498520</v>
      </c>
    </row>
    <row r="96" spans="1:8" ht="41.4" x14ac:dyDescent="0.25">
      <c r="A96" s="1903">
        <f>A94+0.01</f>
        <v>3.0399999999999991</v>
      </c>
      <c r="B96" s="1908" t="s">
        <v>988</v>
      </c>
      <c r="C96" s="886"/>
      <c r="D96" s="885"/>
      <c r="E96" s="2496"/>
      <c r="F96" s="2497"/>
      <c r="G96" s="2205"/>
      <c r="H96" s="1904"/>
    </row>
    <row r="97" spans="1:8" x14ac:dyDescent="0.25">
      <c r="A97" s="2414"/>
      <c r="B97" s="2415" t="s">
        <v>62</v>
      </c>
      <c r="C97" s="2416">
        <f>'m shet rolf'!N375</f>
        <v>46</v>
      </c>
      <c r="D97" s="2417" t="s">
        <v>2424</v>
      </c>
      <c r="E97" s="2516">
        <f>+E92</f>
        <v>1638.6402439024389</v>
      </c>
      <c r="F97" s="2459">
        <f>+$I$1</f>
        <v>0.85</v>
      </c>
      <c r="G97" s="2375">
        <f>ROUNDUP(E97/F97,-1)</f>
        <v>1930</v>
      </c>
      <c r="H97" s="2533">
        <f>C97*G97</f>
        <v>88780</v>
      </c>
    </row>
    <row r="98" spans="1:8" x14ac:dyDescent="0.25">
      <c r="A98" s="1903"/>
      <c r="B98" s="1877"/>
      <c r="C98" s="886"/>
      <c r="D98" s="885"/>
      <c r="E98" s="2496"/>
      <c r="F98" s="2497"/>
      <c r="G98" s="2205"/>
      <c r="H98" s="1904"/>
    </row>
    <row r="99" spans="1:8" ht="69" x14ac:dyDescent="0.25">
      <c r="A99" s="1903">
        <f>A96+0.01</f>
        <v>3.0499999999999989</v>
      </c>
      <c r="B99" s="1145" t="s">
        <v>3306</v>
      </c>
      <c r="C99" s="886"/>
      <c r="D99" s="885"/>
      <c r="E99" s="2496"/>
      <c r="F99" s="2497"/>
      <c r="G99" s="2205"/>
      <c r="H99" s="1904"/>
    </row>
    <row r="100" spans="1:8" x14ac:dyDescent="0.25">
      <c r="A100" s="2414"/>
      <c r="B100" s="2415" t="s">
        <v>62</v>
      </c>
      <c r="C100" s="2416">
        <f>'m shet rolf'!N379</f>
        <v>57</v>
      </c>
      <c r="D100" s="2417" t="s">
        <v>2423</v>
      </c>
      <c r="E100" s="2516">
        <f>+E73*1.05</f>
        <v>9626.0749125403672</v>
      </c>
      <c r="F100" s="2459">
        <f>+$I$1</f>
        <v>0.85</v>
      </c>
      <c r="G100" s="2375">
        <f>ROUNDUP(E100/F100,-1)</f>
        <v>11330</v>
      </c>
      <c r="H100" s="2533">
        <f>C100*G100</f>
        <v>645810</v>
      </c>
    </row>
    <row r="101" spans="1:8" x14ac:dyDescent="0.25">
      <c r="A101" s="1903"/>
      <c r="B101" s="1067"/>
      <c r="C101" s="886"/>
      <c r="D101" s="885"/>
      <c r="E101" s="2496"/>
      <c r="F101" s="2497"/>
      <c r="G101" s="2205"/>
      <c r="H101" s="1904"/>
    </row>
    <row r="102" spans="1:8" ht="41.4" x14ac:dyDescent="0.25">
      <c r="A102" s="1903">
        <f>A99+0.01</f>
        <v>3.0599999999999987</v>
      </c>
      <c r="B102" s="1908" t="s">
        <v>988</v>
      </c>
      <c r="C102" s="886"/>
      <c r="D102" s="885"/>
      <c r="E102" s="2496"/>
      <c r="F102" s="2497"/>
      <c r="G102" s="2205"/>
      <c r="H102" s="1904"/>
    </row>
    <row r="103" spans="1:8" x14ac:dyDescent="0.25">
      <c r="A103" s="2414"/>
      <c r="B103" s="2415" t="s">
        <v>62</v>
      </c>
      <c r="C103" s="2416">
        <f>'m shet rolf'!N383</f>
        <v>43</v>
      </c>
      <c r="D103" s="2417" t="s">
        <v>2424</v>
      </c>
      <c r="E103" s="2516">
        <f>+E97</f>
        <v>1638.6402439024389</v>
      </c>
      <c r="F103" s="2459">
        <f>+$I$1</f>
        <v>0.85</v>
      </c>
      <c r="G103" s="2375">
        <f>ROUNDUP(E103/F103,-1)</f>
        <v>1930</v>
      </c>
      <c r="H103" s="2533">
        <f>C103*G103</f>
        <v>82990</v>
      </c>
    </row>
    <row r="104" spans="1:8" x14ac:dyDescent="0.25">
      <c r="A104" s="1903"/>
      <c r="B104" s="1877"/>
      <c r="C104" s="886"/>
      <c r="D104" s="885"/>
      <c r="E104" s="2496"/>
      <c r="F104" s="2497"/>
      <c r="G104" s="2205"/>
      <c r="H104" s="1904"/>
    </row>
    <row r="105" spans="1:8" x14ac:dyDescent="0.25">
      <c r="A105" s="1903"/>
      <c r="B105" s="1877"/>
      <c r="C105" s="886"/>
      <c r="D105" s="885"/>
      <c r="E105" s="2496"/>
      <c r="F105" s="2497"/>
      <c r="G105" s="2205"/>
      <c r="H105" s="1904"/>
    </row>
    <row r="106" spans="1:8" ht="45" customHeight="1" x14ac:dyDescent="0.25">
      <c r="A106" s="1903">
        <f>A102+0.01</f>
        <v>3.0699999999999985</v>
      </c>
      <c r="B106" s="1067" t="s">
        <v>3310</v>
      </c>
      <c r="C106" s="886"/>
      <c r="D106" s="885"/>
      <c r="E106" s="2496"/>
      <c r="F106" s="2497"/>
      <c r="G106" s="2205"/>
      <c r="H106" s="1904"/>
    </row>
    <row r="107" spans="1:8" ht="16.8" customHeight="1" x14ac:dyDescent="0.25">
      <c r="A107" s="2414"/>
      <c r="B107" s="2415" t="s">
        <v>62</v>
      </c>
      <c r="C107" s="2416">
        <f>'m shet rolf'!N385</f>
        <v>39</v>
      </c>
      <c r="D107" s="2417" t="s">
        <v>2423</v>
      </c>
      <c r="E107" s="2516">
        <v>12350</v>
      </c>
      <c r="F107" s="2459">
        <f>+$I$1</f>
        <v>0.85</v>
      </c>
      <c r="G107" s="2375">
        <f>ROUNDUP(E107/F107,-1)</f>
        <v>14530</v>
      </c>
      <c r="H107" s="2533">
        <f>C107*G107</f>
        <v>566670</v>
      </c>
    </row>
    <row r="108" spans="1:8" x14ac:dyDescent="0.25">
      <c r="A108" s="1903"/>
      <c r="B108" s="1877"/>
      <c r="C108" s="886"/>
      <c r="D108" s="885"/>
      <c r="E108" s="2496"/>
      <c r="F108" s="2497"/>
      <c r="G108" s="2205"/>
      <c r="H108" s="1904"/>
    </row>
    <row r="109" spans="1:8" ht="27.6" x14ac:dyDescent="0.25">
      <c r="A109" s="1903"/>
      <c r="B109" s="1908" t="s">
        <v>3157</v>
      </c>
      <c r="C109" s="886"/>
      <c r="D109" s="885"/>
      <c r="E109" s="2496"/>
      <c r="F109" s="2497"/>
      <c r="G109" s="2205"/>
      <c r="H109" s="1904"/>
    </row>
    <row r="110" spans="1:8" x14ac:dyDescent="0.25">
      <c r="A110" s="2414"/>
      <c r="B110" s="2415" t="s">
        <v>3106</v>
      </c>
      <c r="C110" s="2416">
        <f>'m shet rolf'!N386</f>
        <v>31</v>
      </c>
      <c r="D110" s="2417" t="s">
        <v>2424</v>
      </c>
      <c r="E110" s="2516">
        <f>+E107/10</f>
        <v>1235</v>
      </c>
      <c r="F110" s="2459">
        <f>+$I$1</f>
        <v>0.85</v>
      </c>
      <c r="G110" s="2375">
        <f>ROUNDUP(E110/F110,-1)</f>
        <v>1460</v>
      </c>
      <c r="H110" s="2533">
        <f>C110*G110</f>
        <v>45260</v>
      </c>
    </row>
    <row r="111" spans="1:8" ht="14.4" thickBot="1" x14ac:dyDescent="0.3">
      <c r="A111" s="2557"/>
      <c r="B111" s="2591"/>
      <c r="C111" s="2559"/>
      <c r="D111" s="2560"/>
      <c r="E111" s="2561"/>
      <c r="F111" s="2562"/>
      <c r="G111" s="2563"/>
      <c r="H111" s="2564"/>
    </row>
    <row r="112" spans="1:8" ht="28.8" hidden="1" thickTop="1" thickBot="1" x14ac:dyDescent="0.3">
      <c r="A112" s="2582">
        <f>A86+0.01</f>
        <v>3.01</v>
      </c>
      <c r="B112" s="2583" t="s">
        <v>3156</v>
      </c>
      <c r="C112" s="2584"/>
      <c r="D112" s="2585"/>
      <c r="E112" s="2586"/>
      <c r="F112" s="2587"/>
      <c r="G112" s="2588"/>
      <c r="H112" s="2589"/>
    </row>
    <row r="113" spans="1:8" ht="15" hidden="1" thickTop="1" thickBot="1" x14ac:dyDescent="0.3">
      <c r="A113" s="2582"/>
      <c r="B113" s="2583" t="s">
        <v>3106</v>
      </c>
      <c r="C113" s="2584"/>
      <c r="D113" s="2585" t="s">
        <v>2423</v>
      </c>
      <c r="E113" s="2586"/>
      <c r="F113" s="2587"/>
      <c r="G113" s="2588"/>
      <c r="H113" s="2589"/>
    </row>
    <row r="114" spans="1:8" ht="15" hidden="1" thickTop="1" thickBot="1" x14ac:dyDescent="0.3">
      <c r="A114" s="2582"/>
      <c r="B114" s="2583"/>
      <c r="C114" s="2584"/>
      <c r="D114" s="2585"/>
      <c r="E114" s="2586"/>
      <c r="F114" s="2587"/>
      <c r="G114" s="2588"/>
      <c r="H114" s="2589"/>
    </row>
    <row r="115" spans="1:8" ht="28.8" hidden="1" thickTop="1" thickBot="1" x14ac:dyDescent="0.3">
      <c r="A115" s="2582">
        <f>A112+0.01</f>
        <v>3.0199999999999996</v>
      </c>
      <c r="B115" s="2592" t="s">
        <v>3157</v>
      </c>
      <c r="C115" s="2584"/>
      <c r="D115" s="2585"/>
      <c r="E115" s="2586"/>
      <c r="F115" s="2587"/>
      <c r="G115" s="2588"/>
      <c r="H115" s="2589"/>
    </row>
    <row r="116" spans="1:8" ht="15" hidden="1" thickTop="1" thickBot="1" x14ac:dyDescent="0.3">
      <c r="A116" s="2582"/>
      <c r="B116" s="2583" t="s">
        <v>3106</v>
      </c>
      <c r="C116" s="2584"/>
      <c r="D116" s="2585" t="s">
        <v>2424</v>
      </c>
      <c r="E116" s="2586"/>
      <c r="F116" s="2587"/>
      <c r="G116" s="2588"/>
      <c r="H116" s="2589"/>
    </row>
    <row r="117" spans="1:8" ht="15" hidden="1" thickTop="1" thickBot="1" x14ac:dyDescent="0.3">
      <c r="A117" s="2582"/>
      <c r="B117" s="2583"/>
      <c r="C117" s="2584"/>
      <c r="D117" s="2585"/>
      <c r="E117" s="2586"/>
      <c r="F117" s="2587"/>
      <c r="G117" s="2588"/>
      <c r="H117" s="2589"/>
    </row>
    <row r="118" spans="1:8" ht="70.2" hidden="1" thickTop="1" thickBot="1" x14ac:dyDescent="0.3">
      <c r="A118" s="2582">
        <f>A86+0.01</f>
        <v>3.01</v>
      </c>
      <c r="B118" s="2593" t="s">
        <v>3115</v>
      </c>
      <c r="C118" s="2584"/>
      <c r="D118" s="2585"/>
      <c r="E118" s="2586"/>
      <c r="F118" s="2587"/>
      <c r="G118" s="2588"/>
      <c r="H118" s="2589"/>
    </row>
    <row r="119" spans="1:8" ht="15" hidden="1" thickTop="1" thickBot="1" x14ac:dyDescent="0.3">
      <c r="A119" s="2582"/>
      <c r="B119" s="2583" t="s">
        <v>3105</v>
      </c>
      <c r="C119" s="2584"/>
      <c r="D119" s="2585" t="s">
        <v>2423</v>
      </c>
      <c r="E119" s="2586"/>
      <c r="F119" s="2587"/>
      <c r="G119" s="2588"/>
      <c r="H119" s="2589"/>
    </row>
    <row r="120" spans="1:8" ht="42.6" hidden="1" thickTop="1" thickBot="1" x14ac:dyDescent="0.3">
      <c r="A120" s="2582">
        <f>A118+0.01</f>
        <v>3.0199999999999996</v>
      </c>
      <c r="B120" s="2592" t="s">
        <v>988</v>
      </c>
      <c r="C120" s="2584"/>
      <c r="D120" s="2585"/>
      <c r="E120" s="2586"/>
      <c r="F120" s="2587"/>
      <c r="G120" s="2588"/>
      <c r="H120" s="2589"/>
    </row>
    <row r="121" spans="1:8" ht="15" hidden="1" thickTop="1" thickBot="1" x14ac:dyDescent="0.3">
      <c r="A121" s="2582"/>
      <c r="B121" s="2583" t="s">
        <v>3105</v>
      </c>
      <c r="C121" s="2584"/>
      <c r="D121" s="2585" t="s">
        <v>2424</v>
      </c>
      <c r="E121" s="2586"/>
      <c r="F121" s="2587"/>
      <c r="G121" s="2588"/>
      <c r="H121" s="2589"/>
    </row>
    <row r="122" spans="1:8" ht="15" hidden="1" thickTop="1" thickBot="1" x14ac:dyDescent="0.3">
      <c r="A122" s="2582"/>
      <c r="B122" s="2583"/>
      <c r="C122" s="2584"/>
      <c r="D122" s="2585"/>
      <c r="E122" s="2586"/>
      <c r="F122" s="2587"/>
      <c r="G122" s="2588"/>
      <c r="H122" s="2589"/>
    </row>
    <row r="123" spans="1:8" ht="70.2" hidden="1" thickTop="1" thickBot="1" x14ac:dyDescent="0.3">
      <c r="A123" s="2582">
        <f>A120+0.01</f>
        <v>3.0299999999999994</v>
      </c>
      <c r="B123" s="2593" t="s">
        <v>3140</v>
      </c>
      <c r="C123" s="2584"/>
      <c r="D123" s="2585"/>
      <c r="E123" s="2586"/>
      <c r="F123" s="2587"/>
      <c r="G123" s="2588"/>
      <c r="H123" s="2589"/>
    </row>
    <row r="124" spans="1:8" ht="15" hidden="1" thickTop="1" thickBot="1" x14ac:dyDescent="0.3">
      <c r="A124" s="2582"/>
      <c r="B124" s="2583" t="s">
        <v>3106</v>
      </c>
      <c r="C124" s="2584"/>
      <c r="D124" s="2585" t="s">
        <v>2423</v>
      </c>
      <c r="E124" s="2586"/>
      <c r="F124" s="2587"/>
      <c r="G124" s="2588"/>
      <c r="H124" s="2589"/>
    </row>
    <row r="125" spans="1:8" ht="15" hidden="1" thickTop="1" thickBot="1" x14ac:dyDescent="0.3">
      <c r="A125" s="2582"/>
      <c r="B125" s="2583"/>
      <c r="C125" s="2584"/>
      <c r="D125" s="2585"/>
      <c r="E125" s="2586"/>
      <c r="F125" s="2587"/>
      <c r="G125" s="2588"/>
      <c r="H125" s="2589"/>
    </row>
    <row r="126" spans="1:8" ht="42.6" hidden="1" thickTop="1" thickBot="1" x14ac:dyDescent="0.3">
      <c r="A126" s="2582">
        <f>A123+0.01</f>
        <v>3.0399999999999991</v>
      </c>
      <c r="B126" s="2592" t="s">
        <v>988</v>
      </c>
      <c r="C126" s="2584"/>
      <c r="D126" s="2585"/>
      <c r="E126" s="2586"/>
      <c r="F126" s="2587"/>
      <c r="G126" s="2588"/>
      <c r="H126" s="2589"/>
    </row>
    <row r="127" spans="1:8" ht="15" hidden="1" thickTop="1" thickBot="1" x14ac:dyDescent="0.3">
      <c r="A127" s="2582"/>
      <c r="B127" s="2583" t="s">
        <v>3106</v>
      </c>
      <c r="C127" s="2584"/>
      <c r="D127" s="2585" t="s">
        <v>2424</v>
      </c>
      <c r="E127" s="2586"/>
      <c r="F127" s="2587"/>
      <c r="G127" s="2588"/>
      <c r="H127" s="2589"/>
    </row>
    <row r="128" spans="1:8" ht="15" hidden="1" thickTop="1" thickBot="1" x14ac:dyDescent="0.3">
      <c r="A128" s="2582"/>
      <c r="B128" s="2583"/>
      <c r="C128" s="2584"/>
      <c r="D128" s="2585"/>
      <c r="E128" s="2586"/>
      <c r="F128" s="2587"/>
      <c r="G128" s="2588"/>
      <c r="H128" s="2589"/>
    </row>
    <row r="129" spans="1:8" ht="15" hidden="1" thickTop="1" thickBot="1" x14ac:dyDescent="0.3">
      <c r="A129" s="2582"/>
      <c r="B129" s="2583"/>
      <c r="C129" s="2584"/>
      <c r="D129" s="2585"/>
      <c r="E129" s="2586"/>
      <c r="F129" s="2587"/>
      <c r="G129" s="2588"/>
      <c r="H129" s="2589"/>
    </row>
    <row r="130" spans="1:8" ht="70.2" hidden="1" thickTop="1" thickBot="1" x14ac:dyDescent="0.3">
      <c r="A130" s="2582">
        <f>A126+0.01</f>
        <v>3.0499999999999989</v>
      </c>
      <c r="B130" s="2593" t="s">
        <v>3112</v>
      </c>
      <c r="C130" s="2584"/>
      <c r="D130" s="2585"/>
      <c r="E130" s="2586"/>
      <c r="F130" s="2587"/>
      <c r="G130" s="2588"/>
      <c r="H130" s="2589"/>
    </row>
    <row r="131" spans="1:8" ht="15" hidden="1" thickTop="1" thickBot="1" x14ac:dyDescent="0.3">
      <c r="A131" s="2582"/>
      <c r="B131" s="2583" t="s">
        <v>3106</v>
      </c>
      <c r="C131" s="2584"/>
      <c r="D131" s="2585" t="s">
        <v>2423</v>
      </c>
      <c r="E131" s="2586"/>
      <c r="F131" s="2587"/>
      <c r="G131" s="2588"/>
      <c r="H131" s="2589"/>
    </row>
    <row r="132" spans="1:8" ht="15" hidden="1" thickTop="1" thickBot="1" x14ac:dyDescent="0.3">
      <c r="A132" s="2582"/>
      <c r="B132" s="2583"/>
      <c r="C132" s="2584"/>
      <c r="D132" s="2585"/>
      <c r="E132" s="2586"/>
      <c r="F132" s="2587"/>
      <c r="G132" s="2588"/>
      <c r="H132" s="2589"/>
    </row>
    <row r="133" spans="1:8" ht="42.6" hidden="1" thickTop="1" thickBot="1" x14ac:dyDescent="0.3">
      <c r="A133" s="2582">
        <f>A130+0.01</f>
        <v>3.0599999999999987</v>
      </c>
      <c r="B133" s="2592" t="s">
        <v>988</v>
      </c>
      <c r="C133" s="2584"/>
      <c r="D133" s="2585"/>
      <c r="E133" s="2586"/>
      <c r="F133" s="2587"/>
      <c r="G133" s="2588"/>
      <c r="H133" s="2589"/>
    </row>
    <row r="134" spans="1:8" ht="15" hidden="1" thickTop="1" thickBot="1" x14ac:dyDescent="0.3">
      <c r="A134" s="2582"/>
      <c r="B134" s="2583" t="s">
        <v>3106</v>
      </c>
      <c r="C134" s="2584"/>
      <c r="D134" s="2585" t="s">
        <v>2424</v>
      </c>
      <c r="E134" s="2586"/>
      <c r="F134" s="2587"/>
      <c r="G134" s="2588"/>
      <c r="H134" s="2589"/>
    </row>
    <row r="135" spans="1:8" ht="15" hidden="1" thickTop="1" thickBot="1" x14ac:dyDescent="0.3">
      <c r="A135" s="2582"/>
      <c r="B135" s="2583"/>
      <c r="C135" s="2584"/>
      <c r="D135" s="2585"/>
      <c r="E135" s="2586"/>
      <c r="F135" s="2587"/>
      <c r="G135" s="2588"/>
      <c r="H135" s="2589"/>
    </row>
    <row r="136" spans="1:8" ht="15" hidden="1" thickTop="1" thickBot="1" x14ac:dyDescent="0.3">
      <c r="A136" s="2582">
        <f>A133+0.01</f>
        <v>3.0699999999999985</v>
      </c>
      <c r="B136" s="2593" t="s">
        <v>3141</v>
      </c>
      <c r="C136" s="2584"/>
      <c r="D136" s="2585"/>
      <c r="E136" s="2586"/>
      <c r="F136" s="2587"/>
      <c r="G136" s="2588"/>
      <c r="H136" s="2589"/>
    </row>
    <row r="137" spans="1:8" ht="15" hidden="1" thickTop="1" thickBot="1" x14ac:dyDescent="0.3">
      <c r="A137" s="2582"/>
      <c r="B137" s="2583" t="s">
        <v>3106</v>
      </c>
      <c r="C137" s="2584"/>
      <c r="D137" s="2585" t="s">
        <v>13</v>
      </c>
      <c r="E137" s="2586"/>
      <c r="F137" s="2587"/>
      <c r="G137" s="2588"/>
      <c r="H137" s="2589"/>
    </row>
    <row r="138" spans="1:8" ht="42.6" hidden="1" thickTop="1" thickBot="1" x14ac:dyDescent="0.3">
      <c r="A138" s="2582">
        <f>A136+0.01</f>
        <v>3.0799999999999983</v>
      </c>
      <c r="B138" s="2592" t="s">
        <v>988</v>
      </c>
      <c r="C138" s="2584"/>
      <c r="D138" s="2585"/>
      <c r="E138" s="2586"/>
      <c r="F138" s="2587"/>
      <c r="G138" s="2588"/>
      <c r="H138" s="2589"/>
    </row>
    <row r="139" spans="1:8" ht="15" hidden="1" thickTop="1" thickBot="1" x14ac:dyDescent="0.3">
      <c r="A139" s="2582"/>
      <c r="B139" s="2583" t="s">
        <v>3106</v>
      </c>
      <c r="C139" s="2585"/>
      <c r="D139" s="2594" t="s">
        <v>2424</v>
      </c>
      <c r="E139" s="2595"/>
      <c r="F139" s="2596"/>
      <c r="G139" s="2597"/>
      <c r="H139" s="2589"/>
    </row>
    <row r="140" spans="1:8" ht="15" hidden="1" thickTop="1" thickBot="1" x14ac:dyDescent="0.3">
      <c r="A140" s="2582"/>
      <c r="B140" s="2583"/>
      <c r="C140" s="2585"/>
      <c r="D140" s="2594"/>
      <c r="E140" s="2595"/>
      <c r="F140" s="2596"/>
      <c r="G140" s="2597"/>
      <c r="H140" s="2589"/>
    </row>
    <row r="141" spans="1:8" ht="69.599999999999994" thickTop="1" x14ac:dyDescent="0.25">
      <c r="A141" s="2565">
        <f>A106+0.01</f>
        <v>3.0799999999999983</v>
      </c>
      <c r="B141" s="2598" t="s">
        <v>3300</v>
      </c>
      <c r="C141" s="2567"/>
      <c r="D141" s="2568"/>
      <c r="E141" s="2569"/>
      <c r="F141" s="2570"/>
      <c r="G141" s="2571"/>
      <c r="H141" s="2572"/>
    </row>
    <row r="142" spans="1:8" x14ac:dyDescent="0.25">
      <c r="A142" s="2414"/>
      <c r="B142" s="2415" t="s">
        <v>3106</v>
      </c>
      <c r="C142" s="2416">
        <f>'m shet rolf'!N120</f>
        <v>16</v>
      </c>
      <c r="D142" s="2417" t="s">
        <v>2423</v>
      </c>
      <c r="E142" s="2516">
        <f>+E59*1.05</f>
        <v>9626.0749125403672</v>
      </c>
      <c r="F142" s="2459">
        <f>+$I$1</f>
        <v>0.85</v>
      </c>
      <c r="G142" s="2375">
        <f>ROUNDUP(E142/F142,-1)</f>
        <v>11330</v>
      </c>
      <c r="H142" s="2533">
        <f>C142*G142</f>
        <v>181280</v>
      </c>
    </row>
    <row r="143" spans="1:8" x14ac:dyDescent="0.25">
      <c r="A143" s="1903"/>
      <c r="B143" s="1067"/>
      <c r="C143" s="886"/>
      <c r="D143" s="885"/>
      <c r="E143" s="2496"/>
      <c r="F143" s="2497"/>
      <c r="G143" s="2205"/>
      <c r="H143" s="1904"/>
    </row>
    <row r="144" spans="1:8" ht="69" hidden="1" x14ac:dyDescent="0.25">
      <c r="A144" s="1903"/>
      <c r="B144" s="1145" t="s">
        <v>3114</v>
      </c>
      <c r="C144" s="886"/>
      <c r="D144" s="885"/>
      <c r="E144" s="2496"/>
      <c r="F144" s="2497"/>
      <c r="G144" s="2205"/>
      <c r="H144" s="1904"/>
    </row>
    <row r="145" spans="1:8" hidden="1" x14ac:dyDescent="0.25">
      <c r="A145" s="1903"/>
      <c r="B145" s="1067" t="s">
        <v>3106</v>
      </c>
      <c r="C145" s="886"/>
      <c r="D145" s="885" t="s">
        <v>2423</v>
      </c>
      <c r="E145" s="2496"/>
      <c r="F145" s="2497"/>
      <c r="G145" s="2205"/>
      <c r="H145" s="1904"/>
    </row>
    <row r="146" spans="1:8" hidden="1" x14ac:dyDescent="0.25">
      <c r="A146" s="1903"/>
      <c r="B146" s="1067"/>
      <c r="C146" s="886"/>
      <c r="D146" s="885"/>
      <c r="E146" s="2496"/>
      <c r="F146" s="2497"/>
      <c r="G146" s="2205"/>
      <c r="H146" s="1904"/>
    </row>
    <row r="147" spans="1:8" ht="41.4" hidden="1" x14ac:dyDescent="0.25">
      <c r="A147" s="1903"/>
      <c r="B147" s="1908" t="s">
        <v>988</v>
      </c>
      <c r="C147" s="886"/>
      <c r="D147" s="885"/>
      <c r="E147" s="2496"/>
      <c r="F147" s="2497"/>
      <c r="G147" s="2205"/>
      <c r="H147" s="1904"/>
    </row>
    <row r="148" spans="1:8" hidden="1" x14ac:dyDescent="0.25">
      <c r="A148" s="1903"/>
      <c r="B148" s="1067" t="s">
        <v>3106</v>
      </c>
      <c r="C148" s="885"/>
      <c r="D148" s="887" t="s">
        <v>2424</v>
      </c>
      <c r="E148" s="2517"/>
      <c r="F148" s="2518"/>
      <c r="G148" s="2212"/>
      <c r="H148" s="1904"/>
    </row>
    <row r="149" spans="1:8" hidden="1" x14ac:dyDescent="0.25">
      <c r="A149" s="1903"/>
      <c r="B149" s="1067"/>
      <c r="C149" s="886"/>
      <c r="D149" s="885"/>
      <c r="E149" s="2496"/>
      <c r="F149" s="2497"/>
      <c r="G149" s="2205"/>
      <c r="H149" s="1904"/>
    </row>
    <row r="150" spans="1:8" hidden="1" x14ac:dyDescent="0.25">
      <c r="A150" s="1903"/>
      <c r="B150" s="1067"/>
      <c r="C150" s="886"/>
      <c r="D150" s="885"/>
      <c r="E150" s="2496"/>
      <c r="F150" s="2497"/>
      <c r="G150" s="2205"/>
      <c r="H150" s="1904"/>
    </row>
    <row r="151" spans="1:8" hidden="1" x14ac:dyDescent="0.25">
      <c r="A151" s="1903"/>
      <c r="B151" s="1067"/>
      <c r="C151" s="886"/>
      <c r="D151" s="885"/>
      <c r="E151" s="2496"/>
      <c r="F151" s="2497"/>
      <c r="G151" s="2205"/>
      <c r="H151" s="1904"/>
    </row>
    <row r="152" spans="1:8" hidden="1" x14ac:dyDescent="0.25">
      <c r="A152" s="1903"/>
      <c r="B152" s="1067"/>
      <c r="C152" s="886"/>
      <c r="D152" s="885"/>
      <c r="E152" s="2496"/>
      <c r="F152" s="2497"/>
      <c r="G152" s="2205"/>
      <c r="H152" s="1904"/>
    </row>
    <row r="153" spans="1:8" hidden="1" x14ac:dyDescent="0.25">
      <c r="A153" s="1903"/>
      <c r="B153" s="1067"/>
      <c r="C153" s="886"/>
      <c r="D153" s="885"/>
      <c r="E153" s="2496"/>
      <c r="F153" s="2497"/>
      <c r="G153" s="2205"/>
      <c r="H153" s="1904"/>
    </row>
    <row r="154" spans="1:8" x14ac:dyDescent="0.25">
      <c r="A154" s="1903">
        <v>4</v>
      </c>
      <c r="B154" s="1877" t="s">
        <v>878</v>
      </c>
      <c r="C154" s="886"/>
      <c r="D154" s="885"/>
      <c r="E154" s="2496"/>
      <c r="F154" s="2497"/>
      <c r="G154" s="2205"/>
      <c r="H154" s="1904"/>
    </row>
    <row r="155" spans="1:8" x14ac:dyDescent="0.25">
      <c r="A155" s="1903"/>
      <c r="B155" s="1877"/>
      <c r="C155" s="886"/>
      <c r="D155" s="885"/>
      <c r="E155" s="2496"/>
      <c r="F155" s="2497"/>
      <c r="G155" s="2205"/>
      <c r="H155" s="1904"/>
    </row>
    <row r="156" spans="1:8" ht="82.8" x14ac:dyDescent="0.25">
      <c r="A156" s="1903">
        <f>A154+0.01</f>
        <v>4.01</v>
      </c>
      <c r="B156" s="1145" t="s">
        <v>3298</v>
      </c>
      <c r="C156" s="886"/>
      <c r="D156" s="885"/>
      <c r="E156" s="2496"/>
      <c r="F156" s="2497"/>
      <c r="G156" s="2205"/>
      <c r="H156" s="1904"/>
    </row>
    <row r="157" spans="1:8" x14ac:dyDescent="0.25">
      <c r="A157" s="2414"/>
      <c r="B157" s="2415" t="s">
        <v>2598</v>
      </c>
      <c r="C157" s="2416">
        <f>'m shet rolf'!N391</f>
        <v>42</v>
      </c>
      <c r="D157" s="2417" t="s">
        <v>2423</v>
      </c>
      <c r="E157" s="2516">
        <f>+E35*1.1</f>
        <v>10386.9932151507</v>
      </c>
      <c r="F157" s="2459">
        <f>+$I$1</f>
        <v>0.85</v>
      </c>
      <c r="G157" s="2375">
        <f>ROUNDUP(E157/F157,-1)</f>
        <v>12220</v>
      </c>
      <c r="H157" s="2533">
        <f>C157*G157</f>
        <v>513240</v>
      </c>
    </row>
    <row r="158" spans="1:8" x14ac:dyDescent="0.25">
      <c r="A158" s="1903"/>
      <c r="B158" s="1067"/>
      <c r="C158" s="886"/>
      <c r="D158" s="885"/>
      <c r="E158" s="2496"/>
      <c r="F158" s="2497"/>
      <c r="G158" s="2205"/>
      <c r="H158" s="1904"/>
    </row>
    <row r="159" spans="1:8" ht="41.4" x14ac:dyDescent="0.25">
      <c r="A159" s="1903">
        <f>A156+0.01</f>
        <v>4.0199999999999996</v>
      </c>
      <c r="B159" s="1908" t="s">
        <v>988</v>
      </c>
      <c r="C159" s="886"/>
      <c r="D159" s="885"/>
      <c r="E159" s="2496"/>
      <c r="F159" s="2497"/>
      <c r="G159" s="2205"/>
      <c r="H159" s="1904"/>
    </row>
    <row r="160" spans="1:8" x14ac:dyDescent="0.25">
      <c r="A160" s="2414"/>
      <c r="B160" s="2415" t="s">
        <v>2598</v>
      </c>
      <c r="C160" s="2416">
        <f>'m shet rolf'!N392</f>
        <v>40</v>
      </c>
      <c r="D160" s="2417" t="s">
        <v>2424</v>
      </c>
      <c r="E160" s="2516">
        <f>+E38*1.1</f>
        <v>1716.6707317073171</v>
      </c>
      <c r="F160" s="2459">
        <f>+$I$1</f>
        <v>0.85</v>
      </c>
      <c r="G160" s="2375">
        <f>ROUNDUP(E160/F160,-1)</f>
        <v>2020</v>
      </c>
      <c r="H160" s="2533">
        <f>C160*G160</f>
        <v>80800</v>
      </c>
    </row>
    <row r="161" spans="1:8" x14ac:dyDescent="0.25">
      <c r="A161" s="1903"/>
      <c r="B161" s="1877"/>
      <c r="C161" s="886"/>
      <c r="D161" s="885"/>
      <c r="E161" s="2496"/>
      <c r="F161" s="2497"/>
      <c r="G161" s="2205"/>
      <c r="H161" s="1904"/>
    </row>
    <row r="162" spans="1:8" ht="76.8" customHeight="1" x14ac:dyDescent="0.25">
      <c r="A162" s="1903">
        <f>A159+0.01</f>
        <v>4.0299999999999994</v>
      </c>
      <c r="B162" s="1908" t="s">
        <v>3299</v>
      </c>
      <c r="C162" s="886"/>
      <c r="D162" s="885"/>
      <c r="E162" s="2496"/>
      <c r="F162" s="2497"/>
      <c r="G162" s="2205"/>
      <c r="H162" s="1904"/>
    </row>
    <row r="163" spans="1:8" x14ac:dyDescent="0.25">
      <c r="A163" s="2414"/>
      <c r="B163" s="2415" t="s">
        <v>2598</v>
      </c>
      <c r="C163" s="2416">
        <f>'m shet rolf'!N394</f>
        <v>23</v>
      </c>
      <c r="D163" s="2417" t="s">
        <v>2423</v>
      </c>
      <c r="E163" s="2516">
        <f>+E53*1.1</f>
        <v>10084.459432185147</v>
      </c>
      <c r="F163" s="2459">
        <f>+$I$1</f>
        <v>0.85</v>
      </c>
      <c r="G163" s="2375">
        <f>ROUNDUP(E163/F163,-1)</f>
        <v>11870</v>
      </c>
      <c r="H163" s="2533">
        <f>C163*G163</f>
        <v>273010</v>
      </c>
    </row>
    <row r="164" spans="1:8" ht="41.4" x14ac:dyDescent="0.25">
      <c r="A164" s="1903">
        <f>A162+0.01</f>
        <v>4.0399999999999991</v>
      </c>
      <c r="B164" s="1908" t="s">
        <v>988</v>
      </c>
      <c r="C164" s="886"/>
      <c r="D164" s="885"/>
      <c r="E164" s="2496"/>
      <c r="F164" s="2497"/>
      <c r="G164" s="2205"/>
      <c r="H164" s="1904"/>
    </row>
    <row r="165" spans="1:8" x14ac:dyDescent="0.25">
      <c r="A165" s="2414"/>
      <c r="B165" s="2415" t="s">
        <v>2598</v>
      </c>
      <c r="C165" s="2416">
        <f>'m shet rolf'!N395</f>
        <v>23</v>
      </c>
      <c r="D165" s="2417" t="s">
        <v>2424</v>
      </c>
      <c r="E165" s="2516">
        <f>+E160</f>
        <v>1716.6707317073171</v>
      </c>
      <c r="F165" s="2459">
        <f>+$I$1</f>
        <v>0.85</v>
      </c>
      <c r="G165" s="2375">
        <f>ROUNDUP(E165/F165,-1)</f>
        <v>2020</v>
      </c>
      <c r="H165" s="2533">
        <f>C165*G165</f>
        <v>46460</v>
      </c>
    </row>
    <row r="166" spans="1:8" x14ac:dyDescent="0.25">
      <c r="A166" s="1903"/>
      <c r="B166" s="1877"/>
      <c r="C166" s="886"/>
      <c r="D166" s="885"/>
      <c r="E166" s="2496"/>
      <c r="F166" s="2497"/>
      <c r="G166" s="2205"/>
      <c r="H166" s="1904"/>
    </row>
    <row r="167" spans="1:8" ht="57.6" customHeight="1" x14ac:dyDescent="0.25">
      <c r="A167" s="1903">
        <f>A164+0.01</f>
        <v>4.0499999999999989</v>
      </c>
      <c r="B167" s="1145" t="s">
        <v>3306</v>
      </c>
      <c r="C167" s="886"/>
      <c r="D167" s="885"/>
      <c r="E167" s="2496"/>
      <c r="F167" s="2497"/>
      <c r="G167" s="2205"/>
      <c r="H167" s="1904"/>
    </row>
    <row r="168" spans="1:8" x14ac:dyDescent="0.25">
      <c r="A168" s="1903"/>
      <c r="B168" s="1877"/>
      <c r="C168" s="886"/>
      <c r="D168" s="885"/>
      <c r="E168" s="2496"/>
      <c r="F168" s="2497"/>
      <c r="G168" s="2205"/>
      <c r="H168" s="1904"/>
    </row>
    <row r="169" spans="1:8" x14ac:dyDescent="0.25">
      <c r="A169" s="2414"/>
      <c r="B169" s="2415" t="s">
        <v>2598</v>
      </c>
      <c r="C169" s="2416">
        <f>'m shet rolf'!N399</f>
        <v>47</v>
      </c>
      <c r="D169" s="2417" t="s">
        <v>2423</v>
      </c>
      <c r="E169" s="2516">
        <f>+E163</f>
        <v>10084.459432185147</v>
      </c>
      <c r="F169" s="2459">
        <f>+$I$1</f>
        <v>0.85</v>
      </c>
      <c r="G169" s="2375">
        <f>ROUNDUP(E169/F169,-1)</f>
        <v>11870</v>
      </c>
      <c r="H169" s="2533">
        <f>C169*G169</f>
        <v>557890</v>
      </c>
    </row>
    <row r="170" spans="1:8" x14ac:dyDescent="0.25">
      <c r="A170" s="1903"/>
      <c r="B170" s="1877"/>
      <c r="C170" s="886"/>
      <c r="D170" s="885"/>
      <c r="E170" s="2496"/>
      <c r="F170" s="2497"/>
      <c r="G170" s="2205"/>
      <c r="H170" s="1904"/>
    </row>
    <row r="171" spans="1:8" ht="41.4" x14ac:dyDescent="0.25">
      <c r="A171" s="1903">
        <f>A167+0.01</f>
        <v>4.0599999999999987</v>
      </c>
      <c r="B171" s="1908" t="s">
        <v>988</v>
      </c>
      <c r="C171" s="886"/>
      <c r="D171" s="885"/>
      <c r="E171" s="2496"/>
      <c r="F171" s="2497"/>
      <c r="G171" s="2205"/>
      <c r="H171" s="1904"/>
    </row>
    <row r="172" spans="1:8" x14ac:dyDescent="0.25">
      <c r="A172" s="2414"/>
      <c r="B172" s="2415" t="s">
        <v>2598</v>
      </c>
      <c r="C172" s="2416">
        <f>'m shet rolf'!N403</f>
        <v>38</v>
      </c>
      <c r="D172" s="2417" t="s">
        <v>2424</v>
      </c>
      <c r="E172" s="2516">
        <f>+E165</f>
        <v>1716.6707317073171</v>
      </c>
      <c r="F172" s="2459">
        <f>+$I$1</f>
        <v>0.85</v>
      </c>
      <c r="G172" s="2375">
        <f>ROUNDUP(E172/F172,-1)</f>
        <v>2020</v>
      </c>
      <c r="H172" s="2533">
        <f>C172*G172</f>
        <v>76760</v>
      </c>
    </row>
    <row r="173" spans="1:8" x14ac:dyDescent="0.25">
      <c r="A173" s="1903"/>
      <c r="B173" s="1877"/>
      <c r="C173" s="886"/>
      <c r="D173" s="885"/>
      <c r="E173" s="2496"/>
      <c r="F173" s="2497"/>
      <c r="G173" s="2205"/>
      <c r="H173" s="1904"/>
    </row>
    <row r="174" spans="1:8" hidden="1" x14ac:dyDescent="0.25">
      <c r="A174" s="1903"/>
      <c r="B174" s="1877"/>
      <c r="C174" s="886"/>
      <c r="D174" s="885"/>
      <c r="E174" s="2496"/>
      <c r="F174" s="2497"/>
      <c r="G174" s="2205"/>
      <c r="H174" s="1904"/>
    </row>
    <row r="175" spans="1:8" hidden="1" x14ac:dyDescent="0.25">
      <c r="A175" s="1903"/>
      <c r="B175" s="1877"/>
      <c r="C175" s="886"/>
      <c r="D175" s="885"/>
      <c r="E175" s="2496"/>
      <c r="F175" s="2497"/>
      <c r="G175" s="2205"/>
      <c r="H175" s="1904"/>
    </row>
    <row r="176" spans="1:8" hidden="1" x14ac:dyDescent="0.25">
      <c r="A176" s="1903"/>
      <c r="B176" s="1877"/>
      <c r="C176" s="886"/>
      <c r="D176" s="885"/>
      <c r="E176" s="2496"/>
      <c r="F176" s="2497"/>
      <c r="G176" s="2205"/>
      <c r="H176" s="1904"/>
    </row>
    <row r="177" spans="1:8" hidden="1" x14ac:dyDescent="0.25">
      <c r="A177" s="1903"/>
      <c r="B177" s="1877"/>
      <c r="C177" s="886"/>
      <c r="D177" s="885"/>
      <c r="E177" s="2496"/>
      <c r="F177" s="2497"/>
      <c r="G177" s="2205"/>
      <c r="H177" s="1904"/>
    </row>
    <row r="178" spans="1:8" hidden="1" x14ac:dyDescent="0.25">
      <c r="A178" s="1903"/>
      <c r="B178" s="1877"/>
      <c r="C178" s="886"/>
      <c r="D178" s="885"/>
      <c r="E178" s="2496"/>
      <c r="F178" s="2497"/>
      <c r="G178" s="2205"/>
      <c r="H178" s="1904"/>
    </row>
    <row r="179" spans="1:8" hidden="1" x14ac:dyDescent="0.25">
      <c r="A179" s="1903"/>
      <c r="B179" s="1877"/>
      <c r="C179" s="886"/>
      <c r="D179" s="885"/>
      <c r="E179" s="2496"/>
      <c r="F179" s="2497"/>
      <c r="G179" s="2205"/>
      <c r="H179" s="1904"/>
    </row>
    <row r="180" spans="1:8" hidden="1" x14ac:dyDescent="0.25">
      <c r="A180" s="1903"/>
      <c r="B180" s="1877"/>
      <c r="C180" s="886"/>
      <c r="D180" s="885"/>
      <c r="E180" s="2496"/>
      <c r="F180" s="2497"/>
      <c r="G180" s="2205"/>
      <c r="H180" s="1904"/>
    </row>
    <row r="181" spans="1:8" ht="27.6" hidden="1" x14ac:dyDescent="0.25">
      <c r="A181" s="1903"/>
      <c r="B181" s="1067" t="s">
        <v>3193</v>
      </c>
      <c r="C181" s="886"/>
      <c r="D181" s="885"/>
      <c r="E181" s="2496"/>
      <c r="F181" s="2497"/>
      <c r="G181" s="2205"/>
      <c r="H181" s="1904"/>
    </row>
    <row r="182" spans="1:8" hidden="1" x14ac:dyDescent="0.25">
      <c r="A182" s="1903"/>
      <c r="B182" s="1067" t="s">
        <v>61</v>
      </c>
      <c r="C182" s="886"/>
      <c r="D182" s="885" t="s">
        <v>2423</v>
      </c>
      <c r="E182" s="2496"/>
      <c r="F182" s="2497"/>
      <c r="G182" s="2205"/>
      <c r="H182" s="1904"/>
    </row>
    <row r="183" spans="1:8" hidden="1" x14ac:dyDescent="0.25">
      <c r="A183" s="1903"/>
      <c r="B183" s="1067"/>
      <c r="C183" s="886"/>
      <c r="D183" s="885"/>
      <c r="E183" s="2496"/>
      <c r="F183" s="2497"/>
      <c r="G183" s="2205"/>
      <c r="H183" s="1904"/>
    </row>
    <row r="184" spans="1:8" ht="27.6" hidden="1" x14ac:dyDescent="0.25">
      <c r="A184" s="1903"/>
      <c r="B184" s="1908" t="s">
        <v>3157</v>
      </c>
      <c r="C184" s="886"/>
      <c r="D184" s="885"/>
      <c r="E184" s="2496"/>
      <c r="F184" s="2497"/>
      <c r="G184" s="2205"/>
      <c r="H184" s="1904"/>
    </row>
    <row r="185" spans="1:8" hidden="1" x14ac:dyDescent="0.25">
      <c r="A185" s="1903"/>
      <c r="B185" s="1067" t="s">
        <v>61</v>
      </c>
      <c r="C185" s="886"/>
      <c r="D185" s="885" t="s">
        <v>2424</v>
      </c>
      <c r="E185" s="2496"/>
      <c r="F185" s="2497"/>
      <c r="G185" s="2205"/>
      <c r="H185" s="1904"/>
    </row>
    <row r="186" spans="1:8" hidden="1" x14ac:dyDescent="0.25">
      <c r="A186" s="1903"/>
      <c r="B186" s="1877"/>
      <c r="C186" s="886"/>
      <c r="D186" s="885"/>
      <c r="E186" s="2496"/>
      <c r="F186" s="2497"/>
      <c r="G186" s="2205"/>
      <c r="H186" s="1904"/>
    </row>
    <row r="187" spans="1:8" ht="27.6" x14ac:dyDescent="0.25">
      <c r="A187" s="1903">
        <f>A171+0.01</f>
        <v>4.0699999999999985</v>
      </c>
      <c r="B187" s="1067" t="s">
        <v>3195</v>
      </c>
      <c r="C187" s="886"/>
      <c r="D187" s="885"/>
      <c r="E187" s="2496"/>
      <c r="F187" s="2497"/>
      <c r="G187" s="2205"/>
      <c r="H187" s="1904"/>
    </row>
    <row r="188" spans="1:8" x14ac:dyDescent="0.25">
      <c r="A188" s="2414"/>
      <c r="B188" s="2415" t="s">
        <v>2598</v>
      </c>
      <c r="C188" s="2416">
        <f>'m shet rolf'!N408</f>
        <v>14</v>
      </c>
      <c r="D188" s="2417" t="s">
        <v>2423</v>
      </c>
      <c r="E188" s="2516">
        <v>650</v>
      </c>
      <c r="F188" s="2459">
        <f>+$I$1</f>
        <v>0.85</v>
      </c>
      <c r="G188" s="2375">
        <f>ROUNDUP(E188/F188,-1)</f>
        <v>770</v>
      </c>
      <c r="H188" s="2533">
        <f>C188*G188</f>
        <v>10780</v>
      </c>
    </row>
    <row r="189" spans="1:8" x14ac:dyDescent="0.25">
      <c r="A189" s="1903"/>
      <c r="B189" s="1067"/>
      <c r="C189" s="886"/>
      <c r="D189" s="885"/>
      <c r="E189" s="2496"/>
      <c r="F189" s="2497"/>
      <c r="G189" s="2205"/>
      <c r="H189" s="1904"/>
    </row>
    <row r="190" spans="1:8" ht="27.6" x14ac:dyDescent="0.25">
      <c r="A190" s="1903">
        <f>A187+0.01</f>
        <v>4.0799999999999983</v>
      </c>
      <c r="B190" s="1908" t="s">
        <v>3157</v>
      </c>
      <c r="C190" s="886"/>
      <c r="D190" s="885"/>
      <c r="E190" s="2496"/>
      <c r="F190" s="2497"/>
      <c r="G190" s="2205"/>
      <c r="H190" s="1904"/>
    </row>
    <row r="191" spans="1:8" ht="14.4" thickBot="1" x14ac:dyDescent="0.3">
      <c r="A191" s="2574"/>
      <c r="B191" s="2575" t="s">
        <v>2598</v>
      </c>
      <c r="C191" s="2576">
        <f>'m shet rolf'!N409</f>
        <v>15</v>
      </c>
      <c r="D191" s="2577" t="s">
        <v>2424</v>
      </c>
      <c r="E191" s="2578">
        <f>+E110</f>
        <v>1235</v>
      </c>
      <c r="F191" s="2579">
        <f>+$I$1</f>
        <v>0.85</v>
      </c>
      <c r="G191" s="2580">
        <f>ROUNDUP(E191/F191,-1)</f>
        <v>1460</v>
      </c>
      <c r="H191" s="2581">
        <f>C191*G191</f>
        <v>21900</v>
      </c>
    </row>
    <row r="192" spans="1:8" ht="14.4" thickTop="1" x14ac:dyDescent="0.25">
      <c r="A192" s="2565"/>
      <c r="B192" s="2590"/>
      <c r="C192" s="2567"/>
      <c r="D192" s="2568"/>
      <c r="E192" s="2569"/>
      <c r="F192" s="2570"/>
      <c r="G192" s="2571"/>
      <c r="H192" s="2572"/>
    </row>
    <row r="193" spans="1:8" ht="27.6" x14ac:dyDescent="0.25">
      <c r="A193" s="1903">
        <f>A190+0.01</f>
        <v>4.0899999999999981</v>
      </c>
      <c r="B193" s="1067" t="s">
        <v>3196</v>
      </c>
      <c r="C193" s="886"/>
      <c r="D193" s="885"/>
      <c r="E193" s="2496"/>
      <c r="F193" s="2497"/>
      <c r="G193" s="2205"/>
      <c r="H193" s="1904"/>
    </row>
    <row r="194" spans="1:8" x14ac:dyDescent="0.25">
      <c r="A194" s="2535"/>
      <c r="B194" s="2536" t="s">
        <v>2598</v>
      </c>
      <c r="C194" s="2537">
        <f>'m shet rolf'!N405</f>
        <v>25</v>
      </c>
      <c r="D194" s="2538" t="s">
        <v>2423</v>
      </c>
      <c r="E194" s="2539">
        <f>+E188</f>
        <v>650</v>
      </c>
      <c r="F194" s="2540">
        <f>+$I$1</f>
        <v>0.85</v>
      </c>
      <c r="G194" s="2541">
        <f>ROUNDUP(E194/F194,-1)</f>
        <v>770</v>
      </c>
      <c r="H194" s="2542">
        <f>C194*G194</f>
        <v>19250</v>
      </c>
    </row>
    <row r="195" spans="1:8" ht="27.6" x14ac:dyDescent="0.25">
      <c r="A195" s="1903">
        <f>A193+0.01</f>
        <v>4.0999999999999979</v>
      </c>
      <c r="B195" s="1908" t="s">
        <v>3157</v>
      </c>
      <c r="C195" s="886"/>
      <c r="D195" s="885"/>
      <c r="E195" s="2496"/>
      <c r="F195" s="2497"/>
      <c r="G195" s="2205"/>
      <c r="H195" s="1904"/>
    </row>
    <row r="196" spans="1:8" x14ac:dyDescent="0.25">
      <c r="A196" s="2414"/>
      <c r="B196" s="2415" t="s">
        <v>61</v>
      </c>
      <c r="C196" s="2416">
        <f>'m shet rolf'!N406</f>
        <v>21</v>
      </c>
      <c r="D196" s="2417" t="s">
        <v>2424</v>
      </c>
      <c r="E196" s="2516">
        <f>+E191</f>
        <v>1235</v>
      </c>
      <c r="F196" s="2459">
        <f>+$I$1</f>
        <v>0.85</v>
      </c>
      <c r="G196" s="2375">
        <f>ROUNDUP(E196/F196,-1)</f>
        <v>1460</v>
      </c>
      <c r="H196" s="2533">
        <f>C196*G196</f>
        <v>30660</v>
      </c>
    </row>
    <row r="197" spans="1:8" hidden="1" x14ac:dyDescent="0.25">
      <c r="A197" s="1903"/>
      <c r="B197" s="1877"/>
      <c r="C197" s="886"/>
      <c r="D197" s="885"/>
      <c r="E197" s="2496"/>
      <c r="F197" s="2497"/>
      <c r="G197" s="2205"/>
      <c r="H197" s="1904"/>
    </row>
    <row r="198" spans="1:8" hidden="1" x14ac:dyDescent="0.25">
      <c r="A198" s="1903"/>
      <c r="B198" s="1877"/>
      <c r="C198" s="886"/>
      <c r="D198" s="885"/>
      <c r="E198" s="2496"/>
      <c r="F198" s="2497"/>
      <c r="G198" s="2205"/>
      <c r="H198" s="1904"/>
    </row>
    <row r="199" spans="1:8" hidden="1" x14ac:dyDescent="0.25">
      <c r="A199" s="1903"/>
      <c r="B199" s="1877"/>
      <c r="C199" s="886"/>
      <c r="D199" s="885"/>
      <c r="E199" s="2496"/>
      <c r="F199" s="2497"/>
      <c r="G199" s="2205"/>
      <c r="H199" s="1904"/>
    </row>
    <row r="200" spans="1:8" hidden="1" x14ac:dyDescent="0.25">
      <c r="A200" s="1903"/>
      <c r="B200" s="1877"/>
      <c r="C200" s="886"/>
      <c r="D200" s="885"/>
      <c r="E200" s="2496"/>
      <c r="F200" s="2497"/>
      <c r="G200" s="2205"/>
      <c r="H200" s="1904"/>
    </row>
    <row r="201" spans="1:8" hidden="1" x14ac:dyDescent="0.25">
      <c r="A201" s="1903"/>
      <c r="B201" s="1877"/>
      <c r="C201" s="886"/>
      <c r="D201" s="885"/>
      <c r="E201" s="2496"/>
      <c r="F201" s="2497"/>
      <c r="G201" s="2205"/>
      <c r="H201" s="1904"/>
    </row>
    <row r="202" spans="1:8" hidden="1" x14ac:dyDescent="0.25">
      <c r="A202" s="1903"/>
      <c r="B202" s="1877"/>
      <c r="C202" s="886"/>
      <c r="D202" s="885"/>
      <c r="E202" s="2496"/>
      <c r="F202" s="2497"/>
      <c r="G202" s="2205"/>
      <c r="H202" s="1904"/>
    </row>
    <row r="203" spans="1:8" hidden="1" x14ac:dyDescent="0.25">
      <c r="A203" s="1903"/>
      <c r="B203" s="1877"/>
      <c r="C203" s="886"/>
      <c r="D203" s="885"/>
      <c r="E203" s="2496"/>
      <c r="F203" s="2497"/>
      <c r="G203" s="2205"/>
      <c r="H203" s="1904"/>
    </row>
    <row r="204" spans="1:8" hidden="1" x14ac:dyDescent="0.25">
      <c r="A204" s="1903"/>
      <c r="B204" s="1067"/>
      <c r="C204" s="886"/>
      <c r="D204" s="885"/>
      <c r="E204" s="2496"/>
      <c r="F204" s="2497"/>
      <c r="G204" s="2205"/>
      <c r="H204" s="1904"/>
    </row>
    <row r="205" spans="1:8" ht="27.6" hidden="1" x14ac:dyDescent="0.25">
      <c r="A205" s="1903"/>
      <c r="B205" s="1067" t="s">
        <v>3156</v>
      </c>
      <c r="C205" s="886"/>
      <c r="D205" s="885"/>
      <c r="E205" s="2496"/>
      <c r="F205" s="2497"/>
      <c r="G205" s="2205"/>
      <c r="H205" s="1904"/>
    </row>
    <row r="206" spans="1:8" hidden="1" x14ac:dyDescent="0.25">
      <c r="A206" s="1903"/>
      <c r="B206" s="1067" t="s">
        <v>3106</v>
      </c>
      <c r="C206" s="886"/>
      <c r="D206" s="885" t="s">
        <v>2423</v>
      </c>
      <c r="E206" s="2496"/>
      <c r="F206" s="2497"/>
      <c r="G206" s="2205"/>
      <c r="H206" s="1904"/>
    </row>
    <row r="207" spans="1:8" hidden="1" x14ac:dyDescent="0.25">
      <c r="A207" s="1903"/>
      <c r="B207" s="1067"/>
      <c r="C207" s="886"/>
      <c r="D207" s="885"/>
      <c r="E207" s="2496"/>
      <c r="F207" s="2497"/>
      <c r="G207" s="2205"/>
      <c r="H207" s="1904"/>
    </row>
    <row r="208" spans="1:8" ht="27.6" hidden="1" x14ac:dyDescent="0.25">
      <c r="A208" s="1903"/>
      <c r="B208" s="1908" t="s">
        <v>3157</v>
      </c>
      <c r="C208" s="886"/>
      <c r="D208" s="885"/>
      <c r="E208" s="2496"/>
      <c r="F208" s="2497"/>
      <c r="G208" s="2205"/>
      <c r="H208" s="1904"/>
    </row>
    <row r="209" spans="1:8" hidden="1" x14ac:dyDescent="0.25">
      <c r="A209" s="1903"/>
      <c r="B209" s="1067" t="s">
        <v>3106</v>
      </c>
      <c r="C209" s="886"/>
      <c r="D209" s="885" t="s">
        <v>2424</v>
      </c>
      <c r="E209" s="2496"/>
      <c r="F209" s="2497"/>
      <c r="G209" s="2205"/>
      <c r="H209" s="1904"/>
    </row>
    <row r="210" spans="1:8" x14ac:dyDescent="0.25">
      <c r="A210" s="1903"/>
      <c r="B210" s="1067"/>
      <c r="C210" s="886"/>
      <c r="D210" s="885"/>
      <c r="E210" s="2496"/>
      <c r="F210" s="2497"/>
      <c r="G210" s="2205"/>
      <c r="H210" s="1904"/>
    </row>
    <row r="211" spans="1:8" hidden="1" x14ac:dyDescent="0.25">
      <c r="A211" s="1903"/>
      <c r="B211" s="1067"/>
      <c r="C211" s="886"/>
      <c r="D211" s="885"/>
      <c r="E211" s="2496"/>
      <c r="F211" s="2497"/>
      <c r="G211" s="2205"/>
      <c r="H211" s="1904"/>
    </row>
    <row r="212" spans="1:8" hidden="1" x14ac:dyDescent="0.25">
      <c r="A212" s="1903"/>
      <c r="B212" s="1067"/>
      <c r="C212" s="886"/>
      <c r="D212" s="885"/>
      <c r="E212" s="2496"/>
      <c r="F212" s="2497"/>
      <c r="G212" s="2205"/>
      <c r="H212" s="1904"/>
    </row>
    <row r="213" spans="1:8" hidden="1" x14ac:dyDescent="0.25">
      <c r="A213" s="1903"/>
      <c r="B213" s="1067"/>
      <c r="C213" s="886"/>
      <c r="D213" s="885"/>
      <c r="E213" s="2496"/>
      <c r="F213" s="2497"/>
      <c r="G213" s="2205"/>
      <c r="H213" s="1904"/>
    </row>
    <row r="214" spans="1:8" hidden="1" x14ac:dyDescent="0.25">
      <c r="A214" s="1903"/>
      <c r="B214" s="1067"/>
      <c r="C214" s="886"/>
      <c r="D214" s="885"/>
      <c r="E214" s="2496"/>
      <c r="F214" s="2497"/>
      <c r="G214" s="2205"/>
      <c r="H214" s="1904"/>
    </row>
    <row r="215" spans="1:8" hidden="1" x14ac:dyDescent="0.25">
      <c r="A215" s="1903"/>
      <c r="B215" s="1067"/>
      <c r="C215" s="886"/>
      <c r="D215" s="885"/>
      <c r="E215" s="2496"/>
      <c r="F215" s="2497"/>
      <c r="G215" s="2205"/>
      <c r="H215" s="1904"/>
    </row>
    <row r="216" spans="1:8" ht="69" hidden="1" x14ac:dyDescent="0.25">
      <c r="A216" s="1903"/>
      <c r="B216" s="1145" t="s">
        <v>3115</v>
      </c>
      <c r="C216" s="886"/>
      <c r="D216" s="885"/>
      <c r="E216" s="2496"/>
      <c r="F216" s="2497"/>
      <c r="G216" s="2205"/>
      <c r="H216" s="1904"/>
    </row>
    <row r="217" spans="1:8" hidden="1" x14ac:dyDescent="0.25">
      <c r="A217" s="1903"/>
      <c r="B217" s="1067" t="s">
        <v>3107</v>
      </c>
      <c r="C217" s="886"/>
      <c r="D217" s="885" t="s">
        <v>2423</v>
      </c>
      <c r="E217" s="2496"/>
      <c r="F217" s="2497"/>
      <c r="G217" s="2205"/>
      <c r="H217" s="1904"/>
    </row>
    <row r="218" spans="1:8" hidden="1" x14ac:dyDescent="0.25">
      <c r="A218" s="1903"/>
      <c r="B218" s="1067"/>
      <c r="C218" s="886"/>
      <c r="D218" s="885"/>
      <c r="E218" s="2496"/>
      <c r="F218" s="2497"/>
      <c r="G218" s="2205"/>
      <c r="H218" s="1904"/>
    </row>
    <row r="219" spans="1:8" ht="41.4" hidden="1" x14ac:dyDescent="0.25">
      <c r="A219" s="1903"/>
      <c r="B219" s="1908" t="s">
        <v>988</v>
      </c>
      <c r="C219" s="886"/>
      <c r="D219" s="885"/>
      <c r="E219" s="2496"/>
      <c r="F219" s="2497"/>
      <c r="G219" s="2205"/>
      <c r="H219" s="1904"/>
    </row>
    <row r="220" spans="1:8" hidden="1" x14ac:dyDescent="0.25">
      <c r="A220" s="1903"/>
      <c r="B220" s="1067" t="s">
        <v>3107</v>
      </c>
      <c r="C220" s="886"/>
      <c r="D220" s="885" t="s">
        <v>2424</v>
      </c>
      <c r="E220" s="2496"/>
      <c r="F220" s="2497"/>
      <c r="G220" s="2205"/>
      <c r="H220" s="1904"/>
    </row>
    <row r="221" spans="1:8" hidden="1" x14ac:dyDescent="0.25">
      <c r="A221" s="1903"/>
      <c r="B221" s="1067"/>
      <c r="C221" s="886"/>
      <c r="D221" s="885"/>
      <c r="E221" s="2496"/>
      <c r="F221" s="2497"/>
      <c r="G221" s="2205"/>
      <c r="H221" s="1904"/>
    </row>
    <row r="222" spans="1:8" ht="69" hidden="1" x14ac:dyDescent="0.25">
      <c r="A222" s="1903"/>
      <c r="B222" s="1145" t="s">
        <v>3112</v>
      </c>
      <c r="C222" s="886"/>
      <c r="D222" s="885"/>
      <c r="E222" s="2496"/>
      <c r="F222" s="2497"/>
      <c r="G222" s="2205"/>
      <c r="H222" s="1904"/>
    </row>
    <row r="223" spans="1:8" hidden="1" x14ac:dyDescent="0.25">
      <c r="A223" s="1903"/>
      <c r="B223" s="1067" t="s">
        <v>2350</v>
      </c>
      <c r="C223" s="886"/>
      <c r="D223" s="885" t="s">
        <v>2423</v>
      </c>
      <c r="E223" s="2496"/>
      <c r="F223" s="2497"/>
      <c r="G223" s="2205"/>
      <c r="H223" s="1904"/>
    </row>
    <row r="224" spans="1:8" hidden="1" x14ac:dyDescent="0.25">
      <c r="A224" s="1903"/>
      <c r="B224" s="1067"/>
      <c r="C224" s="886"/>
      <c r="D224" s="885"/>
      <c r="E224" s="2496"/>
      <c r="F224" s="2497"/>
      <c r="G224" s="2205"/>
      <c r="H224" s="1904"/>
    </row>
    <row r="225" spans="1:8" ht="41.4" hidden="1" x14ac:dyDescent="0.25">
      <c r="A225" s="1903"/>
      <c r="B225" s="1908" t="s">
        <v>988</v>
      </c>
      <c r="C225" s="886"/>
      <c r="D225" s="885"/>
      <c r="E225" s="2496"/>
      <c r="F225" s="2497"/>
      <c r="G225" s="2205"/>
      <c r="H225" s="1904"/>
    </row>
    <row r="226" spans="1:8" hidden="1" x14ac:dyDescent="0.25">
      <c r="A226" s="1903"/>
      <c r="B226" s="1067" t="s">
        <v>2350</v>
      </c>
      <c r="C226" s="886"/>
      <c r="D226" s="885" t="s">
        <v>2424</v>
      </c>
      <c r="E226" s="2496"/>
      <c r="F226" s="2497"/>
      <c r="G226" s="2205"/>
      <c r="H226" s="1904"/>
    </row>
    <row r="227" spans="1:8" hidden="1" x14ac:dyDescent="0.25">
      <c r="A227" s="1903"/>
      <c r="B227" s="1067"/>
      <c r="C227" s="886"/>
      <c r="D227" s="885"/>
      <c r="E227" s="2496"/>
      <c r="F227" s="2497"/>
      <c r="G227" s="2205"/>
      <c r="H227" s="1904"/>
    </row>
    <row r="228" spans="1:8" ht="69" hidden="1" x14ac:dyDescent="0.25">
      <c r="A228" s="1903"/>
      <c r="B228" s="1145" t="s">
        <v>3140</v>
      </c>
      <c r="C228" s="886"/>
      <c r="D228" s="885"/>
      <c r="E228" s="2496"/>
      <c r="F228" s="2497"/>
      <c r="G228" s="2205"/>
      <c r="H228" s="1904"/>
    </row>
    <row r="229" spans="1:8" hidden="1" x14ac:dyDescent="0.25">
      <c r="A229" s="1903"/>
      <c r="B229" s="1067" t="s">
        <v>3106</v>
      </c>
      <c r="C229" s="886"/>
      <c r="D229" s="885" t="s">
        <v>2423</v>
      </c>
      <c r="E229" s="2496"/>
      <c r="F229" s="2497"/>
      <c r="G229" s="2205"/>
      <c r="H229" s="1904"/>
    </row>
    <row r="230" spans="1:8" hidden="1" x14ac:dyDescent="0.25">
      <c r="A230" s="1903"/>
      <c r="B230" s="1067"/>
      <c r="C230" s="886"/>
      <c r="D230" s="885"/>
      <c r="E230" s="2496"/>
      <c r="F230" s="2497"/>
      <c r="G230" s="2205"/>
      <c r="H230" s="1904"/>
    </row>
    <row r="231" spans="1:8" ht="41.4" hidden="1" x14ac:dyDescent="0.25">
      <c r="A231" s="1903"/>
      <c r="B231" s="1908" t="s">
        <v>988</v>
      </c>
      <c r="C231" s="886"/>
      <c r="D231" s="885"/>
      <c r="E231" s="2496"/>
      <c r="F231" s="2497"/>
      <c r="G231" s="2205"/>
      <c r="H231" s="1904"/>
    </row>
    <row r="232" spans="1:8" hidden="1" x14ac:dyDescent="0.25">
      <c r="A232" s="1903"/>
      <c r="B232" s="1067" t="s">
        <v>2350</v>
      </c>
      <c r="C232" s="885"/>
      <c r="D232" s="887" t="s">
        <v>2424</v>
      </c>
      <c r="E232" s="2517"/>
      <c r="F232" s="2518"/>
      <c r="G232" s="2212"/>
      <c r="H232" s="1904"/>
    </row>
    <row r="233" spans="1:8" hidden="1" x14ac:dyDescent="0.25">
      <c r="A233" s="1903"/>
      <c r="B233" s="1067"/>
      <c r="C233" s="886"/>
      <c r="D233" s="885"/>
      <c r="E233" s="2496"/>
      <c r="F233" s="2497"/>
      <c r="G233" s="2205"/>
      <c r="H233" s="1904"/>
    </row>
    <row r="234" spans="1:8" ht="69" x14ac:dyDescent="0.25">
      <c r="A234" s="1903">
        <f>A195+0.01</f>
        <v>4.1099999999999977</v>
      </c>
      <c r="B234" s="1145" t="s">
        <v>3113</v>
      </c>
      <c r="C234" s="886"/>
      <c r="D234" s="885"/>
      <c r="E234" s="2496"/>
      <c r="F234" s="2497"/>
      <c r="G234" s="2205"/>
      <c r="H234" s="1904"/>
    </row>
    <row r="235" spans="1:8" x14ac:dyDescent="0.25">
      <c r="A235" s="2414"/>
      <c r="B235" s="2415" t="s">
        <v>2350</v>
      </c>
      <c r="C235" s="2416">
        <f>'m shet rolf'!N143</f>
        <v>11</v>
      </c>
      <c r="D235" s="2417" t="s">
        <v>2423</v>
      </c>
      <c r="E235" s="2516">
        <f>+E59</f>
        <v>9167.6903928955871</v>
      </c>
      <c r="F235" s="2459">
        <f>+$I$1</f>
        <v>0.85</v>
      </c>
      <c r="G235" s="2375">
        <f>ROUNDUP(E235/F235,-1)</f>
        <v>10790</v>
      </c>
      <c r="H235" s="2533">
        <f>C235*G235</f>
        <v>118690</v>
      </c>
    </row>
    <row r="236" spans="1:8" ht="69" hidden="1" x14ac:dyDescent="0.25">
      <c r="A236" s="1903"/>
      <c r="B236" s="1145" t="s">
        <v>3114</v>
      </c>
      <c r="C236" s="886"/>
      <c r="D236" s="885"/>
      <c r="E236" s="2496"/>
      <c r="F236" s="2497"/>
      <c r="G236" s="2205"/>
      <c r="H236" s="1904"/>
    </row>
    <row r="237" spans="1:8" hidden="1" x14ac:dyDescent="0.25">
      <c r="A237" s="1903"/>
      <c r="B237" s="1067" t="s">
        <v>2350</v>
      </c>
      <c r="C237" s="886"/>
      <c r="D237" s="885" t="s">
        <v>2423</v>
      </c>
      <c r="E237" s="2496"/>
      <c r="F237" s="2497"/>
      <c r="G237" s="2205"/>
      <c r="H237" s="1904"/>
    </row>
    <row r="238" spans="1:8" hidden="1" x14ac:dyDescent="0.25">
      <c r="A238" s="1903"/>
      <c r="B238" s="1067"/>
      <c r="C238" s="886"/>
      <c r="D238" s="885"/>
      <c r="E238" s="2496"/>
      <c r="F238" s="2497"/>
      <c r="G238" s="2205"/>
      <c r="H238" s="1904"/>
    </row>
    <row r="239" spans="1:8" ht="41.4" hidden="1" x14ac:dyDescent="0.25">
      <c r="A239" s="1903"/>
      <c r="B239" s="1908" t="s">
        <v>988</v>
      </c>
      <c r="C239" s="886"/>
      <c r="D239" s="885"/>
      <c r="E239" s="2496"/>
      <c r="F239" s="2497"/>
      <c r="G239" s="2205"/>
      <c r="H239" s="1904"/>
    </row>
    <row r="240" spans="1:8" hidden="1" x14ac:dyDescent="0.25">
      <c r="A240" s="1903"/>
      <c r="B240" s="1067" t="s">
        <v>2350</v>
      </c>
      <c r="C240" s="885"/>
      <c r="D240" s="887" t="s">
        <v>2424</v>
      </c>
      <c r="E240" s="2517"/>
      <c r="F240" s="2518"/>
      <c r="G240" s="2212"/>
      <c r="H240" s="1904"/>
    </row>
    <row r="241" spans="1:8" hidden="1" x14ac:dyDescent="0.25">
      <c r="A241" s="1903"/>
      <c r="B241" s="1067"/>
      <c r="C241" s="885"/>
      <c r="D241" s="887"/>
      <c r="E241" s="2517"/>
      <c r="F241" s="2518"/>
      <c r="G241" s="2212"/>
      <c r="H241" s="1904"/>
    </row>
    <row r="242" spans="1:8" ht="14.4" hidden="1" thickBot="1" x14ac:dyDescent="0.3">
      <c r="A242" s="1911"/>
      <c r="B242" s="1909"/>
      <c r="C242" s="2020"/>
      <c r="D242" s="2021"/>
      <c r="E242" s="2498"/>
      <c r="F242" s="2499"/>
      <c r="G242" s="2211"/>
      <c r="H242" s="1910"/>
    </row>
    <row r="243" spans="1:8" hidden="1" x14ac:dyDescent="0.25">
      <c r="A243" s="1912"/>
      <c r="B243" s="2023" t="s">
        <v>2584</v>
      </c>
      <c r="C243" s="1913"/>
      <c r="D243" s="1914"/>
      <c r="E243" s="2494"/>
      <c r="F243" s="2495"/>
      <c r="G243" s="2210"/>
      <c r="H243" s="1915"/>
    </row>
    <row r="244" spans="1:8" hidden="1" x14ac:dyDescent="0.25">
      <c r="A244" s="1903"/>
      <c r="B244" s="1067"/>
      <c r="C244" s="886"/>
      <c r="D244" s="885"/>
      <c r="E244" s="2496"/>
      <c r="F244" s="2497"/>
      <c r="G244" s="2205"/>
      <c r="H244" s="1904"/>
    </row>
    <row r="245" spans="1:8" ht="69" hidden="1" x14ac:dyDescent="0.25">
      <c r="A245" s="1903"/>
      <c r="B245" s="1145" t="s">
        <v>3115</v>
      </c>
      <c r="C245" s="886"/>
      <c r="D245" s="885"/>
      <c r="E245" s="2496"/>
      <c r="F245" s="2497"/>
      <c r="G245" s="2205"/>
      <c r="H245" s="1904"/>
    </row>
    <row r="246" spans="1:8" hidden="1" x14ac:dyDescent="0.25">
      <c r="A246" s="1903"/>
      <c r="B246" s="1067" t="s">
        <v>3116</v>
      </c>
      <c r="C246" s="886"/>
      <c r="D246" s="885" t="s">
        <v>2423</v>
      </c>
      <c r="E246" s="2496"/>
      <c r="F246" s="2497"/>
      <c r="G246" s="2205"/>
      <c r="H246" s="1904"/>
    </row>
    <row r="247" spans="1:8" ht="14.4" hidden="1" thickBot="1" x14ac:dyDescent="0.3">
      <c r="A247" s="1911"/>
      <c r="B247" s="1909"/>
      <c r="C247" s="2020"/>
      <c r="D247" s="2021"/>
      <c r="E247" s="2498"/>
      <c r="F247" s="2499"/>
      <c r="G247" s="2211"/>
      <c r="H247" s="1910"/>
    </row>
    <row r="248" spans="1:8" ht="41.4" hidden="1" x14ac:dyDescent="0.25">
      <c r="A248" s="1912"/>
      <c r="B248" s="2022" t="s">
        <v>988</v>
      </c>
      <c r="C248" s="1913"/>
      <c r="D248" s="1914"/>
      <c r="E248" s="2494"/>
      <c r="F248" s="2495"/>
      <c r="G248" s="2210"/>
      <c r="H248" s="1915"/>
    </row>
    <row r="249" spans="1:8" hidden="1" x14ac:dyDescent="0.25">
      <c r="A249" s="1903"/>
      <c r="B249" s="1067" t="s">
        <v>3116</v>
      </c>
      <c r="C249" s="886"/>
      <c r="D249" s="885" t="s">
        <v>2424</v>
      </c>
      <c r="E249" s="2496"/>
      <c r="F249" s="2497"/>
      <c r="G249" s="2205"/>
      <c r="H249" s="1904"/>
    </row>
    <row r="250" spans="1:8" hidden="1" x14ac:dyDescent="0.25">
      <c r="A250" s="1903"/>
      <c r="B250" s="1067"/>
      <c r="C250" s="886"/>
      <c r="D250" s="885"/>
      <c r="E250" s="2496"/>
      <c r="F250" s="2497"/>
      <c r="G250" s="2205"/>
      <c r="H250" s="1904"/>
    </row>
    <row r="251" spans="1:8" ht="69" hidden="1" x14ac:dyDescent="0.25">
      <c r="A251" s="1903"/>
      <c r="B251" s="1145" t="s">
        <v>3112</v>
      </c>
      <c r="C251" s="886"/>
      <c r="D251" s="885"/>
      <c r="E251" s="2496"/>
      <c r="F251" s="2497"/>
      <c r="G251" s="2205"/>
      <c r="H251" s="1904"/>
    </row>
    <row r="252" spans="1:8" hidden="1" x14ac:dyDescent="0.25">
      <c r="A252" s="1903"/>
      <c r="B252" s="1067" t="s">
        <v>2593</v>
      </c>
      <c r="C252" s="886"/>
      <c r="D252" s="885" t="s">
        <v>2423</v>
      </c>
      <c r="E252" s="2496"/>
      <c r="F252" s="2497"/>
      <c r="G252" s="2205"/>
      <c r="H252" s="1904"/>
    </row>
    <row r="253" spans="1:8" hidden="1" x14ac:dyDescent="0.25">
      <c r="A253" s="1903"/>
      <c r="B253" s="1067"/>
      <c r="C253" s="886"/>
      <c r="D253" s="885"/>
      <c r="E253" s="2496"/>
      <c r="F253" s="2497"/>
      <c r="G253" s="2205"/>
      <c r="H253" s="1904"/>
    </row>
    <row r="254" spans="1:8" ht="41.4" hidden="1" x14ac:dyDescent="0.25">
      <c r="A254" s="1903"/>
      <c r="B254" s="1908" t="s">
        <v>988</v>
      </c>
      <c r="C254" s="886"/>
      <c r="D254" s="885"/>
      <c r="E254" s="2496"/>
      <c r="F254" s="2497"/>
      <c r="G254" s="2205"/>
      <c r="H254" s="1904"/>
    </row>
    <row r="255" spans="1:8" hidden="1" x14ac:dyDescent="0.25">
      <c r="A255" s="1903"/>
      <c r="B255" s="1067" t="s">
        <v>2593</v>
      </c>
      <c r="C255" s="886"/>
      <c r="D255" s="885" t="s">
        <v>2424</v>
      </c>
      <c r="E255" s="2496"/>
      <c r="F255" s="2497"/>
      <c r="G255" s="2205"/>
      <c r="H255" s="1904"/>
    </row>
    <row r="256" spans="1:8" hidden="1" x14ac:dyDescent="0.25">
      <c r="A256" s="1903"/>
      <c r="B256" s="1067"/>
      <c r="C256" s="886"/>
      <c r="D256" s="885"/>
      <c r="E256" s="2496"/>
      <c r="F256" s="2497"/>
      <c r="G256" s="2205"/>
      <c r="H256" s="1904"/>
    </row>
    <row r="257" spans="1:8" ht="69" hidden="1" x14ac:dyDescent="0.25">
      <c r="A257" s="1903"/>
      <c r="B257" s="1145" t="s">
        <v>3111</v>
      </c>
      <c r="C257" s="886"/>
      <c r="D257" s="885"/>
      <c r="E257" s="2496"/>
      <c r="F257" s="2497"/>
      <c r="G257" s="2205"/>
      <c r="H257" s="1904"/>
    </row>
    <row r="258" spans="1:8" hidden="1" x14ac:dyDescent="0.25">
      <c r="A258" s="1903"/>
      <c r="B258" s="1067" t="s">
        <v>2593</v>
      </c>
      <c r="C258" s="886"/>
      <c r="D258" s="885" t="s">
        <v>2423</v>
      </c>
      <c r="E258" s="2496"/>
      <c r="F258" s="2497"/>
      <c r="G258" s="2205"/>
      <c r="H258" s="1904"/>
    </row>
    <row r="259" spans="1:8" hidden="1" x14ac:dyDescent="0.25">
      <c r="A259" s="1903"/>
      <c r="B259" s="1067"/>
      <c r="C259" s="886"/>
      <c r="D259" s="885"/>
      <c r="E259" s="2496"/>
      <c r="F259" s="2497"/>
      <c r="G259" s="2205"/>
      <c r="H259" s="1904"/>
    </row>
    <row r="260" spans="1:8" ht="41.4" hidden="1" x14ac:dyDescent="0.25">
      <c r="A260" s="1903"/>
      <c r="B260" s="1908" t="s">
        <v>988</v>
      </c>
      <c r="C260" s="886"/>
      <c r="D260" s="885"/>
      <c r="E260" s="2496"/>
      <c r="F260" s="2497"/>
      <c r="G260" s="2205"/>
      <c r="H260" s="1904"/>
    </row>
    <row r="261" spans="1:8" hidden="1" x14ac:dyDescent="0.25">
      <c r="A261" s="1903"/>
      <c r="B261" s="1067" t="s">
        <v>2593</v>
      </c>
      <c r="C261" s="885"/>
      <c r="D261" s="887" t="s">
        <v>2424</v>
      </c>
      <c r="E261" s="2517"/>
      <c r="F261" s="2518"/>
      <c r="G261" s="2212"/>
      <c r="H261" s="1904"/>
    </row>
    <row r="262" spans="1:8" hidden="1" x14ac:dyDescent="0.25">
      <c r="A262" s="1903"/>
      <c r="B262" s="1067"/>
      <c r="C262" s="886"/>
      <c r="D262" s="885"/>
      <c r="E262" s="2496"/>
      <c r="F262" s="2497"/>
      <c r="G262" s="2205"/>
      <c r="H262" s="1904"/>
    </row>
    <row r="263" spans="1:8" ht="69" hidden="1" x14ac:dyDescent="0.25">
      <c r="A263" s="1903"/>
      <c r="B263" s="1145" t="s">
        <v>3113</v>
      </c>
      <c r="C263" s="886"/>
      <c r="D263" s="885"/>
      <c r="E263" s="2496"/>
      <c r="F263" s="2497"/>
      <c r="G263" s="2205"/>
      <c r="H263" s="1904"/>
    </row>
    <row r="264" spans="1:8" hidden="1" x14ac:dyDescent="0.25">
      <c r="A264" s="1903"/>
      <c r="B264" s="1067" t="s">
        <v>2593</v>
      </c>
      <c r="C264" s="886"/>
      <c r="D264" s="885" t="s">
        <v>2423</v>
      </c>
      <c r="E264" s="2496"/>
      <c r="F264" s="2497"/>
      <c r="G264" s="2205"/>
      <c r="H264" s="1904"/>
    </row>
    <row r="265" spans="1:8" hidden="1" x14ac:dyDescent="0.25">
      <c r="A265" s="1903"/>
      <c r="B265" s="1067"/>
      <c r="C265" s="886"/>
      <c r="D265" s="885"/>
      <c r="E265" s="2496"/>
      <c r="F265" s="2497"/>
      <c r="G265" s="2205"/>
      <c r="H265" s="1904"/>
    </row>
    <row r="266" spans="1:8" ht="69" hidden="1" x14ac:dyDescent="0.25">
      <c r="A266" s="1903"/>
      <c r="B266" s="1145" t="s">
        <v>3114</v>
      </c>
      <c r="C266" s="886"/>
      <c r="D266" s="885"/>
      <c r="E266" s="2496"/>
      <c r="F266" s="2497"/>
      <c r="G266" s="2205"/>
      <c r="H266" s="1904"/>
    </row>
    <row r="267" spans="1:8" hidden="1" x14ac:dyDescent="0.25">
      <c r="A267" s="1903"/>
      <c r="B267" s="1067" t="s">
        <v>2593</v>
      </c>
      <c r="C267" s="886"/>
      <c r="D267" s="885" t="s">
        <v>2423</v>
      </c>
      <c r="E267" s="2496"/>
      <c r="F267" s="2497"/>
      <c r="G267" s="2205"/>
      <c r="H267" s="1904"/>
    </row>
    <row r="268" spans="1:8" hidden="1" x14ac:dyDescent="0.25">
      <c r="A268" s="1903"/>
      <c r="B268" s="1067"/>
      <c r="C268" s="886"/>
      <c r="D268" s="885"/>
      <c r="E268" s="2496"/>
      <c r="F268" s="2497"/>
      <c r="G268" s="2205"/>
      <c r="H268" s="1904"/>
    </row>
    <row r="269" spans="1:8" ht="41.4" hidden="1" x14ac:dyDescent="0.25">
      <c r="A269" s="1903"/>
      <c r="B269" s="1908" t="s">
        <v>988</v>
      </c>
      <c r="C269" s="886"/>
      <c r="D269" s="885"/>
      <c r="E269" s="2496"/>
      <c r="F269" s="2497"/>
      <c r="G269" s="2205"/>
      <c r="H269" s="1904"/>
    </row>
    <row r="270" spans="1:8" hidden="1" x14ac:dyDescent="0.25">
      <c r="A270" s="1903"/>
      <c r="B270" s="1067" t="s">
        <v>2593</v>
      </c>
      <c r="C270" s="885"/>
      <c r="D270" s="887" t="s">
        <v>2424</v>
      </c>
      <c r="E270" s="2517"/>
      <c r="F270" s="2518"/>
      <c r="G270" s="2212"/>
      <c r="H270" s="1904"/>
    </row>
    <row r="271" spans="1:8" hidden="1" x14ac:dyDescent="0.25">
      <c r="A271" s="1903"/>
      <c r="B271" s="1067"/>
      <c r="C271" s="885"/>
      <c r="D271" s="887"/>
      <c r="E271" s="2517"/>
      <c r="F271" s="2518"/>
      <c r="G271" s="2212"/>
      <c r="H271" s="1904"/>
    </row>
    <row r="272" spans="1:8" ht="27.6" hidden="1" x14ac:dyDescent="0.25">
      <c r="A272" s="1903"/>
      <c r="B272" s="1067" t="s">
        <v>3142</v>
      </c>
      <c r="C272" s="885"/>
      <c r="D272" s="887"/>
      <c r="E272" s="2517"/>
      <c r="F272" s="2518"/>
      <c r="G272" s="2212"/>
      <c r="H272" s="1904"/>
    </row>
    <row r="273" spans="1:9" hidden="1" x14ac:dyDescent="0.25">
      <c r="A273" s="1903"/>
      <c r="B273" s="1067" t="s">
        <v>2593</v>
      </c>
      <c r="C273" s="886"/>
      <c r="D273" s="885" t="s">
        <v>2423</v>
      </c>
      <c r="E273" s="2496"/>
      <c r="F273" s="2497"/>
      <c r="G273" s="2205"/>
      <c r="H273" s="1904"/>
    </row>
    <row r="274" spans="1:9" hidden="1" x14ac:dyDescent="0.25">
      <c r="A274" s="1903"/>
      <c r="B274" s="1067"/>
      <c r="C274" s="885"/>
      <c r="D274" s="887"/>
      <c r="E274" s="2517"/>
      <c r="F274" s="2518"/>
      <c r="G274" s="2212"/>
      <c r="H274" s="1904"/>
    </row>
    <row r="275" spans="1:9" ht="27.6" hidden="1" x14ac:dyDescent="0.25">
      <c r="A275" s="1903"/>
      <c r="B275" s="1908" t="s">
        <v>3143</v>
      </c>
      <c r="C275" s="886"/>
      <c r="D275" s="885"/>
      <c r="E275" s="2496"/>
      <c r="F275" s="2497"/>
      <c r="G275" s="2205"/>
      <c r="H275" s="1904"/>
    </row>
    <row r="276" spans="1:9" hidden="1" x14ac:dyDescent="0.25">
      <c r="A276" s="1903"/>
      <c r="B276" s="1067" t="s">
        <v>2593</v>
      </c>
      <c r="C276" s="885"/>
      <c r="D276" s="887" t="s">
        <v>2424</v>
      </c>
      <c r="E276" s="2517"/>
      <c r="F276" s="2518"/>
      <c r="G276" s="2212"/>
      <c r="H276" s="1904"/>
    </row>
    <row r="277" spans="1:9" ht="14.4" thickBot="1" x14ac:dyDescent="0.3">
      <c r="A277" s="1903"/>
      <c r="B277" s="1067"/>
      <c r="C277" s="886"/>
      <c r="D277" s="885"/>
      <c r="E277" s="2496"/>
      <c r="F277" s="2497"/>
      <c r="G277" s="2205"/>
      <c r="H277" s="1904"/>
    </row>
    <row r="278" spans="1:9" s="1191" customFormat="1" ht="14.4" thickBot="1" x14ac:dyDescent="0.3">
      <c r="A278" s="2024"/>
      <c r="B278" s="2025" t="s">
        <v>914</v>
      </c>
      <c r="C278" s="2002"/>
      <c r="D278" s="2026"/>
      <c r="E278" s="2502"/>
      <c r="F278" s="2503"/>
      <c r="G278" s="2213"/>
      <c r="H278" s="2027">
        <f>SUM(H5:H277)</f>
        <v>8817580</v>
      </c>
      <c r="I278" s="2028"/>
    </row>
    <row r="286" spans="1:9" x14ac:dyDescent="0.25">
      <c r="H286" s="1077" t="e">
        <f>#REF!+#REF!+#REF!+#REF!+#REF!</f>
        <v>#REF!</v>
      </c>
    </row>
  </sheetData>
  <pageMargins left="0.51181102362204722" right="0.51181102362204722" top="0.47244094488188981" bottom="0.23622047244094491" header="0.51181102362204722" footer="0.23622047244094491"/>
  <pageSetup orientation="portrait" r:id="rId1"/>
  <headerFooter alignWithMargins="0">
    <oddFooter>&amp;C&amp;P</oddFooter>
  </headerFooter>
  <rowBreaks count="3" manualBreakCount="3">
    <brk id="36" max="7" man="1"/>
    <brk id="140" max="7" man="1"/>
    <brk id="191" max="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030A0"/>
  </sheetPr>
  <dimension ref="A1:T33"/>
  <sheetViews>
    <sheetView view="pageBreakPreview" topLeftCell="A17" zoomScaleNormal="85" zoomScaleSheetLayoutView="100" workbookViewId="0">
      <selection activeCell="L47" sqref="L47"/>
    </sheetView>
  </sheetViews>
  <sheetFormatPr defaultColWidth="9.21875" defaultRowHeight="13.8" x14ac:dyDescent="0.25"/>
  <cols>
    <col min="1" max="1" width="8.21875" style="38" customWidth="1"/>
    <col min="2" max="2" width="51.21875" style="36" customWidth="1"/>
    <col min="3" max="3" width="6.5546875" style="39" bestFit="1" customWidth="1"/>
    <col min="4" max="4" width="8.5546875" style="38" customWidth="1"/>
    <col min="5" max="5" width="9.44140625" style="2461" hidden="1" customWidth="1"/>
    <col min="6" max="6" width="12.109375" style="2461" hidden="1" customWidth="1"/>
    <col min="7" max="7" width="11.21875" style="202" customWidth="1"/>
    <col min="8" max="8" width="12.6640625" style="39" bestFit="1" customWidth="1"/>
    <col min="9" max="9" width="9.21875" style="24"/>
    <col min="10" max="10" width="12.44140625" style="24" bestFit="1" customWidth="1"/>
    <col min="11" max="11" width="10" style="24" bestFit="1" customWidth="1"/>
    <col min="12" max="12" width="11" style="24" bestFit="1" customWidth="1"/>
    <col min="13" max="14" width="12.88671875" style="24" bestFit="1" customWidth="1"/>
    <col min="15" max="15" width="11.6640625" style="24" bestFit="1" customWidth="1"/>
    <col min="16" max="16384" width="9.21875" style="24"/>
  </cols>
  <sheetData>
    <row r="1" spans="1:20" s="31" customFormat="1" ht="14.4" thickBot="1" x14ac:dyDescent="0.3">
      <c r="A1" s="45" t="s">
        <v>0</v>
      </c>
      <c r="B1" s="46" t="s">
        <v>1</v>
      </c>
      <c r="C1" s="47" t="s">
        <v>2</v>
      </c>
      <c r="D1" s="48" t="s">
        <v>3</v>
      </c>
      <c r="E1" s="2508" t="s">
        <v>3565</v>
      </c>
      <c r="F1" s="2509" t="s">
        <v>3708</v>
      </c>
      <c r="G1" s="2209" t="s">
        <v>1286</v>
      </c>
      <c r="H1" s="2012" t="s">
        <v>5</v>
      </c>
      <c r="I1" s="31">
        <f>+summary!D13</f>
        <v>0.75</v>
      </c>
    </row>
    <row r="2" spans="1:20" s="31" customFormat="1" x14ac:dyDescent="0.25">
      <c r="A2" s="741"/>
      <c r="B2" s="402" t="s">
        <v>239</v>
      </c>
      <c r="C2" s="395"/>
      <c r="D2" s="388"/>
      <c r="E2" s="2494"/>
      <c r="F2" s="2495"/>
      <c r="G2" s="2207"/>
      <c r="H2" s="1899"/>
    </row>
    <row r="3" spans="1:20" s="31" customFormat="1" ht="41.4" x14ac:dyDescent="0.25">
      <c r="A3" s="743"/>
      <c r="B3" s="400" t="s">
        <v>902</v>
      </c>
      <c r="C3" s="365"/>
      <c r="D3" s="251"/>
      <c r="E3" s="2496"/>
      <c r="F3" s="2497"/>
      <c r="G3" s="2201"/>
      <c r="H3" s="1901"/>
    </row>
    <row r="4" spans="1:20" s="31" customFormat="1" x14ac:dyDescent="0.25">
      <c r="A4" s="743"/>
      <c r="B4" s="400"/>
      <c r="C4" s="365"/>
      <c r="D4" s="251"/>
      <c r="E4" s="2496"/>
      <c r="F4" s="2497"/>
      <c r="G4" s="2201"/>
      <c r="H4" s="1901"/>
    </row>
    <row r="5" spans="1:20" s="31" customFormat="1" x14ac:dyDescent="0.25">
      <c r="A5" s="743"/>
      <c r="B5" s="400" t="s">
        <v>903</v>
      </c>
      <c r="C5" s="365"/>
      <c r="D5" s="251"/>
      <c r="E5" s="2496"/>
      <c r="F5" s="2497"/>
      <c r="G5" s="2201"/>
      <c r="H5" s="1901"/>
    </row>
    <row r="6" spans="1:20" ht="55.2" x14ac:dyDescent="0.25">
      <c r="A6" s="1902" t="s">
        <v>527</v>
      </c>
      <c r="B6" s="392" t="s">
        <v>2518</v>
      </c>
      <c r="C6" s="369"/>
      <c r="D6" s="251"/>
      <c r="E6" s="2496"/>
      <c r="F6" s="2497"/>
      <c r="G6" s="2201"/>
      <c r="H6" s="1901"/>
    </row>
    <row r="7" spans="1:20" x14ac:dyDescent="0.25">
      <c r="A7" s="1902" t="s">
        <v>528</v>
      </c>
      <c r="B7" s="368" t="s">
        <v>61</v>
      </c>
      <c r="C7" s="369">
        <f>plastering!C37+(plastering!C43*0.225)</f>
        <v>294.67500000000001</v>
      </c>
      <c r="D7" s="251" t="s">
        <v>2423</v>
      </c>
      <c r="E7" s="2496">
        <f>+'Rate Breakdowns'!G1104</f>
        <v>649.65554359526379</v>
      </c>
      <c r="F7" s="2459">
        <f>+$I$1</f>
        <v>0.75</v>
      </c>
      <c r="G7" s="2375">
        <f>ROUNDUP(E7/F7,-1)</f>
        <v>870</v>
      </c>
      <c r="H7" s="2533">
        <f>C7*G7</f>
        <v>256367.25</v>
      </c>
      <c r="N7" s="24">
        <f>+K7*10.76/100</f>
        <v>0</v>
      </c>
      <c r="O7" s="24">
        <f>+L7*10.76/100</f>
        <v>0</v>
      </c>
      <c r="P7" s="24">
        <f>+M7-O7</f>
        <v>0</v>
      </c>
      <c r="R7" s="24">
        <f>+N7+P7</f>
        <v>0</v>
      </c>
      <c r="T7" s="24">
        <f>SUM(M7:N7)</f>
        <v>0</v>
      </c>
    </row>
    <row r="8" spans="1:20" x14ac:dyDescent="0.25">
      <c r="A8" s="1902" t="s">
        <v>529</v>
      </c>
      <c r="B8" s="368" t="s">
        <v>62</v>
      </c>
      <c r="C8" s="369">
        <f>plastering!C38+(plastering!C45*0.225)</f>
        <v>336.02499999999998</v>
      </c>
      <c r="D8" s="251" t="s">
        <v>2423</v>
      </c>
      <c r="E8" s="2496">
        <f>+E7*1.005</f>
        <v>652.90382131324009</v>
      </c>
      <c r="F8" s="2459">
        <f t="shared" ref="F8:F9" si="0">+$I$1</f>
        <v>0.75</v>
      </c>
      <c r="G8" s="2375">
        <f t="shared" ref="G8:G9" si="1">ROUNDUP(E8/F8,-1)</f>
        <v>880</v>
      </c>
      <c r="H8" s="2533">
        <f>C8*G8</f>
        <v>295702</v>
      </c>
      <c r="N8" s="24">
        <f t="shared" ref="N8:O8" si="2">+K8*10.76/100</f>
        <v>0</v>
      </c>
      <c r="O8" s="24">
        <f t="shared" si="2"/>
        <v>0</v>
      </c>
      <c r="P8" s="24">
        <f t="shared" ref="P8" si="3">+M8-O8</f>
        <v>0</v>
      </c>
      <c r="R8" s="24">
        <f t="shared" ref="R8" si="4">+N8+P8</f>
        <v>0</v>
      </c>
      <c r="T8" s="24">
        <f>SUM(M8:N8)</f>
        <v>0</v>
      </c>
    </row>
    <row r="9" spans="1:20" s="889" customFormat="1" x14ac:dyDescent="0.25">
      <c r="A9" s="1903" t="s">
        <v>530</v>
      </c>
      <c r="B9" s="1067" t="s">
        <v>2350</v>
      </c>
      <c r="C9" s="886">
        <f>plastering!C39+(plastering!C47*0.225)</f>
        <v>375.3</v>
      </c>
      <c r="D9" s="885" t="s">
        <v>2423</v>
      </c>
      <c r="E9" s="2496">
        <f>+E7*1.01</f>
        <v>656.15209903121649</v>
      </c>
      <c r="F9" s="2459">
        <f t="shared" si="0"/>
        <v>0.75</v>
      </c>
      <c r="G9" s="2375">
        <f t="shared" si="1"/>
        <v>880</v>
      </c>
      <c r="H9" s="2533">
        <f>C9*G9</f>
        <v>330264</v>
      </c>
    </row>
    <row r="10" spans="1:20" hidden="1" x14ac:dyDescent="0.25">
      <c r="A10" s="1902" t="s">
        <v>531</v>
      </c>
      <c r="B10" s="368" t="s">
        <v>2593</v>
      </c>
      <c r="C10" s="369"/>
      <c r="D10" s="251" t="s">
        <v>2423</v>
      </c>
      <c r="E10" s="2496"/>
      <c r="F10" s="2497"/>
      <c r="G10" s="2201"/>
      <c r="H10" s="1901"/>
    </row>
    <row r="11" spans="1:20" x14ac:dyDescent="0.25">
      <c r="A11" s="1902"/>
      <c r="B11" s="368"/>
      <c r="C11" s="369"/>
      <c r="D11" s="251"/>
      <c r="E11" s="2496"/>
      <c r="F11" s="2497"/>
      <c r="G11" s="2201"/>
      <c r="H11" s="1901"/>
    </row>
    <row r="12" spans="1:20" ht="36" customHeight="1" x14ac:dyDescent="0.25">
      <c r="A12" s="1902" t="s">
        <v>240</v>
      </c>
      <c r="B12" s="368" t="s">
        <v>2519</v>
      </c>
      <c r="C12" s="369"/>
      <c r="D12" s="251"/>
      <c r="E12" s="2496"/>
      <c r="F12" s="2497"/>
      <c r="G12" s="2201"/>
      <c r="H12" s="1901"/>
    </row>
    <row r="13" spans="1:20" x14ac:dyDescent="0.25">
      <c r="A13" s="1902" t="s">
        <v>540</v>
      </c>
      <c r="B13" s="368" t="s">
        <v>61</v>
      </c>
      <c r="C13" s="369">
        <f>plastering!C52</f>
        <v>245</v>
      </c>
      <c r="D13" s="251" t="s">
        <v>2423</v>
      </c>
      <c r="E13" s="2496">
        <f>+'Rate Breakdowns'!G1129</f>
        <v>762.68030139935422</v>
      </c>
      <c r="F13" s="2459">
        <f t="shared" ref="F13:F15" si="5">+$I$1</f>
        <v>0.75</v>
      </c>
      <c r="G13" s="2375">
        <f t="shared" ref="G13:G15" si="6">ROUNDUP(E13/F13,-1)</f>
        <v>1020</v>
      </c>
      <c r="H13" s="2533">
        <f>C13*G13</f>
        <v>249900</v>
      </c>
    </row>
    <row r="14" spans="1:20" x14ac:dyDescent="0.25">
      <c r="A14" s="1902" t="s">
        <v>543</v>
      </c>
      <c r="B14" s="368" t="s">
        <v>62</v>
      </c>
      <c r="C14" s="369">
        <f>plastering!C53</f>
        <v>208</v>
      </c>
      <c r="D14" s="251" t="s">
        <v>2423</v>
      </c>
      <c r="E14" s="2496">
        <f>+E13*1.005</f>
        <v>766.4937029063509</v>
      </c>
      <c r="F14" s="2459">
        <f t="shared" si="5"/>
        <v>0.75</v>
      </c>
      <c r="G14" s="2375">
        <f t="shared" si="6"/>
        <v>1030</v>
      </c>
      <c r="H14" s="2533">
        <f>C14*G14</f>
        <v>214240</v>
      </c>
    </row>
    <row r="15" spans="1:20" x14ac:dyDescent="0.25">
      <c r="A15" s="1902" t="s">
        <v>544</v>
      </c>
      <c r="B15" s="368" t="s">
        <v>3290</v>
      </c>
      <c r="C15" s="369">
        <f>plastering!C54</f>
        <v>14</v>
      </c>
      <c r="D15" s="251" t="s">
        <v>2423</v>
      </c>
      <c r="E15" s="2496">
        <f>+E13*1.01</f>
        <v>770.30710441334782</v>
      </c>
      <c r="F15" s="2459">
        <f t="shared" si="5"/>
        <v>0.75</v>
      </c>
      <c r="G15" s="2375">
        <f t="shared" si="6"/>
        <v>1030</v>
      </c>
      <c r="H15" s="2533">
        <f>C15*G15</f>
        <v>14420</v>
      </c>
    </row>
    <row r="16" spans="1:20" hidden="1" x14ac:dyDescent="0.25">
      <c r="A16" s="1902" t="s">
        <v>545</v>
      </c>
      <c r="B16" s="368" t="s">
        <v>2593</v>
      </c>
      <c r="C16" s="369"/>
      <c r="D16" s="251" t="s">
        <v>2423</v>
      </c>
      <c r="E16" s="2496"/>
      <c r="F16" s="2497"/>
      <c r="G16" s="2201"/>
      <c r="H16" s="1901"/>
    </row>
    <row r="17" spans="1:8" x14ac:dyDescent="0.25">
      <c r="A17" s="1902"/>
      <c r="B17" s="368"/>
      <c r="C17" s="369"/>
      <c r="D17" s="251"/>
      <c r="E17" s="2496"/>
      <c r="F17" s="2497"/>
      <c r="G17" s="2201"/>
      <c r="H17" s="1901"/>
    </row>
    <row r="18" spans="1:8" x14ac:dyDescent="0.25">
      <c r="A18" s="1902"/>
      <c r="B18" s="396" t="s">
        <v>904</v>
      </c>
      <c r="C18" s="369"/>
      <c r="D18" s="251"/>
      <c r="E18" s="2496"/>
      <c r="F18" s="2497"/>
      <c r="G18" s="2201"/>
      <c r="H18" s="1901"/>
    </row>
    <row r="19" spans="1:8" ht="78" customHeight="1" x14ac:dyDescent="0.25">
      <c r="A19" s="1902" t="s">
        <v>539</v>
      </c>
      <c r="B19" s="368" t="s">
        <v>2542</v>
      </c>
      <c r="C19" s="369"/>
      <c r="D19" s="251"/>
      <c r="E19" s="2496"/>
      <c r="F19" s="2497"/>
      <c r="G19" s="2201"/>
      <c r="H19" s="1901"/>
    </row>
    <row r="20" spans="1:8" x14ac:dyDescent="0.25">
      <c r="A20" s="1902" t="s">
        <v>541</v>
      </c>
      <c r="B20" s="368" t="s">
        <v>61</v>
      </c>
      <c r="C20" s="369">
        <f>plastering!C12+(plastering!C18*0.1)</f>
        <v>144.6</v>
      </c>
      <c r="D20" s="251" t="s">
        <v>2423</v>
      </c>
      <c r="E20" s="2496">
        <f>+'Rate Breakdowns'!G1155</f>
        <v>1419.5909580193759</v>
      </c>
      <c r="F20" s="2459">
        <f t="shared" ref="F20:F23" si="7">+$I$1</f>
        <v>0.75</v>
      </c>
      <c r="G20" s="2375">
        <f t="shared" ref="G20:G23" si="8">ROUNDUP(E20/F20,-1)</f>
        <v>1900</v>
      </c>
      <c r="H20" s="2533">
        <f>C20*G20</f>
        <v>274740</v>
      </c>
    </row>
    <row r="21" spans="1:8" x14ac:dyDescent="0.25">
      <c r="A21" s="1902" t="s">
        <v>542</v>
      </c>
      <c r="B21" s="368" t="s">
        <v>62</v>
      </c>
      <c r="C21" s="369">
        <f>plastering!C13+(plastering!C20*0.1)</f>
        <v>193</v>
      </c>
      <c r="D21" s="251" t="s">
        <v>2423</v>
      </c>
      <c r="E21" s="2496">
        <f>+E20*1.005</f>
        <v>1426.6889128094726</v>
      </c>
      <c r="F21" s="2459">
        <f t="shared" si="7"/>
        <v>0.75</v>
      </c>
      <c r="G21" s="2375">
        <f t="shared" si="8"/>
        <v>1910</v>
      </c>
      <c r="H21" s="2533">
        <f t="shared" ref="H21:H22" si="9">C21*G21</f>
        <v>368630</v>
      </c>
    </row>
    <row r="22" spans="1:8" s="889" customFormat="1" x14ac:dyDescent="0.25">
      <c r="A22" s="1903" t="s">
        <v>546</v>
      </c>
      <c r="B22" s="1067" t="s">
        <v>2350</v>
      </c>
      <c r="C22" s="886">
        <f>plastering!C14+(plastering!C22*0.1)</f>
        <v>163.5</v>
      </c>
      <c r="D22" s="885" t="s">
        <v>2423</v>
      </c>
      <c r="E22" s="2496">
        <f>+E20*1.01</f>
        <v>1433.7868675995696</v>
      </c>
      <c r="F22" s="2459">
        <f t="shared" si="7"/>
        <v>0.75</v>
      </c>
      <c r="G22" s="2375">
        <f t="shared" si="8"/>
        <v>1920</v>
      </c>
      <c r="H22" s="2533">
        <f t="shared" si="9"/>
        <v>313920</v>
      </c>
    </row>
    <row r="23" spans="1:8" x14ac:dyDescent="0.25">
      <c r="A23" s="1902" t="s">
        <v>547</v>
      </c>
      <c r="B23" s="368" t="s">
        <v>3290</v>
      </c>
      <c r="C23" s="369">
        <f>plastering!C15</f>
        <v>52</v>
      </c>
      <c r="D23" s="251" t="s">
        <v>2423</v>
      </c>
      <c r="E23" s="2496">
        <f>+E20*1.015</f>
        <v>1440.8848223896664</v>
      </c>
      <c r="F23" s="2459">
        <f t="shared" si="7"/>
        <v>0.75</v>
      </c>
      <c r="G23" s="2375">
        <f t="shared" si="8"/>
        <v>1930</v>
      </c>
      <c r="H23" s="2533">
        <f>C23*G23</f>
        <v>100360</v>
      </c>
    </row>
    <row r="24" spans="1:8" ht="14.4" thickBot="1" x14ac:dyDescent="0.3">
      <c r="A24" s="1902"/>
      <c r="B24" s="368"/>
      <c r="C24" s="369"/>
      <c r="D24" s="251"/>
      <c r="E24" s="2496"/>
      <c r="F24" s="2497"/>
      <c r="G24" s="2201"/>
      <c r="H24" s="1901"/>
    </row>
    <row r="25" spans="1:8" s="12" customFormat="1" ht="36" customHeight="1" thickBot="1" x14ac:dyDescent="0.3">
      <c r="A25" s="379"/>
      <c r="B25" s="1916" t="s">
        <v>915</v>
      </c>
      <c r="C25" s="380"/>
      <c r="D25" s="381"/>
      <c r="E25" s="2502"/>
      <c r="F25" s="2503"/>
      <c r="G25" s="2206"/>
      <c r="H25" s="2239">
        <f>SUM(H3:H24)</f>
        <v>2418543.25</v>
      </c>
    </row>
    <row r="33" spans="8:8" x14ac:dyDescent="0.25">
      <c r="H33" s="39" t="e">
        <f>#REF!+#REF!+#REF!+#REF!+#REF!</f>
        <v>#REF!</v>
      </c>
    </row>
  </sheetData>
  <pageMargins left="0.5" right="0.5" top="0.56999999999999995" bottom="0.25" header="0.5" footer="0.5"/>
  <pageSetup scale="99" orientation="portrait" r:id="rId1"/>
  <headerFooter alignWithMargins="0">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030A0"/>
  </sheetPr>
  <dimension ref="A1:M240"/>
  <sheetViews>
    <sheetView view="pageBreakPreview" topLeftCell="A190" zoomScale="98" zoomScaleNormal="85" zoomScaleSheetLayoutView="98" workbookViewId="0">
      <selection activeCell="L47" sqref="L47"/>
    </sheetView>
  </sheetViews>
  <sheetFormatPr defaultColWidth="9.21875" defaultRowHeight="13.8" x14ac:dyDescent="0.25"/>
  <cols>
    <col min="1" max="1" width="5" style="38" bestFit="1" customWidth="1"/>
    <col min="2" max="2" width="52.5546875" style="36" customWidth="1"/>
    <col min="3" max="3" width="7.21875" style="669" bestFit="1" customWidth="1"/>
    <col min="4" max="4" width="5.5546875" style="669" bestFit="1" customWidth="1"/>
    <col min="5" max="6" width="13.33203125" style="670" hidden="1" customWidth="1"/>
    <col min="7" max="7" width="13.33203125" style="670" customWidth="1"/>
    <col min="8" max="8" width="12.88671875" style="669" bestFit="1" customWidth="1"/>
    <col min="9" max="9" width="9.21875" style="24"/>
    <col min="10" max="10" width="88.44140625" style="751" customWidth="1"/>
    <col min="11" max="11" width="10" style="24" bestFit="1" customWidth="1"/>
    <col min="12" max="12" width="11" style="24" bestFit="1" customWidth="1"/>
    <col min="13" max="14" width="12.88671875" style="24" bestFit="1" customWidth="1"/>
    <col min="15" max="15" width="10.33203125" style="24" bestFit="1" customWidth="1"/>
    <col min="16" max="16384" width="9.21875" style="24"/>
  </cols>
  <sheetData>
    <row r="1" spans="1:10" s="31" customFormat="1" ht="14.4" thickBot="1" x14ac:dyDescent="0.3">
      <c r="A1" s="45" t="s">
        <v>0</v>
      </c>
      <c r="B1" s="46" t="s">
        <v>1</v>
      </c>
      <c r="C1" s="1917" t="s">
        <v>2</v>
      </c>
      <c r="D1" s="48" t="s">
        <v>3</v>
      </c>
      <c r="E1" s="2543" t="s">
        <v>3565</v>
      </c>
      <c r="F1" s="2532" t="s">
        <v>3708</v>
      </c>
      <c r="G1" s="2532" t="s">
        <v>1286</v>
      </c>
      <c r="H1" s="49" t="s">
        <v>5</v>
      </c>
      <c r="I1" s="31">
        <f>+summary!D14</f>
        <v>0.85</v>
      </c>
      <c r="J1" s="1218"/>
    </row>
    <row r="2" spans="1:10" s="12" customFormat="1" ht="15.6" x14ac:dyDescent="0.25">
      <c r="A2" s="1918"/>
      <c r="B2" s="998" t="s">
        <v>918</v>
      </c>
      <c r="C2" s="999"/>
      <c r="D2" s="1000"/>
      <c r="E2" s="1001"/>
      <c r="F2" s="2214"/>
      <c r="G2" s="2214"/>
      <c r="H2" s="1919"/>
      <c r="J2" s="1219"/>
    </row>
    <row r="3" spans="1:10" s="12" customFormat="1" ht="15.6" x14ac:dyDescent="0.25">
      <c r="A3" s="1920"/>
      <c r="B3" s="1002" t="s">
        <v>1204</v>
      </c>
      <c r="C3" s="1003"/>
      <c r="D3" s="1004"/>
      <c r="E3" s="1005"/>
      <c r="F3" s="2215"/>
      <c r="G3" s="2215"/>
      <c r="H3" s="1921"/>
      <c r="J3" s="1219"/>
    </row>
    <row r="4" spans="1:10" s="12" customFormat="1" ht="15.6" x14ac:dyDescent="0.25">
      <c r="A4" s="1900"/>
      <c r="B4" s="377" t="s">
        <v>236</v>
      </c>
      <c r="C4" s="1006"/>
      <c r="D4" s="2484"/>
      <c r="E4" s="2486"/>
      <c r="F4" s="2216"/>
      <c r="G4" s="2216"/>
      <c r="H4" s="2485"/>
      <c r="J4" s="1219"/>
    </row>
    <row r="5" spans="1:10" s="12" customFormat="1" ht="109.2" x14ac:dyDescent="0.25">
      <c r="A5" s="1900"/>
      <c r="B5" s="399" t="s">
        <v>1278</v>
      </c>
      <c r="C5" s="1006"/>
      <c r="D5" s="2484"/>
      <c r="E5" s="2486"/>
      <c r="F5" s="2216"/>
      <c r="G5" s="2216"/>
      <c r="H5" s="2485"/>
      <c r="J5" s="1219"/>
    </row>
    <row r="6" spans="1:10" s="12" customFormat="1" ht="15.6" x14ac:dyDescent="0.25">
      <c r="A6" s="1900"/>
      <c r="B6" s="377"/>
      <c r="C6" s="1006"/>
      <c r="D6" s="2484"/>
      <c r="E6" s="2486"/>
      <c r="F6" s="2216"/>
      <c r="G6" s="2216"/>
      <c r="H6" s="2485"/>
      <c r="J6" s="1219"/>
    </row>
    <row r="7" spans="1:10" s="12" customFormat="1" ht="109.2" x14ac:dyDescent="0.25">
      <c r="A7" s="1900"/>
      <c r="B7" s="399" t="s">
        <v>1283</v>
      </c>
      <c r="C7" s="1006"/>
      <c r="D7" s="2484"/>
      <c r="E7" s="2486"/>
      <c r="F7" s="2216"/>
      <c r="G7" s="2216"/>
      <c r="H7" s="2485"/>
      <c r="J7" s="1219"/>
    </row>
    <row r="8" spans="1:10" s="12" customFormat="1" ht="15.6" x14ac:dyDescent="0.25">
      <c r="A8" s="1900"/>
      <c r="B8" s="377"/>
      <c r="C8" s="1006"/>
      <c r="D8" s="2484"/>
      <c r="E8" s="2486"/>
      <c r="F8" s="2216"/>
      <c r="G8" s="2216"/>
      <c r="H8" s="2485"/>
      <c r="J8" s="1219"/>
    </row>
    <row r="9" spans="1:10" s="12" customFormat="1" ht="62.4" x14ac:dyDescent="0.25">
      <c r="A9" s="1900"/>
      <c r="B9" s="399" t="s">
        <v>1279</v>
      </c>
      <c r="C9" s="1006"/>
      <c r="D9" s="2484"/>
      <c r="E9" s="2486"/>
      <c r="F9" s="2216"/>
      <c r="G9" s="2216"/>
      <c r="H9" s="2485"/>
      <c r="J9" s="1219"/>
    </row>
    <row r="10" spans="1:10" s="12" customFormat="1" ht="15.6" x14ac:dyDescent="0.25">
      <c r="A10" s="1900"/>
      <c r="B10" s="399" t="s">
        <v>1205</v>
      </c>
      <c r="C10" s="1006"/>
      <c r="D10" s="2484"/>
      <c r="E10" s="2486"/>
      <c r="F10" s="2216"/>
      <c r="G10" s="2216"/>
      <c r="H10" s="2485"/>
      <c r="J10" s="1219"/>
    </row>
    <row r="11" spans="1:10" s="12" customFormat="1" ht="46.8" x14ac:dyDescent="0.25">
      <c r="A11" s="1900"/>
      <c r="B11" s="399" t="s">
        <v>1206</v>
      </c>
      <c r="C11" s="1006"/>
      <c r="D11" s="2484"/>
      <c r="E11" s="2486"/>
      <c r="F11" s="2216"/>
      <c r="G11" s="2216"/>
      <c r="H11" s="2485"/>
      <c r="J11" s="1219"/>
    </row>
    <row r="12" spans="1:10" s="12" customFormat="1" ht="31.2" x14ac:dyDescent="0.25">
      <c r="A12" s="1900"/>
      <c r="B12" s="399" t="s">
        <v>1207</v>
      </c>
      <c r="C12" s="1006"/>
      <c r="D12" s="2484"/>
      <c r="E12" s="2486"/>
      <c r="F12" s="2216"/>
      <c r="G12" s="2216"/>
      <c r="H12" s="2485"/>
      <c r="J12" s="1219"/>
    </row>
    <row r="13" spans="1:10" s="12" customFormat="1" ht="46.8" x14ac:dyDescent="0.25">
      <c r="A13" s="1900"/>
      <c r="B13" s="399" t="s">
        <v>1208</v>
      </c>
      <c r="C13" s="1006"/>
      <c r="D13" s="2484"/>
      <c r="E13" s="2486"/>
      <c r="F13" s="2216"/>
      <c r="G13" s="2216"/>
      <c r="H13" s="2485"/>
      <c r="J13" s="1219"/>
    </row>
    <row r="14" spans="1:10" s="12" customFormat="1" ht="46.8" x14ac:dyDescent="0.25">
      <c r="A14" s="1900"/>
      <c r="B14" s="399" t="s">
        <v>1209</v>
      </c>
      <c r="C14" s="1006"/>
      <c r="D14" s="2484"/>
      <c r="E14" s="2486"/>
      <c r="F14" s="2216"/>
      <c r="G14" s="2216"/>
      <c r="H14" s="2485"/>
      <c r="J14" s="1219"/>
    </row>
    <row r="15" spans="1:10" s="12" customFormat="1" ht="62.4" x14ac:dyDescent="0.25">
      <c r="A15" s="1900"/>
      <c r="B15" s="399" t="s">
        <v>1210</v>
      </c>
      <c r="C15" s="1006"/>
      <c r="D15" s="2484"/>
      <c r="E15" s="2486"/>
      <c r="F15" s="2216"/>
      <c r="G15" s="2216"/>
      <c r="H15" s="2485"/>
      <c r="J15" s="1219"/>
    </row>
    <row r="16" spans="1:10" s="12" customFormat="1" ht="15.6" x14ac:dyDescent="0.25">
      <c r="A16" s="1900"/>
      <c r="B16" s="377"/>
      <c r="C16" s="1006"/>
      <c r="D16" s="2484"/>
      <c r="E16" s="2486"/>
      <c r="F16" s="2216"/>
      <c r="G16" s="2216"/>
      <c r="H16" s="2485"/>
      <c r="J16" s="1219"/>
    </row>
    <row r="17" spans="1:10" s="12" customFormat="1" ht="15.6" x14ac:dyDescent="0.25">
      <c r="A17" s="1900"/>
      <c r="B17" s="377" t="s">
        <v>1211</v>
      </c>
      <c r="C17" s="1006"/>
      <c r="D17" s="2484"/>
      <c r="E17" s="2486"/>
      <c r="F17" s="2216"/>
      <c r="G17" s="2216"/>
      <c r="H17" s="2485"/>
      <c r="J17" s="1219"/>
    </row>
    <row r="18" spans="1:10" s="12" customFormat="1" ht="31.2" x14ac:dyDescent="0.25">
      <c r="A18" s="1900"/>
      <c r="B18" s="399" t="s">
        <v>1212</v>
      </c>
      <c r="C18" s="1006"/>
      <c r="D18" s="2484"/>
      <c r="E18" s="2486"/>
      <c r="F18" s="2216"/>
      <c r="G18" s="2216"/>
      <c r="H18" s="2485"/>
      <c r="J18" s="1219"/>
    </row>
    <row r="19" spans="1:10" s="12" customFormat="1" ht="78.599999999999994" thickBot="1" x14ac:dyDescent="0.3">
      <c r="A19" s="2606"/>
      <c r="B19" s="2614" t="s">
        <v>1284</v>
      </c>
      <c r="C19" s="2608"/>
      <c r="D19" s="2609"/>
      <c r="E19" s="2610"/>
      <c r="F19" s="2611"/>
      <c r="G19" s="2611"/>
      <c r="H19" s="2612"/>
      <c r="J19" s="1219"/>
    </row>
    <row r="20" spans="1:10" s="12" customFormat="1" ht="16.2" thickTop="1" x14ac:dyDescent="0.25">
      <c r="A20" s="2599"/>
      <c r="B20" s="2615" t="s">
        <v>1213</v>
      </c>
      <c r="C20" s="2601"/>
      <c r="D20" s="2602"/>
      <c r="E20" s="2603"/>
      <c r="F20" s="2604"/>
      <c r="G20" s="2604"/>
      <c r="H20" s="2605"/>
      <c r="J20" s="1219"/>
    </row>
    <row r="21" spans="1:10" s="12" customFormat="1" ht="46.8" x14ac:dyDescent="0.25">
      <c r="A21" s="1900"/>
      <c r="B21" s="399" t="s">
        <v>1285</v>
      </c>
      <c r="C21" s="1006"/>
      <c r="D21" s="2484"/>
      <c r="E21" s="2486"/>
      <c r="F21" s="2216"/>
      <c r="G21" s="2216"/>
      <c r="H21" s="2485"/>
      <c r="J21" s="1219"/>
    </row>
    <row r="22" spans="1:10" s="12" customFormat="1" ht="31.2" x14ac:dyDescent="0.25">
      <c r="A22" s="1900"/>
      <c r="B22" s="399" t="s">
        <v>1214</v>
      </c>
      <c r="C22" s="1006"/>
      <c r="D22" s="2484"/>
      <c r="E22" s="2486"/>
      <c r="F22" s="2216"/>
      <c r="G22" s="2216"/>
      <c r="H22" s="2485"/>
      <c r="J22" s="1219"/>
    </row>
    <row r="23" spans="1:10" s="12" customFormat="1" ht="46.8" x14ac:dyDescent="0.25">
      <c r="A23" s="1900"/>
      <c r="B23" s="399" t="s">
        <v>1285</v>
      </c>
      <c r="C23" s="1006"/>
      <c r="D23" s="2484"/>
      <c r="E23" s="2486"/>
      <c r="F23" s="2216"/>
      <c r="G23" s="2216"/>
      <c r="H23" s="2485"/>
      <c r="J23" s="1219"/>
    </row>
    <row r="24" spans="1:10" s="12" customFormat="1" ht="15.6" x14ac:dyDescent="0.25">
      <c r="A24" s="1900"/>
      <c r="B24" s="399"/>
      <c r="C24" s="1006"/>
      <c r="D24" s="2484"/>
      <c r="E24" s="2486"/>
      <c r="F24" s="2216"/>
      <c r="G24" s="2216"/>
      <c r="H24" s="2485"/>
      <c r="J24" s="1219"/>
    </row>
    <row r="25" spans="1:10" s="12" customFormat="1" ht="15.6" x14ac:dyDescent="0.25">
      <c r="A25" s="1900"/>
      <c r="B25" s="399"/>
      <c r="C25" s="1006"/>
      <c r="D25" s="2484"/>
      <c r="E25" s="2486"/>
      <c r="F25" s="2216"/>
      <c r="G25" s="2216"/>
      <c r="H25" s="2485"/>
      <c r="J25" s="1219"/>
    </row>
    <row r="26" spans="1:10" s="12" customFormat="1" ht="15.6" hidden="1" x14ac:dyDescent="0.25">
      <c r="A26" s="1900"/>
      <c r="B26" s="399" t="s">
        <v>2520</v>
      </c>
      <c r="C26" s="1006"/>
      <c r="D26" s="2484"/>
      <c r="E26" s="2486"/>
      <c r="F26" s="2216"/>
      <c r="G26" s="2216"/>
      <c r="H26" s="2485"/>
      <c r="J26" s="1219"/>
    </row>
    <row r="27" spans="1:10" s="12" customFormat="1" ht="78" hidden="1" x14ac:dyDescent="0.25">
      <c r="A27" s="1900" t="s">
        <v>249</v>
      </c>
      <c r="B27" s="1007" t="s">
        <v>2521</v>
      </c>
      <c r="C27" s="1006"/>
      <c r="D27" s="2484" t="s">
        <v>78</v>
      </c>
      <c r="E27" s="2486"/>
      <c r="F27" s="2216"/>
      <c r="G27" s="2216"/>
      <c r="H27" s="2485"/>
      <c r="J27" s="1219"/>
    </row>
    <row r="28" spans="1:10" s="12" customFormat="1" ht="15.6" hidden="1" x14ac:dyDescent="0.25">
      <c r="A28" s="1900"/>
      <c r="B28" s="399"/>
      <c r="C28" s="1006"/>
      <c r="D28" s="2484"/>
      <c r="E28" s="2486"/>
      <c r="F28" s="2216"/>
      <c r="G28" s="2216"/>
      <c r="H28" s="2485"/>
      <c r="J28" s="1219"/>
    </row>
    <row r="29" spans="1:10" s="12" customFormat="1" ht="62.4" hidden="1" x14ac:dyDescent="0.25">
      <c r="A29" s="1900" t="s">
        <v>250</v>
      </c>
      <c r="B29" s="1007" t="s">
        <v>2522</v>
      </c>
      <c r="C29" s="1006"/>
      <c r="D29" s="2484" t="s">
        <v>78</v>
      </c>
      <c r="E29" s="2486"/>
      <c r="F29" s="2216"/>
      <c r="G29" s="2216"/>
      <c r="H29" s="2485"/>
      <c r="J29" s="1219"/>
    </row>
    <row r="30" spans="1:10" s="12" customFormat="1" ht="15.6" hidden="1" x14ac:dyDescent="0.25">
      <c r="A30" s="1900"/>
      <c r="B30" s="399"/>
      <c r="C30" s="1006"/>
      <c r="D30" s="2484"/>
      <c r="E30" s="2486"/>
      <c r="F30" s="2216"/>
      <c r="G30" s="2216"/>
      <c r="H30" s="2485"/>
      <c r="J30" s="1219"/>
    </row>
    <row r="31" spans="1:10" s="12" customFormat="1" ht="78" hidden="1" x14ac:dyDescent="0.25">
      <c r="A31" s="1900" t="s">
        <v>251</v>
      </c>
      <c r="B31" s="1007" t="s">
        <v>2523</v>
      </c>
      <c r="C31" s="1006"/>
      <c r="D31" s="2484" t="s">
        <v>78</v>
      </c>
      <c r="E31" s="2486"/>
      <c r="F31" s="2216"/>
      <c r="G31" s="2216"/>
      <c r="H31" s="2485"/>
      <c r="J31" s="1219"/>
    </row>
    <row r="32" spans="1:10" s="12" customFormat="1" ht="15.6" hidden="1" x14ac:dyDescent="0.25">
      <c r="A32" s="1900"/>
      <c r="B32" s="399"/>
      <c r="C32" s="1006"/>
      <c r="D32" s="2484"/>
      <c r="E32" s="2486"/>
      <c r="F32" s="2216"/>
      <c r="G32" s="2216"/>
      <c r="H32" s="2485"/>
      <c r="J32" s="1219"/>
    </row>
    <row r="33" spans="1:10" s="12" customFormat="1" ht="46.8" hidden="1" x14ac:dyDescent="0.25">
      <c r="A33" s="1900" t="s">
        <v>252</v>
      </c>
      <c r="B33" s="1007" t="s">
        <v>2524</v>
      </c>
      <c r="C33" s="1006"/>
      <c r="D33" s="2484" t="s">
        <v>78</v>
      </c>
      <c r="E33" s="2486"/>
      <c r="F33" s="2216"/>
      <c r="G33" s="2216"/>
      <c r="H33" s="2485"/>
      <c r="J33" s="1219"/>
    </row>
    <row r="34" spans="1:10" s="12" customFormat="1" ht="15.6" hidden="1" x14ac:dyDescent="0.25">
      <c r="A34" s="1900"/>
      <c r="B34" s="399"/>
      <c r="C34" s="1006"/>
      <c r="D34" s="2484"/>
      <c r="E34" s="2486"/>
      <c r="F34" s="2216"/>
      <c r="G34" s="2216"/>
      <c r="H34" s="2485"/>
      <c r="J34" s="1219"/>
    </row>
    <row r="35" spans="1:10" s="12" customFormat="1" ht="15.6" hidden="1" x14ac:dyDescent="0.25">
      <c r="A35" s="1900"/>
      <c r="B35" s="377"/>
      <c r="C35" s="1006"/>
      <c r="D35" s="2484"/>
      <c r="E35" s="2486"/>
      <c r="F35" s="2216"/>
      <c r="G35" s="2216"/>
      <c r="H35" s="2485"/>
      <c r="J35" s="1219"/>
    </row>
    <row r="36" spans="1:10" s="12" customFormat="1" ht="140.4" hidden="1" x14ac:dyDescent="0.25">
      <c r="A36" s="1900" t="s">
        <v>249</v>
      </c>
      <c r="B36" s="1007" t="s">
        <v>3186</v>
      </c>
      <c r="C36" s="1006"/>
      <c r="D36" s="2484"/>
      <c r="E36" s="2486"/>
      <c r="F36" s="2216"/>
      <c r="G36" s="2216"/>
      <c r="H36" s="2485"/>
      <c r="J36" s="1219"/>
    </row>
    <row r="37" spans="1:10" s="12" customFormat="1" ht="15.6" hidden="1" x14ac:dyDescent="0.25">
      <c r="A37" s="1900"/>
      <c r="B37" s="1007" t="s">
        <v>884</v>
      </c>
      <c r="C37" s="1006"/>
      <c r="D37" s="2484" t="s">
        <v>78</v>
      </c>
      <c r="E37" s="2486"/>
      <c r="F37" s="2216"/>
      <c r="G37" s="2216"/>
      <c r="H37" s="2485"/>
      <c r="J37" s="1219"/>
    </row>
    <row r="38" spans="1:10" s="12" customFormat="1" ht="15.6" hidden="1" x14ac:dyDescent="0.25">
      <c r="A38" s="1900"/>
      <c r="B38" s="377"/>
      <c r="C38" s="1006"/>
      <c r="D38" s="2484"/>
      <c r="E38" s="2486"/>
      <c r="F38" s="2216"/>
      <c r="G38" s="2216"/>
      <c r="H38" s="2485"/>
      <c r="J38" s="1219"/>
    </row>
    <row r="39" spans="1:10" s="12" customFormat="1" ht="140.4" x14ac:dyDescent="0.25">
      <c r="A39" s="1900" t="s">
        <v>250</v>
      </c>
      <c r="B39" s="1007" t="s">
        <v>3291</v>
      </c>
      <c r="C39" s="1006"/>
      <c r="D39" s="2484"/>
      <c r="E39" s="2486"/>
      <c r="F39" s="2216"/>
      <c r="G39" s="2216"/>
      <c r="H39" s="2485"/>
      <c r="J39" s="1219"/>
    </row>
    <row r="40" spans="1:10" s="12" customFormat="1" ht="15.6" x14ac:dyDescent="0.25">
      <c r="A40" s="1900"/>
      <c r="B40" s="1007" t="s">
        <v>884</v>
      </c>
      <c r="C40" s="1006">
        <v>1</v>
      </c>
      <c r="D40" s="2484" t="s">
        <v>78</v>
      </c>
      <c r="E40" s="2486">
        <f>50000+5500</f>
        <v>55500</v>
      </c>
      <c r="F40" s="374">
        <f>+$I$1</f>
        <v>0.85</v>
      </c>
      <c r="G40" s="374">
        <f>ROUNDUP(E40/F40,-1)</f>
        <v>65300</v>
      </c>
      <c r="H40" s="2529">
        <f>C40*G40</f>
        <v>65300</v>
      </c>
      <c r="J40" s="1219"/>
    </row>
    <row r="41" spans="1:10" s="12" customFormat="1" ht="15.6" x14ac:dyDescent="0.25">
      <c r="A41" s="1900"/>
      <c r="B41" s="1007" t="s">
        <v>885</v>
      </c>
      <c r="C41" s="1006">
        <v>3</v>
      </c>
      <c r="D41" s="2484" t="s">
        <v>78</v>
      </c>
      <c r="E41" s="2486">
        <f>50000+5700</f>
        <v>55700</v>
      </c>
      <c r="F41" s="374">
        <f t="shared" ref="F41:F42" si="0">+$I$1</f>
        <v>0.85</v>
      </c>
      <c r="G41" s="374">
        <f t="shared" ref="G41:G42" si="1">ROUNDUP(E41/F41,-1)</f>
        <v>65530</v>
      </c>
      <c r="H41" s="2529">
        <f>C41*G41</f>
        <v>196590</v>
      </c>
      <c r="J41" s="1219"/>
    </row>
    <row r="42" spans="1:10" s="12" customFormat="1" ht="15.6" x14ac:dyDescent="0.25">
      <c r="A42" s="1900"/>
      <c r="B42" s="1007" t="s">
        <v>878</v>
      </c>
      <c r="C42" s="1006">
        <v>2</v>
      </c>
      <c r="D42" s="2484" t="s">
        <v>78</v>
      </c>
      <c r="E42" s="2486">
        <f>50000+5900</f>
        <v>55900</v>
      </c>
      <c r="F42" s="374">
        <f t="shared" si="0"/>
        <v>0.85</v>
      </c>
      <c r="G42" s="374">
        <f t="shared" si="1"/>
        <v>65770</v>
      </c>
      <c r="H42" s="2529">
        <f>C42*G42</f>
        <v>131540</v>
      </c>
      <c r="J42" s="1219"/>
    </row>
    <row r="43" spans="1:10" s="12" customFormat="1" ht="15.6" x14ac:dyDescent="0.25">
      <c r="A43" s="1900"/>
      <c r="B43" s="1007"/>
      <c r="C43" s="1006"/>
      <c r="D43" s="2484"/>
      <c r="E43" s="2486"/>
      <c r="F43" s="2216"/>
      <c r="G43" s="2216"/>
      <c r="H43" s="2485"/>
      <c r="J43" s="1219"/>
    </row>
    <row r="44" spans="1:10" s="12" customFormat="1" ht="159.6" hidden="1" customHeight="1" x14ac:dyDescent="0.25">
      <c r="A44" s="1900"/>
      <c r="B44" s="1007" t="s">
        <v>3187</v>
      </c>
      <c r="C44" s="1006"/>
      <c r="D44" s="2484"/>
      <c r="E44" s="2486"/>
      <c r="F44" s="2216"/>
      <c r="G44" s="2216"/>
      <c r="H44" s="2485"/>
      <c r="J44" s="1219"/>
    </row>
    <row r="45" spans="1:10" s="12" customFormat="1" ht="15.6" hidden="1" x14ac:dyDescent="0.25">
      <c r="A45" s="1900"/>
      <c r="B45" s="1007" t="s">
        <v>884</v>
      </c>
      <c r="C45" s="1006"/>
      <c r="D45" s="2484" t="s">
        <v>78</v>
      </c>
      <c r="E45" s="2486"/>
      <c r="F45" s="2216"/>
      <c r="G45" s="2216"/>
      <c r="H45" s="2485"/>
      <c r="J45" s="1219"/>
    </row>
    <row r="46" spans="1:10" s="12" customFormat="1" ht="15.6" x14ac:dyDescent="0.25">
      <c r="A46" s="1900"/>
      <c r="B46" s="1007"/>
      <c r="C46" s="1006"/>
      <c r="D46" s="2484"/>
      <c r="E46" s="2486"/>
      <c r="F46" s="2216"/>
      <c r="G46" s="2216"/>
      <c r="H46" s="2485"/>
      <c r="J46" s="1219"/>
    </row>
    <row r="47" spans="1:10" s="12" customFormat="1" ht="140.4" x14ac:dyDescent="0.25">
      <c r="A47" s="1900" t="s">
        <v>251</v>
      </c>
      <c r="B47" s="1007" t="s">
        <v>3292</v>
      </c>
      <c r="C47" s="1006"/>
      <c r="D47" s="2484"/>
      <c r="E47" s="2486"/>
      <c r="F47" s="2216"/>
      <c r="G47" s="2216"/>
      <c r="H47" s="2485"/>
      <c r="J47" s="1219"/>
    </row>
    <row r="48" spans="1:10" s="12" customFormat="1" ht="15.6" x14ac:dyDescent="0.25">
      <c r="A48" s="1900"/>
      <c r="B48" s="1007" t="s">
        <v>884</v>
      </c>
      <c r="C48" s="1006">
        <v>1</v>
      </c>
      <c r="D48" s="2484" t="s">
        <v>78</v>
      </c>
      <c r="E48" s="2486">
        <f>65000+5500</f>
        <v>70500</v>
      </c>
      <c r="F48" s="374">
        <f>+$I$1</f>
        <v>0.85</v>
      </c>
      <c r="G48" s="374">
        <f>ROUNDUP(E48/F48,-1)</f>
        <v>82950</v>
      </c>
      <c r="H48" s="2529">
        <f>C48*G48</f>
        <v>82950</v>
      </c>
      <c r="J48" s="1219"/>
    </row>
    <row r="49" spans="1:10" s="12" customFormat="1" ht="15.6" x14ac:dyDescent="0.25">
      <c r="A49" s="1900"/>
      <c r="B49" s="1007" t="s">
        <v>885</v>
      </c>
      <c r="C49" s="1006">
        <v>3</v>
      </c>
      <c r="D49" s="2484" t="s">
        <v>78</v>
      </c>
      <c r="E49" s="2486">
        <f>65000+5700</f>
        <v>70700</v>
      </c>
      <c r="F49" s="374">
        <f>+$I$1</f>
        <v>0.85</v>
      </c>
      <c r="G49" s="374">
        <f>ROUNDUP(E49/F49,-1)</f>
        <v>83180</v>
      </c>
      <c r="H49" s="2529">
        <f>C49*G49</f>
        <v>249540</v>
      </c>
      <c r="J49" s="1219"/>
    </row>
    <row r="50" spans="1:10" s="12" customFormat="1" ht="15.6" x14ac:dyDescent="0.25">
      <c r="A50" s="1900"/>
      <c r="B50" s="1007" t="s">
        <v>878</v>
      </c>
      <c r="C50" s="1006">
        <v>2</v>
      </c>
      <c r="D50" s="2484" t="s">
        <v>78</v>
      </c>
      <c r="E50" s="2486">
        <f>65000+5900</f>
        <v>70900</v>
      </c>
      <c r="F50" s="374">
        <f>+$I$1</f>
        <v>0.85</v>
      </c>
      <c r="G50" s="374">
        <f>ROUNDUP(E50/F50,-1)</f>
        <v>83420</v>
      </c>
      <c r="H50" s="2529">
        <f>C50*G50</f>
        <v>166840</v>
      </c>
      <c r="J50" s="1219"/>
    </row>
    <row r="51" spans="1:10" s="12" customFormat="1" ht="15.6" x14ac:dyDescent="0.25">
      <c r="A51" s="1900"/>
      <c r="B51" s="377"/>
      <c r="C51" s="1006"/>
      <c r="D51" s="2484"/>
      <c r="E51" s="2486"/>
      <c r="F51" s="2216"/>
      <c r="G51" s="2216"/>
      <c r="H51" s="2485"/>
      <c r="J51" s="1219"/>
    </row>
    <row r="52" spans="1:10" s="12" customFormat="1" ht="62.4" x14ac:dyDescent="0.25">
      <c r="A52" s="1900" t="s">
        <v>255</v>
      </c>
      <c r="B52" s="1007" t="s">
        <v>2605</v>
      </c>
      <c r="C52" s="1006"/>
      <c r="D52" s="2484"/>
      <c r="E52" s="2486"/>
      <c r="F52" s="2216"/>
      <c r="G52" s="2216"/>
      <c r="H52" s="2485"/>
      <c r="J52" s="1219"/>
    </row>
    <row r="53" spans="1:10" s="12" customFormat="1" ht="15.6" x14ac:dyDescent="0.25">
      <c r="A53" s="1900"/>
      <c r="B53" s="1007" t="s">
        <v>884</v>
      </c>
      <c r="C53" s="1006">
        <f>C48*3</f>
        <v>3</v>
      </c>
      <c r="D53" s="2484" t="s">
        <v>78</v>
      </c>
      <c r="E53" s="2486">
        <f>2500+350</f>
        <v>2850</v>
      </c>
      <c r="F53" s="374">
        <f>+$I$1</f>
        <v>0.85</v>
      </c>
      <c r="G53" s="374">
        <f>ROUNDUP(E53/F53,-1)</f>
        <v>3360</v>
      </c>
      <c r="H53" s="2529">
        <f>C53*G53</f>
        <v>10080</v>
      </c>
      <c r="J53" s="1219"/>
    </row>
    <row r="54" spans="1:10" s="12" customFormat="1" ht="15.6" x14ac:dyDescent="0.25">
      <c r="A54" s="1900"/>
      <c r="B54" s="1007" t="s">
        <v>885</v>
      </c>
      <c r="C54" s="1006">
        <f t="shared" ref="C54:C55" si="2">C49*3</f>
        <v>9</v>
      </c>
      <c r="D54" s="2484" t="s">
        <v>78</v>
      </c>
      <c r="E54" s="2486">
        <f t="shared" ref="E54:E55" si="3">2500+350</f>
        <v>2850</v>
      </c>
      <c r="F54" s="374">
        <f>+$I$1</f>
        <v>0.85</v>
      </c>
      <c r="G54" s="374">
        <f>ROUNDUP(E54/F54,-1)</f>
        <v>3360</v>
      </c>
      <c r="H54" s="2529">
        <f>C54*G54</f>
        <v>30240</v>
      </c>
      <c r="J54" s="1219"/>
    </row>
    <row r="55" spans="1:10" s="12" customFormat="1" ht="15.6" x14ac:dyDescent="0.25">
      <c r="A55" s="1900"/>
      <c r="B55" s="1007" t="s">
        <v>878</v>
      </c>
      <c r="C55" s="1006">
        <f t="shared" si="2"/>
        <v>6</v>
      </c>
      <c r="D55" s="2484" t="s">
        <v>78</v>
      </c>
      <c r="E55" s="2486">
        <f t="shared" si="3"/>
        <v>2850</v>
      </c>
      <c r="F55" s="374">
        <f>+$I$1</f>
        <v>0.85</v>
      </c>
      <c r="G55" s="374">
        <f>ROUNDUP(E55/F55,-1)</f>
        <v>3360</v>
      </c>
      <c r="H55" s="2529">
        <f>C55*G55</f>
        <v>20160</v>
      </c>
      <c r="J55" s="1219"/>
    </row>
    <row r="56" spans="1:10" s="12" customFormat="1" ht="15.6" x14ac:dyDescent="0.25">
      <c r="A56" s="1900"/>
      <c r="B56" s="1007"/>
      <c r="C56" s="1006"/>
      <c r="D56" s="2484"/>
      <c r="E56" s="2486"/>
      <c r="F56" s="2216"/>
      <c r="G56" s="2216"/>
      <c r="H56" s="2485"/>
      <c r="J56" s="1219"/>
    </row>
    <row r="57" spans="1:10" s="12" customFormat="1" ht="15.6" x14ac:dyDescent="0.25">
      <c r="A57" s="1900"/>
      <c r="B57" s="1007"/>
      <c r="C57" s="1006"/>
      <c r="D57" s="2484"/>
      <c r="E57" s="2486"/>
      <c r="F57" s="2216"/>
      <c r="G57" s="2216"/>
      <c r="H57" s="2485"/>
      <c r="J57" s="1219"/>
    </row>
    <row r="58" spans="1:10" s="12" customFormat="1" ht="15.6" x14ac:dyDescent="0.25">
      <c r="A58" s="1900"/>
      <c r="B58" s="1007"/>
      <c r="C58" s="1006"/>
      <c r="D58" s="2484"/>
      <c r="E58" s="2486"/>
      <c r="F58" s="2216"/>
      <c r="G58" s="2216"/>
      <c r="H58" s="2485"/>
      <c r="J58" s="1219"/>
    </row>
    <row r="59" spans="1:10" s="12" customFormat="1" ht="16.2" thickBot="1" x14ac:dyDescent="0.3">
      <c r="A59" s="2606"/>
      <c r="B59" s="2607"/>
      <c r="C59" s="2608"/>
      <c r="D59" s="2609"/>
      <c r="E59" s="2610"/>
      <c r="F59" s="2611"/>
      <c r="G59" s="2611"/>
      <c r="H59" s="2612"/>
      <c r="J59" s="1219"/>
    </row>
    <row r="60" spans="1:10" s="12" customFormat="1" ht="63" thickTop="1" x14ac:dyDescent="0.25">
      <c r="A60" s="2599" t="s">
        <v>256</v>
      </c>
      <c r="B60" s="2613" t="s">
        <v>2606</v>
      </c>
      <c r="C60" s="2601"/>
      <c r="D60" s="2602"/>
      <c r="E60" s="2603"/>
      <c r="F60" s="2604"/>
      <c r="G60" s="2604"/>
      <c r="H60" s="2605"/>
      <c r="J60" s="1219"/>
    </row>
    <row r="61" spans="1:10" s="12" customFormat="1" ht="15.6" x14ac:dyDescent="0.25">
      <c r="A61" s="1900"/>
      <c r="B61" s="1007" t="s">
        <v>884</v>
      </c>
      <c r="C61" s="1006">
        <v>1</v>
      </c>
      <c r="D61" s="2484" t="s">
        <v>78</v>
      </c>
      <c r="E61" s="2486">
        <f>2500+300</f>
        <v>2800</v>
      </c>
      <c r="F61" s="374">
        <f t="shared" ref="F61:F63" si="4">+$I$1</f>
        <v>0.85</v>
      </c>
      <c r="G61" s="374">
        <f>ROUNDUP(E61/F61,-1)</f>
        <v>3300</v>
      </c>
      <c r="H61" s="2529">
        <f>C61*G61</f>
        <v>3300</v>
      </c>
      <c r="J61" s="1219"/>
    </row>
    <row r="62" spans="1:10" s="12" customFormat="1" ht="15.6" x14ac:dyDescent="0.25">
      <c r="A62" s="1900"/>
      <c r="B62" s="1007" t="s">
        <v>885</v>
      </c>
      <c r="C62" s="1006">
        <v>3</v>
      </c>
      <c r="D62" s="2484" t="s">
        <v>78</v>
      </c>
      <c r="E62" s="2486">
        <f t="shared" ref="E62:E63" si="5">2500+300</f>
        <v>2800</v>
      </c>
      <c r="F62" s="374">
        <f t="shared" si="4"/>
        <v>0.85</v>
      </c>
      <c r="G62" s="374">
        <f t="shared" ref="G62:G63" si="6">ROUNDUP(E62/F62,-1)</f>
        <v>3300</v>
      </c>
      <c r="H62" s="2529">
        <f t="shared" ref="H62:H63" si="7">C62*G62</f>
        <v>9900</v>
      </c>
      <c r="J62" s="1219"/>
    </row>
    <row r="63" spans="1:10" s="12" customFormat="1" ht="15.6" x14ac:dyDescent="0.25">
      <c r="A63" s="1900"/>
      <c r="B63" s="1007" t="s">
        <v>878</v>
      </c>
      <c r="C63" s="1006">
        <v>2</v>
      </c>
      <c r="D63" s="2484" t="s">
        <v>78</v>
      </c>
      <c r="E63" s="2486">
        <f t="shared" si="5"/>
        <v>2800</v>
      </c>
      <c r="F63" s="374">
        <f t="shared" si="4"/>
        <v>0.85</v>
      </c>
      <c r="G63" s="374">
        <f t="shared" si="6"/>
        <v>3300</v>
      </c>
      <c r="H63" s="2529">
        <f t="shared" si="7"/>
        <v>6600</v>
      </c>
      <c r="J63" s="1219"/>
    </row>
    <row r="64" spans="1:10" s="12" customFormat="1" ht="15.6" x14ac:dyDescent="0.25">
      <c r="A64" s="1900"/>
      <c r="B64" s="1007"/>
      <c r="C64" s="1006"/>
      <c r="D64" s="2484"/>
      <c r="E64" s="2486"/>
      <c r="F64" s="2216"/>
      <c r="G64" s="2216"/>
      <c r="H64" s="2485"/>
      <c r="J64" s="1219"/>
    </row>
    <row r="65" spans="1:10" s="12" customFormat="1" ht="62.4" x14ac:dyDescent="0.25">
      <c r="A65" s="1900" t="s">
        <v>257</v>
      </c>
      <c r="B65" s="1007" t="s">
        <v>2607</v>
      </c>
      <c r="C65" s="1006"/>
      <c r="D65" s="2484"/>
      <c r="E65" s="2486"/>
      <c r="F65" s="2216"/>
      <c r="G65" s="2216"/>
      <c r="H65" s="2485"/>
      <c r="J65" s="1219"/>
    </row>
    <row r="66" spans="1:10" s="12" customFormat="1" ht="15.6" x14ac:dyDescent="0.25">
      <c r="A66" s="1900"/>
      <c r="B66" s="1007" t="s">
        <v>884</v>
      </c>
      <c r="C66" s="1006">
        <v>1</v>
      </c>
      <c r="D66" s="2484" t="s">
        <v>78</v>
      </c>
      <c r="E66" s="2486">
        <f>3000+450</f>
        <v>3450</v>
      </c>
      <c r="F66" s="374">
        <f t="shared" ref="F66:F68" si="8">+$I$1</f>
        <v>0.85</v>
      </c>
      <c r="G66" s="374">
        <f t="shared" ref="G66:G68" si="9">ROUNDUP(E66/F66,-1)</f>
        <v>4060</v>
      </c>
      <c r="H66" s="2529">
        <f>C66*G66</f>
        <v>4060</v>
      </c>
      <c r="J66" s="1219"/>
    </row>
    <row r="67" spans="1:10" s="12" customFormat="1" ht="15.6" x14ac:dyDescent="0.25">
      <c r="A67" s="1900"/>
      <c r="B67" s="1007" t="s">
        <v>885</v>
      </c>
      <c r="C67" s="1006">
        <v>3</v>
      </c>
      <c r="D67" s="2484" t="s">
        <v>78</v>
      </c>
      <c r="E67" s="2486">
        <f t="shared" ref="E67:E68" si="10">3000+450</f>
        <v>3450</v>
      </c>
      <c r="F67" s="374">
        <f t="shared" si="8"/>
        <v>0.85</v>
      </c>
      <c r="G67" s="374">
        <f t="shared" si="9"/>
        <v>4060</v>
      </c>
      <c r="H67" s="2529">
        <f t="shared" ref="H67:H68" si="11">C67*G67</f>
        <v>12180</v>
      </c>
      <c r="J67" s="1219"/>
    </row>
    <row r="68" spans="1:10" s="12" customFormat="1" ht="15.6" x14ac:dyDescent="0.25">
      <c r="A68" s="1900"/>
      <c r="B68" s="1007" t="s">
        <v>878</v>
      </c>
      <c r="C68" s="1006">
        <v>2</v>
      </c>
      <c r="D68" s="2484" t="s">
        <v>78</v>
      </c>
      <c r="E68" s="2486">
        <f t="shared" si="10"/>
        <v>3450</v>
      </c>
      <c r="F68" s="374">
        <f t="shared" si="8"/>
        <v>0.85</v>
      </c>
      <c r="G68" s="374">
        <f t="shared" si="9"/>
        <v>4060</v>
      </c>
      <c r="H68" s="2529">
        <f t="shared" si="11"/>
        <v>8120</v>
      </c>
      <c r="J68" s="1219"/>
    </row>
    <row r="69" spans="1:10" s="12" customFormat="1" ht="15.6" x14ac:dyDescent="0.25">
      <c r="A69" s="1900"/>
      <c r="B69" s="1007"/>
      <c r="C69" s="1006"/>
      <c r="D69" s="2484"/>
      <c r="E69" s="2486"/>
      <c r="F69" s="2216"/>
      <c r="G69" s="2216"/>
      <c r="H69" s="2485"/>
      <c r="J69" s="1219"/>
    </row>
    <row r="70" spans="1:10" s="12" customFormat="1" ht="62.4" x14ac:dyDescent="0.25">
      <c r="A70" s="1900" t="s">
        <v>257</v>
      </c>
      <c r="B70" s="1007" t="s">
        <v>3108</v>
      </c>
      <c r="C70" s="1006"/>
      <c r="D70" s="2484"/>
      <c r="E70" s="2486"/>
      <c r="F70" s="2216"/>
      <c r="G70" s="2216"/>
      <c r="H70" s="2485"/>
      <c r="J70" s="1219"/>
    </row>
    <row r="71" spans="1:10" s="12" customFormat="1" ht="15.6" x14ac:dyDescent="0.25">
      <c r="A71" s="1900"/>
      <c r="B71" s="1007" t="s">
        <v>884</v>
      </c>
      <c r="C71" s="1006">
        <v>1</v>
      </c>
      <c r="D71" s="2484" t="s">
        <v>78</v>
      </c>
      <c r="E71" s="2486">
        <f>2500+450</f>
        <v>2950</v>
      </c>
      <c r="F71" s="374">
        <f t="shared" ref="F71:F73" si="12">+$I$1</f>
        <v>0.85</v>
      </c>
      <c r="G71" s="374">
        <f>ROUNDUP(E71/F71,-1)</f>
        <v>3480</v>
      </c>
      <c r="H71" s="2529">
        <f>C71*G71</f>
        <v>3480</v>
      </c>
      <c r="J71" s="1219"/>
    </row>
    <row r="72" spans="1:10" s="12" customFormat="1" ht="15.6" x14ac:dyDescent="0.25">
      <c r="A72" s="1900"/>
      <c r="B72" s="1007" t="s">
        <v>885</v>
      </c>
      <c r="C72" s="1006">
        <v>3</v>
      </c>
      <c r="D72" s="2484" t="s">
        <v>78</v>
      </c>
      <c r="E72" s="2486">
        <f>2500+450</f>
        <v>2950</v>
      </c>
      <c r="F72" s="374">
        <f t="shared" si="12"/>
        <v>0.85</v>
      </c>
      <c r="G72" s="374">
        <f>ROUNDUP(E72/F72,-1)</f>
        <v>3480</v>
      </c>
      <c r="H72" s="2529">
        <f>C72*G72</f>
        <v>10440</v>
      </c>
      <c r="J72" s="1219"/>
    </row>
    <row r="73" spans="1:10" s="12" customFormat="1" ht="15.6" x14ac:dyDescent="0.25">
      <c r="A73" s="1900"/>
      <c r="B73" s="1007" t="s">
        <v>878</v>
      </c>
      <c r="C73" s="1006">
        <v>2</v>
      </c>
      <c r="D73" s="2484" t="s">
        <v>78</v>
      </c>
      <c r="E73" s="2486">
        <f>2500+450</f>
        <v>2950</v>
      </c>
      <c r="F73" s="374">
        <f t="shared" si="12"/>
        <v>0.85</v>
      </c>
      <c r="G73" s="374">
        <f>ROUNDUP(E73/F73,-1)</f>
        <v>3480</v>
      </c>
      <c r="H73" s="2529">
        <f>C73*G73</f>
        <v>6960</v>
      </c>
      <c r="J73" s="1219"/>
    </row>
    <row r="74" spans="1:10" s="12" customFormat="1" ht="46.8" hidden="1" x14ac:dyDescent="0.25">
      <c r="A74" s="1900"/>
      <c r="B74" s="1089" t="s">
        <v>3189</v>
      </c>
      <c r="C74" s="1006"/>
      <c r="D74" s="2484"/>
      <c r="E74" s="2486"/>
      <c r="F74" s="2216"/>
      <c r="G74" s="2216"/>
      <c r="H74" s="2485"/>
      <c r="J74" s="1219"/>
    </row>
    <row r="75" spans="1:10" s="12" customFormat="1" ht="15.6" hidden="1" x14ac:dyDescent="0.25">
      <c r="A75" s="1900"/>
      <c r="B75" s="1007" t="s">
        <v>884</v>
      </c>
      <c r="C75" s="1006"/>
      <c r="D75" s="2484" t="s">
        <v>78</v>
      </c>
      <c r="E75" s="2486"/>
      <c r="F75" s="2216"/>
      <c r="G75" s="2216"/>
      <c r="H75" s="2485"/>
      <c r="J75" s="1219"/>
    </row>
    <row r="76" spans="1:10" s="12" customFormat="1" ht="15.6" x14ac:dyDescent="0.25">
      <c r="A76" s="1900"/>
      <c r="B76" s="1007"/>
      <c r="C76" s="1006"/>
      <c r="D76" s="2484"/>
      <c r="E76" s="2486"/>
      <c r="F76" s="2216"/>
      <c r="G76" s="2216"/>
      <c r="H76" s="2485"/>
      <c r="J76" s="1219"/>
    </row>
    <row r="77" spans="1:10" s="12" customFormat="1" ht="46.8" x14ac:dyDescent="0.25">
      <c r="A77" s="1900" t="s">
        <v>259</v>
      </c>
      <c r="B77" s="1089" t="s">
        <v>3188</v>
      </c>
      <c r="C77" s="1006"/>
      <c r="D77" s="2484"/>
      <c r="E77" s="2486"/>
      <c r="F77" s="2216"/>
      <c r="G77" s="2216"/>
      <c r="H77" s="2485"/>
      <c r="J77" s="1219"/>
    </row>
    <row r="78" spans="1:10" s="12" customFormat="1" ht="15.6" x14ac:dyDescent="0.25">
      <c r="A78" s="1900"/>
      <c r="B78" s="1007" t="s">
        <v>884</v>
      </c>
      <c r="C78" s="1006">
        <v>1</v>
      </c>
      <c r="D78" s="2484" t="s">
        <v>78</v>
      </c>
      <c r="E78" s="2486">
        <f>5000+300</f>
        <v>5300</v>
      </c>
      <c r="F78" s="374">
        <f t="shared" ref="F78:F80" si="13">+$I$1</f>
        <v>0.85</v>
      </c>
      <c r="G78" s="374">
        <f t="shared" ref="G78:G80" si="14">ROUNDUP(E78/F78,-1)</f>
        <v>6240</v>
      </c>
      <c r="H78" s="2529">
        <f t="shared" ref="H78:H80" si="15">C78*G78</f>
        <v>6240</v>
      </c>
      <c r="J78" s="1219"/>
    </row>
    <row r="79" spans="1:10" s="12" customFormat="1" ht="15.6" x14ac:dyDescent="0.25">
      <c r="A79" s="1900"/>
      <c r="B79" s="1007" t="s">
        <v>885</v>
      </c>
      <c r="C79" s="1006">
        <v>3</v>
      </c>
      <c r="D79" s="2484" t="s">
        <v>78</v>
      </c>
      <c r="E79" s="2486">
        <f t="shared" ref="E79:E80" si="16">5000+300</f>
        <v>5300</v>
      </c>
      <c r="F79" s="374">
        <f t="shared" si="13"/>
        <v>0.85</v>
      </c>
      <c r="G79" s="374">
        <f t="shared" si="14"/>
        <v>6240</v>
      </c>
      <c r="H79" s="2529">
        <f t="shared" si="15"/>
        <v>18720</v>
      </c>
      <c r="J79" s="1219"/>
    </row>
    <row r="80" spans="1:10" s="12" customFormat="1" ht="15.6" x14ac:dyDescent="0.25">
      <c r="A80" s="1900"/>
      <c r="B80" s="1007" t="s">
        <v>878</v>
      </c>
      <c r="C80" s="1006">
        <v>2</v>
      </c>
      <c r="D80" s="2484" t="s">
        <v>78</v>
      </c>
      <c r="E80" s="2486">
        <f t="shared" si="16"/>
        <v>5300</v>
      </c>
      <c r="F80" s="374">
        <f t="shared" si="13"/>
        <v>0.85</v>
      </c>
      <c r="G80" s="374">
        <f t="shared" si="14"/>
        <v>6240</v>
      </c>
      <c r="H80" s="2529">
        <f t="shared" si="15"/>
        <v>12480</v>
      </c>
      <c r="J80" s="1219"/>
    </row>
    <row r="81" spans="1:10" s="12" customFormat="1" ht="15.6" x14ac:dyDescent="0.25">
      <c r="A81" s="1900"/>
      <c r="B81" s="1007"/>
      <c r="C81" s="1006"/>
      <c r="D81" s="2484"/>
      <c r="E81" s="2486"/>
      <c r="F81" s="2216"/>
      <c r="G81" s="2216"/>
      <c r="H81" s="2485"/>
      <c r="J81" s="1219"/>
    </row>
    <row r="82" spans="1:10" s="12" customFormat="1" ht="46.8" hidden="1" x14ac:dyDescent="0.25">
      <c r="A82" s="1900" t="s">
        <v>260</v>
      </c>
      <c r="B82" s="1007" t="s">
        <v>2499</v>
      </c>
      <c r="C82" s="1006"/>
      <c r="D82" s="2484"/>
      <c r="E82" s="2486"/>
      <c r="F82" s="2216"/>
      <c r="G82" s="2216"/>
      <c r="H82" s="2485"/>
      <c r="J82" s="1219"/>
    </row>
    <row r="83" spans="1:10" s="12" customFormat="1" ht="15.6" hidden="1" x14ac:dyDescent="0.25">
      <c r="A83" s="1900"/>
      <c r="B83" s="1007" t="s">
        <v>884</v>
      </c>
      <c r="C83" s="1006"/>
      <c r="D83" s="2484" t="s">
        <v>78</v>
      </c>
      <c r="E83" s="2486"/>
      <c r="F83" s="2216"/>
      <c r="G83" s="2216"/>
      <c r="H83" s="2485"/>
      <c r="J83" s="1219"/>
    </row>
    <row r="84" spans="1:10" s="12" customFormat="1" ht="15.6" hidden="1" x14ac:dyDescent="0.25">
      <c r="A84" s="1900"/>
      <c r="B84" s="1007" t="s">
        <v>885</v>
      </c>
      <c r="C84" s="1006"/>
      <c r="D84" s="2484" t="s">
        <v>78</v>
      </c>
      <c r="E84" s="2486"/>
      <c r="F84" s="2216"/>
      <c r="G84" s="2216"/>
      <c r="H84" s="2485"/>
      <c r="J84" s="1219"/>
    </row>
    <row r="85" spans="1:10" s="12" customFormat="1" ht="15.6" hidden="1" x14ac:dyDescent="0.25">
      <c r="A85" s="1900"/>
      <c r="B85" s="1007" t="s">
        <v>2584</v>
      </c>
      <c r="C85" s="1006"/>
      <c r="D85" s="2484" t="s">
        <v>78</v>
      </c>
      <c r="E85" s="2486"/>
      <c r="F85" s="2216"/>
      <c r="G85" s="2216"/>
      <c r="H85" s="2485"/>
      <c r="J85" s="1219"/>
    </row>
    <row r="86" spans="1:10" s="12" customFormat="1" ht="15.6" hidden="1" x14ac:dyDescent="0.25">
      <c r="A86" s="1900"/>
      <c r="B86" s="1007" t="s">
        <v>2585</v>
      </c>
      <c r="C86" s="1006"/>
      <c r="D86" s="2484" t="s">
        <v>78</v>
      </c>
      <c r="E86" s="2486"/>
      <c r="F86" s="2216"/>
      <c r="G86" s="2216"/>
      <c r="H86" s="2485"/>
      <c r="J86" s="1219"/>
    </row>
    <row r="87" spans="1:10" s="12" customFormat="1" ht="15.6" hidden="1" x14ac:dyDescent="0.25">
      <c r="A87" s="1900"/>
      <c r="B87" s="1007"/>
      <c r="C87" s="1006"/>
      <c r="D87" s="2484"/>
      <c r="E87" s="2486"/>
      <c r="F87" s="2216"/>
      <c r="G87" s="2216"/>
      <c r="H87" s="2485"/>
      <c r="J87" s="1219"/>
    </row>
    <row r="88" spans="1:10" s="12" customFormat="1" ht="62.4" x14ac:dyDescent="0.25">
      <c r="A88" s="1900" t="s">
        <v>261</v>
      </c>
      <c r="B88" s="1007" t="s">
        <v>2608</v>
      </c>
      <c r="C88" s="1006"/>
      <c r="D88" s="2484"/>
      <c r="E88" s="2486"/>
      <c r="F88" s="2216"/>
      <c r="G88" s="2216"/>
      <c r="H88" s="2485"/>
      <c r="J88" s="1219"/>
    </row>
    <row r="89" spans="1:10" s="12" customFormat="1" ht="15.6" x14ac:dyDescent="0.25">
      <c r="A89" s="1900"/>
      <c r="B89" s="1007" t="s">
        <v>884</v>
      </c>
      <c r="C89" s="1006">
        <v>1</v>
      </c>
      <c r="D89" s="2484" t="s">
        <v>78</v>
      </c>
      <c r="E89" s="2486">
        <f>6000+400</f>
        <v>6400</v>
      </c>
      <c r="F89" s="374">
        <f t="shared" ref="F89:F91" si="17">+$I$1</f>
        <v>0.85</v>
      </c>
      <c r="G89" s="374">
        <f t="shared" ref="G89:G91" si="18">ROUNDUP(E89/F89,-1)</f>
        <v>7530</v>
      </c>
      <c r="H89" s="2529">
        <f t="shared" ref="H89:H91" si="19">C89*G89</f>
        <v>7530</v>
      </c>
      <c r="J89" s="1219"/>
    </row>
    <row r="90" spans="1:10" s="12" customFormat="1" ht="15.6" x14ac:dyDescent="0.25">
      <c r="A90" s="1900"/>
      <c r="B90" s="1007" t="s">
        <v>885</v>
      </c>
      <c r="C90" s="1006">
        <v>3</v>
      </c>
      <c r="D90" s="2484" t="s">
        <v>78</v>
      </c>
      <c r="E90" s="2486">
        <f t="shared" ref="E90:E91" si="20">6000+400</f>
        <v>6400</v>
      </c>
      <c r="F90" s="374">
        <f t="shared" si="17"/>
        <v>0.85</v>
      </c>
      <c r="G90" s="374">
        <f t="shared" si="18"/>
        <v>7530</v>
      </c>
      <c r="H90" s="2529">
        <f t="shared" si="19"/>
        <v>22590</v>
      </c>
      <c r="J90" s="1219"/>
    </row>
    <row r="91" spans="1:10" s="12" customFormat="1" ht="15.6" x14ac:dyDescent="0.25">
      <c r="A91" s="1900"/>
      <c r="B91" s="1007" t="s">
        <v>878</v>
      </c>
      <c r="C91" s="1006">
        <v>2</v>
      </c>
      <c r="D91" s="2484" t="s">
        <v>78</v>
      </c>
      <c r="E91" s="2486">
        <f t="shared" si="20"/>
        <v>6400</v>
      </c>
      <c r="F91" s="374">
        <f t="shared" si="17"/>
        <v>0.85</v>
      </c>
      <c r="G91" s="374">
        <f t="shared" si="18"/>
        <v>7530</v>
      </c>
      <c r="H91" s="2529">
        <f t="shared" si="19"/>
        <v>15060</v>
      </c>
      <c r="J91" s="1219"/>
    </row>
    <row r="92" spans="1:10" s="12" customFormat="1" ht="15.6" x14ac:dyDescent="0.25">
      <c r="A92" s="1900"/>
      <c r="B92" s="1007"/>
      <c r="C92" s="1006"/>
      <c r="D92" s="2484"/>
      <c r="E92" s="2486"/>
      <c r="F92" s="2216"/>
      <c r="G92" s="2216"/>
      <c r="H92" s="2485"/>
      <c r="J92" s="1219"/>
    </row>
    <row r="93" spans="1:10" s="12" customFormat="1" ht="46.8" x14ac:dyDescent="0.25">
      <c r="A93" s="1900" t="s">
        <v>1218</v>
      </c>
      <c r="B93" s="1007" t="s">
        <v>3190</v>
      </c>
      <c r="C93" s="1006"/>
      <c r="D93" s="2484"/>
      <c r="E93" s="2486"/>
      <c r="F93" s="2216"/>
      <c r="G93" s="2216"/>
      <c r="H93" s="2485"/>
      <c r="J93" s="1219"/>
    </row>
    <row r="94" spans="1:10" s="12" customFormat="1" ht="15.6" x14ac:dyDescent="0.25">
      <c r="A94" s="1900"/>
      <c r="B94" s="1007" t="s">
        <v>884</v>
      </c>
      <c r="C94" s="1006">
        <v>1</v>
      </c>
      <c r="D94" s="2484" t="s">
        <v>78</v>
      </c>
      <c r="E94" s="2486">
        <f>5000+400</f>
        <v>5400</v>
      </c>
      <c r="F94" s="374">
        <f t="shared" ref="F94:F96" si="21">+$I$1</f>
        <v>0.85</v>
      </c>
      <c r="G94" s="374">
        <f>ROUNDUP(E94/F94,-1)</f>
        <v>6360</v>
      </c>
      <c r="H94" s="2529">
        <f>C94*G94</f>
        <v>6360</v>
      </c>
      <c r="J94" s="1219"/>
    </row>
    <row r="95" spans="1:10" s="12" customFormat="1" ht="15.6" x14ac:dyDescent="0.25">
      <c r="A95" s="1900"/>
      <c r="B95" s="1007" t="s">
        <v>885</v>
      </c>
      <c r="C95" s="1006">
        <v>3</v>
      </c>
      <c r="D95" s="2484" t="s">
        <v>78</v>
      </c>
      <c r="E95" s="2486">
        <f t="shared" ref="E95:E96" si="22">5000+400</f>
        <v>5400</v>
      </c>
      <c r="F95" s="374">
        <f t="shared" si="21"/>
        <v>0.85</v>
      </c>
      <c r="G95" s="374">
        <f t="shared" ref="G95:G96" si="23">ROUNDUP(E95/F95,-1)</f>
        <v>6360</v>
      </c>
      <c r="H95" s="2529">
        <f t="shared" ref="H95:H96" si="24">C95*G95</f>
        <v>19080</v>
      </c>
      <c r="J95" s="1219"/>
    </row>
    <row r="96" spans="1:10" s="12" customFormat="1" ht="15.6" x14ac:dyDescent="0.25">
      <c r="A96" s="1900"/>
      <c r="B96" s="1007" t="s">
        <v>878</v>
      </c>
      <c r="C96" s="1006">
        <v>2</v>
      </c>
      <c r="D96" s="2484" t="s">
        <v>78</v>
      </c>
      <c r="E96" s="2486">
        <f t="shared" si="22"/>
        <v>5400</v>
      </c>
      <c r="F96" s="374">
        <f t="shared" si="21"/>
        <v>0.85</v>
      </c>
      <c r="G96" s="374">
        <f t="shared" si="23"/>
        <v>6360</v>
      </c>
      <c r="H96" s="2529">
        <f t="shared" si="24"/>
        <v>12720</v>
      </c>
      <c r="J96" s="1219"/>
    </row>
    <row r="97" spans="1:10" s="12" customFormat="1" ht="15.6" x14ac:dyDescent="0.25">
      <c r="A97" s="1900"/>
      <c r="B97" s="1007"/>
      <c r="C97" s="1006"/>
      <c r="D97" s="2484"/>
      <c r="E97" s="2486"/>
      <c r="F97" s="2216"/>
      <c r="G97" s="2216"/>
      <c r="H97" s="2485"/>
      <c r="J97" s="1219"/>
    </row>
    <row r="98" spans="1:10" s="12" customFormat="1" ht="15.6" x14ac:dyDescent="0.25">
      <c r="A98" s="1900"/>
      <c r="B98" s="1007"/>
      <c r="C98" s="1006"/>
      <c r="D98" s="2484"/>
      <c r="E98" s="2486"/>
      <c r="F98" s="2216"/>
      <c r="G98" s="2216"/>
      <c r="H98" s="2485"/>
      <c r="J98" s="1219"/>
    </row>
    <row r="99" spans="1:10" s="12" customFormat="1" ht="15.6" x14ac:dyDescent="0.25">
      <c r="A99" s="1900"/>
      <c r="B99" s="1007"/>
      <c r="C99" s="1006"/>
      <c r="D99" s="2484"/>
      <c r="E99" s="2486"/>
      <c r="F99" s="2216"/>
      <c r="G99" s="2216"/>
      <c r="H99" s="2485"/>
      <c r="J99" s="1219"/>
    </row>
    <row r="100" spans="1:10" s="12" customFormat="1" ht="16.2" thickBot="1" x14ac:dyDescent="0.3">
      <c r="A100" s="2606"/>
      <c r="B100" s="2607"/>
      <c r="C100" s="2608"/>
      <c r="D100" s="2609"/>
      <c r="E100" s="2610"/>
      <c r="F100" s="2611"/>
      <c r="G100" s="2611"/>
      <c r="H100" s="2612"/>
      <c r="J100" s="1219"/>
    </row>
    <row r="101" spans="1:10" s="12" customFormat="1" ht="16.2" thickTop="1" x14ac:dyDescent="0.25">
      <c r="A101" s="2599"/>
      <c r="B101" s="2600" t="s">
        <v>1219</v>
      </c>
      <c r="C101" s="2601"/>
      <c r="D101" s="2602"/>
      <c r="E101" s="2603"/>
      <c r="F101" s="2604"/>
      <c r="G101" s="2604"/>
      <c r="H101" s="2605"/>
      <c r="J101" s="1219"/>
    </row>
    <row r="102" spans="1:10" s="12" customFormat="1" ht="46.8" x14ac:dyDescent="0.25">
      <c r="A102" s="1900" t="s">
        <v>1220</v>
      </c>
      <c r="B102" s="1089" t="s">
        <v>2609</v>
      </c>
      <c r="C102" s="1006"/>
      <c r="D102" s="2484"/>
      <c r="E102" s="2486"/>
      <c r="F102" s="2216"/>
      <c r="G102" s="2216"/>
      <c r="H102" s="2485"/>
      <c r="J102" s="1219"/>
    </row>
    <row r="103" spans="1:10" s="12" customFormat="1" ht="15.6" x14ac:dyDescent="0.25">
      <c r="A103" s="1900"/>
      <c r="B103" s="1007" t="s">
        <v>884</v>
      </c>
      <c r="C103" s="1006">
        <v>1</v>
      </c>
      <c r="D103" s="2484" t="s">
        <v>78</v>
      </c>
      <c r="E103" s="2486">
        <f>3500+500</f>
        <v>4000</v>
      </c>
      <c r="F103" s="374">
        <f t="shared" ref="F103:F105" si="25">+$I$1</f>
        <v>0.85</v>
      </c>
      <c r="G103" s="374">
        <f>ROUNDUP(E103/F103,-1)</f>
        <v>4710</v>
      </c>
      <c r="H103" s="2529">
        <f>C103*G103</f>
        <v>4710</v>
      </c>
      <c r="J103" s="1219"/>
    </row>
    <row r="104" spans="1:10" s="12" customFormat="1" ht="15.6" x14ac:dyDescent="0.25">
      <c r="A104" s="1900"/>
      <c r="B104" s="1007" t="s">
        <v>885</v>
      </c>
      <c r="C104" s="1006">
        <v>3</v>
      </c>
      <c r="D104" s="2484" t="s">
        <v>78</v>
      </c>
      <c r="E104" s="2486">
        <f t="shared" ref="E104:E105" si="26">3500+500</f>
        <v>4000</v>
      </c>
      <c r="F104" s="374">
        <f t="shared" si="25"/>
        <v>0.85</v>
      </c>
      <c r="G104" s="374">
        <f t="shared" ref="G104:G105" si="27">ROUNDUP(E104/F104,-1)</f>
        <v>4710</v>
      </c>
      <c r="H104" s="2529">
        <f t="shared" ref="H104:H105" si="28">C104*G104</f>
        <v>14130</v>
      </c>
      <c r="J104" s="1219"/>
    </row>
    <row r="105" spans="1:10" s="12" customFormat="1" ht="15.6" x14ac:dyDescent="0.25">
      <c r="A105" s="1900"/>
      <c r="B105" s="1007" t="s">
        <v>878</v>
      </c>
      <c r="C105" s="1006">
        <v>2</v>
      </c>
      <c r="D105" s="2484" t="s">
        <v>78</v>
      </c>
      <c r="E105" s="2486">
        <f t="shared" si="26"/>
        <v>4000</v>
      </c>
      <c r="F105" s="374">
        <f t="shared" si="25"/>
        <v>0.85</v>
      </c>
      <c r="G105" s="374">
        <f t="shared" si="27"/>
        <v>4710</v>
      </c>
      <c r="H105" s="2529">
        <f t="shared" si="28"/>
        <v>9420</v>
      </c>
      <c r="J105" s="1219"/>
    </row>
    <row r="106" spans="1:10" s="12" customFormat="1" ht="15.6" x14ac:dyDescent="0.25">
      <c r="A106" s="1900"/>
      <c r="B106" s="1007"/>
      <c r="C106" s="1006"/>
      <c r="D106" s="2484"/>
      <c r="E106" s="2486"/>
      <c r="F106" s="2216"/>
      <c r="G106" s="2216"/>
      <c r="H106" s="2485"/>
      <c r="J106" s="1219"/>
    </row>
    <row r="107" spans="1:10" s="12" customFormat="1" ht="46.8" x14ac:dyDescent="0.25">
      <c r="A107" s="1900" t="s">
        <v>1220</v>
      </c>
      <c r="B107" s="1089" t="s">
        <v>3191</v>
      </c>
      <c r="C107" s="1006"/>
      <c r="D107" s="2484"/>
      <c r="E107" s="2486"/>
      <c r="F107" s="2216"/>
      <c r="G107" s="2216"/>
      <c r="H107" s="2485"/>
      <c r="J107" s="1219"/>
    </row>
    <row r="108" spans="1:10" s="12" customFormat="1" ht="15.6" x14ac:dyDescent="0.25">
      <c r="A108" s="1900"/>
      <c r="B108" s="1007" t="s">
        <v>884</v>
      </c>
      <c r="C108" s="1006">
        <v>1</v>
      </c>
      <c r="D108" s="2484" t="s">
        <v>78</v>
      </c>
      <c r="E108" s="2486">
        <f>3500+550</f>
        <v>4050</v>
      </c>
      <c r="F108" s="374">
        <f t="shared" ref="F108:F110" si="29">+$I$1</f>
        <v>0.85</v>
      </c>
      <c r="G108" s="374">
        <f>ROUNDUP(E108/F108,-1)</f>
        <v>4770</v>
      </c>
      <c r="H108" s="2529">
        <f>C108*G108</f>
        <v>4770</v>
      </c>
      <c r="J108" s="1219"/>
    </row>
    <row r="109" spans="1:10" s="12" customFormat="1" ht="15.6" x14ac:dyDescent="0.25">
      <c r="A109" s="1900"/>
      <c r="B109" s="1007" t="s">
        <v>885</v>
      </c>
      <c r="C109" s="1006">
        <v>3</v>
      </c>
      <c r="D109" s="2484" t="s">
        <v>78</v>
      </c>
      <c r="E109" s="2486">
        <f t="shared" ref="E109:E110" si="30">3500+550</f>
        <v>4050</v>
      </c>
      <c r="F109" s="374">
        <f t="shared" si="29"/>
        <v>0.85</v>
      </c>
      <c r="G109" s="374">
        <f t="shared" ref="G109:G110" si="31">ROUNDUP(E109/F109,-1)</f>
        <v>4770</v>
      </c>
      <c r="H109" s="2529">
        <f t="shared" ref="H109" si="32">C109*G109</f>
        <v>14310</v>
      </c>
      <c r="J109" s="1219"/>
    </row>
    <row r="110" spans="1:10" s="12" customFormat="1" ht="15.6" x14ac:dyDescent="0.25">
      <c r="A110" s="1900"/>
      <c r="B110" s="1007" t="s">
        <v>878</v>
      </c>
      <c r="C110" s="1006">
        <v>2</v>
      </c>
      <c r="D110" s="2484" t="s">
        <v>78</v>
      </c>
      <c r="E110" s="2486">
        <f t="shared" si="30"/>
        <v>4050</v>
      </c>
      <c r="F110" s="374">
        <f t="shared" si="29"/>
        <v>0.85</v>
      </c>
      <c r="G110" s="374">
        <f t="shared" si="31"/>
        <v>4770</v>
      </c>
      <c r="H110" s="2529">
        <f>C110*G110</f>
        <v>9540</v>
      </c>
      <c r="J110" s="1219"/>
    </row>
    <row r="111" spans="1:10" s="12" customFormat="1" ht="15.6" x14ac:dyDescent="0.25">
      <c r="A111" s="1900"/>
      <c r="B111" s="1007"/>
      <c r="C111" s="1006"/>
      <c r="D111" s="2484"/>
      <c r="E111" s="2486"/>
      <c r="F111" s="2216"/>
      <c r="G111" s="2216"/>
      <c r="H111" s="2485"/>
      <c r="J111" s="1219"/>
    </row>
    <row r="112" spans="1:10" s="12" customFormat="1" ht="62.4" x14ac:dyDescent="0.25">
      <c r="A112" s="1900" t="s">
        <v>1221</v>
      </c>
      <c r="B112" s="1007" t="s">
        <v>2610</v>
      </c>
      <c r="C112" s="1006"/>
      <c r="D112" s="2484"/>
      <c r="E112" s="2486"/>
      <c r="F112" s="2216"/>
      <c r="G112" s="2216"/>
      <c r="H112" s="2485"/>
      <c r="J112" s="1219"/>
    </row>
    <row r="113" spans="1:10" s="12" customFormat="1" ht="15.6" x14ac:dyDescent="0.25">
      <c r="A113" s="1900"/>
      <c r="B113" s="1007" t="s">
        <v>884</v>
      </c>
      <c r="C113" s="1006">
        <v>1</v>
      </c>
      <c r="D113" s="2484" t="s">
        <v>78</v>
      </c>
      <c r="E113" s="2486">
        <f>3500+500</f>
        <v>4000</v>
      </c>
      <c r="F113" s="374">
        <f t="shared" ref="F113:F115" si="33">+$I$1</f>
        <v>0.85</v>
      </c>
      <c r="G113" s="374">
        <f>ROUNDUP(E113/F113,-1)</f>
        <v>4710</v>
      </c>
      <c r="H113" s="2529">
        <f>C113*G113</f>
        <v>4710</v>
      </c>
      <c r="J113" s="1219"/>
    </row>
    <row r="114" spans="1:10" s="12" customFormat="1" ht="15.6" x14ac:dyDescent="0.25">
      <c r="A114" s="1900"/>
      <c r="B114" s="1007" t="s">
        <v>885</v>
      </c>
      <c r="C114" s="1006">
        <v>3</v>
      </c>
      <c r="D114" s="2484" t="s">
        <v>78</v>
      </c>
      <c r="E114" s="2486">
        <f t="shared" ref="E114:E115" si="34">3500+500</f>
        <v>4000</v>
      </c>
      <c r="F114" s="374">
        <f t="shared" si="33"/>
        <v>0.85</v>
      </c>
      <c r="G114" s="374">
        <f t="shared" ref="G114:G115" si="35">ROUNDUP(E114/F114,-1)</f>
        <v>4710</v>
      </c>
      <c r="H114" s="2529">
        <f>C114*G114</f>
        <v>14130</v>
      </c>
      <c r="J114" s="1219"/>
    </row>
    <row r="115" spans="1:10" s="12" customFormat="1" ht="15.6" x14ac:dyDescent="0.25">
      <c r="A115" s="1900"/>
      <c r="B115" s="1007" t="s">
        <v>878</v>
      </c>
      <c r="C115" s="1006">
        <v>2</v>
      </c>
      <c r="D115" s="2484" t="s">
        <v>78</v>
      </c>
      <c r="E115" s="2486">
        <f t="shared" si="34"/>
        <v>4000</v>
      </c>
      <c r="F115" s="374">
        <f t="shared" si="33"/>
        <v>0.85</v>
      </c>
      <c r="G115" s="374">
        <f t="shared" si="35"/>
        <v>4710</v>
      </c>
      <c r="H115" s="2529">
        <f>C115*G115</f>
        <v>9420</v>
      </c>
      <c r="J115" s="1219"/>
    </row>
    <row r="116" spans="1:10" s="12" customFormat="1" ht="15.6" x14ac:dyDescent="0.25">
      <c r="A116" s="1900"/>
      <c r="B116" s="1007"/>
      <c r="C116" s="1006"/>
      <c r="D116" s="2484"/>
      <c r="E116" s="2486"/>
      <c r="F116" s="2216"/>
      <c r="G116" s="2216"/>
      <c r="H116" s="2485"/>
      <c r="J116" s="1219"/>
    </row>
    <row r="117" spans="1:10" s="12" customFormat="1" ht="78" x14ac:dyDescent="0.25">
      <c r="A117" s="1900" t="s">
        <v>1223</v>
      </c>
      <c r="B117" s="1007" t="s">
        <v>2611</v>
      </c>
      <c r="C117" s="1006"/>
      <c r="D117" s="2484"/>
      <c r="E117" s="2486"/>
      <c r="F117" s="2216"/>
      <c r="G117" s="2216"/>
      <c r="H117" s="2485"/>
      <c r="J117" s="1219"/>
    </row>
    <row r="118" spans="1:10" s="12" customFormat="1" ht="15.6" x14ac:dyDescent="0.25">
      <c r="A118" s="1900"/>
      <c r="B118" s="1007" t="s">
        <v>884</v>
      </c>
      <c r="C118" s="1006">
        <v>1</v>
      </c>
      <c r="D118" s="2484" t="s">
        <v>78</v>
      </c>
      <c r="E118" s="2486">
        <f>8000+650</f>
        <v>8650</v>
      </c>
      <c r="F118" s="374">
        <f t="shared" ref="F118:F120" si="36">+$I$1</f>
        <v>0.85</v>
      </c>
      <c r="G118" s="374">
        <f>ROUNDUP(E118/F118,-1)</f>
        <v>10180</v>
      </c>
      <c r="H118" s="2529">
        <f>C118*G118</f>
        <v>10180</v>
      </c>
      <c r="J118" s="1219"/>
    </row>
    <row r="119" spans="1:10" s="12" customFormat="1" ht="15.6" x14ac:dyDescent="0.25">
      <c r="A119" s="1900"/>
      <c r="B119" s="1007" t="s">
        <v>885</v>
      </c>
      <c r="C119" s="1006">
        <v>3</v>
      </c>
      <c r="D119" s="2484" t="s">
        <v>78</v>
      </c>
      <c r="E119" s="2486">
        <f t="shared" ref="E119:E120" si="37">8000+650</f>
        <v>8650</v>
      </c>
      <c r="F119" s="374">
        <f t="shared" si="36"/>
        <v>0.85</v>
      </c>
      <c r="G119" s="374">
        <f t="shared" ref="G119:G120" si="38">ROUNDUP(E119/F119,-1)</f>
        <v>10180</v>
      </c>
      <c r="H119" s="2529">
        <f>C119*G119</f>
        <v>30540</v>
      </c>
      <c r="J119" s="1219"/>
    </row>
    <row r="120" spans="1:10" s="12" customFormat="1" ht="15.6" x14ac:dyDescent="0.25">
      <c r="A120" s="1900"/>
      <c r="B120" s="1007" t="s">
        <v>878</v>
      </c>
      <c r="C120" s="1006">
        <v>2</v>
      </c>
      <c r="D120" s="2484" t="s">
        <v>78</v>
      </c>
      <c r="E120" s="2486">
        <f t="shared" si="37"/>
        <v>8650</v>
      </c>
      <c r="F120" s="374">
        <f t="shared" si="36"/>
        <v>0.85</v>
      </c>
      <c r="G120" s="374">
        <f t="shared" si="38"/>
        <v>10180</v>
      </c>
      <c r="H120" s="2529">
        <f>C120*G120</f>
        <v>20360</v>
      </c>
      <c r="J120" s="1219"/>
    </row>
    <row r="121" spans="1:10" s="12" customFormat="1" ht="15.6" x14ac:dyDescent="0.25">
      <c r="A121" s="1900"/>
      <c r="B121" s="1007"/>
      <c r="C121" s="1006"/>
      <c r="D121" s="2484"/>
      <c r="E121" s="2486"/>
      <c r="F121" s="2216"/>
      <c r="G121" s="2216"/>
      <c r="H121" s="2485"/>
      <c r="J121" s="1219"/>
    </row>
    <row r="122" spans="1:10" s="12" customFormat="1" ht="62.4" x14ac:dyDescent="0.25">
      <c r="A122" s="1900" t="s">
        <v>1224</v>
      </c>
      <c r="B122" s="1007" t="s">
        <v>2612</v>
      </c>
      <c r="C122" s="1006"/>
      <c r="D122" s="2484"/>
      <c r="E122" s="2486"/>
      <c r="F122" s="2216"/>
      <c r="G122" s="2216"/>
      <c r="H122" s="2485"/>
      <c r="J122" s="1219"/>
    </row>
    <row r="123" spans="1:10" s="12" customFormat="1" ht="15.6" x14ac:dyDescent="0.25">
      <c r="A123" s="1900"/>
      <c r="B123" s="1007" t="s">
        <v>884</v>
      </c>
      <c r="C123" s="1006">
        <v>1</v>
      </c>
      <c r="D123" s="2484" t="s">
        <v>78</v>
      </c>
      <c r="E123" s="2486">
        <f>3000+550</f>
        <v>3550</v>
      </c>
      <c r="F123" s="374">
        <f t="shared" ref="F123:F125" si="39">+$I$1</f>
        <v>0.85</v>
      </c>
      <c r="G123" s="374">
        <f t="shared" ref="G123:G125" si="40">ROUNDUP(E123/F123,-1)</f>
        <v>4180</v>
      </c>
      <c r="H123" s="2529">
        <f>C123*G123</f>
        <v>4180</v>
      </c>
      <c r="J123" s="1219"/>
    </row>
    <row r="124" spans="1:10" s="12" customFormat="1" ht="15.6" x14ac:dyDescent="0.25">
      <c r="A124" s="1900"/>
      <c r="B124" s="1007" t="s">
        <v>885</v>
      </c>
      <c r="C124" s="1006">
        <v>3</v>
      </c>
      <c r="D124" s="2484" t="s">
        <v>78</v>
      </c>
      <c r="E124" s="2486">
        <f t="shared" ref="E124:E125" si="41">3000+550</f>
        <v>3550</v>
      </c>
      <c r="F124" s="374">
        <f t="shared" si="39"/>
        <v>0.85</v>
      </c>
      <c r="G124" s="374">
        <f t="shared" si="40"/>
        <v>4180</v>
      </c>
      <c r="H124" s="2529">
        <f t="shared" ref="H124" si="42">C124*G124</f>
        <v>12540</v>
      </c>
      <c r="J124" s="1219"/>
    </row>
    <row r="125" spans="1:10" s="12" customFormat="1" ht="15.6" x14ac:dyDescent="0.25">
      <c r="A125" s="1900"/>
      <c r="B125" s="1007" t="s">
        <v>878</v>
      </c>
      <c r="C125" s="1006">
        <v>2</v>
      </c>
      <c r="D125" s="2484" t="s">
        <v>78</v>
      </c>
      <c r="E125" s="2486">
        <f t="shared" si="41"/>
        <v>3550</v>
      </c>
      <c r="F125" s="374">
        <f t="shared" si="39"/>
        <v>0.85</v>
      </c>
      <c r="G125" s="374">
        <f t="shared" si="40"/>
        <v>4180</v>
      </c>
      <c r="H125" s="2529">
        <f>C125*G125</f>
        <v>8360</v>
      </c>
      <c r="J125" s="1219"/>
    </row>
    <row r="126" spans="1:10" s="12" customFormat="1" ht="15.6" hidden="1" x14ac:dyDescent="0.25">
      <c r="A126" s="1900"/>
      <c r="B126" s="377" t="s">
        <v>1225</v>
      </c>
      <c r="C126" s="1006"/>
      <c r="D126" s="2484"/>
      <c r="E126" s="2486"/>
      <c r="F126" s="2216"/>
      <c r="G126" s="2216"/>
      <c r="H126" s="2485"/>
      <c r="J126" s="1219"/>
    </row>
    <row r="127" spans="1:10" s="12" customFormat="1" ht="109.2" hidden="1" x14ac:dyDescent="0.25">
      <c r="A127" s="1900" t="s">
        <v>1226</v>
      </c>
      <c r="B127" s="1007" t="s">
        <v>2500</v>
      </c>
      <c r="C127" s="1006"/>
      <c r="D127" s="2484" t="s">
        <v>78</v>
      </c>
      <c r="E127" s="2486"/>
      <c r="F127" s="2216"/>
      <c r="G127" s="2216"/>
      <c r="H127" s="2485"/>
      <c r="J127" s="1219"/>
    </row>
    <row r="128" spans="1:10" s="12" customFormat="1" ht="15.6" hidden="1" x14ac:dyDescent="0.25">
      <c r="A128" s="1900"/>
      <c r="B128" s="1007"/>
      <c r="C128" s="1006"/>
      <c r="D128" s="2484"/>
      <c r="E128" s="2486"/>
      <c r="F128" s="2216"/>
      <c r="G128" s="2216"/>
      <c r="H128" s="2485"/>
      <c r="J128" s="1219"/>
    </row>
    <row r="129" spans="1:10" s="12" customFormat="1" ht="62.4" hidden="1" x14ac:dyDescent="0.25">
      <c r="A129" s="1900" t="s">
        <v>1227</v>
      </c>
      <c r="B129" s="1007" t="s">
        <v>2501</v>
      </c>
      <c r="C129" s="1006"/>
      <c r="D129" s="2484" t="s">
        <v>78</v>
      </c>
      <c r="E129" s="2486"/>
      <c r="F129" s="2216"/>
      <c r="G129" s="2216"/>
      <c r="H129" s="2485"/>
      <c r="J129" s="1219"/>
    </row>
    <row r="130" spans="1:10" s="12" customFormat="1" ht="15.6" hidden="1" x14ac:dyDescent="0.25">
      <c r="A130" s="1900"/>
      <c r="B130" s="1007"/>
      <c r="C130" s="1006"/>
      <c r="D130" s="2484"/>
      <c r="E130" s="2486"/>
      <c r="F130" s="2216"/>
      <c r="G130" s="2216"/>
      <c r="H130" s="2485"/>
      <c r="J130" s="1219"/>
    </row>
    <row r="131" spans="1:10" s="12" customFormat="1" ht="15.6" hidden="1" x14ac:dyDescent="0.25">
      <c r="A131" s="1900"/>
      <c r="B131" s="377" t="s">
        <v>262</v>
      </c>
      <c r="C131" s="1006"/>
      <c r="D131" s="2484"/>
      <c r="E131" s="2486"/>
      <c r="F131" s="2216"/>
      <c r="G131" s="2216"/>
      <c r="H131" s="2485"/>
      <c r="J131" s="1219"/>
    </row>
    <row r="132" spans="1:10" s="12" customFormat="1" ht="15.6" hidden="1" x14ac:dyDescent="0.25">
      <c r="A132" s="1900"/>
      <c r="B132" s="1007" t="s">
        <v>1228</v>
      </c>
      <c r="C132" s="1006"/>
      <c r="D132" s="2484"/>
      <c r="E132" s="2486"/>
      <c r="F132" s="2216"/>
      <c r="G132" s="2216"/>
      <c r="H132" s="2485"/>
      <c r="J132" s="1219"/>
    </row>
    <row r="133" spans="1:10" s="12" customFormat="1" ht="15.6" hidden="1" x14ac:dyDescent="0.25">
      <c r="A133" s="1900" t="s">
        <v>1229</v>
      </c>
      <c r="B133" s="1007" t="s">
        <v>1233</v>
      </c>
      <c r="C133" s="1006"/>
      <c r="D133" s="2484" t="s">
        <v>78</v>
      </c>
      <c r="E133" s="2486"/>
      <c r="F133" s="2216"/>
      <c r="G133" s="2216"/>
      <c r="H133" s="2485"/>
      <c r="J133" s="1219"/>
    </row>
    <row r="134" spans="1:10" s="12" customFormat="1" ht="15.6" hidden="1" x14ac:dyDescent="0.25">
      <c r="A134" s="1900"/>
      <c r="B134" s="1007"/>
      <c r="C134" s="1006"/>
      <c r="D134" s="2484"/>
      <c r="E134" s="2486"/>
      <c r="F134" s="2216"/>
      <c r="G134" s="2216"/>
      <c r="H134" s="2485"/>
      <c r="J134" s="1219"/>
    </row>
    <row r="135" spans="1:10" s="12" customFormat="1" ht="15.6" hidden="1" x14ac:dyDescent="0.25">
      <c r="A135" s="1900" t="s">
        <v>1230</v>
      </c>
      <c r="B135" s="1007" t="s">
        <v>1234</v>
      </c>
      <c r="C135" s="1006"/>
      <c r="D135" s="2484" t="s">
        <v>78</v>
      </c>
      <c r="E135" s="2486"/>
      <c r="F135" s="2216"/>
      <c r="G135" s="2216"/>
      <c r="H135" s="2485"/>
      <c r="J135" s="1219"/>
    </row>
    <row r="136" spans="1:10" s="12" customFormat="1" ht="15.6" hidden="1" x14ac:dyDescent="0.25">
      <c r="A136" s="1900"/>
      <c r="B136" s="1007"/>
      <c r="C136" s="1006"/>
      <c r="D136" s="2484"/>
      <c r="E136" s="2486"/>
      <c r="F136" s="2216"/>
      <c r="G136" s="2216"/>
      <c r="H136" s="2485"/>
      <c r="J136" s="1219"/>
    </row>
    <row r="137" spans="1:10" s="12" customFormat="1" ht="15.6" hidden="1" x14ac:dyDescent="0.25">
      <c r="A137" s="1900"/>
      <c r="B137" s="377" t="s">
        <v>1231</v>
      </c>
      <c r="C137" s="1006"/>
      <c r="D137" s="2484"/>
      <c r="E137" s="2486"/>
      <c r="F137" s="2216"/>
      <c r="G137" s="2216"/>
      <c r="H137" s="2485"/>
      <c r="J137" s="1219"/>
    </row>
    <row r="138" spans="1:10" s="12" customFormat="1" ht="15.6" hidden="1" x14ac:dyDescent="0.25">
      <c r="A138" s="1900" t="s">
        <v>1232</v>
      </c>
      <c r="B138" s="1007" t="s">
        <v>1235</v>
      </c>
      <c r="C138" s="1006"/>
      <c r="D138" s="2484" t="s">
        <v>78</v>
      </c>
      <c r="E138" s="2486"/>
      <c r="F138" s="2216"/>
      <c r="G138" s="2216"/>
      <c r="H138" s="2485"/>
      <c r="J138" s="1219"/>
    </row>
    <row r="139" spans="1:10" s="12" customFormat="1" ht="15.6" x14ac:dyDescent="0.25">
      <c r="A139" s="1900"/>
      <c r="B139" s="1007"/>
      <c r="C139" s="1006"/>
      <c r="D139" s="2484"/>
      <c r="E139" s="2486"/>
      <c r="F139" s="2216"/>
      <c r="G139" s="2216"/>
      <c r="H139" s="2485"/>
      <c r="J139" s="1219"/>
    </row>
    <row r="140" spans="1:10" s="12" customFormat="1" ht="15.6" x14ac:dyDescent="0.25">
      <c r="A140" s="1900"/>
      <c r="B140" s="1007"/>
      <c r="C140" s="1006"/>
      <c r="D140" s="2484"/>
      <c r="E140" s="2486"/>
      <c r="F140" s="2216"/>
      <c r="G140" s="2216"/>
      <c r="H140" s="2485"/>
      <c r="J140" s="1219"/>
    </row>
    <row r="141" spans="1:10" s="12" customFormat="1" ht="15.6" x14ac:dyDescent="0.25">
      <c r="A141" s="1900"/>
      <c r="B141" s="1007"/>
      <c r="C141" s="1006"/>
      <c r="D141" s="2484"/>
      <c r="E141" s="2486"/>
      <c r="F141" s="2216"/>
      <c r="G141" s="2216"/>
      <c r="H141" s="2485"/>
      <c r="J141" s="1219"/>
    </row>
    <row r="142" spans="1:10" s="12" customFormat="1" ht="15.6" x14ac:dyDescent="0.25">
      <c r="A142" s="1900"/>
      <c r="B142" s="1007"/>
      <c r="C142" s="1006"/>
      <c r="D142" s="2484"/>
      <c r="E142" s="2486"/>
      <c r="F142" s="2216"/>
      <c r="G142" s="2216"/>
      <c r="H142" s="2485"/>
      <c r="J142" s="1219"/>
    </row>
    <row r="143" spans="1:10" s="12" customFormat="1" ht="15.6" x14ac:dyDescent="0.25">
      <c r="A143" s="1900"/>
      <c r="B143" s="1007"/>
      <c r="C143" s="1006"/>
      <c r="D143" s="2484"/>
      <c r="E143" s="2486"/>
      <c r="F143" s="2216"/>
      <c r="G143" s="2216"/>
      <c r="H143" s="2485"/>
      <c r="J143" s="1219"/>
    </row>
    <row r="144" spans="1:10" s="12" customFormat="1" ht="15.6" x14ac:dyDescent="0.25">
      <c r="A144" s="1900"/>
      <c r="B144" s="1007"/>
      <c r="C144" s="1006"/>
      <c r="D144" s="2484"/>
      <c r="E144" s="2486"/>
      <c r="F144" s="2216"/>
      <c r="G144" s="2216"/>
      <c r="H144" s="2485"/>
      <c r="J144" s="1219"/>
    </row>
    <row r="145" spans="1:10" s="12" customFormat="1" ht="15.6" x14ac:dyDescent="0.25">
      <c r="A145" s="1900"/>
      <c r="B145" s="1007"/>
      <c r="C145" s="1006"/>
      <c r="D145" s="2484"/>
      <c r="E145" s="2486"/>
      <c r="F145" s="2216"/>
      <c r="G145" s="2216"/>
      <c r="H145" s="2485"/>
      <c r="J145" s="1219"/>
    </row>
    <row r="146" spans="1:10" s="12" customFormat="1" ht="16.2" thickBot="1" x14ac:dyDescent="0.3">
      <c r="A146" s="2606"/>
      <c r="B146" s="2607"/>
      <c r="C146" s="2608"/>
      <c r="D146" s="2609"/>
      <c r="E146" s="2610"/>
      <c r="F146" s="2611"/>
      <c r="G146" s="2611"/>
      <c r="H146" s="2612"/>
      <c r="J146" s="1219"/>
    </row>
    <row r="147" spans="1:10" s="12" customFormat="1" ht="16.2" thickTop="1" x14ac:dyDescent="0.25">
      <c r="A147" s="2599"/>
      <c r="B147" s="2600" t="s">
        <v>278</v>
      </c>
      <c r="C147" s="2601"/>
      <c r="D147" s="2602"/>
      <c r="E147" s="2603"/>
      <c r="F147" s="2604"/>
      <c r="G147" s="2604"/>
      <c r="H147" s="2605"/>
      <c r="J147" s="1219"/>
    </row>
    <row r="148" spans="1:10" s="12" customFormat="1" ht="31.2" x14ac:dyDescent="0.25">
      <c r="A148" s="1900"/>
      <c r="B148" s="399" t="s">
        <v>1280</v>
      </c>
      <c r="C148" s="1006"/>
      <c r="D148" s="2484"/>
      <c r="E148" s="2486"/>
      <c r="F148" s="2216"/>
      <c r="G148" s="2216"/>
      <c r="H148" s="2485"/>
      <c r="J148" s="1219"/>
    </row>
    <row r="149" spans="1:10" s="12" customFormat="1" ht="15.6" x14ac:dyDescent="0.25">
      <c r="A149" s="1900"/>
      <c r="B149" s="399"/>
      <c r="C149" s="1006"/>
      <c r="D149" s="2484"/>
      <c r="E149" s="2486"/>
      <c r="F149" s="2216"/>
      <c r="G149" s="2216"/>
      <c r="H149" s="2485"/>
      <c r="J149" s="1219"/>
    </row>
    <row r="150" spans="1:10" s="12" customFormat="1" ht="46.8" hidden="1" x14ac:dyDescent="0.25">
      <c r="A150" s="1900"/>
      <c r="B150" s="399" t="s">
        <v>1281</v>
      </c>
      <c r="C150" s="1006"/>
      <c r="D150" s="2484"/>
      <c r="E150" s="2486"/>
      <c r="F150" s="2216"/>
      <c r="G150" s="2216"/>
      <c r="H150" s="2485"/>
      <c r="J150" s="1219"/>
    </row>
    <row r="151" spans="1:10" s="12" customFormat="1" ht="15.6" hidden="1" x14ac:dyDescent="0.25">
      <c r="A151" s="1900"/>
      <c r="B151" s="399"/>
      <c r="C151" s="1006"/>
      <c r="D151" s="2484"/>
      <c r="E151" s="2486"/>
      <c r="F151" s="2216"/>
      <c r="G151" s="2216"/>
      <c r="H151" s="2485"/>
      <c r="J151" s="1219"/>
    </row>
    <row r="152" spans="1:10" s="12" customFormat="1" ht="62.4" x14ac:dyDescent="0.25">
      <c r="A152" s="1900"/>
      <c r="B152" s="399" t="s">
        <v>1282</v>
      </c>
      <c r="C152" s="1006"/>
      <c r="D152" s="2484"/>
      <c r="E152" s="2486"/>
      <c r="F152" s="2216"/>
      <c r="G152" s="2216"/>
      <c r="H152" s="2485"/>
      <c r="J152" s="1219"/>
    </row>
    <row r="153" spans="1:10" s="12" customFormat="1" ht="15.6" x14ac:dyDescent="0.25">
      <c r="A153" s="1900"/>
      <c r="B153" s="399"/>
      <c r="C153" s="1006"/>
      <c r="D153" s="2484"/>
      <c r="E153" s="2486"/>
      <c r="F153" s="2216"/>
      <c r="G153" s="2216"/>
      <c r="H153" s="2485"/>
      <c r="J153" s="1219"/>
    </row>
    <row r="154" spans="1:10" s="12" customFormat="1" ht="62.4" x14ac:dyDescent="0.25">
      <c r="A154" s="1900" t="s">
        <v>1237</v>
      </c>
      <c r="B154" s="1007" t="s">
        <v>2613</v>
      </c>
      <c r="C154" s="1006">
        <v>1</v>
      </c>
      <c r="D154" s="2484" t="s">
        <v>78</v>
      </c>
      <c r="E154" s="1070"/>
      <c r="F154" s="2218"/>
      <c r="G154" s="2218"/>
      <c r="H154" s="2485"/>
      <c r="J154" s="1219"/>
    </row>
    <row r="155" spans="1:10" s="12" customFormat="1" ht="15.6" x14ac:dyDescent="0.25">
      <c r="A155" s="1900"/>
      <c r="B155" s="1007"/>
      <c r="C155" s="1006"/>
      <c r="D155" s="2484"/>
      <c r="E155" s="2486"/>
      <c r="F155" s="2216"/>
      <c r="G155" s="2216"/>
      <c r="H155" s="2485"/>
      <c r="J155" s="1219"/>
    </row>
    <row r="156" spans="1:10" s="12" customFormat="1" ht="15.6" hidden="1" x14ac:dyDescent="0.25">
      <c r="A156" s="1900"/>
      <c r="B156" s="377" t="s">
        <v>1236</v>
      </c>
      <c r="C156" s="1006"/>
      <c r="D156" s="2484"/>
      <c r="E156" s="2486"/>
      <c r="F156" s="2216"/>
      <c r="G156" s="2216"/>
      <c r="H156" s="2485"/>
      <c r="J156" s="1219"/>
    </row>
    <row r="157" spans="1:10" s="12" customFormat="1" ht="62.4" hidden="1" x14ac:dyDescent="0.25">
      <c r="A157" s="1900"/>
      <c r="B157" s="1007" t="s">
        <v>2532</v>
      </c>
      <c r="C157" s="1006"/>
      <c r="D157" s="2484"/>
      <c r="E157" s="2486"/>
      <c r="F157" s="2216"/>
      <c r="G157" s="2216"/>
      <c r="H157" s="2485"/>
      <c r="J157" s="1219"/>
    </row>
    <row r="158" spans="1:10" s="12" customFormat="1" ht="15.6" hidden="1" x14ac:dyDescent="0.25">
      <c r="A158" s="1900"/>
      <c r="B158" s="1007"/>
      <c r="C158" s="1006"/>
      <c r="D158" s="2484"/>
      <c r="E158" s="2486"/>
      <c r="F158" s="2216"/>
      <c r="G158" s="2216"/>
      <c r="H158" s="2485"/>
      <c r="J158" s="1219"/>
    </row>
    <row r="159" spans="1:10" s="12" customFormat="1" ht="15.6" hidden="1" x14ac:dyDescent="0.25">
      <c r="A159" s="1900"/>
      <c r="B159" s="377" t="s">
        <v>285</v>
      </c>
      <c r="C159" s="1006"/>
      <c r="D159" s="2484"/>
      <c r="E159" s="2486"/>
      <c r="F159" s="2216"/>
      <c r="G159" s="2216"/>
      <c r="H159" s="2485"/>
      <c r="J159" s="1219"/>
    </row>
    <row r="160" spans="1:10" s="12" customFormat="1" ht="31.2" hidden="1" x14ac:dyDescent="0.25">
      <c r="A160" s="1900" t="s">
        <v>1239</v>
      </c>
      <c r="B160" s="1007" t="s">
        <v>1256</v>
      </c>
      <c r="C160" s="1006"/>
      <c r="D160" s="2484" t="s">
        <v>1238</v>
      </c>
      <c r="E160" s="1126"/>
      <c r="F160" s="2219"/>
      <c r="G160" s="2219"/>
      <c r="H160" s="2485"/>
      <c r="J160" s="1219"/>
    </row>
    <row r="161" spans="1:10" s="12" customFormat="1" ht="15.6" hidden="1" x14ac:dyDescent="0.25">
      <c r="A161" s="1900"/>
      <c r="B161" s="377"/>
      <c r="C161" s="1006"/>
      <c r="D161" s="2484"/>
      <c r="E161" s="1126"/>
      <c r="F161" s="2219"/>
      <c r="G161" s="2219"/>
      <c r="H161" s="2485"/>
      <c r="J161" s="1219"/>
    </row>
    <row r="162" spans="1:10" s="12" customFormat="1" ht="31.2" hidden="1" x14ac:dyDescent="0.25">
      <c r="A162" s="1900" t="s">
        <v>1240</v>
      </c>
      <c r="B162" s="1007" t="s">
        <v>1257</v>
      </c>
      <c r="C162" s="1006"/>
      <c r="D162" s="2484" t="s">
        <v>1238</v>
      </c>
      <c r="E162" s="1126"/>
      <c r="F162" s="2219"/>
      <c r="G162" s="2219"/>
      <c r="H162" s="2485"/>
      <c r="J162" s="1219"/>
    </row>
    <row r="163" spans="1:10" s="12" customFormat="1" ht="15.6" hidden="1" x14ac:dyDescent="0.25">
      <c r="A163" s="1900"/>
      <c r="B163" s="377"/>
      <c r="C163" s="1006"/>
      <c r="D163" s="2484"/>
      <c r="E163" s="1126"/>
      <c r="F163" s="2219"/>
      <c r="G163" s="2219"/>
      <c r="H163" s="2485"/>
      <c r="J163" s="1219"/>
    </row>
    <row r="164" spans="1:10" s="12" customFormat="1" ht="31.2" hidden="1" x14ac:dyDescent="0.25">
      <c r="A164" s="1900" t="s">
        <v>1241</v>
      </c>
      <c r="B164" s="1007" t="s">
        <v>1258</v>
      </c>
      <c r="C164" s="1006"/>
      <c r="D164" s="2484" t="s">
        <v>1238</v>
      </c>
      <c r="E164" s="1126"/>
      <c r="F164" s="2219"/>
      <c r="G164" s="2219"/>
      <c r="H164" s="2485"/>
      <c r="J164" s="1219"/>
    </row>
    <row r="165" spans="1:10" s="12" customFormat="1" ht="15.6" hidden="1" x14ac:dyDescent="0.25">
      <c r="A165" s="1900"/>
      <c r="B165" s="377"/>
      <c r="C165" s="1006"/>
      <c r="D165" s="2484"/>
      <c r="E165" s="1126"/>
      <c r="F165" s="2219"/>
      <c r="G165" s="2219"/>
      <c r="H165" s="2485"/>
      <c r="J165" s="1219"/>
    </row>
    <row r="166" spans="1:10" s="12" customFormat="1" ht="31.2" hidden="1" x14ac:dyDescent="0.25">
      <c r="A166" s="1900" t="s">
        <v>1242</v>
      </c>
      <c r="B166" s="1007" t="s">
        <v>1259</v>
      </c>
      <c r="C166" s="1006"/>
      <c r="D166" s="2484" t="s">
        <v>1238</v>
      </c>
      <c r="E166" s="1126"/>
      <c r="F166" s="2219"/>
      <c r="G166" s="2219"/>
      <c r="H166" s="2485"/>
      <c r="J166" s="1219"/>
    </row>
    <row r="167" spans="1:10" s="12" customFormat="1" ht="15.6" hidden="1" x14ac:dyDescent="0.25">
      <c r="A167" s="1900"/>
      <c r="B167" s="1007"/>
      <c r="C167" s="1006"/>
      <c r="D167" s="2484"/>
      <c r="E167" s="1126"/>
      <c r="F167" s="2219"/>
      <c r="G167" s="2219"/>
      <c r="H167" s="2485"/>
      <c r="J167" s="1219"/>
    </row>
    <row r="168" spans="1:10" s="12" customFormat="1" ht="31.2" hidden="1" x14ac:dyDescent="0.25">
      <c r="A168" s="1900" t="s">
        <v>1243</v>
      </c>
      <c r="B168" s="1007" t="s">
        <v>1260</v>
      </c>
      <c r="C168" s="1006"/>
      <c r="D168" s="2484" t="s">
        <v>1238</v>
      </c>
      <c r="E168" s="1126"/>
      <c r="F168" s="2219"/>
      <c r="G168" s="2219"/>
      <c r="H168" s="2485"/>
      <c r="J168" s="1219"/>
    </row>
    <row r="169" spans="1:10" s="12" customFormat="1" ht="15.6" hidden="1" x14ac:dyDescent="0.25">
      <c r="A169" s="1900"/>
      <c r="B169" s="377"/>
      <c r="C169" s="1006"/>
      <c r="D169" s="2484"/>
      <c r="E169" s="1126"/>
      <c r="F169" s="2219"/>
      <c r="G169" s="2219"/>
      <c r="H169" s="2485"/>
      <c r="J169" s="1219"/>
    </row>
    <row r="170" spans="1:10" s="12" customFormat="1" ht="31.2" hidden="1" x14ac:dyDescent="0.25">
      <c r="A170" s="1900" t="s">
        <v>1244</v>
      </c>
      <c r="B170" s="1007" t="s">
        <v>1261</v>
      </c>
      <c r="C170" s="1006"/>
      <c r="D170" s="2484" t="s">
        <v>1238</v>
      </c>
      <c r="E170" s="1126"/>
      <c r="F170" s="2219"/>
      <c r="G170" s="2219"/>
      <c r="H170" s="2485"/>
      <c r="J170" s="1219"/>
    </row>
    <row r="171" spans="1:10" s="12" customFormat="1" ht="15.6" hidden="1" x14ac:dyDescent="0.25">
      <c r="A171" s="1900"/>
      <c r="B171" s="377"/>
      <c r="C171" s="1006"/>
      <c r="D171" s="2484"/>
      <c r="E171" s="1126"/>
      <c r="F171" s="2219"/>
      <c r="G171" s="2219"/>
      <c r="H171" s="2485"/>
      <c r="J171" s="1219"/>
    </row>
    <row r="172" spans="1:10" s="12" customFormat="1" ht="15.6" hidden="1" x14ac:dyDescent="0.25">
      <c r="A172" s="1900"/>
      <c r="B172" s="377" t="s">
        <v>1245</v>
      </c>
      <c r="C172" s="1006"/>
      <c r="D172" s="2484"/>
      <c r="E172" s="1126"/>
      <c r="F172" s="2219"/>
      <c r="G172" s="2219"/>
      <c r="H172" s="2485"/>
      <c r="J172" s="1219"/>
    </row>
    <row r="173" spans="1:10" s="12" customFormat="1" ht="31.2" hidden="1" x14ac:dyDescent="0.25">
      <c r="A173" s="1900" t="s">
        <v>1246</v>
      </c>
      <c r="B173" s="1007" t="s">
        <v>1262</v>
      </c>
      <c r="C173" s="1006"/>
      <c r="D173" s="2484" t="s">
        <v>167</v>
      </c>
      <c r="E173" s="1126"/>
      <c r="F173" s="2219"/>
      <c r="G173" s="2219"/>
      <c r="H173" s="2485"/>
      <c r="J173" s="1219"/>
    </row>
    <row r="174" spans="1:10" s="12" customFormat="1" ht="15.6" hidden="1" x14ac:dyDescent="0.25">
      <c r="A174" s="1900"/>
      <c r="B174" s="377"/>
      <c r="C174" s="1006"/>
      <c r="D174" s="2484"/>
      <c r="E174" s="1126"/>
      <c r="F174" s="2219"/>
      <c r="G174" s="2219"/>
      <c r="H174" s="2485"/>
      <c r="J174" s="1219"/>
    </row>
    <row r="175" spans="1:10" s="12" customFormat="1" ht="31.2" hidden="1" x14ac:dyDescent="0.25">
      <c r="A175" s="1900" t="s">
        <v>1247</v>
      </c>
      <c r="B175" s="1007" t="s">
        <v>1263</v>
      </c>
      <c r="C175" s="1006"/>
      <c r="D175" s="2484" t="s">
        <v>167</v>
      </c>
      <c r="E175" s="1126"/>
      <c r="F175" s="2219"/>
      <c r="G175" s="2219"/>
      <c r="H175" s="2485"/>
      <c r="J175" s="1219"/>
    </row>
    <row r="176" spans="1:10" s="12" customFormat="1" ht="15.6" hidden="1" x14ac:dyDescent="0.25">
      <c r="A176" s="1900"/>
      <c r="B176" s="377"/>
      <c r="C176" s="1006"/>
      <c r="D176" s="2484"/>
      <c r="E176" s="1126"/>
      <c r="F176" s="2219"/>
      <c r="G176" s="2219"/>
      <c r="H176" s="2485"/>
      <c r="J176" s="1219"/>
    </row>
    <row r="177" spans="1:10" s="12" customFormat="1" ht="31.2" hidden="1" x14ac:dyDescent="0.25">
      <c r="A177" s="1900" t="s">
        <v>1248</v>
      </c>
      <c r="B177" s="1007" t="s">
        <v>1264</v>
      </c>
      <c r="C177" s="1006"/>
      <c r="D177" s="2484" t="s">
        <v>167</v>
      </c>
      <c r="E177" s="1126"/>
      <c r="F177" s="2219"/>
      <c r="G177" s="2219"/>
      <c r="H177" s="2485"/>
      <c r="J177" s="1219"/>
    </row>
    <row r="178" spans="1:10" s="12" customFormat="1" ht="15.6" hidden="1" x14ac:dyDescent="0.25">
      <c r="A178" s="1900"/>
      <c r="B178" s="1007"/>
      <c r="C178" s="1006"/>
      <c r="D178" s="2484"/>
      <c r="E178" s="1126"/>
      <c r="F178" s="2219"/>
      <c r="G178" s="2219"/>
      <c r="H178" s="2485"/>
      <c r="J178" s="1219"/>
    </row>
    <row r="179" spans="1:10" s="12" customFormat="1" ht="15.6" hidden="1" x14ac:dyDescent="0.25">
      <c r="A179" s="1900"/>
      <c r="B179" s="377" t="s">
        <v>290</v>
      </c>
      <c r="C179" s="1006"/>
      <c r="D179" s="2484"/>
      <c r="E179" s="1126"/>
      <c r="F179" s="2219"/>
      <c r="G179" s="2219"/>
      <c r="H179" s="2485"/>
      <c r="J179" s="1219"/>
    </row>
    <row r="180" spans="1:10" s="12" customFormat="1" ht="46.8" hidden="1" x14ac:dyDescent="0.25">
      <c r="A180" s="1900" t="s">
        <v>1250</v>
      </c>
      <c r="B180" s="1007" t="s">
        <v>2502</v>
      </c>
      <c r="C180" s="1006"/>
      <c r="D180" s="2484" t="s">
        <v>1238</v>
      </c>
      <c r="E180" s="1126"/>
      <c r="F180" s="2219"/>
      <c r="G180" s="2219"/>
      <c r="H180" s="2485"/>
      <c r="J180" s="1219"/>
    </row>
    <row r="181" spans="1:10" s="12" customFormat="1" ht="15.6" hidden="1" x14ac:dyDescent="0.25">
      <c r="A181" s="1900"/>
      <c r="B181" s="377"/>
      <c r="C181" s="1006"/>
      <c r="D181" s="2484"/>
      <c r="E181" s="1126"/>
      <c r="F181" s="2219"/>
      <c r="G181" s="2219"/>
      <c r="H181" s="2485"/>
      <c r="J181" s="1219"/>
    </row>
    <row r="182" spans="1:10" s="12" customFormat="1" ht="46.8" hidden="1" x14ac:dyDescent="0.25">
      <c r="A182" s="1900" t="s">
        <v>1250</v>
      </c>
      <c r="B182" s="1007" t="s">
        <v>2503</v>
      </c>
      <c r="C182" s="1006"/>
      <c r="D182" s="2484" t="s">
        <v>1238</v>
      </c>
      <c r="E182" s="1126"/>
      <c r="F182" s="2219"/>
      <c r="G182" s="2219"/>
      <c r="H182" s="2485"/>
      <c r="J182" s="1219"/>
    </row>
    <row r="183" spans="1:10" s="12" customFormat="1" ht="15.6" hidden="1" x14ac:dyDescent="0.25">
      <c r="A183" s="1900"/>
      <c r="B183" s="377"/>
      <c r="C183" s="1006"/>
      <c r="D183" s="2484"/>
      <c r="E183" s="1126"/>
      <c r="F183" s="2219"/>
      <c r="G183" s="2219"/>
      <c r="H183" s="2485"/>
      <c r="J183" s="1219"/>
    </row>
    <row r="184" spans="1:10" s="12" customFormat="1" ht="31.2" hidden="1" x14ac:dyDescent="0.25">
      <c r="A184" s="1900" t="s">
        <v>1253</v>
      </c>
      <c r="B184" s="1007" t="s">
        <v>1252</v>
      </c>
      <c r="C184" s="1006"/>
      <c r="D184" s="2484" t="s">
        <v>1251</v>
      </c>
      <c r="E184" s="1126"/>
      <c r="F184" s="2219"/>
      <c r="G184" s="2219"/>
      <c r="H184" s="2485"/>
      <c r="J184" s="1219"/>
    </row>
    <row r="185" spans="1:10" s="12" customFormat="1" ht="15.6" hidden="1" x14ac:dyDescent="0.25">
      <c r="A185" s="1900"/>
      <c r="B185" s="377"/>
      <c r="C185" s="1006"/>
      <c r="D185" s="2484"/>
      <c r="E185" s="1126"/>
      <c r="F185" s="2219"/>
      <c r="G185" s="2219"/>
      <c r="H185" s="2485"/>
      <c r="J185" s="1219"/>
    </row>
    <row r="186" spans="1:10" s="12" customFormat="1" ht="31.2" hidden="1" x14ac:dyDescent="0.25">
      <c r="A186" s="1900" t="s">
        <v>1255</v>
      </c>
      <c r="B186" s="1007" t="s">
        <v>1254</v>
      </c>
      <c r="C186" s="1006"/>
      <c r="D186" s="2484" t="s">
        <v>1251</v>
      </c>
      <c r="E186" s="1126"/>
      <c r="F186" s="2219"/>
      <c r="G186" s="2219"/>
      <c r="H186" s="2485"/>
      <c r="J186" s="1219"/>
    </row>
    <row r="187" spans="1:10" s="12" customFormat="1" ht="15.6" hidden="1" x14ac:dyDescent="0.25">
      <c r="A187" s="1900"/>
      <c r="B187" s="377"/>
      <c r="C187" s="1006"/>
      <c r="D187" s="2484"/>
      <c r="E187" s="1126"/>
      <c r="F187" s="2219"/>
      <c r="G187" s="2219"/>
      <c r="H187" s="2485"/>
      <c r="J187" s="1219"/>
    </row>
    <row r="188" spans="1:10" s="12" customFormat="1" ht="62.4" hidden="1" x14ac:dyDescent="0.25">
      <c r="A188" s="1900" t="s">
        <v>1267</v>
      </c>
      <c r="B188" s="1007" t="s">
        <v>1266</v>
      </c>
      <c r="C188" s="1006"/>
      <c r="D188" s="2484" t="s">
        <v>1238</v>
      </c>
      <c r="E188" s="1126"/>
      <c r="F188" s="2219"/>
      <c r="G188" s="2219"/>
      <c r="H188" s="2485"/>
      <c r="J188" s="1219"/>
    </row>
    <row r="189" spans="1:10" s="12" customFormat="1" ht="15.6" hidden="1" x14ac:dyDescent="0.25">
      <c r="A189" s="1900"/>
      <c r="B189" s="377"/>
      <c r="C189" s="1006"/>
      <c r="D189" s="2484"/>
      <c r="E189" s="1126"/>
      <c r="F189" s="2219"/>
      <c r="G189" s="2219"/>
      <c r="H189" s="2485"/>
      <c r="J189" s="1219"/>
    </row>
    <row r="190" spans="1:10" s="12" customFormat="1" x14ac:dyDescent="0.25">
      <c r="A190" s="1900"/>
      <c r="B190" s="367" t="s">
        <v>154</v>
      </c>
      <c r="C190" s="1068"/>
      <c r="D190" s="1069"/>
      <c r="E190" s="1070"/>
      <c r="F190" s="2218"/>
      <c r="G190" s="2218"/>
      <c r="H190" s="1926"/>
      <c r="J190" s="1219"/>
    </row>
    <row r="191" spans="1:10" s="12" customFormat="1" x14ac:dyDescent="0.25">
      <c r="A191" s="1902" t="s">
        <v>275</v>
      </c>
      <c r="B191" s="373" t="s">
        <v>294</v>
      </c>
      <c r="C191" s="1068">
        <v>1</v>
      </c>
      <c r="D191" s="1069" t="s">
        <v>13</v>
      </c>
      <c r="E191" s="1070">
        <v>35000</v>
      </c>
      <c r="F191" s="374">
        <f t="shared" ref="F191:F193" si="43">+$I$1</f>
        <v>0.85</v>
      </c>
      <c r="G191" s="374">
        <f>ROUNDUP(E191/F191,-1)</f>
        <v>41180</v>
      </c>
      <c r="H191" s="2529">
        <f>C191*G191</f>
        <v>41180</v>
      </c>
      <c r="J191" s="1219"/>
    </row>
    <row r="192" spans="1:10" s="12" customFormat="1" x14ac:dyDescent="0.25">
      <c r="A192" s="1902"/>
      <c r="B192" s="373"/>
      <c r="C192" s="1068"/>
      <c r="D192" s="1069"/>
      <c r="E192" s="1070"/>
      <c r="F192" s="2218"/>
      <c r="G192" s="2218"/>
      <c r="H192" s="1926"/>
      <c r="J192" s="1219"/>
    </row>
    <row r="193" spans="1:12" s="12" customFormat="1" x14ac:dyDescent="0.25">
      <c r="A193" s="1902" t="s">
        <v>276</v>
      </c>
      <c r="B193" s="373" t="s">
        <v>1611</v>
      </c>
      <c r="C193" s="1068">
        <v>1</v>
      </c>
      <c r="D193" s="1069" t="s">
        <v>13</v>
      </c>
      <c r="E193" s="1070">
        <v>45000</v>
      </c>
      <c r="F193" s="374">
        <f t="shared" si="43"/>
        <v>0.85</v>
      </c>
      <c r="G193" s="374">
        <f>ROUNDUP(E193/F193,-1)</f>
        <v>52950</v>
      </c>
      <c r="H193" s="2529">
        <f>C193*G193</f>
        <v>52950</v>
      </c>
      <c r="J193" s="1219"/>
    </row>
    <row r="194" spans="1:12" s="12" customFormat="1" x14ac:dyDescent="0.25">
      <c r="A194" s="1902"/>
      <c r="B194" s="373"/>
      <c r="C194" s="1068"/>
      <c r="D194" s="1069"/>
      <c r="E194" s="1070"/>
      <c r="F194" s="2218"/>
      <c r="G194" s="2218"/>
      <c r="H194" s="1926"/>
      <c r="J194" s="1219"/>
    </row>
    <row r="195" spans="1:12" s="12" customFormat="1" x14ac:dyDescent="0.25">
      <c r="A195" s="1902"/>
      <c r="B195" s="375" t="s">
        <v>3144</v>
      </c>
      <c r="C195" s="1068"/>
      <c r="D195" s="1069"/>
      <c r="E195" s="1070"/>
      <c r="F195" s="2218"/>
      <c r="G195" s="2218"/>
      <c r="H195" s="1926"/>
      <c r="J195" s="1219"/>
    </row>
    <row r="196" spans="1:12" s="12" customFormat="1" x14ac:dyDescent="0.25">
      <c r="A196" s="1902" t="s">
        <v>2677</v>
      </c>
      <c r="B196" s="373" t="s">
        <v>2675</v>
      </c>
      <c r="C196" s="1068">
        <v>1</v>
      </c>
      <c r="D196" s="1069" t="s">
        <v>1602</v>
      </c>
      <c r="E196" s="1070">
        <v>970000</v>
      </c>
      <c r="F196" s="2409">
        <f t="shared" ref="F196" si="44">+$I$1</f>
        <v>0.85</v>
      </c>
      <c r="G196" s="2409">
        <f>ROUNDUP(E196/F196,-1)</f>
        <v>1141180</v>
      </c>
      <c r="H196" s="2534">
        <f>C196*G196</f>
        <v>1141180</v>
      </c>
      <c r="J196" s="1219"/>
    </row>
    <row r="197" spans="1:12" s="12" customFormat="1" ht="15.6" hidden="1" x14ac:dyDescent="0.25">
      <c r="A197" s="1900"/>
      <c r="B197" s="377" t="s">
        <v>585</v>
      </c>
      <c r="C197" s="1190"/>
      <c r="D197" s="1069"/>
      <c r="E197" s="1070"/>
      <c r="F197" s="2218"/>
      <c r="G197" s="2218"/>
      <c r="H197" s="1926"/>
      <c r="J197" s="1219"/>
    </row>
    <row r="198" spans="1:12" s="12" customFormat="1" ht="15.6" hidden="1" x14ac:dyDescent="0.25">
      <c r="A198" s="1900"/>
      <c r="B198" s="377" t="s">
        <v>1268</v>
      </c>
      <c r="C198" s="1006"/>
      <c r="D198" s="2484"/>
      <c r="E198" s="2486"/>
      <c r="F198" s="2216"/>
      <c r="G198" s="2216"/>
      <c r="H198" s="2485"/>
      <c r="J198" s="1219"/>
    </row>
    <row r="199" spans="1:12" s="1191" customFormat="1" ht="140.4" hidden="1" x14ac:dyDescent="0.25">
      <c r="A199" s="1927" t="s">
        <v>1269</v>
      </c>
      <c r="B199" s="1189" t="s">
        <v>2614</v>
      </c>
      <c r="C199" s="1190"/>
      <c r="D199" s="1069" t="s">
        <v>78</v>
      </c>
      <c r="E199" s="1070"/>
      <c r="F199" s="2218"/>
      <c r="G199" s="2218"/>
      <c r="H199" s="1926"/>
      <c r="J199" s="1220"/>
    </row>
    <row r="200" spans="1:12" s="12" customFormat="1" ht="15.6" hidden="1" x14ac:dyDescent="0.25">
      <c r="A200" s="1900"/>
      <c r="B200" s="1007"/>
      <c r="C200" s="1006"/>
      <c r="D200" s="2484"/>
      <c r="E200" s="2486"/>
      <c r="F200" s="2216"/>
      <c r="G200" s="2216"/>
      <c r="H200" s="2485"/>
      <c r="J200" s="1219"/>
    </row>
    <row r="201" spans="1:12" s="12" customFormat="1" ht="15.6" hidden="1" x14ac:dyDescent="0.25">
      <c r="A201" s="1900"/>
      <c r="B201" s="377" t="s">
        <v>1270</v>
      </c>
      <c r="C201" s="1006"/>
      <c r="D201" s="2484"/>
      <c r="E201" s="2486"/>
      <c r="F201" s="2216"/>
      <c r="G201" s="2216"/>
      <c r="H201" s="2485"/>
      <c r="J201" s="1219"/>
    </row>
    <row r="202" spans="1:12" s="1191" customFormat="1" ht="156" hidden="1" x14ac:dyDescent="0.25">
      <c r="A202" s="1927" t="s">
        <v>1271</v>
      </c>
      <c r="B202" s="1189" t="s">
        <v>2665</v>
      </c>
      <c r="C202" s="1190"/>
      <c r="D202" s="1069" t="s">
        <v>78</v>
      </c>
      <c r="E202" s="1070"/>
      <c r="F202" s="2218"/>
      <c r="G202" s="2218"/>
      <c r="H202" s="1926"/>
      <c r="J202" s="1220"/>
      <c r="L202" s="1191">
        <f>J202+J199</f>
        <v>0</v>
      </c>
    </row>
    <row r="203" spans="1:12" s="12" customFormat="1" ht="15.6" hidden="1" x14ac:dyDescent="0.25">
      <c r="A203" s="1900"/>
      <c r="B203" s="377"/>
      <c r="C203" s="1006"/>
      <c r="D203" s="2484"/>
      <c r="E203" s="2486"/>
      <c r="F203" s="2216"/>
      <c r="G203" s="2216"/>
      <c r="H203" s="2485"/>
      <c r="J203" s="1219"/>
    </row>
    <row r="204" spans="1:12" s="12" customFormat="1" ht="15.6" hidden="1" x14ac:dyDescent="0.25">
      <c r="A204" s="1900"/>
      <c r="B204" s="377" t="s">
        <v>2574</v>
      </c>
      <c r="C204" s="1006"/>
      <c r="D204" s="2484"/>
      <c r="E204" s="2486"/>
      <c r="F204" s="2216"/>
      <c r="G204" s="2216"/>
      <c r="H204" s="2485"/>
      <c r="J204" s="1219"/>
    </row>
    <row r="205" spans="1:12" s="1188" customFormat="1" ht="171.6" hidden="1" x14ac:dyDescent="0.25">
      <c r="A205" s="1928" t="s">
        <v>1271</v>
      </c>
      <c r="B205" s="1186" t="s">
        <v>2575</v>
      </c>
      <c r="C205" s="1187"/>
      <c r="D205" s="1184" t="s">
        <v>78</v>
      </c>
      <c r="E205" s="1126"/>
      <c r="F205" s="2219"/>
      <c r="G205" s="2219"/>
      <c r="H205" s="1929"/>
      <c r="J205" s="1221"/>
      <c r="L205" s="1188" t="e">
        <f>J205+#REF!</f>
        <v>#REF!</v>
      </c>
    </row>
    <row r="206" spans="1:12" s="12" customFormat="1" ht="15.6" hidden="1" x14ac:dyDescent="0.25">
      <c r="A206" s="1900"/>
      <c r="B206" s="377"/>
      <c r="C206" s="1006"/>
      <c r="D206" s="2484"/>
      <c r="E206" s="2486"/>
      <c r="F206" s="2216"/>
      <c r="G206" s="2216"/>
      <c r="H206" s="2485"/>
      <c r="J206" s="1219"/>
    </row>
    <row r="207" spans="1:12" s="12" customFormat="1" ht="15.6" hidden="1" x14ac:dyDescent="0.25">
      <c r="A207" s="1900"/>
      <c r="B207" s="377"/>
      <c r="C207" s="1006"/>
      <c r="D207" s="2484"/>
      <c r="E207" s="2486"/>
      <c r="F207" s="2216"/>
      <c r="G207" s="2216"/>
      <c r="H207" s="2485"/>
      <c r="J207" s="1219"/>
    </row>
    <row r="208" spans="1:12" s="12" customFormat="1" ht="15.6" hidden="1" x14ac:dyDescent="0.25">
      <c r="A208" s="1900"/>
      <c r="B208" s="377"/>
      <c r="C208" s="1006"/>
      <c r="D208" s="2484"/>
      <c r="E208" s="2486"/>
      <c r="F208" s="2216"/>
      <c r="G208" s="2216"/>
      <c r="H208" s="2485"/>
      <c r="J208" s="1219"/>
    </row>
    <row r="209" spans="1:13" s="12" customFormat="1" ht="15.6" hidden="1" x14ac:dyDescent="0.25">
      <c r="A209" s="1900"/>
      <c r="B209" s="377" t="s">
        <v>1274</v>
      </c>
      <c r="C209" s="1006"/>
      <c r="D209" s="2484"/>
      <c r="E209" s="2486"/>
      <c r="F209" s="2216"/>
      <c r="G209" s="2216"/>
      <c r="H209" s="2485"/>
      <c r="J209" s="1219"/>
    </row>
    <row r="210" spans="1:13" s="1191" customFormat="1" ht="140.4" hidden="1" x14ac:dyDescent="0.25">
      <c r="A210" s="1927" t="s">
        <v>1272</v>
      </c>
      <c r="B210" s="1189" t="s">
        <v>2666</v>
      </c>
      <c r="C210" s="1190"/>
      <c r="D210" s="1069" t="s">
        <v>13</v>
      </c>
      <c r="E210" s="1070"/>
      <c r="F210" s="2218"/>
      <c r="G210" s="2218"/>
      <c r="H210" s="1926"/>
      <c r="J210" s="1234"/>
    </row>
    <row r="211" spans="1:13" s="1191" customFormat="1" ht="15.6" hidden="1" x14ac:dyDescent="0.25">
      <c r="A211" s="1927"/>
      <c r="B211" s="1189"/>
      <c r="C211" s="1190"/>
      <c r="D211" s="1069"/>
      <c r="E211" s="1070"/>
      <c r="F211" s="2218"/>
      <c r="G211" s="2218"/>
      <c r="H211" s="1926"/>
      <c r="J211" s="1234"/>
    </row>
    <row r="212" spans="1:13" s="1191" customFormat="1" ht="15.6" hidden="1" x14ac:dyDescent="0.25">
      <c r="A212" s="1927"/>
      <c r="B212" s="1189"/>
      <c r="C212" s="1190"/>
      <c r="D212" s="1069"/>
      <c r="E212" s="1070"/>
      <c r="F212" s="2218"/>
      <c r="G212" s="2218"/>
      <c r="H212" s="1926"/>
      <c r="J212" s="1234"/>
    </row>
    <row r="213" spans="1:13" s="1191" customFormat="1" ht="15.6" hidden="1" x14ac:dyDescent="0.25">
      <c r="A213" s="1927"/>
      <c r="B213" s="1189"/>
      <c r="C213" s="1190"/>
      <c r="D213" s="1069"/>
      <c r="E213" s="1070"/>
      <c r="F213" s="2218"/>
      <c r="G213" s="2218"/>
      <c r="H213" s="1926"/>
      <c r="J213" s="1234"/>
    </row>
    <row r="214" spans="1:13" s="1191" customFormat="1" ht="15.6" hidden="1" x14ac:dyDescent="0.25">
      <c r="A214" s="1927"/>
      <c r="B214" s="1189"/>
      <c r="C214" s="1190"/>
      <c r="D214" s="1069"/>
      <c r="E214" s="1070"/>
      <c r="F214" s="2218"/>
      <c r="G214" s="2218"/>
      <c r="H214" s="1926"/>
      <c r="J214" s="1234"/>
    </row>
    <row r="215" spans="1:13" s="1191" customFormat="1" ht="16.2" hidden="1" thickBot="1" x14ac:dyDescent="0.3">
      <c r="A215" s="1930"/>
      <c r="B215" s="1931"/>
      <c r="C215" s="1932"/>
      <c r="D215" s="1933"/>
      <c r="E215" s="1934"/>
      <c r="F215" s="2220"/>
      <c r="G215" s="2220"/>
      <c r="H215" s="1935"/>
      <c r="J215" s="1234"/>
    </row>
    <row r="216" spans="1:13" s="1191" customFormat="1" ht="15.6" hidden="1" x14ac:dyDescent="0.25">
      <c r="A216" s="1936"/>
      <c r="B216" s="1937" t="s">
        <v>313</v>
      </c>
      <c r="C216" s="1938"/>
      <c r="D216" s="1939"/>
      <c r="E216" s="1925"/>
      <c r="F216" s="2221"/>
      <c r="G216" s="2221"/>
      <c r="H216" s="1940"/>
      <c r="J216" s="1220"/>
    </row>
    <row r="217" spans="1:13" s="1191" customFormat="1" ht="93.6" hidden="1" x14ac:dyDescent="0.25">
      <c r="A217" s="1927" t="s">
        <v>1273</v>
      </c>
      <c r="B217" s="1235" t="s">
        <v>2667</v>
      </c>
      <c r="C217" s="1190"/>
      <c r="D217" s="1069" t="s">
        <v>13</v>
      </c>
      <c r="E217" s="1070"/>
      <c r="F217" s="2218"/>
      <c r="G217" s="2218"/>
      <c r="H217" s="1926"/>
      <c r="J217" s="1220"/>
      <c r="L217" s="1191">
        <f>10*4.5*8</f>
        <v>360</v>
      </c>
      <c r="M217" s="1191" t="e">
        <f>E217/J217*L217</f>
        <v>#DIV/0!</v>
      </c>
    </row>
    <row r="218" spans="1:13" s="12" customFormat="1" ht="15.6" hidden="1" x14ac:dyDescent="0.25">
      <c r="A218" s="1900"/>
      <c r="B218" s="1007"/>
      <c r="C218" s="1006"/>
      <c r="D218" s="2484"/>
      <c r="E218" s="2486"/>
      <c r="F218" s="2216"/>
      <c r="G218" s="2216"/>
      <c r="H218" s="2485"/>
      <c r="J218" s="1219"/>
    </row>
    <row r="219" spans="1:13" s="12" customFormat="1" ht="15.6" hidden="1" x14ac:dyDescent="0.25">
      <c r="A219" s="1900"/>
      <c r="B219" s="377" t="s">
        <v>1603</v>
      </c>
      <c r="C219" s="1006"/>
      <c r="D219" s="2484"/>
      <c r="E219" s="2486"/>
      <c r="F219" s="2216"/>
      <c r="G219" s="2216"/>
      <c r="H219" s="2485"/>
      <c r="J219" s="1219"/>
    </row>
    <row r="220" spans="1:13" s="1191" customFormat="1" ht="140.4" hidden="1" x14ac:dyDescent="0.25">
      <c r="A220" s="1927" t="s">
        <v>1273</v>
      </c>
      <c r="B220" s="1189" t="s">
        <v>2573</v>
      </c>
      <c r="C220" s="1190"/>
      <c r="D220" s="1069" t="s">
        <v>13</v>
      </c>
      <c r="E220" s="1070"/>
      <c r="F220" s="2218"/>
      <c r="G220" s="2218"/>
      <c r="H220" s="1926"/>
      <c r="J220" s="1220"/>
    </row>
    <row r="221" spans="1:13" s="12" customFormat="1" ht="15.6" hidden="1" x14ac:dyDescent="0.25">
      <c r="A221" s="1900"/>
      <c r="B221" s="377" t="s">
        <v>2576</v>
      </c>
      <c r="C221" s="1006"/>
      <c r="D221" s="2484"/>
      <c r="E221" s="2486"/>
      <c r="F221" s="2216"/>
      <c r="G221" s="2216"/>
      <c r="H221" s="2485"/>
      <c r="J221" s="1219"/>
    </row>
    <row r="222" spans="1:13" s="12" customFormat="1" ht="15.6" hidden="1" x14ac:dyDescent="0.25">
      <c r="A222" s="1900"/>
      <c r="B222" s="1007" t="s">
        <v>1275</v>
      </c>
      <c r="C222" s="1006"/>
      <c r="D222" s="2484"/>
      <c r="E222" s="2486"/>
      <c r="F222" s="2216"/>
      <c r="G222" s="2216"/>
      <c r="H222" s="2485"/>
      <c r="J222" s="1219"/>
    </row>
    <row r="223" spans="1:13" s="12" customFormat="1" ht="78" hidden="1" x14ac:dyDescent="0.25">
      <c r="A223" s="1900" t="s">
        <v>1277</v>
      </c>
      <c r="B223" s="1007" t="s">
        <v>1780</v>
      </c>
      <c r="C223" s="1006"/>
      <c r="D223" s="2484" t="s">
        <v>1276</v>
      </c>
      <c r="E223" s="2486"/>
      <c r="F223" s="2216"/>
      <c r="G223" s="2216"/>
      <c r="H223" s="2485"/>
      <c r="J223" s="1219"/>
    </row>
    <row r="224" spans="1:13" s="12" customFormat="1" ht="15.6" hidden="1" x14ac:dyDescent="0.25">
      <c r="A224" s="1900"/>
      <c r="B224" s="1007"/>
      <c r="C224" s="1006"/>
      <c r="D224" s="2484"/>
      <c r="E224" s="2486"/>
      <c r="F224" s="2216"/>
      <c r="G224" s="2216"/>
      <c r="H224" s="2485"/>
      <c r="J224" s="1219"/>
    </row>
    <row r="225" spans="1:12" hidden="1" x14ac:dyDescent="0.25">
      <c r="A225" s="1902"/>
      <c r="B225" s="977" t="s">
        <v>1460</v>
      </c>
      <c r="C225" s="2483"/>
      <c r="D225" s="2484"/>
      <c r="E225" s="2486"/>
      <c r="F225" s="2216"/>
      <c r="G225" s="2216"/>
      <c r="H225" s="2485"/>
    </row>
    <row r="226" spans="1:12" s="889" customFormat="1" ht="55.2" hidden="1" x14ac:dyDescent="0.25">
      <c r="A226" s="1927" t="s">
        <v>1461</v>
      </c>
      <c r="B226" s="1067" t="s">
        <v>2578</v>
      </c>
      <c r="C226" s="1068"/>
      <c r="D226" s="1069" t="s">
        <v>2424</v>
      </c>
      <c r="E226" s="1070"/>
      <c r="F226" s="2218"/>
      <c r="G226" s="2218"/>
      <c r="H226" s="1926"/>
      <c r="J226" s="1222"/>
    </row>
    <row r="227" spans="1:12" s="889" customFormat="1" hidden="1" x14ac:dyDescent="0.25">
      <c r="A227" s="1927"/>
      <c r="B227" s="1067"/>
      <c r="C227" s="1068"/>
      <c r="D227" s="1069"/>
      <c r="E227" s="1070"/>
      <c r="F227" s="2218"/>
      <c r="G227" s="2218"/>
      <c r="H227" s="1926"/>
      <c r="J227" s="1222"/>
    </row>
    <row r="228" spans="1:12" hidden="1" x14ac:dyDescent="0.25">
      <c r="A228" s="1902"/>
      <c r="B228" s="977" t="s">
        <v>1463</v>
      </c>
      <c r="C228" s="2483"/>
      <c r="D228" s="2484"/>
      <c r="E228" s="2486"/>
      <c r="F228" s="2216"/>
      <c r="G228" s="2216"/>
      <c r="H228" s="2485"/>
    </row>
    <row r="229" spans="1:12" ht="82.8" hidden="1" x14ac:dyDescent="0.25">
      <c r="A229" s="1900" t="s">
        <v>1461</v>
      </c>
      <c r="B229" s="368" t="s">
        <v>2577</v>
      </c>
      <c r="C229" s="2483"/>
      <c r="D229" s="2484" t="s">
        <v>2423</v>
      </c>
      <c r="E229" s="2486"/>
      <c r="F229" s="2216"/>
      <c r="G229" s="2216"/>
      <c r="H229" s="2485"/>
      <c r="L229" s="24">
        <f>1.5*1.5*14</f>
        <v>31.5</v>
      </c>
    </row>
    <row r="230" spans="1:12" hidden="1" x14ac:dyDescent="0.25">
      <c r="A230" s="1900"/>
      <c r="B230" s="368"/>
      <c r="C230" s="2483"/>
      <c r="D230" s="2484"/>
      <c r="E230" s="2486"/>
      <c r="F230" s="2216"/>
      <c r="G230" s="2216"/>
      <c r="H230" s="2485"/>
    </row>
    <row r="231" spans="1:12" hidden="1" x14ac:dyDescent="0.25">
      <c r="A231" s="1900"/>
      <c r="B231" s="368"/>
      <c r="C231" s="2483"/>
      <c r="D231" s="2484"/>
      <c r="E231" s="2486"/>
      <c r="F231" s="2216"/>
      <c r="G231" s="2216"/>
      <c r="H231" s="2485"/>
    </row>
    <row r="232" spans="1:12" hidden="1" x14ac:dyDescent="0.25">
      <c r="A232" s="1902"/>
      <c r="B232" s="977" t="s">
        <v>1747</v>
      </c>
      <c r="C232" s="2483"/>
      <c r="D232" s="2484"/>
      <c r="E232" s="2486"/>
      <c r="F232" s="2216"/>
      <c r="G232" s="2216"/>
      <c r="H232" s="2485"/>
    </row>
    <row r="233" spans="1:12" ht="69" hidden="1" x14ac:dyDescent="0.25">
      <c r="A233" s="1902"/>
      <c r="B233" s="368" t="s">
        <v>2670</v>
      </c>
      <c r="C233" s="2483"/>
      <c r="D233" s="2484" t="s">
        <v>1314</v>
      </c>
      <c r="E233" s="1070"/>
      <c r="F233" s="2218"/>
      <c r="G233" s="2218"/>
      <c r="H233" s="2485"/>
    </row>
    <row r="234" spans="1:12" ht="14.4" thickBot="1" x14ac:dyDescent="0.3">
      <c r="A234" s="1905"/>
      <c r="B234" s="960"/>
      <c r="C234" s="1008"/>
      <c r="D234" s="1009"/>
      <c r="E234" s="1010"/>
      <c r="F234" s="2217"/>
      <c r="G234" s="2217"/>
      <c r="H234" s="1923"/>
    </row>
    <row r="235" spans="1:12" s="12" customFormat="1" ht="36" customHeight="1" thickBot="1" x14ac:dyDescent="0.3">
      <c r="A235" s="2806"/>
      <c r="B235" s="2487" t="s">
        <v>919</v>
      </c>
      <c r="C235" s="2807"/>
      <c r="D235" s="2808"/>
      <c r="E235" s="2809"/>
      <c r="F235" s="2809"/>
      <c r="G235" s="2810"/>
      <c r="H235" s="1941">
        <f>SUM(H4:H234)</f>
        <v>2545670</v>
      </c>
      <c r="J235" s="1219"/>
    </row>
    <row r="238" spans="1:12" x14ac:dyDescent="0.25">
      <c r="H238" s="1236"/>
    </row>
    <row r="239" spans="1:12" x14ac:dyDescent="0.25">
      <c r="B239" s="36">
        <f>2.4*2.4*2.25</f>
        <v>12.959999999999999</v>
      </c>
    </row>
    <row r="240" spans="1:12" x14ac:dyDescent="0.25">
      <c r="B240" s="36">
        <f>B239*1000</f>
        <v>12959.999999999998</v>
      </c>
    </row>
  </sheetData>
  <pageMargins left="0.51181102362204722" right="0.51181102362204722" top="0.52" bottom="0.23622047244094491" header="0.23622047244094491" footer="0.23622047244094491"/>
  <pageSetup orientation="portrait" r:id="rId1"/>
  <headerFooter alignWithMargins="0">
    <oddFooter>&amp;C&amp;P</oddFooter>
  </headerFooter>
  <rowBreaks count="4" manualBreakCount="4">
    <brk id="19" max="7" man="1"/>
    <brk id="59" max="7" man="1"/>
    <brk id="100" max="7" man="1"/>
    <brk id="146" max="7"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30A0"/>
  </sheetPr>
  <dimension ref="A1:I302"/>
  <sheetViews>
    <sheetView view="pageBreakPreview" topLeftCell="A17" zoomScale="96" zoomScaleNormal="85" zoomScaleSheetLayoutView="96" workbookViewId="0">
      <selection activeCell="L47" sqref="L47"/>
    </sheetView>
  </sheetViews>
  <sheetFormatPr defaultColWidth="9.21875" defaultRowHeight="13.8" x14ac:dyDescent="0.25"/>
  <cols>
    <col min="1" max="1" width="8.21875" style="38" customWidth="1"/>
    <col min="2" max="2" width="46.21875" style="36" customWidth="1"/>
    <col min="3" max="3" width="8.44140625" style="669" bestFit="1" customWidth="1"/>
    <col min="4" max="4" width="5.44140625" style="669" bestFit="1" customWidth="1"/>
    <col min="5" max="6" width="13.6640625" style="2528" hidden="1" customWidth="1"/>
    <col min="7" max="7" width="13.6640625" style="1233" customWidth="1"/>
    <col min="8" max="8" width="13.21875" style="669" bestFit="1" customWidth="1"/>
    <col min="9" max="9" width="11.44140625" style="24" bestFit="1" customWidth="1"/>
    <col min="10" max="10" width="13.21875" style="24" bestFit="1" customWidth="1"/>
    <col min="11" max="11" width="10" style="24" bestFit="1" customWidth="1"/>
    <col min="12" max="12" width="11" style="24" bestFit="1" customWidth="1"/>
    <col min="13" max="14" width="12.88671875" style="24" bestFit="1" customWidth="1"/>
    <col min="15" max="15" width="10.33203125" style="24" bestFit="1" customWidth="1"/>
    <col min="16" max="16384" width="9.21875" style="24"/>
  </cols>
  <sheetData>
    <row r="1" spans="1:9" s="31" customFormat="1" ht="14.4" thickBot="1" x14ac:dyDescent="0.3">
      <c r="A1" s="45" t="s">
        <v>0</v>
      </c>
      <c r="B1" s="46" t="s">
        <v>1</v>
      </c>
      <c r="C1" s="1942" t="s">
        <v>2</v>
      </c>
      <c r="D1" s="1943" t="s">
        <v>3</v>
      </c>
      <c r="E1" s="2530" t="s">
        <v>3565</v>
      </c>
      <c r="F1" s="2531" t="s">
        <v>3708</v>
      </c>
      <c r="G1" s="2532" t="s">
        <v>1286</v>
      </c>
      <c r="H1" s="49" t="s">
        <v>5</v>
      </c>
      <c r="I1" s="31">
        <f>+summary!D15</f>
        <v>0.8</v>
      </c>
    </row>
    <row r="2" spans="1:9" s="12" customFormat="1" ht="28.05" customHeight="1" x14ac:dyDescent="0.25">
      <c r="A2" s="1898"/>
      <c r="B2" s="386" t="s">
        <v>314</v>
      </c>
      <c r="C2" s="401"/>
      <c r="D2" s="401"/>
      <c r="E2" s="2519"/>
      <c r="F2" s="2520"/>
      <c r="G2" s="2222"/>
      <c r="H2" s="1924"/>
    </row>
    <row r="3" spans="1:9" s="12" customFormat="1" x14ac:dyDescent="0.25">
      <c r="A3" s="1900"/>
      <c r="B3" s="1020" t="s">
        <v>175</v>
      </c>
      <c r="C3" s="2484"/>
      <c r="D3" s="2484"/>
      <c r="E3" s="2523"/>
      <c r="F3" s="2522"/>
      <c r="G3" s="2223"/>
      <c r="H3" s="2485"/>
    </row>
    <row r="4" spans="1:9" s="12" customFormat="1" ht="58.2" customHeight="1" x14ac:dyDescent="0.25">
      <c r="A4" s="1900"/>
      <c r="B4" s="1021" t="s">
        <v>1192</v>
      </c>
      <c r="C4" s="2484"/>
      <c r="D4" s="2484"/>
      <c r="E4" s="2523"/>
      <c r="F4" s="2522"/>
      <c r="G4" s="2223"/>
      <c r="H4" s="2485"/>
    </row>
    <row r="5" spans="1:9" s="12" customFormat="1" x14ac:dyDescent="0.25">
      <c r="A5" s="1900"/>
      <c r="B5" s="1021"/>
      <c r="C5" s="2484"/>
      <c r="D5" s="2484"/>
      <c r="E5" s="2523"/>
      <c r="F5" s="2522"/>
      <c r="G5" s="2223"/>
      <c r="H5" s="2485"/>
    </row>
    <row r="6" spans="1:9" s="12" customFormat="1" ht="39.6" x14ac:dyDescent="0.25">
      <c r="A6" s="1900"/>
      <c r="B6" s="1021" t="s">
        <v>2552</v>
      </c>
      <c r="C6" s="2484"/>
      <c r="D6" s="2484"/>
      <c r="E6" s="2523"/>
      <c r="F6" s="2522"/>
      <c r="G6" s="2223"/>
      <c r="H6" s="2485"/>
    </row>
    <row r="7" spans="1:9" s="12" customFormat="1" x14ac:dyDescent="0.25">
      <c r="A7" s="1900"/>
      <c r="B7" s="1021"/>
      <c r="C7" s="2484"/>
      <c r="D7" s="2484"/>
      <c r="E7" s="2523"/>
      <c r="F7" s="2522"/>
      <c r="G7" s="2223"/>
      <c r="H7" s="2485"/>
    </row>
    <row r="8" spans="1:9" s="12" customFormat="1" ht="66" x14ac:dyDescent="0.25">
      <c r="A8" s="1900"/>
      <c r="B8" s="1022" t="s">
        <v>1193</v>
      </c>
      <c r="C8" s="2484"/>
      <c r="D8" s="2484"/>
      <c r="E8" s="2523"/>
      <c r="F8" s="2522"/>
      <c r="G8" s="2223"/>
      <c r="H8" s="2485"/>
    </row>
    <row r="9" spans="1:9" s="12" customFormat="1" x14ac:dyDescent="0.25">
      <c r="A9" s="1900"/>
      <c r="B9" s="1021"/>
      <c r="C9" s="2484"/>
      <c r="D9" s="2484"/>
      <c r="E9" s="2523"/>
      <c r="F9" s="2522"/>
      <c r="G9" s="2223"/>
      <c r="H9" s="2485"/>
    </row>
    <row r="10" spans="1:9" s="12" customFormat="1" ht="52.8" x14ac:dyDescent="0.25">
      <c r="A10" s="1900"/>
      <c r="B10" s="1021" t="s">
        <v>1194</v>
      </c>
      <c r="C10" s="2484"/>
      <c r="D10" s="2484"/>
      <c r="E10" s="2523"/>
      <c r="F10" s="2522"/>
      <c r="G10" s="2223"/>
      <c r="H10" s="2485"/>
    </row>
    <row r="11" spans="1:9" s="12" customFormat="1" x14ac:dyDescent="0.25">
      <c r="A11" s="1900"/>
      <c r="B11" s="1021"/>
      <c r="C11" s="2484"/>
      <c r="D11" s="2484"/>
      <c r="E11" s="2523"/>
      <c r="F11" s="2522"/>
      <c r="G11" s="2223"/>
      <c r="H11" s="2485"/>
    </row>
    <row r="12" spans="1:9" s="12" customFormat="1" ht="135.6" customHeight="1" x14ac:dyDescent="0.25">
      <c r="A12" s="1900"/>
      <c r="B12" s="1021" t="s">
        <v>1195</v>
      </c>
      <c r="C12" s="2484"/>
      <c r="D12" s="2484"/>
      <c r="E12" s="2523"/>
      <c r="F12" s="2522"/>
      <c r="G12" s="2223"/>
      <c r="H12" s="2485"/>
    </row>
    <row r="13" spans="1:9" s="12" customFormat="1" x14ac:dyDescent="0.25">
      <c r="A13" s="1900"/>
      <c r="B13" s="1021"/>
      <c r="C13" s="2484"/>
      <c r="D13" s="2484"/>
      <c r="E13" s="2523"/>
      <c r="F13" s="2522"/>
      <c r="G13" s="2223"/>
      <c r="H13" s="2485"/>
    </row>
    <row r="14" spans="1:9" s="12" customFormat="1" ht="34.799999999999997" customHeight="1" x14ac:dyDescent="0.25">
      <c r="A14" s="1900"/>
      <c r="B14" s="1021" t="s">
        <v>1196</v>
      </c>
      <c r="C14" s="2484"/>
      <c r="D14" s="2484"/>
      <c r="E14" s="2523"/>
      <c r="F14" s="2522"/>
      <c r="G14" s="2223"/>
      <c r="H14" s="2485"/>
    </row>
    <row r="15" spans="1:9" s="12" customFormat="1" x14ac:dyDescent="0.25">
      <c r="A15" s="1900"/>
      <c r="B15" s="1021"/>
      <c r="C15" s="2484"/>
      <c r="D15" s="2484"/>
      <c r="E15" s="2523"/>
      <c r="F15" s="2522"/>
      <c r="G15" s="2223"/>
      <c r="H15" s="2485"/>
    </row>
    <row r="16" spans="1:9" s="12" customFormat="1" ht="80.400000000000006" customHeight="1" x14ac:dyDescent="0.25">
      <c r="A16" s="1900"/>
      <c r="B16" s="1021" t="s">
        <v>1197</v>
      </c>
      <c r="C16" s="2484"/>
      <c r="D16" s="2484"/>
      <c r="E16" s="2523"/>
      <c r="F16" s="2522"/>
      <c r="G16" s="2223"/>
      <c r="H16" s="2485"/>
    </row>
    <row r="17" spans="1:8" s="12" customFormat="1" ht="39.6" x14ac:dyDescent="0.25">
      <c r="A17" s="1900"/>
      <c r="B17" s="1021" t="s">
        <v>1198</v>
      </c>
      <c r="C17" s="2484"/>
      <c r="D17" s="2484"/>
      <c r="E17" s="2523"/>
      <c r="F17" s="2522"/>
      <c r="G17" s="2223"/>
      <c r="H17" s="2485"/>
    </row>
    <row r="18" spans="1:8" s="12" customFormat="1" ht="39.6" x14ac:dyDescent="0.25">
      <c r="A18" s="1900"/>
      <c r="B18" s="1021" t="s">
        <v>1199</v>
      </c>
      <c r="C18" s="2484"/>
      <c r="D18" s="2484"/>
      <c r="E18" s="2523"/>
      <c r="F18" s="2522"/>
      <c r="G18" s="2223"/>
      <c r="H18" s="2485"/>
    </row>
    <row r="19" spans="1:8" s="12" customFormat="1" ht="39.6" x14ac:dyDescent="0.25">
      <c r="A19" s="1900"/>
      <c r="B19" s="1021" t="s">
        <v>1200</v>
      </c>
      <c r="C19" s="2484"/>
      <c r="D19" s="2484"/>
      <c r="E19" s="2523"/>
      <c r="F19" s="2522"/>
      <c r="G19" s="2223"/>
      <c r="H19" s="2485"/>
    </row>
    <row r="20" spans="1:8" s="12" customFormat="1" x14ac:dyDescent="0.25">
      <c r="A20" s="1900"/>
      <c r="B20" s="1021"/>
      <c r="C20" s="2484"/>
      <c r="D20" s="2484"/>
      <c r="E20" s="2523"/>
      <c r="F20" s="2522"/>
      <c r="G20" s="2223"/>
      <c r="H20" s="2485"/>
    </row>
    <row r="21" spans="1:8" s="12" customFormat="1" ht="53.4" thickBot="1" x14ac:dyDescent="0.3">
      <c r="A21" s="2606"/>
      <c r="B21" s="2647" t="s">
        <v>1201</v>
      </c>
      <c r="C21" s="2609"/>
      <c r="D21" s="2609"/>
      <c r="E21" s="2624"/>
      <c r="F21" s="2625"/>
      <c r="G21" s="2626"/>
      <c r="H21" s="2612"/>
    </row>
    <row r="22" spans="1:8" s="12" customFormat="1" ht="43.2" customHeight="1" thickTop="1" x14ac:dyDescent="0.25">
      <c r="A22" s="2599"/>
      <c r="B22" s="2648" t="s">
        <v>1202</v>
      </c>
      <c r="C22" s="2602"/>
      <c r="D22" s="2602"/>
      <c r="E22" s="2630"/>
      <c r="F22" s="2636"/>
      <c r="G22" s="2637"/>
      <c r="H22" s="2605"/>
    </row>
    <row r="23" spans="1:8" s="12" customFormat="1" x14ac:dyDescent="0.25">
      <c r="A23" s="1900"/>
      <c r="B23" s="1020"/>
      <c r="C23" s="2484"/>
      <c r="D23" s="2484"/>
      <c r="E23" s="2523"/>
      <c r="F23" s="2522"/>
      <c r="G23" s="2223"/>
      <c r="H23" s="2485"/>
    </row>
    <row r="24" spans="1:8" s="12" customFormat="1" ht="87" customHeight="1" x14ac:dyDescent="0.25">
      <c r="A24" s="1900"/>
      <c r="B24" s="1023" t="s">
        <v>1099</v>
      </c>
      <c r="C24" s="2484"/>
      <c r="D24" s="2484"/>
      <c r="E24" s="2523"/>
      <c r="F24" s="2522"/>
      <c r="G24" s="2223"/>
      <c r="H24" s="2485"/>
    </row>
    <row r="25" spans="1:8" s="12" customFormat="1" x14ac:dyDescent="0.25">
      <c r="A25" s="1900"/>
      <c r="B25" s="1024"/>
      <c r="C25" s="2484"/>
      <c r="D25" s="2484"/>
      <c r="E25" s="2523"/>
      <c r="F25" s="2522"/>
      <c r="G25" s="2223"/>
      <c r="H25" s="2485"/>
    </row>
    <row r="26" spans="1:8" s="12" customFormat="1" x14ac:dyDescent="0.25">
      <c r="A26" s="1900"/>
      <c r="B26" s="1025" t="s">
        <v>1100</v>
      </c>
      <c r="C26" s="2484"/>
      <c r="D26" s="2484"/>
      <c r="E26" s="2523"/>
      <c r="F26" s="2522"/>
      <c r="G26" s="2223"/>
      <c r="H26" s="2485"/>
    </row>
    <row r="27" spans="1:8" s="12" customFormat="1" x14ac:dyDescent="0.25">
      <c r="A27" s="1900"/>
      <c r="B27" s="1024"/>
      <c r="C27" s="2484"/>
      <c r="D27" s="2484"/>
      <c r="E27" s="2523"/>
      <c r="F27" s="2522"/>
      <c r="G27" s="2223"/>
      <c r="H27" s="2485"/>
    </row>
    <row r="28" spans="1:8" s="12" customFormat="1" x14ac:dyDescent="0.25">
      <c r="A28" s="1900"/>
      <c r="B28" s="1025" t="s">
        <v>1101</v>
      </c>
      <c r="C28" s="2484"/>
      <c r="D28" s="2484"/>
      <c r="E28" s="2523"/>
      <c r="F28" s="2522"/>
      <c r="G28" s="2223"/>
      <c r="H28" s="2485"/>
    </row>
    <row r="29" spans="1:8" s="12" customFormat="1" x14ac:dyDescent="0.25">
      <c r="A29" s="1900"/>
      <c r="B29" s="1024"/>
      <c r="C29" s="2484"/>
      <c r="D29" s="2484"/>
      <c r="E29" s="2523"/>
      <c r="F29" s="2522"/>
      <c r="G29" s="2223"/>
      <c r="H29" s="2485"/>
    </row>
    <row r="30" spans="1:8" s="12" customFormat="1" ht="26.4" x14ac:dyDescent="0.25">
      <c r="A30" s="1900"/>
      <c r="B30" s="1025" t="s">
        <v>1102</v>
      </c>
      <c r="C30" s="2484"/>
      <c r="D30" s="2484"/>
      <c r="E30" s="2523"/>
      <c r="F30" s="2522"/>
      <c r="G30" s="2223"/>
      <c r="H30" s="2485"/>
    </row>
    <row r="31" spans="1:8" s="12" customFormat="1" x14ac:dyDescent="0.25">
      <c r="A31" s="1900"/>
      <c r="B31" s="1024"/>
      <c r="C31" s="2484"/>
      <c r="D31" s="2484"/>
      <c r="E31" s="2523"/>
      <c r="F31" s="2522"/>
      <c r="G31" s="2223"/>
      <c r="H31" s="2485"/>
    </row>
    <row r="32" spans="1:8" s="12" customFormat="1" ht="39.6" x14ac:dyDescent="0.25">
      <c r="A32" s="1900"/>
      <c r="B32" s="1023" t="s">
        <v>1103</v>
      </c>
      <c r="C32" s="2484"/>
      <c r="D32" s="2484"/>
      <c r="E32" s="2523"/>
      <c r="F32" s="2522"/>
      <c r="G32" s="2223"/>
      <c r="H32" s="2485"/>
    </row>
    <row r="33" spans="1:8" s="12" customFormat="1" x14ac:dyDescent="0.25">
      <c r="A33" s="1900"/>
      <c r="B33" s="1026"/>
      <c r="C33" s="2484"/>
      <c r="D33" s="2484"/>
      <c r="E33" s="2523"/>
      <c r="F33" s="2522"/>
      <c r="G33" s="2223"/>
      <c r="H33" s="2485"/>
    </row>
    <row r="34" spans="1:8" s="12" customFormat="1" ht="39.6" x14ac:dyDescent="0.25">
      <c r="A34" s="1900"/>
      <c r="B34" s="1027" t="s">
        <v>1104</v>
      </c>
      <c r="C34" s="2484"/>
      <c r="D34" s="2484"/>
      <c r="E34" s="2523"/>
      <c r="F34" s="2522"/>
      <c r="G34" s="2223"/>
      <c r="H34" s="2485"/>
    </row>
    <row r="35" spans="1:8" s="12" customFormat="1" x14ac:dyDescent="0.25">
      <c r="A35" s="1900"/>
      <c r="B35" s="1026"/>
      <c r="C35" s="2484"/>
      <c r="D35" s="2484"/>
      <c r="E35" s="2523"/>
      <c r="F35" s="2522"/>
      <c r="G35" s="2223"/>
      <c r="H35" s="2485"/>
    </row>
    <row r="36" spans="1:8" s="12" customFormat="1" x14ac:dyDescent="0.25">
      <c r="A36" s="1900"/>
      <c r="B36" s="1025" t="s">
        <v>1105</v>
      </c>
      <c r="C36" s="2484"/>
      <c r="D36" s="2484"/>
      <c r="E36" s="2523"/>
      <c r="F36" s="2522"/>
      <c r="G36" s="2223"/>
      <c r="H36" s="2485"/>
    </row>
    <row r="37" spans="1:8" s="12" customFormat="1" x14ac:dyDescent="0.25">
      <c r="A37" s="1900"/>
      <c r="B37" s="1026"/>
      <c r="C37" s="2484"/>
      <c r="D37" s="2484"/>
      <c r="E37" s="2523"/>
      <c r="F37" s="2522"/>
      <c r="G37" s="2223"/>
      <c r="H37" s="2485"/>
    </row>
    <row r="38" spans="1:8" s="12" customFormat="1" ht="26.4" x14ac:dyDescent="0.25">
      <c r="A38" s="1900"/>
      <c r="B38" s="1027" t="s">
        <v>1106</v>
      </c>
      <c r="C38" s="2484"/>
      <c r="D38" s="2484"/>
      <c r="E38" s="2523"/>
      <c r="F38" s="2522"/>
      <c r="G38" s="2223"/>
      <c r="H38" s="2485"/>
    </row>
    <row r="39" spans="1:8" s="12" customFormat="1" x14ac:dyDescent="0.25">
      <c r="A39" s="1900"/>
      <c r="B39" s="1024"/>
      <c r="C39" s="2484"/>
      <c r="D39" s="2484"/>
      <c r="E39" s="2523"/>
      <c r="F39" s="2522"/>
      <c r="G39" s="2223"/>
      <c r="H39" s="2485"/>
    </row>
    <row r="40" spans="1:8" s="12" customFormat="1" ht="39.6" x14ac:dyDescent="0.25">
      <c r="A40" s="1900"/>
      <c r="B40" s="1027" t="s">
        <v>1107</v>
      </c>
      <c r="C40" s="2484"/>
      <c r="D40" s="2484"/>
      <c r="E40" s="2523"/>
      <c r="F40" s="2522"/>
      <c r="G40" s="2223"/>
      <c r="H40" s="2485"/>
    </row>
    <row r="41" spans="1:8" s="12" customFormat="1" x14ac:dyDescent="0.25">
      <c r="A41" s="1900"/>
      <c r="B41" s="1027"/>
      <c r="C41" s="2484"/>
      <c r="D41" s="2484"/>
      <c r="E41" s="2523"/>
      <c r="F41" s="2522"/>
      <c r="G41" s="2223"/>
      <c r="H41" s="2485"/>
    </row>
    <row r="42" spans="1:8" s="12" customFormat="1" ht="39.6" x14ac:dyDescent="0.25">
      <c r="A42" s="1900"/>
      <c r="B42" s="1027" t="s">
        <v>1108</v>
      </c>
      <c r="C42" s="2484"/>
      <c r="D42" s="2484"/>
      <c r="E42" s="2523"/>
      <c r="F42" s="2522"/>
      <c r="G42" s="2223"/>
      <c r="H42" s="2485"/>
    </row>
    <row r="43" spans="1:8" s="12" customFormat="1" x14ac:dyDescent="0.25">
      <c r="A43" s="1900"/>
      <c r="B43" s="1027"/>
      <c r="C43" s="2484"/>
      <c r="D43" s="2484"/>
      <c r="E43" s="2523"/>
      <c r="F43" s="2522"/>
      <c r="G43" s="2223"/>
      <c r="H43" s="2485"/>
    </row>
    <row r="44" spans="1:8" s="12" customFormat="1" ht="39.6" x14ac:dyDescent="0.25">
      <c r="A44" s="1900"/>
      <c r="B44" s="1027" t="s">
        <v>1109</v>
      </c>
      <c r="C44" s="2484"/>
      <c r="D44" s="2484"/>
      <c r="E44" s="2523"/>
      <c r="F44" s="2522"/>
      <c r="G44" s="2223"/>
      <c r="H44" s="2485"/>
    </row>
    <row r="45" spans="1:8" s="12" customFormat="1" x14ac:dyDescent="0.25">
      <c r="A45" s="1900"/>
      <c r="B45" s="1027"/>
      <c r="C45" s="2484"/>
      <c r="D45" s="2484"/>
      <c r="E45" s="2523"/>
      <c r="F45" s="2522"/>
      <c r="G45" s="2223"/>
      <c r="H45" s="2485"/>
    </row>
    <row r="46" spans="1:8" s="12" customFormat="1" ht="26.4" x14ac:dyDescent="0.25">
      <c r="A46" s="1900"/>
      <c r="B46" s="1027" t="s">
        <v>2676</v>
      </c>
      <c r="C46" s="2484"/>
      <c r="D46" s="2484"/>
      <c r="E46" s="2523"/>
      <c r="F46" s="2522"/>
      <c r="G46" s="2223"/>
      <c r="H46" s="2485"/>
    </row>
    <row r="47" spans="1:8" s="12" customFormat="1" x14ac:dyDescent="0.25">
      <c r="A47" s="1900"/>
      <c r="B47" s="1025"/>
      <c r="C47" s="2484"/>
      <c r="D47" s="2484"/>
      <c r="E47" s="2523"/>
      <c r="F47" s="2522"/>
      <c r="G47" s="2223"/>
      <c r="H47" s="2485"/>
    </row>
    <row r="48" spans="1:8" s="12" customFormat="1" x14ac:dyDescent="0.25">
      <c r="A48" s="1900"/>
      <c r="B48" s="1025" t="s">
        <v>1110</v>
      </c>
      <c r="C48" s="2484"/>
      <c r="D48" s="2484"/>
      <c r="E48" s="2523"/>
      <c r="F48" s="2522"/>
      <c r="G48" s="2223"/>
      <c r="H48" s="2485"/>
    </row>
    <row r="49" spans="1:8" x14ac:dyDescent="0.25">
      <c r="A49" s="1902"/>
      <c r="B49" s="368"/>
      <c r="C49" s="2484"/>
      <c r="D49" s="2484"/>
      <c r="E49" s="2523"/>
      <c r="F49" s="2522"/>
      <c r="G49" s="2223"/>
      <c r="H49" s="2485"/>
    </row>
    <row r="50" spans="1:8" x14ac:dyDescent="0.25">
      <c r="A50" s="1902"/>
      <c r="B50" s="396" t="s">
        <v>64</v>
      </c>
      <c r="C50" s="2484"/>
      <c r="D50" s="2484"/>
      <c r="E50" s="2523"/>
      <c r="F50" s="2522"/>
      <c r="G50" s="2223"/>
      <c r="H50" s="2485"/>
    </row>
    <row r="51" spans="1:8" x14ac:dyDescent="0.25">
      <c r="A51" s="1902"/>
      <c r="B51" s="396" t="s">
        <v>65</v>
      </c>
      <c r="C51" s="2484"/>
      <c r="D51" s="2484"/>
      <c r="E51" s="2523"/>
      <c r="F51" s="2522"/>
      <c r="G51" s="2223"/>
      <c r="H51" s="2485"/>
    </row>
    <row r="52" spans="1:8" x14ac:dyDescent="0.25">
      <c r="A52" s="1902"/>
      <c r="B52" s="396" t="s">
        <v>66</v>
      </c>
      <c r="C52" s="2484"/>
      <c r="D52" s="2484"/>
      <c r="E52" s="2523"/>
      <c r="F52" s="2522"/>
      <c r="G52" s="2223"/>
      <c r="H52" s="2485"/>
    </row>
    <row r="53" spans="1:8" x14ac:dyDescent="0.25">
      <c r="A53" s="1902"/>
      <c r="B53" s="396"/>
      <c r="C53" s="2484"/>
      <c r="D53" s="2484"/>
      <c r="E53" s="2523"/>
      <c r="F53" s="2522"/>
      <c r="G53" s="2223"/>
      <c r="H53" s="2485"/>
    </row>
    <row r="54" spans="1:8" x14ac:dyDescent="0.25">
      <c r="A54" s="1902"/>
      <c r="B54" s="1111" t="s">
        <v>1113</v>
      </c>
      <c r="C54" s="2484"/>
      <c r="D54" s="2484"/>
      <c r="E54" s="2523"/>
      <c r="F54" s="2522"/>
      <c r="G54" s="2223"/>
      <c r="H54" s="2485"/>
    </row>
    <row r="55" spans="1:8" x14ac:dyDescent="0.25">
      <c r="A55" s="1902"/>
      <c r="B55" s="1111"/>
      <c r="C55" s="2484"/>
      <c r="D55" s="2484"/>
      <c r="E55" s="2523"/>
      <c r="F55" s="2522"/>
      <c r="G55" s="2223"/>
      <c r="H55" s="2485"/>
    </row>
    <row r="56" spans="1:8" ht="39.6" x14ac:dyDescent="0.25">
      <c r="A56" s="1902" t="s">
        <v>1114</v>
      </c>
      <c r="B56" s="1026" t="s">
        <v>1140</v>
      </c>
      <c r="C56" s="2484">
        <v>1</v>
      </c>
      <c r="D56" s="2484" t="s">
        <v>13</v>
      </c>
      <c r="E56" s="2523">
        <v>25000</v>
      </c>
      <c r="F56" s="2468">
        <f>+$I$1</f>
        <v>0.8</v>
      </c>
      <c r="G56" s="374">
        <f>ROUNDUP(E56/F56,-1)</f>
        <v>31250</v>
      </c>
      <c r="H56" s="2529">
        <f>C56*G56</f>
        <v>31250</v>
      </c>
    </row>
    <row r="57" spans="1:8" ht="14.4" thickBot="1" x14ac:dyDescent="0.3">
      <c r="A57" s="2621"/>
      <c r="B57" s="2645"/>
      <c r="C57" s="2609"/>
      <c r="D57" s="2609"/>
      <c r="E57" s="2624"/>
      <c r="F57" s="2625"/>
      <c r="G57" s="2626"/>
      <c r="H57" s="2612"/>
    </row>
    <row r="58" spans="1:8" ht="40.200000000000003" thickTop="1" x14ac:dyDescent="0.25">
      <c r="A58" s="2627" t="s">
        <v>1986</v>
      </c>
      <c r="B58" s="2646" t="s">
        <v>1985</v>
      </c>
      <c r="C58" s="2602">
        <v>1</v>
      </c>
      <c r="D58" s="2602" t="s">
        <v>13</v>
      </c>
      <c r="E58" s="2630">
        <v>42000</v>
      </c>
      <c r="F58" s="2631">
        <f>+$I$1</f>
        <v>0.8</v>
      </c>
      <c r="G58" s="2632">
        <f>ROUNDUP(E58/F58,-1)</f>
        <v>52500</v>
      </c>
      <c r="H58" s="2633">
        <f>C58*G58</f>
        <v>52500</v>
      </c>
    </row>
    <row r="59" spans="1:8" x14ac:dyDescent="0.25">
      <c r="A59" s="1902"/>
      <c r="B59" s="1028"/>
      <c r="C59" s="2484"/>
      <c r="D59" s="2484"/>
      <c r="E59" s="2523"/>
      <c r="F59" s="2522"/>
      <c r="G59" s="2223"/>
      <c r="H59" s="2485"/>
    </row>
    <row r="60" spans="1:8" x14ac:dyDescent="0.25">
      <c r="A60" s="1902" t="s">
        <v>625</v>
      </c>
      <c r="B60" s="1111" t="s">
        <v>1116</v>
      </c>
      <c r="C60" s="2484"/>
      <c r="D60" s="2484"/>
      <c r="E60" s="2523"/>
      <c r="F60" s="2522"/>
      <c r="G60" s="2223"/>
      <c r="H60" s="2485"/>
    </row>
    <row r="61" spans="1:8" x14ac:dyDescent="0.25">
      <c r="A61" s="1902"/>
      <c r="B61" s="1029"/>
      <c r="C61" s="2484"/>
      <c r="D61" s="2484"/>
      <c r="E61" s="2523"/>
      <c r="F61" s="2522"/>
      <c r="G61" s="2223"/>
      <c r="H61" s="2485"/>
    </row>
    <row r="62" spans="1:8" ht="26.4" x14ac:dyDescent="0.25">
      <c r="A62" s="1902"/>
      <c r="B62" s="1030" t="s">
        <v>1117</v>
      </c>
      <c r="C62" s="2484"/>
      <c r="D62" s="2484"/>
      <c r="E62" s="2523"/>
      <c r="F62" s="2522"/>
      <c r="G62" s="2223"/>
      <c r="H62" s="2485"/>
    </row>
    <row r="63" spans="1:8" x14ac:dyDescent="0.25">
      <c r="A63" s="1902"/>
      <c r="B63" s="1111"/>
      <c r="C63" s="2484"/>
      <c r="D63" s="2484"/>
      <c r="E63" s="2523"/>
      <c r="F63" s="2522"/>
      <c r="G63" s="2223"/>
      <c r="H63" s="2485"/>
    </row>
    <row r="64" spans="1:8" ht="52.8" x14ac:dyDescent="0.25">
      <c r="A64" s="1902"/>
      <c r="B64" s="1031" t="s">
        <v>1118</v>
      </c>
      <c r="C64" s="2484"/>
      <c r="D64" s="2484"/>
      <c r="E64" s="2523"/>
      <c r="F64" s="2522"/>
      <c r="G64" s="2223"/>
      <c r="H64" s="2485"/>
    </row>
    <row r="65" spans="1:8" x14ac:dyDescent="0.25">
      <c r="A65" s="1902"/>
      <c r="B65" s="1111"/>
      <c r="C65" s="2484"/>
      <c r="D65" s="2484"/>
      <c r="E65" s="2523"/>
      <c r="F65" s="2522"/>
      <c r="G65" s="2223"/>
      <c r="H65" s="2485"/>
    </row>
    <row r="66" spans="1:8" ht="66" x14ac:dyDescent="0.25">
      <c r="A66" s="1902"/>
      <c r="B66" s="1031" t="s">
        <v>1119</v>
      </c>
      <c r="C66" s="2484"/>
      <c r="D66" s="2484"/>
      <c r="E66" s="2523"/>
      <c r="F66" s="2522"/>
      <c r="G66" s="2223"/>
      <c r="H66" s="2485"/>
    </row>
    <row r="67" spans="1:8" x14ac:dyDescent="0.25">
      <c r="A67" s="1902"/>
      <c r="B67" s="1111"/>
      <c r="C67" s="2484"/>
      <c r="D67" s="2484"/>
      <c r="E67" s="2523"/>
      <c r="F67" s="2522"/>
      <c r="G67" s="2223"/>
      <c r="H67" s="2485"/>
    </row>
    <row r="68" spans="1:8" ht="52.8" x14ac:dyDescent="0.25">
      <c r="A68" s="1902"/>
      <c r="B68" s="1030" t="s">
        <v>1120</v>
      </c>
      <c r="C68" s="2484"/>
      <c r="D68" s="2484"/>
      <c r="E68" s="2523"/>
      <c r="F68" s="2522"/>
      <c r="G68" s="2223"/>
      <c r="H68" s="2485"/>
    </row>
    <row r="69" spans="1:8" x14ac:dyDescent="0.25">
      <c r="A69" s="1902"/>
      <c r="B69" s="1032"/>
      <c r="C69" s="2484"/>
      <c r="D69" s="2484"/>
      <c r="E69" s="2523"/>
      <c r="F69" s="2522"/>
      <c r="G69" s="2223"/>
      <c r="H69" s="2485"/>
    </row>
    <row r="70" spans="1:8" ht="39.6" x14ac:dyDescent="0.25">
      <c r="A70" s="1902"/>
      <c r="B70" s="1030" t="s">
        <v>1121</v>
      </c>
      <c r="C70" s="2484"/>
      <c r="D70" s="2484"/>
      <c r="E70" s="2523"/>
      <c r="F70" s="2522"/>
      <c r="G70" s="2223"/>
      <c r="H70" s="2485"/>
    </row>
    <row r="71" spans="1:8" x14ac:dyDescent="0.25">
      <c r="A71" s="1902"/>
      <c r="B71" s="1028"/>
      <c r="C71" s="2484"/>
      <c r="D71" s="2484"/>
      <c r="E71" s="2523"/>
      <c r="F71" s="2522"/>
      <c r="G71" s="2223"/>
      <c r="H71" s="2485"/>
    </row>
    <row r="72" spans="1:8" ht="26.4" x14ac:dyDescent="0.25">
      <c r="A72" s="1902"/>
      <c r="B72" s="1030" t="s">
        <v>1122</v>
      </c>
      <c r="C72" s="2484"/>
      <c r="D72" s="2484"/>
      <c r="E72" s="2523"/>
      <c r="F72" s="2522"/>
      <c r="G72" s="2223"/>
      <c r="H72" s="2485"/>
    </row>
    <row r="73" spans="1:8" x14ac:dyDescent="0.25">
      <c r="A73" s="1902"/>
      <c r="B73" s="1030"/>
      <c r="C73" s="2484"/>
      <c r="D73" s="2484"/>
      <c r="E73" s="2523"/>
      <c r="F73" s="2522"/>
      <c r="G73" s="2223"/>
      <c r="H73" s="2485"/>
    </row>
    <row r="74" spans="1:8" ht="26.4" x14ac:dyDescent="0.25">
      <c r="A74" s="1902"/>
      <c r="B74" s="1031" t="s">
        <v>1123</v>
      </c>
      <c r="C74" s="2484"/>
      <c r="D74" s="2484"/>
      <c r="E74" s="2523"/>
      <c r="F74" s="2522"/>
      <c r="G74" s="2223"/>
      <c r="H74" s="2485"/>
    </row>
    <row r="75" spans="1:8" x14ac:dyDescent="0.25">
      <c r="A75" s="1945"/>
      <c r="B75" s="1026"/>
      <c r="C75" s="2484"/>
      <c r="D75" s="2484"/>
      <c r="E75" s="2523"/>
      <c r="F75" s="2522"/>
      <c r="G75" s="2223"/>
      <c r="H75" s="2485"/>
    </row>
    <row r="76" spans="1:8" ht="26.4" x14ac:dyDescent="0.25">
      <c r="A76" s="1945" t="s">
        <v>1124</v>
      </c>
      <c r="B76" s="1033" t="s">
        <v>1987</v>
      </c>
      <c r="C76" s="2484">
        <v>1</v>
      </c>
      <c r="D76" s="2484" t="s">
        <v>13</v>
      </c>
      <c r="E76" s="2523">
        <v>60000</v>
      </c>
      <c r="F76" s="2468">
        <f>+$I$1</f>
        <v>0.8</v>
      </c>
      <c r="G76" s="374">
        <f>ROUNDUP(E76/F76,-1)</f>
        <v>75000</v>
      </c>
      <c r="H76" s="2529">
        <f>C76*G76</f>
        <v>75000</v>
      </c>
    </row>
    <row r="77" spans="1:8" x14ac:dyDescent="0.25">
      <c r="A77" s="1945"/>
      <c r="B77" s="1033"/>
      <c r="C77" s="2484"/>
      <c r="D77" s="2484"/>
      <c r="E77" s="2523"/>
      <c r="F77" s="2522"/>
      <c r="G77" s="2223"/>
      <c r="H77" s="2485"/>
    </row>
    <row r="78" spans="1:8" ht="26.4" x14ac:dyDescent="0.25">
      <c r="A78" s="1945" t="s">
        <v>1992</v>
      </c>
      <c r="B78" s="1033" t="s">
        <v>2649</v>
      </c>
      <c r="C78" s="2484">
        <v>1</v>
      </c>
      <c r="D78" s="2484" t="s">
        <v>13</v>
      </c>
      <c r="E78" s="2523">
        <v>25000</v>
      </c>
      <c r="F78" s="2468">
        <f>+$I$1</f>
        <v>0.8</v>
      </c>
      <c r="G78" s="374">
        <f>ROUNDUP(E78/F78,-1)</f>
        <v>31250</v>
      </c>
      <c r="H78" s="2529">
        <f>C78*G78</f>
        <v>31250</v>
      </c>
    </row>
    <row r="79" spans="1:8" x14ac:dyDescent="0.25">
      <c r="A79" s="1945"/>
      <c r="B79" s="1033"/>
      <c r="C79" s="2484"/>
      <c r="D79" s="2484"/>
      <c r="E79" s="2523"/>
      <c r="F79" s="2522"/>
      <c r="G79" s="2223"/>
      <c r="H79" s="2485"/>
    </row>
    <row r="80" spans="1:8" ht="26.4" x14ac:dyDescent="0.25">
      <c r="A80" s="1946" t="s">
        <v>634</v>
      </c>
      <c r="B80" s="371" t="s">
        <v>1130</v>
      </c>
      <c r="C80" s="371"/>
      <c r="D80" s="371"/>
      <c r="E80" s="2523"/>
      <c r="F80" s="2522"/>
      <c r="G80" s="2223"/>
      <c r="H80" s="2485"/>
    </row>
    <row r="81" spans="1:8" x14ac:dyDescent="0.25">
      <c r="A81" s="1902"/>
      <c r="B81" s="1029"/>
      <c r="C81" s="2484"/>
      <c r="D81" s="2484"/>
      <c r="E81" s="2523"/>
      <c r="F81" s="2522"/>
      <c r="G81" s="2223"/>
      <c r="H81" s="2485"/>
    </row>
    <row r="82" spans="1:8" ht="52.8" x14ac:dyDescent="0.25">
      <c r="A82" s="1902"/>
      <c r="B82" s="1111" t="s">
        <v>1125</v>
      </c>
      <c r="C82" s="2484"/>
      <c r="D82" s="2484"/>
      <c r="E82" s="2523"/>
      <c r="F82" s="2522"/>
      <c r="G82" s="2223"/>
      <c r="H82" s="2485"/>
    </row>
    <row r="83" spans="1:8" x14ac:dyDescent="0.25">
      <c r="A83" s="1902"/>
      <c r="B83" s="1111"/>
      <c r="C83" s="2484"/>
      <c r="D83" s="2484"/>
      <c r="E83" s="2523"/>
      <c r="F83" s="2522"/>
      <c r="G83" s="2223"/>
      <c r="H83" s="2485"/>
    </row>
    <row r="84" spans="1:8" ht="39.6" x14ac:dyDescent="0.25">
      <c r="A84" s="1902"/>
      <c r="B84" s="1111" t="s">
        <v>1126</v>
      </c>
      <c r="C84" s="2484"/>
      <c r="D84" s="2484"/>
      <c r="E84" s="2523"/>
      <c r="F84" s="2522"/>
      <c r="G84" s="2223"/>
      <c r="H84" s="2485"/>
    </row>
    <row r="85" spans="1:8" x14ac:dyDescent="0.25">
      <c r="A85" s="1902"/>
      <c r="B85" s="1111"/>
      <c r="C85" s="2484"/>
      <c r="D85" s="2484"/>
      <c r="E85" s="2523"/>
      <c r="F85" s="2522"/>
      <c r="G85" s="2223"/>
      <c r="H85" s="2485"/>
    </row>
    <row r="86" spans="1:8" ht="26.4" x14ac:dyDescent="0.25">
      <c r="A86" s="1902"/>
      <c r="B86" s="1111" t="s">
        <v>2480</v>
      </c>
      <c r="C86" s="2484"/>
      <c r="D86" s="2484"/>
      <c r="E86" s="2523"/>
      <c r="F86" s="2522"/>
      <c r="G86" s="2223"/>
      <c r="H86" s="2485"/>
    </row>
    <row r="87" spans="1:8" x14ac:dyDescent="0.25">
      <c r="A87" s="1902"/>
      <c r="B87" s="1111"/>
      <c r="C87" s="2484"/>
      <c r="D87" s="2484"/>
      <c r="E87" s="2523"/>
      <c r="F87" s="2522"/>
      <c r="G87" s="2223"/>
      <c r="H87" s="2485"/>
    </row>
    <row r="88" spans="1:8" ht="40.200000000000003" thickBot="1" x14ac:dyDescent="0.3">
      <c r="A88" s="2621"/>
      <c r="B88" s="2643" t="s">
        <v>1128</v>
      </c>
      <c r="C88" s="2609"/>
      <c r="D88" s="2609"/>
      <c r="E88" s="2624"/>
      <c r="F88" s="2625"/>
      <c r="G88" s="2626"/>
      <c r="H88" s="2612"/>
    </row>
    <row r="89" spans="1:8" ht="27" thickTop="1" x14ac:dyDescent="0.25">
      <c r="A89" s="2627"/>
      <c r="B89" s="2644" t="s">
        <v>1129</v>
      </c>
      <c r="C89" s="2602"/>
      <c r="D89" s="2602"/>
      <c r="E89" s="2630"/>
      <c r="F89" s="2636"/>
      <c r="G89" s="2637"/>
      <c r="H89" s="2605"/>
    </row>
    <row r="90" spans="1:8" x14ac:dyDescent="0.25">
      <c r="A90" s="1902"/>
      <c r="B90" s="1111"/>
      <c r="C90" s="2484"/>
      <c r="D90" s="2484"/>
      <c r="E90" s="2523"/>
      <c r="F90" s="2522"/>
      <c r="G90" s="2223"/>
      <c r="H90" s="2485"/>
    </row>
    <row r="91" spans="1:8" ht="66" x14ac:dyDescent="0.25">
      <c r="A91" s="1902"/>
      <c r="B91" s="1111" t="s">
        <v>1193</v>
      </c>
      <c r="C91" s="2484"/>
      <c r="D91" s="2484"/>
      <c r="E91" s="2523"/>
      <c r="F91" s="2522"/>
      <c r="G91" s="2223"/>
      <c r="H91" s="2485"/>
    </row>
    <row r="92" spans="1:8" x14ac:dyDescent="0.25">
      <c r="A92" s="1902"/>
      <c r="B92" s="1111"/>
      <c r="C92" s="2484"/>
      <c r="D92" s="2484"/>
      <c r="E92" s="2523"/>
      <c r="F92" s="2522"/>
      <c r="G92" s="2223"/>
      <c r="H92" s="2485"/>
    </row>
    <row r="93" spans="1:8" ht="52.8" x14ac:dyDescent="0.25">
      <c r="A93" s="1902"/>
      <c r="B93" s="1111" t="s">
        <v>1194</v>
      </c>
      <c r="C93" s="2484"/>
      <c r="D93" s="2484"/>
      <c r="E93" s="2523"/>
      <c r="F93" s="2522"/>
      <c r="G93" s="2223"/>
      <c r="H93" s="2485"/>
    </row>
    <row r="94" spans="1:8" x14ac:dyDescent="0.25">
      <c r="A94" s="1902"/>
      <c r="B94" s="1111"/>
      <c r="C94" s="2484"/>
      <c r="D94" s="2484"/>
      <c r="E94" s="2523"/>
      <c r="F94" s="2522"/>
      <c r="G94" s="2223"/>
      <c r="H94" s="2485"/>
    </row>
    <row r="95" spans="1:8" ht="136.80000000000001" customHeight="1" x14ac:dyDescent="0.25">
      <c r="A95" s="1902"/>
      <c r="B95" s="1111" t="s">
        <v>1358</v>
      </c>
      <c r="C95" s="2484"/>
      <c r="D95" s="2484"/>
      <c r="E95" s="2523"/>
      <c r="F95" s="2522"/>
      <c r="G95" s="2223"/>
      <c r="H95" s="2485"/>
    </row>
    <row r="96" spans="1:8" x14ac:dyDescent="0.25">
      <c r="A96" s="1902"/>
      <c r="B96" s="1111"/>
      <c r="C96" s="2484"/>
      <c r="D96" s="2484"/>
      <c r="E96" s="2523"/>
      <c r="F96" s="2522"/>
      <c r="G96" s="2223"/>
      <c r="H96" s="2485"/>
    </row>
    <row r="97" spans="1:8" ht="26.4" x14ac:dyDescent="0.25">
      <c r="A97" s="1902"/>
      <c r="B97" s="1111" t="s">
        <v>1196</v>
      </c>
      <c r="C97" s="2484"/>
      <c r="D97" s="2484"/>
      <c r="E97" s="2523"/>
      <c r="F97" s="2522"/>
      <c r="G97" s="2223"/>
      <c r="H97" s="2485"/>
    </row>
    <row r="98" spans="1:8" x14ac:dyDescent="0.25">
      <c r="A98" s="1902"/>
      <c r="B98" s="1111"/>
      <c r="C98" s="2484"/>
      <c r="D98" s="2484"/>
      <c r="E98" s="2523"/>
      <c r="F98" s="2522"/>
      <c r="G98" s="2223"/>
      <c r="H98" s="2485"/>
    </row>
    <row r="99" spans="1:8" ht="92.4" x14ac:dyDescent="0.25">
      <c r="A99" s="1902"/>
      <c r="B99" s="1111" t="s">
        <v>1359</v>
      </c>
      <c r="C99" s="2484"/>
      <c r="D99" s="2484"/>
      <c r="E99" s="2523"/>
      <c r="F99" s="2522"/>
      <c r="G99" s="2223"/>
      <c r="H99" s="2485"/>
    </row>
    <row r="100" spans="1:8" x14ac:dyDescent="0.25">
      <c r="A100" s="1902"/>
      <c r="B100" s="1111"/>
      <c r="C100" s="2484"/>
      <c r="D100" s="2484"/>
      <c r="E100" s="2523"/>
      <c r="F100" s="2522"/>
      <c r="G100" s="2223"/>
      <c r="H100" s="2485"/>
    </row>
    <row r="101" spans="1:8" ht="39.6" x14ac:dyDescent="0.25">
      <c r="A101" s="1902"/>
      <c r="B101" s="1111" t="s">
        <v>1360</v>
      </c>
      <c r="C101" s="2484"/>
      <c r="D101" s="2484"/>
      <c r="E101" s="2523"/>
      <c r="F101" s="2522"/>
      <c r="G101" s="2223"/>
      <c r="H101" s="2485"/>
    </row>
    <row r="102" spans="1:8" x14ac:dyDescent="0.25">
      <c r="A102" s="1902"/>
      <c r="B102" s="1111"/>
      <c r="C102" s="2484"/>
      <c r="D102" s="2484"/>
      <c r="E102" s="2523"/>
      <c r="F102" s="2522"/>
      <c r="G102" s="2223"/>
      <c r="H102" s="2485"/>
    </row>
    <row r="103" spans="1:8" ht="39.6" x14ac:dyDescent="0.25">
      <c r="A103" s="1902"/>
      <c r="B103" s="1111" t="s">
        <v>1361</v>
      </c>
      <c r="C103" s="2484"/>
      <c r="D103" s="2484"/>
      <c r="E103" s="2523"/>
      <c r="F103" s="2522"/>
      <c r="G103" s="2223"/>
      <c r="H103" s="2485"/>
    </row>
    <row r="104" spans="1:8" x14ac:dyDescent="0.25">
      <c r="A104" s="1902"/>
      <c r="B104" s="1111"/>
      <c r="C104" s="2484"/>
      <c r="D104" s="2484"/>
      <c r="E104" s="2523"/>
      <c r="F104" s="2522"/>
      <c r="G104" s="2223"/>
      <c r="H104" s="2485"/>
    </row>
    <row r="105" spans="1:8" ht="39.6" x14ac:dyDescent="0.25">
      <c r="A105" s="1902"/>
      <c r="B105" s="1111" t="s">
        <v>1362</v>
      </c>
      <c r="C105" s="2484"/>
      <c r="D105" s="2484"/>
      <c r="E105" s="2523"/>
      <c r="F105" s="2522"/>
      <c r="G105" s="2223"/>
      <c r="H105" s="2485"/>
    </row>
    <row r="106" spans="1:8" x14ac:dyDescent="0.25">
      <c r="A106" s="1902"/>
      <c r="B106" s="1111"/>
      <c r="C106" s="2484"/>
      <c r="D106" s="2484"/>
      <c r="E106" s="2523"/>
      <c r="F106" s="2522"/>
      <c r="G106" s="2223"/>
      <c r="H106" s="2485"/>
    </row>
    <row r="107" spans="1:8" ht="39.6" x14ac:dyDescent="0.25">
      <c r="A107" s="1902"/>
      <c r="B107" s="1111" t="s">
        <v>1363</v>
      </c>
      <c r="C107" s="2484"/>
      <c r="D107" s="2484"/>
      <c r="E107" s="2523"/>
      <c r="F107" s="2522"/>
      <c r="G107" s="2223"/>
      <c r="H107" s="2485"/>
    </row>
    <row r="108" spans="1:8" x14ac:dyDescent="0.25">
      <c r="A108" s="1902"/>
      <c r="B108" s="1111"/>
      <c r="C108" s="2484"/>
      <c r="D108" s="2484"/>
      <c r="E108" s="2523"/>
      <c r="F108" s="2522"/>
      <c r="G108" s="2223"/>
      <c r="H108" s="2485"/>
    </row>
    <row r="109" spans="1:8" ht="26.4" x14ac:dyDescent="0.25">
      <c r="A109" s="1902"/>
      <c r="B109" s="1111" t="s">
        <v>1364</v>
      </c>
      <c r="C109" s="2484"/>
      <c r="D109" s="2484"/>
      <c r="E109" s="2523"/>
      <c r="F109" s="2522"/>
      <c r="G109" s="2223"/>
      <c r="H109" s="2485"/>
    </row>
    <row r="110" spans="1:8" x14ac:dyDescent="0.25">
      <c r="A110" s="1902"/>
      <c r="B110" s="1111"/>
      <c r="C110" s="2484"/>
      <c r="D110" s="2484"/>
      <c r="E110" s="2523"/>
      <c r="F110" s="2522"/>
      <c r="G110" s="2223"/>
      <c r="H110" s="2485"/>
    </row>
    <row r="111" spans="1:8" x14ac:dyDescent="0.25">
      <c r="A111" s="1902"/>
      <c r="B111" s="1111" t="s">
        <v>1365</v>
      </c>
      <c r="C111" s="2484"/>
      <c r="D111" s="2484"/>
      <c r="E111" s="2523"/>
      <c r="F111" s="2522"/>
      <c r="G111" s="2223"/>
      <c r="H111" s="2485"/>
    </row>
    <row r="112" spans="1:8" x14ac:dyDescent="0.25">
      <c r="A112" s="1902"/>
      <c r="B112" s="1111"/>
      <c r="C112" s="2484"/>
      <c r="D112" s="2484"/>
      <c r="E112" s="2523"/>
      <c r="F112" s="2522"/>
      <c r="G112" s="2223"/>
      <c r="H112" s="2485"/>
    </row>
    <row r="113" spans="1:8" ht="27" thickBot="1" x14ac:dyDescent="0.3">
      <c r="A113" s="2621"/>
      <c r="B113" s="2643" t="s">
        <v>1366</v>
      </c>
      <c r="C113" s="2609"/>
      <c r="D113" s="2609"/>
      <c r="E113" s="2624"/>
      <c r="F113" s="2625"/>
      <c r="G113" s="2626"/>
      <c r="H113" s="2612"/>
    </row>
    <row r="114" spans="1:8" ht="66.599999999999994" thickTop="1" x14ac:dyDescent="0.25">
      <c r="A114" s="2627"/>
      <c r="B114" s="2644" t="s">
        <v>1367</v>
      </c>
      <c r="C114" s="2602"/>
      <c r="D114" s="2602"/>
      <c r="E114" s="2630"/>
      <c r="F114" s="2636"/>
      <c r="G114" s="2637"/>
      <c r="H114" s="2605"/>
    </row>
    <row r="115" spans="1:8" x14ac:dyDescent="0.25">
      <c r="A115" s="1902"/>
      <c r="B115" s="1111"/>
      <c r="C115" s="2484"/>
      <c r="D115" s="2484"/>
      <c r="E115" s="2523"/>
      <c r="F115" s="2522"/>
      <c r="G115" s="2223"/>
      <c r="H115" s="2485"/>
    </row>
    <row r="116" spans="1:8" ht="52.8" x14ac:dyDescent="0.25">
      <c r="A116" s="1902"/>
      <c r="B116" s="1111" t="s">
        <v>1201</v>
      </c>
      <c r="C116" s="2484"/>
      <c r="D116" s="2484"/>
      <c r="E116" s="2523"/>
      <c r="F116" s="2522"/>
      <c r="G116" s="2223"/>
      <c r="H116" s="2485"/>
    </row>
    <row r="117" spans="1:8" x14ac:dyDescent="0.25">
      <c r="A117" s="1902"/>
      <c r="B117" s="1111"/>
      <c r="C117" s="2484"/>
      <c r="D117" s="2484"/>
      <c r="E117" s="2523"/>
      <c r="F117" s="2522"/>
      <c r="G117" s="2223"/>
      <c r="H117" s="2485"/>
    </row>
    <row r="118" spans="1:8" ht="39.6" x14ac:dyDescent="0.25">
      <c r="A118" s="1902"/>
      <c r="B118" s="1111" t="s">
        <v>1202</v>
      </c>
      <c r="C118" s="2484"/>
      <c r="D118" s="2484"/>
      <c r="E118" s="2523"/>
      <c r="F118" s="2522"/>
      <c r="G118" s="2223"/>
      <c r="H118" s="2485"/>
    </row>
    <row r="119" spans="1:8" x14ac:dyDescent="0.25">
      <c r="A119" s="1902"/>
      <c r="B119" s="1111"/>
      <c r="C119" s="2484"/>
      <c r="D119" s="2484"/>
      <c r="E119" s="2523"/>
      <c r="F119" s="2522"/>
      <c r="G119" s="2223"/>
      <c r="H119" s="2485"/>
    </row>
    <row r="120" spans="1:8" ht="26.4" x14ac:dyDescent="0.25">
      <c r="A120" s="1902"/>
      <c r="B120" s="1225" t="s">
        <v>2650</v>
      </c>
      <c r="C120" s="2484"/>
      <c r="D120" s="2484"/>
      <c r="E120" s="2523"/>
      <c r="F120" s="2522"/>
      <c r="G120" s="2223"/>
      <c r="H120" s="2485"/>
    </row>
    <row r="121" spans="1:8" x14ac:dyDescent="0.25">
      <c r="A121" s="1902" t="s">
        <v>1131</v>
      </c>
      <c r="B121" s="1034" t="s">
        <v>3192</v>
      </c>
      <c r="C121" s="2484"/>
      <c r="D121" s="2484"/>
      <c r="E121" s="2523"/>
      <c r="F121" s="2522"/>
      <c r="G121" s="2223"/>
      <c r="H121" s="2485"/>
    </row>
    <row r="122" spans="1:8" ht="79.2" hidden="1" x14ac:dyDescent="0.25">
      <c r="A122" s="1902"/>
      <c r="B122" s="1035" t="s">
        <v>1135</v>
      </c>
      <c r="C122" s="2877">
        <v>1</v>
      </c>
      <c r="D122" s="2878" t="s">
        <v>1602</v>
      </c>
      <c r="E122" s="2879">
        <v>400000</v>
      </c>
      <c r="F122" s="2522"/>
      <c r="G122" s="2223"/>
      <c r="H122" s="2880"/>
    </row>
    <row r="123" spans="1:8" hidden="1" x14ac:dyDescent="0.25">
      <c r="A123" s="1902"/>
      <c r="B123" s="1036" t="s">
        <v>1132</v>
      </c>
      <c r="C123" s="2877"/>
      <c r="D123" s="2878"/>
      <c r="E123" s="2879"/>
      <c r="F123" s="2522"/>
      <c r="G123" s="2223"/>
      <c r="H123" s="2880"/>
    </row>
    <row r="124" spans="1:8" ht="105.6" x14ac:dyDescent="0.25">
      <c r="A124" s="1902"/>
      <c r="B124" s="1029" t="s">
        <v>2006</v>
      </c>
      <c r="C124" s="2877"/>
      <c r="D124" s="2878"/>
      <c r="E124" s="2879"/>
      <c r="F124" s="2522"/>
      <c r="G124" s="2223"/>
      <c r="H124" s="2880"/>
    </row>
    <row r="125" spans="1:8" ht="39.6" hidden="1" x14ac:dyDescent="0.25">
      <c r="A125" s="1902"/>
      <c r="B125" s="1037" t="s">
        <v>2477</v>
      </c>
      <c r="C125" s="2484"/>
      <c r="D125" s="2484"/>
      <c r="E125" s="2523"/>
      <c r="F125" s="2522"/>
      <c r="G125" s="2223"/>
      <c r="H125" s="2485"/>
    </row>
    <row r="126" spans="1:8" x14ac:dyDescent="0.25">
      <c r="A126" s="1902"/>
      <c r="B126" s="1037"/>
      <c r="C126" s="2484"/>
      <c r="D126" s="2484"/>
      <c r="E126" s="2523"/>
      <c r="F126" s="2522"/>
      <c r="G126" s="2223"/>
      <c r="H126" s="2485"/>
    </row>
    <row r="127" spans="1:8" hidden="1" x14ac:dyDescent="0.25">
      <c r="A127" s="1902" t="s">
        <v>1133</v>
      </c>
      <c r="B127" s="1038" t="s">
        <v>1998</v>
      </c>
      <c r="C127" s="2484"/>
      <c r="D127" s="2484"/>
      <c r="E127" s="2523"/>
      <c r="F127" s="2522"/>
      <c r="G127" s="2223"/>
      <c r="H127" s="2485"/>
    </row>
    <row r="128" spans="1:8" ht="26.4" hidden="1" x14ac:dyDescent="0.25">
      <c r="A128" s="1902"/>
      <c r="B128" s="1038" t="s">
        <v>3117</v>
      </c>
      <c r="C128" s="2484"/>
      <c r="D128" s="2484"/>
      <c r="E128" s="2523"/>
      <c r="F128" s="2522"/>
      <c r="G128" s="2223"/>
      <c r="H128" s="2485"/>
    </row>
    <row r="129" spans="1:8" ht="92.4" hidden="1" x14ac:dyDescent="0.25">
      <c r="A129" s="1902"/>
      <c r="B129" s="1039" t="s">
        <v>1134</v>
      </c>
      <c r="C129" s="2877"/>
      <c r="D129" s="2878" t="s">
        <v>1602</v>
      </c>
      <c r="E129" s="2879"/>
      <c r="F129" s="2522"/>
      <c r="G129" s="2223"/>
      <c r="H129" s="2880"/>
    </row>
    <row r="130" spans="1:8" ht="113.4" hidden="1" customHeight="1" x14ac:dyDescent="0.25">
      <c r="A130" s="1902"/>
      <c r="B130" s="1039" t="s">
        <v>2007</v>
      </c>
      <c r="C130" s="2877"/>
      <c r="D130" s="2878"/>
      <c r="E130" s="2879"/>
      <c r="F130" s="2522"/>
      <c r="G130" s="2223"/>
      <c r="H130" s="2880"/>
    </row>
    <row r="131" spans="1:8" ht="39.6" hidden="1" x14ac:dyDescent="0.25">
      <c r="A131" s="1902"/>
      <c r="B131" s="1039" t="s">
        <v>2477</v>
      </c>
      <c r="C131" s="2483"/>
      <c r="D131" s="2484"/>
      <c r="E131" s="2523"/>
      <c r="F131" s="2522"/>
      <c r="G131" s="2223"/>
      <c r="H131" s="2485"/>
    </row>
    <row r="132" spans="1:8" hidden="1" x14ac:dyDescent="0.25">
      <c r="A132" s="1902" t="s">
        <v>2002</v>
      </c>
      <c r="B132" s="1038" t="s">
        <v>2001</v>
      </c>
      <c r="C132" s="2483"/>
      <c r="D132" s="2484"/>
      <c r="E132" s="2523"/>
      <c r="F132" s="2522"/>
      <c r="G132" s="2223"/>
      <c r="H132" s="2485"/>
    </row>
    <row r="133" spans="1:8" ht="105.6" hidden="1" x14ac:dyDescent="0.25">
      <c r="A133" s="1902"/>
      <c r="B133" s="1039" t="s">
        <v>2482</v>
      </c>
      <c r="C133" s="2483"/>
      <c r="D133" s="2484" t="s">
        <v>1602</v>
      </c>
      <c r="E133" s="2523"/>
      <c r="F133" s="2522"/>
      <c r="G133" s="2223"/>
      <c r="H133" s="2485"/>
    </row>
    <row r="134" spans="1:8" ht="26.4" hidden="1" x14ac:dyDescent="0.25">
      <c r="A134" s="1902"/>
      <c r="B134" s="1039" t="s">
        <v>2478</v>
      </c>
      <c r="C134" s="2483"/>
      <c r="D134" s="2484"/>
      <c r="E134" s="2523"/>
      <c r="F134" s="2522"/>
      <c r="G134" s="2223"/>
      <c r="H134" s="2485"/>
    </row>
    <row r="135" spans="1:8" hidden="1" x14ac:dyDescent="0.25">
      <c r="A135" s="1902"/>
      <c r="B135" s="1039"/>
      <c r="C135" s="2483"/>
      <c r="D135" s="761"/>
      <c r="E135" s="2524"/>
      <c r="F135" s="2525"/>
      <c r="G135" s="2224"/>
      <c r="H135" s="1947"/>
    </row>
    <row r="136" spans="1:8" hidden="1" x14ac:dyDescent="0.25">
      <c r="A136" s="1902" t="s">
        <v>2003</v>
      </c>
      <c r="B136" s="1038" t="s">
        <v>2445</v>
      </c>
      <c r="C136" s="2483"/>
      <c r="D136" s="2484"/>
      <c r="E136" s="2523"/>
      <c r="F136" s="2522"/>
      <c r="G136" s="2223"/>
      <c r="H136" s="2485"/>
    </row>
    <row r="137" spans="1:8" ht="105.6" hidden="1" x14ac:dyDescent="0.25">
      <c r="A137" s="1902"/>
      <c r="B137" s="1039" t="s">
        <v>2008</v>
      </c>
      <c r="C137" s="2483"/>
      <c r="D137" s="2484" t="s">
        <v>1602</v>
      </c>
      <c r="E137" s="2523"/>
      <c r="F137" s="2522"/>
      <c r="G137" s="2223"/>
      <c r="H137" s="2485"/>
    </row>
    <row r="138" spans="1:8" ht="39.6" hidden="1" x14ac:dyDescent="0.25">
      <c r="A138" s="1902"/>
      <c r="B138" s="1039" t="s">
        <v>2477</v>
      </c>
      <c r="C138" s="2483"/>
      <c r="D138" s="761"/>
      <c r="E138" s="2524"/>
      <c r="F138" s="2525"/>
      <c r="G138" s="2224"/>
      <c r="H138" s="1947"/>
    </row>
    <row r="139" spans="1:8" hidden="1" x14ac:dyDescent="0.25">
      <c r="A139" s="1902"/>
      <c r="B139" s="1039"/>
      <c r="C139" s="2483"/>
      <c r="D139" s="761"/>
      <c r="E139" s="2524"/>
      <c r="F139" s="2525"/>
      <c r="G139" s="2224"/>
      <c r="H139" s="1947"/>
    </row>
    <row r="140" spans="1:8" hidden="1" x14ac:dyDescent="0.25">
      <c r="A140" s="1902" t="s">
        <v>2003</v>
      </c>
      <c r="B140" s="1112" t="s">
        <v>1994</v>
      </c>
      <c r="C140" s="2483"/>
      <c r="D140" s="2484"/>
      <c r="E140" s="2523"/>
      <c r="F140" s="2522"/>
      <c r="G140" s="2223"/>
      <c r="H140" s="2485"/>
    </row>
    <row r="141" spans="1:8" ht="92.4" hidden="1" x14ac:dyDescent="0.25">
      <c r="A141" s="1902"/>
      <c r="B141" s="1039" t="s">
        <v>2497</v>
      </c>
      <c r="C141" s="2484"/>
      <c r="D141" s="2484" t="s">
        <v>1602</v>
      </c>
      <c r="E141" s="2524"/>
      <c r="F141" s="2525"/>
      <c r="G141" s="2224"/>
      <c r="H141" s="1947"/>
    </row>
    <row r="142" spans="1:8" ht="39.6" hidden="1" x14ac:dyDescent="0.25">
      <c r="A142" s="1902"/>
      <c r="B142" s="1039" t="s">
        <v>2477</v>
      </c>
      <c r="C142" s="2484"/>
      <c r="D142" s="761"/>
      <c r="E142" s="2524"/>
      <c r="F142" s="2525"/>
      <c r="G142" s="2224"/>
      <c r="H142" s="1947"/>
    </row>
    <row r="143" spans="1:8" hidden="1" x14ac:dyDescent="0.25">
      <c r="A143" s="1902"/>
      <c r="B143" s="1039"/>
      <c r="C143" s="2484"/>
      <c r="D143" s="761"/>
      <c r="E143" s="2524"/>
      <c r="F143" s="2525"/>
      <c r="G143" s="2224"/>
      <c r="H143" s="1947"/>
    </row>
    <row r="144" spans="1:8" hidden="1" x14ac:dyDescent="0.25">
      <c r="A144" s="1902"/>
      <c r="B144" s="1039"/>
      <c r="C144" s="2484"/>
      <c r="D144" s="761"/>
      <c r="E144" s="2524"/>
      <c r="F144" s="2525"/>
      <c r="G144" s="2224"/>
      <c r="H144" s="1947"/>
    </row>
    <row r="145" spans="1:8" hidden="1" x14ac:dyDescent="0.25">
      <c r="A145" s="1902"/>
      <c r="B145" s="1039"/>
      <c r="C145" s="2484"/>
      <c r="D145" s="761"/>
      <c r="E145" s="2524"/>
      <c r="F145" s="2525"/>
      <c r="G145" s="2224"/>
      <c r="H145" s="1947"/>
    </row>
    <row r="146" spans="1:8" hidden="1" x14ac:dyDescent="0.25">
      <c r="A146" s="1902"/>
      <c r="B146" s="1039"/>
      <c r="C146" s="2484"/>
      <c r="D146" s="761"/>
      <c r="E146" s="2524"/>
      <c r="F146" s="2525"/>
      <c r="G146" s="2224"/>
      <c r="H146" s="1947"/>
    </row>
    <row r="147" spans="1:8" hidden="1" x14ac:dyDescent="0.25">
      <c r="A147" s="1902"/>
      <c r="B147" s="1039"/>
      <c r="C147" s="2484"/>
      <c r="D147" s="761"/>
      <c r="E147" s="2524"/>
      <c r="F147" s="2525"/>
      <c r="G147" s="2224"/>
      <c r="H147" s="1947"/>
    </row>
    <row r="148" spans="1:8" hidden="1" x14ac:dyDescent="0.25">
      <c r="A148" s="1902"/>
      <c r="B148" s="1039"/>
      <c r="C148" s="2484"/>
      <c r="D148" s="761"/>
      <c r="E148" s="2524"/>
      <c r="F148" s="2525"/>
      <c r="G148" s="2224"/>
      <c r="H148" s="1947"/>
    </row>
    <row r="149" spans="1:8" hidden="1" x14ac:dyDescent="0.25">
      <c r="A149" s="1902"/>
      <c r="B149" s="1039"/>
      <c r="C149" s="2484"/>
      <c r="D149" s="761"/>
      <c r="E149" s="2524"/>
      <c r="F149" s="2525"/>
      <c r="G149" s="2224"/>
      <c r="H149" s="1947"/>
    </row>
    <row r="150" spans="1:8" hidden="1" x14ac:dyDescent="0.25">
      <c r="A150" s="1902"/>
      <c r="B150" s="1039"/>
      <c r="C150" s="2484"/>
      <c r="D150" s="761"/>
      <c r="E150" s="2524"/>
      <c r="F150" s="2525"/>
      <c r="G150" s="2224"/>
      <c r="H150" s="1947"/>
    </row>
    <row r="151" spans="1:8" hidden="1" x14ac:dyDescent="0.25">
      <c r="A151" s="1902"/>
      <c r="B151" s="1039"/>
      <c r="C151" s="2483"/>
      <c r="D151" s="2484"/>
      <c r="E151" s="2523"/>
      <c r="F151" s="2522"/>
      <c r="G151" s="2223"/>
      <c r="H151" s="2485"/>
    </row>
    <row r="152" spans="1:8" hidden="1" x14ac:dyDescent="0.25">
      <c r="A152" s="1902" t="s">
        <v>2005</v>
      </c>
      <c r="B152" s="1112" t="s">
        <v>2004</v>
      </c>
      <c r="C152" s="2483"/>
      <c r="D152" s="2484"/>
      <c r="E152" s="2523"/>
      <c r="F152" s="2522"/>
      <c r="G152" s="2223"/>
      <c r="H152" s="2485"/>
    </row>
    <row r="153" spans="1:8" x14ac:dyDescent="0.25">
      <c r="A153" s="1946" t="s">
        <v>636</v>
      </c>
      <c r="B153" s="1181" t="s">
        <v>1136</v>
      </c>
      <c r="C153" s="2483"/>
      <c r="D153" s="2484"/>
      <c r="E153" s="2523"/>
      <c r="F153" s="2522"/>
      <c r="G153" s="2223"/>
      <c r="H153" s="2485"/>
    </row>
    <row r="154" spans="1:8" x14ac:dyDescent="0.25">
      <c r="A154" s="1902"/>
      <c r="B154" s="1111"/>
      <c r="C154" s="2483"/>
      <c r="D154" s="2484"/>
      <c r="E154" s="2523"/>
      <c r="F154" s="2522"/>
      <c r="G154" s="2223"/>
      <c r="H154" s="2485"/>
    </row>
    <row r="155" spans="1:8" ht="92.4" x14ac:dyDescent="0.25">
      <c r="A155" s="1902"/>
      <c r="B155" s="1031" t="s">
        <v>1137</v>
      </c>
      <c r="C155" s="2483"/>
      <c r="D155" s="2484"/>
      <c r="E155" s="2523"/>
      <c r="F155" s="2522"/>
      <c r="G155" s="2223"/>
      <c r="H155" s="2485"/>
    </row>
    <row r="156" spans="1:8" x14ac:dyDescent="0.25">
      <c r="A156" s="1902"/>
      <c r="B156" s="1031"/>
      <c r="C156" s="2483"/>
      <c r="D156" s="2484"/>
      <c r="E156" s="2523"/>
      <c r="F156" s="2522"/>
      <c r="G156" s="2223"/>
      <c r="H156" s="2485"/>
    </row>
    <row r="157" spans="1:8" ht="39.6" x14ac:dyDescent="0.25">
      <c r="A157" s="1902"/>
      <c r="B157" s="1031" t="s">
        <v>1138</v>
      </c>
      <c r="C157" s="2483"/>
      <c r="D157" s="2484"/>
      <c r="E157" s="2523"/>
      <c r="F157" s="2522"/>
      <c r="G157" s="2223"/>
      <c r="H157" s="2485"/>
    </row>
    <row r="158" spans="1:8" x14ac:dyDescent="0.25">
      <c r="A158" s="1902"/>
      <c r="B158" s="1040"/>
      <c r="C158" s="2483"/>
      <c r="D158" s="2484"/>
      <c r="E158" s="2523"/>
      <c r="F158" s="2522"/>
      <c r="G158" s="2223"/>
      <c r="H158" s="2485"/>
    </row>
    <row r="159" spans="1:8" x14ac:dyDescent="0.25">
      <c r="A159" s="1902"/>
      <c r="B159" s="1111" t="s">
        <v>1170</v>
      </c>
      <c r="C159" s="2483"/>
      <c r="D159" s="2484"/>
      <c r="E159" s="2523"/>
      <c r="F159" s="2522"/>
      <c r="G159" s="2223"/>
      <c r="H159" s="2485"/>
    </row>
    <row r="160" spans="1:8" x14ac:dyDescent="0.25">
      <c r="A160" s="1902"/>
      <c r="B160" s="1111"/>
      <c r="C160" s="2483"/>
      <c r="D160" s="2484"/>
      <c r="E160" s="2523"/>
      <c r="F160" s="2522"/>
      <c r="G160" s="2223"/>
      <c r="H160" s="2485"/>
    </row>
    <row r="161" spans="1:8" ht="39.6" x14ac:dyDescent="0.25">
      <c r="A161" s="1902"/>
      <c r="B161" s="1111" t="s">
        <v>1171</v>
      </c>
      <c r="C161" s="2483"/>
      <c r="D161" s="2484"/>
      <c r="E161" s="2523"/>
      <c r="F161" s="2522"/>
      <c r="G161" s="2223"/>
      <c r="H161" s="2485"/>
    </row>
    <row r="162" spans="1:8" x14ac:dyDescent="0.25">
      <c r="A162" s="1902"/>
      <c r="B162" s="1029"/>
      <c r="C162" s="2483"/>
      <c r="D162" s="2484"/>
      <c r="E162" s="2523"/>
      <c r="F162" s="2522"/>
      <c r="G162" s="2223"/>
      <c r="H162" s="2485"/>
    </row>
    <row r="163" spans="1:8" ht="52.8" x14ac:dyDescent="0.25">
      <c r="A163" s="1902"/>
      <c r="B163" s="1111" t="s">
        <v>1172</v>
      </c>
      <c r="C163" s="2483"/>
      <c r="D163" s="2484"/>
      <c r="E163" s="2523"/>
      <c r="F163" s="2522"/>
      <c r="G163" s="2223"/>
      <c r="H163" s="2485"/>
    </row>
    <row r="164" spans="1:8" ht="39.6" x14ac:dyDescent="0.25">
      <c r="A164" s="1902"/>
      <c r="B164" s="1111" t="s">
        <v>1173</v>
      </c>
      <c r="C164" s="2483"/>
      <c r="D164" s="2484"/>
      <c r="E164" s="2523"/>
      <c r="F164" s="2522"/>
      <c r="G164" s="2223"/>
      <c r="H164" s="2485"/>
    </row>
    <row r="165" spans="1:8" x14ac:dyDescent="0.25">
      <c r="A165" s="1902"/>
      <c r="B165" s="1111"/>
      <c r="C165" s="2483"/>
      <c r="D165" s="2484"/>
      <c r="E165" s="2523"/>
      <c r="F165" s="2522"/>
      <c r="G165" s="2223"/>
      <c r="H165" s="2485"/>
    </row>
    <row r="166" spans="1:8" ht="39.6" x14ac:dyDescent="0.25">
      <c r="A166" s="1902"/>
      <c r="B166" s="1111" t="s">
        <v>1174</v>
      </c>
      <c r="C166" s="2483"/>
      <c r="D166" s="2484"/>
      <c r="E166" s="2523"/>
      <c r="F166" s="2522"/>
      <c r="G166" s="2223"/>
      <c r="H166" s="2485"/>
    </row>
    <row r="167" spans="1:8" ht="14.4" thickBot="1" x14ac:dyDescent="0.3">
      <c r="A167" s="2621"/>
      <c r="B167" s="2641"/>
      <c r="C167" s="2623"/>
      <c r="D167" s="2609"/>
      <c r="E167" s="2624"/>
      <c r="F167" s="2625"/>
      <c r="G167" s="2626"/>
      <c r="H167" s="2612"/>
    </row>
    <row r="168" spans="1:8" ht="45" thickTop="1" x14ac:dyDescent="0.25">
      <c r="A168" s="2627"/>
      <c r="B168" s="2642" t="s">
        <v>2651</v>
      </c>
      <c r="C168" s="2629"/>
      <c r="D168" s="2602"/>
      <c r="E168" s="2630"/>
      <c r="F168" s="2636"/>
      <c r="G168" s="2637"/>
      <c r="H168" s="2605"/>
    </row>
    <row r="169" spans="1:8" x14ac:dyDescent="0.25">
      <c r="A169" s="1902"/>
      <c r="B169" s="1042"/>
      <c r="C169" s="2483"/>
      <c r="D169" s="2484"/>
      <c r="E169" s="2523"/>
      <c r="F169" s="2522"/>
      <c r="G169" s="2223"/>
      <c r="H169" s="2485"/>
    </row>
    <row r="170" spans="1:8" ht="41.4" x14ac:dyDescent="0.25">
      <c r="A170" s="1902"/>
      <c r="B170" s="1042" t="s">
        <v>1176</v>
      </c>
      <c r="C170" s="2483"/>
      <c r="D170" s="2484"/>
      <c r="E170" s="2523"/>
      <c r="F170" s="2522"/>
      <c r="G170" s="2223"/>
      <c r="H170" s="2485"/>
    </row>
    <row r="171" spans="1:8" x14ac:dyDescent="0.25">
      <c r="A171" s="1902"/>
      <c r="B171" s="392"/>
      <c r="C171" s="2483"/>
      <c r="D171" s="2484"/>
      <c r="E171" s="2523"/>
      <c r="F171" s="2522"/>
      <c r="G171" s="2223"/>
      <c r="H171" s="2485"/>
    </row>
    <row r="172" spans="1:8" ht="27.6" x14ac:dyDescent="0.25">
      <c r="A172" s="1902"/>
      <c r="B172" s="1042" t="s">
        <v>1177</v>
      </c>
      <c r="C172" s="2483"/>
      <c r="D172" s="2484"/>
      <c r="E172" s="2523"/>
      <c r="F172" s="2522"/>
      <c r="G172" s="2223"/>
      <c r="H172" s="2485"/>
    </row>
    <row r="173" spans="1:8" x14ac:dyDescent="0.25">
      <c r="A173" s="1902"/>
      <c r="B173" s="396"/>
      <c r="C173" s="2483"/>
      <c r="D173" s="2484"/>
      <c r="E173" s="2523"/>
      <c r="F173" s="2522"/>
      <c r="G173" s="2223"/>
      <c r="H173" s="2485"/>
    </row>
    <row r="174" spans="1:8" x14ac:dyDescent="0.25">
      <c r="A174" s="1902"/>
      <c r="B174" s="396" t="s">
        <v>1203</v>
      </c>
      <c r="C174" s="2483"/>
      <c r="D174" s="2484"/>
      <c r="E174" s="2523"/>
      <c r="F174" s="2522"/>
      <c r="G174" s="2223"/>
      <c r="H174" s="2485"/>
    </row>
    <row r="175" spans="1:8" ht="41.4" x14ac:dyDescent="0.25">
      <c r="A175" s="1902"/>
      <c r="B175" s="1042" t="s">
        <v>2436</v>
      </c>
      <c r="C175" s="2483"/>
      <c r="D175" s="2484"/>
      <c r="E175" s="2523"/>
      <c r="F175" s="2522"/>
      <c r="G175" s="2223"/>
      <c r="H175" s="2485"/>
    </row>
    <row r="176" spans="1:8" x14ac:dyDescent="0.25">
      <c r="A176" s="1902"/>
      <c r="B176" s="396"/>
      <c r="C176" s="2483"/>
      <c r="D176" s="2484"/>
      <c r="E176" s="2523"/>
      <c r="F176" s="2522"/>
      <c r="G176" s="2223"/>
      <c r="H176" s="2485"/>
    </row>
    <row r="177" spans="1:8" x14ac:dyDescent="0.25">
      <c r="A177" s="1902"/>
      <c r="B177" s="977" t="s">
        <v>175</v>
      </c>
      <c r="C177" s="2483"/>
      <c r="D177" s="2484"/>
      <c r="E177" s="2523"/>
      <c r="F177" s="2522"/>
      <c r="G177" s="2223"/>
      <c r="H177" s="2485"/>
    </row>
    <row r="178" spans="1:8" ht="41.4" x14ac:dyDescent="0.25">
      <c r="A178" s="1902"/>
      <c r="B178" s="396" t="s">
        <v>1176</v>
      </c>
      <c r="C178" s="2483"/>
      <c r="D178" s="2484"/>
      <c r="E178" s="2523"/>
      <c r="F178" s="2522"/>
      <c r="G178" s="2223"/>
      <c r="H178" s="2485"/>
    </row>
    <row r="179" spans="1:8" x14ac:dyDescent="0.25">
      <c r="A179" s="1902"/>
      <c r="B179" s="396"/>
      <c r="C179" s="2483"/>
      <c r="D179" s="2484"/>
      <c r="E179" s="2523"/>
      <c r="F179" s="2522"/>
      <c r="G179" s="2223"/>
      <c r="H179" s="2485"/>
    </row>
    <row r="180" spans="1:8" ht="27.6" x14ac:dyDescent="0.25">
      <c r="A180" s="1902"/>
      <c r="B180" s="396" t="s">
        <v>1380</v>
      </c>
      <c r="C180" s="2483"/>
      <c r="D180" s="2484"/>
      <c r="E180" s="2523"/>
      <c r="F180" s="2522"/>
      <c r="G180" s="2223"/>
      <c r="H180" s="2485"/>
    </row>
    <row r="181" spans="1:8" x14ac:dyDescent="0.25">
      <c r="A181" s="1902"/>
      <c r="B181" s="396"/>
      <c r="C181" s="2483"/>
      <c r="D181" s="2484"/>
      <c r="E181" s="2523"/>
      <c r="F181" s="2522"/>
      <c r="G181" s="2223"/>
      <c r="H181" s="2485"/>
    </row>
    <row r="182" spans="1:8" ht="41.4" x14ac:dyDescent="0.25">
      <c r="A182" s="1902"/>
      <c r="B182" s="1148" t="s">
        <v>1825</v>
      </c>
      <c r="C182" s="2483"/>
      <c r="D182" s="2484"/>
      <c r="E182" s="2523"/>
      <c r="F182" s="2522"/>
      <c r="G182" s="2223"/>
      <c r="H182" s="2485"/>
    </row>
    <row r="183" spans="1:8" x14ac:dyDescent="0.25">
      <c r="A183" s="1902"/>
      <c r="B183" s="1148"/>
      <c r="C183" s="2483"/>
      <c r="D183" s="2484"/>
      <c r="E183" s="2523"/>
      <c r="F183" s="2522"/>
      <c r="G183" s="2223"/>
      <c r="H183" s="2485"/>
    </row>
    <row r="184" spans="1:8" x14ac:dyDescent="0.25">
      <c r="A184" s="1902"/>
      <c r="B184" s="1031" t="s">
        <v>2652</v>
      </c>
      <c r="C184" s="2483"/>
      <c r="D184" s="2484"/>
      <c r="E184" s="2523"/>
      <c r="F184" s="2522"/>
      <c r="G184" s="2223"/>
      <c r="H184" s="2485"/>
    </row>
    <row r="185" spans="1:8" x14ac:dyDescent="0.25">
      <c r="A185" s="1902"/>
      <c r="B185" s="396" t="s">
        <v>76</v>
      </c>
      <c r="C185" s="2483"/>
      <c r="D185" s="2484"/>
      <c r="E185" s="2523"/>
      <c r="F185" s="2522"/>
      <c r="G185" s="2223"/>
      <c r="H185" s="2485"/>
    </row>
    <row r="186" spans="1:8" x14ac:dyDescent="0.25">
      <c r="A186" s="1902"/>
      <c r="B186" s="977" t="s">
        <v>1368</v>
      </c>
      <c r="C186" s="2483"/>
      <c r="D186" s="2484"/>
      <c r="E186" s="2523"/>
      <c r="F186" s="2522"/>
      <c r="G186" s="2223"/>
      <c r="H186" s="2485"/>
    </row>
    <row r="187" spans="1:8" x14ac:dyDescent="0.25">
      <c r="A187" s="1902"/>
      <c r="B187" s="977"/>
      <c r="C187" s="2483"/>
      <c r="D187" s="2484"/>
      <c r="E187" s="2523"/>
      <c r="F187" s="2522"/>
      <c r="G187" s="2223"/>
      <c r="H187" s="2485"/>
    </row>
    <row r="188" spans="1:8" x14ac:dyDescent="0.25">
      <c r="A188" s="1902"/>
      <c r="B188" s="396" t="s">
        <v>1066</v>
      </c>
      <c r="C188" s="2483"/>
      <c r="D188" s="2484"/>
      <c r="E188" s="2523"/>
      <c r="F188" s="2522"/>
      <c r="G188" s="2223"/>
      <c r="H188" s="2485"/>
    </row>
    <row r="189" spans="1:8" x14ac:dyDescent="0.25">
      <c r="A189" s="1902"/>
      <c r="B189" s="396"/>
      <c r="C189" s="2483"/>
      <c r="D189" s="2484"/>
      <c r="E189" s="2523"/>
      <c r="F189" s="2522"/>
      <c r="G189" s="2223"/>
      <c r="H189" s="2485"/>
    </row>
    <row r="190" spans="1:8" ht="115.2" customHeight="1" x14ac:dyDescent="0.25">
      <c r="A190" s="1902"/>
      <c r="B190" s="368" t="s">
        <v>2653</v>
      </c>
      <c r="C190" s="2483">
        <v>22</v>
      </c>
      <c r="D190" s="2484" t="s">
        <v>1314</v>
      </c>
      <c r="E190" s="2523">
        <v>10000</v>
      </c>
      <c r="F190" s="2468">
        <f>+$I$1</f>
        <v>0.8</v>
      </c>
      <c r="G190" s="374">
        <f>ROUNDUP(E190/F190,-1)</f>
        <v>12500</v>
      </c>
      <c r="H190" s="2529">
        <f>C190*G190</f>
        <v>275000</v>
      </c>
    </row>
    <row r="191" spans="1:8" x14ac:dyDescent="0.25">
      <c r="A191" s="1902"/>
      <c r="B191" s="396"/>
      <c r="C191" s="2483"/>
      <c r="D191" s="2484"/>
      <c r="E191" s="2523"/>
      <c r="F191" s="2522"/>
      <c r="G191" s="2223"/>
      <c r="H191" s="2485"/>
    </row>
    <row r="192" spans="1:8" ht="102.6" customHeight="1" x14ac:dyDescent="0.25">
      <c r="A192" s="1902"/>
      <c r="B192" s="368" t="s">
        <v>2671</v>
      </c>
      <c r="C192" s="2483">
        <v>70</v>
      </c>
      <c r="D192" s="2484" t="s">
        <v>1314</v>
      </c>
      <c r="E192" s="2523">
        <v>8500</v>
      </c>
      <c r="F192" s="2468">
        <f>+$I$1</f>
        <v>0.8</v>
      </c>
      <c r="G192" s="374">
        <f>ROUNDUP(E192/F192,-1)</f>
        <v>10630</v>
      </c>
      <c r="H192" s="2529">
        <f>C192*G192</f>
        <v>744100</v>
      </c>
    </row>
    <row r="193" spans="1:8" ht="14.4" thickBot="1" x14ac:dyDescent="0.3">
      <c r="A193" s="2621"/>
      <c r="B193" s="2622"/>
      <c r="C193" s="2623"/>
      <c r="D193" s="2609"/>
      <c r="E193" s="2624"/>
      <c r="F193" s="2625"/>
      <c r="G193" s="2626"/>
      <c r="H193" s="2612"/>
    </row>
    <row r="194" spans="1:8" ht="107.4" customHeight="1" thickTop="1" x14ac:dyDescent="0.25">
      <c r="A194" s="2627"/>
      <c r="B194" s="2628" t="s">
        <v>2654</v>
      </c>
      <c r="C194" s="2629">
        <v>2</v>
      </c>
      <c r="D194" s="2602" t="s">
        <v>1314</v>
      </c>
      <c r="E194" s="2630">
        <v>9000</v>
      </c>
      <c r="F194" s="2638">
        <f>+$I$1</f>
        <v>0.8</v>
      </c>
      <c r="G194" s="2639">
        <f>ROUNDUP(E194/F194,-1)</f>
        <v>11250</v>
      </c>
      <c r="H194" s="2640">
        <f>C194*G194</f>
        <v>22500</v>
      </c>
    </row>
    <row r="195" spans="1:8" ht="96.6" hidden="1" x14ac:dyDescent="0.25">
      <c r="A195" s="1902"/>
      <c r="B195" s="1226" t="s">
        <v>2655</v>
      </c>
      <c r="C195" s="1227"/>
      <c r="D195" s="1228" t="s">
        <v>1314</v>
      </c>
      <c r="E195" s="2526"/>
      <c r="F195" s="2527"/>
      <c r="G195" s="1305"/>
      <c r="H195" s="2243"/>
    </row>
    <row r="196" spans="1:8" hidden="1" x14ac:dyDescent="0.25">
      <c r="A196" s="1902"/>
      <c r="B196" s="977"/>
      <c r="C196" s="2241"/>
      <c r="D196" s="2242"/>
      <c r="E196" s="2521"/>
      <c r="F196" s="2522"/>
      <c r="G196" s="2223"/>
      <c r="H196" s="2243"/>
    </row>
    <row r="197" spans="1:8" ht="96.6" hidden="1" x14ac:dyDescent="0.25">
      <c r="A197" s="1902"/>
      <c r="B197" s="1226" t="s">
        <v>2656</v>
      </c>
      <c r="C197" s="1227"/>
      <c r="D197" s="1228" t="s">
        <v>1314</v>
      </c>
      <c r="E197" s="2526"/>
      <c r="F197" s="2527"/>
      <c r="G197" s="1305"/>
      <c r="H197" s="2243"/>
    </row>
    <row r="198" spans="1:8" hidden="1" x14ac:dyDescent="0.25">
      <c r="A198" s="1902"/>
      <c r="B198" s="1226"/>
      <c r="C198" s="1227"/>
      <c r="D198" s="1228"/>
      <c r="E198" s="2526"/>
      <c r="F198" s="2527"/>
      <c r="G198" s="1305"/>
      <c r="H198" s="2243"/>
    </row>
    <row r="199" spans="1:8" x14ac:dyDescent="0.25">
      <c r="A199" s="1902"/>
      <c r="B199" s="396" t="s">
        <v>1203</v>
      </c>
      <c r="C199" s="2483"/>
      <c r="D199" s="2484"/>
      <c r="E199" s="2523"/>
      <c r="F199" s="2522"/>
      <c r="G199" s="2223"/>
      <c r="H199" s="2485"/>
    </row>
    <row r="200" spans="1:8" x14ac:dyDescent="0.25">
      <c r="A200" s="1902"/>
      <c r="B200" s="1998"/>
      <c r="C200" s="2483"/>
      <c r="D200" s="2484"/>
      <c r="E200" s="2523"/>
      <c r="F200" s="2522"/>
      <c r="G200" s="2223"/>
      <c r="H200" s="2485"/>
    </row>
    <row r="201" spans="1:8" ht="46.8" customHeight="1" x14ac:dyDescent="0.25">
      <c r="A201" s="1902"/>
      <c r="B201" s="1226" t="s">
        <v>2663</v>
      </c>
      <c r="C201" s="2483">
        <f>C208+C210+C213+C217+C219+C221+C223</f>
        <v>71</v>
      </c>
      <c r="D201" s="1228" t="s">
        <v>1314</v>
      </c>
      <c r="E201" s="2526">
        <v>1350</v>
      </c>
      <c r="F201" s="2468">
        <f>+$I$1</f>
        <v>0.8</v>
      </c>
      <c r="G201" s="374">
        <f>ROUNDUP(E201/F201,-1)</f>
        <v>1690</v>
      </c>
      <c r="H201" s="2529">
        <f>C201*G201</f>
        <v>119990</v>
      </c>
    </row>
    <row r="202" spans="1:8" x14ac:dyDescent="0.25">
      <c r="A202" s="1902"/>
      <c r="B202" s="1226"/>
      <c r="C202" s="2483"/>
      <c r="D202" s="1228"/>
      <c r="E202" s="2526"/>
      <c r="F202" s="2527"/>
      <c r="G202" s="1305"/>
      <c r="H202" s="1949"/>
    </row>
    <row r="203" spans="1:8" ht="27.6" hidden="1" x14ac:dyDescent="0.25">
      <c r="A203" s="1902"/>
      <c r="B203" s="368" t="s">
        <v>3118</v>
      </c>
      <c r="C203" s="2483"/>
      <c r="D203" s="1228" t="s">
        <v>1314</v>
      </c>
      <c r="E203" s="2526"/>
      <c r="F203" s="2527"/>
      <c r="G203" s="1305"/>
      <c r="H203" s="1949"/>
    </row>
    <row r="204" spans="1:8" hidden="1" x14ac:dyDescent="0.25">
      <c r="A204" s="1902"/>
      <c r="B204" s="977"/>
      <c r="C204" s="2483"/>
      <c r="D204" s="2484"/>
      <c r="E204" s="2523"/>
      <c r="F204" s="2522"/>
      <c r="G204" s="2223"/>
      <c r="H204" s="2485"/>
    </row>
    <row r="205" spans="1:8" ht="27.6" hidden="1" x14ac:dyDescent="0.25">
      <c r="A205" s="1902"/>
      <c r="B205" s="368" t="s">
        <v>3119</v>
      </c>
      <c r="C205" s="2483"/>
      <c r="D205" s="1228" t="s">
        <v>1314</v>
      </c>
      <c r="E205" s="2526"/>
      <c r="F205" s="2527"/>
      <c r="G205" s="1305"/>
      <c r="H205" s="1949"/>
    </row>
    <row r="206" spans="1:8" hidden="1" x14ac:dyDescent="0.25">
      <c r="A206" s="1902"/>
      <c r="B206" s="977"/>
      <c r="C206" s="2483"/>
      <c r="D206" s="2484"/>
      <c r="E206" s="2523"/>
      <c r="F206" s="2522"/>
      <c r="G206" s="2223"/>
      <c r="H206" s="2485"/>
    </row>
    <row r="207" spans="1:8" ht="27.6" hidden="1" x14ac:dyDescent="0.25">
      <c r="A207" s="1902"/>
      <c r="B207" s="368" t="s">
        <v>3120</v>
      </c>
      <c r="C207" s="2483"/>
      <c r="D207" s="1228" t="s">
        <v>1314</v>
      </c>
      <c r="E207" s="2526"/>
      <c r="F207" s="2527"/>
      <c r="G207" s="1305"/>
      <c r="H207" s="1949"/>
    </row>
    <row r="208" spans="1:8" ht="27.6" x14ac:dyDescent="0.25">
      <c r="A208" s="1902"/>
      <c r="B208" s="368" t="s">
        <v>3198</v>
      </c>
      <c r="C208" s="2483">
        <v>6</v>
      </c>
      <c r="D208" s="1228" t="s">
        <v>1314</v>
      </c>
      <c r="E208" s="2526">
        <f>6500+750</f>
        <v>7250</v>
      </c>
      <c r="F208" s="2468">
        <f>+$I$1</f>
        <v>0.8</v>
      </c>
      <c r="G208" s="374">
        <f>ROUNDUP(E208/F208,-1)</f>
        <v>9070</v>
      </c>
      <c r="H208" s="2529">
        <f>C208*G208</f>
        <v>54420</v>
      </c>
    </row>
    <row r="209" spans="1:8" x14ac:dyDescent="0.25">
      <c r="A209" s="1902"/>
      <c r="B209" s="977"/>
      <c r="C209" s="2483"/>
      <c r="D209" s="2484"/>
      <c r="E209" s="2523"/>
      <c r="F209" s="2522"/>
      <c r="G209" s="2223"/>
      <c r="H209" s="2485"/>
    </row>
    <row r="210" spans="1:8" ht="41.4" x14ac:dyDescent="0.25">
      <c r="A210" s="1902"/>
      <c r="B210" s="368" t="s">
        <v>3337</v>
      </c>
      <c r="C210" s="2483">
        <v>49</v>
      </c>
      <c r="D210" s="2484" t="s">
        <v>168</v>
      </c>
      <c r="E210" s="2523">
        <f>6000+750</f>
        <v>6750</v>
      </c>
      <c r="F210" s="2468">
        <f>+$I$1</f>
        <v>0.8</v>
      </c>
      <c r="G210" s="374">
        <f>ROUNDUP(E210/F210,-1)</f>
        <v>8440</v>
      </c>
      <c r="H210" s="2529">
        <f>C210*G210</f>
        <v>413560</v>
      </c>
    </row>
    <row r="211" spans="1:8" x14ac:dyDescent="0.25">
      <c r="A211" s="1902"/>
      <c r="B211" s="977"/>
      <c r="C211" s="2483"/>
      <c r="D211" s="2484"/>
      <c r="E211" s="2523"/>
      <c r="F211" s="2522"/>
      <c r="G211" s="2223"/>
      <c r="H211" s="2485"/>
    </row>
    <row r="212" spans="1:8" ht="41.4" hidden="1" x14ac:dyDescent="0.25">
      <c r="A212" s="1902"/>
      <c r="B212" s="368" t="s">
        <v>3197</v>
      </c>
      <c r="C212" s="2483"/>
      <c r="D212" s="2484" t="s">
        <v>168</v>
      </c>
      <c r="E212" s="2523"/>
      <c r="F212" s="2522"/>
      <c r="G212" s="2223"/>
      <c r="H212" s="2485"/>
    </row>
    <row r="213" spans="1:8" ht="27.6" x14ac:dyDescent="0.25">
      <c r="A213" s="1902"/>
      <c r="B213" s="368" t="s">
        <v>3160</v>
      </c>
      <c r="C213" s="2483">
        <v>1</v>
      </c>
      <c r="D213" s="2484" t="s">
        <v>78</v>
      </c>
      <c r="E213" s="2523">
        <f>5500+750</f>
        <v>6250</v>
      </c>
      <c r="F213" s="2468">
        <f>+$I$1</f>
        <v>0.8</v>
      </c>
      <c r="G213" s="374">
        <f>ROUNDUP(E213/F213,-1)</f>
        <v>7820</v>
      </c>
      <c r="H213" s="2529">
        <f>C213*G213</f>
        <v>7820</v>
      </c>
    </row>
    <row r="214" spans="1:8" x14ac:dyDescent="0.25">
      <c r="A214" s="1902"/>
      <c r="B214" s="368"/>
      <c r="C214" s="2483"/>
      <c r="D214" s="2484"/>
      <c r="E214" s="2523"/>
      <c r="F214" s="2522"/>
      <c r="G214" s="2223"/>
      <c r="H214" s="2485"/>
    </row>
    <row r="215" spans="1:8" ht="27.6" x14ac:dyDescent="0.25">
      <c r="A215" s="1902"/>
      <c r="B215" s="368" t="s">
        <v>3338</v>
      </c>
      <c r="C215" s="2483">
        <v>4</v>
      </c>
      <c r="D215" s="1228" t="s">
        <v>1314</v>
      </c>
      <c r="E215" s="2526">
        <f>50000+3000</f>
        <v>53000</v>
      </c>
      <c r="F215" s="2468">
        <f>+$I$1</f>
        <v>0.8</v>
      </c>
      <c r="G215" s="374">
        <f>ROUNDUP(E215/F215,-1)</f>
        <v>66250</v>
      </c>
      <c r="H215" s="2529">
        <f>C215*G215</f>
        <v>265000</v>
      </c>
    </row>
    <row r="216" spans="1:8" x14ac:dyDescent="0.25">
      <c r="A216" s="1902"/>
      <c r="B216" s="368"/>
      <c r="C216" s="2483"/>
      <c r="D216" s="1228"/>
      <c r="E216" s="2526"/>
      <c r="F216" s="2527"/>
      <c r="G216" s="1305"/>
      <c r="H216" s="1949"/>
    </row>
    <row r="217" spans="1:8" s="889" customFormat="1" ht="27.6" x14ac:dyDescent="0.25">
      <c r="A217" s="1903"/>
      <c r="B217" s="1067" t="s">
        <v>3340</v>
      </c>
      <c r="C217" s="1068">
        <v>3</v>
      </c>
      <c r="D217" s="2419" t="s">
        <v>1314</v>
      </c>
      <c r="E217" s="2526">
        <f>55000+1700</f>
        <v>56700</v>
      </c>
      <c r="F217" s="2468">
        <f>+$I$1</f>
        <v>0.8</v>
      </c>
      <c r="G217" s="374">
        <f>ROUNDUP(E217/F217,-1)</f>
        <v>70880</v>
      </c>
      <c r="H217" s="2529">
        <f>C217*G217</f>
        <v>212640</v>
      </c>
    </row>
    <row r="218" spans="1:8" s="889" customFormat="1" x14ac:dyDescent="0.25">
      <c r="A218" s="1903"/>
      <c r="B218" s="1067"/>
      <c r="C218" s="1068"/>
      <c r="D218" s="2419"/>
      <c r="E218" s="2526"/>
      <c r="F218" s="2527"/>
      <c r="G218" s="2420"/>
      <c r="H218" s="2421"/>
    </row>
    <row r="219" spans="1:8" s="889" customFormat="1" ht="27.6" x14ac:dyDescent="0.25">
      <c r="A219" s="1903"/>
      <c r="B219" s="1067" t="s">
        <v>3341</v>
      </c>
      <c r="C219" s="1068">
        <v>3</v>
      </c>
      <c r="D219" s="2419" t="s">
        <v>1314</v>
      </c>
      <c r="E219" s="2526">
        <f>45000+1500</f>
        <v>46500</v>
      </c>
      <c r="F219" s="2468">
        <f>+$I$1</f>
        <v>0.8</v>
      </c>
      <c r="G219" s="374">
        <f>ROUNDUP(E219/F219,-1)</f>
        <v>58130</v>
      </c>
      <c r="H219" s="2529">
        <f>C219*G219</f>
        <v>174390</v>
      </c>
    </row>
    <row r="220" spans="1:8" s="889" customFormat="1" x14ac:dyDescent="0.25">
      <c r="A220" s="1903"/>
      <c r="B220" s="1067"/>
      <c r="C220" s="1068"/>
      <c r="D220" s="2419"/>
      <c r="E220" s="2526"/>
      <c r="F220" s="2527"/>
      <c r="G220" s="2420"/>
      <c r="H220" s="2421"/>
    </row>
    <row r="221" spans="1:8" s="889" customFormat="1" ht="27.6" x14ac:dyDescent="0.25">
      <c r="A221" s="1903"/>
      <c r="B221" s="1067" t="s">
        <v>3120</v>
      </c>
      <c r="C221" s="1068">
        <v>1</v>
      </c>
      <c r="D221" s="2419" t="s">
        <v>1314</v>
      </c>
      <c r="E221" s="2526">
        <f>35000+1200</f>
        <v>36200</v>
      </c>
      <c r="F221" s="2468">
        <f>+$I$1</f>
        <v>0.8</v>
      </c>
      <c r="G221" s="374">
        <f>ROUNDUP(E221/F221,-1)</f>
        <v>45250</v>
      </c>
      <c r="H221" s="2529">
        <f>C221*G221</f>
        <v>45250</v>
      </c>
    </row>
    <row r="222" spans="1:8" x14ac:dyDescent="0.25">
      <c r="A222" s="1902"/>
      <c r="B222" s="368"/>
      <c r="C222" s="2483"/>
      <c r="D222" s="1228"/>
      <c r="E222" s="2526"/>
      <c r="F222" s="2527"/>
      <c r="G222" s="1305"/>
      <c r="H222" s="1949"/>
    </row>
    <row r="223" spans="1:8" ht="27.6" x14ac:dyDescent="0.25">
      <c r="A223" s="1902"/>
      <c r="B223" s="368" t="s">
        <v>3339</v>
      </c>
      <c r="C223" s="2483">
        <v>8</v>
      </c>
      <c r="D223" s="1228" t="s">
        <v>1314</v>
      </c>
      <c r="E223" s="2526">
        <f>6500+750</f>
        <v>7250</v>
      </c>
      <c r="F223" s="2468">
        <f>+$I$1</f>
        <v>0.8</v>
      </c>
      <c r="G223" s="374">
        <f>ROUNDUP(E223/F223,-1)</f>
        <v>9070</v>
      </c>
      <c r="H223" s="2529">
        <f>C223*G223</f>
        <v>72560</v>
      </c>
    </row>
    <row r="224" spans="1:8" x14ac:dyDescent="0.25">
      <c r="A224" s="1902"/>
      <c r="B224" s="368"/>
      <c r="C224" s="2483"/>
      <c r="D224" s="1228"/>
      <c r="E224" s="2526"/>
      <c r="F224" s="2527"/>
      <c r="G224" s="1305"/>
      <c r="H224" s="1949"/>
    </row>
    <row r="225" spans="1:8" ht="27.6" hidden="1" x14ac:dyDescent="0.25">
      <c r="A225" s="1902"/>
      <c r="B225" s="368" t="s">
        <v>3199</v>
      </c>
      <c r="C225" s="2483"/>
      <c r="D225" s="1228" t="s">
        <v>1314</v>
      </c>
      <c r="E225" s="2526"/>
      <c r="F225" s="2527"/>
      <c r="G225" s="1305"/>
      <c r="H225" s="1949"/>
    </row>
    <row r="226" spans="1:8" x14ac:dyDescent="0.25">
      <c r="A226" s="1902"/>
      <c r="B226" s="977" t="s">
        <v>1372</v>
      </c>
      <c r="C226" s="2483"/>
      <c r="D226" s="2484"/>
      <c r="E226" s="2523"/>
      <c r="F226" s="2522"/>
      <c r="G226" s="2223"/>
      <c r="H226" s="2485"/>
    </row>
    <row r="227" spans="1:8" x14ac:dyDescent="0.25">
      <c r="A227" s="1902"/>
      <c r="B227" s="977"/>
      <c r="C227" s="2483"/>
      <c r="D227" s="2484"/>
      <c r="E227" s="2523"/>
      <c r="F227" s="2522"/>
      <c r="G227" s="2223"/>
      <c r="H227" s="2485"/>
    </row>
    <row r="228" spans="1:8" ht="117" customHeight="1" x14ac:dyDescent="0.25">
      <c r="A228" s="1902"/>
      <c r="B228" s="368" t="s">
        <v>2653</v>
      </c>
      <c r="C228" s="2483">
        <v>33</v>
      </c>
      <c r="D228" s="2484" t="s">
        <v>1314</v>
      </c>
      <c r="E228" s="2523">
        <v>10000</v>
      </c>
      <c r="F228" s="2468">
        <f>+$I$1</f>
        <v>0.8</v>
      </c>
      <c r="G228" s="374">
        <f>ROUNDUP(E228/F228,-1)</f>
        <v>12500</v>
      </c>
      <c r="H228" s="2529">
        <f>C228*G228</f>
        <v>412500</v>
      </c>
    </row>
    <row r="229" spans="1:8" x14ac:dyDescent="0.25">
      <c r="A229" s="1902"/>
      <c r="B229" s="396"/>
      <c r="C229" s="2483"/>
      <c r="D229" s="2484"/>
      <c r="E229" s="2523"/>
      <c r="F229" s="2522"/>
      <c r="G229" s="2223"/>
      <c r="H229" s="2485"/>
    </row>
    <row r="230" spans="1:8" ht="100.2" customHeight="1" thickBot="1" x14ac:dyDescent="0.3">
      <c r="A230" s="2621"/>
      <c r="B230" s="2634" t="s">
        <v>2671</v>
      </c>
      <c r="C230" s="2623">
        <v>60</v>
      </c>
      <c r="D230" s="2609" t="s">
        <v>1314</v>
      </c>
      <c r="E230" s="2624">
        <v>8500</v>
      </c>
      <c r="F230" s="2579">
        <f>+$I$1</f>
        <v>0.8</v>
      </c>
      <c r="G230" s="2580">
        <f>ROUNDUP(E230/F230,-1)</f>
        <v>10630</v>
      </c>
      <c r="H230" s="2581">
        <f>C230*G230</f>
        <v>637800</v>
      </c>
    </row>
    <row r="231" spans="1:8" ht="14.4" thickTop="1" x14ac:dyDescent="0.25">
      <c r="A231" s="2627"/>
      <c r="B231" s="2635"/>
      <c r="C231" s="2629"/>
      <c r="D231" s="2602"/>
      <c r="E231" s="2630"/>
      <c r="F231" s="2636"/>
      <c r="G231" s="2637"/>
      <c r="H231" s="2605"/>
    </row>
    <row r="232" spans="1:8" ht="105.6" customHeight="1" x14ac:dyDescent="0.25">
      <c r="A232" s="1902"/>
      <c r="B232" s="1226" t="s">
        <v>2654</v>
      </c>
      <c r="C232" s="2483">
        <v>4</v>
      </c>
      <c r="D232" s="2484" t="s">
        <v>1314</v>
      </c>
      <c r="E232" s="2523">
        <v>9000</v>
      </c>
      <c r="F232" s="2468">
        <f>+$I$1</f>
        <v>0.8</v>
      </c>
      <c r="G232" s="374">
        <f>ROUNDUP(E232/F232,-1)</f>
        <v>11250</v>
      </c>
      <c r="H232" s="2529">
        <f>C232*G232</f>
        <v>45000</v>
      </c>
    </row>
    <row r="233" spans="1:8" x14ac:dyDescent="0.25">
      <c r="A233" s="1902"/>
      <c r="B233" s="1226"/>
      <c r="C233" s="2483"/>
      <c r="D233" s="2484"/>
      <c r="E233" s="2523"/>
      <c r="F233" s="2522"/>
      <c r="G233" s="2223"/>
      <c r="H233" s="2485"/>
    </row>
    <row r="234" spans="1:8" x14ac:dyDescent="0.25">
      <c r="A234" s="1902"/>
      <c r="B234" s="396" t="s">
        <v>1203</v>
      </c>
      <c r="C234" s="2483"/>
      <c r="D234" s="2484"/>
      <c r="E234" s="2523"/>
      <c r="F234" s="2522"/>
      <c r="G234" s="2223"/>
      <c r="H234" s="2485"/>
    </row>
    <row r="235" spans="1:8" x14ac:dyDescent="0.25">
      <c r="A235" s="1902"/>
      <c r="B235" s="1998"/>
      <c r="C235" s="2483"/>
      <c r="D235" s="2484"/>
      <c r="E235" s="2523"/>
      <c r="F235" s="2522"/>
      <c r="G235" s="2223"/>
      <c r="H235" s="2485"/>
    </row>
    <row r="236" spans="1:8" ht="41.4" x14ac:dyDescent="0.25">
      <c r="A236" s="1902"/>
      <c r="B236" s="1226" t="s">
        <v>2663</v>
      </c>
      <c r="C236" s="2483">
        <f>C246+C248+C251+C253+C255+C257</f>
        <v>63</v>
      </c>
      <c r="D236" s="1228" t="s">
        <v>1314</v>
      </c>
      <c r="E236" s="2526">
        <f>+E201</f>
        <v>1350</v>
      </c>
      <c r="F236" s="2468">
        <f>+$I$1</f>
        <v>0.8</v>
      </c>
      <c r="G236" s="374">
        <f>ROUNDUP(E236/F236,-1)</f>
        <v>1690</v>
      </c>
      <c r="H236" s="2529">
        <f>C236*G236</f>
        <v>106470</v>
      </c>
    </row>
    <row r="237" spans="1:8" x14ac:dyDescent="0.25">
      <c r="A237" s="1902"/>
      <c r="B237" s="977"/>
      <c r="C237" s="2483"/>
      <c r="D237" s="2484"/>
      <c r="E237" s="2523"/>
      <c r="F237" s="2522"/>
      <c r="G237" s="2223"/>
      <c r="H237" s="2485"/>
    </row>
    <row r="238" spans="1:8" ht="27.6" hidden="1" x14ac:dyDescent="0.25">
      <c r="A238" s="1902"/>
      <c r="B238" s="368" t="s">
        <v>3122</v>
      </c>
      <c r="C238" s="2483"/>
      <c r="D238" s="1228" t="s">
        <v>1314</v>
      </c>
      <c r="E238" s="2526"/>
      <c r="F238" s="2527"/>
      <c r="G238" s="1305"/>
      <c r="H238" s="1949"/>
    </row>
    <row r="239" spans="1:8" hidden="1" x14ac:dyDescent="0.25">
      <c r="A239" s="1902"/>
      <c r="B239" s="977"/>
      <c r="C239" s="2483"/>
      <c r="D239" s="2484"/>
      <c r="E239" s="2523"/>
      <c r="F239" s="2522"/>
      <c r="G239" s="2223"/>
      <c r="H239" s="2485"/>
    </row>
    <row r="240" spans="1:8" ht="27.6" hidden="1" x14ac:dyDescent="0.25">
      <c r="A240" s="1902"/>
      <c r="B240" s="368" t="s">
        <v>3123</v>
      </c>
      <c r="C240" s="2483"/>
      <c r="D240" s="1228" t="s">
        <v>1314</v>
      </c>
      <c r="E240" s="2526"/>
      <c r="F240" s="2527"/>
      <c r="G240" s="1305"/>
      <c r="H240" s="1949"/>
    </row>
    <row r="241" spans="1:8" hidden="1" x14ac:dyDescent="0.25">
      <c r="A241" s="1902"/>
      <c r="B241" s="977"/>
      <c r="C241" s="2483"/>
      <c r="D241" s="2484"/>
      <c r="E241" s="2523"/>
      <c r="F241" s="2522"/>
      <c r="G241" s="2223"/>
      <c r="H241" s="2485"/>
    </row>
    <row r="242" spans="1:8" ht="27.6" hidden="1" x14ac:dyDescent="0.25">
      <c r="A242" s="1902"/>
      <c r="B242" s="368" t="s">
        <v>3124</v>
      </c>
      <c r="C242" s="2483"/>
      <c r="D242" s="1228" t="s">
        <v>1314</v>
      </c>
      <c r="E242" s="2526"/>
      <c r="F242" s="2527"/>
      <c r="G242" s="1305"/>
      <c r="H242" s="1949"/>
    </row>
    <row r="243" spans="1:8" hidden="1" x14ac:dyDescent="0.25">
      <c r="A243" s="1902"/>
      <c r="B243" s="977"/>
      <c r="C243" s="2483"/>
      <c r="D243" s="2484"/>
      <c r="E243" s="2523"/>
      <c r="F243" s="2522"/>
      <c r="G243" s="2223"/>
      <c r="H243" s="2485"/>
    </row>
    <row r="244" spans="1:8" ht="27.6" hidden="1" x14ac:dyDescent="0.25">
      <c r="A244" s="1902"/>
      <c r="B244" s="368" t="s">
        <v>3125</v>
      </c>
      <c r="C244" s="2483"/>
      <c r="D244" s="1228" t="s">
        <v>1314</v>
      </c>
      <c r="E244" s="2526"/>
      <c r="F244" s="2527"/>
      <c r="G244" s="1305"/>
      <c r="H244" s="1949"/>
    </row>
    <row r="245" spans="1:8" hidden="1" x14ac:dyDescent="0.25">
      <c r="A245" s="1902"/>
      <c r="B245" s="977"/>
      <c r="C245" s="2483"/>
      <c r="D245" s="2484"/>
      <c r="E245" s="2523"/>
      <c r="F245" s="2522"/>
      <c r="G245" s="2223"/>
      <c r="H245" s="2485"/>
    </row>
    <row r="246" spans="1:8" ht="41.4" x14ac:dyDescent="0.25">
      <c r="A246" s="1902"/>
      <c r="B246" s="368" t="s">
        <v>3337</v>
      </c>
      <c r="C246" s="2483">
        <v>43</v>
      </c>
      <c r="D246" s="2484" t="s">
        <v>168</v>
      </c>
      <c r="E246" s="2523">
        <f>+E210</f>
        <v>6750</v>
      </c>
      <c r="F246" s="2468">
        <f>+$I$1</f>
        <v>0.8</v>
      </c>
      <c r="G246" s="374">
        <f>ROUNDUP(E246/F246,-1)</f>
        <v>8440</v>
      </c>
      <c r="H246" s="2529">
        <f>C246*G246</f>
        <v>362920</v>
      </c>
    </row>
    <row r="247" spans="1:8" x14ac:dyDescent="0.25">
      <c r="A247" s="1902"/>
      <c r="B247" s="368"/>
      <c r="C247" s="2483"/>
      <c r="D247" s="2484"/>
      <c r="E247" s="2523"/>
      <c r="F247" s="2522"/>
      <c r="G247" s="2223"/>
      <c r="H247" s="2485"/>
    </row>
    <row r="248" spans="1:8" ht="27.6" x14ac:dyDescent="0.25">
      <c r="A248" s="1902"/>
      <c r="B248" s="368" t="s">
        <v>3198</v>
      </c>
      <c r="C248" s="2483">
        <v>6</v>
      </c>
      <c r="D248" s="1228" t="s">
        <v>1314</v>
      </c>
      <c r="E248" s="2526">
        <f>+E208</f>
        <v>7250</v>
      </c>
      <c r="F248" s="2468">
        <f>+$I$1</f>
        <v>0.8</v>
      </c>
      <c r="G248" s="374">
        <f>ROUNDUP(E248/F248,-1)</f>
        <v>9070</v>
      </c>
      <c r="H248" s="2529">
        <f>C248*G248</f>
        <v>54420</v>
      </c>
    </row>
    <row r="249" spans="1:8" ht="41.4" hidden="1" x14ac:dyDescent="0.25">
      <c r="A249" s="1902"/>
      <c r="B249" s="368" t="s">
        <v>3197</v>
      </c>
      <c r="C249" s="2483"/>
      <c r="D249" s="2484" t="s">
        <v>168</v>
      </c>
      <c r="E249" s="2523"/>
      <c r="F249" s="2522"/>
      <c r="G249" s="2223"/>
      <c r="H249" s="2485"/>
    </row>
    <row r="250" spans="1:8" x14ac:dyDescent="0.25">
      <c r="A250" s="1902"/>
      <c r="B250" s="368"/>
      <c r="C250" s="2483"/>
      <c r="D250" s="2484"/>
      <c r="E250" s="2523"/>
      <c r="F250" s="2522"/>
      <c r="G250" s="2223"/>
      <c r="H250" s="2485"/>
    </row>
    <row r="251" spans="1:8" ht="27.6" x14ac:dyDescent="0.25">
      <c r="A251" s="1902"/>
      <c r="B251" s="368" t="s">
        <v>3160</v>
      </c>
      <c r="C251" s="2483">
        <v>3</v>
      </c>
      <c r="D251" s="2484" t="s">
        <v>78</v>
      </c>
      <c r="E251" s="2523">
        <f>+E213</f>
        <v>6250</v>
      </c>
      <c r="F251" s="2468">
        <f>+$I$1</f>
        <v>0.8</v>
      </c>
      <c r="G251" s="374">
        <f>ROUNDUP(E251/F251,-1)</f>
        <v>7820</v>
      </c>
      <c r="H251" s="2529">
        <f>C251*G251</f>
        <v>23460</v>
      </c>
    </row>
    <row r="252" spans="1:8" x14ac:dyDescent="0.25">
      <c r="A252" s="1902"/>
      <c r="B252" s="368"/>
      <c r="C252" s="2483"/>
      <c r="D252" s="2484"/>
      <c r="E252" s="2523"/>
      <c r="F252" s="2522"/>
      <c r="G252" s="2223"/>
      <c r="H252" s="2485"/>
    </row>
    <row r="253" spans="1:8" ht="27.6" x14ac:dyDescent="0.25">
      <c r="A253" s="1902"/>
      <c r="B253" s="368" t="s">
        <v>3338</v>
      </c>
      <c r="C253" s="2483">
        <v>4</v>
      </c>
      <c r="D253" s="1228" t="s">
        <v>1314</v>
      </c>
      <c r="E253" s="2526">
        <f>+E215</f>
        <v>53000</v>
      </c>
      <c r="F253" s="2468">
        <f>+$I$1</f>
        <v>0.8</v>
      </c>
      <c r="G253" s="374">
        <f>ROUNDUP(E253/F253,-1)</f>
        <v>66250</v>
      </c>
      <c r="H253" s="2529">
        <f>C253*G253</f>
        <v>265000</v>
      </c>
    </row>
    <row r="254" spans="1:8" x14ac:dyDescent="0.25">
      <c r="A254" s="1902"/>
      <c r="B254" s="368"/>
      <c r="C254" s="2483"/>
      <c r="D254" s="1228"/>
      <c r="E254" s="2526"/>
      <c r="F254" s="2527"/>
      <c r="G254" s="1305"/>
      <c r="H254" s="1949"/>
    </row>
    <row r="255" spans="1:8" ht="27.6" x14ac:dyDescent="0.25">
      <c r="A255" s="1902"/>
      <c r="B255" s="368" t="s">
        <v>3339</v>
      </c>
      <c r="C255" s="2483">
        <v>4</v>
      </c>
      <c r="D255" s="1228" t="s">
        <v>1314</v>
      </c>
      <c r="E255" s="2526">
        <f>+E223</f>
        <v>7250</v>
      </c>
      <c r="F255" s="2468">
        <f>+$I$1</f>
        <v>0.8</v>
      </c>
      <c r="G255" s="374">
        <f>ROUNDUP(E255/F255,-1)</f>
        <v>9070</v>
      </c>
      <c r="H255" s="2529">
        <f>C255*G255</f>
        <v>36280</v>
      </c>
    </row>
    <row r="256" spans="1:8" x14ac:dyDescent="0.25">
      <c r="A256" s="1902"/>
      <c r="B256" s="368"/>
      <c r="C256" s="2483"/>
      <c r="D256" s="1228"/>
      <c r="E256" s="2526"/>
      <c r="F256" s="2527"/>
      <c r="G256" s="1305"/>
      <c r="H256" s="1949"/>
    </row>
    <row r="257" spans="1:8" s="889" customFormat="1" ht="27.6" x14ac:dyDescent="0.25">
      <c r="A257" s="1903"/>
      <c r="B257" s="1067" t="s">
        <v>3120</v>
      </c>
      <c r="C257" s="1068">
        <v>3</v>
      </c>
      <c r="D257" s="2419" t="s">
        <v>1314</v>
      </c>
      <c r="E257" s="2526">
        <f>+E221</f>
        <v>36200</v>
      </c>
      <c r="F257" s="2468">
        <f>+$I$1</f>
        <v>0.8</v>
      </c>
      <c r="G257" s="374">
        <f>ROUNDUP(E257/F257,-1)</f>
        <v>45250</v>
      </c>
      <c r="H257" s="2529">
        <f>C257*G257</f>
        <v>135750</v>
      </c>
    </row>
    <row r="258" spans="1:8" x14ac:dyDescent="0.25">
      <c r="A258" s="1902"/>
      <c r="B258" s="368"/>
      <c r="C258" s="2483"/>
      <c r="D258" s="1228"/>
      <c r="E258" s="2526"/>
      <c r="F258" s="2527"/>
      <c r="G258" s="1305"/>
      <c r="H258" s="1949"/>
    </row>
    <row r="259" spans="1:8" x14ac:dyDescent="0.25">
      <c r="A259" s="1902"/>
      <c r="B259" s="977" t="s">
        <v>1373</v>
      </c>
      <c r="C259" s="2483"/>
      <c r="D259" s="2484"/>
      <c r="E259" s="2523"/>
      <c r="F259" s="2522"/>
      <c r="G259" s="2223"/>
      <c r="H259" s="2485"/>
    </row>
    <row r="260" spans="1:8" x14ac:dyDescent="0.25">
      <c r="A260" s="1902"/>
      <c r="B260" s="977"/>
      <c r="C260" s="2483"/>
      <c r="D260" s="2484"/>
      <c r="E260" s="2523"/>
      <c r="F260" s="2522"/>
      <c r="G260" s="2223"/>
      <c r="H260" s="2485"/>
    </row>
    <row r="261" spans="1:8" ht="118.2" customHeight="1" x14ac:dyDescent="0.25">
      <c r="A261" s="1902"/>
      <c r="B261" s="368" t="s">
        <v>2653</v>
      </c>
      <c r="C261" s="2483">
        <v>21</v>
      </c>
      <c r="D261" s="2484" t="s">
        <v>1314</v>
      </c>
      <c r="E261" s="2523">
        <v>10000</v>
      </c>
      <c r="F261" s="2468">
        <f>+$I$1</f>
        <v>0.8</v>
      </c>
      <c r="G261" s="374">
        <f>ROUNDUP(E261/F261,-1)</f>
        <v>12500</v>
      </c>
      <c r="H261" s="2529">
        <f>C261*G261</f>
        <v>262500</v>
      </c>
    </row>
    <row r="262" spans="1:8" x14ac:dyDescent="0.25">
      <c r="A262" s="1902"/>
      <c r="B262" s="396"/>
      <c r="C262" s="2483"/>
      <c r="D262" s="2484"/>
      <c r="E262" s="2523"/>
      <c r="F262" s="2522"/>
      <c r="G262" s="2223"/>
      <c r="H262" s="2485"/>
    </row>
    <row r="263" spans="1:8" ht="102" customHeight="1" x14ac:dyDescent="0.25">
      <c r="A263" s="1902"/>
      <c r="B263" s="368" t="s">
        <v>2671</v>
      </c>
      <c r="C263" s="2483">
        <v>47</v>
      </c>
      <c r="D263" s="2484" t="s">
        <v>1314</v>
      </c>
      <c r="E263" s="2523">
        <v>8500</v>
      </c>
      <c r="F263" s="2468">
        <f>+$I$1</f>
        <v>0.8</v>
      </c>
      <c r="G263" s="374">
        <f>ROUNDUP(E263/F263,-1)</f>
        <v>10630</v>
      </c>
      <c r="H263" s="2529">
        <f>C263*G263</f>
        <v>499610</v>
      </c>
    </row>
    <row r="264" spans="1:8" ht="14.4" thickBot="1" x14ac:dyDescent="0.3">
      <c r="A264" s="2621"/>
      <c r="B264" s="2622"/>
      <c r="C264" s="2623"/>
      <c r="D264" s="2609"/>
      <c r="E264" s="2624"/>
      <c r="F264" s="2625"/>
      <c r="G264" s="2626"/>
      <c r="H264" s="2612"/>
    </row>
    <row r="265" spans="1:8" ht="106.8" customHeight="1" thickTop="1" x14ac:dyDescent="0.25">
      <c r="A265" s="2627"/>
      <c r="B265" s="2628" t="s">
        <v>2654</v>
      </c>
      <c r="C265" s="2629">
        <v>2</v>
      </c>
      <c r="D265" s="2602" t="s">
        <v>1314</v>
      </c>
      <c r="E265" s="2630">
        <v>9000</v>
      </c>
      <c r="F265" s="2631">
        <f>+$I$1</f>
        <v>0.8</v>
      </c>
      <c r="G265" s="2632">
        <f>ROUNDUP(E265/F265,-1)</f>
        <v>11250</v>
      </c>
      <c r="H265" s="2633">
        <f>C265*G265</f>
        <v>22500</v>
      </c>
    </row>
    <row r="266" spans="1:8" x14ac:dyDescent="0.25">
      <c r="A266" s="1902"/>
      <c r="B266" s="1226"/>
      <c r="C266" s="2483"/>
      <c r="D266" s="2484"/>
      <c r="E266" s="2523"/>
      <c r="F266" s="2522"/>
      <c r="G266" s="2223"/>
      <c r="H266" s="2485"/>
    </row>
    <row r="267" spans="1:8" x14ac:dyDescent="0.25">
      <c r="A267" s="1902"/>
      <c r="B267" s="396" t="s">
        <v>1203</v>
      </c>
      <c r="C267" s="2483"/>
      <c r="D267" s="2484"/>
      <c r="E267" s="2523"/>
      <c r="F267" s="2522"/>
      <c r="G267" s="2223"/>
      <c r="H267" s="2485"/>
    </row>
    <row r="268" spans="1:8" x14ac:dyDescent="0.25">
      <c r="A268" s="1902"/>
      <c r="B268" s="1998"/>
      <c r="C268" s="2483"/>
      <c r="D268" s="2484"/>
      <c r="E268" s="2523"/>
      <c r="F268" s="2522"/>
      <c r="G268" s="2223"/>
      <c r="H268" s="2485"/>
    </row>
    <row r="269" spans="1:8" ht="46.2" customHeight="1" x14ac:dyDescent="0.25">
      <c r="A269" s="1902"/>
      <c r="B269" s="1226" t="s">
        <v>2663</v>
      </c>
      <c r="C269" s="2483">
        <f>C277+C279+C282</f>
        <v>49</v>
      </c>
      <c r="D269" s="1228" t="s">
        <v>1314</v>
      </c>
      <c r="E269" s="2526">
        <f>+E201</f>
        <v>1350</v>
      </c>
      <c r="F269" s="2468">
        <f>+$I$1</f>
        <v>0.8</v>
      </c>
      <c r="G269" s="374">
        <f>ROUNDUP(E269/F269,-1)</f>
        <v>1690</v>
      </c>
      <c r="H269" s="2529">
        <f>C269*G269</f>
        <v>82810</v>
      </c>
    </row>
    <row r="270" spans="1:8" x14ac:dyDescent="0.25">
      <c r="A270" s="1902"/>
      <c r="B270" s="977"/>
      <c r="C270" s="2483"/>
      <c r="D270" s="2484"/>
      <c r="E270" s="2523"/>
      <c r="F270" s="2522"/>
      <c r="G270" s="2223"/>
      <c r="H270" s="2485"/>
    </row>
    <row r="271" spans="1:8" ht="27.6" hidden="1" x14ac:dyDescent="0.25">
      <c r="A271" s="1902"/>
      <c r="B271" s="368" t="s">
        <v>3145</v>
      </c>
      <c r="C271" s="2483"/>
      <c r="D271" s="1228" t="s">
        <v>1314</v>
      </c>
      <c r="E271" s="2526"/>
      <c r="F271" s="2527"/>
      <c r="G271" s="1305"/>
      <c r="H271" s="1949"/>
    </row>
    <row r="272" spans="1:8" hidden="1" x14ac:dyDescent="0.25">
      <c r="A272" s="1902"/>
      <c r="B272" s="977"/>
      <c r="C272" s="2483"/>
      <c r="D272" s="2484"/>
      <c r="E272" s="2523"/>
      <c r="F272" s="2522"/>
      <c r="G272" s="2223"/>
      <c r="H272" s="2485"/>
    </row>
    <row r="273" spans="1:8" ht="27.6" hidden="1" x14ac:dyDescent="0.25">
      <c r="A273" s="1902"/>
      <c r="B273" s="368" t="s">
        <v>3162</v>
      </c>
      <c r="C273" s="2483"/>
      <c r="D273" s="1228" t="s">
        <v>1314</v>
      </c>
      <c r="E273" s="2526"/>
      <c r="F273" s="2527"/>
      <c r="G273" s="1305"/>
      <c r="H273" s="1949"/>
    </row>
    <row r="274" spans="1:8" hidden="1" x14ac:dyDescent="0.25">
      <c r="A274" s="1902"/>
      <c r="B274" s="977"/>
      <c r="C274" s="2483"/>
      <c r="D274" s="2484"/>
      <c r="E274" s="2523"/>
      <c r="F274" s="2522"/>
      <c r="G274" s="2223"/>
      <c r="H274" s="2485"/>
    </row>
    <row r="275" spans="1:8" ht="27.6" hidden="1" x14ac:dyDescent="0.25">
      <c r="A275" s="1902"/>
      <c r="B275" s="368" t="s">
        <v>3163</v>
      </c>
      <c r="C275" s="2483"/>
      <c r="D275" s="1228" t="s">
        <v>1314</v>
      </c>
      <c r="E275" s="2526"/>
      <c r="F275" s="2527"/>
      <c r="G275" s="1305"/>
      <c r="H275" s="1949"/>
    </row>
    <row r="276" spans="1:8" hidden="1" x14ac:dyDescent="0.25">
      <c r="A276" s="1902"/>
      <c r="B276" s="977"/>
      <c r="C276" s="2483"/>
      <c r="D276" s="2484"/>
      <c r="E276" s="2523"/>
      <c r="F276" s="2522"/>
      <c r="G276" s="2223"/>
      <c r="H276" s="2485"/>
    </row>
    <row r="277" spans="1:8" ht="41.4" x14ac:dyDescent="0.25">
      <c r="A277" s="1902"/>
      <c r="B277" s="368" t="s">
        <v>3337</v>
      </c>
      <c r="C277" s="2483">
        <v>45</v>
      </c>
      <c r="D277" s="2484" t="s">
        <v>168</v>
      </c>
      <c r="E277" s="2523">
        <f>+E210</f>
        <v>6750</v>
      </c>
      <c r="F277" s="2468">
        <f>+$I$1</f>
        <v>0.8</v>
      </c>
      <c r="G277" s="374">
        <f>ROUNDUP(E277/F277,-1)</f>
        <v>8440</v>
      </c>
      <c r="H277" s="2529">
        <f>C277*G277</f>
        <v>379800</v>
      </c>
    </row>
    <row r="278" spans="1:8" x14ac:dyDescent="0.25">
      <c r="A278" s="1902"/>
      <c r="B278" s="977"/>
      <c r="C278" s="2483"/>
      <c r="D278" s="2484"/>
      <c r="E278" s="2523"/>
      <c r="F278" s="2522"/>
      <c r="G278" s="2223"/>
      <c r="H278" s="2485"/>
    </row>
    <row r="279" spans="1:8" ht="27.6" x14ac:dyDescent="0.25">
      <c r="A279" s="1902"/>
      <c r="B279" s="368" t="s">
        <v>3160</v>
      </c>
      <c r="C279" s="2483">
        <v>2</v>
      </c>
      <c r="D279" s="2484" t="s">
        <v>78</v>
      </c>
      <c r="E279" s="2523">
        <f>+E213</f>
        <v>6250</v>
      </c>
      <c r="F279" s="2468">
        <f>+$I$1</f>
        <v>0.8</v>
      </c>
      <c r="G279" s="374">
        <f>ROUNDUP(E279/F279,-1)</f>
        <v>7820</v>
      </c>
      <c r="H279" s="2529">
        <f>C279*G279</f>
        <v>15640</v>
      </c>
    </row>
    <row r="280" spans="1:8" x14ac:dyDescent="0.25">
      <c r="A280" s="1902"/>
      <c r="B280" s="368"/>
      <c r="C280" s="2483"/>
      <c r="D280" s="2484"/>
      <c r="E280" s="2523"/>
      <c r="F280" s="2522"/>
      <c r="G280" s="2223"/>
      <c r="H280" s="2485"/>
    </row>
    <row r="281" spans="1:8" ht="41.4" hidden="1" x14ac:dyDescent="0.25">
      <c r="A281" s="1902"/>
      <c r="B281" s="368" t="s">
        <v>3197</v>
      </c>
      <c r="C281" s="2483"/>
      <c r="D281" s="2484" t="s">
        <v>168</v>
      </c>
      <c r="E281" s="2523"/>
      <c r="F281" s="2522"/>
      <c r="G281" s="2223"/>
      <c r="H281" s="2485"/>
    </row>
    <row r="282" spans="1:8" ht="27.6" x14ac:dyDescent="0.25">
      <c r="A282" s="1902"/>
      <c r="B282" s="368" t="s">
        <v>3161</v>
      </c>
      <c r="C282" s="2483">
        <v>2</v>
      </c>
      <c r="D282" s="1228" t="s">
        <v>1314</v>
      </c>
      <c r="E282" s="2526">
        <f>+E208</f>
        <v>7250</v>
      </c>
      <c r="F282" s="2468">
        <f>+$I$1</f>
        <v>0.8</v>
      </c>
      <c r="G282" s="374">
        <f>ROUNDUP(E282/F282,-1)</f>
        <v>9070</v>
      </c>
      <c r="H282" s="2529">
        <f>C282*G282</f>
        <v>18140</v>
      </c>
    </row>
    <row r="283" spans="1:8" x14ac:dyDescent="0.25">
      <c r="A283" s="1902"/>
      <c r="B283" s="368"/>
      <c r="C283" s="2483"/>
      <c r="D283" s="1228"/>
      <c r="E283" s="2526"/>
      <c r="F283" s="2527"/>
      <c r="G283" s="1305"/>
      <c r="H283" s="1949"/>
    </row>
    <row r="284" spans="1:8" ht="27.6" x14ac:dyDescent="0.25">
      <c r="A284" s="1902"/>
      <c r="B284" s="368" t="s">
        <v>3338</v>
      </c>
      <c r="C284" s="2483">
        <v>4</v>
      </c>
      <c r="D284" s="1228" t="s">
        <v>1314</v>
      </c>
      <c r="E284" s="2526">
        <f>+E215</f>
        <v>53000</v>
      </c>
      <c r="F284" s="2468">
        <f>+$I$1</f>
        <v>0.8</v>
      </c>
      <c r="G284" s="374">
        <f>ROUNDUP(E284/F284,-1)</f>
        <v>66250</v>
      </c>
      <c r="H284" s="2529">
        <f>C284*G284</f>
        <v>265000</v>
      </c>
    </row>
    <row r="285" spans="1:8" x14ac:dyDescent="0.25">
      <c r="A285" s="1902"/>
      <c r="B285" s="368"/>
      <c r="C285" s="2483"/>
      <c r="D285" s="1228"/>
      <c r="E285" s="2526"/>
      <c r="F285" s="2527"/>
      <c r="G285" s="1305"/>
      <c r="H285" s="1949"/>
    </row>
    <row r="286" spans="1:8" hidden="1" x14ac:dyDescent="0.25">
      <c r="A286" s="1902"/>
      <c r="B286" s="977" t="s">
        <v>3134</v>
      </c>
      <c r="C286" s="2483"/>
      <c r="D286" s="2484"/>
      <c r="E286" s="2523"/>
      <c r="F286" s="2522"/>
      <c r="G286" s="2223"/>
      <c r="H286" s="2485"/>
    </row>
    <row r="287" spans="1:8" hidden="1" x14ac:dyDescent="0.25">
      <c r="A287" s="1902"/>
      <c r="B287" s="368"/>
      <c r="C287" s="2483"/>
      <c r="D287" s="2484"/>
      <c r="E287" s="2523"/>
      <c r="F287" s="2522"/>
      <c r="G287" s="2223"/>
      <c r="H287" s="2485"/>
    </row>
    <row r="288" spans="1:8" ht="110.4" hidden="1" x14ac:dyDescent="0.25">
      <c r="A288" s="1902"/>
      <c r="B288" s="368" t="s">
        <v>2653</v>
      </c>
      <c r="C288" s="2483"/>
      <c r="D288" s="2484" t="s">
        <v>1314</v>
      </c>
      <c r="E288" s="2523"/>
      <c r="F288" s="2522"/>
      <c r="G288" s="2223"/>
      <c r="H288" s="2485"/>
    </row>
    <row r="289" spans="1:8" hidden="1" x14ac:dyDescent="0.25">
      <c r="A289" s="1902"/>
      <c r="B289" s="368"/>
      <c r="C289" s="2483"/>
      <c r="D289" s="2484"/>
      <c r="E289" s="2523"/>
      <c r="F289" s="2522"/>
      <c r="G289" s="2223"/>
      <c r="H289" s="2485"/>
    </row>
    <row r="290" spans="1:8" ht="96.6" hidden="1" x14ac:dyDescent="0.25">
      <c r="A290" s="1902"/>
      <c r="B290" s="368" t="s">
        <v>2671</v>
      </c>
      <c r="C290" s="2483"/>
      <c r="D290" s="2484" t="s">
        <v>1314</v>
      </c>
      <c r="E290" s="2523"/>
      <c r="F290" s="2522"/>
      <c r="G290" s="2223"/>
      <c r="H290" s="2485"/>
    </row>
    <row r="291" spans="1:8" hidden="1" x14ac:dyDescent="0.25">
      <c r="A291" s="1902"/>
      <c r="B291" s="368"/>
      <c r="C291" s="2483"/>
      <c r="D291" s="2484"/>
      <c r="E291" s="2523"/>
      <c r="F291" s="2522"/>
      <c r="G291" s="2223"/>
      <c r="H291" s="2485"/>
    </row>
    <row r="292" spans="1:8" hidden="1" x14ac:dyDescent="0.25">
      <c r="A292" s="1902"/>
      <c r="B292" s="396" t="s">
        <v>1203</v>
      </c>
      <c r="C292" s="2483"/>
      <c r="D292" s="2484"/>
      <c r="E292" s="2523"/>
      <c r="F292" s="2522"/>
      <c r="G292" s="2223"/>
      <c r="H292" s="2485"/>
    </row>
    <row r="293" spans="1:8" ht="41.4" hidden="1" x14ac:dyDescent="0.25">
      <c r="A293" s="1902"/>
      <c r="B293" s="1226" t="s">
        <v>2663</v>
      </c>
      <c r="C293" s="2483"/>
      <c r="D293" s="1228" t="s">
        <v>1314</v>
      </c>
      <c r="E293" s="2526"/>
      <c r="F293" s="2527"/>
      <c r="G293" s="1305"/>
      <c r="H293" s="1949"/>
    </row>
    <row r="294" spans="1:8" hidden="1" x14ac:dyDescent="0.25">
      <c r="A294" s="1902"/>
      <c r="B294" s="368"/>
      <c r="C294" s="2483"/>
      <c r="D294" s="2484"/>
      <c r="E294" s="2523"/>
      <c r="F294" s="2522"/>
      <c r="G294" s="2223"/>
      <c r="H294" s="2485"/>
    </row>
    <row r="295" spans="1:8" ht="41.4" hidden="1" x14ac:dyDescent="0.25">
      <c r="A295" s="1902"/>
      <c r="B295" s="368" t="s">
        <v>3121</v>
      </c>
      <c r="C295" s="2483"/>
      <c r="D295" s="2484" t="s">
        <v>168</v>
      </c>
      <c r="E295" s="2523"/>
      <c r="F295" s="2522"/>
      <c r="G295" s="2223"/>
      <c r="H295" s="2485"/>
    </row>
    <row r="296" spans="1:8" hidden="1" x14ac:dyDescent="0.25">
      <c r="A296" s="1902"/>
      <c r="B296" s="368"/>
      <c r="C296" s="2483"/>
      <c r="D296" s="2484"/>
      <c r="E296" s="2523"/>
      <c r="F296" s="2522"/>
      <c r="G296" s="2223"/>
      <c r="H296" s="2485"/>
    </row>
    <row r="297" spans="1:8" ht="27.6" hidden="1" x14ac:dyDescent="0.25">
      <c r="A297" s="1902"/>
      <c r="B297" s="368" t="s">
        <v>3135</v>
      </c>
      <c r="C297" s="2483"/>
      <c r="D297" s="2484" t="s">
        <v>78</v>
      </c>
      <c r="E297" s="2523"/>
      <c r="F297" s="2522"/>
      <c r="G297" s="2223"/>
      <c r="H297" s="2485"/>
    </row>
    <row r="298" spans="1:8" hidden="1" x14ac:dyDescent="0.25">
      <c r="A298" s="1902"/>
      <c r="B298" s="368"/>
      <c r="C298" s="2483"/>
      <c r="D298" s="2484"/>
      <c r="E298" s="2523"/>
      <c r="F298" s="2522"/>
      <c r="G298" s="2223"/>
      <c r="H298" s="2485"/>
    </row>
    <row r="299" spans="1:8" x14ac:dyDescent="0.25">
      <c r="A299" s="1946" t="s">
        <v>1437</v>
      </c>
      <c r="B299" s="396" t="s">
        <v>106</v>
      </c>
      <c r="C299" s="2483"/>
      <c r="D299" s="2484"/>
      <c r="E299" s="2523"/>
      <c r="F299" s="2522"/>
      <c r="G299" s="2223"/>
      <c r="H299" s="2485"/>
    </row>
    <row r="300" spans="1:8" ht="45" customHeight="1" x14ac:dyDescent="0.25">
      <c r="A300" s="1946"/>
      <c r="B300" s="396" t="s">
        <v>2485</v>
      </c>
      <c r="C300" s="2483">
        <v>1</v>
      </c>
      <c r="D300" s="2484" t="s">
        <v>1602</v>
      </c>
      <c r="E300" s="2523">
        <v>220000</v>
      </c>
      <c r="F300" s="2468">
        <f>+$I$1</f>
        <v>0.8</v>
      </c>
      <c r="G300" s="374">
        <f>ROUNDUP(E300/F300,-1)</f>
        <v>275000</v>
      </c>
      <c r="H300" s="2529">
        <f>C300*G300</f>
        <v>275000</v>
      </c>
    </row>
    <row r="301" spans="1:8" x14ac:dyDescent="0.25">
      <c r="A301" s="1903"/>
      <c r="B301" s="1145"/>
      <c r="C301" s="1068"/>
      <c r="D301" s="1069"/>
      <c r="E301" s="2521"/>
      <c r="F301" s="2522"/>
      <c r="G301" s="2225"/>
      <c r="H301" s="1926"/>
    </row>
    <row r="302" spans="1:8" s="12" customFormat="1" ht="28.2" thickBot="1" x14ac:dyDescent="0.3">
      <c r="A302" s="1950"/>
      <c r="B302" s="2616" t="s">
        <v>920</v>
      </c>
      <c r="C302" s="2617"/>
      <c r="D302" s="2618"/>
      <c r="E302" s="2619"/>
      <c r="F302" s="2619"/>
      <c r="G302" s="2620"/>
      <c r="H302" s="1951">
        <f>SUM(H83:H301)</f>
        <v>6307830</v>
      </c>
    </row>
  </sheetData>
  <protectedRanges>
    <protectedRange password="D55D" sqref="B194 B232:B233 B265:B266" name="Range1_3_1_1_6_9_3"/>
    <protectedRange password="D55D" sqref="B195" name="Range1_3_1_1_6_7_7"/>
  </protectedRanges>
  <mergeCells count="8">
    <mergeCell ref="C122:C124"/>
    <mergeCell ref="D122:D124"/>
    <mergeCell ref="E122:E124"/>
    <mergeCell ref="H122:H124"/>
    <mergeCell ref="C129:C130"/>
    <mergeCell ref="D129:D130"/>
    <mergeCell ref="E129:E130"/>
    <mergeCell ref="H129:H130"/>
  </mergeCells>
  <pageMargins left="0.51181102362204722" right="0.51181102362204722" top="0.37" bottom="0.23622047244094491" header="0.15748031496062992" footer="0.18"/>
  <pageSetup orientation="portrait" r:id="rId1"/>
  <headerFooter alignWithMargins="0">
    <oddFooter>&amp;C&amp;P</oddFooter>
  </headerFooter>
  <rowBreaks count="4" manualBreakCount="4">
    <brk id="167" max="7" man="1"/>
    <brk id="193" max="7" man="1"/>
    <brk id="230" max="7" man="1"/>
    <brk id="264" max="7" man="1"/>
  </rowBreak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030A0"/>
  </sheetPr>
  <dimension ref="A1:O160"/>
  <sheetViews>
    <sheetView view="pageBreakPreview" topLeftCell="A7" zoomScale="98" zoomScaleNormal="85" zoomScaleSheetLayoutView="98" workbookViewId="0">
      <selection activeCell="L47" sqref="L47"/>
    </sheetView>
  </sheetViews>
  <sheetFormatPr defaultColWidth="9.21875" defaultRowHeight="13.8" x14ac:dyDescent="0.25"/>
  <cols>
    <col min="1" max="1" width="6.5546875" style="1893" bestFit="1" customWidth="1"/>
    <col min="2" max="2" width="53" style="1894" customWidth="1"/>
    <col min="3" max="3" width="6" style="1895" bestFit="1" customWidth="1"/>
    <col min="4" max="4" width="4.88671875" style="1896" bestFit="1" customWidth="1"/>
    <col min="5" max="5" width="14.44140625" style="2477" hidden="1" customWidth="1"/>
    <col min="6" max="6" width="13.33203125" style="2477" hidden="1" customWidth="1"/>
    <col min="7" max="7" width="13.33203125" style="1895" customWidth="1"/>
    <col min="8" max="8" width="13.33203125" style="1896" bestFit="1" customWidth="1"/>
    <col min="9" max="9" width="11.21875" style="889" bestFit="1" customWidth="1"/>
    <col min="10" max="10" width="12.5546875" style="889" bestFit="1" customWidth="1"/>
    <col min="11" max="11" width="10.44140625" style="889" bestFit="1" customWidth="1"/>
    <col min="12" max="12" width="13.33203125" style="889" bestFit="1" customWidth="1"/>
    <col min="13" max="14" width="13" style="889" bestFit="1" customWidth="1"/>
    <col min="15" max="15" width="12.88671875" style="889" bestFit="1" customWidth="1"/>
    <col min="16" max="16" width="10.109375" style="889" bestFit="1" customWidth="1"/>
    <col min="17" max="17" width="9.33203125" style="889" bestFit="1" customWidth="1"/>
    <col min="18" max="16384" width="9.21875" style="889"/>
  </cols>
  <sheetData>
    <row r="1" spans="1:9" s="1191" customFormat="1" ht="14.4" thickBot="1" x14ac:dyDescent="0.3">
      <c r="A1" s="1952" t="s">
        <v>0</v>
      </c>
      <c r="B1" s="1953" t="s">
        <v>1</v>
      </c>
      <c r="C1" s="1954" t="s">
        <v>2</v>
      </c>
      <c r="D1" s="1955" t="s">
        <v>3</v>
      </c>
      <c r="E1" s="2530" t="s">
        <v>3565</v>
      </c>
      <c r="F1" s="2531" t="s">
        <v>3708</v>
      </c>
      <c r="G1" s="2532" t="s">
        <v>1286</v>
      </c>
      <c r="H1" s="49" t="s">
        <v>5</v>
      </c>
      <c r="I1" s="1191">
        <f>+summary!D16</f>
        <v>0.9</v>
      </c>
    </row>
    <row r="2" spans="1:9" x14ac:dyDescent="0.25">
      <c r="A2" s="1956"/>
      <c r="B2" s="1871" t="s">
        <v>330</v>
      </c>
      <c r="C2" s="1872"/>
      <c r="D2" s="1873"/>
      <c r="E2" s="2462"/>
      <c r="F2" s="2463"/>
      <c r="G2" s="2226"/>
      <c r="H2" s="1957"/>
    </row>
    <row r="3" spans="1:9" x14ac:dyDescent="0.25">
      <c r="A3" s="1958"/>
      <c r="B3" s="1874" t="s">
        <v>175</v>
      </c>
      <c r="C3" s="1875"/>
      <c r="D3" s="1876"/>
      <c r="E3" s="2464"/>
      <c r="F3" s="2465"/>
      <c r="G3" s="2227"/>
      <c r="H3" s="1959"/>
    </row>
    <row r="4" spans="1:9" ht="33" customHeight="1" x14ac:dyDescent="0.25">
      <c r="A4" s="1903"/>
      <c r="B4" s="1877" t="s">
        <v>1830</v>
      </c>
      <c r="C4" s="1878"/>
      <c r="D4" s="1069"/>
      <c r="E4" s="2466"/>
      <c r="F4" s="2467"/>
      <c r="G4" s="2218"/>
      <c r="H4" s="1926"/>
    </row>
    <row r="5" spans="1:9" x14ac:dyDescent="0.25">
      <c r="A5" s="1903"/>
      <c r="B5" s="1877"/>
      <c r="C5" s="1878"/>
      <c r="D5" s="1069"/>
      <c r="E5" s="2466"/>
      <c r="F5" s="2467"/>
      <c r="G5" s="2218"/>
      <c r="H5" s="1926"/>
    </row>
    <row r="6" spans="1:9" ht="27.6" x14ac:dyDescent="0.25">
      <c r="A6" s="1903"/>
      <c r="B6" s="1877" t="s">
        <v>1947</v>
      </c>
      <c r="C6" s="1878"/>
      <c r="D6" s="1069"/>
      <c r="E6" s="2466"/>
      <c r="F6" s="2467"/>
      <c r="G6" s="2218"/>
      <c r="H6" s="1926"/>
    </row>
    <row r="7" spans="1:9" x14ac:dyDescent="0.25">
      <c r="A7" s="1903"/>
      <c r="B7" s="1877"/>
      <c r="C7" s="1878"/>
      <c r="D7" s="1069"/>
      <c r="E7" s="2466"/>
      <c r="F7" s="2467"/>
      <c r="G7" s="2218"/>
      <c r="H7" s="1926"/>
    </row>
    <row r="8" spans="1:9" x14ac:dyDescent="0.25">
      <c r="A8" s="1903"/>
      <c r="B8" s="1877" t="s">
        <v>1346</v>
      </c>
      <c r="C8" s="1878"/>
      <c r="D8" s="1069"/>
      <c r="E8" s="2466"/>
      <c r="F8" s="2467"/>
      <c r="G8" s="2218"/>
      <c r="H8" s="1926"/>
    </row>
    <row r="9" spans="1:9" x14ac:dyDescent="0.25">
      <c r="A9" s="1903"/>
      <c r="B9" s="1877"/>
      <c r="C9" s="1878"/>
      <c r="D9" s="1069"/>
      <c r="E9" s="2466"/>
      <c r="F9" s="2467"/>
      <c r="G9" s="2218"/>
      <c r="H9" s="1926"/>
    </row>
    <row r="10" spans="1:9" ht="163.80000000000001" customHeight="1" x14ac:dyDescent="0.25">
      <c r="A10" s="1903"/>
      <c r="B10" s="1877" t="s">
        <v>1347</v>
      </c>
      <c r="C10" s="1878"/>
      <c r="D10" s="1069"/>
      <c r="E10" s="2466"/>
      <c r="F10" s="2467"/>
      <c r="G10" s="2218"/>
      <c r="H10" s="1926"/>
    </row>
    <row r="11" spans="1:9" x14ac:dyDescent="0.25">
      <c r="A11" s="1903"/>
      <c r="B11" s="1147"/>
      <c r="C11" s="1878"/>
      <c r="D11" s="1069"/>
      <c r="E11" s="2466"/>
      <c r="F11" s="2467"/>
      <c r="G11" s="2218"/>
      <c r="H11" s="1926"/>
    </row>
    <row r="12" spans="1:9" ht="27.6" x14ac:dyDescent="0.25">
      <c r="A12" s="1903"/>
      <c r="B12" s="1877" t="s">
        <v>1348</v>
      </c>
      <c r="C12" s="1878"/>
      <c r="D12" s="1069"/>
      <c r="E12" s="2466"/>
      <c r="F12" s="2467"/>
      <c r="G12" s="2218"/>
      <c r="H12" s="1926"/>
    </row>
    <row r="13" spans="1:9" ht="27.6" x14ac:dyDescent="0.25">
      <c r="A13" s="1903"/>
      <c r="B13" s="1067" t="s">
        <v>1349</v>
      </c>
      <c r="C13" s="1878"/>
      <c r="D13" s="1069"/>
      <c r="E13" s="2466"/>
      <c r="F13" s="2467"/>
      <c r="G13" s="2218"/>
      <c r="H13" s="1926"/>
    </row>
    <row r="14" spans="1:9" x14ac:dyDescent="0.25">
      <c r="A14" s="1903"/>
      <c r="B14" s="1067" t="s">
        <v>1350</v>
      </c>
      <c r="C14" s="1878"/>
      <c r="D14" s="1069"/>
      <c r="E14" s="2466"/>
      <c r="F14" s="2467"/>
      <c r="G14" s="2218"/>
      <c r="H14" s="1926"/>
    </row>
    <row r="15" spans="1:9" ht="42" customHeight="1" x14ac:dyDescent="0.25">
      <c r="A15" s="1903"/>
      <c r="B15" s="1067" t="s">
        <v>1826</v>
      </c>
      <c r="C15" s="1878"/>
      <c r="D15" s="1069"/>
      <c r="E15" s="2466"/>
      <c r="F15" s="2467"/>
      <c r="G15" s="2218"/>
      <c r="H15" s="1926"/>
    </row>
    <row r="16" spans="1:9" ht="27.6" x14ac:dyDescent="0.25">
      <c r="A16" s="1903"/>
      <c r="B16" s="1067" t="s">
        <v>1827</v>
      </c>
      <c r="C16" s="1878"/>
      <c r="D16" s="1069"/>
      <c r="E16" s="2466"/>
      <c r="F16" s="2467"/>
      <c r="G16" s="2218"/>
      <c r="H16" s="1926"/>
    </row>
    <row r="17" spans="1:8" x14ac:dyDescent="0.25">
      <c r="A17" s="1903"/>
      <c r="B17" s="1067"/>
      <c r="C17" s="1878"/>
      <c r="D17" s="1069"/>
      <c r="E17" s="2466"/>
      <c r="F17" s="2467"/>
      <c r="G17" s="2218"/>
      <c r="H17" s="1926"/>
    </row>
    <row r="18" spans="1:8" x14ac:dyDescent="0.25">
      <c r="A18" s="1903"/>
      <c r="B18" s="1877" t="s">
        <v>1353</v>
      </c>
      <c r="C18" s="1878"/>
      <c r="D18" s="1069"/>
      <c r="E18" s="2466"/>
      <c r="F18" s="2467"/>
      <c r="G18" s="2218"/>
      <c r="H18" s="1926"/>
    </row>
    <row r="19" spans="1:8" x14ac:dyDescent="0.25">
      <c r="A19" s="1903"/>
      <c r="B19" s="1067" t="s">
        <v>1351</v>
      </c>
      <c r="C19" s="1878"/>
      <c r="D19" s="1069"/>
      <c r="E19" s="2466"/>
      <c r="F19" s="2467"/>
      <c r="G19" s="2218"/>
      <c r="H19" s="1926"/>
    </row>
    <row r="20" spans="1:8" x14ac:dyDescent="0.25">
      <c r="A20" s="1903"/>
      <c r="B20" s="1067" t="s">
        <v>1352</v>
      </c>
      <c r="C20" s="1878"/>
      <c r="D20" s="1069"/>
      <c r="E20" s="2466"/>
      <c r="F20" s="2467"/>
      <c r="G20" s="2218"/>
      <c r="H20" s="1926"/>
    </row>
    <row r="21" spans="1:8" x14ac:dyDescent="0.25">
      <c r="A21" s="1903"/>
      <c r="B21" s="1067"/>
      <c r="C21" s="1878"/>
      <c r="D21" s="1069"/>
      <c r="E21" s="2466"/>
      <c r="F21" s="2467"/>
      <c r="G21" s="2218"/>
      <c r="H21" s="1926"/>
    </row>
    <row r="22" spans="1:8" x14ac:dyDescent="0.25">
      <c r="A22" s="1903"/>
      <c r="B22" s="1067" t="s">
        <v>1354</v>
      </c>
      <c r="C22" s="1878"/>
      <c r="D22" s="1069"/>
      <c r="E22" s="2466"/>
      <c r="F22" s="2467"/>
      <c r="G22" s="2218"/>
      <c r="H22" s="1926"/>
    </row>
    <row r="23" spans="1:8" ht="32.4" customHeight="1" x14ac:dyDescent="0.25">
      <c r="A23" s="1903"/>
      <c r="B23" s="1067" t="s">
        <v>1828</v>
      </c>
      <c r="C23" s="1878"/>
      <c r="D23" s="1069"/>
      <c r="E23" s="2466"/>
      <c r="F23" s="2467"/>
      <c r="G23" s="2218"/>
      <c r="H23" s="1926"/>
    </row>
    <row r="24" spans="1:8" ht="31.8" customHeight="1" x14ac:dyDescent="0.25">
      <c r="A24" s="1903"/>
      <c r="B24" s="1067" t="s">
        <v>1829</v>
      </c>
      <c r="C24" s="1878"/>
      <c r="D24" s="1069"/>
      <c r="E24" s="2466"/>
      <c r="F24" s="2467"/>
      <c r="G24" s="2218"/>
      <c r="H24" s="1926"/>
    </row>
    <row r="25" spans="1:8" x14ac:dyDescent="0.25">
      <c r="A25" s="1903"/>
      <c r="B25" s="1067"/>
      <c r="C25" s="1878"/>
      <c r="D25" s="1069"/>
      <c r="E25" s="2466"/>
      <c r="F25" s="2467"/>
      <c r="G25" s="2218"/>
      <c r="H25" s="1926"/>
    </row>
    <row r="26" spans="1:8" ht="27.6" x14ac:dyDescent="0.25">
      <c r="A26" s="1903"/>
      <c r="B26" s="1067" t="s">
        <v>1948</v>
      </c>
      <c r="C26" s="1878"/>
      <c r="D26" s="1069"/>
      <c r="E26" s="2466"/>
      <c r="F26" s="2467"/>
      <c r="G26" s="2218"/>
      <c r="H26" s="1926"/>
    </row>
    <row r="27" spans="1:8" x14ac:dyDescent="0.25">
      <c r="A27" s="1903"/>
      <c r="B27" s="1067"/>
      <c r="C27" s="1878"/>
      <c r="D27" s="1069"/>
      <c r="E27" s="2466"/>
      <c r="F27" s="2467"/>
      <c r="G27" s="2218"/>
      <c r="H27" s="1926"/>
    </row>
    <row r="28" spans="1:8" ht="27.6" x14ac:dyDescent="0.25">
      <c r="A28" s="1903"/>
      <c r="B28" s="1145" t="s">
        <v>1945</v>
      </c>
      <c r="C28" s="1878"/>
      <c r="D28" s="1069"/>
      <c r="E28" s="2466"/>
      <c r="F28" s="2467"/>
      <c r="G28" s="2218"/>
      <c r="H28" s="1926"/>
    </row>
    <row r="29" spans="1:8" x14ac:dyDescent="0.25">
      <c r="A29" s="1903"/>
      <c r="B29" s="1145"/>
      <c r="C29" s="1878"/>
      <c r="D29" s="1069"/>
      <c r="E29" s="2466"/>
      <c r="F29" s="2467"/>
      <c r="G29" s="2218"/>
      <c r="H29" s="1926"/>
    </row>
    <row r="30" spans="1:8" ht="33" customHeight="1" x14ac:dyDescent="0.25">
      <c r="A30" s="1903"/>
      <c r="B30" s="1145" t="s">
        <v>1946</v>
      </c>
      <c r="C30" s="1878"/>
      <c r="D30" s="1069"/>
      <c r="E30" s="2466"/>
      <c r="F30" s="2467"/>
      <c r="G30" s="2218"/>
      <c r="H30" s="1926"/>
    </row>
    <row r="31" spans="1:8" ht="33" customHeight="1" x14ac:dyDescent="0.25">
      <c r="A31" s="1903"/>
      <c r="B31" s="1145"/>
      <c r="C31" s="1878"/>
      <c r="D31" s="1069"/>
      <c r="E31" s="2466"/>
      <c r="F31" s="2467"/>
      <c r="G31" s="2218"/>
      <c r="H31" s="1926"/>
    </row>
    <row r="32" spans="1:8" ht="14.4" thickBot="1" x14ac:dyDescent="0.3">
      <c r="A32" s="2557"/>
      <c r="B32" s="2558"/>
      <c r="C32" s="2670"/>
      <c r="D32" s="2671"/>
      <c r="E32" s="2672"/>
      <c r="F32" s="2673"/>
      <c r="G32" s="2674"/>
      <c r="H32" s="2675"/>
    </row>
    <row r="33" spans="1:15" ht="15" hidden="1" thickTop="1" thickBot="1" x14ac:dyDescent="0.3">
      <c r="A33" s="2676">
        <v>1</v>
      </c>
      <c r="B33" s="2677" t="s">
        <v>2011</v>
      </c>
      <c r="C33" s="2678"/>
      <c r="D33" s="2679"/>
      <c r="E33" s="2680"/>
      <c r="F33" s="2680"/>
      <c r="G33" s="2681"/>
      <c r="H33" s="2682"/>
    </row>
    <row r="34" spans="1:15" ht="100.2" hidden="1" customHeight="1" x14ac:dyDescent="0.25">
      <c r="A34" s="2582">
        <f>A33+0.01</f>
        <v>1.01</v>
      </c>
      <c r="B34" s="2683" t="s">
        <v>2012</v>
      </c>
      <c r="C34" s="2678"/>
      <c r="D34" s="2679"/>
      <c r="E34" s="2680"/>
      <c r="F34" s="2680"/>
      <c r="G34" s="2681"/>
      <c r="H34" s="2682"/>
    </row>
    <row r="35" spans="1:15" ht="15" hidden="1" thickTop="1" thickBot="1" x14ac:dyDescent="0.3">
      <c r="A35" s="2582"/>
      <c r="B35" s="2593" t="s">
        <v>1964</v>
      </c>
      <c r="C35" s="2678"/>
      <c r="D35" s="2679" t="s">
        <v>129</v>
      </c>
      <c r="E35" s="2680"/>
      <c r="F35" s="2680"/>
      <c r="G35" s="2681"/>
      <c r="H35" s="2682"/>
    </row>
    <row r="36" spans="1:15" ht="15" hidden="1" thickTop="1" thickBot="1" x14ac:dyDescent="0.3">
      <c r="A36" s="2582"/>
      <c r="B36" s="2593"/>
      <c r="C36" s="2678"/>
      <c r="D36" s="2679"/>
      <c r="E36" s="2680"/>
      <c r="F36" s="2680"/>
      <c r="G36" s="2681"/>
      <c r="H36" s="2682"/>
    </row>
    <row r="37" spans="1:15" ht="15" hidden="1" thickTop="1" thickBot="1" x14ac:dyDescent="0.3">
      <c r="A37" s="2582"/>
      <c r="B37" s="2684" t="s">
        <v>1027</v>
      </c>
      <c r="C37" s="2678"/>
      <c r="D37" s="2679"/>
      <c r="E37" s="2680"/>
      <c r="F37" s="2680"/>
      <c r="G37" s="2681"/>
      <c r="H37" s="2682"/>
    </row>
    <row r="38" spans="1:15" ht="154.19999999999999" hidden="1" customHeight="1" x14ac:dyDescent="0.25">
      <c r="A38" s="2582">
        <f>A33+0.01</f>
        <v>1.01</v>
      </c>
      <c r="B38" s="2593" t="s">
        <v>2525</v>
      </c>
      <c r="C38" s="2678"/>
      <c r="D38" s="2679"/>
      <c r="E38" s="2680"/>
      <c r="F38" s="2680"/>
      <c r="G38" s="2681"/>
      <c r="H38" s="2682"/>
    </row>
    <row r="39" spans="1:15" ht="15" hidden="1" thickTop="1" thickBot="1" x14ac:dyDescent="0.3">
      <c r="A39" s="2582"/>
      <c r="B39" s="2593" t="s">
        <v>1967</v>
      </c>
      <c r="C39" s="2678"/>
      <c r="D39" s="2679" t="s">
        <v>2423</v>
      </c>
      <c r="E39" s="2680"/>
      <c r="F39" s="2680"/>
      <c r="G39" s="2681"/>
      <c r="H39" s="2682"/>
    </row>
    <row r="40" spans="1:15" ht="15" hidden="1" thickTop="1" thickBot="1" x14ac:dyDescent="0.3">
      <c r="A40" s="2582"/>
      <c r="B40" s="2593"/>
      <c r="C40" s="2678"/>
      <c r="D40" s="2679"/>
      <c r="E40" s="2680"/>
      <c r="F40" s="2680"/>
      <c r="G40" s="2681"/>
      <c r="H40" s="2682"/>
    </row>
    <row r="41" spans="1:15" ht="14.4" thickTop="1" x14ac:dyDescent="0.25">
      <c r="A41" s="2662">
        <v>1</v>
      </c>
      <c r="B41" s="2685" t="s">
        <v>1026</v>
      </c>
      <c r="C41" s="2686"/>
      <c r="D41" s="2687"/>
      <c r="E41" s="2688"/>
      <c r="F41" s="2689"/>
      <c r="G41" s="2690"/>
      <c r="H41" s="2691"/>
    </row>
    <row r="42" spans="1:15" x14ac:dyDescent="0.25">
      <c r="A42" s="1903"/>
      <c r="B42" s="1877" t="s">
        <v>1448</v>
      </c>
      <c r="C42" s="1878"/>
      <c r="D42" s="1069"/>
      <c r="E42" s="2466"/>
      <c r="F42" s="2467"/>
      <c r="G42" s="2218"/>
      <c r="H42" s="1926"/>
    </row>
    <row r="43" spans="1:15" x14ac:dyDescent="0.25">
      <c r="A43" s="1903">
        <f>A41+0.01</f>
        <v>1.01</v>
      </c>
      <c r="B43" s="1067" t="s">
        <v>3146</v>
      </c>
      <c r="C43" s="1878">
        <v>1</v>
      </c>
      <c r="D43" s="1069" t="s">
        <v>1602</v>
      </c>
      <c r="E43" s="2466">
        <f>50*8960</f>
        <v>448000</v>
      </c>
      <c r="F43" s="2468">
        <f>+$I$1</f>
        <v>0.9</v>
      </c>
      <c r="G43" s="374">
        <f>ROUNDUP(E43/F43,-1)</f>
        <v>497780</v>
      </c>
      <c r="H43" s="2529">
        <f>C43*G43</f>
        <v>497780</v>
      </c>
    </row>
    <row r="44" spans="1:15" x14ac:dyDescent="0.25">
      <c r="A44" s="1903"/>
      <c r="B44" s="1067"/>
      <c r="C44" s="1878"/>
      <c r="D44" s="1069"/>
      <c r="E44" s="2466"/>
      <c r="F44" s="2467"/>
      <c r="G44" s="2218"/>
      <c r="H44" s="1926"/>
    </row>
    <row r="45" spans="1:15" hidden="1" x14ac:dyDescent="0.25">
      <c r="A45" s="1903">
        <f>A43+0.01</f>
        <v>1.02</v>
      </c>
      <c r="B45" s="1877" t="s">
        <v>2016</v>
      </c>
      <c r="C45" s="1878"/>
      <c r="D45" s="1069"/>
      <c r="E45" s="2466"/>
      <c r="F45" s="2467"/>
      <c r="G45" s="2218"/>
      <c r="H45" s="1926"/>
    </row>
    <row r="46" spans="1:15" ht="136.80000000000001" hidden="1" customHeight="1" x14ac:dyDescent="0.25">
      <c r="A46" s="1903"/>
      <c r="B46" s="1067" t="s">
        <v>2476</v>
      </c>
      <c r="C46" s="1878"/>
      <c r="D46" s="1069"/>
      <c r="E46" s="2466"/>
      <c r="F46" s="2467"/>
      <c r="G46" s="2218"/>
      <c r="H46" s="1926"/>
      <c r="O46" s="889">
        <f>1250*4</f>
        <v>5000</v>
      </c>
    </row>
    <row r="47" spans="1:15" hidden="1" x14ac:dyDescent="0.25">
      <c r="A47" s="1903"/>
      <c r="B47" s="1877"/>
      <c r="C47" s="1878"/>
      <c r="D47" s="1069"/>
      <c r="E47" s="2466"/>
      <c r="F47" s="2467"/>
      <c r="G47" s="2218"/>
      <c r="H47" s="1926"/>
    </row>
    <row r="48" spans="1:15" hidden="1" x14ac:dyDescent="0.25">
      <c r="A48" s="1962">
        <v>3</v>
      </c>
      <c r="B48" s="1147" t="s">
        <v>1451</v>
      </c>
      <c r="C48" s="1878"/>
      <c r="D48" s="1069"/>
      <c r="E48" s="2466"/>
      <c r="F48" s="2467"/>
      <c r="G48" s="2218"/>
      <c r="H48" s="1926"/>
    </row>
    <row r="49" spans="1:12" hidden="1" x14ac:dyDescent="0.25">
      <c r="A49" s="1903"/>
      <c r="B49" s="1145"/>
      <c r="C49" s="1878"/>
      <c r="D49" s="1069"/>
      <c r="E49" s="2466"/>
      <c r="F49" s="2467"/>
      <c r="G49" s="2218"/>
      <c r="H49" s="1926"/>
    </row>
    <row r="50" spans="1:12" hidden="1" x14ac:dyDescent="0.25">
      <c r="A50" s="1903">
        <f>A48+0.01</f>
        <v>3.01</v>
      </c>
      <c r="B50" s="1879" t="s">
        <v>2020</v>
      </c>
      <c r="C50" s="1878"/>
      <c r="D50" s="1069"/>
      <c r="E50" s="2466"/>
      <c r="F50" s="2467"/>
      <c r="G50" s="2218"/>
      <c r="H50" s="1926"/>
    </row>
    <row r="51" spans="1:12" ht="76.2" hidden="1" customHeight="1" x14ac:dyDescent="0.25">
      <c r="A51" s="1903"/>
      <c r="B51" s="1880" t="s">
        <v>2021</v>
      </c>
      <c r="C51" s="1881"/>
      <c r="D51" s="1069" t="s">
        <v>129</v>
      </c>
      <c r="E51" s="2469"/>
      <c r="F51" s="2470"/>
      <c r="G51" s="2228"/>
      <c r="H51" s="1963"/>
      <c r="I51" s="1960"/>
    </row>
    <row r="52" spans="1:12" hidden="1" x14ac:dyDescent="0.25">
      <c r="A52" s="1903"/>
      <c r="B52" s="1879"/>
      <c r="C52" s="1878"/>
      <c r="D52" s="1069"/>
      <c r="E52" s="2466"/>
      <c r="F52" s="2467"/>
      <c r="G52" s="2218"/>
      <c r="H52" s="1926"/>
    </row>
    <row r="53" spans="1:12" hidden="1" x14ac:dyDescent="0.25">
      <c r="A53" s="1903">
        <f>A50+0.01</f>
        <v>3.0199999999999996</v>
      </c>
      <c r="B53" s="1882" t="s">
        <v>2568</v>
      </c>
      <c r="C53" s="1878"/>
      <c r="D53" s="1069"/>
      <c r="E53" s="2466"/>
      <c r="F53" s="2467"/>
      <c r="G53" s="2218"/>
      <c r="H53" s="1926"/>
    </row>
    <row r="54" spans="1:12" hidden="1" x14ac:dyDescent="0.25">
      <c r="A54" s="1903"/>
      <c r="B54" s="1883"/>
      <c r="C54" s="1878"/>
      <c r="D54" s="1069"/>
      <c r="E54" s="2466"/>
      <c r="F54" s="2467"/>
      <c r="G54" s="2218"/>
      <c r="H54" s="1926"/>
    </row>
    <row r="55" spans="1:12" hidden="1" x14ac:dyDescent="0.25">
      <c r="A55" s="1903"/>
      <c r="B55" s="1067" t="s">
        <v>885</v>
      </c>
      <c r="C55" s="1878"/>
      <c r="D55" s="885" t="s">
        <v>2423</v>
      </c>
      <c r="E55" s="2466"/>
      <c r="F55" s="2467"/>
      <c r="G55" s="2218"/>
      <c r="H55" s="1926"/>
    </row>
    <row r="56" spans="1:12" hidden="1" x14ac:dyDescent="0.25">
      <c r="A56" s="1903"/>
      <c r="B56" s="1067"/>
      <c r="C56" s="1878"/>
      <c r="D56" s="1069"/>
      <c r="E56" s="2466"/>
      <c r="F56" s="2467"/>
      <c r="G56" s="2218"/>
      <c r="H56" s="1926"/>
    </row>
    <row r="57" spans="1:12" hidden="1" x14ac:dyDescent="0.25">
      <c r="A57" s="1903">
        <f>A53+0.01</f>
        <v>3.0299999999999994</v>
      </c>
      <c r="B57" s="1879" t="s">
        <v>2452</v>
      </c>
      <c r="C57" s="1878"/>
      <c r="D57" s="1069"/>
      <c r="E57" s="2466"/>
      <c r="F57" s="2467"/>
      <c r="G57" s="2218"/>
      <c r="H57" s="1926"/>
    </row>
    <row r="58" spans="1:12" ht="55.2" hidden="1" x14ac:dyDescent="0.25">
      <c r="A58" s="1903"/>
      <c r="B58" s="1880" t="s">
        <v>2453</v>
      </c>
      <c r="C58" s="1878"/>
      <c r="D58" s="1069"/>
      <c r="E58" s="2466"/>
      <c r="F58" s="2467"/>
      <c r="G58" s="2218"/>
      <c r="H58" s="1926"/>
    </row>
    <row r="59" spans="1:12" hidden="1" x14ac:dyDescent="0.25">
      <c r="A59" s="1903"/>
      <c r="B59" s="1067" t="s">
        <v>878</v>
      </c>
      <c r="C59" s="1881"/>
      <c r="D59" s="1069" t="s">
        <v>129</v>
      </c>
      <c r="E59" s="2469"/>
      <c r="F59" s="2470"/>
      <c r="G59" s="2228"/>
      <c r="H59" s="1963"/>
    </row>
    <row r="60" spans="1:12" hidden="1" x14ac:dyDescent="0.25">
      <c r="A60" s="1903"/>
      <c r="B60" s="1877"/>
      <c r="C60" s="1878"/>
      <c r="D60" s="1069"/>
      <c r="E60" s="2466"/>
      <c r="F60" s="2467"/>
      <c r="G60" s="2218"/>
      <c r="H60" s="1926"/>
    </row>
    <row r="61" spans="1:12" x14ac:dyDescent="0.25">
      <c r="A61" s="1962">
        <v>2</v>
      </c>
      <c r="B61" s="1147" t="s">
        <v>1496</v>
      </c>
      <c r="C61" s="1878"/>
      <c r="D61" s="1069"/>
      <c r="E61" s="2466"/>
      <c r="F61" s="2467"/>
      <c r="G61" s="2218"/>
      <c r="H61" s="1926"/>
    </row>
    <row r="62" spans="1:12" x14ac:dyDescent="0.25">
      <c r="A62" s="1962"/>
      <c r="B62" s="1147" t="s">
        <v>1497</v>
      </c>
      <c r="C62" s="1878"/>
      <c r="D62" s="1069"/>
      <c r="E62" s="2466"/>
      <c r="F62" s="2467"/>
      <c r="G62" s="2218"/>
      <c r="H62" s="1926"/>
    </row>
    <row r="63" spans="1:12" x14ac:dyDescent="0.25">
      <c r="A63" s="1962"/>
      <c r="B63" s="1147"/>
      <c r="C63" s="1878"/>
      <c r="D63" s="1069"/>
      <c r="E63" s="2466"/>
      <c r="F63" s="2467"/>
      <c r="G63" s="2218"/>
      <c r="H63" s="1926"/>
    </row>
    <row r="64" spans="1:12" ht="27.6" x14ac:dyDescent="0.25">
      <c r="A64" s="1962">
        <f>A61+0.01</f>
        <v>2.0099999999999998</v>
      </c>
      <c r="B64" s="1884" t="s">
        <v>3315</v>
      </c>
      <c r="C64" s="1070"/>
      <c r="D64" s="1885"/>
      <c r="E64" s="2471"/>
      <c r="F64" s="2472"/>
      <c r="G64" s="2229"/>
      <c r="H64" s="1964"/>
      <c r="I64" s="1886"/>
      <c r="J64" s="1887"/>
      <c r="K64" s="1886"/>
      <c r="L64" s="1888"/>
    </row>
    <row r="65" spans="1:12" x14ac:dyDescent="0.25">
      <c r="A65" s="1962"/>
      <c r="B65" s="1884" t="s">
        <v>2349</v>
      </c>
      <c r="C65" s="1070">
        <v>1</v>
      </c>
      <c r="D65" s="1885" t="s">
        <v>1314</v>
      </c>
      <c r="E65" s="2471">
        <f>5*9*6150</f>
        <v>276750</v>
      </c>
      <c r="F65" s="2468">
        <f>+$I$1</f>
        <v>0.9</v>
      </c>
      <c r="G65" s="374">
        <f>ROUNDUP(E65/F65,-1)</f>
        <v>307500</v>
      </c>
      <c r="H65" s="2529">
        <f>C65*G65</f>
        <v>307500</v>
      </c>
      <c r="I65" s="1889"/>
      <c r="J65" s="1890"/>
      <c r="K65" s="1889"/>
      <c r="L65" s="1891"/>
    </row>
    <row r="66" spans="1:12" x14ac:dyDescent="0.25">
      <c r="A66" s="1962"/>
      <c r="B66" s="1884"/>
      <c r="C66" s="1070"/>
      <c r="D66" s="1885"/>
      <c r="E66" s="2471"/>
      <c r="F66" s="2472"/>
      <c r="G66" s="2229"/>
      <c r="H66" s="1964"/>
      <c r="I66" s="1889"/>
      <c r="J66" s="1890"/>
      <c r="K66" s="1889"/>
      <c r="L66" s="1891"/>
    </row>
    <row r="67" spans="1:12" ht="27.6" x14ac:dyDescent="0.25">
      <c r="A67" s="1962">
        <f>A64+0.01</f>
        <v>2.0199999999999996</v>
      </c>
      <c r="B67" s="1884" t="s">
        <v>3316</v>
      </c>
      <c r="C67" s="1070"/>
      <c r="D67" s="1885"/>
      <c r="E67" s="2471"/>
      <c r="F67" s="2472"/>
      <c r="G67" s="2229"/>
      <c r="H67" s="1964"/>
      <c r="I67" s="1886"/>
      <c r="J67" s="1887"/>
      <c r="K67" s="1886"/>
      <c r="L67" s="1888"/>
    </row>
    <row r="68" spans="1:12" x14ac:dyDescent="0.25">
      <c r="A68" s="1962"/>
      <c r="B68" s="1884" t="s">
        <v>2349</v>
      </c>
      <c r="C68" s="1070">
        <v>1</v>
      </c>
      <c r="D68" s="1885" t="s">
        <v>1314</v>
      </c>
      <c r="E68" s="2471">
        <f>+(1+2.7)*10.76*6150</f>
        <v>244843.8</v>
      </c>
      <c r="F68" s="2468">
        <f>+$I$1</f>
        <v>0.9</v>
      </c>
      <c r="G68" s="374">
        <f>ROUNDUP(E68/F68,-1)</f>
        <v>272050</v>
      </c>
      <c r="H68" s="2529">
        <f>C68*G68</f>
        <v>272050</v>
      </c>
      <c r="I68" s="1889"/>
      <c r="J68" s="1890"/>
      <c r="K68" s="1889"/>
      <c r="L68" s="1891"/>
    </row>
    <row r="69" spans="1:12" x14ac:dyDescent="0.25">
      <c r="A69" s="1962"/>
      <c r="B69" s="1884"/>
      <c r="C69" s="1070"/>
      <c r="D69" s="1885"/>
      <c r="E69" s="2471"/>
      <c r="F69" s="2472"/>
      <c r="G69" s="2229"/>
      <c r="H69" s="1964"/>
      <c r="I69" s="1889"/>
      <c r="J69" s="1890"/>
      <c r="K69" s="1889"/>
      <c r="L69" s="1891"/>
    </row>
    <row r="70" spans="1:12" ht="27.6" x14ac:dyDescent="0.25">
      <c r="A70" s="1962">
        <f>A67+0.01</f>
        <v>2.0299999999999994</v>
      </c>
      <c r="B70" s="1884" t="s">
        <v>3317</v>
      </c>
      <c r="C70" s="1070"/>
      <c r="D70" s="1885"/>
      <c r="E70" s="2471"/>
      <c r="F70" s="2472"/>
      <c r="G70" s="2229"/>
      <c r="H70" s="1964"/>
      <c r="I70" s="1886"/>
      <c r="J70" s="1887"/>
      <c r="K70" s="1886"/>
      <c r="L70" s="1888"/>
    </row>
    <row r="71" spans="1:12" x14ac:dyDescent="0.25">
      <c r="A71" s="1962"/>
      <c r="B71" s="1884" t="s">
        <v>2349</v>
      </c>
      <c r="C71" s="1070">
        <v>2</v>
      </c>
      <c r="D71" s="1885" t="s">
        <v>1314</v>
      </c>
      <c r="E71" s="2471">
        <f>3*9*6150</f>
        <v>166050</v>
      </c>
      <c r="F71" s="2468">
        <f>+$I$1</f>
        <v>0.9</v>
      </c>
      <c r="G71" s="374">
        <f>ROUNDUP(E71/F71,-1)</f>
        <v>184500</v>
      </c>
      <c r="H71" s="2529">
        <f>C71*G71</f>
        <v>369000</v>
      </c>
      <c r="I71" s="1889"/>
      <c r="J71" s="1890"/>
      <c r="K71" s="1889"/>
      <c r="L71" s="1891"/>
    </row>
    <row r="72" spans="1:12" x14ac:dyDescent="0.25">
      <c r="A72" s="1962"/>
      <c r="B72" s="1067"/>
      <c r="C72" s="1070"/>
      <c r="D72" s="1885"/>
      <c r="E72" s="2471"/>
      <c r="F72" s="2472"/>
      <c r="G72" s="2229"/>
      <c r="H72" s="1964"/>
      <c r="I72" s="1889"/>
      <c r="J72" s="1890"/>
      <c r="K72" s="1889"/>
      <c r="L72" s="1891"/>
    </row>
    <row r="73" spans="1:12" ht="27.6" x14ac:dyDescent="0.25">
      <c r="A73" s="1962">
        <f>A70+0.01</f>
        <v>2.0399999999999991</v>
      </c>
      <c r="B73" s="1884" t="s">
        <v>3318</v>
      </c>
      <c r="C73" s="1070"/>
      <c r="D73" s="1885"/>
      <c r="E73" s="2471"/>
      <c r="F73" s="2472"/>
      <c r="G73" s="2229"/>
      <c r="H73" s="1964"/>
      <c r="I73" s="1886"/>
      <c r="J73" s="1887"/>
      <c r="K73" s="1886"/>
      <c r="L73" s="1888"/>
    </row>
    <row r="74" spans="1:12" x14ac:dyDescent="0.25">
      <c r="A74" s="1962"/>
      <c r="B74" s="1884" t="s">
        <v>2349</v>
      </c>
      <c r="C74" s="1070">
        <v>1</v>
      </c>
      <c r="D74" s="1885" t="s">
        <v>1314</v>
      </c>
      <c r="E74" s="2471">
        <f>30*6150</f>
        <v>184500</v>
      </c>
      <c r="F74" s="2468">
        <f>+$I$1</f>
        <v>0.9</v>
      </c>
      <c r="G74" s="374">
        <f>ROUNDUP(E74/F74,-1)</f>
        <v>205000</v>
      </c>
      <c r="H74" s="2529">
        <f t="shared" ref="H74:H76" si="0">C74*G74</f>
        <v>205000</v>
      </c>
      <c r="I74" s="1889"/>
      <c r="J74" s="1890"/>
      <c r="K74" s="1889"/>
      <c r="L74" s="1891"/>
    </row>
    <row r="75" spans="1:12" x14ac:dyDescent="0.25">
      <c r="A75" s="1962"/>
      <c r="B75" s="1067" t="s">
        <v>62</v>
      </c>
      <c r="C75" s="1070">
        <v>3</v>
      </c>
      <c r="D75" s="1885" t="s">
        <v>1314</v>
      </c>
      <c r="E75" s="2471">
        <f>30*6150</f>
        <v>184500</v>
      </c>
      <c r="F75" s="2468">
        <f t="shared" ref="F75:F76" si="1">+$I$1</f>
        <v>0.9</v>
      </c>
      <c r="G75" s="374">
        <f t="shared" ref="G75:G76" si="2">ROUNDUP(E75/F75,-1)</f>
        <v>205000</v>
      </c>
      <c r="H75" s="2529">
        <f t="shared" si="0"/>
        <v>615000</v>
      </c>
      <c r="I75" s="1889"/>
      <c r="J75" s="1890"/>
      <c r="K75" s="1889"/>
      <c r="L75" s="1891"/>
    </row>
    <row r="76" spans="1:12" x14ac:dyDescent="0.25">
      <c r="A76" s="1962"/>
      <c r="B76" s="1067" t="s">
        <v>2350</v>
      </c>
      <c r="C76" s="1070">
        <v>3</v>
      </c>
      <c r="D76" s="1885" t="s">
        <v>1314</v>
      </c>
      <c r="E76" s="2471">
        <f>30*6150</f>
        <v>184500</v>
      </c>
      <c r="F76" s="2468">
        <f t="shared" si="1"/>
        <v>0.9</v>
      </c>
      <c r="G76" s="374">
        <f t="shared" si="2"/>
        <v>205000</v>
      </c>
      <c r="H76" s="2529">
        <f t="shared" si="0"/>
        <v>615000</v>
      </c>
      <c r="I76" s="1889"/>
      <c r="J76" s="1890"/>
      <c r="K76" s="1889"/>
      <c r="L76" s="1891"/>
    </row>
    <row r="77" spans="1:12" x14ac:dyDescent="0.25">
      <c r="A77" s="1962"/>
      <c r="B77" s="1067"/>
      <c r="C77" s="1070"/>
      <c r="D77" s="1885"/>
      <c r="E77" s="2471"/>
      <c r="F77" s="2472"/>
      <c r="G77" s="2229"/>
      <c r="H77" s="1964"/>
      <c r="I77" s="1889"/>
      <c r="J77" s="1890"/>
      <c r="K77" s="1889"/>
      <c r="L77" s="1891"/>
    </row>
    <row r="78" spans="1:12" ht="27.6" x14ac:dyDescent="0.25">
      <c r="A78" s="1962">
        <f>A73+0.01</f>
        <v>2.0499999999999989</v>
      </c>
      <c r="B78" s="1884" t="s">
        <v>3319</v>
      </c>
      <c r="C78" s="1070"/>
      <c r="D78" s="1885"/>
      <c r="E78" s="2471"/>
      <c r="F78" s="2472"/>
      <c r="G78" s="2229"/>
      <c r="H78" s="1964"/>
      <c r="I78" s="1889"/>
      <c r="J78" s="1890"/>
      <c r="K78" s="1889"/>
      <c r="L78" s="1891"/>
    </row>
    <row r="79" spans="1:12" x14ac:dyDescent="0.25">
      <c r="A79" s="1962"/>
      <c r="B79" s="1884" t="s">
        <v>2349</v>
      </c>
      <c r="C79" s="1070">
        <v>2</v>
      </c>
      <c r="D79" s="1885" t="s">
        <v>1314</v>
      </c>
      <c r="E79" s="2471">
        <f>21*6150</f>
        <v>129150</v>
      </c>
      <c r="F79" s="2468">
        <f t="shared" ref="F79:F81" si="3">+$I$1</f>
        <v>0.9</v>
      </c>
      <c r="G79" s="374">
        <f t="shared" ref="G79:G81" si="4">ROUNDUP(E79/F79,-1)</f>
        <v>143500</v>
      </c>
      <c r="H79" s="2529">
        <f>C79*G79</f>
        <v>287000</v>
      </c>
      <c r="I79" s="1886"/>
      <c r="J79" s="1887"/>
      <c r="K79" s="1886"/>
      <c r="L79" s="1888"/>
    </row>
    <row r="80" spans="1:12" x14ac:dyDescent="0.25">
      <c r="A80" s="1962"/>
      <c r="B80" s="1067" t="s">
        <v>62</v>
      </c>
      <c r="C80" s="1070">
        <v>3</v>
      </c>
      <c r="D80" s="1885" t="s">
        <v>1314</v>
      </c>
      <c r="E80" s="2471">
        <f>21*6150</f>
        <v>129150</v>
      </c>
      <c r="F80" s="2468">
        <f t="shared" si="3"/>
        <v>0.9</v>
      </c>
      <c r="G80" s="374">
        <f t="shared" si="4"/>
        <v>143500</v>
      </c>
      <c r="H80" s="2529">
        <f t="shared" ref="H80:H81" si="5">C80*G80</f>
        <v>430500</v>
      </c>
      <c r="I80" s="1889"/>
      <c r="J80" s="1890"/>
      <c r="K80" s="1889"/>
      <c r="L80" s="1891"/>
    </row>
    <row r="81" spans="1:12" x14ac:dyDescent="0.25">
      <c r="A81" s="1962"/>
      <c r="B81" s="1067" t="s">
        <v>2350</v>
      </c>
      <c r="C81" s="1070">
        <v>2</v>
      </c>
      <c r="D81" s="1885" t="s">
        <v>1314</v>
      </c>
      <c r="E81" s="2471">
        <f>21*6150</f>
        <v>129150</v>
      </c>
      <c r="F81" s="2468">
        <f t="shared" si="3"/>
        <v>0.9</v>
      </c>
      <c r="G81" s="374">
        <f t="shared" si="4"/>
        <v>143500</v>
      </c>
      <c r="H81" s="2529">
        <f t="shared" si="5"/>
        <v>287000</v>
      </c>
      <c r="I81" s="1889"/>
      <c r="J81" s="1890"/>
      <c r="K81" s="1889"/>
      <c r="L81" s="1891"/>
    </row>
    <row r="82" spans="1:12" x14ac:dyDescent="0.25">
      <c r="A82" s="1962"/>
      <c r="B82" s="1067"/>
      <c r="C82" s="1070"/>
      <c r="D82" s="1885"/>
      <c r="E82" s="2471"/>
      <c r="F82" s="2472"/>
      <c r="G82" s="2229"/>
      <c r="H82" s="1964"/>
      <c r="I82" s="1889"/>
      <c r="J82" s="1890"/>
      <c r="K82" s="1889"/>
      <c r="L82" s="1891"/>
    </row>
    <row r="83" spans="1:12" ht="27.6" x14ac:dyDescent="0.25">
      <c r="A83" s="1962">
        <f>A78+0.01</f>
        <v>2.0599999999999987</v>
      </c>
      <c r="B83" s="1884" t="s">
        <v>3320</v>
      </c>
      <c r="C83" s="1070"/>
      <c r="D83" s="1885"/>
      <c r="E83" s="2471"/>
      <c r="F83" s="2472"/>
      <c r="G83" s="2229"/>
      <c r="H83" s="1964"/>
      <c r="I83" s="1889"/>
      <c r="J83" s="1890"/>
      <c r="K83" s="1889"/>
      <c r="L83" s="1891"/>
    </row>
    <row r="84" spans="1:12" x14ac:dyDescent="0.25">
      <c r="A84" s="1962"/>
      <c r="B84" s="1884" t="s">
        <v>2349</v>
      </c>
      <c r="C84" s="1070">
        <v>1</v>
      </c>
      <c r="D84" s="1885" t="s">
        <v>1314</v>
      </c>
      <c r="E84" s="2471">
        <f>64*6150</f>
        <v>393600</v>
      </c>
      <c r="F84" s="2468">
        <f t="shared" ref="F84:F86" si="6">+$I$1</f>
        <v>0.9</v>
      </c>
      <c r="G84" s="374">
        <f>ROUNDUP(E84/F84,-1)</f>
        <v>437340</v>
      </c>
      <c r="H84" s="2529">
        <f>C84*G84</f>
        <v>437340</v>
      </c>
      <c r="I84" s="1886"/>
      <c r="J84" s="1887"/>
      <c r="K84" s="1886"/>
      <c r="L84" s="1888"/>
    </row>
    <row r="85" spans="1:12" x14ac:dyDescent="0.25">
      <c r="A85" s="1962"/>
      <c r="B85" s="1067" t="s">
        <v>62</v>
      </c>
      <c r="C85" s="1070">
        <v>1</v>
      </c>
      <c r="D85" s="1885" t="s">
        <v>1314</v>
      </c>
      <c r="E85" s="2471">
        <f>64*6150</f>
        <v>393600</v>
      </c>
      <c r="F85" s="2468">
        <f t="shared" si="6"/>
        <v>0.9</v>
      </c>
      <c r="G85" s="374">
        <f t="shared" ref="G85:G86" si="7">ROUNDUP(E85/F85,-1)</f>
        <v>437340</v>
      </c>
      <c r="H85" s="2529">
        <f t="shared" ref="H85:H86" si="8">C85*G85</f>
        <v>437340</v>
      </c>
      <c r="I85" s="1889"/>
      <c r="J85" s="1890"/>
      <c r="K85" s="1889"/>
      <c r="L85" s="1891"/>
    </row>
    <row r="86" spans="1:12" x14ac:dyDescent="0.25">
      <c r="A86" s="1962"/>
      <c r="B86" s="1067" t="s">
        <v>2350</v>
      </c>
      <c r="C86" s="1070">
        <v>1</v>
      </c>
      <c r="D86" s="1885" t="s">
        <v>1314</v>
      </c>
      <c r="E86" s="2471">
        <f>64*6150</f>
        <v>393600</v>
      </c>
      <c r="F86" s="2468">
        <f t="shared" si="6"/>
        <v>0.9</v>
      </c>
      <c r="G86" s="374">
        <f t="shared" si="7"/>
        <v>437340</v>
      </c>
      <c r="H86" s="2529">
        <f t="shared" si="8"/>
        <v>437340</v>
      </c>
      <c r="I86" s="1889"/>
      <c r="J86" s="1890"/>
      <c r="K86" s="1889"/>
      <c r="L86" s="1891"/>
    </row>
    <row r="87" spans="1:12" x14ac:dyDescent="0.25">
      <c r="A87" s="1962"/>
      <c r="B87" s="1067"/>
      <c r="C87" s="1070"/>
      <c r="D87" s="1885"/>
      <c r="E87" s="2471"/>
      <c r="F87" s="2472"/>
      <c r="G87" s="2229"/>
      <c r="H87" s="1964"/>
      <c r="I87" s="1889"/>
      <c r="J87" s="1890"/>
      <c r="K87" s="1889"/>
      <c r="L87" s="1891"/>
    </row>
    <row r="88" spans="1:12" ht="41.4" x14ac:dyDescent="0.25">
      <c r="A88" s="1962">
        <f>A83+0.01</f>
        <v>2.0699999999999985</v>
      </c>
      <c r="B88" s="1884" t="s">
        <v>3321</v>
      </c>
      <c r="C88" s="1070"/>
      <c r="D88" s="1885"/>
      <c r="E88" s="2471"/>
      <c r="F88" s="2472"/>
      <c r="G88" s="2229"/>
      <c r="H88" s="1964"/>
      <c r="I88" s="1889"/>
      <c r="J88" s="1890"/>
      <c r="K88" s="1889"/>
      <c r="L88" s="1891"/>
    </row>
    <row r="89" spans="1:12" x14ac:dyDescent="0.25">
      <c r="A89" s="1962"/>
      <c r="B89" s="1067" t="s">
        <v>62</v>
      </c>
      <c r="C89" s="1070">
        <v>1</v>
      </c>
      <c r="D89" s="1885" t="s">
        <v>1314</v>
      </c>
      <c r="E89" s="2471">
        <f>64*6150</f>
        <v>393600</v>
      </c>
      <c r="F89" s="2468">
        <f t="shared" ref="F89" si="9">+$I$1</f>
        <v>0.9</v>
      </c>
      <c r="G89" s="374">
        <f>ROUNDUP(E89/F89,-1)</f>
        <v>437340</v>
      </c>
      <c r="H89" s="2529">
        <f>C89*G89</f>
        <v>437340</v>
      </c>
      <c r="I89" s="1886"/>
      <c r="J89" s="1887"/>
      <c r="K89" s="1886"/>
      <c r="L89" s="1888"/>
    </row>
    <row r="90" spans="1:12" x14ac:dyDescent="0.25">
      <c r="A90" s="1962"/>
      <c r="B90" s="1067"/>
      <c r="C90" s="1070"/>
      <c r="D90" s="1885"/>
      <c r="E90" s="2471"/>
      <c r="F90" s="2472"/>
      <c r="G90" s="2229"/>
      <c r="H90" s="1964"/>
      <c r="I90" s="1889"/>
      <c r="J90" s="1890"/>
      <c r="K90" s="1889"/>
      <c r="L90" s="1891"/>
    </row>
    <row r="91" spans="1:12" ht="41.4" x14ac:dyDescent="0.25">
      <c r="A91" s="1962">
        <f>A88+0.01</f>
        <v>2.0799999999999983</v>
      </c>
      <c r="B91" s="1884" t="s">
        <v>3322</v>
      </c>
      <c r="C91" s="1070"/>
      <c r="D91" s="1885"/>
      <c r="E91" s="2471"/>
      <c r="F91" s="2472"/>
      <c r="G91" s="2229"/>
      <c r="H91" s="1964"/>
      <c r="I91" s="1889"/>
      <c r="J91" s="1890"/>
      <c r="K91" s="1889"/>
      <c r="L91" s="1891"/>
    </row>
    <row r="92" spans="1:12" x14ac:dyDescent="0.25">
      <c r="A92" s="1962"/>
      <c r="B92" s="1067" t="s">
        <v>2350</v>
      </c>
      <c r="C92" s="1070">
        <v>1</v>
      </c>
      <c r="D92" s="1885" t="s">
        <v>1314</v>
      </c>
      <c r="E92" s="2471">
        <f>125*6150</f>
        <v>768750</v>
      </c>
      <c r="F92" s="2468">
        <f t="shared" ref="F92" si="10">+$I$1</f>
        <v>0.9</v>
      </c>
      <c r="G92" s="374">
        <f>ROUNDUP(E92/F92,-1)</f>
        <v>854170</v>
      </c>
      <c r="H92" s="2529">
        <f>C92*G92</f>
        <v>854170</v>
      </c>
      <c r="I92" s="1886"/>
      <c r="J92" s="1887"/>
      <c r="K92" s="1886"/>
      <c r="L92" s="1888"/>
    </row>
    <row r="93" spans="1:12" x14ac:dyDescent="0.25">
      <c r="A93" s="1962"/>
      <c r="B93" s="1067"/>
      <c r="C93" s="1070"/>
      <c r="D93" s="1885"/>
      <c r="E93" s="2471"/>
      <c r="F93" s="2472"/>
      <c r="G93" s="2229"/>
      <c r="H93" s="1964"/>
      <c r="I93" s="1889"/>
      <c r="J93" s="1890"/>
      <c r="K93" s="1889"/>
      <c r="L93" s="1891"/>
    </row>
    <row r="94" spans="1:12" x14ac:dyDescent="0.25">
      <c r="A94" s="1962">
        <v>3</v>
      </c>
      <c r="B94" s="1897" t="s">
        <v>1498</v>
      </c>
      <c r="C94" s="1070"/>
      <c r="D94" s="1885"/>
      <c r="E94" s="2471"/>
      <c r="F94" s="2472"/>
      <c r="G94" s="2229"/>
      <c r="H94" s="1964"/>
      <c r="I94" s="1889"/>
      <c r="J94" s="1890"/>
      <c r="K94" s="1889"/>
      <c r="L94" s="1891"/>
    </row>
    <row r="95" spans="1:12" x14ac:dyDescent="0.25">
      <c r="A95" s="1962"/>
      <c r="B95" s="1067"/>
      <c r="C95" s="1070"/>
      <c r="D95" s="1885"/>
      <c r="E95" s="2471"/>
      <c r="F95" s="2472"/>
      <c r="G95" s="2229"/>
      <c r="H95" s="1964"/>
      <c r="I95" s="1889"/>
      <c r="J95" s="1890"/>
      <c r="K95" s="1889"/>
      <c r="L95" s="1891"/>
    </row>
    <row r="96" spans="1:12" ht="41.4" x14ac:dyDescent="0.25">
      <c r="A96" s="1962">
        <f>A94+0.01</f>
        <v>3.01</v>
      </c>
      <c r="B96" s="1884" t="s">
        <v>3323</v>
      </c>
      <c r="C96" s="1070"/>
      <c r="D96" s="1885"/>
      <c r="E96" s="2471"/>
      <c r="F96" s="2472"/>
      <c r="G96" s="2229"/>
      <c r="H96" s="1964"/>
      <c r="I96" s="1889"/>
      <c r="J96" s="1890"/>
      <c r="K96" s="1889"/>
      <c r="L96" s="1891"/>
    </row>
    <row r="97" spans="1:12" x14ac:dyDescent="0.25">
      <c r="A97" s="1962"/>
      <c r="B97" s="1884" t="s">
        <v>2349</v>
      </c>
      <c r="C97" s="1070">
        <v>2</v>
      </c>
      <c r="D97" s="1885" t="s">
        <v>1314</v>
      </c>
      <c r="E97" s="2471">
        <f>32*2150</f>
        <v>68800</v>
      </c>
      <c r="F97" s="2468">
        <f t="shared" ref="F97" si="11">+$I$1</f>
        <v>0.9</v>
      </c>
      <c r="G97" s="374">
        <f>ROUNDUP(E97/F97,-1)</f>
        <v>76450</v>
      </c>
      <c r="H97" s="2529">
        <f>C97*G97</f>
        <v>152900</v>
      </c>
      <c r="I97" s="1886"/>
      <c r="J97" s="1887"/>
      <c r="K97" s="1886"/>
      <c r="L97" s="1888"/>
    </row>
    <row r="98" spans="1:12" x14ac:dyDescent="0.25">
      <c r="A98" s="1962"/>
      <c r="B98" s="1884"/>
      <c r="C98" s="1070"/>
      <c r="D98" s="1885"/>
      <c r="E98" s="2471"/>
      <c r="F98" s="2472"/>
      <c r="G98" s="2229"/>
      <c r="H98" s="1964"/>
      <c r="I98" s="1889"/>
      <c r="J98" s="1890"/>
      <c r="K98" s="1889"/>
      <c r="L98" s="1891"/>
    </row>
    <row r="99" spans="1:12" ht="14.4" thickBot="1" x14ac:dyDescent="0.3">
      <c r="A99" s="2654"/>
      <c r="B99" s="2655"/>
      <c r="C99" s="2656"/>
      <c r="D99" s="2657"/>
      <c r="E99" s="2658"/>
      <c r="F99" s="2659"/>
      <c r="G99" s="2660"/>
      <c r="H99" s="2661"/>
      <c r="I99" s="1889"/>
      <c r="J99" s="1890"/>
      <c r="K99" s="1889"/>
      <c r="L99" s="1891"/>
    </row>
    <row r="100" spans="1:12" s="1892" customFormat="1" ht="55.8" thickTop="1" x14ac:dyDescent="0.25">
      <c r="A100" s="2662">
        <f>A96+0.01</f>
        <v>3.0199999999999996</v>
      </c>
      <c r="B100" s="2663" t="s">
        <v>3324</v>
      </c>
      <c r="C100" s="2664"/>
      <c r="D100" s="2665"/>
      <c r="E100" s="2666"/>
      <c r="F100" s="2667"/>
      <c r="G100" s="2668"/>
      <c r="H100" s="2669"/>
      <c r="I100" s="1889"/>
      <c r="J100" s="1890"/>
      <c r="K100" s="1889"/>
      <c r="L100" s="1891"/>
    </row>
    <row r="101" spans="1:12" s="1892" customFormat="1" x14ac:dyDescent="0.25">
      <c r="A101" s="1962"/>
      <c r="B101" s="1884" t="s">
        <v>2349</v>
      </c>
      <c r="C101" s="1070">
        <v>2</v>
      </c>
      <c r="D101" s="1885" t="s">
        <v>1314</v>
      </c>
      <c r="E101" s="2471">
        <f>52*2150</f>
        <v>111800</v>
      </c>
      <c r="F101" s="2468">
        <f t="shared" ref="F101:F103" si="12">+$I$1</f>
        <v>0.9</v>
      </c>
      <c r="G101" s="374">
        <f>ROUNDUP(E101/F101,-1)</f>
        <v>124230</v>
      </c>
      <c r="H101" s="2529">
        <f>C101*G101</f>
        <v>248460</v>
      </c>
      <c r="I101" s="1889"/>
      <c r="J101" s="1890"/>
      <c r="K101" s="1889"/>
      <c r="L101" s="1891"/>
    </row>
    <row r="102" spans="1:12" s="1892" customFormat="1" ht="55.2" x14ac:dyDescent="0.25">
      <c r="A102" s="1962">
        <f>A100+0.01</f>
        <v>3.0299999999999994</v>
      </c>
      <c r="B102" s="1884" t="s">
        <v>3325</v>
      </c>
      <c r="C102" s="1070"/>
      <c r="D102" s="1885"/>
      <c r="E102" s="2471"/>
      <c r="F102" s="2472"/>
      <c r="G102" s="2229"/>
      <c r="H102" s="1964"/>
      <c r="I102" s="1889"/>
      <c r="J102" s="1890"/>
      <c r="K102" s="1889"/>
      <c r="L102" s="1891"/>
    </row>
    <row r="103" spans="1:12" s="1892" customFormat="1" x14ac:dyDescent="0.25">
      <c r="A103" s="1962"/>
      <c r="B103" s="1884" t="s">
        <v>2349</v>
      </c>
      <c r="C103" s="1070">
        <v>1</v>
      </c>
      <c r="D103" s="1885" t="s">
        <v>1314</v>
      </c>
      <c r="E103" s="2471">
        <f>96*2150</f>
        <v>206400</v>
      </c>
      <c r="F103" s="2468">
        <f t="shared" si="12"/>
        <v>0.9</v>
      </c>
      <c r="G103" s="374">
        <f>ROUNDUP(E103/F103,-1)</f>
        <v>229340</v>
      </c>
      <c r="H103" s="2529">
        <f>C103*G103</f>
        <v>229340</v>
      </c>
      <c r="I103" s="1889"/>
      <c r="J103" s="1890"/>
      <c r="K103" s="1889"/>
      <c r="L103" s="1891"/>
    </row>
    <row r="104" spans="1:12" s="1892" customFormat="1" x14ac:dyDescent="0.25">
      <c r="A104" s="1962"/>
      <c r="B104" s="1067"/>
      <c r="C104" s="1070"/>
      <c r="D104" s="1885"/>
      <c r="E104" s="2471"/>
      <c r="F104" s="2472"/>
      <c r="G104" s="2229"/>
      <c r="H104" s="1964"/>
      <c r="I104" s="1889"/>
      <c r="J104" s="1890"/>
      <c r="K104" s="1889"/>
      <c r="L104" s="1891"/>
    </row>
    <row r="105" spans="1:12" s="1892" customFormat="1" ht="55.2" x14ac:dyDescent="0.25">
      <c r="A105" s="1962">
        <f>A102+0.01</f>
        <v>3.0399999999999991</v>
      </c>
      <c r="B105" s="1884" t="s">
        <v>3326</v>
      </c>
      <c r="C105" s="1070"/>
      <c r="D105" s="1885"/>
      <c r="E105" s="2471"/>
      <c r="F105" s="2472"/>
      <c r="G105" s="2229"/>
      <c r="H105" s="1964"/>
      <c r="I105" s="1889"/>
      <c r="J105" s="1890"/>
      <c r="K105" s="1889"/>
      <c r="L105" s="1891"/>
    </row>
    <row r="106" spans="1:12" s="1892" customFormat="1" x14ac:dyDescent="0.25">
      <c r="A106" s="1962"/>
      <c r="B106" s="1067" t="s">
        <v>62</v>
      </c>
      <c r="C106" s="1070">
        <v>2</v>
      </c>
      <c r="D106" s="1885" t="s">
        <v>1314</v>
      </c>
      <c r="E106" s="2471">
        <f>96*2150</f>
        <v>206400</v>
      </c>
      <c r="F106" s="2468">
        <f t="shared" ref="F106:F107" si="13">+$I$1</f>
        <v>0.9</v>
      </c>
      <c r="G106" s="374">
        <f>ROUNDUP(E106/F106,-1)</f>
        <v>229340</v>
      </c>
      <c r="H106" s="2529">
        <f>C106*G106</f>
        <v>458680</v>
      </c>
      <c r="I106" s="1889"/>
      <c r="J106" s="1890"/>
      <c r="K106" s="1889"/>
      <c r="L106" s="1891"/>
    </row>
    <row r="107" spans="1:12" s="1892" customFormat="1" x14ac:dyDescent="0.25">
      <c r="A107" s="1962"/>
      <c r="B107" s="1067" t="s">
        <v>2350</v>
      </c>
      <c r="C107" s="1070">
        <v>2</v>
      </c>
      <c r="D107" s="1885" t="s">
        <v>1314</v>
      </c>
      <c r="E107" s="2471">
        <f>96*2150</f>
        <v>206400</v>
      </c>
      <c r="F107" s="2468">
        <f t="shared" si="13"/>
        <v>0.9</v>
      </c>
      <c r="G107" s="374">
        <f>ROUNDUP(E107/F107,-1)</f>
        <v>229340</v>
      </c>
      <c r="H107" s="2529">
        <f>C107*G107</f>
        <v>458680</v>
      </c>
      <c r="I107" s="1889"/>
      <c r="J107" s="1890"/>
      <c r="K107" s="1889"/>
      <c r="L107" s="1891"/>
    </row>
    <row r="108" spans="1:12" s="1892" customFormat="1" x14ac:dyDescent="0.25">
      <c r="A108" s="1962"/>
      <c r="B108" s="1884"/>
      <c r="C108" s="1070"/>
      <c r="D108" s="1885"/>
      <c r="E108" s="2471"/>
      <c r="F108" s="2472"/>
      <c r="G108" s="2229"/>
      <c r="H108" s="1964"/>
      <c r="I108" s="1889"/>
      <c r="J108" s="1890"/>
      <c r="K108" s="1889"/>
      <c r="L108" s="1891"/>
    </row>
    <row r="109" spans="1:12" s="1892" customFormat="1" ht="55.2" x14ac:dyDescent="0.25">
      <c r="A109" s="1962">
        <f>A105+0.01</f>
        <v>3.0499999999999989</v>
      </c>
      <c r="B109" s="1884" t="s">
        <v>3327</v>
      </c>
      <c r="C109" s="1070"/>
      <c r="D109" s="1885"/>
      <c r="E109" s="2471"/>
      <c r="F109" s="2472"/>
      <c r="G109" s="2229"/>
      <c r="H109" s="1964"/>
      <c r="I109" s="1889"/>
      <c r="J109" s="1890"/>
      <c r="K109" s="1889"/>
      <c r="L109" s="1891"/>
    </row>
    <row r="110" spans="1:12" s="1892" customFormat="1" x14ac:dyDescent="0.25">
      <c r="A110" s="1962"/>
      <c r="B110" s="1067" t="s">
        <v>62</v>
      </c>
      <c r="C110" s="1070">
        <v>1</v>
      </c>
      <c r="D110" s="1885" t="s">
        <v>1314</v>
      </c>
      <c r="E110" s="2471">
        <f>58*2150</f>
        <v>124700</v>
      </c>
      <c r="F110" s="2468">
        <f t="shared" ref="F110:F111" si="14">+$I$1</f>
        <v>0.9</v>
      </c>
      <c r="G110" s="374">
        <f t="shared" ref="G110:G111" si="15">ROUNDUP(E110/F110,-1)</f>
        <v>138560</v>
      </c>
      <c r="H110" s="2529">
        <f t="shared" ref="H110:H111" si="16">C110*G110</f>
        <v>138560</v>
      </c>
      <c r="I110" s="1889"/>
      <c r="J110" s="1890"/>
      <c r="K110" s="1889"/>
      <c r="L110" s="1891"/>
    </row>
    <row r="111" spans="1:12" s="1892" customFormat="1" x14ac:dyDescent="0.25">
      <c r="A111" s="1962"/>
      <c r="B111" s="1067" t="s">
        <v>2350</v>
      </c>
      <c r="C111" s="1070">
        <v>1</v>
      </c>
      <c r="D111" s="1885" t="s">
        <v>1314</v>
      </c>
      <c r="E111" s="2471">
        <f>58*2150</f>
        <v>124700</v>
      </c>
      <c r="F111" s="2468">
        <f t="shared" si="14"/>
        <v>0.9</v>
      </c>
      <c r="G111" s="374">
        <f t="shared" si="15"/>
        <v>138560</v>
      </c>
      <c r="H111" s="2529">
        <f t="shared" si="16"/>
        <v>138560</v>
      </c>
      <c r="I111" s="1889"/>
      <c r="J111" s="1890"/>
      <c r="K111" s="1889"/>
      <c r="L111" s="1891"/>
    </row>
    <row r="112" spans="1:12" s="1892" customFormat="1" x14ac:dyDescent="0.25">
      <c r="A112" s="1962"/>
      <c r="B112" s="1067"/>
      <c r="C112" s="1070"/>
      <c r="D112" s="1885"/>
      <c r="E112" s="2471"/>
      <c r="F112" s="2472"/>
      <c r="G112" s="2229"/>
      <c r="H112" s="1964"/>
      <c r="I112" s="1889"/>
      <c r="J112" s="1890"/>
      <c r="K112" s="1889"/>
      <c r="L112" s="1891"/>
    </row>
    <row r="113" spans="1:12" s="1892" customFormat="1" ht="41.4" hidden="1" x14ac:dyDescent="0.25">
      <c r="A113" s="1962">
        <f>A109+0.01</f>
        <v>3.0599999999999987</v>
      </c>
      <c r="B113" s="1884" t="s">
        <v>3164</v>
      </c>
      <c r="C113" s="1070"/>
      <c r="D113" s="1885"/>
      <c r="E113" s="2471"/>
      <c r="F113" s="2472"/>
      <c r="G113" s="2229"/>
      <c r="H113" s="1964"/>
      <c r="I113" s="1889"/>
      <c r="J113" s="1890"/>
      <c r="K113" s="1889"/>
      <c r="L113" s="1891"/>
    </row>
    <row r="114" spans="1:12" s="1892" customFormat="1" hidden="1" x14ac:dyDescent="0.25">
      <c r="A114" s="1962"/>
      <c r="B114" s="1067" t="s">
        <v>2350</v>
      </c>
      <c r="C114" s="1070"/>
      <c r="D114" s="1885" t="s">
        <v>1314</v>
      </c>
      <c r="E114" s="2471"/>
      <c r="F114" s="2472"/>
      <c r="G114" s="2229"/>
      <c r="H114" s="1964"/>
      <c r="I114" s="1889"/>
      <c r="J114" s="1890"/>
      <c r="K114" s="1889"/>
      <c r="L114" s="1891"/>
    </row>
    <row r="115" spans="1:12" s="1892" customFormat="1" hidden="1" x14ac:dyDescent="0.25">
      <c r="A115" s="1962"/>
      <c r="B115" s="1067"/>
      <c r="C115" s="1070"/>
      <c r="D115" s="1885"/>
      <c r="E115" s="2471"/>
      <c r="F115" s="2472"/>
      <c r="G115" s="2229"/>
      <c r="H115" s="1964"/>
      <c r="I115" s="1889"/>
      <c r="J115" s="1890"/>
      <c r="K115" s="1889"/>
      <c r="L115" s="1891"/>
    </row>
    <row r="116" spans="1:12" s="1892" customFormat="1" ht="41.4" hidden="1" x14ac:dyDescent="0.25">
      <c r="A116" s="1962">
        <f>A113+0.01</f>
        <v>3.0699999999999985</v>
      </c>
      <c r="B116" s="1884" t="s">
        <v>3165</v>
      </c>
      <c r="C116" s="1070"/>
      <c r="D116" s="1885"/>
      <c r="E116" s="2471"/>
      <c r="F116" s="2472"/>
      <c r="G116" s="2229"/>
      <c r="H116" s="1964"/>
      <c r="I116" s="1889"/>
      <c r="J116" s="1890"/>
      <c r="K116" s="1889"/>
      <c r="L116" s="1891"/>
    </row>
    <row r="117" spans="1:12" s="1892" customFormat="1" hidden="1" x14ac:dyDescent="0.25">
      <c r="A117" s="1962"/>
      <c r="B117" s="1067" t="s">
        <v>2350</v>
      </c>
      <c r="C117" s="1070"/>
      <c r="D117" s="1885" t="s">
        <v>1314</v>
      </c>
      <c r="E117" s="2471"/>
      <c r="F117" s="2472"/>
      <c r="G117" s="2229"/>
      <c r="H117" s="1964"/>
      <c r="I117" s="1889"/>
      <c r="J117" s="1890"/>
      <c r="K117" s="1889"/>
      <c r="L117" s="1891"/>
    </row>
    <row r="118" spans="1:12" s="1892" customFormat="1" hidden="1" x14ac:dyDescent="0.25">
      <c r="A118" s="1962"/>
      <c r="B118" s="1884"/>
      <c r="C118" s="1070"/>
      <c r="D118" s="1885"/>
      <c r="E118" s="2471"/>
      <c r="F118" s="2472"/>
      <c r="G118" s="2229"/>
      <c r="H118" s="1964"/>
      <c r="I118" s="1889"/>
      <c r="J118" s="1890"/>
      <c r="K118" s="1889"/>
      <c r="L118" s="1891"/>
    </row>
    <row r="119" spans="1:12" s="1892" customFormat="1" ht="41.4" hidden="1" x14ac:dyDescent="0.25">
      <c r="A119" s="1962">
        <f>A116+0.01</f>
        <v>3.0799999999999983</v>
      </c>
      <c r="B119" s="1884" t="s">
        <v>3166</v>
      </c>
      <c r="C119" s="1070"/>
      <c r="D119" s="1885"/>
      <c r="E119" s="2471"/>
      <c r="F119" s="2472"/>
      <c r="G119" s="2229"/>
      <c r="H119" s="1964"/>
      <c r="I119" s="1889"/>
      <c r="J119" s="1890"/>
      <c r="K119" s="1889"/>
      <c r="L119" s="1891"/>
    </row>
    <row r="120" spans="1:12" s="1892" customFormat="1" hidden="1" x14ac:dyDescent="0.25">
      <c r="A120" s="1962"/>
      <c r="B120" s="1884" t="s">
        <v>2349</v>
      </c>
      <c r="C120" s="1070"/>
      <c r="D120" s="1885" t="s">
        <v>1314</v>
      </c>
      <c r="E120" s="2471"/>
      <c r="F120" s="2472"/>
      <c r="G120" s="2229"/>
      <c r="H120" s="1964"/>
      <c r="I120" s="1889"/>
      <c r="J120" s="1890"/>
      <c r="K120" s="1889"/>
      <c r="L120" s="1891"/>
    </row>
    <row r="121" spans="1:12" s="1892" customFormat="1" hidden="1" x14ac:dyDescent="0.25">
      <c r="A121" s="1962"/>
      <c r="B121" s="1067" t="s">
        <v>62</v>
      </c>
      <c r="C121" s="1070"/>
      <c r="D121" s="1885" t="s">
        <v>1314</v>
      </c>
      <c r="E121" s="2471"/>
      <c r="F121" s="2472"/>
      <c r="G121" s="2229"/>
      <c r="H121" s="1964"/>
      <c r="I121" s="1889"/>
      <c r="J121" s="1890"/>
      <c r="K121" s="1889"/>
      <c r="L121" s="1891"/>
    </row>
    <row r="122" spans="1:12" s="1892" customFormat="1" hidden="1" x14ac:dyDescent="0.25">
      <c r="A122" s="1962"/>
      <c r="B122" s="1884"/>
      <c r="C122" s="1070"/>
      <c r="D122" s="1885"/>
      <c r="E122" s="2471"/>
      <c r="F122" s="2472"/>
      <c r="G122" s="2229"/>
      <c r="H122" s="1964"/>
      <c r="I122" s="1889"/>
      <c r="J122" s="1890"/>
      <c r="K122" s="1889"/>
      <c r="L122" s="1891"/>
    </row>
    <row r="123" spans="1:12" ht="41.4" x14ac:dyDescent="0.25">
      <c r="A123" s="1962">
        <f>A109+0.01</f>
        <v>3.0599999999999987</v>
      </c>
      <c r="B123" s="1884" t="s">
        <v>3328</v>
      </c>
      <c r="C123" s="1070"/>
      <c r="D123" s="1885"/>
      <c r="E123" s="2471"/>
      <c r="F123" s="2472"/>
      <c r="G123" s="2229"/>
      <c r="H123" s="1964"/>
      <c r="I123" s="1889"/>
      <c r="J123" s="1890"/>
      <c r="K123" s="1889"/>
      <c r="L123" s="1891"/>
    </row>
    <row r="124" spans="1:12" x14ac:dyDescent="0.25">
      <c r="A124" s="1962"/>
      <c r="B124" s="1067" t="s">
        <v>62</v>
      </c>
      <c r="C124" s="1070">
        <v>1</v>
      </c>
      <c r="D124" s="1885" t="s">
        <v>1314</v>
      </c>
      <c r="E124" s="2471">
        <f>23.2*2150</f>
        <v>49880</v>
      </c>
      <c r="F124" s="2468">
        <f t="shared" ref="F124" si="17">+$I$1</f>
        <v>0.9</v>
      </c>
      <c r="G124" s="374">
        <f t="shared" ref="G124" si="18">ROUNDUP(E124/F124,-1)</f>
        <v>55430</v>
      </c>
      <c r="H124" s="2529">
        <f t="shared" ref="H124" si="19">C124*G124</f>
        <v>55430</v>
      </c>
      <c r="I124" s="1889"/>
      <c r="J124" s="1890"/>
      <c r="K124" s="1889"/>
      <c r="L124" s="1891"/>
    </row>
    <row r="125" spans="1:12" x14ac:dyDescent="0.25">
      <c r="A125" s="1962"/>
      <c r="B125" s="1067"/>
      <c r="C125" s="1070"/>
      <c r="D125" s="1885"/>
      <c r="E125" s="2471"/>
      <c r="F125" s="2472"/>
      <c r="G125" s="2229"/>
      <c r="H125" s="1964"/>
      <c r="I125" s="1889"/>
      <c r="J125" s="1890"/>
      <c r="K125" s="1889"/>
      <c r="L125" s="1891"/>
    </row>
    <row r="126" spans="1:12" ht="41.4" x14ac:dyDescent="0.25">
      <c r="A126" s="1962">
        <f>A123+0.01</f>
        <v>3.0699999999999985</v>
      </c>
      <c r="B126" s="1884" t="s">
        <v>3329</v>
      </c>
      <c r="C126" s="1070"/>
      <c r="D126" s="1885"/>
      <c r="E126" s="2471"/>
      <c r="F126" s="2472"/>
      <c r="G126" s="2229"/>
      <c r="H126" s="1964"/>
      <c r="I126" s="1889"/>
      <c r="J126" s="1890"/>
      <c r="K126" s="1889"/>
      <c r="L126" s="1891"/>
    </row>
    <row r="127" spans="1:12" x14ac:dyDescent="0.25">
      <c r="A127" s="1962"/>
      <c r="B127" s="1884" t="s">
        <v>2349</v>
      </c>
      <c r="C127" s="1070">
        <v>1</v>
      </c>
      <c r="D127" s="1885" t="s">
        <v>1314</v>
      </c>
      <c r="E127" s="2471">
        <f>84*2150</f>
        <v>180600</v>
      </c>
      <c r="F127" s="2468">
        <f t="shared" ref="F127" si="20">+$I$1</f>
        <v>0.9</v>
      </c>
      <c r="G127" s="374">
        <f t="shared" ref="G127" si="21">ROUNDUP(E127/F127,-1)</f>
        <v>200670</v>
      </c>
      <c r="H127" s="2529">
        <f t="shared" ref="H127" si="22">C127*G127</f>
        <v>200670</v>
      </c>
      <c r="I127" s="1889"/>
      <c r="J127" s="1890"/>
      <c r="K127" s="1889"/>
      <c r="L127" s="1891"/>
    </row>
    <row r="128" spans="1:12" x14ac:dyDescent="0.25">
      <c r="A128" s="1962"/>
      <c r="B128" s="1067"/>
      <c r="C128" s="1070"/>
      <c r="D128" s="1885"/>
      <c r="E128" s="2471"/>
      <c r="F128" s="2472"/>
      <c r="G128" s="2229"/>
      <c r="H128" s="1964"/>
      <c r="I128" s="1889"/>
      <c r="J128" s="1890"/>
      <c r="K128" s="1889"/>
      <c r="L128" s="1891"/>
    </row>
    <row r="129" spans="1:12" ht="41.4" x14ac:dyDescent="0.25">
      <c r="A129" s="1962">
        <f>A126+0.01</f>
        <v>3.0799999999999983</v>
      </c>
      <c r="B129" s="1884" t="s">
        <v>3330</v>
      </c>
      <c r="C129" s="1070"/>
      <c r="D129" s="1885"/>
      <c r="E129" s="2471"/>
      <c r="F129" s="2472"/>
      <c r="G129" s="2229"/>
      <c r="H129" s="1964"/>
      <c r="I129" s="1889"/>
      <c r="J129" s="1890"/>
      <c r="K129" s="1889"/>
      <c r="L129" s="1891"/>
    </row>
    <row r="130" spans="1:12" x14ac:dyDescent="0.25">
      <c r="A130" s="1962"/>
      <c r="B130" s="1067" t="s">
        <v>62</v>
      </c>
      <c r="C130" s="1070">
        <v>1</v>
      </c>
      <c r="D130" s="1885" t="s">
        <v>1314</v>
      </c>
      <c r="E130" s="2471">
        <f>130*2150</f>
        <v>279500</v>
      </c>
      <c r="F130" s="2468">
        <f t="shared" ref="F130" si="23">+$I$1</f>
        <v>0.9</v>
      </c>
      <c r="G130" s="374">
        <f t="shared" ref="G130" si="24">ROUNDUP(E130/F130,-1)</f>
        <v>310560</v>
      </c>
      <c r="H130" s="2529">
        <f t="shared" ref="H130" si="25">C130*G130</f>
        <v>310560</v>
      </c>
      <c r="I130" s="1889"/>
      <c r="J130" s="1890"/>
      <c r="K130" s="1889"/>
      <c r="L130" s="1891"/>
    </row>
    <row r="131" spans="1:12" x14ac:dyDescent="0.25">
      <c r="A131" s="1962"/>
      <c r="B131" s="1884"/>
      <c r="C131" s="1070"/>
      <c r="D131" s="1885"/>
      <c r="E131" s="2471"/>
      <c r="F131" s="2472"/>
      <c r="G131" s="2229"/>
      <c r="H131" s="1964"/>
      <c r="I131" s="1889"/>
      <c r="J131" s="1890"/>
      <c r="K131" s="1889"/>
      <c r="L131" s="1891"/>
    </row>
    <row r="132" spans="1:12" ht="41.4" x14ac:dyDescent="0.25">
      <c r="A132" s="1962">
        <f>A129+0.01</f>
        <v>3.0899999999999981</v>
      </c>
      <c r="B132" s="1884" t="s">
        <v>3331</v>
      </c>
      <c r="C132" s="1070"/>
      <c r="D132" s="1885"/>
      <c r="E132" s="2471"/>
      <c r="F132" s="2472"/>
      <c r="G132" s="2229"/>
      <c r="H132" s="1964"/>
      <c r="I132" s="1889"/>
      <c r="J132" s="1890"/>
      <c r="K132" s="1889"/>
      <c r="L132" s="1891"/>
    </row>
    <row r="133" spans="1:12" x14ac:dyDescent="0.25">
      <c r="A133" s="1962"/>
      <c r="B133" s="1067" t="s">
        <v>2350</v>
      </c>
      <c r="C133" s="1070">
        <v>1</v>
      </c>
      <c r="D133" s="1885" t="s">
        <v>1314</v>
      </c>
      <c r="E133" s="2471">
        <f>141*2150</f>
        <v>303150</v>
      </c>
      <c r="F133" s="2468">
        <f t="shared" ref="F133" si="26">+$I$1</f>
        <v>0.9</v>
      </c>
      <c r="G133" s="374">
        <f t="shared" ref="G133" si="27">ROUNDUP(E133/F133,-1)</f>
        <v>336840</v>
      </c>
      <c r="H133" s="2529">
        <f t="shared" ref="H133" si="28">C133*G133</f>
        <v>336840</v>
      </c>
      <c r="I133" s="1889"/>
      <c r="J133" s="1890"/>
      <c r="K133" s="1889"/>
      <c r="L133" s="1891"/>
    </row>
    <row r="134" spans="1:12" ht="12.6" customHeight="1" x14ac:dyDescent="0.25">
      <c r="A134" s="1962"/>
      <c r="B134" s="1884"/>
      <c r="C134" s="1070"/>
      <c r="D134" s="1885"/>
      <c r="E134" s="2471"/>
      <c r="F134" s="2472"/>
      <c r="G134" s="2229"/>
      <c r="H134" s="1964"/>
      <c r="I134" s="1889"/>
      <c r="J134" s="1890"/>
      <c r="K134" s="1889"/>
      <c r="L134" s="1891"/>
    </row>
    <row r="135" spans="1:12" ht="41.4" x14ac:dyDescent="0.25">
      <c r="A135" s="1962">
        <f>A132+0.01</f>
        <v>3.0999999999999979</v>
      </c>
      <c r="B135" s="1884" t="s">
        <v>3332</v>
      </c>
      <c r="C135" s="1070"/>
      <c r="D135" s="1885"/>
      <c r="E135" s="2471"/>
      <c r="F135" s="2472"/>
      <c r="G135" s="2229"/>
      <c r="H135" s="1964"/>
      <c r="I135" s="1889"/>
      <c r="J135" s="1890"/>
      <c r="K135" s="1889"/>
      <c r="L135" s="1891"/>
    </row>
    <row r="136" spans="1:12" x14ac:dyDescent="0.25">
      <c r="A136" s="1962"/>
      <c r="B136" s="1884" t="s">
        <v>2349</v>
      </c>
      <c r="C136" s="1070">
        <v>1</v>
      </c>
      <c r="D136" s="1885" t="s">
        <v>1314</v>
      </c>
      <c r="E136" s="2471">
        <f>120*2150</f>
        <v>258000</v>
      </c>
      <c r="F136" s="2468">
        <f t="shared" ref="F136" si="29">+$I$1</f>
        <v>0.9</v>
      </c>
      <c r="G136" s="374">
        <f t="shared" ref="G136" si="30">ROUNDUP(E136/F136,-1)</f>
        <v>286670</v>
      </c>
      <c r="H136" s="2529">
        <f>C136*G136</f>
        <v>286670</v>
      </c>
      <c r="I136" s="1889"/>
      <c r="J136" s="1890"/>
      <c r="K136" s="1889"/>
      <c r="L136" s="1891"/>
    </row>
    <row r="137" spans="1:12" ht="12.6" customHeight="1" x14ac:dyDescent="0.25">
      <c r="A137" s="1962"/>
      <c r="B137" s="1884"/>
      <c r="C137" s="1070"/>
      <c r="D137" s="1885"/>
      <c r="E137" s="2471"/>
      <c r="F137" s="2472"/>
      <c r="G137" s="2229"/>
      <c r="H137" s="1964"/>
      <c r="I137" s="1889"/>
      <c r="J137" s="1890"/>
      <c r="K137" s="1889"/>
      <c r="L137" s="1891"/>
    </row>
    <row r="138" spans="1:12" ht="41.4" x14ac:dyDescent="0.25">
      <c r="A138" s="1962">
        <f>A135+0.01</f>
        <v>3.1099999999999977</v>
      </c>
      <c r="B138" s="1884" t="s">
        <v>3333</v>
      </c>
      <c r="C138" s="1070"/>
      <c r="D138" s="1885"/>
      <c r="E138" s="2471"/>
      <c r="F138" s="2472"/>
      <c r="G138" s="2229"/>
      <c r="H138" s="1964"/>
      <c r="I138" s="1889"/>
      <c r="J138" s="1890"/>
      <c r="K138" s="1889"/>
      <c r="L138" s="1891"/>
    </row>
    <row r="139" spans="1:12" x14ac:dyDescent="0.25">
      <c r="A139" s="1962"/>
      <c r="B139" s="1067" t="s">
        <v>62</v>
      </c>
      <c r="C139" s="1070">
        <v>1</v>
      </c>
      <c r="D139" s="1885" t="s">
        <v>1314</v>
      </c>
      <c r="E139" s="2471">
        <f>58*2150</f>
        <v>124700</v>
      </c>
      <c r="F139" s="2468">
        <f t="shared" ref="F139:F140" si="31">+$I$1</f>
        <v>0.9</v>
      </c>
      <c r="G139" s="374">
        <f t="shared" ref="G139:G140" si="32">ROUNDUP(E139/F139,-1)</f>
        <v>138560</v>
      </c>
      <c r="H139" s="2529">
        <f>C139*G139</f>
        <v>138560</v>
      </c>
      <c r="I139" s="1889"/>
      <c r="J139" s="1890"/>
      <c r="K139" s="1889"/>
      <c r="L139" s="1891"/>
    </row>
    <row r="140" spans="1:12" x14ac:dyDescent="0.25">
      <c r="A140" s="1962"/>
      <c r="B140" s="1067" t="s">
        <v>2350</v>
      </c>
      <c r="C140" s="1070">
        <v>1</v>
      </c>
      <c r="D140" s="1885" t="s">
        <v>1314</v>
      </c>
      <c r="E140" s="2471">
        <f>58*2150</f>
        <v>124700</v>
      </c>
      <c r="F140" s="2468">
        <f t="shared" si="31"/>
        <v>0.9</v>
      </c>
      <c r="G140" s="374">
        <f t="shared" si="32"/>
        <v>138560</v>
      </c>
      <c r="H140" s="2529">
        <f>C140*G140</f>
        <v>138560</v>
      </c>
      <c r="I140" s="1889"/>
      <c r="J140" s="1890"/>
      <c r="K140" s="1889"/>
      <c r="L140" s="1891"/>
    </row>
    <row r="141" spans="1:12" ht="12.6" customHeight="1" thickBot="1" x14ac:dyDescent="0.3">
      <c r="A141" s="2654"/>
      <c r="B141" s="2655"/>
      <c r="C141" s="2656"/>
      <c r="D141" s="2657"/>
      <c r="E141" s="2658"/>
      <c r="F141" s="2659"/>
      <c r="G141" s="2660"/>
      <c r="H141" s="2661"/>
      <c r="I141" s="1889"/>
      <c r="J141" s="1890"/>
      <c r="K141" s="1889"/>
      <c r="L141" s="1891"/>
    </row>
    <row r="142" spans="1:12" ht="42" thickTop="1" x14ac:dyDescent="0.25">
      <c r="A142" s="2662">
        <f>A138+0.01</f>
        <v>3.1199999999999974</v>
      </c>
      <c r="B142" s="2663" t="s">
        <v>3335</v>
      </c>
      <c r="C142" s="2664"/>
      <c r="D142" s="2665"/>
      <c r="E142" s="2666"/>
      <c r="F142" s="2667"/>
      <c r="G142" s="2668"/>
      <c r="H142" s="2669"/>
      <c r="I142" s="1889"/>
      <c r="J142" s="1890"/>
      <c r="K142" s="1889"/>
      <c r="L142" s="1891"/>
    </row>
    <row r="143" spans="1:12" x14ac:dyDescent="0.25">
      <c r="A143" s="1962"/>
      <c r="B143" s="1067" t="s">
        <v>2350</v>
      </c>
      <c r="C143" s="1070">
        <v>2</v>
      </c>
      <c r="D143" s="1885" t="s">
        <v>1314</v>
      </c>
      <c r="E143" s="2471">
        <f>98*2150</f>
        <v>210700</v>
      </c>
      <c r="F143" s="2468">
        <f t="shared" ref="F143" si="33">+$I$1</f>
        <v>0.9</v>
      </c>
      <c r="G143" s="374">
        <f t="shared" ref="G143" si="34">ROUNDUP(E143/F143,-1)</f>
        <v>234120</v>
      </c>
      <c r="H143" s="2529">
        <f>C143*G143</f>
        <v>468240</v>
      </c>
      <c r="I143" s="1889"/>
      <c r="J143" s="1890"/>
      <c r="K143" s="1889"/>
      <c r="L143" s="1891"/>
    </row>
    <row r="144" spans="1:12" ht="12.6" customHeight="1" x14ac:dyDescent="0.25">
      <c r="A144" s="1962"/>
      <c r="B144" s="1884"/>
      <c r="C144" s="1070"/>
      <c r="D144" s="1885"/>
      <c r="E144" s="2471"/>
      <c r="F144" s="2472"/>
      <c r="G144" s="2229"/>
      <c r="H144" s="1964"/>
      <c r="I144" s="1889"/>
      <c r="J144" s="1890"/>
      <c r="K144" s="1889"/>
      <c r="L144" s="1891"/>
    </row>
    <row r="145" spans="1:12" ht="41.4" x14ac:dyDescent="0.25">
      <c r="A145" s="1962">
        <f>A142+0.01</f>
        <v>3.1299999999999972</v>
      </c>
      <c r="B145" s="1884" t="s">
        <v>3334</v>
      </c>
      <c r="C145" s="1070"/>
      <c r="D145" s="1885"/>
      <c r="E145" s="2471"/>
      <c r="F145" s="2472"/>
      <c r="G145" s="2229"/>
      <c r="H145" s="1964"/>
      <c r="I145" s="1889"/>
      <c r="J145" s="1890"/>
      <c r="K145" s="1889"/>
      <c r="L145" s="1891"/>
    </row>
    <row r="146" spans="1:12" x14ac:dyDescent="0.25">
      <c r="A146" s="1962"/>
      <c r="B146" s="1884" t="s">
        <v>2349</v>
      </c>
      <c r="C146" s="1070">
        <v>1</v>
      </c>
      <c r="D146" s="1885" t="s">
        <v>1314</v>
      </c>
      <c r="E146" s="2471">
        <f>50*2150</f>
        <v>107500</v>
      </c>
      <c r="F146" s="2468">
        <f t="shared" ref="F146" si="35">+$I$1</f>
        <v>0.9</v>
      </c>
      <c r="G146" s="374">
        <f t="shared" ref="G146" si="36">ROUNDUP(E146/F146,-1)</f>
        <v>119450</v>
      </c>
      <c r="H146" s="2529">
        <f>C146*G146</f>
        <v>119450</v>
      </c>
      <c r="I146" s="1889"/>
      <c r="J146" s="1890"/>
      <c r="K146" s="1889"/>
      <c r="L146" s="1891"/>
    </row>
    <row r="147" spans="1:12" ht="12.6" customHeight="1" x14ac:dyDescent="0.25">
      <c r="A147" s="1962"/>
      <c r="B147" s="1884"/>
      <c r="C147" s="1070"/>
      <c r="D147" s="1885"/>
      <c r="E147" s="2471"/>
      <c r="F147" s="2472"/>
      <c r="G147" s="2229"/>
      <c r="H147" s="1964"/>
      <c r="I147" s="1889"/>
      <c r="J147" s="1890"/>
      <c r="K147" s="1889"/>
      <c r="L147" s="1891"/>
    </row>
    <row r="148" spans="1:12" s="1892" customFormat="1" ht="41.4" x14ac:dyDescent="0.25">
      <c r="A148" s="1962">
        <f>A142+0.01</f>
        <v>3.1299999999999972</v>
      </c>
      <c r="B148" s="1884" t="s">
        <v>3336</v>
      </c>
      <c r="C148" s="1070"/>
      <c r="D148" s="1885"/>
      <c r="E148" s="2471"/>
      <c r="F148" s="2472"/>
      <c r="G148" s="2229"/>
      <c r="H148" s="1964"/>
      <c r="I148" s="1889"/>
      <c r="J148" s="1890"/>
      <c r="K148" s="1889"/>
      <c r="L148" s="1891"/>
    </row>
    <row r="149" spans="1:12" x14ac:dyDescent="0.25">
      <c r="A149" s="1962"/>
      <c r="B149" s="1884" t="s">
        <v>2349</v>
      </c>
      <c r="C149" s="1070">
        <v>2</v>
      </c>
      <c r="D149" s="1885" t="s">
        <v>1314</v>
      </c>
      <c r="E149" s="2471">
        <f>25*2150</f>
        <v>53750</v>
      </c>
      <c r="F149" s="2468">
        <f t="shared" ref="F149:F151" si="37">+$I$1</f>
        <v>0.9</v>
      </c>
      <c r="G149" s="374">
        <f t="shared" ref="G149" si="38">ROUNDUP(E149/F149,-1)</f>
        <v>59730</v>
      </c>
      <c r="H149" s="2529">
        <f>C149*G149</f>
        <v>119460</v>
      </c>
      <c r="I149" s="1889"/>
      <c r="J149" s="1890"/>
      <c r="K149" s="1889"/>
      <c r="L149" s="1891"/>
    </row>
    <row r="150" spans="1:12" x14ac:dyDescent="0.25">
      <c r="A150" s="1962"/>
      <c r="B150" s="1067" t="s">
        <v>62</v>
      </c>
      <c r="C150" s="1070">
        <v>3</v>
      </c>
      <c r="D150" s="1885" t="s">
        <v>1314</v>
      </c>
      <c r="E150" s="2471">
        <f>25*2150</f>
        <v>53750</v>
      </c>
      <c r="F150" s="2468">
        <f t="shared" si="37"/>
        <v>0.9</v>
      </c>
      <c r="G150" s="374">
        <f t="shared" ref="G150:G151" si="39">ROUNDUP(E150/F150,-1)</f>
        <v>59730</v>
      </c>
      <c r="H150" s="2529">
        <f>C150*G150</f>
        <v>179190</v>
      </c>
      <c r="I150" s="1889"/>
      <c r="J150" s="1890"/>
      <c r="K150" s="1889"/>
      <c r="L150" s="1891"/>
    </row>
    <row r="151" spans="1:12" x14ac:dyDescent="0.25">
      <c r="A151" s="1962"/>
      <c r="B151" s="1067" t="s">
        <v>2350</v>
      </c>
      <c r="C151" s="1070">
        <v>2</v>
      </c>
      <c r="D151" s="1885" t="s">
        <v>1314</v>
      </c>
      <c r="E151" s="2471">
        <f>25*2150</f>
        <v>53750</v>
      </c>
      <c r="F151" s="2468">
        <f t="shared" si="37"/>
        <v>0.9</v>
      </c>
      <c r="G151" s="374">
        <f t="shared" si="39"/>
        <v>59730</v>
      </c>
      <c r="H151" s="2529">
        <f>C151*G151</f>
        <v>119460</v>
      </c>
      <c r="I151" s="1889"/>
      <c r="J151" s="1890"/>
      <c r="K151" s="1889"/>
      <c r="L151" s="1891"/>
    </row>
    <row r="152" spans="1:12" ht="27.6" hidden="1" x14ac:dyDescent="0.25">
      <c r="A152" s="1962" t="e">
        <f>#REF!+0.01</f>
        <v>#REF!</v>
      </c>
      <c r="B152" s="1884" t="s">
        <v>3169</v>
      </c>
      <c r="C152" s="1070"/>
      <c r="D152" s="1885"/>
      <c r="E152" s="2471"/>
      <c r="F152" s="2472"/>
      <c r="G152" s="2229"/>
      <c r="H152" s="1964"/>
      <c r="I152" s="1889"/>
      <c r="J152" s="1890"/>
      <c r="K152" s="1889"/>
      <c r="L152" s="1891"/>
    </row>
    <row r="153" spans="1:12" hidden="1" x14ac:dyDescent="0.25">
      <c r="A153" s="1962"/>
      <c r="B153" s="1884" t="s">
        <v>2349</v>
      </c>
      <c r="C153" s="1070"/>
      <c r="D153" s="1885" t="s">
        <v>1314</v>
      </c>
      <c r="E153" s="2471"/>
      <c r="F153" s="2472"/>
      <c r="G153" s="2229"/>
      <c r="H153" s="1964"/>
      <c r="I153" s="1889"/>
      <c r="J153" s="1890"/>
      <c r="K153" s="1889"/>
      <c r="L153" s="1891"/>
    </row>
    <row r="154" spans="1:12" hidden="1" x14ac:dyDescent="0.25">
      <c r="A154" s="1962"/>
      <c r="B154" s="1884"/>
      <c r="C154" s="1070"/>
      <c r="D154" s="1885"/>
      <c r="E154" s="2471"/>
      <c r="F154" s="2472"/>
      <c r="G154" s="2229"/>
      <c r="H154" s="1964"/>
      <c r="I154" s="1889"/>
      <c r="J154" s="1890"/>
      <c r="K154" s="1889"/>
      <c r="L154" s="1891"/>
    </row>
    <row r="155" spans="1:12" ht="14.4" hidden="1" thickBot="1" x14ac:dyDescent="0.3">
      <c r="A155" s="1965"/>
      <c r="B155" s="1966"/>
      <c r="C155" s="1934"/>
      <c r="D155" s="1967"/>
      <c r="E155" s="2473"/>
      <c r="F155" s="2474"/>
      <c r="G155" s="2230"/>
      <c r="H155" s="1968"/>
      <c r="I155" s="1889"/>
      <c r="J155" s="1890"/>
      <c r="K155" s="1889"/>
      <c r="L155" s="1891"/>
    </row>
    <row r="156" spans="1:12" hidden="1" x14ac:dyDescent="0.25">
      <c r="A156" s="1961" t="e">
        <f>A152+0.01</f>
        <v>#REF!</v>
      </c>
      <c r="B156" s="1969" t="s">
        <v>3170</v>
      </c>
      <c r="C156" s="1925"/>
      <c r="D156" s="1970"/>
      <c r="E156" s="2475"/>
      <c r="F156" s="2476"/>
      <c r="G156" s="2231"/>
      <c r="H156" s="1971"/>
      <c r="I156" s="1889"/>
      <c r="J156" s="1890"/>
      <c r="K156" s="1889"/>
      <c r="L156" s="1891"/>
    </row>
    <row r="157" spans="1:12" ht="27.6" hidden="1" x14ac:dyDescent="0.25">
      <c r="A157" s="1962"/>
      <c r="B157" s="1884" t="s">
        <v>3171</v>
      </c>
      <c r="C157" s="1070"/>
      <c r="D157" s="1885"/>
      <c r="E157" s="2471"/>
      <c r="F157" s="2472"/>
      <c r="G157" s="2229"/>
      <c r="H157" s="1964"/>
      <c r="I157" s="1889"/>
      <c r="J157" s="1890"/>
      <c r="K157" s="1889"/>
      <c r="L157" s="1891"/>
    </row>
    <row r="158" spans="1:12" hidden="1" x14ac:dyDescent="0.25">
      <c r="A158" s="1962"/>
      <c r="B158" s="1884" t="s">
        <v>2349</v>
      </c>
      <c r="C158" s="1070"/>
      <c r="D158" s="1885" t="s">
        <v>1314</v>
      </c>
      <c r="E158" s="2471"/>
      <c r="F158" s="2472"/>
      <c r="G158" s="2229"/>
      <c r="H158" s="1964"/>
      <c r="I158" s="1889"/>
      <c r="J158" s="1890"/>
      <c r="K158" s="1889"/>
      <c r="L158" s="1891"/>
    </row>
    <row r="159" spans="1:12" x14ac:dyDescent="0.25">
      <c r="A159" s="1962"/>
      <c r="B159" s="1147"/>
      <c r="C159" s="1878"/>
      <c r="D159" s="1069"/>
      <c r="E159" s="2466"/>
      <c r="F159" s="2467"/>
      <c r="G159" s="2218"/>
      <c r="H159" s="1926"/>
    </row>
    <row r="160" spans="1:12" s="1191" customFormat="1" ht="21" customHeight="1" thickBot="1" x14ac:dyDescent="0.3">
      <c r="A160" s="1972"/>
      <c r="B160" s="2649" t="s">
        <v>921</v>
      </c>
      <c r="C160" s="2650"/>
      <c r="D160" s="2651"/>
      <c r="E160" s="2652"/>
      <c r="F160" s="2652"/>
      <c r="G160" s="2653"/>
      <c r="H160" s="1973">
        <f>SUM(H4:H159)</f>
        <v>10787630</v>
      </c>
    </row>
  </sheetData>
  <pageMargins left="0.51181102362204722" right="0.51181102362204722" top="0.31496062992125984" bottom="0.23622047244094491" header="0.15748031496062992" footer="0.35433070866141736"/>
  <pageSetup orientation="portrait" r:id="rId1"/>
  <headerFooter alignWithMargins="0">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30A0"/>
  </sheetPr>
  <dimension ref="A1:Q21"/>
  <sheetViews>
    <sheetView showZeros="0" view="pageBreakPreview" zoomScale="115" zoomScaleNormal="100" zoomScaleSheetLayoutView="115" workbookViewId="0">
      <pane xSplit="1" ySplit="1" topLeftCell="B2" activePane="bottomRight" state="frozen"/>
      <selection activeCell="L47" sqref="L47"/>
      <selection pane="topRight" activeCell="L47" sqref="L47"/>
      <selection pane="bottomLeft" activeCell="L47" sqref="L47"/>
      <selection pane="bottomRight" activeCell="L47" sqref="L47"/>
    </sheetView>
  </sheetViews>
  <sheetFormatPr defaultColWidth="11" defaultRowHeight="13.2" x14ac:dyDescent="0.25"/>
  <cols>
    <col min="1" max="1" width="6.44140625" style="705" bestFit="1" customWidth="1"/>
    <col min="2" max="2" width="46.5546875" style="712" customWidth="1"/>
    <col min="3" max="3" width="9.21875" style="705" bestFit="1" customWidth="1"/>
    <col min="4" max="4" width="6.109375" style="713" bestFit="1" customWidth="1"/>
    <col min="5" max="6" width="12.5546875" style="2513" hidden="1" customWidth="1"/>
    <col min="7" max="7" width="12.5546875" style="714" customWidth="1"/>
    <col min="8" max="8" width="15.44140625" style="714" bestFit="1" customWidth="1"/>
    <col min="9" max="9" width="15.6640625" style="683" customWidth="1"/>
    <col min="10" max="10" width="14.77734375" style="678" bestFit="1" customWidth="1"/>
    <col min="11" max="11" width="14.77734375" style="684" customWidth="1"/>
    <col min="12" max="12" width="12.6640625" style="684" bestFit="1" customWidth="1"/>
    <col min="13" max="13" width="11.21875" style="684" bestFit="1" customWidth="1"/>
    <col min="14" max="15" width="11" style="684"/>
    <col min="16" max="16" width="12.6640625" style="684" bestFit="1" customWidth="1"/>
    <col min="17" max="16384" width="11" style="684"/>
  </cols>
  <sheetData>
    <row r="1" spans="1:17" s="680" customFormat="1" ht="23.25" customHeight="1" thickBot="1" x14ac:dyDescent="0.3">
      <c r="A1" s="2701" t="s">
        <v>13</v>
      </c>
      <c r="B1" s="2702" t="s">
        <v>1</v>
      </c>
      <c r="C1" s="2703" t="s">
        <v>2</v>
      </c>
      <c r="D1" s="2704" t="s">
        <v>3</v>
      </c>
      <c r="E1" s="2447" t="s">
        <v>3565</v>
      </c>
      <c r="F1" s="2447" t="s">
        <v>3708</v>
      </c>
      <c r="G1" s="2445" t="s">
        <v>1286</v>
      </c>
      <c r="H1" s="2445" t="s">
        <v>1287</v>
      </c>
      <c r="I1" s="677">
        <f>+summary!D17</f>
        <v>0.85</v>
      </c>
      <c r="J1" s="678"/>
      <c r="K1" s="679"/>
      <c r="L1" s="679"/>
      <c r="M1" s="679"/>
      <c r="N1" s="679"/>
      <c r="O1" s="679"/>
      <c r="P1" s="679"/>
      <c r="Q1" s="679"/>
    </row>
    <row r="2" spans="1:17" s="685" customFormat="1" ht="15.6" x14ac:dyDescent="0.25">
      <c r="A2" s="2692">
        <v>1</v>
      </c>
      <c r="B2" s="2693" t="s">
        <v>241</v>
      </c>
      <c r="C2" s="2694"/>
      <c r="D2" s="2694"/>
      <c r="E2" s="2695"/>
      <c r="F2" s="2695"/>
      <c r="G2" s="2694"/>
      <c r="H2" s="2694"/>
      <c r="I2" s="683"/>
      <c r="J2" s="678"/>
      <c r="K2" s="684"/>
      <c r="L2" s="684"/>
      <c r="M2" s="684"/>
      <c r="N2" s="684"/>
      <c r="O2" s="684"/>
      <c r="P2" s="684"/>
      <c r="Q2" s="684"/>
    </row>
    <row r="3" spans="1:17" s="685" customFormat="1" ht="15.6" x14ac:dyDescent="0.25">
      <c r="A3" s="687"/>
      <c r="B3" s="686"/>
      <c r="C3" s="681"/>
      <c r="D3" s="681"/>
      <c r="E3" s="2510"/>
      <c r="F3" s="2510"/>
      <c r="G3" s="681"/>
      <c r="H3" s="681"/>
      <c r="I3" s="683"/>
      <c r="J3" s="678"/>
      <c r="K3" s="684"/>
      <c r="L3" s="684"/>
      <c r="M3" s="684"/>
      <c r="N3" s="684"/>
      <c r="O3" s="684"/>
      <c r="P3" s="684"/>
      <c r="Q3" s="684"/>
    </row>
    <row r="4" spans="1:17" s="685" customFormat="1" ht="43.2" customHeight="1" x14ac:dyDescent="0.25">
      <c r="A4" s="2371">
        <f>A2+0.01</f>
        <v>1.01</v>
      </c>
      <c r="B4" s="2372" t="s">
        <v>3200</v>
      </c>
      <c r="C4" s="2373">
        <f>'m shet rolf'!N337</f>
        <v>229</v>
      </c>
      <c r="D4" s="2374" t="s">
        <v>2423</v>
      </c>
      <c r="E4" s="2511">
        <f>+[21]RBD!$F$196</f>
        <v>14720</v>
      </c>
      <c r="F4" s="2459">
        <f>+I1</f>
        <v>0.85</v>
      </c>
      <c r="G4" s="2375">
        <f>ROUNDUP(E4/F4,-1)</f>
        <v>17320</v>
      </c>
      <c r="H4" s="2375">
        <f>C4*G4</f>
        <v>3966280</v>
      </c>
      <c r="I4" s="683"/>
      <c r="J4" s="678"/>
      <c r="K4" s="684"/>
      <c r="L4" s="684"/>
      <c r="M4" s="684"/>
      <c r="N4" s="684"/>
      <c r="O4" s="684"/>
      <c r="P4" s="684"/>
      <c r="Q4" s="684"/>
    </row>
    <row r="5" spans="1:17" s="685" customFormat="1" ht="15.6" x14ac:dyDescent="0.25">
      <c r="A5" s="687"/>
      <c r="B5" s="686"/>
      <c r="C5" s="1999"/>
      <c r="D5" s="681"/>
      <c r="E5" s="2510"/>
      <c r="F5" s="2510"/>
      <c r="G5" s="681"/>
      <c r="H5" s="681"/>
      <c r="I5" s="683"/>
      <c r="J5" s="678"/>
      <c r="K5" s="684"/>
      <c r="L5" s="684"/>
      <c r="M5" s="684"/>
      <c r="N5" s="684"/>
      <c r="O5" s="684"/>
      <c r="P5" s="684"/>
      <c r="Q5" s="684"/>
    </row>
    <row r="6" spans="1:17" s="685" customFormat="1" x14ac:dyDescent="0.25">
      <c r="A6" s="993"/>
      <c r="B6" s="2696"/>
      <c r="C6" s="2697"/>
      <c r="D6" s="2698"/>
      <c r="E6" s="2699"/>
      <c r="F6" s="2699"/>
      <c r="G6" s="2700"/>
      <c r="H6" s="2700"/>
      <c r="I6" s="683"/>
      <c r="J6" s="678"/>
      <c r="K6" s="684"/>
      <c r="L6" s="684"/>
      <c r="M6" s="684"/>
      <c r="N6" s="684"/>
      <c r="O6" s="684"/>
      <c r="P6" s="684"/>
      <c r="Q6" s="684"/>
    </row>
    <row r="7" spans="1:17" s="685" customFormat="1" ht="31.2" x14ac:dyDescent="0.25">
      <c r="A7" s="2705"/>
      <c r="B7" s="2706" t="s">
        <v>917</v>
      </c>
      <c r="C7" s="2707"/>
      <c r="D7" s="2708"/>
      <c r="E7" s="2709"/>
      <c r="F7" s="2709"/>
      <c r="G7" s="2710"/>
      <c r="H7" s="2711">
        <f>SUM(H4:H6)</f>
        <v>3966280</v>
      </c>
      <c r="I7" s="683"/>
      <c r="J7" s="678"/>
      <c r="K7" s="684"/>
      <c r="L7" s="684"/>
      <c r="M7" s="684"/>
      <c r="N7" s="684"/>
      <c r="O7" s="684"/>
      <c r="P7" s="684"/>
      <c r="Q7" s="684"/>
    </row>
    <row r="8" spans="1:17" s="680" customFormat="1" x14ac:dyDescent="0.25">
      <c r="A8" s="705"/>
      <c r="B8" s="706"/>
      <c r="C8" s="707"/>
      <c r="D8" s="708"/>
      <c r="E8" s="2512"/>
      <c r="F8" s="2512"/>
      <c r="G8" s="709"/>
      <c r="H8" s="709"/>
      <c r="I8" s="710"/>
      <c r="J8" s="678"/>
      <c r="K8" s="679"/>
      <c r="L8" s="679"/>
      <c r="M8" s="679"/>
      <c r="N8" s="711"/>
      <c r="O8" s="679"/>
      <c r="P8" s="679"/>
      <c r="Q8" s="679"/>
    </row>
    <row r="9" spans="1:17" s="680" customFormat="1" x14ac:dyDescent="0.25">
      <c r="A9" s="705"/>
      <c r="B9" s="706"/>
      <c r="C9" s="707"/>
      <c r="D9" s="708"/>
      <c r="E9" s="2512"/>
      <c r="F9" s="2512"/>
      <c r="G9" s="709"/>
      <c r="H9" s="709"/>
      <c r="I9" s="710"/>
      <c r="J9" s="678"/>
      <c r="K9" s="679"/>
      <c r="L9" s="679"/>
      <c r="M9" s="679"/>
      <c r="N9" s="679"/>
      <c r="O9" s="679"/>
      <c r="P9" s="679"/>
      <c r="Q9" s="679"/>
    </row>
    <row r="10" spans="1:17" s="680" customFormat="1" x14ac:dyDescent="0.25">
      <c r="A10" s="705"/>
      <c r="B10" s="706"/>
      <c r="C10" s="707"/>
      <c r="D10" s="708"/>
      <c r="E10" s="2512"/>
      <c r="F10" s="2512"/>
      <c r="G10" s="709"/>
      <c r="H10" s="709"/>
      <c r="I10" s="710"/>
      <c r="J10" s="678"/>
      <c r="K10" s="679"/>
      <c r="L10" s="679"/>
      <c r="M10" s="679"/>
      <c r="N10" s="679"/>
      <c r="O10" s="679"/>
      <c r="P10" s="679"/>
      <c r="Q10" s="679"/>
    </row>
    <row r="11" spans="1:17" s="680" customFormat="1" x14ac:dyDescent="0.25">
      <c r="A11" s="705"/>
      <c r="B11" s="706"/>
      <c r="C11" s="707"/>
      <c r="D11" s="708"/>
      <c r="E11" s="2512"/>
      <c r="F11" s="2512"/>
      <c r="G11" s="709"/>
      <c r="H11" s="709"/>
      <c r="I11" s="710"/>
      <c r="J11" s="678"/>
      <c r="K11" s="679"/>
      <c r="L11" s="679"/>
      <c r="M11" s="679"/>
      <c r="N11" s="679"/>
      <c r="O11" s="679"/>
      <c r="P11" s="679"/>
      <c r="Q11" s="679"/>
    </row>
    <row r="12" spans="1:17" s="680" customFormat="1" x14ac:dyDescent="0.25">
      <c r="A12" s="705"/>
      <c r="B12" s="706"/>
      <c r="C12" s="707"/>
      <c r="D12" s="708"/>
      <c r="E12" s="2512"/>
      <c r="F12" s="2512"/>
      <c r="G12" s="709"/>
      <c r="H12" s="709"/>
      <c r="I12" s="710"/>
      <c r="J12" s="678"/>
      <c r="K12" s="679"/>
      <c r="L12" s="679"/>
      <c r="M12" s="679"/>
      <c r="N12" s="679"/>
      <c r="O12" s="679"/>
      <c r="P12" s="679"/>
      <c r="Q12" s="679"/>
    </row>
    <row r="13" spans="1:17" s="680" customFormat="1" x14ac:dyDescent="0.25">
      <c r="A13" s="705"/>
      <c r="B13" s="706"/>
      <c r="C13" s="707"/>
      <c r="D13" s="708"/>
      <c r="E13" s="2512"/>
      <c r="F13" s="2512"/>
      <c r="G13" s="709"/>
      <c r="H13" s="709"/>
      <c r="I13" s="710"/>
      <c r="J13" s="678"/>
      <c r="K13" s="679"/>
      <c r="L13" s="679"/>
      <c r="M13" s="679"/>
      <c r="N13" s="679"/>
      <c r="O13" s="679"/>
      <c r="P13" s="679"/>
      <c r="Q13" s="679"/>
    </row>
    <row r="14" spans="1:17" s="680" customFormat="1" x14ac:dyDescent="0.25">
      <c r="A14" s="705"/>
      <c r="B14" s="706"/>
      <c r="C14" s="707"/>
      <c r="D14" s="708"/>
      <c r="E14" s="2512"/>
      <c r="F14" s="2512"/>
      <c r="G14" s="709"/>
      <c r="H14" s="709"/>
      <c r="I14" s="710"/>
      <c r="J14" s="678"/>
      <c r="K14" s="679"/>
      <c r="L14" s="679"/>
      <c r="M14" s="679"/>
      <c r="N14" s="679"/>
      <c r="O14" s="679"/>
      <c r="P14" s="679"/>
      <c r="Q14" s="679"/>
    </row>
    <row r="15" spans="1:17" s="680" customFormat="1" x14ac:dyDescent="0.25">
      <c r="A15" s="705"/>
      <c r="B15" s="706"/>
      <c r="C15" s="707"/>
      <c r="D15" s="708"/>
      <c r="E15" s="2512"/>
      <c r="F15" s="2512"/>
      <c r="G15" s="709"/>
      <c r="H15" s="709"/>
      <c r="I15" s="710"/>
      <c r="J15" s="678"/>
      <c r="K15" s="679"/>
      <c r="L15" s="679"/>
      <c r="M15" s="679"/>
      <c r="N15" s="679"/>
      <c r="O15" s="679"/>
      <c r="P15" s="679"/>
      <c r="Q15" s="679"/>
    </row>
    <row r="16" spans="1:17" s="680" customFormat="1" x14ac:dyDescent="0.25">
      <c r="A16" s="705"/>
      <c r="B16" s="706"/>
      <c r="C16" s="707"/>
      <c r="D16" s="708"/>
      <c r="E16" s="2512"/>
      <c r="F16" s="2512"/>
      <c r="G16" s="709"/>
      <c r="H16" s="709"/>
      <c r="I16" s="710"/>
      <c r="J16" s="678"/>
      <c r="K16" s="679"/>
      <c r="L16" s="679"/>
      <c r="M16" s="679"/>
      <c r="N16" s="679"/>
      <c r="O16" s="679"/>
      <c r="P16" s="679"/>
      <c r="Q16" s="679"/>
    </row>
    <row r="17" spans="1:17" s="680" customFormat="1" x14ac:dyDescent="0.25">
      <c r="A17" s="705"/>
      <c r="B17" s="706"/>
      <c r="C17" s="707"/>
      <c r="D17" s="708"/>
      <c r="E17" s="2512"/>
      <c r="F17" s="2512"/>
      <c r="G17" s="709"/>
      <c r="H17" s="709"/>
      <c r="I17" s="710"/>
      <c r="J17" s="678"/>
      <c r="K17" s="679"/>
      <c r="L17" s="679"/>
      <c r="M17" s="679"/>
      <c r="N17" s="679"/>
      <c r="O17" s="679"/>
      <c r="P17" s="679"/>
      <c r="Q17" s="679"/>
    </row>
    <row r="18" spans="1:17" s="680" customFormat="1" x14ac:dyDescent="0.25">
      <c r="A18" s="705"/>
      <c r="B18" s="706"/>
      <c r="C18" s="707"/>
      <c r="D18" s="708"/>
      <c r="E18" s="2512"/>
      <c r="F18" s="2512"/>
      <c r="G18" s="709"/>
      <c r="H18" s="709"/>
      <c r="I18" s="710"/>
      <c r="J18" s="678"/>
      <c r="K18" s="679"/>
      <c r="L18" s="679"/>
      <c r="M18" s="679"/>
      <c r="N18" s="679"/>
      <c r="O18" s="679"/>
      <c r="P18" s="679"/>
      <c r="Q18" s="679"/>
    </row>
    <row r="19" spans="1:17" s="680" customFormat="1" x14ac:dyDescent="0.25">
      <c r="A19" s="705"/>
      <c r="B19" s="706"/>
      <c r="C19" s="707"/>
      <c r="D19" s="708"/>
      <c r="E19" s="2512"/>
      <c r="F19" s="2512"/>
      <c r="G19" s="709"/>
      <c r="H19" s="709"/>
      <c r="I19" s="710"/>
      <c r="J19" s="678"/>
      <c r="K19" s="679"/>
      <c r="L19" s="679"/>
      <c r="M19" s="679"/>
      <c r="N19" s="679"/>
      <c r="O19" s="679"/>
      <c r="P19" s="679"/>
      <c r="Q19" s="679"/>
    </row>
    <row r="20" spans="1:17" s="680" customFormat="1" x14ac:dyDescent="0.25">
      <c r="A20" s="705"/>
      <c r="B20" s="706"/>
      <c r="C20" s="707"/>
      <c r="D20" s="708"/>
      <c r="E20" s="2512"/>
      <c r="F20" s="2512"/>
      <c r="G20" s="709"/>
      <c r="H20" s="709"/>
      <c r="I20" s="710"/>
      <c r="J20" s="678"/>
      <c r="K20" s="679"/>
      <c r="L20" s="679"/>
      <c r="M20" s="679"/>
      <c r="N20" s="679"/>
      <c r="O20" s="679"/>
      <c r="P20" s="679"/>
      <c r="Q20" s="679"/>
    </row>
    <row r="21" spans="1:17" x14ac:dyDescent="0.25">
      <c r="N21" s="679"/>
    </row>
  </sheetData>
  <conditionalFormatting sqref="D7:G7">
    <cfRule type="cellIs" dxfId="1" priority="1" stopIfTrue="1" operator="equal">
      <formula>1</formula>
    </cfRule>
  </conditionalFormatting>
  <printOptions horizontalCentered="1"/>
  <pageMargins left="0.35433070866141736" right="0.35433070866141736" top="0.78740157480314965" bottom="0.70866141732283472" header="0.19685039370078741" footer="0.51181102362204722"/>
  <pageSetup scale="105" firstPageNumber="8" orientation="portrait" r:id="rId1"/>
  <headerFooter>
    <oddFooter>&amp;C&amp;8Bill 3 / Page &amp;P&amp;RC+Design(Pvt)Ltd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7030A0"/>
  </sheetPr>
  <dimension ref="A1:Q21"/>
  <sheetViews>
    <sheetView view="pageBreakPreview" zoomScale="95" zoomScaleNormal="85" zoomScaleSheetLayoutView="95" workbookViewId="0">
      <selection activeCell="L47" sqref="L47"/>
    </sheetView>
  </sheetViews>
  <sheetFormatPr defaultColWidth="9.21875" defaultRowHeight="13.8" x14ac:dyDescent="0.25"/>
  <cols>
    <col min="1" max="1" width="6.44140625" style="38" customWidth="1"/>
    <col min="2" max="2" width="49.21875" style="36" customWidth="1"/>
    <col min="3" max="3" width="4.21875" style="39" bestFit="1" customWidth="1"/>
    <col min="4" max="4" width="8.6640625" style="38" bestFit="1" customWidth="1"/>
    <col min="5" max="6" width="14.44140625" style="202" hidden="1" customWidth="1"/>
    <col min="7" max="7" width="14.44140625" style="202" customWidth="1"/>
    <col min="8" max="8" width="14.109375" style="39" bestFit="1" customWidth="1"/>
    <col min="9" max="9" width="9.21875" style="24"/>
    <col min="10" max="10" width="12.44140625" style="24" bestFit="1" customWidth="1"/>
    <col min="11" max="11" width="10" style="24" bestFit="1" customWidth="1"/>
    <col min="12" max="12" width="11" style="24" bestFit="1" customWidth="1"/>
    <col min="13" max="14" width="12.88671875" style="24" bestFit="1" customWidth="1"/>
    <col min="15" max="15" width="11.88671875" style="24" bestFit="1" customWidth="1"/>
    <col min="16" max="16" width="9.21875" style="24"/>
    <col min="17" max="17" width="10.44140625" style="24" bestFit="1" customWidth="1"/>
    <col min="18" max="16384" width="9.21875" style="24"/>
  </cols>
  <sheetData>
    <row r="1" spans="1:15" s="31" customFormat="1" ht="14.4" thickBot="1" x14ac:dyDescent="0.3">
      <c r="A1" s="45" t="s">
        <v>0</v>
      </c>
      <c r="B1" s="46" t="s">
        <v>1</v>
      </c>
      <c r="C1" s="47" t="s">
        <v>2</v>
      </c>
      <c r="D1" s="48" t="s">
        <v>3</v>
      </c>
      <c r="E1" s="2011" t="s">
        <v>3565</v>
      </c>
      <c r="F1" s="2209" t="s">
        <v>3708</v>
      </c>
      <c r="G1" s="2209" t="s">
        <v>1286</v>
      </c>
      <c r="H1" s="2012" t="s">
        <v>5</v>
      </c>
    </row>
    <row r="2" spans="1:15" s="31" customFormat="1" x14ac:dyDescent="0.25">
      <c r="A2" s="1994"/>
      <c r="B2" s="958" t="s">
        <v>1032</v>
      </c>
      <c r="C2" s="1065"/>
      <c r="D2" s="388"/>
      <c r="E2" s="389"/>
      <c r="F2" s="2207"/>
      <c r="G2" s="2207"/>
      <c r="H2" s="1899"/>
    </row>
    <row r="3" spans="1:15" x14ac:dyDescent="0.25">
      <c r="A3" s="1902">
        <v>1</v>
      </c>
      <c r="B3" s="396" t="s">
        <v>1612</v>
      </c>
      <c r="C3" s="369"/>
      <c r="D3" s="251"/>
      <c r="E3" s="350"/>
      <c r="F3" s="2201"/>
      <c r="G3" s="2201"/>
      <c r="H3" s="1901"/>
    </row>
    <row r="4" spans="1:15" x14ac:dyDescent="0.25">
      <c r="A4" s="1902"/>
      <c r="B4" s="396" t="s">
        <v>175</v>
      </c>
      <c r="C4" s="369"/>
      <c r="D4" s="251"/>
      <c r="E4" s="350"/>
      <c r="F4" s="2201"/>
      <c r="G4" s="2201"/>
      <c r="H4" s="1901"/>
    </row>
    <row r="5" spans="1:15" ht="27.6" x14ac:dyDescent="0.25">
      <c r="A5" s="1902"/>
      <c r="B5" s="396" t="s">
        <v>2676</v>
      </c>
      <c r="C5" s="369"/>
      <c r="D5" s="251"/>
      <c r="E5" s="350"/>
      <c r="F5" s="2201"/>
      <c r="G5" s="2201"/>
      <c r="H5" s="1901"/>
    </row>
    <row r="6" spans="1:15" x14ac:dyDescent="0.25">
      <c r="A6" s="1902"/>
      <c r="B6" s="396"/>
      <c r="C6" s="369"/>
      <c r="D6" s="251"/>
      <c r="E6" s="350"/>
      <c r="F6" s="2201"/>
      <c r="G6" s="2201"/>
      <c r="H6" s="1901"/>
    </row>
    <row r="7" spans="1:15" x14ac:dyDescent="0.25">
      <c r="A7" s="1902">
        <f>A3+0.01</f>
        <v>1.01</v>
      </c>
      <c r="B7" s="368" t="s">
        <v>3167</v>
      </c>
      <c r="C7" s="369"/>
      <c r="D7" s="976" t="s">
        <v>1615</v>
      </c>
      <c r="E7" s="350">
        <v>1500000</v>
      </c>
      <c r="F7" s="2201"/>
      <c r="G7" s="2201"/>
      <c r="H7" s="1901">
        <f>E7</f>
        <v>1500000</v>
      </c>
    </row>
    <row r="8" spans="1:15" ht="14.4" thickBot="1" x14ac:dyDescent="0.3">
      <c r="A8" s="1905"/>
      <c r="B8" s="1066"/>
      <c r="C8" s="961"/>
      <c r="D8" s="962"/>
      <c r="E8" s="963"/>
      <c r="F8" s="2203"/>
      <c r="G8" s="2203"/>
      <c r="H8" s="1906"/>
    </row>
    <row r="9" spans="1:15" s="12" customFormat="1" ht="14.4" thickBot="1" x14ac:dyDescent="0.3">
      <c r="A9" s="1995"/>
      <c r="B9" s="2881" t="s">
        <v>1613</v>
      </c>
      <c r="C9" s="2882"/>
      <c r="D9" s="2882"/>
      <c r="E9" s="2883"/>
      <c r="F9" s="2232"/>
      <c r="G9" s="2232"/>
      <c r="H9" s="1996">
        <f>SUM(H6:H8)</f>
        <v>1500000</v>
      </c>
    </row>
    <row r="11" spans="1:15" x14ac:dyDescent="0.25">
      <c r="N11" s="24" t="e">
        <f>#REF!*1.1</f>
        <v>#REF!</v>
      </c>
      <c r="O11" s="24">
        <v>165000</v>
      </c>
    </row>
    <row r="16" spans="1:15" x14ac:dyDescent="0.25">
      <c r="H16" s="39">
        <f>100*272</f>
        <v>27200</v>
      </c>
      <c r="O16" s="24">
        <f>SUM(O10:O15)</f>
        <v>165000</v>
      </c>
    </row>
    <row r="17" spans="8:17" x14ac:dyDescent="0.25">
      <c r="H17" s="39">
        <f>H16*0.6</f>
        <v>16320</v>
      </c>
    </row>
    <row r="18" spans="8:17" x14ac:dyDescent="0.25">
      <c r="H18" s="39">
        <f>H17*2</f>
        <v>32640</v>
      </c>
    </row>
    <row r="19" spans="8:17" x14ac:dyDescent="0.25">
      <c r="H19" s="39">
        <f>H18*18500</f>
        <v>603840000</v>
      </c>
    </row>
    <row r="20" spans="8:17" x14ac:dyDescent="0.25">
      <c r="H20" s="39">
        <f>H19*1.15</f>
        <v>694416000</v>
      </c>
      <c r="O20" s="24">
        <f>O16*1.1</f>
        <v>181500.00000000003</v>
      </c>
      <c r="Q20" s="24">
        <f>O20-O16</f>
        <v>16500.000000000029</v>
      </c>
    </row>
    <row r="21" spans="8:17" x14ac:dyDescent="0.25">
      <c r="Q21" s="24" t="e">
        <f>#REF!-O16</f>
        <v>#REF!</v>
      </c>
    </row>
  </sheetData>
  <mergeCells count="1">
    <mergeCell ref="B9:E9"/>
  </mergeCells>
  <pageMargins left="0.5" right="0.5" top="0.64" bottom="0.25" header="0.5" footer="0.5"/>
  <pageSetup orientation="portrait" r:id="rId1"/>
  <headerFooter alignWithMargins="0">
    <oddFooter>&amp;C&amp;P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DF7BA-BFE0-41CB-9533-C401773D690C}">
  <sheetPr>
    <tabColor theme="9" tint="-0.249977111117893"/>
  </sheetPr>
  <dimension ref="A1:AA930"/>
  <sheetViews>
    <sheetView view="pageBreakPreview" zoomScale="115" zoomScaleNormal="100" zoomScaleSheetLayoutView="115" workbookViewId="0">
      <pane ySplit="6" topLeftCell="A52" activePane="bottomLeft" state="frozen"/>
      <selection activeCell="E13" sqref="E13"/>
      <selection pane="bottomLeft" activeCell="E64" sqref="E64"/>
    </sheetView>
  </sheetViews>
  <sheetFormatPr defaultColWidth="14.44140625" defaultRowHeight="15" customHeight="1" x14ac:dyDescent="0.3"/>
  <cols>
    <col min="1" max="1" width="7.33203125" style="2271" customWidth="1"/>
    <col min="2" max="2" width="42.33203125" style="2271" customWidth="1"/>
    <col min="3" max="3" width="9.6640625" style="2271" customWidth="1"/>
    <col min="4" max="5" width="11.6640625" style="2271" customWidth="1"/>
    <col min="6" max="6" width="28.109375" style="2271" customWidth="1"/>
    <col min="7" max="8" width="12.33203125" style="2271" hidden="1" customWidth="1"/>
    <col min="9" max="9" width="8.6640625" style="2271" hidden="1" customWidth="1"/>
    <col min="10" max="10" width="2.5546875" style="2271" customWidth="1"/>
    <col min="11" max="11" width="12.6640625" style="2271" customWidth="1"/>
    <col min="12" max="12" width="32.109375" style="2271" customWidth="1"/>
    <col min="13" max="13" width="16.44140625" style="2356" customWidth="1"/>
    <col min="14" max="14" width="13" style="2356" customWidth="1"/>
    <col min="15" max="15" width="12.109375" style="2356" customWidth="1"/>
    <col min="16" max="17" width="10.44140625" style="2271" customWidth="1"/>
    <col min="18" max="27" width="8.6640625" style="2271" customWidth="1"/>
    <col min="28" max="16384" width="14.44140625" style="2271"/>
  </cols>
  <sheetData>
    <row r="1" spans="1:27" ht="13.5" customHeight="1" x14ac:dyDescent="0.3">
      <c r="A1" s="2263"/>
      <c r="B1" s="2264"/>
      <c r="C1" s="2265"/>
      <c r="D1" s="2265"/>
      <c r="E1" s="2265"/>
      <c r="F1" s="2266"/>
      <c r="G1" s="2267"/>
      <c r="H1" s="2268"/>
      <c r="I1" s="2269"/>
      <c r="J1" s="2269"/>
      <c r="K1" s="2269"/>
      <c r="L1" s="2269"/>
      <c r="M1" s="2270"/>
      <c r="N1" s="2270"/>
      <c r="O1" s="2270"/>
      <c r="P1" s="2269"/>
      <c r="Q1" s="2269"/>
      <c r="R1" s="2269"/>
      <c r="S1" s="2269"/>
      <c r="T1" s="2269"/>
      <c r="U1" s="2269"/>
      <c r="V1" s="2269"/>
      <c r="W1" s="2269"/>
      <c r="X1" s="2269"/>
      <c r="Y1" s="2269"/>
      <c r="Z1" s="2269"/>
      <c r="AA1" s="2269"/>
    </row>
    <row r="2" spans="1:27" ht="14.25" customHeight="1" x14ac:dyDescent="0.3">
      <c r="A2" s="2884" t="s">
        <v>3567</v>
      </c>
      <c r="B2" s="2885"/>
      <c r="C2" s="2885"/>
      <c r="D2" s="2885"/>
      <c r="E2" s="2885"/>
      <c r="F2" s="2886"/>
      <c r="G2" s="2267"/>
      <c r="H2" s="2268"/>
      <c r="I2" s="2269"/>
      <c r="J2" s="2269"/>
      <c r="K2" s="2269"/>
      <c r="L2" s="2269"/>
      <c r="M2" s="2270"/>
      <c r="N2" s="2270"/>
      <c r="O2" s="2270"/>
      <c r="P2" s="2269"/>
      <c r="Q2" s="2269"/>
      <c r="R2" s="2269"/>
      <c r="S2" s="2269"/>
      <c r="T2" s="2269"/>
      <c r="U2" s="2269"/>
      <c r="V2" s="2269"/>
      <c r="W2" s="2269"/>
      <c r="X2" s="2269"/>
      <c r="Y2" s="2269"/>
      <c r="Z2" s="2269"/>
      <c r="AA2" s="2269"/>
    </row>
    <row r="3" spans="1:27" ht="13.5" customHeight="1" x14ac:dyDescent="0.3">
      <c r="A3" s="2267"/>
      <c r="B3" s="2269"/>
      <c r="C3" s="2272"/>
      <c r="D3" s="2272"/>
      <c r="E3" s="2272"/>
      <c r="F3" s="2273"/>
      <c r="G3" s="2267"/>
      <c r="H3" s="2268"/>
      <c r="I3" s="2269"/>
      <c r="J3" s="2269"/>
      <c r="K3" s="2269"/>
      <c r="L3" s="2269"/>
      <c r="M3" s="2270"/>
      <c r="N3" s="2270"/>
      <c r="O3" s="2270"/>
      <c r="P3" s="2269"/>
      <c r="Q3" s="2269"/>
      <c r="R3" s="2269"/>
      <c r="S3" s="2269"/>
      <c r="T3" s="2269"/>
      <c r="U3" s="2269"/>
      <c r="V3" s="2269"/>
      <c r="W3" s="2269"/>
      <c r="X3" s="2269"/>
      <c r="Y3" s="2269"/>
      <c r="Z3" s="2269"/>
      <c r="AA3" s="2269"/>
    </row>
    <row r="4" spans="1:27" ht="14.25" customHeight="1" x14ac:dyDescent="0.3">
      <c r="A4" s="2884" t="s">
        <v>3568</v>
      </c>
      <c r="B4" s="2885"/>
      <c r="C4" s="2885"/>
      <c r="D4" s="2885"/>
      <c r="E4" s="2885"/>
      <c r="F4" s="2886"/>
      <c r="G4" s="2267"/>
      <c r="H4" s="2268"/>
      <c r="I4" s="2269"/>
      <c r="J4" s="2269"/>
      <c r="K4" s="2269"/>
      <c r="L4" s="2269"/>
      <c r="M4" s="2270"/>
      <c r="N4" s="2270"/>
      <c r="O4" s="2270"/>
      <c r="P4" s="2269"/>
      <c r="Q4" s="2269"/>
      <c r="R4" s="2269"/>
      <c r="S4" s="2269"/>
      <c r="T4" s="2269"/>
      <c r="U4" s="2269"/>
      <c r="V4" s="2269"/>
      <c r="W4" s="2269"/>
      <c r="X4" s="2269"/>
      <c r="Y4" s="2269"/>
      <c r="Z4" s="2269"/>
      <c r="AA4" s="2269"/>
    </row>
    <row r="5" spans="1:27" ht="13.5" customHeight="1" thickBot="1" x14ac:dyDescent="0.35">
      <c r="A5" s="2274"/>
      <c r="B5" s="2275"/>
      <c r="C5" s="2276"/>
      <c r="D5" s="2276"/>
      <c r="E5" s="2276"/>
      <c r="F5" s="2277"/>
      <c r="G5" s="2274"/>
      <c r="H5" s="2268"/>
      <c r="I5" s="2269"/>
      <c r="J5" s="2269"/>
      <c r="K5" s="2269">
        <v>719041540</v>
      </c>
      <c r="L5" s="2269"/>
      <c r="M5" s="2270"/>
      <c r="N5" s="2270"/>
      <c r="O5" s="2270"/>
      <c r="P5" s="2269"/>
      <c r="Q5" s="2269"/>
      <c r="R5" s="2269"/>
      <c r="S5" s="2269"/>
      <c r="T5" s="2269"/>
      <c r="U5" s="2269"/>
      <c r="V5" s="2269"/>
      <c r="W5" s="2269"/>
      <c r="X5" s="2269"/>
      <c r="Y5" s="2269"/>
      <c r="Z5" s="2269"/>
      <c r="AA5" s="2269"/>
    </row>
    <row r="6" spans="1:27" ht="28.2" thickBot="1" x14ac:dyDescent="0.35">
      <c r="A6" s="2278" t="s">
        <v>13</v>
      </c>
      <c r="B6" s="2278" t="s">
        <v>1</v>
      </c>
      <c r="C6" s="2278" t="s">
        <v>3</v>
      </c>
      <c r="D6" s="2279" t="s">
        <v>3569</v>
      </c>
      <c r="E6" s="2279" t="s">
        <v>3570</v>
      </c>
      <c r="F6" s="2278" t="s">
        <v>1682</v>
      </c>
      <c r="G6" s="2279" t="s">
        <v>3571</v>
      </c>
      <c r="H6" s="2268"/>
      <c r="I6" s="2269"/>
      <c r="J6" s="2269"/>
      <c r="K6" s="2269"/>
      <c r="L6" s="2269"/>
      <c r="M6" s="2270"/>
      <c r="N6" s="2270"/>
      <c r="O6" s="2270"/>
      <c r="P6" s="2269"/>
      <c r="Q6" s="2269"/>
      <c r="R6" s="2269"/>
      <c r="S6" s="2269"/>
      <c r="T6" s="2269"/>
      <c r="U6" s="2269"/>
      <c r="V6" s="2269"/>
      <c r="W6" s="2269"/>
      <c r="X6" s="2269"/>
      <c r="Y6" s="2269"/>
      <c r="Z6" s="2269"/>
      <c r="AA6" s="2269"/>
    </row>
    <row r="7" spans="1:27" ht="13.5" customHeight="1" x14ac:dyDescent="0.3">
      <c r="A7" s="2280"/>
      <c r="B7" s="2280"/>
      <c r="C7" s="2281"/>
      <c r="D7" s="2282"/>
      <c r="E7" s="2282"/>
      <c r="F7" s="2282"/>
      <c r="G7" s="2283"/>
      <c r="H7" s="2268"/>
      <c r="I7" s="2269"/>
      <c r="J7" s="2269"/>
      <c r="K7" s="2269"/>
      <c r="L7" s="2269"/>
      <c r="M7" s="2270"/>
      <c r="N7" s="2270"/>
      <c r="O7" s="2270"/>
      <c r="P7" s="2269"/>
      <c r="Q7" s="2269"/>
      <c r="R7" s="2269"/>
      <c r="S7" s="2269"/>
      <c r="T7" s="2269"/>
      <c r="U7" s="2269"/>
      <c r="V7" s="2269"/>
      <c r="W7" s="2269"/>
      <c r="X7" s="2269"/>
      <c r="Y7" s="2269"/>
      <c r="Z7" s="2269"/>
      <c r="AA7" s="2269"/>
    </row>
    <row r="8" spans="1:27" ht="13.5" customHeight="1" x14ac:dyDescent="0.3">
      <c r="A8" s="2284"/>
      <c r="B8" s="2285" t="s">
        <v>3465</v>
      </c>
      <c r="C8" s="2286"/>
      <c r="D8" s="2287"/>
      <c r="E8" s="2287"/>
      <c r="F8" s="2287"/>
      <c r="G8" s="2283"/>
      <c r="H8" s="2268"/>
      <c r="I8" s="2269"/>
      <c r="J8" s="2269"/>
      <c r="K8" s="2269"/>
      <c r="L8" s="2269" t="s">
        <v>3572</v>
      </c>
      <c r="M8" s="2270">
        <v>2100</v>
      </c>
      <c r="N8" s="2270">
        <v>1920</v>
      </c>
      <c r="O8" s="2270"/>
      <c r="P8" s="2269"/>
      <c r="Q8" s="2269"/>
      <c r="R8" s="2269"/>
      <c r="S8" s="2269"/>
      <c r="T8" s="2269"/>
      <c r="U8" s="2269"/>
      <c r="V8" s="2269"/>
      <c r="W8" s="2269"/>
      <c r="X8" s="2269"/>
      <c r="Y8" s="2269"/>
      <c r="Z8" s="2269"/>
      <c r="AA8" s="2269"/>
    </row>
    <row r="9" spans="1:27" ht="13.5" customHeight="1" x14ac:dyDescent="0.3">
      <c r="A9" s="2284"/>
      <c r="B9" s="2284"/>
      <c r="C9" s="2286"/>
      <c r="D9" s="2287"/>
      <c r="E9" s="2287"/>
      <c r="F9" s="2287"/>
      <c r="G9" s="2283"/>
      <c r="H9" s="2268"/>
      <c r="I9" s="2269"/>
      <c r="J9" s="2269"/>
      <c r="K9" s="2269"/>
      <c r="L9" s="2269" t="s">
        <v>3573</v>
      </c>
      <c r="M9" s="2270">
        <v>2200</v>
      </c>
      <c r="N9" s="2270">
        <v>2050</v>
      </c>
      <c r="O9" s="2270"/>
      <c r="P9" s="2269"/>
      <c r="Q9" s="2269"/>
      <c r="R9" s="2269"/>
      <c r="S9" s="2269"/>
      <c r="T9" s="2269"/>
      <c r="U9" s="2269"/>
      <c r="V9" s="2269"/>
      <c r="W9" s="2269"/>
      <c r="X9" s="2269"/>
      <c r="Y9" s="2269"/>
      <c r="Z9" s="2269"/>
      <c r="AA9" s="2269"/>
    </row>
    <row r="10" spans="1:27" s="2295" customFormat="1" ht="13.5" customHeight="1" x14ac:dyDescent="0.3">
      <c r="A10" s="2288"/>
      <c r="B10" s="2289" t="s">
        <v>3574</v>
      </c>
      <c r="C10" s="2290" t="s">
        <v>3414</v>
      </c>
      <c r="D10" s="2291">
        <v>2170</v>
      </c>
      <c r="E10" s="2291"/>
      <c r="F10" s="2291"/>
      <c r="G10" s="2292">
        <f t="shared" ref="G10:G11" si="0">E10-D10</f>
        <v>-2170</v>
      </c>
      <c r="H10" s="2292"/>
      <c r="I10" s="2293"/>
      <c r="J10" s="2293"/>
      <c r="K10" s="2293"/>
      <c r="L10" s="2293" t="s">
        <v>3575</v>
      </c>
      <c r="M10" s="2294">
        <v>2200</v>
      </c>
      <c r="N10" s="2294">
        <v>2050</v>
      </c>
      <c r="O10" s="2294"/>
      <c r="P10" s="2293"/>
      <c r="Q10" s="2293"/>
      <c r="R10" s="2293"/>
      <c r="S10" s="2293"/>
      <c r="T10" s="2293"/>
      <c r="U10" s="2293"/>
      <c r="V10" s="2293"/>
      <c r="W10" s="2293"/>
      <c r="X10" s="2293"/>
      <c r="Y10" s="2293"/>
      <c r="Z10" s="2293"/>
      <c r="AA10" s="2293"/>
    </row>
    <row r="11" spans="1:27" ht="13.5" customHeight="1" x14ac:dyDescent="0.3">
      <c r="A11" s="2288"/>
      <c r="B11" s="2296"/>
      <c r="C11" s="2290"/>
      <c r="D11" s="2291"/>
      <c r="E11" s="2291"/>
      <c r="F11" s="2291"/>
      <c r="G11" s="2268">
        <f t="shared" si="0"/>
        <v>0</v>
      </c>
      <c r="H11" s="2268"/>
      <c r="I11" s="2269"/>
      <c r="J11" s="2269"/>
      <c r="K11" s="2269"/>
      <c r="L11" s="2269"/>
      <c r="M11" s="2270"/>
      <c r="N11" s="2270"/>
      <c r="O11" s="2270"/>
      <c r="P11" s="2269"/>
      <c r="Q11" s="2269"/>
      <c r="R11" s="2269"/>
      <c r="S11" s="2269"/>
      <c r="T11" s="2269"/>
      <c r="U11" s="2269"/>
      <c r="V11" s="2269"/>
      <c r="W11" s="2269"/>
      <c r="X11" s="2269"/>
      <c r="Y11" s="2269"/>
      <c r="Z11" s="2269"/>
      <c r="AA11" s="2269"/>
    </row>
    <row r="12" spans="1:27" ht="13.5" customHeight="1" x14ac:dyDescent="0.3">
      <c r="A12" s="2288"/>
      <c r="B12" s="2289" t="s">
        <v>3392</v>
      </c>
      <c r="C12" s="2290"/>
      <c r="D12" s="2291"/>
      <c r="E12" s="2291"/>
      <c r="F12" s="2291"/>
      <c r="G12" s="2268"/>
      <c r="H12" s="2268"/>
      <c r="I12" s="2269"/>
      <c r="J12" s="2269"/>
      <c r="K12" s="2269"/>
      <c r="L12" s="2269"/>
      <c r="M12" s="2270"/>
      <c r="N12" s="2270"/>
      <c r="O12" s="2270"/>
      <c r="P12" s="2269"/>
      <c r="Q12" s="2269"/>
      <c r="R12" s="2269"/>
      <c r="S12" s="2269"/>
      <c r="T12" s="2269"/>
      <c r="U12" s="2269"/>
      <c r="V12" s="2269"/>
      <c r="W12" s="2269"/>
      <c r="X12" s="2269"/>
      <c r="Y12" s="2269"/>
      <c r="Z12" s="2269"/>
      <c r="AA12" s="2269"/>
    </row>
    <row r="13" spans="1:27" s="2295" customFormat="1" ht="13.5" customHeight="1" x14ac:dyDescent="0.3">
      <c r="A13" s="2288"/>
      <c r="B13" s="2297" t="s">
        <v>3576</v>
      </c>
      <c r="C13" s="2290" t="s">
        <v>131</v>
      </c>
      <c r="D13" s="2291"/>
      <c r="E13" s="2291">
        <v>23000</v>
      </c>
      <c r="F13" s="2291"/>
      <c r="G13" s="2292">
        <f t="shared" ref="G13:G15" si="1">E13-D13</f>
        <v>23000</v>
      </c>
      <c r="H13" s="2292">
        <v>1080</v>
      </c>
      <c r="I13" s="2293">
        <v>800</v>
      </c>
      <c r="J13" s="2293"/>
      <c r="K13" s="2293"/>
      <c r="L13" s="2293" t="s">
        <v>3577</v>
      </c>
      <c r="M13" s="2294">
        <v>1274</v>
      </c>
      <c r="N13" s="2294"/>
      <c r="O13" s="2294"/>
      <c r="P13" s="2293"/>
      <c r="Q13" s="2293"/>
      <c r="R13" s="2293"/>
      <c r="S13" s="2293"/>
      <c r="T13" s="2293"/>
      <c r="U13" s="2293"/>
      <c r="V13" s="2293"/>
      <c r="W13" s="2293"/>
      <c r="X13" s="2293"/>
      <c r="Y13" s="2293"/>
      <c r="Z13" s="2293"/>
      <c r="AA13" s="2293"/>
    </row>
    <row r="14" spans="1:27" ht="13.5" customHeight="1" x14ac:dyDescent="0.3">
      <c r="A14" s="2284"/>
      <c r="B14" s="2298" t="s">
        <v>3578</v>
      </c>
      <c r="C14" s="2286" t="s">
        <v>131</v>
      </c>
      <c r="D14" s="2291"/>
      <c r="E14" s="2291"/>
      <c r="F14" s="2287"/>
      <c r="G14" s="2268">
        <f t="shared" si="1"/>
        <v>0</v>
      </c>
      <c r="H14" s="2268"/>
      <c r="I14" s="2269"/>
      <c r="J14" s="2269"/>
      <c r="K14" s="2269"/>
      <c r="L14" s="2269"/>
      <c r="M14" s="2270"/>
      <c r="N14" s="2270"/>
      <c r="O14" s="2270"/>
      <c r="P14" s="2269"/>
      <c r="Q14" s="2269"/>
      <c r="R14" s="2269"/>
      <c r="S14" s="2269"/>
      <c r="T14" s="2269"/>
      <c r="U14" s="2269"/>
      <c r="V14" s="2269"/>
      <c r="W14" s="2269"/>
      <c r="X14" s="2269"/>
      <c r="Y14" s="2269"/>
      <c r="Z14" s="2269"/>
      <c r="AA14" s="2269"/>
    </row>
    <row r="15" spans="1:27" ht="13.5" customHeight="1" x14ac:dyDescent="0.3">
      <c r="A15" s="2284"/>
      <c r="B15" s="2298" t="s">
        <v>3579</v>
      </c>
      <c r="C15" s="2286" t="s">
        <v>131</v>
      </c>
      <c r="D15" s="2291"/>
      <c r="E15" s="2291"/>
      <c r="F15" s="2287"/>
      <c r="G15" s="2268">
        <f t="shared" si="1"/>
        <v>0</v>
      </c>
      <c r="H15" s="2268"/>
      <c r="I15" s="2269"/>
      <c r="J15" s="2269"/>
      <c r="K15" s="2269"/>
      <c r="L15" s="2269"/>
      <c r="M15" s="2270"/>
      <c r="N15" s="2270"/>
      <c r="O15" s="2270"/>
      <c r="P15" s="2269"/>
      <c r="Q15" s="2269"/>
      <c r="R15" s="2269"/>
      <c r="S15" s="2269"/>
      <c r="T15" s="2269"/>
      <c r="U15" s="2269"/>
      <c r="V15" s="2269"/>
      <c r="W15" s="2269"/>
      <c r="X15" s="2269"/>
      <c r="Y15" s="2269"/>
      <c r="Z15" s="2269"/>
      <c r="AA15" s="2269"/>
    </row>
    <row r="16" spans="1:27" ht="13.5" customHeight="1" x14ac:dyDescent="0.3">
      <c r="A16" s="2284"/>
      <c r="B16" s="2298"/>
      <c r="C16" s="2286"/>
      <c r="D16" s="2291"/>
      <c r="E16" s="2291"/>
      <c r="F16" s="2287"/>
      <c r="G16" s="2268"/>
      <c r="H16" s="2268"/>
      <c r="I16" s="2269"/>
      <c r="J16" s="2269"/>
      <c r="K16" s="2269"/>
      <c r="L16" s="2269"/>
      <c r="M16" s="2270" t="s">
        <v>3580</v>
      </c>
      <c r="N16" s="2270" t="s">
        <v>3577</v>
      </c>
      <c r="O16" s="2270" t="s">
        <v>3581</v>
      </c>
      <c r="P16" s="2270" t="s">
        <v>3582</v>
      </c>
      <c r="Q16" s="2270" t="s">
        <v>3583</v>
      </c>
      <c r="R16" s="2269"/>
      <c r="S16" s="2269">
        <f>16*16</f>
        <v>256</v>
      </c>
      <c r="T16" s="2269">
        <f>S16/162.162</f>
        <v>1.5786682453349119</v>
      </c>
      <c r="U16" s="2269"/>
      <c r="V16" s="2269"/>
      <c r="W16" s="2269"/>
      <c r="X16" s="2269"/>
      <c r="Y16" s="2269"/>
      <c r="Z16" s="2269"/>
      <c r="AA16" s="2269"/>
    </row>
    <row r="17" spans="1:27" ht="13.5" customHeight="1" x14ac:dyDescent="0.3">
      <c r="A17" s="2284"/>
      <c r="B17" s="2299" t="s">
        <v>3584</v>
      </c>
      <c r="C17" s="2286" t="s">
        <v>131</v>
      </c>
      <c r="D17" s="2300"/>
      <c r="E17" s="2291">
        <v>13500</v>
      </c>
      <c r="F17" s="2291"/>
      <c r="G17" s="2268"/>
      <c r="H17" s="2268"/>
      <c r="I17" s="2269"/>
      <c r="J17" s="2269"/>
      <c r="K17" s="2269"/>
      <c r="L17" s="2269"/>
      <c r="M17" s="2270"/>
      <c r="N17" s="2270">
        <v>1274</v>
      </c>
      <c r="O17" s="2270">
        <v>1879</v>
      </c>
      <c r="P17" s="2270">
        <v>3370</v>
      </c>
      <c r="Q17" s="2270"/>
      <c r="R17" s="2269"/>
      <c r="S17" s="2269"/>
      <c r="T17" s="2269"/>
      <c r="U17" s="2269"/>
      <c r="V17" s="2269"/>
      <c r="W17" s="2269"/>
      <c r="X17" s="2269"/>
      <c r="Y17" s="2269"/>
      <c r="Z17" s="2269"/>
      <c r="AA17" s="2269"/>
    </row>
    <row r="18" spans="1:27" ht="13.5" customHeight="1" x14ac:dyDescent="0.3">
      <c r="A18" s="2284"/>
      <c r="B18" s="2299" t="s">
        <v>3585</v>
      </c>
      <c r="C18" s="2286" t="s">
        <v>131</v>
      </c>
      <c r="D18" s="2300"/>
      <c r="E18" s="2291"/>
      <c r="F18" s="2287"/>
      <c r="G18" s="2268"/>
      <c r="H18" s="2268"/>
      <c r="I18" s="2269"/>
      <c r="J18" s="2269"/>
      <c r="K18" s="2269"/>
      <c r="L18" s="2269"/>
      <c r="M18" s="2270"/>
      <c r="N18" s="2270"/>
      <c r="O18" s="2270"/>
      <c r="P18" s="2270"/>
      <c r="Q18" s="2270"/>
      <c r="R18" s="2269"/>
      <c r="S18" s="2269"/>
      <c r="T18" s="2269"/>
      <c r="U18" s="2269"/>
      <c r="V18" s="2269"/>
      <c r="W18" s="2269"/>
      <c r="X18" s="2269"/>
      <c r="Y18" s="2269"/>
      <c r="Z18" s="2269"/>
      <c r="AA18" s="2269"/>
    </row>
    <row r="19" spans="1:27" ht="13.5" customHeight="1" x14ac:dyDescent="0.3">
      <c r="A19" s="2284"/>
      <c r="B19" s="2299"/>
      <c r="C19" s="2286"/>
      <c r="D19" s="2300"/>
      <c r="E19" s="2291"/>
      <c r="F19" s="2287"/>
      <c r="G19" s="2268"/>
      <c r="H19" s="2268"/>
      <c r="I19" s="2269"/>
      <c r="J19" s="2269"/>
      <c r="K19" s="2269"/>
      <c r="L19" s="2269"/>
      <c r="M19" s="2270"/>
      <c r="N19" s="2270"/>
      <c r="O19" s="2270"/>
      <c r="P19" s="2270"/>
      <c r="Q19" s="2270"/>
      <c r="R19" s="2269"/>
      <c r="S19" s="2269"/>
      <c r="T19" s="2269"/>
      <c r="U19" s="2269"/>
      <c r="V19" s="2269"/>
      <c r="W19" s="2269"/>
      <c r="X19" s="2269"/>
      <c r="Y19" s="2269"/>
      <c r="Z19" s="2269"/>
      <c r="AA19" s="2269"/>
    </row>
    <row r="20" spans="1:27" ht="13.5" customHeight="1" x14ac:dyDescent="0.3">
      <c r="A20" s="2284"/>
      <c r="B20" s="2299" t="s">
        <v>3586</v>
      </c>
      <c r="C20" s="2286" t="s">
        <v>131</v>
      </c>
      <c r="D20" s="2300"/>
      <c r="E20" s="2291">
        <v>14500</v>
      </c>
      <c r="F20" s="2291"/>
      <c r="G20" s="2268"/>
      <c r="H20" s="2268"/>
      <c r="I20" s="2269"/>
      <c r="J20" s="2269"/>
      <c r="K20" s="2269"/>
      <c r="L20" s="2269" t="s">
        <v>3587</v>
      </c>
      <c r="M20" s="2270">
        <v>380</v>
      </c>
      <c r="N20" s="2270"/>
      <c r="O20" s="2270"/>
      <c r="P20" s="2270"/>
      <c r="Q20" s="2270"/>
      <c r="R20" s="2269"/>
      <c r="S20" s="2269"/>
      <c r="T20" s="2269"/>
      <c r="U20" s="2269"/>
      <c r="V20" s="2269"/>
      <c r="W20" s="2269"/>
      <c r="X20" s="2269"/>
      <c r="Y20" s="2269"/>
      <c r="Z20" s="2269"/>
      <c r="AA20" s="2269"/>
    </row>
    <row r="21" spans="1:27" ht="13.5" customHeight="1" x14ac:dyDescent="0.3">
      <c r="A21" s="2284"/>
      <c r="B21" s="2299" t="s">
        <v>3588</v>
      </c>
      <c r="C21" s="2286" t="s">
        <v>131</v>
      </c>
      <c r="D21" s="2300"/>
      <c r="E21" s="2291"/>
      <c r="F21" s="2287"/>
      <c r="G21" s="2268"/>
      <c r="H21" s="2268"/>
      <c r="I21" s="2269"/>
      <c r="J21" s="2269"/>
      <c r="K21" s="2269"/>
      <c r="L21" s="2269"/>
      <c r="M21" s="2270"/>
      <c r="N21" s="2270"/>
      <c r="O21" s="2270"/>
      <c r="P21" s="2270"/>
      <c r="Q21" s="2270"/>
      <c r="R21" s="2269"/>
      <c r="S21" s="2269"/>
      <c r="T21" s="2269"/>
      <c r="U21" s="2269"/>
      <c r="V21" s="2269"/>
      <c r="W21" s="2269"/>
      <c r="X21" s="2269"/>
      <c r="Y21" s="2269"/>
      <c r="Z21" s="2269"/>
      <c r="AA21" s="2269"/>
    </row>
    <row r="22" spans="1:27" ht="13.5" customHeight="1" x14ac:dyDescent="0.3">
      <c r="A22" s="2284"/>
      <c r="B22" s="2299"/>
      <c r="C22" s="2286"/>
      <c r="D22" s="2300"/>
      <c r="E22" s="2291"/>
      <c r="F22" s="2287"/>
      <c r="G22" s="2268"/>
      <c r="H22" s="2268"/>
      <c r="I22" s="2269"/>
      <c r="J22" s="2269"/>
      <c r="K22" s="2269"/>
      <c r="L22" s="2269"/>
      <c r="M22" s="2270">
        <v>150</v>
      </c>
      <c r="N22" s="2270">
        <v>17400</v>
      </c>
      <c r="O22" s="2270"/>
      <c r="P22" s="2270"/>
      <c r="Q22" s="2270"/>
      <c r="R22" s="2269"/>
      <c r="S22" s="2269"/>
      <c r="T22" s="2269"/>
      <c r="U22" s="2269"/>
      <c r="V22" s="2269"/>
      <c r="W22" s="2269"/>
      <c r="X22" s="2269"/>
      <c r="Y22" s="2269"/>
      <c r="Z22" s="2269"/>
      <c r="AA22" s="2269"/>
    </row>
    <row r="23" spans="1:27" ht="13.5" customHeight="1" x14ac:dyDescent="0.3">
      <c r="A23" s="2284"/>
      <c r="B23" s="2299" t="s">
        <v>3589</v>
      </c>
      <c r="C23" s="2286" t="s">
        <v>131</v>
      </c>
      <c r="D23" s="2301"/>
      <c r="E23" s="2291">
        <v>7500</v>
      </c>
      <c r="F23" s="2291"/>
      <c r="G23" s="2268"/>
      <c r="H23" s="2268"/>
      <c r="I23" s="2269"/>
      <c r="J23" s="2269"/>
      <c r="K23" s="2269"/>
      <c r="L23" s="2269"/>
      <c r="M23" s="2270"/>
      <c r="N23" s="2270"/>
      <c r="O23" s="2270"/>
      <c r="P23" s="2270"/>
      <c r="Q23" s="2270"/>
      <c r="R23" s="2269"/>
      <c r="S23" s="2269"/>
      <c r="T23" s="2269"/>
      <c r="U23" s="2269"/>
      <c r="V23" s="2269"/>
      <c r="W23" s="2269"/>
      <c r="X23" s="2269"/>
      <c r="Y23" s="2269"/>
      <c r="Z23" s="2269"/>
      <c r="AA23" s="2269"/>
    </row>
    <row r="24" spans="1:27" ht="13.5" customHeight="1" x14ac:dyDescent="0.3">
      <c r="A24" s="2284"/>
      <c r="B24" s="2299" t="s">
        <v>3590</v>
      </c>
      <c r="C24" s="2286" t="s">
        <v>131</v>
      </c>
      <c r="D24" s="2301"/>
      <c r="E24" s="2291"/>
      <c r="F24" s="2287"/>
      <c r="G24" s="2268"/>
      <c r="H24" s="2268"/>
      <c r="I24" s="2269"/>
      <c r="J24" s="2269"/>
      <c r="K24" s="2269"/>
      <c r="L24" s="2269"/>
      <c r="M24" s="2270"/>
      <c r="N24" s="2270"/>
      <c r="O24" s="2270"/>
      <c r="P24" s="2270"/>
      <c r="Q24" s="2270"/>
      <c r="R24" s="2269"/>
      <c r="S24" s="2269"/>
      <c r="T24" s="2269"/>
      <c r="U24" s="2269"/>
      <c r="V24" s="2269"/>
      <c r="W24" s="2269"/>
      <c r="X24" s="2269"/>
      <c r="Y24" s="2269"/>
      <c r="Z24" s="2269"/>
      <c r="AA24" s="2269"/>
    </row>
    <row r="25" spans="1:27" ht="13.5" customHeight="1" x14ac:dyDescent="0.3">
      <c r="A25" s="2284"/>
      <c r="B25" s="2299" t="s">
        <v>3591</v>
      </c>
      <c r="C25" s="2286" t="s">
        <v>131</v>
      </c>
      <c r="D25" s="2301"/>
      <c r="E25" s="2291"/>
      <c r="F25" s="2287"/>
      <c r="G25" s="2268"/>
      <c r="H25" s="2268"/>
      <c r="I25" s="2269"/>
      <c r="J25" s="2269"/>
      <c r="K25" s="2269"/>
      <c r="L25" s="2269"/>
      <c r="M25" s="2270"/>
      <c r="N25" s="2270"/>
      <c r="O25" s="2270"/>
      <c r="P25" s="2270"/>
      <c r="Q25" s="2270"/>
      <c r="R25" s="2269"/>
      <c r="S25" s="2269"/>
      <c r="T25" s="2269"/>
      <c r="U25" s="2269"/>
      <c r="V25" s="2269"/>
      <c r="W25" s="2269"/>
      <c r="X25" s="2269"/>
      <c r="Y25" s="2269"/>
      <c r="Z25" s="2269"/>
      <c r="AA25" s="2269"/>
    </row>
    <row r="26" spans="1:27" ht="13.5" customHeight="1" x14ac:dyDescent="0.3">
      <c r="A26" s="2284"/>
      <c r="B26" s="2298"/>
      <c r="C26" s="2286"/>
      <c r="D26" s="2301"/>
      <c r="E26" s="2291"/>
      <c r="F26" s="2287"/>
      <c r="G26" s="2268"/>
      <c r="H26" s="2268"/>
      <c r="I26" s="2269"/>
      <c r="J26" s="2269"/>
      <c r="K26" s="2269"/>
      <c r="L26" s="2269"/>
      <c r="M26" s="2270"/>
      <c r="N26" s="2270"/>
      <c r="O26" s="2270"/>
      <c r="P26" s="2270"/>
      <c r="Q26" s="2270"/>
      <c r="R26" s="2269"/>
      <c r="S26" s="2269"/>
      <c r="T26" s="2269"/>
      <c r="U26" s="2269"/>
      <c r="V26" s="2269"/>
      <c r="W26" s="2269"/>
      <c r="X26" s="2269"/>
      <c r="Y26" s="2269"/>
      <c r="Z26" s="2269"/>
      <c r="AA26" s="2269"/>
    </row>
    <row r="27" spans="1:27" ht="13.5" customHeight="1" x14ac:dyDescent="0.3">
      <c r="A27" s="2284"/>
      <c r="B27" s="2298"/>
      <c r="C27" s="2286"/>
      <c r="D27" s="2301"/>
      <c r="E27" s="2291"/>
      <c r="F27" s="2287"/>
      <c r="G27" s="2268"/>
      <c r="H27" s="2268"/>
      <c r="I27" s="2269"/>
      <c r="J27" s="2269"/>
      <c r="K27" s="2269"/>
      <c r="L27" s="2269"/>
      <c r="M27" s="2270"/>
      <c r="N27" s="2270"/>
      <c r="O27" s="2270"/>
      <c r="P27" s="2270"/>
      <c r="Q27" s="2270"/>
      <c r="R27" s="2269"/>
      <c r="S27" s="2269"/>
      <c r="T27" s="2269"/>
      <c r="U27" s="2269"/>
      <c r="V27" s="2269"/>
      <c r="W27" s="2269"/>
      <c r="X27" s="2269"/>
      <c r="Y27" s="2269"/>
      <c r="Z27" s="2269"/>
      <c r="AA27" s="2269"/>
    </row>
    <row r="28" spans="1:27" s="2295" customFormat="1" ht="13.5" customHeight="1" x14ac:dyDescent="0.3">
      <c r="A28" s="2288"/>
      <c r="B28" s="2302" t="s">
        <v>3592</v>
      </c>
      <c r="C28" s="2290"/>
      <c r="D28" s="2303"/>
      <c r="E28" s="2291"/>
      <c r="F28" s="2291"/>
      <c r="G28" s="2292"/>
      <c r="H28" s="2292"/>
      <c r="I28" s="2293"/>
      <c r="J28" s="2293"/>
      <c r="K28" s="2293"/>
      <c r="L28" s="2293"/>
      <c r="M28" s="2294"/>
      <c r="N28" s="2294"/>
      <c r="O28" s="2294"/>
      <c r="P28" s="2293"/>
      <c r="Q28" s="2293"/>
      <c r="R28" s="2293"/>
      <c r="S28" s="2293">
        <f>20*20</f>
        <v>400</v>
      </c>
      <c r="T28" s="2293">
        <f>S28/162.162</f>
        <v>2.4666691333357997</v>
      </c>
      <c r="U28" s="2293"/>
      <c r="V28" s="2293"/>
      <c r="W28" s="2293"/>
      <c r="X28" s="2293"/>
      <c r="Y28" s="2293"/>
      <c r="Z28" s="2293"/>
      <c r="AA28" s="2293"/>
    </row>
    <row r="29" spans="1:27" s="2295" customFormat="1" ht="13.5" customHeight="1" x14ac:dyDescent="0.3">
      <c r="A29" s="2288"/>
      <c r="B29" s="2304" t="s">
        <v>3593</v>
      </c>
      <c r="C29" s="2290"/>
      <c r="D29" s="2291"/>
      <c r="E29" s="2291"/>
      <c r="F29" s="2291"/>
      <c r="G29" s="2292"/>
      <c r="H29" s="2292"/>
      <c r="I29" s="2293"/>
      <c r="J29" s="2293"/>
      <c r="K29" s="2293"/>
      <c r="L29" s="2293" t="s">
        <v>3572</v>
      </c>
      <c r="M29" s="2294"/>
      <c r="N29" s="2294">
        <v>1285</v>
      </c>
      <c r="O29" s="2294">
        <v>1895</v>
      </c>
      <c r="P29" s="2293">
        <v>3397</v>
      </c>
      <c r="Q29" s="2293">
        <v>5374</v>
      </c>
      <c r="R29" s="2293"/>
      <c r="S29" s="2293"/>
      <c r="T29" s="2293"/>
      <c r="U29" s="2293"/>
      <c r="V29" s="2293"/>
      <c r="W29" s="2293"/>
      <c r="X29" s="2293"/>
      <c r="Y29" s="2293"/>
      <c r="Z29" s="2293"/>
      <c r="AA29" s="2293"/>
    </row>
    <row r="30" spans="1:27" ht="13.5" customHeight="1" x14ac:dyDescent="0.3">
      <c r="A30" s="2288"/>
      <c r="B30" s="2296" t="s">
        <v>3572</v>
      </c>
      <c r="C30" s="2290" t="s">
        <v>3428</v>
      </c>
      <c r="D30" s="2305">
        <v>365000</v>
      </c>
      <c r="E30" s="2291"/>
      <c r="F30" s="2291"/>
      <c r="G30" s="2268"/>
      <c r="H30" s="2268"/>
      <c r="I30" s="2269"/>
      <c r="J30" s="2269"/>
      <c r="K30" s="2154">
        <f>363059.05*1.15</f>
        <v>417517.90749999997</v>
      </c>
      <c r="L30" s="2305">
        <v>363059.05</v>
      </c>
      <c r="M30" s="2270"/>
      <c r="N30" s="2270"/>
      <c r="O30" s="2270"/>
      <c r="P30" s="2269"/>
      <c r="Q30" s="2269"/>
      <c r="R30" s="2269"/>
      <c r="S30" s="2269"/>
      <c r="T30" s="2269"/>
      <c r="U30" s="2269"/>
      <c r="V30" s="2269"/>
      <c r="W30" s="2269"/>
      <c r="X30" s="2269"/>
      <c r="Y30" s="2269"/>
      <c r="Z30" s="2269"/>
      <c r="AA30" s="2269"/>
    </row>
    <row r="31" spans="1:27" ht="13.5" customHeight="1" x14ac:dyDescent="0.3">
      <c r="A31" s="2288"/>
      <c r="B31" s="2296" t="s">
        <v>3594</v>
      </c>
      <c r="C31" s="2290" t="s">
        <v>3428</v>
      </c>
      <c r="D31" s="2291"/>
      <c r="E31" s="2291"/>
      <c r="F31" s="2291"/>
      <c r="G31" s="2268"/>
      <c r="H31" s="2268"/>
      <c r="I31" s="2269"/>
      <c r="J31" s="2269"/>
      <c r="K31" s="2269"/>
      <c r="L31" s="2269"/>
      <c r="M31" s="2270"/>
      <c r="N31" s="2270"/>
      <c r="O31" s="2270"/>
      <c r="P31" s="2269"/>
      <c r="Q31" s="2269"/>
      <c r="R31" s="2269"/>
      <c r="S31" s="2269"/>
      <c r="T31" s="2269"/>
      <c r="U31" s="2269"/>
      <c r="V31" s="2269"/>
      <c r="W31" s="2269"/>
      <c r="X31" s="2269"/>
      <c r="Y31" s="2269"/>
      <c r="Z31" s="2269"/>
      <c r="AA31" s="2269"/>
    </row>
    <row r="32" spans="1:27" ht="13.5" customHeight="1" x14ac:dyDescent="0.3">
      <c r="A32" s="2288"/>
      <c r="B32" s="2296" t="s">
        <v>3595</v>
      </c>
      <c r="C32" s="2290" t="s">
        <v>3428</v>
      </c>
      <c r="D32" s="2291"/>
      <c r="E32" s="2291"/>
      <c r="F32" s="2291"/>
      <c r="G32" s="2268"/>
      <c r="H32" s="2268"/>
      <c r="I32" s="2269"/>
      <c r="J32" s="2269"/>
      <c r="K32" s="2269"/>
      <c r="L32" s="2269"/>
      <c r="M32" s="2270"/>
      <c r="N32" s="2270">
        <v>0.61699999999999999</v>
      </c>
      <c r="O32" s="2270">
        <v>0.88800000000000001</v>
      </c>
      <c r="P32" s="2269">
        <v>1.579</v>
      </c>
      <c r="Q32" s="2269">
        <v>2.4670000000000001</v>
      </c>
      <c r="R32" s="2269"/>
      <c r="S32" s="2269"/>
      <c r="T32" s="2269"/>
      <c r="U32" s="2269"/>
      <c r="V32" s="2269"/>
      <c r="W32" s="2269"/>
      <c r="X32" s="2269"/>
      <c r="Y32" s="2269"/>
      <c r="Z32" s="2269"/>
      <c r="AA32" s="2269"/>
    </row>
    <row r="33" spans="1:27" ht="13.5" customHeight="1" x14ac:dyDescent="0.3">
      <c r="A33" s="2288"/>
      <c r="B33" s="2296" t="s">
        <v>3596</v>
      </c>
      <c r="C33" s="2290" t="s">
        <v>3428</v>
      </c>
      <c r="D33" s="2291"/>
      <c r="E33" s="2291"/>
      <c r="F33" s="2291"/>
      <c r="G33" s="2268"/>
      <c r="H33" s="2268"/>
      <c r="I33" s="2269"/>
      <c r="J33" s="2269"/>
      <c r="K33" s="2269"/>
      <c r="L33" s="2269"/>
      <c r="M33" s="2270"/>
      <c r="N33" s="2270">
        <f>N32*6</f>
        <v>3.702</v>
      </c>
      <c r="O33" s="2270">
        <f>O32*6</f>
        <v>5.3280000000000003</v>
      </c>
      <c r="P33" s="2269">
        <f>P32*6</f>
        <v>9.4740000000000002</v>
      </c>
      <c r="Q33" s="2269">
        <f>Q32*6</f>
        <v>14.802</v>
      </c>
      <c r="R33" s="2269"/>
      <c r="S33" s="2269"/>
      <c r="T33" s="2269"/>
      <c r="U33" s="2269"/>
      <c r="V33" s="2269"/>
      <c r="W33" s="2269"/>
      <c r="X33" s="2269"/>
      <c r="Y33" s="2269"/>
      <c r="Z33" s="2269"/>
      <c r="AA33" s="2269"/>
    </row>
    <row r="34" spans="1:27" ht="13.5" customHeight="1" x14ac:dyDescent="0.3">
      <c r="A34" s="2288"/>
      <c r="B34" s="2297"/>
      <c r="C34" s="2290"/>
      <c r="D34" s="2291"/>
      <c r="E34" s="2291"/>
      <c r="F34" s="2291"/>
      <c r="G34" s="2268"/>
      <c r="H34" s="2268"/>
      <c r="I34" s="2269"/>
      <c r="J34" s="2269"/>
      <c r="K34" s="2269"/>
      <c r="L34" s="2269"/>
      <c r="M34" s="2270"/>
      <c r="N34" s="2270"/>
      <c r="O34" s="2270"/>
      <c r="P34" s="2269"/>
      <c r="Q34" s="2269"/>
      <c r="R34" s="2269"/>
      <c r="S34" s="2269"/>
      <c r="T34" s="2269"/>
      <c r="U34" s="2269"/>
      <c r="V34" s="2269"/>
      <c r="W34" s="2269"/>
      <c r="X34" s="2269"/>
      <c r="Y34" s="2269"/>
      <c r="Z34" s="2269"/>
      <c r="AA34" s="2269"/>
    </row>
    <row r="35" spans="1:27" ht="13.5" customHeight="1" x14ac:dyDescent="0.3">
      <c r="A35" s="2288"/>
      <c r="B35" s="2302"/>
      <c r="C35" s="2290"/>
      <c r="D35" s="2291"/>
      <c r="E35" s="2291"/>
      <c r="F35" s="2291"/>
      <c r="G35" s="2268"/>
      <c r="H35" s="2268"/>
      <c r="I35" s="2269"/>
      <c r="J35" s="2269"/>
      <c r="K35" s="2269"/>
      <c r="L35" s="2269"/>
      <c r="M35" s="2270"/>
      <c r="N35" s="2270">
        <f>N29/N33</f>
        <v>347.10967044840629</v>
      </c>
      <c r="O35" s="2270">
        <f t="shared" ref="O35:Q35" si="2">O29/O33</f>
        <v>355.66816816816817</v>
      </c>
      <c r="P35" s="2270">
        <f t="shared" si="2"/>
        <v>358.56027021321512</v>
      </c>
      <c r="Q35" s="2270">
        <f t="shared" si="2"/>
        <v>363.05904607485473</v>
      </c>
      <c r="R35" s="2269"/>
      <c r="S35" s="2269"/>
      <c r="T35" s="2269"/>
      <c r="U35" s="2269"/>
      <c r="V35" s="2269"/>
      <c r="W35" s="2269"/>
      <c r="X35" s="2269"/>
      <c r="Y35" s="2269"/>
      <c r="Z35" s="2269"/>
      <c r="AA35" s="2269"/>
    </row>
    <row r="36" spans="1:27" s="2295" customFormat="1" ht="13.5" customHeight="1" x14ac:dyDescent="0.3">
      <c r="A36" s="2288"/>
      <c r="B36" s="2296" t="s">
        <v>3597</v>
      </c>
      <c r="C36" s="2290" t="s">
        <v>3598</v>
      </c>
      <c r="D36" s="2291">
        <v>380</v>
      </c>
      <c r="E36" s="2291"/>
      <c r="F36" s="2291"/>
      <c r="G36" s="2292"/>
      <c r="H36" s="2292"/>
      <c r="I36" s="2293"/>
      <c r="J36" s="2293"/>
      <c r="K36" s="2293"/>
      <c r="L36" s="2293"/>
      <c r="M36" s="2294"/>
      <c r="N36" s="2294"/>
      <c r="O36" s="2294"/>
      <c r="P36" s="2293"/>
      <c r="Q36" s="2293"/>
      <c r="R36" s="2293"/>
      <c r="S36" s="2293"/>
      <c r="T36" s="2293"/>
      <c r="U36" s="2293"/>
      <c r="V36" s="2293"/>
      <c r="W36" s="2293"/>
      <c r="X36" s="2293"/>
      <c r="Y36" s="2293"/>
      <c r="Z36" s="2293"/>
      <c r="AA36" s="2293"/>
    </row>
    <row r="37" spans="1:27" ht="13.5" customHeight="1" x14ac:dyDescent="0.3">
      <c r="A37" s="2284"/>
      <c r="B37" s="2298"/>
      <c r="C37" s="2286"/>
      <c r="D37" s="2287"/>
      <c r="E37" s="2291"/>
      <c r="F37" s="2287"/>
      <c r="G37" s="2268"/>
      <c r="H37" s="2268"/>
      <c r="I37" s="2269"/>
      <c r="J37" s="2269"/>
      <c r="K37" s="2269"/>
      <c r="L37" s="2269"/>
      <c r="M37" s="2270"/>
      <c r="N37" s="2270"/>
      <c r="O37" s="2270"/>
      <c r="P37" s="2269"/>
      <c r="Q37" s="2269"/>
      <c r="R37" s="2269"/>
      <c r="S37" s="2269"/>
      <c r="T37" s="2269"/>
      <c r="U37" s="2269"/>
      <c r="V37" s="2269"/>
      <c r="W37" s="2269"/>
      <c r="X37" s="2269"/>
      <c r="Y37" s="2269"/>
      <c r="Z37" s="2269"/>
      <c r="AA37" s="2269"/>
    </row>
    <row r="38" spans="1:27" ht="13.5" customHeight="1" x14ac:dyDescent="0.3">
      <c r="A38" s="2284"/>
      <c r="B38" s="2298"/>
      <c r="C38" s="2286"/>
      <c r="D38" s="2287"/>
      <c r="E38" s="2287"/>
      <c r="F38" s="2287"/>
      <c r="G38" s="2268"/>
      <c r="H38" s="2268"/>
      <c r="I38" s="2269"/>
      <c r="J38" s="2269"/>
      <c r="K38" s="2269"/>
      <c r="L38" s="2269"/>
      <c r="M38" s="2270"/>
      <c r="N38" s="2270"/>
      <c r="O38" s="2270"/>
      <c r="P38" s="2269"/>
      <c r="Q38" s="2269"/>
      <c r="R38" s="2269"/>
      <c r="S38" s="2269"/>
      <c r="T38" s="2269"/>
      <c r="U38" s="2269"/>
      <c r="V38" s="2269"/>
      <c r="W38" s="2269"/>
      <c r="X38" s="2269"/>
      <c r="Y38" s="2269"/>
      <c r="Z38" s="2269"/>
      <c r="AA38" s="2269"/>
    </row>
    <row r="39" spans="1:27" ht="13.5" customHeight="1" x14ac:dyDescent="0.3">
      <c r="A39" s="2284"/>
      <c r="B39" s="2306" t="s">
        <v>219</v>
      </c>
      <c r="C39" s="2290" t="s">
        <v>3599</v>
      </c>
      <c r="D39" s="2287"/>
      <c r="E39" s="2287">
        <v>10</v>
      </c>
      <c r="F39" s="2287"/>
      <c r="G39" s="2268"/>
      <c r="H39" s="2268"/>
      <c r="I39" s="2269"/>
      <c r="J39" s="2269"/>
      <c r="K39" s="2269"/>
      <c r="L39" s="2269"/>
      <c r="M39" s="2270"/>
      <c r="N39" s="2270"/>
      <c r="O39" s="2270"/>
      <c r="P39" s="2269"/>
      <c r="Q39" s="2269"/>
      <c r="R39" s="2269"/>
      <c r="S39" s="2269"/>
      <c r="T39" s="2269"/>
      <c r="U39" s="2269"/>
      <c r="V39" s="2269"/>
      <c r="W39" s="2269"/>
      <c r="X39" s="2269"/>
      <c r="Y39" s="2269"/>
      <c r="Z39" s="2269"/>
      <c r="AA39" s="2269"/>
    </row>
    <row r="40" spans="1:27" ht="13.5" customHeight="1" x14ac:dyDescent="0.3">
      <c r="A40" s="2284"/>
      <c r="B40" s="2288" t="s">
        <v>3600</v>
      </c>
      <c r="C40" s="2290" t="s">
        <v>3476</v>
      </c>
      <c r="D40" s="2287"/>
      <c r="E40" s="2287">
        <v>650</v>
      </c>
      <c r="F40" s="2287"/>
      <c r="G40" s="2268"/>
      <c r="H40" s="2268"/>
      <c r="I40" s="2269"/>
      <c r="J40" s="2269"/>
      <c r="K40" s="2269"/>
      <c r="L40" s="2269"/>
      <c r="M40" s="2270"/>
      <c r="N40" s="2270"/>
      <c r="O40" s="2270"/>
      <c r="P40" s="2269"/>
      <c r="Q40" s="2269"/>
      <c r="R40" s="2269"/>
      <c r="S40" s="2269"/>
      <c r="T40" s="2269"/>
      <c r="U40" s="2269"/>
      <c r="V40" s="2269"/>
      <c r="W40" s="2269"/>
      <c r="X40" s="2269"/>
      <c r="Y40" s="2269"/>
      <c r="Z40" s="2269"/>
      <c r="AA40" s="2269"/>
    </row>
    <row r="41" spans="1:27" ht="13.5" customHeight="1" x14ac:dyDescent="0.3">
      <c r="A41" s="2284"/>
      <c r="B41" s="2153" t="s">
        <v>3475</v>
      </c>
      <c r="C41" s="2290" t="s">
        <v>3476</v>
      </c>
      <c r="D41" s="2287"/>
      <c r="E41" s="2287">
        <f>300*1.15</f>
        <v>345</v>
      </c>
      <c r="F41" s="2287"/>
      <c r="G41" s="2268"/>
      <c r="H41" s="2268"/>
      <c r="I41" s="2269"/>
      <c r="J41" s="2269"/>
      <c r="K41" s="2269"/>
      <c r="L41" s="2269" t="s">
        <v>3601</v>
      </c>
      <c r="M41" s="2270">
        <f>2350*1.15</f>
        <v>2702.5</v>
      </c>
      <c r="N41" s="2270"/>
      <c r="O41" s="2270"/>
      <c r="P41" s="2269"/>
      <c r="Q41" s="2269"/>
      <c r="R41" s="2269"/>
      <c r="S41" s="2269"/>
      <c r="T41" s="2269"/>
      <c r="U41" s="2269"/>
      <c r="V41" s="2269"/>
      <c r="W41" s="2269"/>
      <c r="X41" s="2269"/>
      <c r="Y41" s="2269"/>
      <c r="Z41" s="2269"/>
      <c r="AA41" s="2269"/>
    </row>
    <row r="42" spans="1:27" ht="13.5" customHeight="1" x14ac:dyDescent="0.3">
      <c r="A42" s="2284"/>
      <c r="B42" s="2298"/>
      <c r="C42" s="2286"/>
      <c r="D42" s="2287"/>
      <c r="E42" s="2287"/>
      <c r="F42" s="2287"/>
      <c r="G42" s="2268"/>
      <c r="H42" s="2268"/>
      <c r="I42" s="2269"/>
      <c r="J42" s="2269"/>
      <c r="K42" s="2269"/>
      <c r="L42" s="2269"/>
      <c r="M42" s="2270">
        <f>M41/10</f>
        <v>270.25</v>
      </c>
      <c r="N42" s="2270"/>
      <c r="O42" s="2270"/>
      <c r="P42" s="2269"/>
      <c r="Q42" s="2269"/>
      <c r="R42" s="2269"/>
      <c r="S42" s="2269"/>
      <c r="T42" s="2269"/>
      <c r="U42" s="2269"/>
      <c r="V42" s="2269"/>
      <c r="W42" s="2269"/>
      <c r="X42" s="2269"/>
      <c r="Y42" s="2269"/>
      <c r="Z42" s="2269"/>
      <c r="AA42" s="2269"/>
    </row>
    <row r="43" spans="1:27" s="2303" customFormat="1" ht="13.5" customHeight="1" x14ac:dyDescent="0.3">
      <c r="A43" s="2288"/>
      <c r="B43" s="2307"/>
      <c r="C43" s="2286"/>
      <c r="D43" s="2287"/>
      <c r="F43" s="2291"/>
      <c r="G43" s="2308"/>
      <c r="H43" s="2308"/>
      <c r="I43" s="2309"/>
      <c r="J43" s="2309"/>
      <c r="K43" s="2309"/>
      <c r="L43" s="2309"/>
      <c r="M43" s="2310"/>
      <c r="N43" s="2310"/>
      <c r="O43" s="2310"/>
      <c r="P43" s="2309"/>
      <c r="Q43" s="2309"/>
      <c r="R43" s="2309"/>
      <c r="S43" s="2309"/>
      <c r="T43" s="2309"/>
      <c r="U43" s="2309"/>
      <c r="V43" s="2309"/>
      <c r="W43" s="2309"/>
      <c r="X43" s="2309"/>
      <c r="Y43" s="2309"/>
      <c r="Z43" s="2309"/>
      <c r="AA43" s="2309"/>
    </row>
    <row r="44" spans="1:27" s="2303" customFormat="1" ht="13.5" customHeight="1" x14ac:dyDescent="0.4">
      <c r="A44" s="2288"/>
      <c r="B44" s="2311" t="s">
        <v>3602</v>
      </c>
      <c r="C44" s="2286"/>
      <c r="D44" s="2287"/>
      <c r="F44" s="2291"/>
      <c r="G44" s="2308"/>
      <c r="H44" s="2308"/>
      <c r="I44" s="2309"/>
      <c r="J44" s="2309"/>
      <c r="K44" s="2309"/>
      <c r="L44" s="2309"/>
      <c r="M44" s="2310"/>
      <c r="N44" s="2310"/>
      <c r="O44" s="2310"/>
      <c r="P44" s="2309"/>
      <c r="Q44" s="2309"/>
      <c r="R44" s="2309"/>
      <c r="S44" s="2309"/>
      <c r="T44" s="2309"/>
      <c r="U44" s="2309"/>
      <c r="V44" s="2309"/>
      <c r="W44" s="2309"/>
      <c r="X44" s="2309"/>
      <c r="Y44" s="2309"/>
      <c r="Z44" s="2309"/>
      <c r="AA44" s="2309"/>
    </row>
    <row r="45" spans="1:27" s="2303" customFormat="1" ht="13.5" customHeight="1" x14ac:dyDescent="0.3">
      <c r="A45" s="2288"/>
      <c r="B45" s="2307"/>
      <c r="C45" s="2286"/>
      <c r="D45" s="2287"/>
      <c r="F45" s="2291"/>
      <c r="G45" s="2308"/>
      <c r="H45" s="2308"/>
      <c r="I45" s="2309"/>
      <c r="J45" s="2309"/>
      <c r="K45" s="2309"/>
      <c r="L45" s="2309"/>
      <c r="M45" s="2310"/>
      <c r="N45" s="2310"/>
      <c r="O45" s="2310"/>
      <c r="P45" s="2309"/>
      <c r="Q45" s="2309"/>
      <c r="R45" s="2309"/>
      <c r="S45" s="2309"/>
      <c r="T45" s="2309"/>
      <c r="U45" s="2309"/>
      <c r="V45" s="2309"/>
      <c r="W45" s="2309"/>
      <c r="X45" s="2309"/>
      <c r="Y45" s="2309"/>
      <c r="Z45" s="2309"/>
      <c r="AA45" s="2309"/>
    </row>
    <row r="46" spans="1:27" s="2303" customFormat="1" ht="13.5" customHeight="1" x14ac:dyDescent="0.3">
      <c r="A46" s="2288"/>
      <c r="B46" s="2307" t="s">
        <v>3603</v>
      </c>
      <c r="C46" s="2286"/>
      <c r="D46" s="2287"/>
      <c r="F46" s="2291"/>
      <c r="G46" s="2308"/>
      <c r="H46" s="2308"/>
      <c r="I46" s="2309"/>
      <c r="J46" s="2309"/>
      <c r="K46" s="2309"/>
      <c r="L46" s="2309"/>
      <c r="M46" s="2310"/>
      <c r="N46" s="2310"/>
      <c r="O46" s="2310"/>
      <c r="P46" s="2309"/>
      <c r="Q46" s="2309"/>
      <c r="R46" s="2309"/>
      <c r="S46" s="2309"/>
      <c r="T46" s="2309"/>
      <c r="U46" s="2309"/>
      <c r="V46" s="2309"/>
      <c r="W46" s="2309"/>
      <c r="X46" s="2309"/>
      <c r="Y46" s="2309"/>
      <c r="Z46" s="2309"/>
      <c r="AA46" s="2309"/>
    </row>
    <row r="47" spans="1:27" s="2303" customFormat="1" ht="13.5" customHeight="1" x14ac:dyDescent="0.3">
      <c r="A47" s="2288"/>
      <c r="B47" s="2307" t="s">
        <v>3604</v>
      </c>
      <c r="C47" s="2286"/>
      <c r="D47" s="2287"/>
      <c r="F47" s="2291"/>
      <c r="G47" s="2308"/>
      <c r="H47" s="2308"/>
      <c r="I47" s="2309"/>
      <c r="J47" s="2309"/>
      <c r="K47" s="2309"/>
      <c r="L47" s="2309"/>
      <c r="M47" s="2310"/>
      <c r="N47" s="2310"/>
      <c r="O47" s="2310"/>
      <c r="P47" s="2309"/>
      <c r="Q47" s="2309"/>
      <c r="R47" s="2309"/>
      <c r="S47" s="2309"/>
      <c r="T47" s="2309"/>
      <c r="U47" s="2309"/>
      <c r="V47" s="2309"/>
      <c r="W47" s="2309"/>
      <c r="X47" s="2309"/>
      <c r="Y47" s="2309"/>
      <c r="Z47" s="2309"/>
      <c r="AA47" s="2309"/>
    </row>
    <row r="48" spans="1:27" s="2303" customFormat="1" ht="13.5" customHeight="1" x14ac:dyDescent="0.3">
      <c r="A48" s="2288"/>
      <c r="B48" s="2307"/>
      <c r="C48" s="2286"/>
      <c r="D48" s="2287"/>
      <c r="F48" s="2291"/>
      <c r="G48" s="2308"/>
      <c r="H48" s="2308"/>
      <c r="I48" s="2309"/>
      <c r="J48" s="2309"/>
      <c r="K48" s="2309"/>
      <c r="L48" s="2309"/>
      <c r="M48" s="2310"/>
      <c r="N48" s="2310"/>
      <c r="O48" s="2310"/>
      <c r="P48" s="2309"/>
      <c r="Q48" s="2309"/>
      <c r="R48" s="2309"/>
      <c r="S48" s="2309"/>
      <c r="T48" s="2309"/>
      <c r="U48" s="2309"/>
      <c r="V48" s="2309"/>
      <c r="W48" s="2309"/>
      <c r="X48" s="2309"/>
      <c r="Y48" s="2309"/>
      <c r="Z48" s="2309"/>
      <c r="AA48" s="2309"/>
    </row>
    <row r="49" spans="1:27" s="2303" customFormat="1" ht="13.5" customHeight="1" x14ac:dyDescent="0.3">
      <c r="A49" s="2288"/>
      <c r="B49" s="2307"/>
      <c r="C49" s="2286"/>
      <c r="D49" s="2287"/>
      <c r="F49" s="2291"/>
      <c r="G49" s="2308"/>
      <c r="H49" s="2308"/>
      <c r="I49" s="2309"/>
      <c r="J49" s="2309"/>
      <c r="K49" s="2309"/>
      <c r="L49" s="2309"/>
      <c r="M49" s="2310"/>
      <c r="N49" s="2310"/>
      <c r="O49" s="2310"/>
      <c r="P49" s="2309"/>
      <c r="Q49" s="2309"/>
      <c r="R49" s="2309"/>
      <c r="S49" s="2309"/>
      <c r="T49" s="2309"/>
      <c r="U49" s="2309"/>
      <c r="V49" s="2309"/>
      <c r="W49" s="2309"/>
      <c r="X49" s="2309"/>
      <c r="Y49" s="2309"/>
      <c r="Z49" s="2309"/>
      <c r="AA49" s="2309"/>
    </row>
    <row r="50" spans="1:27" s="2303" customFormat="1" ht="13.5" customHeight="1" x14ac:dyDescent="0.4">
      <c r="A50" s="2288"/>
      <c r="B50" s="2311" t="s">
        <v>3605</v>
      </c>
      <c r="C50" s="2286"/>
      <c r="D50" s="2287"/>
      <c r="F50" s="2291"/>
      <c r="G50" s="2308"/>
      <c r="H50" s="2308"/>
      <c r="I50" s="2309"/>
      <c r="J50" s="2309"/>
      <c r="K50" s="2309"/>
      <c r="L50" s="2309"/>
      <c r="M50" s="2310"/>
      <c r="N50" s="2310"/>
      <c r="O50" s="2310"/>
      <c r="P50" s="2309"/>
      <c r="Q50" s="2309"/>
      <c r="R50" s="2309"/>
      <c r="S50" s="2309"/>
      <c r="T50" s="2309"/>
      <c r="U50" s="2309"/>
      <c r="V50" s="2309"/>
      <c r="W50" s="2309"/>
      <c r="X50" s="2309"/>
      <c r="Y50" s="2309"/>
      <c r="Z50" s="2309"/>
      <c r="AA50" s="2309"/>
    </row>
    <row r="51" spans="1:27" s="2303" customFormat="1" ht="13.5" customHeight="1" x14ac:dyDescent="0.3">
      <c r="A51" s="2288"/>
      <c r="B51" s="2307" t="s">
        <v>3606</v>
      </c>
      <c r="C51" s="2286" t="s">
        <v>1314</v>
      </c>
      <c r="D51" s="2287"/>
      <c r="F51" s="2291"/>
      <c r="G51" s="2308"/>
      <c r="H51" s="2308"/>
      <c r="I51" s="2309"/>
      <c r="J51" s="2309"/>
      <c r="K51" s="2309"/>
      <c r="L51" s="2309"/>
      <c r="M51" s="2310"/>
      <c r="N51" s="2310"/>
      <c r="O51" s="2310"/>
      <c r="P51" s="2309"/>
      <c r="Q51" s="2309"/>
      <c r="R51" s="2309"/>
      <c r="S51" s="2309"/>
      <c r="T51" s="2309"/>
      <c r="U51" s="2309"/>
      <c r="V51" s="2309"/>
      <c r="W51" s="2309"/>
      <c r="X51" s="2309"/>
      <c r="Y51" s="2309"/>
      <c r="Z51" s="2309"/>
      <c r="AA51" s="2309"/>
    </row>
    <row r="52" spans="1:27" s="2303" customFormat="1" ht="13.5" customHeight="1" x14ac:dyDescent="0.3">
      <c r="A52" s="2288"/>
      <c r="B52" s="2307" t="s">
        <v>3607</v>
      </c>
      <c r="C52" s="2286" t="s">
        <v>1314</v>
      </c>
      <c r="D52" s="2287"/>
      <c r="F52" s="2291"/>
      <c r="G52" s="2308"/>
      <c r="H52" s="2308"/>
      <c r="I52" s="2309"/>
      <c r="J52" s="2309"/>
      <c r="K52" s="2309"/>
      <c r="L52" s="2309"/>
      <c r="M52" s="2310"/>
      <c r="N52" s="2310"/>
      <c r="O52" s="2310"/>
      <c r="P52" s="2309"/>
      <c r="Q52" s="2309"/>
      <c r="R52" s="2309"/>
      <c r="S52" s="2309"/>
      <c r="T52" s="2309"/>
      <c r="U52" s="2309"/>
      <c r="V52" s="2309"/>
      <c r="W52" s="2309"/>
      <c r="X52" s="2309"/>
      <c r="Y52" s="2309"/>
      <c r="Z52" s="2309"/>
      <c r="AA52" s="2309"/>
    </row>
    <row r="53" spans="1:27" s="2303" customFormat="1" ht="13.5" customHeight="1" x14ac:dyDescent="0.3">
      <c r="A53" s="2288"/>
      <c r="B53" s="2307" t="s">
        <v>3608</v>
      </c>
      <c r="C53" s="2286" t="s">
        <v>1314</v>
      </c>
      <c r="D53" s="2287"/>
      <c r="F53" s="2291"/>
      <c r="G53" s="2308"/>
      <c r="H53" s="2308"/>
      <c r="I53" s="2309"/>
      <c r="J53" s="2309"/>
      <c r="K53" s="2309"/>
      <c r="L53" s="2309"/>
      <c r="M53" s="2310"/>
      <c r="N53" s="2310"/>
      <c r="O53" s="2310"/>
      <c r="P53" s="2309"/>
      <c r="Q53" s="2309"/>
      <c r="R53" s="2309"/>
      <c r="S53" s="2309"/>
      <c r="T53" s="2309"/>
      <c r="U53" s="2309"/>
      <c r="V53" s="2309"/>
      <c r="W53" s="2309"/>
      <c r="X53" s="2309"/>
      <c r="Y53" s="2309"/>
      <c r="Z53" s="2309"/>
      <c r="AA53" s="2309"/>
    </row>
    <row r="54" spans="1:27" s="2303" customFormat="1" ht="13.5" customHeight="1" x14ac:dyDescent="0.3">
      <c r="A54" s="2288"/>
      <c r="B54" s="2307"/>
      <c r="C54" s="2286"/>
      <c r="D54" s="2287"/>
      <c r="F54" s="2291"/>
      <c r="G54" s="2308"/>
      <c r="H54" s="2308"/>
      <c r="I54" s="2309"/>
      <c r="J54" s="2309"/>
      <c r="K54" s="2309"/>
      <c r="L54" s="2309"/>
      <c r="M54" s="2310"/>
      <c r="N54" s="2310"/>
      <c r="O54" s="2310"/>
      <c r="P54" s="2309"/>
      <c r="Q54" s="2309"/>
      <c r="R54" s="2309"/>
      <c r="S54" s="2309"/>
      <c r="T54" s="2309"/>
      <c r="U54" s="2309"/>
      <c r="V54" s="2309"/>
      <c r="W54" s="2309"/>
      <c r="X54" s="2309"/>
      <c r="Y54" s="2309"/>
      <c r="Z54" s="2309"/>
      <c r="AA54" s="2309"/>
    </row>
    <row r="55" spans="1:27" s="2303" customFormat="1" ht="13.5" customHeight="1" x14ac:dyDescent="0.3">
      <c r="A55" s="2288"/>
      <c r="B55" s="2307" t="s">
        <v>3609</v>
      </c>
      <c r="C55" s="2286" t="s">
        <v>1314</v>
      </c>
      <c r="D55" s="2287"/>
      <c r="F55" s="2291"/>
      <c r="G55" s="2308"/>
      <c r="H55" s="2308"/>
      <c r="I55" s="2309"/>
      <c r="J55" s="2309"/>
      <c r="K55" s="2309"/>
      <c r="L55" s="2309"/>
      <c r="M55" s="2310"/>
      <c r="N55" s="2310"/>
      <c r="O55" s="2310"/>
      <c r="P55" s="2309"/>
      <c r="Q55" s="2309"/>
      <c r="R55" s="2309"/>
      <c r="S55" s="2309"/>
      <c r="T55" s="2309"/>
      <c r="U55" s="2309"/>
      <c r="V55" s="2309"/>
      <c r="W55" s="2309"/>
      <c r="X55" s="2309"/>
      <c r="Y55" s="2309"/>
      <c r="Z55" s="2309"/>
      <c r="AA55" s="2309"/>
    </row>
    <row r="56" spans="1:27" s="2303" customFormat="1" ht="13.5" customHeight="1" x14ac:dyDescent="0.3">
      <c r="A56" s="2288"/>
      <c r="B56" s="2307" t="s">
        <v>3610</v>
      </c>
      <c r="C56" s="2286" t="s">
        <v>1314</v>
      </c>
      <c r="D56" s="2287"/>
      <c r="F56" s="2291"/>
      <c r="G56" s="2308"/>
      <c r="H56" s="2308"/>
      <c r="I56" s="2309"/>
      <c r="J56" s="2309"/>
      <c r="K56" s="2309"/>
      <c r="L56" s="2309"/>
      <c r="M56" s="2310"/>
      <c r="N56" s="2310"/>
      <c r="O56" s="2310"/>
      <c r="P56" s="2309"/>
      <c r="Q56" s="2309"/>
      <c r="R56" s="2309"/>
      <c r="S56" s="2309"/>
      <c r="T56" s="2309"/>
      <c r="U56" s="2309"/>
      <c r="V56" s="2309"/>
      <c r="W56" s="2309"/>
      <c r="X56" s="2309"/>
      <c r="Y56" s="2309"/>
      <c r="Z56" s="2309"/>
      <c r="AA56" s="2309"/>
    </row>
    <row r="57" spans="1:27" s="2303" customFormat="1" ht="13.5" customHeight="1" x14ac:dyDescent="0.3">
      <c r="A57" s="2288"/>
      <c r="B57" s="2307" t="s">
        <v>3611</v>
      </c>
      <c r="C57" s="2286" t="s">
        <v>1314</v>
      </c>
      <c r="D57" s="2287"/>
      <c r="F57" s="2291"/>
      <c r="G57" s="2308"/>
      <c r="H57" s="2308"/>
      <c r="I57" s="2309"/>
      <c r="J57" s="2309"/>
      <c r="K57" s="2309"/>
      <c r="L57" s="2309"/>
      <c r="M57" s="2310"/>
      <c r="N57" s="2310"/>
      <c r="O57" s="2310"/>
      <c r="P57" s="2309"/>
      <c r="Q57" s="2309"/>
      <c r="R57" s="2309"/>
      <c r="S57" s="2309"/>
      <c r="T57" s="2309"/>
      <c r="U57" s="2309"/>
      <c r="V57" s="2309"/>
      <c r="W57" s="2309"/>
      <c r="X57" s="2309"/>
      <c r="Y57" s="2309"/>
      <c r="Z57" s="2309"/>
      <c r="AA57" s="2309"/>
    </row>
    <row r="58" spans="1:27" s="2303" customFormat="1" ht="13.5" customHeight="1" x14ac:dyDescent="0.3">
      <c r="A58" s="2288"/>
      <c r="B58" s="2307"/>
      <c r="C58" s="2286"/>
      <c r="D58" s="2287"/>
      <c r="F58" s="2291"/>
      <c r="G58" s="2308"/>
      <c r="H58" s="2308"/>
      <c r="I58" s="2309"/>
      <c r="J58" s="2309"/>
      <c r="K58" s="2309"/>
      <c r="L58" s="2309"/>
      <c r="M58" s="2310"/>
      <c r="N58" s="2310"/>
      <c r="O58" s="2310"/>
      <c r="P58" s="2309"/>
      <c r="Q58" s="2309"/>
      <c r="R58" s="2309"/>
      <c r="S58" s="2309"/>
      <c r="T58" s="2309"/>
      <c r="U58" s="2309"/>
      <c r="V58" s="2309"/>
      <c r="W58" s="2309"/>
      <c r="X58" s="2309"/>
      <c r="Y58" s="2309"/>
      <c r="Z58" s="2309"/>
      <c r="AA58" s="2309"/>
    </row>
    <row r="59" spans="1:27" s="2303" customFormat="1" ht="13.5" customHeight="1" x14ac:dyDescent="0.3">
      <c r="A59" s="2288"/>
      <c r="B59" s="2307" t="s">
        <v>3501</v>
      </c>
      <c r="C59" s="2286"/>
      <c r="D59" s="2287"/>
      <c r="F59" s="2291"/>
      <c r="G59" s="2308"/>
      <c r="H59" s="2308"/>
      <c r="I59" s="2309"/>
      <c r="J59" s="2309"/>
      <c r="K59" s="2309"/>
      <c r="L59" s="2309"/>
      <c r="M59" s="2310"/>
      <c r="N59" s="2310"/>
      <c r="O59" s="2310"/>
      <c r="P59" s="2309"/>
      <c r="Q59" s="2309"/>
      <c r="R59" s="2309"/>
      <c r="S59" s="2309"/>
      <c r="T59" s="2309"/>
      <c r="U59" s="2309"/>
      <c r="V59" s="2309"/>
      <c r="W59" s="2309"/>
      <c r="X59" s="2309"/>
      <c r="Y59" s="2309"/>
      <c r="Z59" s="2309"/>
      <c r="AA59" s="2309"/>
    </row>
    <row r="60" spans="1:27" s="2303" customFormat="1" ht="13.5" customHeight="1" x14ac:dyDescent="0.3">
      <c r="A60" s="2288"/>
      <c r="B60" s="2307" t="s">
        <v>3505</v>
      </c>
      <c r="C60" s="2286"/>
      <c r="D60" s="2287"/>
      <c r="F60" s="2291"/>
      <c r="G60" s="2308"/>
      <c r="H60" s="2308"/>
      <c r="I60" s="2309"/>
      <c r="J60" s="2309"/>
      <c r="K60" s="2309"/>
      <c r="L60" s="2309"/>
      <c r="M60" s="2310"/>
      <c r="N60" s="2310"/>
      <c r="O60" s="2310"/>
      <c r="P60" s="2309"/>
      <c r="Q60" s="2309"/>
      <c r="R60" s="2309"/>
      <c r="S60" s="2309"/>
      <c r="T60" s="2309"/>
      <c r="U60" s="2309"/>
      <c r="V60" s="2309"/>
      <c r="W60" s="2309"/>
      <c r="X60" s="2309"/>
      <c r="Y60" s="2309"/>
      <c r="Z60" s="2309"/>
      <c r="AA60" s="2309"/>
    </row>
    <row r="61" spans="1:27" s="2303" customFormat="1" ht="13.5" customHeight="1" x14ac:dyDescent="0.3">
      <c r="A61" s="2288"/>
      <c r="B61" s="2312" t="s">
        <v>3612</v>
      </c>
      <c r="C61" s="2290" t="s">
        <v>1476</v>
      </c>
      <c r="D61" s="2291"/>
      <c r="E61" s="2313">
        <v>230</v>
      </c>
      <c r="F61" s="2291"/>
      <c r="G61" s="2308"/>
      <c r="H61" s="2308"/>
      <c r="I61" s="2309"/>
      <c r="J61" s="2309"/>
      <c r="K61" s="2309"/>
      <c r="L61" s="2309">
        <f>12*7</f>
        <v>84</v>
      </c>
      <c r="M61" s="2310"/>
      <c r="N61" s="2310"/>
      <c r="O61" s="2310"/>
      <c r="P61" s="2309"/>
      <c r="Q61" s="2309"/>
      <c r="R61" s="2309"/>
      <c r="S61" s="2309"/>
      <c r="T61" s="2309"/>
      <c r="U61" s="2309"/>
      <c r="V61" s="2309"/>
      <c r="W61" s="2309"/>
      <c r="X61" s="2309"/>
      <c r="Y61" s="2309"/>
      <c r="Z61" s="2309"/>
      <c r="AA61" s="2309"/>
    </row>
    <row r="62" spans="1:27" s="2303" customFormat="1" ht="13.5" customHeight="1" x14ac:dyDescent="0.3">
      <c r="A62" s="2288"/>
      <c r="B62" s="2312" t="s">
        <v>3613</v>
      </c>
      <c r="C62" s="2290" t="s">
        <v>3614</v>
      </c>
      <c r="D62" s="2291"/>
      <c r="E62" s="2313"/>
      <c r="F62" s="2291"/>
      <c r="G62" s="2308"/>
      <c r="H62" s="2308"/>
      <c r="I62" s="2309"/>
      <c r="J62" s="2309"/>
      <c r="K62" s="2309"/>
      <c r="L62" s="2309"/>
      <c r="M62" s="2310"/>
      <c r="N62" s="2310"/>
      <c r="O62" s="2310"/>
      <c r="P62" s="2309"/>
      <c r="Q62" s="2309"/>
      <c r="R62" s="2309"/>
      <c r="S62" s="2309"/>
      <c r="T62" s="2309"/>
      <c r="U62" s="2309"/>
      <c r="V62" s="2309"/>
      <c r="W62" s="2309"/>
      <c r="X62" s="2309"/>
      <c r="Y62" s="2309"/>
      <c r="Z62" s="2309"/>
      <c r="AA62" s="2309"/>
    </row>
    <row r="63" spans="1:27" s="2295" customFormat="1" ht="13.5" customHeight="1" x14ac:dyDescent="0.3">
      <c r="A63" s="2288"/>
      <c r="B63" s="2304" t="s">
        <v>3377</v>
      </c>
      <c r="C63" s="2290" t="s">
        <v>134</v>
      </c>
      <c r="D63" s="2291"/>
      <c r="E63" s="2291">
        <v>750</v>
      </c>
      <c r="F63" s="2291"/>
      <c r="G63" s="2292"/>
      <c r="H63" s="2292"/>
      <c r="I63" s="2293"/>
      <c r="J63" s="2293"/>
      <c r="K63" s="2293"/>
      <c r="L63" s="2293"/>
      <c r="M63" s="2294"/>
      <c r="N63" s="2294"/>
      <c r="O63" s="2294"/>
      <c r="P63" s="2293"/>
      <c r="Q63" s="2293"/>
      <c r="R63" s="2293"/>
      <c r="S63" s="2293"/>
      <c r="T63" s="2293"/>
      <c r="U63" s="2293"/>
      <c r="V63" s="2293"/>
      <c r="W63" s="2293"/>
      <c r="X63" s="2293"/>
      <c r="Y63" s="2293"/>
      <c r="Z63" s="2293"/>
      <c r="AA63" s="2293"/>
    </row>
    <row r="64" spans="1:27" s="2295" customFormat="1" ht="13.5" customHeight="1" x14ac:dyDescent="0.3">
      <c r="A64" s="2288"/>
      <c r="B64" s="2304"/>
      <c r="C64" s="2290"/>
      <c r="D64" s="2291"/>
      <c r="E64" s="2291"/>
      <c r="F64" s="2291"/>
      <c r="G64" s="2292"/>
      <c r="H64" s="2292"/>
      <c r="I64" s="2293"/>
      <c r="J64" s="2293"/>
      <c r="K64" s="2293"/>
      <c r="L64" s="2293"/>
      <c r="M64" s="2294"/>
      <c r="N64" s="2294"/>
      <c r="O64" s="2294"/>
      <c r="P64" s="2293"/>
      <c r="Q64" s="2293"/>
      <c r="R64" s="2293"/>
      <c r="S64" s="2293"/>
      <c r="T64" s="2293"/>
      <c r="U64" s="2293"/>
      <c r="V64" s="2293"/>
      <c r="W64" s="2293"/>
      <c r="X64" s="2293"/>
      <c r="Y64" s="2293"/>
      <c r="Z64" s="2293"/>
      <c r="AA64" s="2293"/>
    </row>
    <row r="65" spans="1:27" s="2303" customFormat="1" ht="13.5" customHeight="1" x14ac:dyDescent="0.3">
      <c r="A65" s="2288"/>
      <c r="B65" s="2314" t="s">
        <v>3615</v>
      </c>
      <c r="C65" s="2315"/>
      <c r="D65" s="2316"/>
      <c r="E65" s="2316"/>
      <c r="F65" s="2291"/>
      <c r="G65" s="2308"/>
      <c r="H65" s="2308"/>
      <c r="I65" s="2309"/>
      <c r="J65" s="2309"/>
      <c r="K65" s="2309"/>
      <c r="L65" s="2309"/>
      <c r="M65" s="2310"/>
      <c r="N65" s="2310"/>
      <c r="O65" s="2310"/>
      <c r="P65" s="2309"/>
      <c r="Q65" s="2309"/>
      <c r="R65" s="2309"/>
      <c r="S65" s="2309"/>
      <c r="T65" s="2309"/>
      <c r="U65" s="2309"/>
      <c r="V65" s="2309"/>
      <c r="W65" s="2309"/>
      <c r="X65" s="2309"/>
      <c r="Y65" s="2309"/>
      <c r="Z65" s="2309"/>
      <c r="AA65" s="2309"/>
    </row>
    <row r="66" spans="1:27" s="2303" customFormat="1" ht="13.5" customHeight="1" x14ac:dyDescent="0.3">
      <c r="A66" s="2288"/>
      <c r="B66" s="2317" t="s">
        <v>3616</v>
      </c>
      <c r="C66" s="2315" t="s">
        <v>3557</v>
      </c>
      <c r="D66" s="2316">
        <v>6500</v>
      </c>
      <c r="E66" s="2316">
        <v>7500</v>
      </c>
      <c r="F66" s="2291"/>
      <c r="G66" s="2308"/>
      <c r="H66" s="2308"/>
      <c r="I66" s="2309"/>
      <c r="J66" s="2309"/>
      <c r="K66" s="2309" t="s">
        <v>3617</v>
      </c>
      <c r="L66" s="2309"/>
      <c r="M66" s="2310"/>
      <c r="N66" s="2310"/>
      <c r="O66" s="2310"/>
      <c r="P66" s="2309"/>
      <c r="Q66" s="2309"/>
      <c r="R66" s="2309"/>
      <c r="S66" s="2309"/>
      <c r="T66" s="2309"/>
      <c r="U66" s="2309"/>
      <c r="V66" s="2309"/>
      <c r="W66" s="2309"/>
      <c r="X66" s="2309"/>
      <c r="Y66" s="2309"/>
      <c r="Z66" s="2309"/>
      <c r="AA66" s="2309"/>
    </row>
    <row r="67" spans="1:27" s="2303" customFormat="1" ht="13.5" customHeight="1" x14ac:dyDescent="0.3">
      <c r="A67" s="2288"/>
      <c r="B67" s="2317" t="s">
        <v>3618</v>
      </c>
      <c r="C67" s="2315" t="s">
        <v>3557</v>
      </c>
      <c r="D67" s="2316">
        <v>10500</v>
      </c>
      <c r="E67" s="2316">
        <v>11500</v>
      </c>
      <c r="F67" s="2291"/>
      <c r="G67" s="2308"/>
      <c r="H67" s="2308"/>
      <c r="I67" s="2309"/>
      <c r="J67" s="2309"/>
      <c r="K67" s="2309"/>
      <c r="L67" s="2309"/>
      <c r="M67" s="2310"/>
      <c r="N67" s="2310"/>
      <c r="O67" s="2310"/>
      <c r="P67" s="2309"/>
      <c r="Q67" s="2309"/>
      <c r="R67" s="2309"/>
      <c r="S67" s="2309"/>
      <c r="T67" s="2309"/>
      <c r="U67" s="2309"/>
      <c r="V67" s="2309"/>
      <c r="W67" s="2309"/>
      <c r="X67" s="2309"/>
      <c r="Y67" s="2309"/>
      <c r="Z67" s="2309"/>
      <c r="AA67" s="2309"/>
    </row>
    <row r="68" spans="1:27" s="2303" customFormat="1" ht="13.5" customHeight="1" x14ac:dyDescent="0.3">
      <c r="A68" s="2288"/>
      <c r="B68" s="2317" t="s">
        <v>3619</v>
      </c>
      <c r="C68" s="2315" t="s">
        <v>3557</v>
      </c>
      <c r="D68" s="2316">
        <v>8500</v>
      </c>
      <c r="E68" s="2316">
        <v>9500</v>
      </c>
      <c r="F68" s="2291"/>
      <c r="G68" s="2308"/>
      <c r="H68" s="2308"/>
      <c r="I68" s="2309"/>
      <c r="J68" s="2309"/>
      <c r="K68" s="2309"/>
      <c r="L68" s="2309"/>
      <c r="M68" s="2310"/>
      <c r="N68" s="2310"/>
      <c r="O68" s="2310"/>
      <c r="P68" s="2309"/>
      <c r="Q68" s="2309"/>
      <c r="R68" s="2309"/>
      <c r="S68" s="2309"/>
      <c r="T68" s="2309"/>
      <c r="U68" s="2309"/>
      <c r="V68" s="2309"/>
      <c r="W68" s="2309"/>
      <c r="X68" s="2309"/>
      <c r="Y68" s="2309"/>
      <c r="Z68" s="2309"/>
      <c r="AA68" s="2309"/>
    </row>
    <row r="69" spans="1:27" ht="13.5" customHeight="1" x14ac:dyDescent="0.3">
      <c r="A69" s="2284"/>
      <c r="B69" s="2318"/>
      <c r="C69" s="2286"/>
      <c r="D69" s="2287"/>
      <c r="E69" s="2287"/>
      <c r="F69" s="2287"/>
      <c r="G69" s="2268"/>
      <c r="H69" s="2268"/>
      <c r="I69" s="2269"/>
      <c r="J69" s="2269"/>
      <c r="K69" s="2269"/>
      <c r="L69" s="2319"/>
      <c r="M69" s="2320" t="s">
        <v>3620</v>
      </c>
      <c r="N69" s="2320" t="s">
        <v>3621</v>
      </c>
      <c r="O69" s="2320" t="s">
        <v>3622</v>
      </c>
      <c r="P69" s="2319"/>
      <c r="Q69" s="2269"/>
      <c r="R69" s="2269"/>
      <c r="S69" s="2269"/>
      <c r="T69" s="2269"/>
      <c r="U69" s="2269"/>
      <c r="V69" s="2269"/>
      <c r="W69" s="2269"/>
      <c r="X69" s="2269"/>
      <c r="Y69" s="2269"/>
      <c r="Z69" s="2269"/>
      <c r="AA69" s="2269"/>
    </row>
    <row r="70" spans="1:27" ht="13.5" customHeight="1" x14ac:dyDescent="0.3">
      <c r="A70" s="2284"/>
      <c r="B70" s="2318" t="s">
        <v>3623</v>
      </c>
      <c r="C70" s="2286"/>
      <c r="D70" s="2287"/>
      <c r="E70" s="2287"/>
      <c r="F70" s="2287"/>
      <c r="G70" s="2268"/>
      <c r="H70" s="2268"/>
      <c r="I70" s="2269"/>
      <c r="J70" s="2269"/>
      <c r="K70" s="2269"/>
      <c r="L70" s="2321" t="s">
        <v>3624</v>
      </c>
      <c r="M70" s="2322"/>
      <c r="N70" s="2323"/>
      <c r="O70" s="2322"/>
      <c r="P70" s="2319"/>
      <c r="Q70" s="2269"/>
      <c r="R70" s="2269"/>
      <c r="S70" s="2269"/>
      <c r="T70" s="2269"/>
      <c r="U70" s="2269"/>
      <c r="V70" s="2269"/>
      <c r="W70" s="2269"/>
      <c r="X70" s="2269"/>
      <c r="Y70" s="2269"/>
      <c r="Z70" s="2269"/>
      <c r="AA70" s="2269"/>
    </row>
    <row r="71" spans="1:27" ht="13.5" customHeight="1" x14ac:dyDescent="0.3">
      <c r="A71" s="2284"/>
      <c r="B71" s="2298"/>
      <c r="C71" s="2286"/>
      <c r="D71" s="2287"/>
      <c r="E71" s="2291"/>
      <c r="F71" s="2287"/>
      <c r="G71" s="2268"/>
      <c r="H71" s="2268"/>
      <c r="I71" s="2269"/>
      <c r="J71" s="2269"/>
      <c r="K71" s="2269"/>
      <c r="L71" s="2321" t="s">
        <v>3625</v>
      </c>
      <c r="M71" s="2322"/>
      <c r="N71" s="2323"/>
      <c r="O71" s="2322"/>
      <c r="P71" s="2319"/>
      <c r="Q71" s="2269"/>
      <c r="R71" s="2269"/>
      <c r="S71" s="2269"/>
      <c r="T71" s="2269"/>
      <c r="U71" s="2269"/>
      <c r="V71" s="2269"/>
      <c r="W71" s="2269"/>
      <c r="X71" s="2269"/>
      <c r="Y71" s="2269"/>
      <c r="Z71" s="2269"/>
      <c r="AA71" s="2269"/>
    </row>
    <row r="72" spans="1:27" ht="13.5" customHeight="1" x14ac:dyDescent="0.3">
      <c r="A72" s="2284"/>
      <c r="B72" s="2324" t="s">
        <v>3626</v>
      </c>
      <c r="C72" s="2325"/>
      <c r="D72" s="2326"/>
      <c r="E72" s="2326"/>
      <c r="F72" s="2326"/>
      <c r="G72" s="2268"/>
      <c r="H72" s="2268"/>
      <c r="I72" s="2269"/>
      <c r="J72" s="2269"/>
      <c r="K72" s="2269"/>
      <c r="L72" s="2321"/>
      <c r="M72" s="2322"/>
      <c r="N72" s="2323"/>
      <c r="O72" s="2322"/>
      <c r="P72" s="2319"/>
      <c r="Q72" s="2269"/>
      <c r="R72" s="2269"/>
      <c r="S72" s="2269"/>
      <c r="T72" s="2269"/>
      <c r="U72" s="2269"/>
      <c r="V72" s="2269"/>
      <c r="W72" s="2269"/>
      <c r="X72" s="2269"/>
      <c r="Y72" s="2269"/>
      <c r="Z72" s="2269"/>
      <c r="AA72" s="2269"/>
    </row>
    <row r="73" spans="1:27" ht="13.5" customHeight="1" x14ac:dyDescent="0.3">
      <c r="A73" s="2284"/>
      <c r="B73" s="2324" t="s">
        <v>3627</v>
      </c>
      <c r="C73" s="2325"/>
      <c r="D73" s="2326"/>
      <c r="E73" s="2326"/>
      <c r="F73" s="2326"/>
      <c r="G73" s="2268"/>
      <c r="H73" s="2268"/>
      <c r="I73" s="2269"/>
      <c r="J73" s="2269"/>
      <c r="K73" s="2269"/>
      <c r="L73" s="2321"/>
      <c r="M73" s="2322"/>
      <c r="N73" s="2323"/>
      <c r="O73" s="2322"/>
      <c r="P73" s="2319"/>
      <c r="Q73" s="2269"/>
      <c r="R73" s="2269"/>
      <c r="S73" s="2269"/>
      <c r="T73" s="2269"/>
      <c r="U73" s="2269"/>
      <c r="V73" s="2269"/>
      <c r="W73" s="2269"/>
      <c r="X73" s="2269"/>
      <c r="Y73" s="2269"/>
      <c r="Z73" s="2269"/>
      <c r="AA73" s="2269"/>
    </row>
    <row r="74" spans="1:27" ht="13.5" customHeight="1" x14ac:dyDescent="0.3">
      <c r="A74" s="2284"/>
      <c r="B74" s="2324" t="s">
        <v>3628</v>
      </c>
      <c r="C74" s="2325"/>
      <c r="D74" s="2326"/>
      <c r="E74" s="2326"/>
      <c r="F74" s="2326"/>
      <c r="G74" s="2268"/>
      <c r="H74" s="2268"/>
      <c r="I74" s="2269"/>
      <c r="J74" s="2269"/>
      <c r="K74" s="2269"/>
      <c r="L74" s="2321" t="s">
        <v>3629</v>
      </c>
      <c r="M74" s="2327"/>
      <c r="N74" s="2323"/>
      <c r="O74" s="2322"/>
      <c r="P74" s="2319"/>
      <c r="Q74" s="2269"/>
      <c r="R74" s="2269"/>
      <c r="S74" s="2269"/>
      <c r="T74" s="2269"/>
      <c r="U74" s="2269"/>
      <c r="V74" s="2269"/>
      <c r="W74" s="2269"/>
      <c r="X74" s="2269"/>
      <c r="Y74" s="2269"/>
      <c r="Z74" s="2269"/>
      <c r="AA74" s="2269"/>
    </row>
    <row r="75" spans="1:27" ht="16.8" x14ac:dyDescent="0.3">
      <c r="A75" s="2284"/>
      <c r="B75" s="2324" t="s">
        <v>3630</v>
      </c>
      <c r="C75" s="2325"/>
      <c r="D75" s="2326"/>
      <c r="E75" s="2326"/>
      <c r="F75" s="2326"/>
      <c r="G75" s="2268"/>
      <c r="H75" s="2268"/>
      <c r="I75" s="2269"/>
      <c r="J75" s="2269"/>
      <c r="K75" s="2269"/>
      <c r="L75" s="2321" t="s">
        <v>3631</v>
      </c>
      <c r="M75" s="2322"/>
      <c r="N75" s="2322"/>
      <c r="O75" s="2322"/>
      <c r="P75" s="2319"/>
      <c r="Q75" s="2269"/>
      <c r="R75" s="2269"/>
      <c r="S75" s="2269"/>
      <c r="T75" s="2269"/>
      <c r="U75" s="2269"/>
      <c r="V75" s="2269"/>
      <c r="W75" s="2269"/>
      <c r="X75" s="2269"/>
      <c r="Y75" s="2269"/>
      <c r="Z75" s="2269"/>
      <c r="AA75" s="2269"/>
    </row>
    <row r="76" spans="1:27" ht="13.2" customHeight="1" x14ac:dyDescent="0.3">
      <c r="A76" s="2284"/>
      <c r="B76" s="2298"/>
      <c r="C76" s="2286"/>
      <c r="D76" s="2287"/>
      <c r="E76" s="2291"/>
      <c r="F76" s="2287"/>
      <c r="G76" s="2268"/>
      <c r="H76" s="2268"/>
      <c r="I76" s="2269"/>
      <c r="J76" s="2269"/>
      <c r="K76" s="2269"/>
      <c r="L76" s="2269"/>
      <c r="M76" s="2270"/>
      <c r="N76" s="2270"/>
      <c r="O76" s="2270"/>
      <c r="P76" s="2269"/>
      <c r="Q76" s="2269"/>
      <c r="R76" s="2269"/>
      <c r="S76" s="2269"/>
      <c r="T76" s="2269"/>
      <c r="U76" s="2269"/>
      <c r="V76" s="2269"/>
      <c r="W76" s="2269"/>
      <c r="X76" s="2269"/>
      <c r="Y76" s="2269"/>
      <c r="Z76" s="2269"/>
      <c r="AA76" s="2269"/>
    </row>
    <row r="77" spans="1:27" ht="13.2" customHeight="1" x14ac:dyDescent="0.3">
      <c r="A77" s="2284"/>
      <c r="B77" s="2298"/>
      <c r="C77" s="2286"/>
      <c r="D77" s="2287"/>
      <c r="E77" s="2287">
        <v>45000</v>
      </c>
      <c r="F77" s="2287">
        <v>15000</v>
      </c>
      <c r="G77" s="2268"/>
      <c r="H77" s="2268"/>
      <c r="I77" s="2269"/>
      <c r="J77" s="2269"/>
      <c r="K77" s="2269"/>
      <c r="L77" s="2269"/>
      <c r="M77" s="2270"/>
      <c r="N77" s="2270"/>
      <c r="O77" s="2270"/>
      <c r="P77" s="2269"/>
      <c r="Q77" s="2269"/>
      <c r="R77" s="2269"/>
      <c r="S77" s="2269"/>
      <c r="T77" s="2269"/>
      <c r="U77" s="2269"/>
      <c r="V77" s="2269"/>
      <c r="W77" s="2269"/>
      <c r="X77" s="2269"/>
      <c r="Y77" s="2269"/>
      <c r="Z77" s="2269"/>
      <c r="AA77" s="2269"/>
    </row>
    <row r="78" spans="1:27" ht="13.2" customHeight="1" x14ac:dyDescent="0.3">
      <c r="A78" s="2284"/>
      <c r="B78" s="2328" t="s">
        <v>3632</v>
      </c>
      <c r="C78" s="2286"/>
      <c r="D78" s="2287"/>
      <c r="E78" s="2287"/>
      <c r="F78" s="2287"/>
      <c r="G78" s="2268"/>
      <c r="H78" s="2268"/>
      <c r="I78" s="2269"/>
      <c r="J78" s="2269"/>
      <c r="K78" s="2269"/>
      <c r="L78" s="2269"/>
      <c r="M78" s="2270"/>
      <c r="N78" s="2270"/>
      <c r="O78" s="2270"/>
      <c r="P78" s="2269"/>
      <c r="Q78" s="2269"/>
      <c r="R78" s="2269"/>
      <c r="S78" s="2269"/>
      <c r="T78" s="2269"/>
      <c r="U78" s="2269"/>
      <c r="V78" s="2269"/>
      <c r="W78" s="2269"/>
      <c r="X78" s="2269"/>
      <c r="Y78" s="2269"/>
      <c r="Z78" s="2269"/>
      <c r="AA78" s="2269"/>
    </row>
    <row r="79" spans="1:27" ht="13.2" customHeight="1" x14ac:dyDescent="0.3">
      <c r="A79" s="2284"/>
      <c r="B79" s="2288" t="s">
        <v>3633</v>
      </c>
      <c r="C79" s="2290" t="s">
        <v>3634</v>
      </c>
      <c r="D79" s="2287"/>
      <c r="E79" s="2291">
        <v>4500</v>
      </c>
      <c r="F79" s="2287"/>
      <c r="G79" s="2268"/>
      <c r="H79" s="2268"/>
      <c r="I79" s="2269"/>
      <c r="J79" s="2269"/>
      <c r="K79" s="2269"/>
      <c r="L79" s="2269"/>
      <c r="M79" s="2270"/>
      <c r="N79" s="2270"/>
      <c r="O79" s="2270"/>
      <c r="P79" s="2269"/>
      <c r="Q79" s="2269"/>
      <c r="R79" s="2269"/>
      <c r="S79" s="2269"/>
      <c r="T79" s="2269"/>
      <c r="U79" s="2269"/>
      <c r="V79" s="2269"/>
      <c r="W79" s="2269"/>
      <c r="X79" s="2269"/>
      <c r="Y79" s="2269"/>
      <c r="Z79" s="2269"/>
      <c r="AA79" s="2269"/>
    </row>
    <row r="80" spans="1:27" ht="13.2" customHeight="1" x14ac:dyDescent="0.3">
      <c r="A80" s="2284"/>
      <c r="B80" s="2288" t="s">
        <v>3635</v>
      </c>
      <c r="C80" s="2290" t="s">
        <v>3634</v>
      </c>
      <c r="D80" s="2287"/>
      <c r="E80" s="2291"/>
      <c r="F80" s="2287"/>
      <c r="G80" s="2268"/>
      <c r="H80" s="2268"/>
      <c r="I80" s="2269"/>
      <c r="J80" s="2269"/>
      <c r="K80" s="2269"/>
      <c r="L80" s="2269"/>
      <c r="M80" s="2270"/>
      <c r="N80" s="2270"/>
      <c r="O80" s="2270"/>
      <c r="P80" s="2269"/>
      <c r="Q80" s="2269"/>
      <c r="R80" s="2269"/>
      <c r="S80" s="2269"/>
      <c r="T80" s="2269"/>
      <c r="U80" s="2269"/>
      <c r="V80" s="2269"/>
      <c r="W80" s="2269"/>
      <c r="X80" s="2269"/>
      <c r="Y80" s="2269"/>
      <c r="Z80" s="2269"/>
      <c r="AA80" s="2269"/>
    </row>
    <row r="81" spans="1:27" ht="13.2" customHeight="1" x14ac:dyDescent="0.3">
      <c r="A81" s="2284"/>
      <c r="B81" s="2288" t="s">
        <v>3636</v>
      </c>
      <c r="C81" s="2290" t="s">
        <v>3634</v>
      </c>
      <c r="D81" s="2287"/>
      <c r="E81" s="2291">
        <v>5500</v>
      </c>
      <c r="F81" s="2287"/>
      <c r="G81" s="2268"/>
      <c r="H81" s="2268"/>
      <c r="I81" s="2269"/>
      <c r="J81" s="2269"/>
      <c r="K81" s="2269"/>
      <c r="L81" s="2269"/>
      <c r="M81" s="2270"/>
      <c r="N81" s="2270"/>
      <c r="O81" s="2270"/>
      <c r="P81" s="2269"/>
      <c r="Q81" s="2269"/>
      <c r="R81" s="2269"/>
      <c r="S81" s="2269"/>
      <c r="T81" s="2269"/>
      <c r="U81" s="2269"/>
      <c r="V81" s="2269"/>
      <c r="W81" s="2269"/>
      <c r="X81" s="2269"/>
      <c r="Y81" s="2269"/>
      <c r="Z81" s="2269"/>
      <c r="AA81" s="2269"/>
    </row>
    <row r="82" spans="1:27" ht="13.2" customHeight="1" x14ac:dyDescent="0.3">
      <c r="A82" s="2284"/>
      <c r="B82" s="2288"/>
      <c r="C82" s="2290"/>
      <c r="D82" s="2287"/>
      <c r="E82" s="2291"/>
      <c r="F82" s="2287"/>
      <c r="G82" s="2268"/>
      <c r="H82" s="2268"/>
      <c r="I82" s="2269"/>
      <c r="J82" s="2269"/>
      <c r="K82" s="2269"/>
      <c r="L82" s="2269"/>
      <c r="M82" s="2270"/>
      <c r="N82" s="2270"/>
      <c r="O82" s="2270"/>
      <c r="P82" s="2269"/>
      <c r="Q82" s="2269"/>
      <c r="R82" s="2269"/>
      <c r="S82" s="2269"/>
      <c r="T82" s="2269"/>
      <c r="U82" s="2269"/>
      <c r="V82" s="2269"/>
      <c r="W82" s="2269"/>
      <c r="X82" s="2269"/>
      <c r="Y82" s="2269"/>
      <c r="Z82" s="2269"/>
      <c r="AA82" s="2269"/>
    </row>
    <row r="83" spans="1:27" ht="13.5" customHeight="1" x14ac:dyDescent="0.3">
      <c r="A83" s="2284"/>
      <c r="B83" s="2296" t="s">
        <v>3637</v>
      </c>
      <c r="C83" s="2290" t="s">
        <v>3638</v>
      </c>
      <c r="D83" s="2291"/>
      <c r="E83" s="2291">
        <v>100</v>
      </c>
      <c r="F83" s="2287"/>
      <c r="G83" s="2268"/>
      <c r="H83" s="2268"/>
      <c r="I83" s="2269"/>
      <c r="J83" s="2269"/>
      <c r="K83" s="2269"/>
      <c r="L83" s="2269"/>
      <c r="M83" s="2270"/>
      <c r="N83" s="2270"/>
      <c r="O83" s="2329"/>
      <c r="P83" s="2269"/>
      <c r="Q83" s="2269"/>
      <c r="R83" s="2269"/>
      <c r="S83" s="2269"/>
      <c r="T83" s="2269"/>
      <c r="U83" s="2269"/>
      <c r="V83" s="2269"/>
      <c r="W83" s="2269"/>
      <c r="X83" s="2269"/>
      <c r="Y83" s="2269"/>
      <c r="Z83" s="2269"/>
      <c r="AA83" s="2269"/>
    </row>
    <row r="84" spans="1:27" ht="13.5" customHeight="1" x14ac:dyDescent="0.3">
      <c r="A84" s="2284"/>
      <c r="B84" s="2296"/>
      <c r="C84" s="2290"/>
      <c r="D84" s="2291"/>
      <c r="E84" s="2291"/>
      <c r="F84" s="2287"/>
      <c r="G84" s="2268"/>
      <c r="H84" s="2268"/>
      <c r="I84" s="2269"/>
      <c r="J84" s="2269"/>
      <c r="K84" s="2269"/>
      <c r="L84" s="2269"/>
      <c r="M84" s="2270"/>
      <c r="N84" s="2270"/>
      <c r="O84" s="2329"/>
      <c r="P84" s="2269"/>
      <c r="Q84" s="2269"/>
      <c r="R84" s="2269"/>
      <c r="S84" s="2269"/>
      <c r="T84" s="2269"/>
      <c r="U84" s="2269"/>
      <c r="V84" s="2269"/>
      <c r="W84" s="2269"/>
      <c r="X84" s="2269"/>
      <c r="Y84" s="2269"/>
      <c r="Z84" s="2269"/>
      <c r="AA84" s="2269"/>
    </row>
    <row r="85" spans="1:27" ht="13.2" customHeight="1" x14ac:dyDescent="0.3">
      <c r="A85" s="2284"/>
      <c r="B85" s="2306" t="s">
        <v>3639</v>
      </c>
      <c r="C85" s="2286"/>
      <c r="D85" s="2287"/>
      <c r="E85" s="2287"/>
      <c r="F85" s="2287"/>
      <c r="G85" s="2268"/>
      <c r="H85" s="2268"/>
      <c r="I85" s="2269"/>
      <c r="J85" s="2269"/>
      <c r="K85" s="2269"/>
      <c r="L85" s="2269"/>
      <c r="M85" s="2270"/>
      <c r="N85" s="2270"/>
      <c r="O85" s="2270"/>
      <c r="P85" s="2269"/>
      <c r="Q85" s="2269"/>
      <c r="R85" s="2269"/>
      <c r="S85" s="2269"/>
      <c r="T85" s="2269"/>
      <c r="U85" s="2269"/>
      <c r="V85" s="2269"/>
      <c r="W85" s="2269"/>
      <c r="X85" s="2269"/>
      <c r="Y85" s="2269"/>
      <c r="Z85" s="2269"/>
      <c r="AA85" s="2269"/>
    </row>
    <row r="86" spans="1:27" ht="13.2" customHeight="1" x14ac:dyDescent="0.3">
      <c r="A86" s="2284"/>
      <c r="B86" s="2288" t="s">
        <v>3640</v>
      </c>
      <c r="C86" s="2290" t="s">
        <v>346</v>
      </c>
      <c r="D86" s="2287"/>
      <c r="E86" s="2291">
        <v>172</v>
      </c>
      <c r="F86" s="2287"/>
      <c r="G86" s="2268"/>
      <c r="H86" s="2268"/>
      <c r="I86" s="2269"/>
      <c r="J86" s="2269"/>
      <c r="K86" s="2269"/>
      <c r="L86" s="2269"/>
      <c r="M86" s="2270"/>
      <c r="N86" s="2270"/>
      <c r="O86" s="2270"/>
      <c r="P86" s="2269"/>
      <c r="Q86" s="2269"/>
      <c r="R86" s="2269"/>
      <c r="S86" s="2269"/>
      <c r="T86" s="2269"/>
      <c r="U86" s="2269"/>
      <c r="V86" s="2269"/>
      <c r="W86" s="2269"/>
      <c r="X86" s="2269"/>
      <c r="Y86" s="2269"/>
      <c r="Z86" s="2269"/>
      <c r="AA86" s="2269"/>
    </row>
    <row r="87" spans="1:27" ht="13.2" customHeight="1" x14ac:dyDescent="0.3">
      <c r="A87" s="2284"/>
      <c r="B87" s="2288" t="s">
        <v>3641</v>
      </c>
      <c r="C87" s="2290" t="s">
        <v>346</v>
      </c>
      <c r="D87" s="2287"/>
      <c r="E87" s="2291">
        <v>150</v>
      </c>
      <c r="F87" s="2287"/>
      <c r="G87" s="2268"/>
      <c r="H87" s="2268"/>
      <c r="I87" s="2269"/>
      <c r="J87" s="2269"/>
      <c r="K87" s="2269"/>
      <c r="L87" s="2269"/>
      <c r="M87" s="2270"/>
      <c r="N87" s="2270"/>
      <c r="O87" s="2270"/>
      <c r="P87" s="2269"/>
      <c r="Q87" s="2269"/>
      <c r="R87" s="2269"/>
      <c r="S87" s="2269"/>
      <c r="T87" s="2269"/>
      <c r="U87" s="2269"/>
      <c r="V87" s="2269"/>
      <c r="W87" s="2269"/>
      <c r="X87" s="2269"/>
      <c r="Y87" s="2269"/>
      <c r="Z87" s="2269"/>
      <c r="AA87" s="2269"/>
    </row>
    <row r="88" spans="1:27" ht="13.2" customHeight="1" x14ac:dyDescent="0.3">
      <c r="A88" s="2284"/>
      <c r="B88" s="2288" t="s">
        <v>3642</v>
      </c>
      <c r="C88" s="2290" t="s">
        <v>346</v>
      </c>
      <c r="D88" s="2287"/>
      <c r="E88" s="2291"/>
      <c r="F88" s="2287"/>
      <c r="G88" s="2268"/>
      <c r="H88" s="2268"/>
      <c r="I88" s="2269"/>
      <c r="J88" s="2269"/>
      <c r="K88" s="2269"/>
      <c r="L88" s="2269"/>
      <c r="M88" s="2270"/>
      <c r="N88" s="2270"/>
      <c r="O88" s="2270"/>
      <c r="P88" s="2269"/>
      <c r="Q88" s="2269"/>
      <c r="R88" s="2269"/>
      <c r="S88" s="2269"/>
      <c r="T88" s="2269"/>
      <c r="U88" s="2269"/>
      <c r="V88" s="2269"/>
      <c r="W88" s="2269"/>
      <c r="X88" s="2269"/>
      <c r="Y88" s="2269"/>
      <c r="Z88" s="2269"/>
      <c r="AA88" s="2269"/>
    </row>
    <row r="89" spans="1:27" ht="13.2" customHeight="1" x14ac:dyDescent="0.3">
      <c r="A89" s="2284"/>
      <c r="B89" s="2288" t="s">
        <v>3643</v>
      </c>
      <c r="C89" s="2290" t="s">
        <v>346</v>
      </c>
      <c r="D89" s="2287"/>
      <c r="E89" s="2291">
        <v>140</v>
      </c>
      <c r="F89" s="2287"/>
      <c r="G89" s="2268"/>
      <c r="H89" s="2268"/>
      <c r="I89" s="2269"/>
      <c r="J89" s="2269"/>
      <c r="K89" s="2269"/>
      <c r="L89" s="2269"/>
      <c r="M89" s="2270"/>
      <c r="N89" s="2270"/>
      <c r="O89" s="2270"/>
      <c r="P89" s="2269"/>
      <c r="Q89" s="2269"/>
      <c r="R89" s="2269"/>
      <c r="S89" s="2269"/>
      <c r="T89" s="2269"/>
      <c r="U89" s="2269"/>
      <c r="V89" s="2269"/>
      <c r="W89" s="2269"/>
      <c r="X89" s="2269"/>
      <c r="Y89" s="2269"/>
      <c r="Z89" s="2269"/>
      <c r="AA89" s="2269"/>
    </row>
    <row r="90" spans="1:27" ht="13.2" customHeight="1" x14ac:dyDescent="0.3">
      <c r="A90" s="2284"/>
      <c r="B90" s="2288" t="s">
        <v>3644</v>
      </c>
      <c r="C90" s="2290" t="s">
        <v>346</v>
      </c>
      <c r="D90" s="2287"/>
      <c r="E90" s="2291"/>
      <c r="F90" s="2287"/>
      <c r="G90" s="2268"/>
      <c r="H90" s="2268"/>
      <c r="I90" s="2269"/>
      <c r="J90" s="2269"/>
      <c r="K90" s="2269"/>
      <c r="L90" s="2269"/>
      <c r="M90" s="2270"/>
      <c r="N90" s="2270"/>
      <c r="O90" s="2270"/>
      <c r="P90" s="2269"/>
      <c r="Q90" s="2269"/>
      <c r="R90" s="2269"/>
      <c r="S90" s="2269"/>
      <c r="T90" s="2269"/>
      <c r="U90" s="2269"/>
      <c r="V90" s="2269"/>
      <c r="W90" s="2269"/>
      <c r="X90" s="2269"/>
      <c r="Y90" s="2269"/>
      <c r="Z90" s="2269"/>
      <c r="AA90" s="2269"/>
    </row>
    <row r="91" spans="1:27" ht="13.2" customHeight="1" x14ac:dyDescent="0.3">
      <c r="A91" s="2284"/>
      <c r="B91" s="2288" t="s">
        <v>3645</v>
      </c>
      <c r="C91" s="2290" t="s">
        <v>1476</v>
      </c>
      <c r="D91" s="2287"/>
      <c r="E91" s="2291"/>
      <c r="F91" s="2287"/>
      <c r="G91" s="2268"/>
      <c r="H91" s="2268"/>
      <c r="I91" s="2269"/>
      <c r="J91" s="2269"/>
      <c r="K91" s="2269"/>
      <c r="L91" s="2269"/>
      <c r="M91" s="2270"/>
      <c r="N91" s="2270"/>
      <c r="O91" s="2270"/>
      <c r="P91" s="2269"/>
      <c r="Q91" s="2269"/>
      <c r="R91" s="2269"/>
      <c r="S91" s="2269"/>
      <c r="T91" s="2269"/>
      <c r="U91" s="2269"/>
      <c r="V91" s="2269"/>
      <c r="W91" s="2269"/>
      <c r="X91" s="2269"/>
      <c r="Y91" s="2269"/>
      <c r="Z91" s="2269"/>
      <c r="AA91" s="2269"/>
    </row>
    <row r="92" spans="1:27" ht="13.2" customHeight="1" x14ac:dyDescent="0.3">
      <c r="A92" s="2284"/>
      <c r="B92" s="2288" t="s">
        <v>3646</v>
      </c>
      <c r="C92" s="2290" t="s">
        <v>1476</v>
      </c>
      <c r="D92" s="2287"/>
      <c r="E92" s="2291">
        <v>55</v>
      </c>
      <c r="F92" s="2287"/>
      <c r="G92" s="2268"/>
      <c r="H92" s="2268"/>
      <c r="I92" s="2269"/>
      <c r="J92" s="2269"/>
      <c r="K92" s="2269"/>
      <c r="L92" s="2269"/>
      <c r="M92" s="2270"/>
      <c r="N92" s="2270"/>
      <c r="O92" s="2270"/>
      <c r="P92" s="2269"/>
      <c r="Q92" s="2269"/>
      <c r="R92" s="2269"/>
      <c r="S92" s="2269"/>
      <c r="T92" s="2269"/>
      <c r="U92" s="2269"/>
      <c r="V92" s="2269"/>
      <c r="W92" s="2269"/>
      <c r="X92" s="2269"/>
      <c r="Y92" s="2269"/>
      <c r="Z92" s="2269"/>
      <c r="AA92" s="2269"/>
    </row>
    <row r="93" spans="1:27" ht="13.2" customHeight="1" x14ac:dyDescent="0.3">
      <c r="A93" s="2284"/>
      <c r="B93" s="2288" t="s">
        <v>3647</v>
      </c>
      <c r="C93" s="2290" t="s">
        <v>1476</v>
      </c>
      <c r="D93" s="2287"/>
      <c r="E93" s="2291">
        <v>85</v>
      </c>
      <c r="F93" s="2287"/>
      <c r="G93" s="2268"/>
      <c r="H93" s="2268"/>
      <c r="I93" s="2269"/>
      <c r="J93" s="2269"/>
      <c r="K93" s="2269"/>
      <c r="L93" s="2269"/>
      <c r="M93" s="2270"/>
      <c r="N93" s="2270"/>
      <c r="O93" s="2270"/>
      <c r="P93" s="2269"/>
      <c r="Q93" s="2269"/>
      <c r="R93" s="2269"/>
      <c r="S93" s="2269"/>
      <c r="T93" s="2269"/>
      <c r="U93" s="2269"/>
      <c r="V93" s="2269"/>
      <c r="W93" s="2269"/>
      <c r="X93" s="2269"/>
      <c r="Y93" s="2269"/>
      <c r="Z93" s="2269"/>
      <c r="AA93" s="2269"/>
    </row>
    <row r="94" spans="1:27" ht="13.2" customHeight="1" x14ac:dyDescent="0.3">
      <c r="A94" s="2284"/>
      <c r="B94" s="2288" t="s">
        <v>3648</v>
      </c>
      <c r="C94" s="2290" t="s">
        <v>1476</v>
      </c>
      <c r="D94" s="2287"/>
      <c r="E94" s="2291"/>
      <c r="F94" s="2287"/>
      <c r="G94" s="2268"/>
      <c r="H94" s="2268"/>
      <c r="I94" s="2269"/>
      <c r="J94" s="2269"/>
      <c r="K94" s="2269"/>
      <c r="L94" s="2269"/>
      <c r="M94" s="2270"/>
      <c r="N94" s="2270"/>
      <c r="O94" s="2270"/>
      <c r="P94" s="2269"/>
      <c r="Q94" s="2269"/>
      <c r="R94" s="2269"/>
      <c r="S94" s="2269"/>
      <c r="T94" s="2269"/>
      <c r="U94" s="2269"/>
      <c r="V94" s="2269"/>
      <c r="W94" s="2269"/>
      <c r="X94" s="2269"/>
      <c r="Y94" s="2269"/>
      <c r="Z94" s="2269"/>
      <c r="AA94" s="2269"/>
    </row>
    <row r="95" spans="1:27" ht="13.2" customHeight="1" x14ac:dyDescent="0.3">
      <c r="A95" s="2284"/>
      <c r="B95" s="2288" t="s">
        <v>3649</v>
      </c>
      <c r="C95" s="2290" t="s">
        <v>1476</v>
      </c>
      <c r="D95" s="2287"/>
      <c r="E95" s="2291">
        <v>50</v>
      </c>
      <c r="F95" s="2287"/>
      <c r="G95" s="2268"/>
      <c r="H95" s="2268"/>
      <c r="I95" s="2269"/>
      <c r="J95" s="2269"/>
      <c r="K95" s="2269"/>
      <c r="L95" s="2269"/>
      <c r="M95" s="2270"/>
      <c r="N95" s="2270"/>
      <c r="O95" s="2270"/>
      <c r="P95" s="2269"/>
      <c r="Q95" s="2269"/>
      <c r="R95" s="2269"/>
      <c r="S95" s="2269"/>
      <c r="T95" s="2269"/>
      <c r="U95" s="2269"/>
      <c r="V95" s="2269"/>
      <c r="W95" s="2269"/>
      <c r="X95" s="2269"/>
      <c r="Y95" s="2269"/>
      <c r="Z95" s="2269"/>
      <c r="AA95" s="2269"/>
    </row>
    <row r="96" spans="1:27" ht="13.2" customHeight="1" x14ac:dyDescent="0.3">
      <c r="A96" s="2284"/>
      <c r="B96" s="2288" t="s">
        <v>3650</v>
      </c>
      <c r="C96" s="2290" t="s">
        <v>1476</v>
      </c>
      <c r="D96" s="2287"/>
      <c r="E96" s="2291">
        <v>30</v>
      </c>
      <c r="F96" s="2287"/>
      <c r="G96" s="2268"/>
      <c r="H96" s="2268"/>
      <c r="I96" s="2269"/>
      <c r="J96" s="2269"/>
      <c r="K96" s="2269"/>
      <c r="L96" s="2269"/>
      <c r="M96" s="2270"/>
      <c r="N96" s="2270"/>
      <c r="O96" s="2270"/>
      <c r="P96" s="2269"/>
      <c r="Q96" s="2269"/>
      <c r="R96" s="2269"/>
      <c r="S96" s="2269"/>
      <c r="T96" s="2269"/>
      <c r="U96" s="2269"/>
      <c r="V96" s="2269"/>
      <c r="W96" s="2269"/>
      <c r="X96" s="2269"/>
      <c r="Y96" s="2269"/>
      <c r="Z96" s="2269"/>
      <c r="AA96" s="2269"/>
    </row>
    <row r="97" spans="1:27" ht="13.2" customHeight="1" x14ac:dyDescent="0.3">
      <c r="A97" s="2284"/>
      <c r="B97" s="2288" t="s">
        <v>3651</v>
      </c>
      <c r="C97" s="2290" t="s">
        <v>1476</v>
      </c>
      <c r="D97" s="2287"/>
      <c r="E97" s="2291">
        <v>50</v>
      </c>
      <c r="F97" s="2287"/>
      <c r="G97" s="2268"/>
      <c r="H97" s="2268"/>
      <c r="I97" s="2269"/>
      <c r="J97" s="2269"/>
      <c r="K97" s="2269"/>
      <c r="L97" s="2269"/>
      <c r="M97" s="2270"/>
      <c r="N97" s="2270"/>
      <c r="O97" s="2270"/>
      <c r="P97" s="2269"/>
      <c r="Q97" s="2269"/>
      <c r="R97" s="2269"/>
      <c r="S97" s="2269"/>
      <c r="T97" s="2269"/>
      <c r="U97" s="2269"/>
      <c r="V97" s="2269"/>
      <c r="W97" s="2269"/>
      <c r="X97" s="2269"/>
      <c r="Y97" s="2269"/>
      <c r="Z97" s="2269"/>
      <c r="AA97" s="2269"/>
    </row>
    <row r="98" spans="1:27" ht="13.2" customHeight="1" x14ac:dyDescent="0.3">
      <c r="A98" s="2284"/>
      <c r="B98" s="2288" t="s">
        <v>3652</v>
      </c>
      <c r="C98" s="2290" t="s">
        <v>1476</v>
      </c>
      <c r="D98" s="2287"/>
      <c r="E98" s="2291">
        <v>85</v>
      </c>
      <c r="F98" s="2287"/>
      <c r="G98" s="2268"/>
      <c r="H98" s="2268"/>
      <c r="I98" s="2269"/>
      <c r="J98" s="2269"/>
      <c r="K98" s="2269"/>
      <c r="L98" s="2269"/>
      <c r="M98" s="2270"/>
      <c r="N98" s="2270"/>
      <c r="O98" s="2270"/>
      <c r="P98" s="2269"/>
      <c r="Q98" s="2269"/>
      <c r="R98" s="2269"/>
      <c r="S98" s="2269"/>
      <c r="T98" s="2269"/>
      <c r="U98" s="2269"/>
      <c r="V98" s="2269"/>
      <c r="W98" s="2269"/>
      <c r="X98" s="2269"/>
      <c r="Y98" s="2269"/>
      <c r="Z98" s="2269"/>
      <c r="AA98" s="2269"/>
    </row>
    <row r="99" spans="1:27" ht="13.2" customHeight="1" x14ac:dyDescent="0.3">
      <c r="A99" s="2284"/>
      <c r="B99" s="2288" t="s">
        <v>3653</v>
      </c>
      <c r="C99" s="2290" t="s">
        <v>1476</v>
      </c>
      <c r="D99" s="2287"/>
      <c r="E99" s="2291">
        <v>85</v>
      </c>
      <c r="F99" s="2287"/>
      <c r="G99" s="2268"/>
      <c r="H99" s="2268"/>
      <c r="I99" s="2269"/>
      <c r="J99" s="2269"/>
      <c r="K99" s="2269"/>
      <c r="L99" s="2269"/>
      <c r="M99" s="2270"/>
      <c r="N99" s="2270"/>
      <c r="O99" s="2270"/>
      <c r="P99" s="2269"/>
      <c r="Q99" s="2269"/>
      <c r="R99" s="2269"/>
      <c r="S99" s="2269"/>
      <c r="T99" s="2269"/>
      <c r="U99" s="2269"/>
      <c r="V99" s="2269"/>
      <c r="W99" s="2269"/>
      <c r="X99" s="2269"/>
      <c r="Y99" s="2269"/>
      <c r="Z99" s="2269"/>
      <c r="AA99" s="2269"/>
    </row>
    <row r="100" spans="1:27" ht="13.2" customHeight="1" x14ac:dyDescent="0.3">
      <c r="A100" s="2284"/>
      <c r="B100" s="2288" t="s">
        <v>3654</v>
      </c>
      <c r="C100" s="2290" t="s">
        <v>1476</v>
      </c>
      <c r="D100" s="2287"/>
      <c r="E100" s="2291"/>
      <c r="F100" s="2287"/>
      <c r="G100" s="2268"/>
      <c r="H100" s="2268"/>
      <c r="I100" s="2269"/>
      <c r="J100" s="2269"/>
      <c r="K100" s="2269"/>
      <c r="L100" s="2269"/>
      <c r="M100" s="2270"/>
      <c r="N100" s="2270"/>
      <c r="O100" s="2270"/>
      <c r="P100" s="2269"/>
      <c r="Q100" s="2269"/>
      <c r="R100" s="2269"/>
      <c r="S100" s="2269"/>
      <c r="T100" s="2269"/>
      <c r="U100" s="2269"/>
      <c r="V100" s="2269"/>
      <c r="W100" s="2269"/>
      <c r="X100" s="2269"/>
      <c r="Y100" s="2269"/>
      <c r="Z100" s="2269"/>
      <c r="AA100" s="2269"/>
    </row>
    <row r="101" spans="1:27" ht="13.2" customHeight="1" x14ac:dyDescent="0.3">
      <c r="A101" s="2284"/>
      <c r="B101" s="2288" t="s">
        <v>3655</v>
      </c>
      <c r="C101" s="2290" t="s">
        <v>1476</v>
      </c>
      <c r="D101" s="2287"/>
      <c r="E101" s="2291"/>
      <c r="F101" s="2287"/>
      <c r="G101" s="2268"/>
      <c r="H101" s="2268"/>
      <c r="I101" s="2269"/>
      <c r="J101" s="2269"/>
      <c r="K101" s="2269"/>
      <c r="L101" s="2269"/>
      <c r="M101" s="2270"/>
      <c r="N101" s="2270"/>
      <c r="O101" s="2270"/>
      <c r="P101" s="2269"/>
      <c r="Q101" s="2269"/>
      <c r="R101" s="2269"/>
      <c r="S101" s="2269"/>
      <c r="T101" s="2269"/>
      <c r="U101" s="2269"/>
      <c r="V101" s="2269"/>
      <c r="W101" s="2269"/>
      <c r="X101" s="2269"/>
      <c r="Y101" s="2269"/>
      <c r="Z101" s="2269"/>
      <c r="AA101" s="2269"/>
    </row>
    <row r="102" spans="1:27" ht="13.2" customHeight="1" x14ac:dyDescent="0.3">
      <c r="A102" s="2284"/>
      <c r="B102" s="2288" t="s">
        <v>3656</v>
      </c>
      <c r="C102" s="2290" t="s">
        <v>3634</v>
      </c>
      <c r="D102" s="2287"/>
      <c r="E102" s="2291">
        <v>200</v>
      </c>
      <c r="F102" s="2287"/>
      <c r="G102" s="2268"/>
      <c r="H102" s="2268"/>
      <c r="I102" s="2269"/>
      <c r="J102" s="2269"/>
      <c r="K102" s="2269"/>
      <c r="L102" s="2269"/>
      <c r="M102" s="2270"/>
      <c r="N102" s="2270"/>
      <c r="O102" s="2270"/>
      <c r="P102" s="2269"/>
      <c r="Q102" s="2269"/>
      <c r="R102" s="2269"/>
      <c r="S102" s="2269"/>
      <c r="T102" s="2269"/>
      <c r="U102" s="2269"/>
      <c r="V102" s="2269"/>
      <c r="W102" s="2269"/>
      <c r="X102" s="2269"/>
      <c r="Y102" s="2269"/>
      <c r="Z102" s="2269"/>
      <c r="AA102" s="2269"/>
    </row>
    <row r="103" spans="1:27" ht="15.6" customHeight="1" x14ac:dyDescent="0.3">
      <c r="A103" s="2284"/>
      <c r="B103" s="2299"/>
      <c r="C103" s="2286"/>
      <c r="D103" s="2287"/>
      <c r="E103" s="2287"/>
      <c r="F103" s="2287"/>
      <c r="G103" s="2268"/>
      <c r="H103" s="2268"/>
      <c r="I103" s="2269"/>
      <c r="J103" s="2269"/>
      <c r="K103" s="2269"/>
      <c r="L103" s="2269"/>
      <c r="M103" s="2270"/>
      <c r="N103" s="2270"/>
      <c r="O103" s="2270"/>
      <c r="P103" s="2269"/>
      <c r="Q103" s="2269"/>
      <c r="R103" s="2269"/>
      <c r="S103" s="2269"/>
      <c r="T103" s="2269"/>
      <c r="U103" s="2269"/>
      <c r="V103" s="2269"/>
      <c r="W103" s="2269"/>
      <c r="X103" s="2269"/>
      <c r="Y103" s="2269"/>
      <c r="Z103" s="2269"/>
      <c r="AA103" s="2269"/>
    </row>
    <row r="104" spans="1:27" ht="13.5" customHeight="1" x14ac:dyDescent="0.3">
      <c r="A104" s="2284"/>
      <c r="B104" s="2318" t="s">
        <v>3657</v>
      </c>
      <c r="C104" s="2286"/>
      <c r="D104" s="2287"/>
      <c r="E104" s="2287"/>
      <c r="F104" s="2287"/>
      <c r="G104" s="2268"/>
      <c r="H104" s="2268"/>
      <c r="I104" s="2269"/>
      <c r="J104" s="2269"/>
      <c r="K104" s="2269"/>
      <c r="L104" s="2269"/>
      <c r="M104" s="2270"/>
      <c r="N104" s="2270"/>
      <c r="O104" s="2270"/>
      <c r="P104" s="2269"/>
      <c r="Q104" s="2269"/>
      <c r="R104" s="2269"/>
      <c r="S104" s="2269"/>
      <c r="T104" s="2269"/>
      <c r="U104" s="2269"/>
      <c r="V104" s="2269"/>
      <c r="W104" s="2269"/>
      <c r="X104" s="2269"/>
      <c r="Y104" s="2269"/>
      <c r="Z104" s="2269"/>
      <c r="AA104" s="2269"/>
    </row>
    <row r="105" spans="1:27" ht="13.5" customHeight="1" x14ac:dyDescent="0.3">
      <c r="A105" s="2284"/>
      <c r="B105" s="2299"/>
      <c r="C105" s="2290"/>
      <c r="D105" s="2291"/>
      <c r="E105" s="2291"/>
      <c r="F105" s="2287"/>
      <c r="G105" s="2268"/>
      <c r="H105" s="2268"/>
      <c r="I105" s="2269"/>
      <c r="J105" s="2269"/>
      <c r="K105" s="2269"/>
      <c r="L105" s="2269"/>
      <c r="M105" s="2270"/>
      <c r="N105" s="2270"/>
      <c r="O105" s="2270"/>
      <c r="P105" s="2269"/>
      <c r="Q105" s="2269"/>
      <c r="R105" s="2269"/>
      <c r="S105" s="2269"/>
      <c r="T105" s="2269"/>
      <c r="U105" s="2269"/>
      <c r="V105" s="2269"/>
      <c r="W105" s="2269"/>
      <c r="X105" s="2269"/>
      <c r="Y105" s="2269"/>
      <c r="Z105" s="2269"/>
      <c r="AA105" s="2269"/>
    </row>
    <row r="106" spans="1:27" ht="13.5" customHeight="1" x14ac:dyDescent="0.3">
      <c r="A106" s="2284"/>
      <c r="B106" s="2299" t="s">
        <v>3658</v>
      </c>
      <c r="C106" s="2290" t="s">
        <v>3634</v>
      </c>
      <c r="D106" s="2291"/>
      <c r="E106" s="2291"/>
      <c r="F106" s="2287"/>
      <c r="G106" s="2268"/>
      <c r="H106" s="2268"/>
      <c r="I106" s="2269"/>
      <c r="J106" s="2269"/>
      <c r="K106" s="2269"/>
      <c r="L106" s="2269"/>
      <c r="M106" s="2270"/>
      <c r="N106" s="2270"/>
      <c r="O106" s="2270"/>
      <c r="P106" s="2269"/>
      <c r="Q106" s="2269"/>
      <c r="R106" s="2269"/>
      <c r="S106" s="2269"/>
      <c r="T106" s="2269"/>
      <c r="U106" s="2269"/>
      <c r="V106" s="2269"/>
      <c r="W106" s="2269"/>
      <c r="X106" s="2269"/>
      <c r="Y106" s="2269"/>
      <c r="Z106" s="2269"/>
      <c r="AA106" s="2269"/>
    </row>
    <row r="107" spans="1:27" s="2295" customFormat="1" ht="13.5" customHeight="1" x14ac:dyDescent="0.3">
      <c r="A107" s="2330"/>
      <c r="B107" s="2331" t="s">
        <v>3659</v>
      </c>
      <c r="C107" s="2325" t="s">
        <v>3634</v>
      </c>
      <c r="D107" s="2326"/>
      <c r="E107" s="2316">
        <v>18</v>
      </c>
      <c r="F107" s="2326" t="s">
        <v>3660</v>
      </c>
      <c r="G107" s="2292"/>
      <c r="H107" s="2292"/>
      <c r="I107" s="2293"/>
      <c r="J107" s="2293"/>
      <c r="K107" s="2293">
        <v>13</v>
      </c>
      <c r="L107" s="2269"/>
      <c r="M107" s="2270"/>
      <c r="N107" s="2270"/>
      <c r="O107" s="2270"/>
      <c r="P107" s="2269"/>
      <c r="Q107" s="2293"/>
      <c r="R107" s="2293"/>
      <c r="S107" s="2293"/>
      <c r="T107" s="2293"/>
      <c r="U107" s="2293"/>
      <c r="V107" s="2293"/>
      <c r="W107" s="2293"/>
      <c r="X107" s="2293"/>
      <c r="Y107" s="2293"/>
      <c r="Z107" s="2293"/>
      <c r="AA107" s="2293"/>
    </row>
    <row r="108" spans="1:27" s="2295" customFormat="1" ht="13.5" customHeight="1" x14ac:dyDescent="0.3">
      <c r="A108" s="2330"/>
      <c r="B108" s="2331" t="s">
        <v>3661</v>
      </c>
      <c r="C108" s="2325" t="s">
        <v>3634</v>
      </c>
      <c r="D108" s="2326"/>
      <c r="E108" s="2316">
        <v>30</v>
      </c>
      <c r="F108" s="2326"/>
      <c r="G108" s="2292"/>
      <c r="H108" s="2292"/>
      <c r="I108" s="2293"/>
      <c r="J108" s="2293"/>
      <c r="K108" s="2293">
        <v>30</v>
      </c>
      <c r="L108" s="2293"/>
      <c r="M108" s="2294"/>
      <c r="N108" s="2294"/>
      <c r="O108" s="2294"/>
      <c r="P108" s="2293"/>
      <c r="Q108" s="2293"/>
      <c r="R108" s="2293"/>
      <c r="S108" s="2293"/>
      <c r="T108" s="2293"/>
      <c r="U108" s="2293"/>
      <c r="V108" s="2293"/>
      <c r="W108" s="2293"/>
      <c r="X108" s="2293"/>
      <c r="Y108" s="2293"/>
      <c r="Z108" s="2293"/>
      <c r="AA108" s="2293"/>
    </row>
    <row r="109" spans="1:27" ht="13.5" customHeight="1" x14ac:dyDescent="0.3">
      <c r="A109" s="2284"/>
      <c r="B109" s="2332"/>
      <c r="C109" s="2286"/>
      <c r="D109" s="2287"/>
      <c r="E109" s="2287"/>
      <c r="F109" s="2287"/>
      <c r="G109" s="2268">
        <f t="shared" ref="G109:G113" si="3">E109-D109</f>
        <v>0</v>
      </c>
      <c r="H109" s="2268"/>
      <c r="I109" s="2269"/>
      <c r="J109" s="2269"/>
      <c r="L109" s="2293"/>
      <c r="M109" s="2294"/>
      <c r="N109" s="2294"/>
      <c r="O109" s="2294"/>
      <c r="P109" s="2293"/>
      <c r="Q109" s="2269"/>
      <c r="R109" s="2269"/>
      <c r="S109" s="2269"/>
      <c r="T109" s="2269" t="s">
        <v>3662</v>
      </c>
      <c r="U109" s="2269"/>
      <c r="V109" s="2269"/>
      <c r="W109" s="2269"/>
      <c r="X109" s="2269"/>
      <c r="Y109" s="2269"/>
      <c r="Z109" s="2269"/>
      <c r="AA109" s="2269"/>
    </row>
    <row r="110" spans="1:27" ht="13.5" customHeight="1" x14ac:dyDescent="0.3">
      <c r="A110" s="2284"/>
      <c r="B110" s="2328" t="s">
        <v>3663</v>
      </c>
      <c r="C110" s="2286"/>
      <c r="D110" s="2287"/>
      <c r="E110" s="2287"/>
      <c r="F110" s="2287"/>
      <c r="G110" s="2268">
        <f t="shared" si="3"/>
        <v>0</v>
      </c>
      <c r="H110" s="2268"/>
      <c r="I110" s="2269"/>
      <c r="J110" s="2269"/>
      <c r="K110" s="2269"/>
      <c r="L110" s="2320" t="s">
        <v>3664</v>
      </c>
      <c r="M110" s="2320"/>
      <c r="N110" s="2320" t="s">
        <v>3665</v>
      </c>
      <c r="O110" s="2320" t="s">
        <v>3666</v>
      </c>
      <c r="P110" s="2320" t="s">
        <v>3667</v>
      </c>
      <c r="Q110" s="2269"/>
      <c r="R110" s="2269"/>
      <c r="S110" s="2269"/>
      <c r="T110" s="2269"/>
      <c r="U110" s="2269"/>
      <c r="V110" s="2269"/>
      <c r="W110" s="2269"/>
      <c r="X110" s="2269"/>
      <c r="Y110" s="2269"/>
      <c r="Z110" s="2269"/>
      <c r="AA110" s="2269"/>
    </row>
    <row r="111" spans="1:27" ht="13.5" customHeight="1" x14ac:dyDescent="0.3">
      <c r="A111" s="2267"/>
      <c r="B111" s="2333" t="s">
        <v>3668</v>
      </c>
      <c r="C111" s="2273" t="s">
        <v>78</v>
      </c>
      <c r="D111" s="2287"/>
      <c r="E111" s="2287"/>
      <c r="F111" s="2287"/>
      <c r="G111" s="2268">
        <f t="shared" si="3"/>
        <v>0</v>
      </c>
      <c r="H111" s="2268"/>
      <c r="I111" s="2269"/>
      <c r="J111" s="2269"/>
      <c r="K111" s="2269"/>
      <c r="L111" s="2334" t="s">
        <v>3668</v>
      </c>
      <c r="M111" s="2335"/>
      <c r="N111" s="2336">
        <v>156</v>
      </c>
      <c r="O111" s="2335"/>
      <c r="P111" s="2337"/>
      <c r="Q111" s="2269"/>
      <c r="R111" s="2269"/>
      <c r="S111" s="2269"/>
      <c r="T111" s="2269"/>
      <c r="U111" s="2269"/>
      <c r="V111" s="2269"/>
      <c r="W111" s="2269"/>
      <c r="X111" s="2269"/>
      <c r="Y111" s="2269"/>
      <c r="Z111" s="2269"/>
      <c r="AA111" s="2269"/>
    </row>
    <row r="112" spans="1:27" ht="13.5" customHeight="1" x14ac:dyDescent="0.3">
      <c r="A112" s="2267"/>
      <c r="B112" s="2333" t="s">
        <v>3669</v>
      </c>
      <c r="C112" s="2273" t="s">
        <v>78</v>
      </c>
      <c r="D112" s="2287"/>
      <c r="E112" s="2287"/>
      <c r="F112" s="2287"/>
      <c r="G112" s="2268">
        <f t="shared" si="3"/>
        <v>0</v>
      </c>
      <c r="H112" s="2268"/>
      <c r="I112" s="2269"/>
      <c r="J112" s="2269"/>
      <c r="K112" s="2269"/>
      <c r="L112" s="2338" t="s">
        <v>3669</v>
      </c>
      <c r="M112" s="2339"/>
      <c r="N112" s="2340">
        <v>240</v>
      </c>
      <c r="O112" s="2339"/>
      <c r="P112" s="2341"/>
      <c r="Q112" s="2269"/>
      <c r="R112" s="2269"/>
      <c r="S112" s="2269"/>
      <c r="T112" s="2269"/>
      <c r="U112" s="2269"/>
      <c r="V112" s="2269"/>
      <c r="W112" s="2269"/>
      <c r="X112" s="2269"/>
      <c r="Y112" s="2269"/>
      <c r="Z112" s="2269"/>
      <c r="AA112" s="2269"/>
    </row>
    <row r="113" spans="1:27" ht="13.5" customHeight="1" x14ac:dyDescent="0.3">
      <c r="A113" s="2267"/>
      <c r="B113" s="2333" t="s">
        <v>3669</v>
      </c>
      <c r="C113" s="2273" t="s">
        <v>78</v>
      </c>
      <c r="D113" s="2287"/>
      <c r="E113" s="2287"/>
      <c r="F113" s="2287"/>
      <c r="G113" s="2268">
        <f t="shared" si="3"/>
        <v>0</v>
      </c>
      <c r="H113" s="2268"/>
      <c r="I113" s="2269"/>
      <c r="J113" s="2269"/>
      <c r="K113" s="2269"/>
      <c r="L113" s="2338" t="s">
        <v>3669</v>
      </c>
      <c r="M113" s="2339"/>
      <c r="N113" s="2340">
        <v>305</v>
      </c>
      <c r="O113" s="2339"/>
      <c r="P113" s="2341"/>
      <c r="Q113" s="2269"/>
      <c r="R113" s="2269"/>
      <c r="S113" s="2269"/>
      <c r="T113" s="2269"/>
      <c r="U113" s="2269"/>
      <c r="V113" s="2269"/>
      <c r="W113" s="2269"/>
      <c r="X113" s="2269"/>
      <c r="Y113" s="2269"/>
      <c r="Z113" s="2269"/>
      <c r="AA113" s="2269"/>
    </row>
    <row r="114" spans="1:27" ht="13.5" customHeight="1" x14ac:dyDescent="0.3">
      <c r="A114" s="2267"/>
      <c r="B114" s="2333"/>
      <c r="C114" s="2273"/>
      <c r="D114" s="2287"/>
      <c r="E114" s="2287"/>
      <c r="F114" s="2287"/>
      <c r="G114" s="2268"/>
      <c r="H114" s="2268"/>
      <c r="I114" s="2269"/>
      <c r="J114" s="2269"/>
      <c r="K114" s="2269"/>
      <c r="L114" s="2338" t="s">
        <v>3670</v>
      </c>
      <c r="M114" s="2339"/>
      <c r="N114" s="2339"/>
      <c r="O114" s="2339"/>
      <c r="P114" s="2341"/>
      <c r="Q114" s="2269"/>
      <c r="R114" s="2269"/>
      <c r="S114" s="2269"/>
      <c r="T114" s="2269"/>
      <c r="U114" s="2269"/>
      <c r="V114" s="2269"/>
      <c r="W114" s="2269"/>
      <c r="X114" s="2269"/>
      <c r="Y114" s="2269"/>
      <c r="Z114" s="2269"/>
      <c r="AA114" s="2269"/>
    </row>
    <row r="115" spans="1:27" ht="13.5" customHeight="1" x14ac:dyDescent="0.3">
      <c r="A115" s="2267"/>
      <c r="B115" s="2333" t="s">
        <v>3670</v>
      </c>
      <c r="C115" s="2273" t="s">
        <v>78</v>
      </c>
      <c r="D115" s="2287"/>
      <c r="E115" s="2287"/>
      <c r="F115" s="2287"/>
      <c r="G115" s="2268"/>
      <c r="H115" s="2268"/>
      <c r="I115" s="2269"/>
      <c r="J115" s="2269"/>
      <c r="K115" s="2269"/>
      <c r="L115" s="2338"/>
      <c r="M115" s="2339"/>
      <c r="N115" s="2339"/>
      <c r="O115" s="2339"/>
      <c r="P115" s="2341"/>
      <c r="Q115" s="2269"/>
      <c r="R115" s="2269"/>
      <c r="S115" s="2269"/>
      <c r="T115" s="2269"/>
      <c r="U115" s="2269"/>
      <c r="V115" s="2269"/>
      <c r="W115" s="2269"/>
      <c r="X115" s="2269"/>
      <c r="Y115" s="2269"/>
      <c r="Z115" s="2269"/>
      <c r="AA115" s="2269"/>
    </row>
    <row r="116" spans="1:27" ht="13.5" customHeight="1" x14ac:dyDescent="0.3">
      <c r="A116" s="2267"/>
      <c r="B116" s="2333" t="s">
        <v>3670</v>
      </c>
      <c r="C116" s="2273" t="s">
        <v>78</v>
      </c>
      <c r="D116" s="2287"/>
      <c r="E116" s="2287"/>
      <c r="F116" s="2287"/>
      <c r="G116" s="2268">
        <f t="shared" ref="G116:G117" si="4">E116-D116</f>
        <v>0</v>
      </c>
      <c r="H116" s="2268"/>
      <c r="I116" s="2269"/>
      <c r="J116" s="2269"/>
      <c r="K116" s="2269"/>
      <c r="L116" s="2338" t="s">
        <v>3670</v>
      </c>
      <c r="M116" s="2339"/>
      <c r="N116" s="2339"/>
      <c r="O116" s="2339"/>
      <c r="P116" s="2341"/>
      <c r="Q116" s="2269"/>
      <c r="R116" s="2269"/>
      <c r="S116" s="2269"/>
      <c r="T116" s="2269"/>
      <c r="U116" s="2269"/>
      <c r="V116" s="2269"/>
      <c r="W116" s="2269"/>
      <c r="X116" s="2269"/>
      <c r="Y116" s="2269"/>
      <c r="Z116" s="2269"/>
      <c r="AA116" s="2269"/>
    </row>
    <row r="117" spans="1:27" ht="13.5" customHeight="1" x14ac:dyDescent="0.3">
      <c r="A117" s="2267"/>
      <c r="B117" s="2333" t="s">
        <v>3670</v>
      </c>
      <c r="C117" s="2273" t="s">
        <v>78</v>
      </c>
      <c r="D117" s="2287"/>
      <c r="E117" s="2287"/>
      <c r="F117" s="2287"/>
      <c r="G117" s="2268">
        <f t="shared" si="4"/>
        <v>0</v>
      </c>
      <c r="H117" s="2268"/>
      <c r="I117" s="2269"/>
      <c r="J117" s="2269"/>
      <c r="K117" s="2269"/>
      <c r="L117" s="2338" t="s">
        <v>3670</v>
      </c>
      <c r="M117" s="2339"/>
      <c r="N117" s="2339"/>
      <c r="O117" s="2339"/>
      <c r="P117" s="2341"/>
      <c r="Q117" s="2269"/>
      <c r="R117" s="2269"/>
      <c r="S117" s="2269"/>
      <c r="T117" s="2269"/>
      <c r="U117" s="2269"/>
      <c r="V117" s="2269"/>
      <c r="W117" s="2269"/>
      <c r="X117" s="2269"/>
      <c r="Y117" s="2269"/>
      <c r="Z117" s="2269"/>
      <c r="AA117" s="2269"/>
    </row>
    <row r="118" spans="1:27" ht="13.5" customHeight="1" x14ac:dyDescent="0.3">
      <c r="A118" s="2284"/>
      <c r="B118" s="2332"/>
      <c r="C118" s="2286"/>
      <c r="D118" s="2287"/>
      <c r="E118" s="2287"/>
      <c r="F118" s="2287"/>
      <c r="G118" s="2268"/>
      <c r="H118" s="2268"/>
      <c r="I118" s="2269"/>
      <c r="J118" s="2269"/>
      <c r="K118" s="2269"/>
      <c r="L118" s="2269"/>
      <c r="M118" s="2270"/>
      <c r="N118" s="2270"/>
      <c r="O118" s="2270"/>
      <c r="P118" s="2269"/>
      <c r="Q118" s="2269"/>
      <c r="R118" s="2269"/>
      <c r="S118" s="2269"/>
      <c r="T118" s="2269"/>
      <c r="U118" s="2269"/>
      <c r="V118" s="2269"/>
      <c r="W118" s="2269"/>
      <c r="X118" s="2269"/>
      <c r="Y118" s="2269"/>
      <c r="Z118" s="2269"/>
      <c r="AA118" s="2269"/>
    </row>
    <row r="119" spans="1:27" ht="13.5" customHeight="1" x14ac:dyDescent="0.3">
      <c r="A119" s="2284"/>
      <c r="B119" s="2328" t="s">
        <v>3671</v>
      </c>
      <c r="C119" s="2286"/>
      <c r="D119" s="2287"/>
      <c r="E119" s="2287"/>
      <c r="F119" s="2287"/>
      <c r="G119" s="2268"/>
      <c r="H119" s="2268"/>
      <c r="I119" s="2269"/>
      <c r="J119" s="2269"/>
      <c r="K119" s="2269"/>
      <c r="L119" s="2269"/>
      <c r="M119" s="2270"/>
      <c r="N119" s="2270"/>
      <c r="O119" s="2270"/>
      <c r="P119" s="2269"/>
      <c r="Q119" s="2269"/>
      <c r="R119" s="2269"/>
      <c r="S119" s="2269"/>
      <c r="T119" s="2269"/>
      <c r="U119" s="2269"/>
      <c r="V119" s="2269"/>
      <c r="W119" s="2269"/>
      <c r="X119" s="2269"/>
      <c r="Y119" s="2269"/>
      <c r="Z119" s="2269"/>
      <c r="AA119" s="2269"/>
    </row>
    <row r="120" spans="1:27" ht="13.5" customHeight="1" x14ac:dyDescent="0.3">
      <c r="A120" s="2284"/>
      <c r="B120" s="2296" t="s">
        <v>3672</v>
      </c>
      <c r="C120" s="2290" t="s">
        <v>3634</v>
      </c>
      <c r="D120" s="2287"/>
      <c r="E120" s="2291"/>
      <c r="F120" s="2287"/>
      <c r="G120" s="2268"/>
      <c r="H120" s="2268"/>
      <c r="I120" s="2269"/>
      <c r="J120" s="2269"/>
      <c r="K120" s="2269"/>
      <c r="L120" s="2269"/>
      <c r="M120" s="2270"/>
      <c r="N120" s="2270"/>
      <c r="O120" s="2270"/>
      <c r="P120" s="2269"/>
      <c r="Q120" s="2269"/>
      <c r="R120" s="2269"/>
      <c r="S120" s="2269"/>
      <c r="T120" s="2269"/>
      <c r="U120" s="2269"/>
      <c r="V120" s="2269"/>
      <c r="W120" s="2269"/>
      <c r="X120" s="2269"/>
      <c r="Y120" s="2269"/>
      <c r="Z120" s="2269"/>
      <c r="AA120" s="2269"/>
    </row>
    <row r="121" spans="1:27" ht="13.5" customHeight="1" x14ac:dyDescent="0.3">
      <c r="A121" s="2284"/>
      <c r="B121" s="2296" t="s">
        <v>3673</v>
      </c>
      <c r="C121" s="2290" t="s">
        <v>3634</v>
      </c>
      <c r="D121" s="2287"/>
      <c r="E121" s="2291"/>
      <c r="F121" s="2287"/>
      <c r="G121" s="2268"/>
      <c r="H121" s="2268"/>
      <c r="I121" s="2269"/>
      <c r="J121" s="2269"/>
      <c r="K121" s="2269"/>
      <c r="L121" s="2269"/>
      <c r="M121" s="2270"/>
      <c r="N121" s="2270"/>
      <c r="O121" s="2270"/>
      <c r="P121" s="2269"/>
      <c r="Q121" s="2269"/>
      <c r="R121" s="2269"/>
      <c r="S121" s="2269"/>
      <c r="T121" s="2269"/>
      <c r="U121" s="2269"/>
      <c r="V121" s="2269"/>
      <c r="W121" s="2269"/>
      <c r="X121" s="2269"/>
      <c r="Y121" s="2269"/>
      <c r="Z121" s="2269"/>
      <c r="AA121" s="2269"/>
    </row>
    <row r="122" spans="1:27" ht="13.5" customHeight="1" x14ac:dyDescent="0.3">
      <c r="A122" s="2284"/>
      <c r="B122" s="2296" t="s">
        <v>3674</v>
      </c>
      <c r="C122" s="2290" t="s">
        <v>3634</v>
      </c>
      <c r="D122" s="2287"/>
      <c r="E122" s="2291"/>
      <c r="F122" s="2287"/>
      <c r="G122" s="2268"/>
      <c r="H122" s="2268"/>
      <c r="I122" s="2269"/>
      <c r="J122" s="2269"/>
      <c r="K122" s="2269"/>
      <c r="L122" s="2269"/>
      <c r="M122" s="2270"/>
      <c r="N122" s="2270"/>
      <c r="O122" s="2270"/>
      <c r="P122" s="2269"/>
      <c r="Q122" s="2269"/>
      <c r="R122" s="2269"/>
      <c r="S122" s="2269"/>
      <c r="T122" s="2269"/>
      <c r="U122" s="2269"/>
      <c r="V122" s="2269"/>
      <c r="W122" s="2269"/>
      <c r="X122" s="2269"/>
      <c r="Y122" s="2269"/>
      <c r="Z122" s="2269"/>
      <c r="AA122" s="2269"/>
    </row>
    <row r="123" spans="1:27" ht="13.5" customHeight="1" x14ac:dyDescent="0.3">
      <c r="A123" s="2284"/>
      <c r="B123" s="2296" t="s">
        <v>3675</v>
      </c>
      <c r="C123" s="2290" t="s">
        <v>3634</v>
      </c>
      <c r="D123" s="2287"/>
      <c r="E123" s="2291"/>
      <c r="F123" s="2287"/>
      <c r="G123" s="2268"/>
      <c r="H123" s="2268"/>
      <c r="I123" s="2269"/>
      <c r="J123" s="2269"/>
      <c r="K123" s="2269"/>
      <c r="L123" s="2269"/>
      <c r="M123" s="2270"/>
      <c r="N123" s="2270"/>
      <c r="O123" s="2270"/>
      <c r="P123" s="2269"/>
      <c r="Q123" s="2269"/>
      <c r="R123" s="2269"/>
      <c r="S123" s="2269"/>
      <c r="T123" s="2269"/>
      <c r="U123" s="2269"/>
      <c r="V123" s="2269"/>
      <c r="W123" s="2269"/>
      <c r="X123" s="2269"/>
      <c r="Y123" s="2269"/>
      <c r="Z123" s="2269"/>
      <c r="AA123" s="2269"/>
    </row>
    <row r="124" spans="1:27" ht="13.5" customHeight="1" x14ac:dyDescent="0.3">
      <c r="A124" s="2284"/>
      <c r="B124" s="2296" t="s">
        <v>3676</v>
      </c>
      <c r="C124" s="2290" t="s">
        <v>3634</v>
      </c>
      <c r="D124" s="2287"/>
      <c r="E124" s="2291"/>
      <c r="F124" s="2287"/>
      <c r="G124" s="2268"/>
      <c r="H124" s="2268"/>
      <c r="I124" s="2269"/>
      <c r="J124" s="2269"/>
      <c r="K124" s="2269"/>
      <c r="L124" s="2269"/>
      <c r="M124" s="2270"/>
      <c r="N124" s="2270"/>
      <c r="O124" s="2270"/>
      <c r="P124" s="2269"/>
      <c r="Q124" s="2269"/>
      <c r="R124" s="2269"/>
      <c r="S124" s="2269"/>
      <c r="T124" s="2269"/>
      <c r="U124" s="2269"/>
      <c r="V124" s="2269"/>
      <c r="W124" s="2269"/>
      <c r="X124" s="2269"/>
      <c r="Y124" s="2269"/>
      <c r="Z124" s="2269"/>
      <c r="AA124" s="2269"/>
    </row>
    <row r="125" spans="1:27" ht="13.5" customHeight="1" x14ac:dyDescent="0.3">
      <c r="A125" s="2284"/>
      <c r="B125" s="2296" t="s">
        <v>3677</v>
      </c>
      <c r="C125" s="2290" t="s">
        <v>3634</v>
      </c>
      <c r="D125" s="2287"/>
      <c r="E125" s="2291"/>
      <c r="F125" s="2287"/>
      <c r="G125" s="2268"/>
      <c r="H125" s="2268"/>
      <c r="I125" s="2269"/>
      <c r="J125" s="2269"/>
      <c r="K125" s="2269"/>
      <c r="L125" s="2269"/>
      <c r="M125" s="2270"/>
      <c r="N125" s="2270"/>
      <c r="O125" s="2270"/>
      <c r="P125" s="2269"/>
      <c r="Q125" s="2269"/>
      <c r="R125" s="2269"/>
      <c r="S125" s="2269"/>
      <c r="T125" s="2269"/>
      <c r="U125" s="2269"/>
      <c r="V125" s="2269"/>
      <c r="W125" s="2269"/>
      <c r="X125" s="2269"/>
      <c r="Y125" s="2269"/>
      <c r="Z125" s="2269"/>
      <c r="AA125" s="2269"/>
    </row>
    <row r="126" spans="1:27" ht="13.5" customHeight="1" x14ac:dyDescent="0.3">
      <c r="A126" s="2284"/>
      <c r="B126" s="2296" t="s">
        <v>3678</v>
      </c>
      <c r="C126" s="2290" t="s">
        <v>3634</v>
      </c>
      <c r="D126" s="2287"/>
      <c r="E126" s="2291"/>
      <c r="F126" s="2287"/>
      <c r="G126" s="2268"/>
      <c r="H126" s="2268"/>
      <c r="I126" s="2269"/>
      <c r="J126" s="2269"/>
      <c r="K126" s="2269"/>
      <c r="L126" s="2269"/>
      <c r="M126" s="2270"/>
      <c r="N126" s="2270"/>
      <c r="O126" s="2270"/>
      <c r="P126" s="2269"/>
      <c r="Q126" s="2269"/>
      <c r="R126" s="2269"/>
      <c r="S126" s="2269"/>
      <c r="T126" s="2269"/>
      <c r="U126" s="2269"/>
      <c r="V126" s="2269"/>
      <c r="W126" s="2269"/>
      <c r="X126" s="2269"/>
      <c r="Y126" s="2269"/>
      <c r="Z126" s="2269"/>
      <c r="AA126" s="2269"/>
    </row>
    <row r="127" spans="1:27" ht="13.5" customHeight="1" x14ac:dyDescent="0.3">
      <c r="A127" s="2284"/>
      <c r="B127" s="2296" t="s">
        <v>3679</v>
      </c>
      <c r="C127" s="2290" t="s">
        <v>3634</v>
      </c>
      <c r="D127" s="2287"/>
      <c r="E127" s="2291"/>
      <c r="F127" s="2287"/>
      <c r="G127" s="2268"/>
      <c r="H127" s="2268"/>
      <c r="I127" s="2269"/>
      <c r="J127" s="2269"/>
      <c r="K127" s="2269"/>
      <c r="L127" s="2269"/>
      <c r="M127" s="2270"/>
      <c r="N127" s="2270"/>
      <c r="O127" s="2270"/>
      <c r="P127" s="2269"/>
      <c r="Q127" s="2269"/>
      <c r="R127" s="2269"/>
      <c r="S127" s="2269"/>
      <c r="T127" s="2269"/>
      <c r="U127" s="2269"/>
      <c r="V127" s="2269"/>
      <c r="W127" s="2269"/>
      <c r="X127" s="2269"/>
      <c r="Y127" s="2269"/>
      <c r="Z127" s="2269"/>
      <c r="AA127" s="2269"/>
    </row>
    <row r="128" spans="1:27" ht="13.5" customHeight="1" x14ac:dyDescent="0.3">
      <c r="A128" s="2284"/>
      <c r="B128" s="2296" t="s">
        <v>3680</v>
      </c>
      <c r="C128" s="2290" t="s">
        <v>3634</v>
      </c>
      <c r="D128" s="2287"/>
      <c r="E128" s="2291">
        <v>2000</v>
      </c>
      <c r="F128" s="2287"/>
      <c r="G128" s="2268"/>
      <c r="H128" s="2268"/>
      <c r="I128" s="2269"/>
      <c r="J128" s="2269"/>
      <c r="K128" s="2269"/>
      <c r="L128" s="2269"/>
      <c r="M128" s="2270"/>
      <c r="N128" s="2270"/>
      <c r="O128" s="2270"/>
      <c r="P128" s="2269"/>
      <c r="Q128" s="2269"/>
      <c r="R128" s="2269"/>
      <c r="S128" s="2269"/>
      <c r="T128" s="2269"/>
      <c r="U128" s="2269"/>
      <c r="V128" s="2269"/>
      <c r="W128" s="2269"/>
      <c r="X128" s="2269"/>
      <c r="Y128" s="2269"/>
      <c r="Z128" s="2269"/>
      <c r="AA128" s="2269"/>
    </row>
    <row r="129" spans="1:27" ht="13.5" customHeight="1" x14ac:dyDescent="0.3">
      <c r="A129" s="2284"/>
      <c r="B129" s="2296" t="s">
        <v>3681</v>
      </c>
      <c r="C129" s="2290" t="s">
        <v>3634</v>
      </c>
      <c r="D129" s="2287"/>
      <c r="E129" s="2291"/>
      <c r="F129" s="2287"/>
      <c r="G129" s="2268"/>
      <c r="H129" s="2268"/>
      <c r="I129" s="2269"/>
      <c r="J129" s="2269"/>
      <c r="K129" s="2269"/>
      <c r="L129" s="2269"/>
      <c r="M129" s="2270"/>
      <c r="N129" s="2270"/>
      <c r="O129" s="2270"/>
      <c r="P129" s="2269"/>
      <c r="Q129" s="2269"/>
      <c r="R129" s="2269"/>
      <c r="S129" s="2269"/>
      <c r="T129" s="2269"/>
      <c r="U129" s="2269"/>
      <c r="V129" s="2269"/>
      <c r="W129" s="2269"/>
      <c r="X129" s="2269"/>
      <c r="Y129" s="2269"/>
      <c r="Z129" s="2269"/>
      <c r="AA129" s="2269"/>
    </row>
    <row r="130" spans="1:27" ht="13.5" customHeight="1" x14ac:dyDescent="0.3">
      <c r="A130" s="2284"/>
      <c r="B130" s="2296" t="s">
        <v>3682</v>
      </c>
      <c r="C130" s="2290" t="s">
        <v>3634</v>
      </c>
      <c r="D130" s="2287"/>
      <c r="E130" s="2291"/>
      <c r="F130" s="2287"/>
      <c r="G130" s="2268"/>
      <c r="H130" s="2268"/>
      <c r="I130" s="2269"/>
      <c r="J130" s="2269"/>
      <c r="K130" s="2269"/>
      <c r="L130" s="2269"/>
      <c r="M130" s="2270"/>
      <c r="N130" s="2270"/>
      <c r="O130" s="2270"/>
      <c r="P130" s="2269"/>
      <c r="Q130" s="2269"/>
      <c r="R130" s="2269"/>
      <c r="S130" s="2269"/>
      <c r="T130" s="2269"/>
      <c r="U130" s="2269"/>
      <c r="V130" s="2269"/>
      <c r="W130" s="2269"/>
      <c r="X130" s="2269"/>
      <c r="Y130" s="2269"/>
      <c r="Z130" s="2269"/>
      <c r="AA130" s="2269"/>
    </row>
    <row r="131" spans="1:27" ht="13.5" customHeight="1" x14ac:dyDescent="0.3">
      <c r="A131" s="2284"/>
      <c r="B131" s="2296" t="s">
        <v>3683</v>
      </c>
      <c r="C131" s="2290" t="s">
        <v>3634</v>
      </c>
      <c r="D131" s="2287"/>
      <c r="E131" s="2291">
        <v>375</v>
      </c>
      <c r="F131" s="2287"/>
      <c r="G131" s="2268"/>
      <c r="H131" s="2268"/>
      <c r="I131" s="2269"/>
      <c r="J131" s="2269"/>
      <c r="K131" s="2269"/>
      <c r="L131" s="2269"/>
      <c r="M131" s="2270"/>
      <c r="N131" s="2270"/>
      <c r="O131" s="2270"/>
      <c r="P131" s="2269"/>
      <c r="Q131" s="2269"/>
      <c r="R131" s="2269"/>
      <c r="S131" s="2269"/>
      <c r="T131" s="2269"/>
      <c r="U131" s="2269"/>
      <c r="V131" s="2269"/>
      <c r="W131" s="2269"/>
      <c r="X131" s="2269"/>
      <c r="Y131" s="2269"/>
      <c r="Z131" s="2269"/>
      <c r="AA131" s="2269"/>
    </row>
    <row r="132" spans="1:27" ht="13.5" customHeight="1" x14ac:dyDescent="0.3">
      <c r="A132" s="2284"/>
      <c r="B132" s="2296" t="s">
        <v>3684</v>
      </c>
      <c r="C132" s="2290" t="s">
        <v>3634</v>
      </c>
      <c r="D132" s="2287"/>
      <c r="E132" s="2291">
        <v>500</v>
      </c>
      <c r="F132" s="2287"/>
      <c r="G132" s="2268"/>
      <c r="H132" s="2268"/>
      <c r="I132" s="2269"/>
      <c r="J132" s="2269"/>
      <c r="K132" s="2269"/>
      <c r="L132" s="2269"/>
      <c r="M132" s="2270"/>
      <c r="N132" s="2270"/>
      <c r="O132" s="2270"/>
      <c r="P132" s="2269"/>
      <c r="Q132" s="2269"/>
      <c r="R132" s="2269"/>
      <c r="S132" s="2269"/>
      <c r="T132" s="2269"/>
      <c r="U132" s="2269"/>
      <c r="V132" s="2269"/>
      <c r="W132" s="2269"/>
      <c r="X132" s="2269"/>
      <c r="Y132" s="2269"/>
      <c r="Z132" s="2269"/>
      <c r="AA132" s="2269"/>
    </row>
    <row r="133" spans="1:27" ht="13.5" customHeight="1" x14ac:dyDescent="0.3">
      <c r="A133" s="2284"/>
      <c r="B133" s="2296" t="s">
        <v>3685</v>
      </c>
      <c r="C133" s="2290" t="s">
        <v>3634</v>
      </c>
      <c r="D133" s="2287"/>
      <c r="E133" s="2291">
        <v>750</v>
      </c>
      <c r="F133" s="2287"/>
      <c r="G133" s="2268"/>
      <c r="H133" s="2268"/>
      <c r="I133" s="2269"/>
      <c r="J133" s="2269"/>
      <c r="K133" s="2269"/>
      <c r="L133" s="2269"/>
      <c r="M133" s="2270"/>
      <c r="N133" s="2270"/>
      <c r="O133" s="2270"/>
      <c r="P133" s="2269"/>
      <c r="Q133" s="2269"/>
      <c r="R133" s="2269"/>
      <c r="S133" s="2269"/>
      <c r="T133" s="2269"/>
      <c r="U133" s="2269"/>
      <c r="V133" s="2269"/>
      <c r="W133" s="2269"/>
      <c r="X133" s="2269"/>
      <c r="Y133" s="2269"/>
      <c r="Z133" s="2269"/>
      <c r="AA133" s="2269"/>
    </row>
    <row r="134" spans="1:27" ht="13.5" customHeight="1" x14ac:dyDescent="0.3">
      <c r="A134" s="2284"/>
      <c r="B134" s="2296" t="s">
        <v>3686</v>
      </c>
      <c r="C134" s="2290" t="s">
        <v>3634</v>
      </c>
      <c r="D134" s="2287"/>
      <c r="E134" s="2291">
        <v>1800</v>
      </c>
      <c r="F134" s="2287"/>
      <c r="G134" s="2268"/>
      <c r="H134" s="2268"/>
      <c r="I134" s="2269"/>
      <c r="J134" s="2269"/>
      <c r="K134" s="2269"/>
      <c r="L134" s="2269"/>
      <c r="M134" s="2270"/>
      <c r="N134" s="2270"/>
      <c r="O134" s="2270"/>
      <c r="P134" s="2269"/>
      <c r="Q134" s="2269"/>
      <c r="R134" s="2269"/>
      <c r="S134" s="2269"/>
      <c r="T134" s="2269"/>
      <c r="U134" s="2269"/>
      <c r="V134" s="2269"/>
      <c r="W134" s="2269"/>
      <c r="X134" s="2269"/>
      <c r="Y134" s="2269"/>
      <c r="Z134" s="2269"/>
      <c r="AA134" s="2269"/>
    </row>
    <row r="135" spans="1:27" s="2295" customFormat="1" ht="13.5" customHeight="1" x14ac:dyDescent="0.3">
      <c r="A135" s="2342"/>
      <c r="B135" s="2343" t="s">
        <v>3687</v>
      </c>
      <c r="C135" s="2315"/>
      <c r="D135" s="2316"/>
      <c r="E135" s="2316">
        <v>600</v>
      </c>
      <c r="F135" s="2316"/>
      <c r="G135" s="2292"/>
      <c r="H135" s="2292"/>
      <c r="I135" s="2293"/>
      <c r="J135" s="2293"/>
      <c r="K135" s="2293"/>
      <c r="L135" s="2269"/>
      <c r="M135" s="2270"/>
      <c r="N135" s="2270"/>
      <c r="O135" s="2270"/>
      <c r="P135" s="2269"/>
      <c r="Q135" s="2293"/>
      <c r="R135" s="2293"/>
      <c r="S135" s="2293"/>
      <c r="T135" s="2293"/>
      <c r="U135" s="2293"/>
      <c r="V135" s="2293"/>
      <c r="W135" s="2293"/>
      <c r="X135" s="2293"/>
      <c r="Y135" s="2293"/>
      <c r="Z135" s="2293"/>
      <c r="AA135" s="2293"/>
    </row>
    <row r="136" spans="1:27" s="2295" customFormat="1" ht="13.5" customHeight="1" x14ac:dyDescent="0.3">
      <c r="A136" s="2342"/>
      <c r="B136" s="2343" t="s">
        <v>3688</v>
      </c>
      <c r="C136" s="2315"/>
      <c r="D136" s="2316"/>
      <c r="E136" s="2316">
        <v>700</v>
      </c>
      <c r="F136" s="2316"/>
      <c r="G136" s="2292"/>
      <c r="H136" s="2292"/>
      <c r="I136" s="2293"/>
      <c r="J136" s="2293"/>
      <c r="K136" s="2293"/>
      <c r="L136" s="2293"/>
      <c r="M136" s="2294"/>
      <c r="N136" s="2294"/>
      <c r="O136" s="2294"/>
      <c r="P136" s="2293"/>
      <c r="Q136" s="2293"/>
      <c r="R136" s="2293"/>
      <c r="S136" s="2293"/>
      <c r="T136" s="2293"/>
      <c r="U136" s="2293"/>
      <c r="V136" s="2293"/>
      <c r="W136" s="2293"/>
      <c r="X136" s="2293"/>
      <c r="Y136" s="2293"/>
      <c r="Z136" s="2293"/>
      <c r="AA136" s="2293"/>
    </row>
    <row r="137" spans="1:27" s="2295" customFormat="1" ht="13.5" customHeight="1" x14ac:dyDescent="0.3">
      <c r="A137" s="2342"/>
      <c r="B137" s="2136" t="s">
        <v>3689</v>
      </c>
      <c r="C137" s="2315" t="s">
        <v>3385</v>
      </c>
      <c r="D137" s="2316"/>
      <c r="E137" s="2316">
        <v>1800</v>
      </c>
      <c r="F137" s="2316"/>
      <c r="G137" s="2292">
        <f t="shared" ref="G137:G154" si="5">E137-D137</f>
        <v>1800</v>
      </c>
      <c r="H137" s="2292"/>
      <c r="I137" s="2293"/>
      <c r="J137" s="2293"/>
      <c r="K137" s="2293"/>
      <c r="L137" s="2293"/>
      <c r="M137" s="2294"/>
      <c r="N137" s="2294"/>
      <c r="O137" s="2294"/>
      <c r="P137" s="2293"/>
      <c r="Q137" s="2293"/>
      <c r="R137" s="2293"/>
      <c r="S137" s="2293"/>
      <c r="T137" s="2293"/>
      <c r="U137" s="2293"/>
      <c r="V137" s="2293"/>
      <c r="W137" s="2293"/>
      <c r="X137" s="2293"/>
      <c r="Y137" s="2293"/>
      <c r="Z137" s="2293"/>
      <c r="AA137" s="2293"/>
    </row>
    <row r="138" spans="1:27" s="2295" customFormat="1" ht="13.5" customHeight="1" x14ac:dyDescent="0.3">
      <c r="A138" s="2342"/>
      <c r="B138" s="2136" t="s">
        <v>3690</v>
      </c>
      <c r="C138" s="2315" t="s">
        <v>3385</v>
      </c>
      <c r="D138" s="2316"/>
      <c r="E138" s="2316">
        <v>280</v>
      </c>
      <c r="F138" s="2316"/>
      <c r="G138" s="2292">
        <f t="shared" si="5"/>
        <v>280</v>
      </c>
      <c r="H138" s="2292"/>
      <c r="I138" s="2293"/>
      <c r="J138" s="2293"/>
      <c r="K138" s="2293"/>
      <c r="L138" s="2293"/>
      <c r="M138" s="2294"/>
      <c r="N138" s="2294"/>
      <c r="O138" s="2294"/>
      <c r="P138" s="2293"/>
      <c r="Q138" s="2293"/>
      <c r="R138" s="2293"/>
      <c r="S138" s="2293"/>
      <c r="T138" s="2293"/>
      <c r="U138" s="2293"/>
      <c r="V138" s="2293"/>
      <c r="W138" s="2293"/>
      <c r="X138" s="2293"/>
      <c r="Y138" s="2293"/>
      <c r="Z138" s="2293"/>
      <c r="AA138" s="2293"/>
    </row>
    <row r="139" spans="1:27" s="2295" customFormat="1" ht="13.5" customHeight="1" x14ac:dyDescent="0.3">
      <c r="A139" s="2342"/>
      <c r="B139" s="2344" t="s">
        <v>3489</v>
      </c>
      <c r="C139" s="2315"/>
      <c r="D139" s="2316"/>
      <c r="E139" s="2316">
        <v>1</v>
      </c>
      <c r="F139" s="2316"/>
      <c r="G139" s="2292">
        <f t="shared" si="5"/>
        <v>1</v>
      </c>
      <c r="H139" s="2292"/>
      <c r="I139" s="2293"/>
      <c r="J139" s="2293"/>
      <c r="K139" s="2293"/>
      <c r="L139" s="2293"/>
      <c r="M139" s="2294"/>
      <c r="N139" s="2294"/>
      <c r="O139" s="2345">
        <f>2300*270</f>
        <v>621000</v>
      </c>
      <c r="P139" s="2293"/>
      <c r="Q139" s="2293"/>
      <c r="R139" s="2293"/>
      <c r="S139" s="2293"/>
      <c r="T139" s="2293"/>
      <c r="U139" s="2293"/>
      <c r="V139" s="2293"/>
      <c r="W139" s="2293"/>
      <c r="X139" s="2293"/>
      <c r="Y139" s="2293"/>
      <c r="Z139" s="2293"/>
      <c r="AA139" s="2293"/>
    </row>
    <row r="140" spans="1:27" ht="13.5" customHeight="1" x14ac:dyDescent="0.3">
      <c r="A140" s="2284"/>
      <c r="B140" s="2346"/>
      <c r="C140" s="2286"/>
      <c r="D140" s="2287"/>
      <c r="E140" s="2287"/>
      <c r="F140" s="2287"/>
      <c r="G140" s="2268"/>
      <c r="H140" s="2268"/>
      <c r="I140" s="2269"/>
      <c r="J140" s="2269"/>
      <c r="K140" s="2269"/>
      <c r="L140" s="2293"/>
      <c r="M140" s="2294"/>
      <c r="N140" s="2294"/>
      <c r="O140" s="2345">
        <f>+O139/1000</f>
        <v>621</v>
      </c>
      <c r="P140" s="2293"/>
      <c r="Q140" s="2269"/>
      <c r="R140" s="2269"/>
      <c r="S140" s="2269"/>
      <c r="T140" s="2269"/>
      <c r="U140" s="2269"/>
      <c r="V140" s="2269"/>
      <c r="W140" s="2269"/>
      <c r="X140" s="2269"/>
      <c r="Y140" s="2269"/>
      <c r="Z140" s="2269"/>
      <c r="AA140" s="2269"/>
    </row>
    <row r="141" spans="1:27" ht="13.5" customHeight="1" x14ac:dyDescent="0.3">
      <c r="A141" s="2284"/>
      <c r="B141" s="2328" t="s">
        <v>3691</v>
      </c>
      <c r="C141" s="2286"/>
      <c r="D141" s="2287"/>
      <c r="E141" s="2287"/>
      <c r="F141" s="2287"/>
      <c r="G141" s="2268">
        <f t="shared" si="5"/>
        <v>0</v>
      </c>
      <c r="H141" s="2268">
        <v>1980</v>
      </c>
      <c r="I141" s="2269"/>
      <c r="J141" s="2269"/>
      <c r="K141" s="2145">
        <f>E141*20</f>
        <v>0</v>
      </c>
      <c r="L141" s="2269"/>
      <c r="M141" s="2270"/>
      <c r="N141" s="2270"/>
      <c r="O141" s="2329"/>
      <c r="P141" s="2269"/>
      <c r="Q141" s="2269"/>
      <c r="R141" s="2269"/>
      <c r="S141" s="2269"/>
      <c r="T141" s="2269"/>
      <c r="U141" s="2269"/>
      <c r="V141" s="2269"/>
      <c r="W141" s="2269"/>
      <c r="X141" s="2269"/>
      <c r="Y141" s="2269"/>
      <c r="Z141" s="2269"/>
      <c r="AA141" s="2269"/>
    </row>
    <row r="142" spans="1:27" s="2303" customFormat="1" ht="13.5" customHeight="1" x14ac:dyDescent="0.3">
      <c r="A142" s="2288"/>
      <c r="B142" s="2296" t="s">
        <v>3692</v>
      </c>
      <c r="C142" s="2290" t="s">
        <v>3638</v>
      </c>
      <c r="D142" s="2291"/>
      <c r="E142" s="2291">
        <v>3080</v>
      </c>
      <c r="F142" s="2291"/>
      <c r="G142" s="2308">
        <f t="shared" si="5"/>
        <v>3080</v>
      </c>
      <c r="H142" s="2308">
        <v>2895</v>
      </c>
      <c r="I142" s="2309"/>
      <c r="J142" s="2309"/>
      <c r="K142" s="2161">
        <f t="shared" ref="K142:K143" si="6">E142*20</f>
        <v>61600</v>
      </c>
      <c r="L142" s="2269"/>
      <c r="M142" s="2270"/>
      <c r="N142" s="2270"/>
      <c r="O142" s="2329">
        <f>+O140*50</f>
        <v>31050</v>
      </c>
      <c r="P142" s="2269"/>
      <c r="Q142" s="2309"/>
      <c r="R142" s="2309"/>
      <c r="S142" s="2309"/>
      <c r="T142" s="2309"/>
      <c r="U142" s="2309"/>
      <c r="V142" s="2309"/>
      <c r="W142" s="2309"/>
      <c r="X142" s="2309"/>
      <c r="Y142" s="2309"/>
      <c r="Z142" s="2309"/>
      <c r="AA142" s="2309"/>
    </row>
    <row r="143" spans="1:27" s="2303" customFormat="1" ht="13.5" customHeight="1" x14ac:dyDescent="0.3">
      <c r="A143" s="2288"/>
      <c r="B143" s="2296" t="s">
        <v>3693</v>
      </c>
      <c r="C143" s="2290" t="s">
        <v>3638</v>
      </c>
      <c r="D143" s="2291"/>
      <c r="E143" s="2291">
        <v>1690</v>
      </c>
      <c r="F143" s="2291"/>
      <c r="G143" s="2308">
        <f t="shared" si="5"/>
        <v>1690</v>
      </c>
      <c r="H143" s="2308">
        <v>5140</v>
      </c>
      <c r="I143" s="2309"/>
      <c r="J143" s="2309"/>
      <c r="K143" s="2161">
        <f t="shared" si="6"/>
        <v>33800</v>
      </c>
      <c r="L143" s="2309"/>
      <c r="M143" s="2310"/>
      <c r="N143" s="2310"/>
      <c r="O143" s="2347"/>
      <c r="P143" s="2309"/>
      <c r="Q143" s="2309"/>
      <c r="R143" s="2309"/>
      <c r="S143" s="2309"/>
      <c r="T143" s="2309"/>
      <c r="U143" s="2309"/>
      <c r="V143" s="2309"/>
      <c r="W143" s="2309"/>
      <c r="X143" s="2309"/>
      <c r="Y143" s="2309"/>
      <c r="Z143" s="2309"/>
      <c r="AA143" s="2309"/>
    </row>
    <row r="144" spans="1:27" s="2295" customFormat="1" ht="13.5" customHeight="1" x14ac:dyDescent="0.3">
      <c r="A144" s="2342"/>
      <c r="B144" s="2343" t="s">
        <v>3694</v>
      </c>
      <c r="C144" s="2315" t="s">
        <v>3638</v>
      </c>
      <c r="D144" s="2316"/>
      <c r="E144" s="2316">
        <v>2890</v>
      </c>
      <c r="F144" s="2316"/>
      <c r="G144" s="2292">
        <f t="shared" si="5"/>
        <v>2890</v>
      </c>
      <c r="H144" s="2292"/>
      <c r="I144" s="2293"/>
      <c r="J144" s="2293"/>
      <c r="K144" s="2293"/>
      <c r="L144" s="2309"/>
      <c r="M144" s="2310"/>
      <c r="N144" s="2310"/>
      <c r="O144" s="2310">
        <v>34000</v>
      </c>
      <c r="P144" s="2309"/>
      <c r="Q144" s="2293"/>
      <c r="R144" s="2293"/>
      <c r="S144" s="2293"/>
      <c r="T144" s="2293"/>
      <c r="U144" s="2293"/>
      <c r="V144" s="2293"/>
      <c r="W144" s="2293"/>
      <c r="X144" s="2293"/>
      <c r="Y144" s="2293"/>
      <c r="Z144" s="2293"/>
      <c r="AA144" s="2293"/>
    </row>
    <row r="145" spans="1:27" s="2303" customFormat="1" ht="13.5" customHeight="1" x14ac:dyDescent="0.3">
      <c r="A145" s="2288"/>
      <c r="B145" s="2296" t="s">
        <v>3695</v>
      </c>
      <c r="C145" s="2290" t="s">
        <v>3638</v>
      </c>
      <c r="D145" s="2291"/>
      <c r="E145" s="2291">
        <v>1555</v>
      </c>
      <c r="F145" s="2291"/>
      <c r="G145" s="2308">
        <f t="shared" si="5"/>
        <v>1555</v>
      </c>
      <c r="H145" s="2308"/>
      <c r="I145" s="2309"/>
      <c r="J145" s="2309"/>
      <c r="K145" s="2309"/>
      <c r="L145" s="2293"/>
      <c r="M145" s="2294"/>
      <c r="N145" s="2294"/>
      <c r="O145" s="2294">
        <v>35000</v>
      </c>
      <c r="P145" s="2293"/>
      <c r="Q145" s="2309"/>
      <c r="R145" s="2309"/>
      <c r="S145" s="2309"/>
      <c r="T145" s="2309"/>
      <c r="U145" s="2309"/>
      <c r="V145" s="2309"/>
      <c r="W145" s="2309"/>
      <c r="X145" s="2309"/>
      <c r="Y145" s="2309"/>
      <c r="Z145" s="2309"/>
      <c r="AA145" s="2309"/>
    </row>
    <row r="146" spans="1:27" s="2303" customFormat="1" ht="13.5" customHeight="1" x14ac:dyDescent="0.3">
      <c r="A146" s="2288"/>
      <c r="B146" s="2296"/>
      <c r="C146" s="2290"/>
      <c r="D146" s="2291"/>
      <c r="E146" s="2291"/>
      <c r="F146" s="2291"/>
      <c r="G146" s="2308"/>
      <c r="H146" s="2308"/>
      <c r="I146" s="2309"/>
      <c r="J146" s="2309"/>
      <c r="K146" s="2309"/>
      <c r="L146" s="2309"/>
      <c r="M146" s="2310"/>
      <c r="N146" s="2310"/>
      <c r="O146" s="2310"/>
      <c r="P146" s="2309"/>
      <c r="Q146" s="2309"/>
      <c r="R146" s="2309"/>
      <c r="S146" s="2309"/>
      <c r="T146" s="2309"/>
      <c r="U146" s="2309"/>
      <c r="V146" s="2309"/>
      <c r="W146" s="2309"/>
      <c r="X146" s="2309"/>
      <c r="Y146" s="2309"/>
      <c r="Z146" s="2309"/>
      <c r="AA146" s="2309"/>
    </row>
    <row r="147" spans="1:27" s="2295" customFormat="1" ht="13.5" customHeight="1" x14ac:dyDescent="0.3">
      <c r="A147" s="2342"/>
      <c r="B147" s="2348" t="s">
        <v>3501</v>
      </c>
      <c r="C147" s="2315" t="s">
        <v>134</v>
      </c>
      <c r="D147" s="2316"/>
      <c r="E147" s="2119">
        <v>52.5</v>
      </c>
      <c r="F147" s="2316"/>
      <c r="G147" s="2292"/>
      <c r="H147" s="2292"/>
      <c r="I147" s="2293"/>
      <c r="J147" s="2293"/>
      <c r="K147" s="2293">
        <f>1050/20</f>
        <v>52.5</v>
      </c>
      <c r="L147" s="2309"/>
      <c r="M147" s="2310"/>
      <c r="N147" s="2310"/>
      <c r="O147" s="2310"/>
      <c r="P147" s="2309"/>
      <c r="Q147" s="2293"/>
      <c r="R147" s="2293"/>
      <c r="S147" s="2293"/>
      <c r="T147" s="2293"/>
      <c r="U147" s="2293"/>
      <c r="V147" s="2293"/>
      <c r="W147" s="2293"/>
      <c r="X147" s="2293"/>
      <c r="Y147" s="2293"/>
      <c r="Z147" s="2293"/>
      <c r="AA147" s="2293"/>
    </row>
    <row r="148" spans="1:27" s="2303" customFormat="1" ht="13.5" customHeight="1" x14ac:dyDescent="0.3">
      <c r="A148" s="2288"/>
      <c r="B148" s="2296"/>
      <c r="C148" s="2290"/>
      <c r="D148" s="2291"/>
      <c r="E148" s="2291"/>
      <c r="F148" s="2291"/>
      <c r="G148" s="2308"/>
      <c r="H148" s="2308"/>
      <c r="I148" s="2309"/>
      <c r="J148" s="2309"/>
      <c r="K148" s="2309"/>
      <c r="L148" s="2293"/>
      <c r="M148" s="2294"/>
      <c r="N148" s="2294"/>
      <c r="O148" s="2345"/>
      <c r="P148" s="2293"/>
      <c r="Q148" s="2309"/>
      <c r="R148" s="2309"/>
      <c r="S148" s="2309"/>
      <c r="T148" s="2309"/>
      <c r="U148" s="2309"/>
      <c r="V148" s="2309"/>
      <c r="W148" s="2309"/>
      <c r="X148" s="2309"/>
      <c r="Y148" s="2309"/>
      <c r="Z148" s="2309"/>
      <c r="AA148" s="2309"/>
    </row>
    <row r="149" spans="1:27" s="2295" customFormat="1" ht="13.5" customHeight="1" x14ac:dyDescent="0.3">
      <c r="A149" s="2342"/>
      <c r="B149" s="2136" t="s">
        <v>3502</v>
      </c>
      <c r="C149" s="2119" t="s">
        <v>3476</v>
      </c>
      <c r="D149" s="2316"/>
      <c r="E149" s="2316">
        <f>10170/20</f>
        <v>508.5</v>
      </c>
      <c r="F149" s="2316"/>
      <c r="G149" s="2292">
        <f>E149-D149</f>
        <v>508.5</v>
      </c>
      <c r="H149" s="2292">
        <v>2400</v>
      </c>
      <c r="I149" s="2293"/>
      <c r="J149" s="2293"/>
      <c r="K149" s="2293" t="s">
        <v>3696</v>
      </c>
      <c r="L149" s="2309" t="s">
        <v>3697</v>
      </c>
      <c r="M149" s="2310"/>
      <c r="N149" s="2310"/>
      <c r="O149" s="2310"/>
      <c r="P149" s="2309"/>
      <c r="Q149" s="2293"/>
      <c r="R149" s="2293"/>
      <c r="S149" s="2293"/>
      <c r="T149" s="2293"/>
      <c r="U149" s="2293"/>
      <c r="V149" s="2293"/>
      <c r="W149" s="2293"/>
      <c r="X149" s="2293"/>
      <c r="Y149" s="2293"/>
      <c r="Z149" s="2293"/>
      <c r="AA149" s="2293"/>
    </row>
    <row r="150" spans="1:27" s="2303" customFormat="1" ht="13.5" customHeight="1" x14ac:dyDescent="0.3">
      <c r="A150" s="2288"/>
      <c r="B150" s="2296"/>
      <c r="C150" s="2290"/>
      <c r="D150" s="2291"/>
      <c r="E150" s="2291"/>
      <c r="F150" s="2291"/>
      <c r="G150" s="2308"/>
      <c r="H150" s="2308"/>
      <c r="I150" s="2309"/>
      <c r="J150" s="2309"/>
      <c r="K150" s="2309"/>
      <c r="L150" s="2293"/>
      <c r="M150" s="2294"/>
      <c r="N150" s="2294"/>
      <c r="O150" s="2294"/>
      <c r="P150" s="2293"/>
      <c r="Q150" s="2309"/>
      <c r="R150" s="2309"/>
      <c r="S150" s="2309"/>
      <c r="T150" s="2309"/>
      <c r="U150" s="2309"/>
      <c r="V150" s="2309"/>
      <c r="W150" s="2309"/>
      <c r="X150" s="2309"/>
      <c r="Y150" s="2309"/>
      <c r="Z150" s="2309"/>
      <c r="AA150" s="2309"/>
    </row>
    <row r="151" spans="1:27" s="2303" customFormat="1" ht="13.5" customHeight="1" x14ac:dyDescent="0.3">
      <c r="A151" s="2288"/>
      <c r="B151" s="2296" t="s">
        <v>3698</v>
      </c>
      <c r="C151" s="2290"/>
      <c r="D151" s="2291"/>
      <c r="E151" s="2291"/>
      <c r="F151" s="2291"/>
      <c r="G151" s="2308"/>
      <c r="H151" s="2308"/>
      <c r="I151" s="2309"/>
      <c r="J151" s="2309"/>
      <c r="K151" s="2309"/>
      <c r="L151" s="2309"/>
      <c r="M151" s="2310"/>
      <c r="N151" s="2310"/>
      <c r="O151" s="2310"/>
      <c r="P151" s="2309"/>
      <c r="Q151" s="2309"/>
      <c r="R151" s="2309"/>
      <c r="S151" s="2309"/>
      <c r="T151" s="2309"/>
      <c r="U151" s="2309"/>
      <c r="V151" s="2309"/>
      <c r="W151" s="2309"/>
      <c r="X151" s="2309"/>
      <c r="Y151" s="2309"/>
      <c r="Z151" s="2309"/>
      <c r="AA151" s="2309"/>
    </row>
    <row r="152" spans="1:27" s="2303" customFormat="1" ht="13.5" customHeight="1" x14ac:dyDescent="0.3">
      <c r="A152" s="2288"/>
      <c r="B152" s="2296"/>
      <c r="C152" s="2290"/>
      <c r="D152" s="2291"/>
      <c r="E152" s="2291"/>
      <c r="F152" s="2291"/>
      <c r="G152" s="2308"/>
      <c r="H152" s="2308"/>
      <c r="I152" s="2309"/>
      <c r="J152" s="2309"/>
      <c r="K152" s="2309"/>
      <c r="L152" s="2309"/>
      <c r="M152" s="2310"/>
      <c r="N152" s="2310"/>
      <c r="O152" s="2310"/>
      <c r="P152" s="2309"/>
      <c r="Q152" s="2309"/>
      <c r="R152" s="2309"/>
      <c r="S152" s="2309"/>
      <c r="T152" s="2309"/>
      <c r="U152" s="2309"/>
      <c r="V152" s="2309"/>
      <c r="W152" s="2309"/>
      <c r="X152" s="2309"/>
      <c r="Y152" s="2309"/>
      <c r="Z152" s="2309"/>
      <c r="AA152" s="2309"/>
    </row>
    <row r="153" spans="1:27" s="2303" customFormat="1" ht="13.5" customHeight="1" x14ac:dyDescent="0.3">
      <c r="A153" s="2288"/>
      <c r="B153" s="2296" t="s">
        <v>3699</v>
      </c>
      <c r="C153" s="2290" t="s">
        <v>3638</v>
      </c>
      <c r="D153" s="2291"/>
      <c r="E153" s="2291">
        <v>4090</v>
      </c>
      <c r="F153" s="2291"/>
      <c r="G153" s="2308">
        <f t="shared" si="5"/>
        <v>4090</v>
      </c>
      <c r="H153" s="2308"/>
      <c r="I153" s="2309"/>
      <c r="J153" s="2309"/>
      <c r="K153" s="2309"/>
      <c r="L153" s="2309"/>
      <c r="M153" s="2310"/>
      <c r="N153" s="2310"/>
      <c r="O153" s="2310"/>
      <c r="P153" s="2309"/>
      <c r="Q153" s="2309"/>
      <c r="R153" s="2309"/>
      <c r="S153" s="2309"/>
      <c r="T153" s="2309"/>
      <c r="U153" s="2309"/>
      <c r="V153" s="2309"/>
      <c r="W153" s="2309"/>
      <c r="X153" s="2309"/>
      <c r="Y153" s="2309"/>
      <c r="Z153" s="2309"/>
      <c r="AA153" s="2309"/>
    </row>
    <row r="154" spans="1:27" s="2295" customFormat="1" ht="13.5" customHeight="1" x14ac:dyDescent="0.3">
      <c r="A154" s="2342"/>
      <c r="B154" s="2343" t="s">
        <v>3700</v>
      </c>
      <c r="C154" s="2315" t="s">
        <v>3638</v>
      </c>
      <c r="D154" s="2316"/>
      <c r="E154" s="2316">
        <f>26060/20</f>
        <v>1303</v>
      </c>
      <c r="F154" s="2316"/>
      <c r="G154" s="2292">
        <f t="shared" si="5"/>
        <v>1303</v>
      </c>
      <c r="H154" s="2292"/>
      <c r="I154" s="2293"/>
      <c r="J154" s="2293"/>
      <c r="K154" s="2316">
        <v>2370.1999999999998</v>
      </c>
      <c r="L154" s="2309" t="s">
        <v>3701</v>
      </c>
      <c r="M154" s="2310"/>
      <c r="N154" s="2310"/>
      <c r="O154" s="2347">
        <v>2080</v>
      </c>
      <c r="P154" s="2309"/>
      <c r="Q154" s="2293"/>
      <c r="R154" s="2293"/>
      <c r="S154" s="2293"/>
      <c r="T154" s="2293"/>
      <c r="U154" s="2293"/>
      <c r="V154" s="2293"/>
      <c r="W154" s="2293"/>
      <c r="X154" s="2293"/>
      <c r="Y154" s="2293"/>
      <c r="Z154" s="2293"/>
      <c r="AA154" s="2293"/>
    </row>
    <row r="155" spans="1:27" s="2295" customFormat="1" ht="13.5" customHeight="1" x14ac:dyDescent="0.3">
      <c r="A155" s="2342"/>
      <c r="B155" s="2343" t="s">
        <v>3702</v>
      </c>
      <c r="C155" s="2315" t="s">
        <v>3638</v>
      </c>
      <c r="D155" s="2316"/>
      <c r="E155" s="2316">
        <f>35200/20</f>
        <v>1760</v>
      </c>
      <c r="F155" s="2316"/>
      <c r="G155" s="2292"/>
      <c r="H155" s="2292"/>
      <c r="I155" s="2293"/>
      <c r="J155" s="2293"/>
      <c r="K155" s="2316">
        <v>2929.15</v>
      </c>
      <c r="L155" s="2309" t="s">
        <v>3703</v>
      </c>
      <c r="M155" s="2294"/>
      <c r="N155" s="2294"/>
      <c r="O155" s="2345">
        <v>3</v>
      </c>
      <c r="P155" s="2293">
        <f>N155*O155</f>
        <v>0</v>
      </c>
      <c r="Q155" s="2293"/>
      <c r="R155" s="2293"/>
      <c r="S155" s="2293"/>
      <c r="T155" s="2293"/>
      <c r="U155" s="2293"/>
      <c r="V155" s="2293"/>
      <c r="W155" s="2293"/>
      <c r="X155" s="2293"/>
      <c r="Y155" s="2293"/>
      <c r="Z155" s="2293"/>
      <c r="AA155" s="2293"/>
    </row>
    <row r="156" spans="1:27" s="2303" customFormat="1" ht="13.5" customHeight="1" x14ac:dyDescent="0.3">
      <c r="A156" s="2288"/>
      <c r="B156" s="2296" t="s">
        <v>3704</v>
      </c>
      <c r="C156" s="2290" t="s">
        <v>3638</v>
      </c>
      <c r="D156" s="2291"/>
      <c r="E156" s="2291">
        <v>1880</v>
      </c>
      <c r="F156" s="2291"/>
      <c r="G156" s="2308"/>
      <c r="H156" s="2308"/>
      <c r="I156" s="2309"/>
      <c r="J156" s="2309"/>
      <c r="K156" s="2309"/>
      <c r="L156" s="2293"/>
      <c r="M156" s="2294"/>
      <c r="N156" s="2294"/>
      <c r="O156" s="2345"/>
      <c r="P156" s="2293"/>
      <c r="Q156" s="2309"/>
      <c r="R156" s="2309"/>
      <c r="S156" s="2309"/>
      <c r="T156" s="2309"/>
      <c r="U156" s="2309"/>
      <c r="V156" s="2309"/>
      <c r="W156" s="2309"/>
      <c r="X156" s="2309"/>
      <c r="Y156" s="2309"/>
      <c r="Z156" s="2309"/>
      <c r="AA156" s="2309"/>
    </row>
    <row r="157" spans="1:27" s="2303" customFormat="1" ht="13.5" customHeight="1" x14ac:dyDescent="0.3">
      <c r="A157" s="2288"/>
      <c r="B157" s="2349"/>
      <c r="D157" s="2350"/>
      <c r="F157" s="2291"/>
      <c r="G157" s="2308"/>
      <c r="H157" s="2308"/>
      <c r="I157" s="2309"/>
      <c r="J157" s="2309"/>
      <c r="K157" s="2309"/>
      <c r="L157" s="2309"/>
      <c r="M157" s="2310"/>
      <c r="N157" s="2310"/>
      <c r="O157" s="2347"/>
      <c r="P157" s="2309"/>
      <c r="Q157" s="2309"/>
      <c r="R157" s="2309"/>
      <c r="S157" s="2309"/>
      <c r="T157" s="2309"/>
      <c r="U157" s="2309"/>
      <c r="V157" s="2309"/>
      <c r="W157" s="2309"/>
      <c r="X157" s="2309"/>
      <c r="Y157" s="2309"/>
      <c r="Z157" s="2309"/>
      <c r="AA157" s="2309"/>
    </row>
    <row r="158" spans="1:27" s="2295" customFormat="1" ht="15" customHeight="1" x14ac:dyDescent="0.3">
      <c r="A158" s="2351"/>
      <c r="B158" s="2295" t="s">
        <v>3475</v>
      </c>
      <c r="C158" s="2315" t="s">
        <v>3705</v>
      </c>
      <c r="D158" s="2316"/>
      <c r="E158" s="2316">
        <v>345</v>
      </c>
      <c r="L158" s="2309"/>
      <c r="M158" s="2310"/>
      <c r="N158" s="2310"/>
      <c r="O158" s="2347"/>
      <c r="P158" s="2309"/>
    </row>
    <row r="159" spans="1:27" ht="15" customHeight="1" x14ac:dyDescent="0.3">
      <c r="A159" s="2352"/>
      <c r="B159" s="2352"/>
      <c r="D159" s="2353"/>
      <c r="E159" s="2354"/>
      <c r="L159" s="2295"/>
      <c r="M159" s="2355"/>
      <c r="N159" s="2355"/>
      <c r="O159" s="2355"/>
      <c r="P159" s="2295"/>
    </row>
    <row r="160" spans="1:27" ht="13.5" customHeight="1" x14ac:dyDescent="0.3">
      <c r="A160" s="2284"/>
      <c r="B160" s="2296" t="s">
        <v>3706</v>
      </c>
      <c r="C160" s="2290" t="s">
        <v>3638</v>
      </c>
      <c r="D160" s="2291"/>
      <c r="E160" s="2291">
        <v>635</v>
      </c>
      <c r="F160" s="2287"/>
      <c r="G160" s="2268"/>
      <c r="H160" s="2268"/>
      <c r="I160" s="2269"/>
      <c r="J160" s="2269"/>
      <c r="K160" s="2269"/>
      <c r="Q160" s="2269"/>
      <c r="R160" s="2269"/>
      <c r="S160" s="2269"/>
      <c r="T160" s="2269"/>
      <c r="U160" s="2269"/>
      <c r="V160" s="2269"/>
      <c r="W160" s="2269"/>
      <c r="X160" s="2269"/>
      <c r="Y160" s="2269"/>
      <c r="Z160" s="2269"/>
      <c r="AA160" s="2269"/>
    </row>
    <row r="161" spans="1:27" s="2295" customFormat="1" ht="13.5" customHeight="1" x14ac:dyDescent="0.3">
      <c r="A161" s="2342"/>
      <c r="B161" s="2136" t="s">
        <v>3504</v>
      </c>
      <c r="C161" s="2119" t="s">
        <v>1314</v>
      </c>
      <c r="D161" s="2316"/>
      <c r="E161" s="2316">
        <v>900</v>
      </c>
      <c r="F161" s="2316"/>
      <c r="G161" s="2292">
        <f t="shared" ref="G161:G163" si="7">E161-D161</f>
        <v>900</v>
      </c>
      <c r="H161" s="2292">
        <v>5600</v>
      </c>
      <c r="I161" s="2293" t="s">
        <v>3707</v>
      </c>
      <c r="J161" s="2293"/>
      <c r="K161" s="2293"/>
      <c r="L161" s="2269"/>
      <c r="M161" s="2270"/>
      <c r="N161" s="2270"/>
      <c r="O161" s="2329"/>
      <c r="P161" s="2269"/>
      <c r="Q161" s="2293"/>
      <c r="R161" s="2293"/>
      <c r="S161" s="2293"/>
      <c r="T161" s="2293"/>
      <c r="U161" s="2293"/>
      <c r="V161" s="2293"/>
      <c r="W161" s="2293"/>
      <c r="X161" s="2293"/>
      <c r="Y161" s="2293"/>
      <c r="Z161" s="2293"/>
      <c r="AA161" s="2293"/>
    </row>
    <row r="162" spans="1:27" s="2295" customFormat="1" ht="13.5" customHeight="1" x14ac:dyDescent="0.3">
      <c r="A162" s="2342"/>
      <c r="B162" s="2344" t="s">
        <v>3505</v>
      </c>
      <c r="C162" s="2119" t="s">
        <v>1314</v>
      </c>
      <c r="D162" s="2316"/>
      <c r="E162" s="2316">
        <v>260</v>
      </c>
      <c r="F162" s="2316"/>
      <c r="G162" s="2292">
        <f t="shared" si="7"/>
        <v>260</v>
      </c>
      <c r="H162" s="2292">
        <v>15550</v>
      </c>
      <c r="I162" s="2293"/>
      <c r="J162" s="2293"/>
      <c r="K162" s="2293"/>
      <c r="L162" s="2293"/>
      <c r="M162" s="2294"/>
      <c r="N162" s="2294"/>
      <c r="O162" s="2294"/>
      <c r="P162" s="2293"/>
      <c r="Q162" s="2293"/>
      <c r="R162" s="2293"/>
      <c r="S162" s="2293"/>
      <c r="T162" s="2293"/>
      <c r="U162" s="2293"/>
      <c r="V162" s="2293"/>
      <c r="W162" s="2293"/>
      <c r="X162" s="2293"/>
      <c r="Y162" s="2293"/>
      <c r="Z162" s="2293"/>
      <c r="AA162" s="2293"/>
    </row>
    <row r="163" spans="1:27" ht="13.5" customHeight="1" x14ac:dyDescent="0.3">
      <c r="A163" s="2284"/>
      <c r="B163" s="2357"/>
      <c r="C163" s="2286"/>
      <c r="D163" s="2287"/>
      <c r="E163" s="2287"/>
      <c r="F163" s="2287"/>
      <c r="G163" s="2268">
        <f t="shared" si="7"/>
        <v>0</v>
      </c>
      <c r="H163" s="2268">
        <v>14000</v>
      </c>
      <c r="I163" s="2269"/>
      <c r="J163" s="2269"/>
      <c r="K163" s="2269"/>
      <c r="L163" s="2293"/>
      <c r="M163" s="2294"/>
      <c r="N163" s="2294"/>
      <c r="O163" s="2294"/>
      <c r="P163" s="2293"/>
      <c r="Q163" s="2269"/>
      <c r="R163" s="2269"/>
      <c r="S163" s="2269"/>
      <c r="T163" s="2269"/>
      <c r="U163" s="2269"/>
      <c r="V163" s="2269"/>
      <c r="W163" s="2269"/>
      <c r="X163" s="2269"/>
      <c r="Y163" s="2269"/>
      <c r="Z163" s="2269"/>
      <c r="AA163" s="2269"/>
    </row>
    <row r="164" spans="1:27" ht="13.5" customHeight="1" x14ac:dyDescent="0.3">
      <c r="A164" s="2269"/>
      <c r="B164" s="2269"/>
      <c r="C164" s="2272"/>
      <c r="D164" s="2358"/>
      <c r="E164" s="2358"/>
      <c r="F164" s="2358"/>
      <c r="G164" s="2283"/>
      <c r="H164" s="2268"/>
      <c r="I164" s="2269"/>
      <c r="J164" s="2269"/>
      <c r="K164" s="2269"/>
      <c r="L164" s="2269"/>
      <c r="M164" s="2270"/>
      <c r="N164" s="2270"/>
      <c r="O164" s="2270"/>
      <c r="P164" s="2269"/>
      <c r="Q164" s="2269"/>
      <c r="R164" s="2269"/>
      <c r="S164" s="2269"/>
      <c r="T164" s="2269"/>
      <c r="U164" s="2269"/>
      <c r="V164" s="2269"/>
      <c r="W164" s="2269"/>
      <c r="X164" s="2269"/>
      <c r="Y164" s="2269"/>
      <c r="Z164" s="2269"/>
      <c r="AA164" s="2269"/>
    </row>
    <row r="165" spans="1:27" ht="13.5" customHeight="1" x14ac:dyDescent="0.3">
      <c r="A165" s="2269"/>
      <c r="B165" s="2269"/>
      <c r="C165" s="2272"/>
      <c r="D165" s="2358"/>
      <c r="E165" s="2358"/>
      <c r="F165" s="2358"/>
      <c r="G165" s="2283"/>
      <c r="H165" s="2268"/>
      <c r="I165" s="2269"/>
      <c r="J165" s="2269"/>
      <c r="K165" s="2269"/>
      <c r="L165" s="2269"/>
      <c r="M165" s="2270"/>
      <c r="N165" s="2270"/>
      <c r="O165" s="2270"/>
      <c r="P165" s="2269"/>
      <c r="Q165" s="2269"/>
      <c r="R165" s="2269"/>
      <c r="S165" s="2269"/>
      <c r="T165" s="2269"/>
      <c r="U165" s="2269"/>
      <c r="V165" s="2269"/>
      <c r="W165" s="2269"/>
      <c r="X165" s="2269"/>
      <c r="Y165" s="2269"/>
      <c r="Z165" s="2269"/>
      <c r="AA165" s="2269"/>
    </row>
    <row r="166" spans="1:27" ht="13.5" customHeight="1" x14ac:dyDescent="0.3">
      <c r="A166" s="2269"/>
      <c r="B166" s="2269"/>
      <c r="C166" s="2272"/>
      <c r="D166" s="2358"/>
      <c r="E166" s="2358"/>
      <c r="F166" s="2358"/>
      <c r="G166" s="2283"/>
      <c r="H166" s="2268"/>
      <c r="I166" s="2269"/>
      <c r="J166" s="2269"/>
      <c r="K166" s="2269"/>
      <c r="L166" s="2269"/>
      <c r="M166" s="2270"/>
      <c r="N166" s="2270"/>
      <c r="O166" s="2270"/>
      <c r="P166" s="2269"/>
      <c r="Q166" s="2269"/>
      <c r="R166" s="2269"/>
      <c r="S166" s="2269"/>
      <c r="T166" s="2269"/>
      <c r="U166" s="2269"/>
      <c r="V166" s="2269"/>
      <c r="W166" s="2269"/>
      <c r="X166" s="2269"/>
      <c r="Y166" s="2269"/>
      <c r="Z166" s="2269"/>
      <c r="AA166" s="2269"/>
    </row>
    <row r="167" spans="1:27" ht="13.5" customHeight="1" x14ac:dyDescent="0.3">
      <c r="A167" s="2269"/>
      <c r="B167" s="2269"/>
      <c r="C167" s="2272"/>
      <c r="D167" s="2358"/>
      <c r="E167" s="2358"/>
      <c r="F167" s="2358"/>
      <c r="G167" s="2283"/>
      <c r="H167" s="2268"/>
      <c r="I167" s="2269"/>
      <c r="J167" s="2269"/>
      <c r="K167" s="2269"/>
      <c r="L167" s="2269"/>
      <c r="M167" s="2270"/>
      <c r="N167" s="2270"/>
      <c r="O167" s="2270"/>
      <c r="P167" s="2269"/>
      <c r="Q167" s="2269"/>
      <c r="R167" s="2269"/>
      <c r="S167" s="2269"/>
      <c r="T167" s="2269"/>
      <c r="U167" s="2269"/>
      <c r="V167" s="2269"/>
      <c r="W167" s="2269"/>
      <c r="X167" s="2269"/>
      <c r="Y167" s="2269"/>
      <c r="Z167" s="2269"/>
      <c r="AA167" s="2269"/>
    </row>
    <row r="168" spans="1:27" ht="13.5" customHeight="1" x14ac:dyDescent="0.3">
      <c r="A168" s="2269"/>
      <c r="B168" s="2269"/>
      <c r="C168" s="2272"/>
      <c r="D168" s="2358"/>
      <c r="E168" s="2358"/>
      <c r="F168" s="2358"/>
      <c r="G168" s="2283"/>
      <c r="H168" s="2268"/>
      <c r="I168" s="2269"/>
      <c r="J168" s="2269"/>
      <c r="K168" s="2269"/>
      <c r="L168" s="2269"/>
      <c r="M168" s="2270"/>
      <c r="N168" s="2270"/>
      <c r="O168" s="2270"/>
      <c r="P168" s="2269"/>
      <c r="Q168" s="2269"/>
      <c r="R168" s="2269"/>
      <c r="S168" s="2269"/>
      <c r="T168" s="2269"/>
      <c r="U168" s="2269"/>
      <c r="V168" s="2269"/>
      <c r="W168" s="2269"/>
      <c r="X168" s="2269"/>
      <c r="Y168" s="2269"/>
      <c r="Z168" s="2269"/>
      <c r="AA168" s="2269"/>
    </row>
    <row r="169" spans="1:27" ht="13.5" customHeight="1" x14ac:dyDescent="0.3">
      <c r="A169" s="2269"/>
      <c r="B169" s="2269"/>
      <c r="C169" s="2272"/>
      <c r="D169" s="2358"/>
      <c r="E169" s="2358"/>
      <c r="F169" s="2358"/>
      <c r="G169" s="2283"/>
      <c r="H169" s="2268"/>
      <c r="I169" s="2269"/>
      <c r="J169" s="2269"/>
      <c r="K169" s="2269"/>
      <c r="L169" s="2269"/>
      <c r="M169" s="2270"/>
      <c r="N169" s="2270"/>
      <c r="O169" s="2270"/>
      <c r="P169" s="2269"/>
      <c r="Q169" s="2269"/>
      <c r="R169" s="2269"/>
      <c r="S169" s="2269"/>
      <c r="T169" s="2269"/>
      <c r="U169" s="2269"/>
      <c r="V169" s="2269"/>
      <c r="W169" s="2269"/>
      <c r="X169" s="2269"/>
      <c r="Y169" s="2269"/>
      <c r="Z169" s="2269"/>
      <c r="AA169" s="2269"/>
    </row>
    <row r="170" spans="1:27" ht="13.5" customHeight="1" x14ac:dyDescent="0.3">
      <c r="A170" s="2269"/>
      <c r="B170" s="2269"/>
      <c r="C170" s="2272"/>
      <c r="D170" s="2358"/>
      <c r="E170" s="2358"/>
      <c r="F170" s="2358"/>
      <c r="G170" s="2283"/>
      <c r="H170" s="2268"/>
      <c r="I170" s="2269"/>
      <c r="J170" s="2269"/>
      <c r="K170" s="2269"/>
      <c r="L170" s="2269"/>
      <c r="M170" s="2270"/>
      <c r="N170" s="2270"/>
      <c r="O170" s="2270"/>
      <c r="P170" s="2269"/>
      <c r="Q170" s="2269"/>
      <c r="R170" s="2269"/>
      <c r="S170" s="2269"/>
      <c r="T170" s="2269"/>
      <c r="U170" s="2269"/>
      <c r="V170" s="2269"/>
      <c r="W170" s="2269"/>
      <c r="X170" s="2269"/>
      <c r="Y170" s="2269"/>
      <c r="Z170" s="2269"/>
      <c r="AA170" s="2269"/>
    </row>
    <row r="171" spans="1:27" ht="13.5" customHeight="1" x14ac:dyDescent="0.3">
      <c r="A171" s="2269"/>
      <c r="B171" s="2269"/>
      <c r="C171" s="2272"/>
      <c r="D171" s="2358"/>
      <c r="E171" s="2358"/>
      <c r="F171" s="2358"/>
      <c r="G171" s="2283"/>
      <c r="H171" s="2268"/>
      <c r="I171" s="2269"/>
      <c r="J171" s="2269"/>
      <c r="K171" s="2269"/>
      <c r="L171" s="2269"/>
      <c r="M171" s="2270"/>
      <c r="N171" s="2270"/>
      <c r="O171" s="2270"/>
      <c r="P171" s="2269"/>
      <c r="Q171" s="2269"/>
      <c r="R171" s="2269"/>
      <c r="S171" s="2269"/>
      <c r="T171" s="2269"/>
      <c r="U171" s="2269"/>
      <c r="V171" s="2269"/>
      <c r="W171" s="2269"/>
      <c r="X171" s="2269"/>
      <c r="Y171" s="2269"/>
      <c r="Z171" s="2269"/>
      <c r="AA171" s="2269"/>
    </row>
    <row r="172" spans="1:27" ht="13.5" customHeight="1" x14ac:dyDescent="0.3">
      <c r="A172" s="2269"/>
      <c r="B172" s="2269"/>
      <c r="C172" s="2272"/>
      <c r="D172" s="2358"/>
      <c r="E172" s="2358"/>
      <c r="F172" s="2358"/>
      <c r="G172" s="2283"/>
      <c r="H172" s="2268"/>
      <c r="I172" s="2269"/>
      <c r="J172" s="2269"/>
      <c r="K172" s="2269"/>
      <c r="L172" s="2269"/>
      <c r="M172" s="2270"/>
      <c r="N172" s="2270"/>
      <c r="O172" s="2270"/>
      <c r="P172" s="2269"/>
      <c r="Q172" s="2269"/>
      <c r="R172" s="2269"/>
      <c r="S172" s="2269"/>
      <c r="T172" s="2269"/>
      <c r="U172" s="2269"/>
      <c r="V172" s="2269"/>
      <c r="W172" s="2269"/>
      <c r="X172" s="2269"/>
      <c r="Y172" s="2269"/>
      <c r="Z172" s="2269"/>
      <c r="AA172" s="2269"/>
    </row>
    <row r="173" spans="1:27" ht="13.5" customHeight="1" x14ac:dyDescent="0.3">
      <c r="A173" s="2269"/>
      <c r="B173" s="2269"/>
      <c r="C173" s="2272"/>
      <c r="D173" s="2358"/>
      <c r="E173" s="2358"/>
      <c r="F173" s="2358"/>
      <c r="G173" s="2283"/>
      <c r="H173" s="2268"/>
      <c r="I173" s="2269"/>
      <c r="J173" s="2269"/>
      <c r="K173" s="2269"/>
      <c r="L173" s="2269"/>
      <c r="M173" s="2270"/>
      <c r="N173" s="2270"/>
      <c r="O173" s="2270"/>
      <c r="P173" s="2269"/>
      <c r="Q173" s="2269"/>
      <c r="R173" s="2269"/>
      <c r="S173" s="2269"/>
      <c r="T173" s="2269"/>
      <c r="U173" s="2269"/>
      <c r="V173" s="2269"/>
      <c r="W173" s="2269"/>
      <c r="X173" s="2269"/>
      <c r="Y173" s="2269"/>
      <c r="Z173" s="2269"/>
      <c r="AA173" s="2269"/>
    </row>
    <row r="174" spans="1:27" ht="13.5" customHeight="1" x14ac:dyDescent="0.3">
      <c r="A174" s="2269"/>
      <c r="B174" s="2269"/>
      <c r="C174" s="2272"/>
      <c r="D174" s="2358"/>
      <c r="E174" s="2358"/>
      <c r="F174" s="2358"/>
      <c r="G174" s="2283"/>
      <c r="H174" s="2268"/>
      <c r="I174" s="2269"/>
      <c r="J174" s="2269"/>
      <c r="K174" s="2269"/>
      <c r="L174" s="2269"/>
      <c r="M174" s="2270"/>
      <c r="N174" s="2270"/>
      <c r="O174" s="2270"/>
      <c r="P174" s="2269"/>
      <c r="Q174" s="2269"/>
      <c r="R174" s="2269"/>
      <c r="S174" s="2269"/>
      <c r="T174" s="2269"/>
      <c r="U174" s="2269"/>
      <c r="V174" s="2269"/>
      <c r="W174" s="2269"/>
      <c r="X174" s="2269"/>
      <c r="Y174" s="2269"/>
      <c r="Z174" s="2269"/>
      <c r="AA174" s="2269"/>
    </row>
    <row r="175" spans="1:27" ht="13.5" customHeight="1" x14ac:dyDescent="0.3">
      <c r="A175" s="2269"/>
      <c r="B175" s="2269"/>
      <c r="C175" s="2272"/>
      <c r="D175" s="2358"/>
      <c r="E175" s="2358"/>
      <c r="F175" s="2358"/>
      <c r="G175" s="2283"/>
      <c r="H175" s="2268"/>
      <c r="I175" s="2269"/>
      <c r="J175" s="2269"/>
      <c r="K175" s="2269"/>
      <c r="L175" s="2269"/>
      <c r="M175" s="2270"/>
      <c r="N175" s="2270"/>
      <c r="O175" s="2270"/>
      <c r="P175" s="2269"/>
      <c r="Q175" s="2269"/>
      <c r="R175" s="2269"/>
      <c r="S175" s="2269"/>
      <c r="T175" s="2269"/>
      <c r="U175" s="2269"/>
      <c r="V175" s="2269"/>
      <c r="W175" s="2269"/>
      <c r="X175" s="2269"/>
      <c r="Y175" s="2269"/>
      <c r="Z175" s="2269"/>
      <c r="AA175" s="2269"/>
    </row>
    <row r="176" spans="1:27" ht="13.5" customHeight="1" x14ac:dyDescent="0.3">
      <c r="A176" s="2269"/>
      <c r="B176" s="2269"/>
      <c r="C176" s="2272"/>
      <c r="D176" s="2358"/>
      <c r="E176" s="2358"/>
      <c r="F176" s="2358"/>
      <c r="G176" s="2283"/>
      <c r="H176" s="2268"/>
      <c r="I176" s="2269"/>
      <c r="J176" s="2269"/>
      <c r="K176" s="2269"/>
      <c r="L176" s="2269"/>
      <c r="M176" s="2270"/>
      <c r="N176" s="2270"/>
      <c r="O176" s="2270"/>
      <c r="P176" s="2269"/>
      <c r="Q176" s="2269"/>
      <c r="R176" s="2269"/>
      <c r="S176" s="2269"/>
      <c r="T176" s="2269"/>
      <c r="U176" s="2269"/>
      <c r="V176" s="2269"/>
      <c r="W176" s="2269"/>
      <c r="X176" s="2269"/>
      <c r="Y176" s="2269"/>
      <c r="Z176" s="2269"/>
      <c r="AA176" s="2269"/>
    </row>
    <row r="177" spans="1:27" ht="13.5" customHeight="1" x14ac:dyDescent="0.3">
      <c r="A177" s="2269"/>
      <c r="B177" s="2269"/>
      <c r="C177" s="2272"/>
      <c r="D177" s="2358"/>
      <c r="E177" s="2358"/>
      <c r="F177" s="2358"/>
      <c r="G177" s="2283"/>
      <c r="H177" s="2268"/>
      <c r="I177" s="2269"/>
      <c r="J177" s="2269"/>
      <c r="K177" s="2269"/>
      <c r="L177" s="2269"/>
      <c r="M177" s="2270"/>
      <c r="N177" s="2270"/>
      <c r="O177" s="2270"/>
      <c r="P177" s="2269"/>
      <c r="Q177" s="2269"/>
      <c r="R177" s="2269"/>
      <c r="S177" s="2269"/>
      <c r="T177" s="2269"/>
      <c r="U177" s="2269"/>
      <c r="V177" s="2269"/>
      <c r="W177" s="2269"/>
      <c r="X177" s="2269"/>
      <c r="Y177" s="2269"/>
      <c r="Z177" s="2269"/>
      <c r="AA177" s="2269"/>
    </row>
    <row r="178" spans="1:27" ht="13.5" customHeight="1" x14ac:dyDescent="0.3">
      <c r="A178" s="2269"/>
      <c r="B178" s="2269"/>
      <c r="C178" s="2272"/>
      <c r="D178" s="2358"/>
      <c r="E178" s="2358"/>
      <c r="F178" s="2358"/>
      <c r="G178" s="2283"/>
      <c r="H178" s="2268"/>
      <c r="I178" s="2269"/>
      <c r="J178" s="2269"/>
      <c r="K178" s="2269"/>
      <c r="L178" s="2269"/>
      <c r="M178" s="2270"/>
      <c r="N178" s="2270"/>
      <c r="O178" s="2270"/>
      <c r="P178" s="2269"/>
      <c r="Q178" s="2269"/>
      <c r="R178" s="2269"/>
      <c r="S178" s="2269"/>
      <c r="T178" s="2269"/>
      <c r="U178" s="2269"/>
      <c r="V178" s="2269"/>
      <c r="W178" s="2269"/>
      <c r="X178" s="2269"/>
      <c r="Y178" s="2269"/>
      <c r="Z178" s="2269"/>
      <c r="AA178" s="2269"/>
    </row>
    <row r="179" spans="1:27" ht="13.5" customHeight="1" x14ac:dyDescent="0.3">
      <c r="A179" s="2269"/>
      <c r="B179" s="2269"/>
      <c r="C179" s="2272"/>
      <c r="D179" s="2358"/>
      <c r="E179" s="2358"/>
      <c r="F179" s="2358"/>
      <c r="G179" s="2283"/>
      <c r="H179" s="2268"/>
      <c r="I179" s="2269"/>
      <c r="J179" s="2269"/>
      <c r="K179" s="2269"/>
      <c r="L179" s="2269"/>
      <c r="M179" s="2270"/>
      <c r="N179" s="2270"/>
      <c r="O179" s="2270"/>
      <c r="P179" s="2269"/>
      <c r="Q179" s="2269"/>
      <c r="R179" s="2269"/>
      <c r="S179" s="2269"/>
      <c r="T179" s="2269"/>
      <c r="U179" s="2269"/>
      <c r="V179" s="2269"/>
      <c r="W179" s="2269"/>
      <c r="X179" s="2269"/>
      <c r="Y179" s="2269"/>
      <c r="Z179" s="2269"/>
      <c r="AA179" s="2269"/>
    </row>
    <row r="180" spans="1:27" ht="13.5" customHeight="1" x14ac:dyDescent="0.3">
      <c r="A180" s="2269"/>
      <c r="B180" s="2269"/>
      <c r="C180" s="2272"/>
      <c r="D180" s="2358"/>
      <c r="E180" s="2358"/>
      <c r="F180" s="2358"/>
      <c r="G180" s="2283"/>
      <c r="H180" s="2268"/>
      <c r="I180" s="2269"/>
      <c r="J180" s="2269"/>
      <c r="K180" s="2269"/>
      <c r="L180" s="2269"/>
      <c r="M180" s="2270"/>
      <c r="N180" s="2270"/>
      <c r="O180" s="2270"/>
      <c r="P180" s="2269"/>
      <c r="Q180" s="2269"/>
      <c r="R180" s="2269"/>
      <c r="S180" s="2269"/>
      <c r="T180" s="2269"/>
      <c r="U180" s="2269"/>
      <c r="V180" s="2269"/>
      <c r="W180" s="2269"/>
      <c r="X180" s="2269"/>
      <c r="Y180" s="2269"/>
      <c r="Z180" s="2269"/>
      <c r="AA180" s="2269"/>
    </row>
    <row r="181" spans="1:27" ht="13.5" customHeight="1" x14ac:dyDescent="0.3">
      <c r="A181" s="2269"/>
      <c r="B181" s="2269"/>
      <c r="C181" s="2272"/>
      <c r="D181" s="2358"/>
      <c r="E181" s="2358"/>
      <c r="F181" s="2358"/>
      <c r="G181" s="2283"/>
      <c r="H181" s="2268"/>
      <c r="I181" s="2269"/>
      <c r="J181" s="2269"/>
      <c r="K181" s="2269"/>
      <c r="L181" s="2269"/>
      <c r="M181" s="2270"/>
      <c r="N181" s="2270"/>
      <c r="O181" s="2270"/>
      <c r="P181" s="2269"/>
      <c r="Q181" s="2269"/>
      <c r="R181" s="2269"/>
      <c r="S181" s="2269"/>
      <c r="T181" s="2269"/>
      <c r="U181" s="2269"/>
      <c r="V181" s="2269"/>
      <c r="W181" s="2269"/>
      <c r="X181" s="2269"/>
      <c r="Y181" s="2269"/>
      <c r="Z181" s="2269"/>
      <c r="AA181" s="2269"/>
    </row>
    <row r="182" spans="1:27" ht="13.5" customHeight="1" x14ac:dyDescent="0.3">
      <c r="A182" s="2269"/>
      <c r="B182" s="2269"/>
      <c r="C182" s="2272"/>
      <c r="D182" s="2358"/>
      <c r="E182" s="2358"/>
      <c r="F182" s="2358"/>
      <c r="G182" s="2283"/>
      <c r="H182" s="2268"/>
      <c r="I182" s="2269"/>
      <c r="J182" s="2269"/>
      <c r="K182" s="2269"/>
      <c r="L182" s="2269"/>
      <c r="M182" s="2270"/>
      <c r="N182" s="2270"/>
      <c r="O182" s="2270"/>
      <c r="P182" s="2269"/>
      <c r="Q182" s="2269"/>
      <c r="R182" s="2269"/>
      <c r="S182" s="2269"/>
      <c r="T182" s="2269"/>
      <c r="U182" s="2269"/>
      <c r="V182" s="2269"/>
      <c r="W182" s="2269"/>
      <c r="X182" s="2269"/>
      <c r="Y182" s="2269"/>
      <c r="Z182" s="2269"/>
      <c r="AA182" s="2269"/>
    </row>
    <row r="183" spans="1:27" ht="13.5" customHeight="1" x14ac:dyDescent="0.3">
      <c r="A183" s="2269"/>
      <c r="B183" s="2269"/>
      <c r="C183" s="2272"/>
      <c r="D183" s="2358"/>
      <c r="E183" s="2358"/>
      <c r="F183" s="2358"/>
      <c r="G183" s="2283"/>
      <c r="H183" s="2268"/>
      <c r="I183" s="2269"/>
      <c r="J183" s="2269"/>
      <c r="K183" s="2269"/>
      <c r="L183" s="2269"/>
      <c r="M183" s="2270"/>
      <c r="N183" s="2270"/>
      <c r="O183" s="2270"/>
      <c r="P183" s="2269"/>
      <c r="Q183" s="2269"/>
      <c r="R183" s="2269"/>
      <c r="S183" s="2269"/>
      <c r="T183" s="2269"/>
      <c r="U183" s="2269"/>
      <c r="V183" s="2269"/>
      <c r="W183" s="2269"/>
      <c r="X183" s="2269"/>
      <c r="Y183" s="2269"/>
      <c r="Z183" s="2269"/>
      <c r="AA183" s="2269"/>
    </row>
    <row r="184" spans="1:27" ht="13.5" customHeight="1" x14ac:dyDescent="0.3">
      <c r="A184" s="2269"/>
      <c r="B184" s="2269"/>
      <c r="C184" s="2272"/>
      <c r="D184" s="2358"/>
      <c r="E184" s="2358"/>
      <c r="F184" s="2358"/>
      <c r="G184" s="2283"/>
      <c r="H184" s="2268"/>
      <c r="I184" s="2269"/>
      <c r="J184" s="2269"/>
      <c r="K184" s="2269"/>
      <c r="L184" s="2269"/>
      <c r="M184" s="2270"/>
      <c r="N184" s="2270"/>
      <c r="O184" s="2270"/>
      <c r="P184" s="2269"/>
      <c r="Q184" s="2269"/>
      <c r="R184" s="2269"/>
      <c r="S184" s="2269"/>
      <c r="T184" s="2269"/>
      <c r="U184" s="2269"/>
      <c r="V184" s="2269"/>
      <c r="W184" s="2269"/>
      <c r="X184" s="2269"/>
      <c r="Y184" s="2269"/>
      <c r="Z184" s="2269"/>
      <c r="AA184" s="2269"/>
    </row>
    <row r="185" spans="1:27" ht="13.5" customHeight="1" x14ac:dyDescent="0.3">
      <c r="A185" s="2269"/>
      <c r="B185" s="2269"/>
      <c r="C185" s="2272"/>
      <c r="D185" s="2358"/>
      <c r="E185" s="2358"/>
      <c r="F185" s="2358"/>
      <c r="G185" s="2283"/>
      <c r="H185" s="2268"/>
      <c r="I185" s="2269"/>
      <c r="J185" s="2269"/>
      <c r="K185" s="2269"/>
      <c r="L185" s="2269"/>
      <c r="M185" s="2270"/>
      <c r="N185" s="2270"/>
      <c r="O185" s="2270"/>
      <c r="P185" s="2269"/>
      <c r="Q185" s="2269"/>
      <c r="R185" s="2269"/>
      <c r="S185" s="2269"/>
      <c r="T185" s="2269"/>
      <c r="U185" s="2269"/>
      <c r="V185" s="2269"/>
      <c r="W185" s="2269"/>
      <c r="X185" s="2269"/>
      <c r="Y185" s="2269"/>
      <c r="Z185" s="2269"/>
      <c r="AA185" s="2269"/>
    </row>
    <row r="186" spans="1:27" ht="13.5" customHeight="1" x14ac:dyDescent="0.3">
      <c r="A186" s="2269"/>
      <c r="B186" s="2269"/>
      <c r="C186" s="2272"/>
      <c r="D186" s="2358"/>
      <c r="E186" s="2358"/>
      <c r="F186" s="2358"/>
      <c r="G186" s="2283"/>
      <c r="H186" s="2268"/>
      <c r="I186" s="2269"/>
      <c r="J186" s="2269"/>
      <c r="K186" s="2269"/>
      <c r="L186" s="2269"/>
      <c r="M186" s="2270"/>
      <c r="N186" s="2270"/>
      <c r="O186" s="2270"/>
      <c r="P186" s="2269"/>
      <c r="Q186" s="2269"/>
      <c r="R186" s="2269"/>
      <c r="S186" s="2269"/>
      <c r="T186" s="2269"/>
      <c r="U186" s="2269"/>
      <c r="V186" s="2269"/>
      <c r="W186" s="2269"/>
      <c r="X186" s="2269"/>
      <c r="Y186" s="2269"/>
      <c r="Z186" s="2269"/>
      <c r="AA186" s="2269"/>
    </row>
    <row r="187" spans="1:27" ht="13.5" customHeight="1" x14ac:dyDescent="0.3">
      <c r="A187" s="2269"/>
      <c r="B187" s="2269"/>
      <c r="C187" s="2272"/>
      <c r="D187" s="2358"/>
      <c r="E187" s="2358"/>
      <c r="F187" s="2358"/>
      <c r="G187" s="2283"/>
      <c r="H187" s="2268"/>
      <c r="I187" s="2269"/>
      <c r="J187" s="2269"/>
      <c r="K187" s="2269"/>
      <c r="L187" s="2269"/>
      <c r="M187" s="2270"/>
      <c r="N187" s="2270"/>
      <c r="O187" s="2270"/>
      <c r="P187" s="2269"/>
      <c r="Q187" s="2269"/>
      <c r="R187" s="2269"/>
      <c r="S187" s="2269"/>
      <c r="T187" s="2269"/>
      <c r="U187" s="2269"/>
      <c r="V187" s="2269"/>
      <c r="W187" s="2269"/>
      <c r="X187" s="2269"/>
      <c r="Y187" s="2269"/>
      <c r="Z187" s="2269"/>
      <c r="AA187" s="2269"/>
    </row>
    <row r="188" spans="1:27" ht="13.5" customHeight="1" x14ac:dyDescent="0.3">
      <c r="A188" s="2269"/>
      <c r="B188" s="2269"/>
      <c r="C188" s="2272"/>
      <c r="D188" s="2358"/>
      <c r="E188" s="2358"/>
      <c r="F188" s="2358"/>
      <c r="G188" s="2283"/>
      <c r="H188" s="2268"/>
      <c r="I188" s="2269"/>
      <c r="J188" s="2269"/>
      <c r="K188" s="2269"/>
      <c r="L188" s="2269"/>
      <c r="M188" s="2270"/>
      <c r="N188" s="2270"/>
      <c r="O188" s="2270"/>
      <c r="P188" s="2269"/>
      <c r="Q188" s="2269"/>
      <c r="R188" s="2269"/>
      <c r="S188" s="2269"/>
      <c r="T188" s="2269"/>
      <c r="U188" s="2269"/>
      <c r="V188" s="2269"/>
      <c r="W188" s="2269"/>
      <c r="X188" s="2269"/>
      <c r="Y188" s="2269"/>
      <c r="Z188" s="2269"/>
      <c r="AA188" s="2269"/>
    </row>
    <row r="189" spans="1:27" ht="13.5" customHeight="1" x14ac:dyDescent="0.3">
      <c r="A189" s="2269"/>
      <c r="B189" s="2269"/>
      <c r="C189" s="2272"/>
      <c r="D189" s="2358"/>
      <c r="E189" s="2358"/>
      <c r="F189" s="2358"/>
      <c r="G189" s="2283"/>
      <c r="H189" s="2268"/>
      <c r="I189" s="2269"/>
      <c r="J189" s="2269"/>
      <c r="K189" s="2269"/>
      <c r="L189" s="2269"/>
      <c r="M189" s="2270"/>
      <c r="N189" s="2270"/>
      <c r="O189" s="2270"/>
      <c r="P189" s="2269"/>
      <c r="Q189" s="2269"/>
      <c r="R189" s="2269"/>
      <c r="S189" s="2269"/>
      <c r="T189" s="2269"/>
      <c r="U189" s="2269"/>
      <c r="V189" s="2269"/>
      <c r="W189" s="2269"/>
      <c r="X189" s="2269"/>
      <c r="Y189" s="2269"/>
      <c r="Z189" s="2269"/>
      <c r="AA189" s="2269"/>
    </row>
    <row r="190" spans="1:27" ht="13.5" customHeight="1" x14ac:dyDescent="0.3">
      <c r="A190" s="2269"/>
      <c r="B190" s="2269"/>
      <c r="C190" s="2272"/>
      <c r="D190" s="2358"/>
      <c r="E190" s="2358"/>
      <c r="F190" s="2358"/>
      <c r="G190" s="2283"/>
      <c r="H190" s="2268"/>
      <c r="I190" s="2269"/>
      <c r="J190" s="2269"/>
      <c r="K190" s="2269"/>
      <c r="L190" s="2269"/>
      <c r="M190" s="2270"/>
      <c r="N190" s="2270"/>
      <c r="O190" s="2270"/>
      <c r="P190" s="2269"/>
      <c r="Q190" s="2269"/>
      <c r="R190" s="2269"/>
      <c r="S190" s="2269"/>
      <c r="T190" s="2269"/>
      <c r="U190" s="2269"/>
      <c r="V190" s="2269"/>
      <c r="W190" s="2269"/>
      <c r="X190" s="2269"/>
      <c r="Y190" s="2269"/>
      <c r="Z190" s="2269"/>
      <c r="AA190" s="2269"/>
    </row>
    <row r="191" spans="1:27" ht="13.5" customHeight="1" x14ac:dyDescent="0.3">
      <c r="A191" s="2269"/>
      <c r="B191" s="2269"/>
      <c r="C191" s="2272"/>
      <c r="D191" s="2358"/>
      <c r="E191" s="2358"/>
      <c r="F191" s="2358"/>
      <c r="G191" s="2283"/>
      <c r="H191" s="2268"/>
      <c r="I191" s="2269"/>
      <c r="J191" s="2269"/>
      <c r="K191" s="2269"/>
      <c r="L191" s="2269"/>
      <c r="M191" s="2270"/>
      <c r="N191" s="2270"/>
      <c r="O191" s="2270"/>
      <c r="P191" s="2269"/>
      <c r="Q191" s="2269"/>
      <c r="R191" s="2269"/>
      <c r="S191" s="2269"/>
      <c r="T191" s="2269"/>
      <c r="U191" s="2269"/>
      <c r="V191" s="2269"/>
      <c r="W191" s="2269"/>
      <c r="X191" s="2269"/>
      <c r="Y191" s="2269"/>
      <c r="Z191" s="2269"/>
      <c r="AA191" s="2269"/>
    </row>
    <row r="192" spans="1:27" ht="13.5" customHeight="1" x14ac:dyDescent="0.3">
      <c r="A192" s="2269"/>
      <c r="B192" s="2269"/>
      <c r="C192" s="2272"/>
      <c r="D192" s="2358"/>
      <c r="E192" s="2358"/>
      <c r="F192" s="2358"/>
      <c r="G192" s="2283"/>
      <c r="H192" s="2268"/>
      <c r="I192" s="2269"/>
      <c r="J192" s="2269"/>
      <c r="K192" s="2269"/>
      <c r="L192" s="2269"/>
      <c r="M192" s="2270"/>
      <c r="N192" s="2270"/>
      <c r="O192" s="2270"/>
      <c r="P192" s="2269"/>
      <c r="Q192" s="2269"/>
      <c r="R192" s="2269"/>
      <c r="S192" s="2269"/>
      <c r="T192" s="2269"/>
      <c r="U192" s="2269"/>
      <c r="V192" s="2269"/>
      <c r="W192" s="2269"/>
      <c r="X192" s="2269"/>
      <c r="Y192" s="2269"/>
      <c r="Z192" s="2269"/>
      <c r="AA192" s="2269"/>
    </row>
    <row r="193" spans="1:27" ht="13.5" customHeight="1" x14ac:dyDescent="0.3">
      <c r="A193" s="2269"/>
      <c r="B193" s="2269"/>
      <c r="C193" s="2272"/>
      <c r="D193" s="2358"/>
      <c r="E193" s="2358"/>
      <c r="F193" s="2358"/>
      <c r="G193" s="2283"/>
      <c r="H193" s="2268"/>
      <c r="I193" s="2269"/>
      <c r="J193" s="2269"/>
      <c r="K193" s="2269"/>
      <c r="L193" s="2269"/>
      <c r="M193" s="2270"/>
      <c r="N193" s="2270"/>
      <c r="O193" s="2270"/>
      <c r="P193" s="2269"/>
      <c r="Q193" s="2269"/>
      <c r="R193" s="2269"/>
      <c r="S193" s="2269"/>
      <c r="T193" s="2269"/>
      <c r="U193" s="2269"/>
      <c r="V193" s="2269"/>
      <c r="W193" s="2269"/>
      <c r="X193" s="2269"/>
      <c r="Y193" s="2269"/>
      <c r="Z193" s="2269"/>
      <c r="AA193" s="2269"/>
    </row>
    <row r="194" spans="1:27" ht="13.5" customHeight="1" x14ac:dyDescent="0.3">
      <c r="A194" s="2269"/>
      <c r="B194" s="2269"/>
      <c r="C194" s="2272"/>
      <c r="D194" s="2358"/>
      <c r="E194" s="2358"/>
      <c r="F194" s="2358"/>
      <c r="G194" s="2283"/>
      <c r="H194" s="2268"/>
      <c r="I194" s="2269"/>
      <c r="J194" s="2269"/>
      <c r="K194" s="2269"/>
      <c r="L194" s="2269"/>
      <c r="M194" s="2270"/>
      <c r="N194" s="2270"/>
      <c r="O194" s="2270"/>
      <c r="P194" s="2269"/>
      <c r="Q194" s="2269"/>
      <c r="R194" s="2269"/>
      <c r="S194" s="2269"/>
      <c r="T194" s="2269"/>
      <c r="U194" s="2269"/>
      <c r="V194" s="2269"/>
      <c r="W194" s="2269"/>
      <c r="X194" s="2269"/>
      <c r="Y194" s="2269"/>
      <c r="Z194" s="2269"/>
      <c r="AA194" s="2269"/>
    </row>
    <row r="195" spans="1:27" ht="13.5" customHeight="1" x14ac:dyDescent="0.3">
      <c r="A195" s="2269"/>
      <c r="B195" s="2269"/>
      <c r="C195" s="2272"/>
      <c r="D195" s="2358"/>
      <c r="E195" s="2358"/>
      <c r="F195" s="2358"/>
      <c r="G195" s="2283"/>
      <c r="H195" s="2268"/>
      <c r="I195" s="2269"/>
      <c r="J195" s="2269"/>
      <c r="K195" s="2269"/>
      <c r="L195" s="2269"/>
      <c r="M195" s="2270"/>
      <c r="N195" s="2270"/>
      <c r="O195" s="2270"/>
      <c r="P195" s="2269"/>
      <c r="Q195" s="2269"/>
      <c r="R195" s="2269"/>
      <c r="S195" s="2269"/>
      <c r="T195" s="2269"/>
      <c r="U195" s="2269"/>
      <c r="V195" s="2269"/>
      <c r="W195" s="2269"/>
      <c r="X195" s="2269"/>
      <c r="Y195" s="2269"/>
      <c r="Z195" s="2269"/>
      <c r="AA195" s="2269"/>
    </row>
    <row r="196" spans="1:27" ht="13.5" customHeight="1" x14ac:dyDescent="0.3">
      <c r="A196" s="2269"/>
      <c r="B196" s="2269"/>
      <c r="C196" s="2272"/>
      <c r="D196" s="2358"/>
      <c r="E196" s="2358"/>
      <c r="F196" s="2358"/>
      <c r="G196" s="2283"/>
      <c r="H196" s="2268"/>
      <c r="I196" s="2269"/>
      <c r="J196" s="2269"/>
      <c r="K196" s="2269"/>
      <c r="L196" s="2269"/>
      <c r="M196" s="2270"/>
      <c r="N196" s="2270"/>
      <c r="O196" s="2270"/>
      <c r="P196" s="2269"/>
      <c r="Q196" s="2269"/>
      <c r="R196" s="2269"/>
      <c r="S196" s="2269"/>
      <c r="T196" s="2269"/>
      <c r="U196" s="2269"/>
      <c r="V196" s="2269"/>
      <c r="W196" s="2269"/>
      <c r="X196" s="2269"/>
      <c r="Y196" s="2269"/>
      <c r="Z196" s="2269"/>
      <c r="AA196" s="2269"/>
    </row>
    <row r="197" spans="1:27" ht="13.5" customHeight="1" x14ac:dyDescent="0.3">
      <c r="A197" s="2269"/>
      <c r="B197" s="2269"/>
      <c r="C197" s="2272"/>
      <c r="D197" s="2358"/>
      <c r="E197" s="2358"/>
      <c r="F197" s="2358"/>
      <c r="G197" s="2283"/>
      <c r="H197" s="2268"/>
      <c r="I197" s="2269"/>
      <c r="J197" s="2269"/>
      <c r="K197" s="2269"/>
      <c r="L197" s="2269"/>
      <c r="M197" s="2270"/>
      <c r="N197" s="2270"/>
      <c r="O197" s="2270"/>
      <c r="P197" s="2269"/>
      <c r="Q197" s="2269"/>
      <c r="R197" s="2269"/>
      <c r="S197" s="2269"/>
      <c r="T197" s="2269"/>
      <c r="U197" s="2269"/>
      <c r="V197" s="2269"/>
      <c r="W197" s="2269"/>
      <c r="X197" s="2269"/>
      <c r="Y197" s="2269"/>
      <c r="Z197" s="2269"/>
      <c r="AA197" s="2269"/>
    </row>
    <row r="198" spans="1:27" ht="13.5" customHeight="1" x14ac:dyDescent="0.3">
      <c r="A198" s="2269"/>
      <c r="B198" s="2269"/>
      <c r="C198" s="2272"/>
      <c r="D198" s="2358"/>
      <c r="E198" s="2358"/>
      <c r="F198" s="2358"/>
      <c r="G198" s="2283"/>
      <c r="H198" s="2268"/>
      <c r="I198" s="2269"/>
      <c r="J198" s="2269"/>
      <c r="K198" s="2269"/>
      <c r="L198" s="2269"/>
      <c r="M198" s="2270"/>
      <c r="N198" s="2270"/>
      <c r="O198" s="2270"/>
      <c r="P198" s="2269"/>
      <c r="Q198" s="2269"/>
      <c r="R198" s="2269"/>
      <c r="S198" s="2269"/>
      <c r="T198" s="2269"/>
      <c r="U198" s="2269"/>
      <c r="V198" s="2269"/>
      <c r="W198" s="2269"/>
      <c r="X198" s="2269"/>
      <c r="Y198" s="2269"/>
      <c r="Z198" s="2269"/>
      <c r="AA198" s="2269"/>
    </row>
    <row r="199" spans="1:27" ht="13.5" customHeight="1" x14ac:dyDescent="0.3">
      <c r="A199" s="2269"/>
      <c r="B199" s="2269"/>
      <c r="C199" s="2272"/>
      <c r="D199" s="2358"/>
      <c r="E199" s="2358"/>
      <c r="F199" s="2358"/>
      <c r="G199" s="2283"/>
      <c r="H199" s="2268"/>
      <c r="I199" s="2269"/>
      <c r="J199" s="2269"/>
      <c r="K199" s="2269"/>
      <c r="L199" s="2269"/>
      <c r="M199" s="2270"/>
      <c r="N199" s="2270"/>
      <c r="O199" s="2270"/>
      <c r="P199" s="2269"/>
      <c r="Q199" s="2269"/>
      <c r="R199" s="2269"/>
      <c r="S199" s="2269"/>
      <c r="T199" s="2269"/>
      <c r="U199" s="2269"/>
      <c r="V199" s="2269"/>
      <c r="W199" s="2269"/>
      <c r="X199" s="2269"/>
      <c r="Y199" s="2269"/>
      <c r="Z199" s="2269"/>
      <c r="AA199" s="2269"/>
    </row>
    <row r="200" spans="1:27" ht="13.5" customHeight="1" x14ac:dyDescent="0.3">
      <c r="A200" s="2269"/>
      <c r="B200" s="2269"/>
      <c r="C200" s="2272"/>
      <c r="D200" s="2358"/>
      <c r="E200" s="2358"/>
      <c r="F200" s="2358"/>
      <c r="G200" s="2283"/>
      <c r="H200" s="2268"/>
      <c r="I200" s="2269"/>
      <c r="J200" s="2269"/>
      <c r="K200" s="2269"/>
      <c r="L200" s="2269"/>
      <c r="M200" s="2270"/>
      <c r="N200" s="2270"/>
      <c r="O200" s="2270"/>
      <c r="P200" s="2269"/>
      <c r="Q200" s="2269"/>
      <c r="R200" s="2269"/>
      <c r="S200" s="2269"/>
      <c r="T200" s="2269"/>
      <c r="U200" s="2269"/>
      <c r="V200" s="2269"/>
      <c r="W200" s="2269"/>
      <c r="X200" s="2269"/>
      <c r="Y200" s="2269"/>
      <c r="Z200" s="2269"/>
      <c r="AA200" s="2269"/>
    </row>
    <row r="201" spans="1:27" ht="13.5" customHeight="1" x14ac:dyDescent="0.3">
      <c r="A201" s="2269"/>
      <c r="B201" s="2269"/>
      <c r="C201" s="2272"/>
      <c r="D201" s="2358"/>
      <c r="E201" s="2358"/>
      <c r="F201" s="2358"/>
      <c r="G201" s="2283"/>
      <c r="H201" s="2268"/>
      <c r="I201" s="2269"/>
      <c r="J201" s="2269"/>
      <c r="K201" s="2269"/>
      <c r="L201" s="2269"/>
      <c r="M201" s="2270"/>
      <c r="N201" s="2270"/>
      <c r="O201" s="2270"/>
      <c r="P201" s="2269"/>
      <c r="Q201" s="2269"/>
      <c r="R201" s="2269"/>
      <c r="S201" s="2269"/>
      <c r="T201" s="2269"/>
      <c r="U201" s="2269"/>
      <c r="V201" s="2269"/>
      <c r="W201" s="2269"/>
      <c r="X201" s="2269"/>
      <c r="Y201" s="2269"/>
      <c r="Z201" s="2269"/>
      <c r="AA201" s="2269"/>
    </row>
    <row r="202" spans="1:27" ht="13.5" customHeight="1" x14ac:dyDescent="0.3">
      <c r="A202" s="2269"/>
      <c r="B202" s="2269"/>
      <c r="C202" s="2272"/>
      <c r="D202" s="2358"/>
      <c r="E202" s="2358"/>
      <c r="F202" s="2358"/>
      <c r="G202" s="2283"/>
      <c r="H202" s="2268"/>
      <c r="I202" s="2269"/>
      <c r="J202" s="2269"/>
      <c r="K202" s="2269"/>
      <c r="L202" s="2269"/>
      <c r="M202" s="2270"/>
      <c r="N202" s="2270"/>
      <c r="O202" s="2270"/>
      <c r="P202" s="2269"/>
      <c r="Q202" s="2269"/>
      <c r="R202" s="2269"/>
      <c r="S202" s="2269"/>
      <c r="T202" s="2269"/>
      <c r="U202" s="2269"/>
      <c r="V202" s="2269"/>
      <c r="W202" s="2269"/>
      <c r="X202" s="2269"/>
      <c r="Y202" s="2269"/>
      <c r="Z202" s="2269"/>
      <c r="AA202" s="2269"/>
    </row>
    <row r="203" spans="1:27" ht="13.5" customHeight="1" x14ac:dyDescent="0.3">
      <c r="A203" s="2269"/>
      <c r="B203" s="2269"/>
      <c r="C203" s="2272"/>
      <c r="D203" s="2358"/>
      <c r="E203" s="2358"/>
      <c r="F203" s="2358"/>
      <c r="G203" s="2283"/>
      <c r="H203" s="2268"/>
      <c r="I203" s="2269"/>
      <c r="J203" s="2269"/>
      <c r="K203" s="2269"/>
      <c r="L203" s="2269"/>
      <c r="M203" s="2270"/>
      <c r="N203" s="2270"/>
      <c r="O203" s="2270"/>
      <c r="P203" s="2269"/>
      <c r="Q203" s="2269"/>
      <c r="R203" s="2269"/>
      <c r="S203" s="2269"/>
      <c r="T203" s="2269"/>
      <c r="U203" s="2269"/>
      <c r="V203" s="2269"/>
      <c r="W203" s="2269"/>
      <c r="X203" s="2269"/>
      <c r="Y203" s="2269"/>
      <c r="Z203" s="2269"/>
      <c r="AA203" s="2269"/>
    </row>
    <row r="204" spans="1:27" ht="13.5" customHeight="1" x14ac:dyDescent="0.3">
      <c r="A204" s="2269"/>
      <c r="B204" s="2269"/>
      <c r="C204" s="2272"/>
      <c r="D204" s="2358"/>
      <c r="E204" s="2358"/>
      <c r="F204" s="2358"/>
      <c r="G204" s="2283"/>
      <c r="H204" s="2268"/>
      <c r="I204" s="2269"/>
      <c r="J204" s="2269"/>
      <c r="K204" s="2269"/>
      <c r="L204" s="2269"/>
      <c r="M204" s="2270"/>
      <c r="N204" s="2270"/>
      <c r="O204" s="2270"/>
      <c r="P204" s="2269"/>
      <c r="Q204" s="2269"/>
      <c r="R204" s="2269"/>
      <c r="S204" s="2269"/>
      <c r="T204" s="2269"/>
      <c r="U204" s="2269"/>
      <c r="V204" s="2269"/>
      <c r="W204" s="2269"/>
      <c r="X204" s="2269"/>
      <c r="Y204" s="2269"/>
      <c r="Z204" s="2269"/>
      <c r="AA204" s="2269"/>
    </row>
    <row r="205" spans="1:27" ht="13.5" customHeight="1" x14ac:dyDescent="0.3">
      <c r="A205" s="2269"/>
      <c r="B205" s="2269"/>
      <c r="C205" s="2272"/>
      <c r="D205" s="2358"/>
      <c r="E205" s="2358"/>
      <c r="F205" s="2358"/>
      <c r="G205" s="2283"/>
      <c r="H205" s="2268"/>
      <c r="I205" s="2269"/>
      <c r="J205" s="2269"/>
      <c r="K205" s="2269"/>
      <c r="L205" s="2269"/>
      <c r="M205" s="2270"/>
      <c r="N205" s="2270"/>
      <c r="O205" s="2270"/>
      <c r="P205" s="2269"/>
      <c r="Q205" s="2269"/>
      <c r="R205" s="2269"/>
      <c r="S205" s="2269"/>
      <c r="T205" s="2269"/>
      <c r="U205" s="2269"/>
      <c r="V205" s="2269"/>
      <c r="W205" s="2269"/>
      <c r="X205" s="2269"/>
      <c r="Y205" s="2269"/>
      <c r="Z205" s="2269"/>
      <c r="AA205" s="2269"/>
    </row>
    <row r="206" spans="1:27" ht="13.5" customHeight="1" x14ac:dyDescent="0.3">
      <c r="A206" s="2269"/>
      <c r="B206" s="2269"/>
      <c r="C206" s="2272"/>
      <c r="D206" s="2358"/>
      <c r="E206" s="2358"/>
      <c r="F206" s="2358"/>
      <c r="G206" s="2283"/>
      <c r="H206" s="2268"/>
      <c r="I206" s="2269"/>
      <c r="J206" s="2269"/>
      <c r="K206" s="2269"/>
      <c r="L206" s="2269"/>
      <c r="M206" s="2270"/>
      <c r="N206" s="2270"/>
      <c r="O206" s="2270"/>
      <c r="P206" s="2269"/>
      <c r="Q206" s="2269"/>
      <c r="R206" s="2269"/>
      <c r="S206" s="2269"/>
      <c r="T206" s="2269"/>
      <c r="U206" s="2269"/>
      <c r="V206" s="2269"/>
      <c r="W206" s="2269"/>
      <c r="X206" s="2269"/>
      <c r="Y206" s="2269"/>
      <c r="Z206" s="2269"/>
      <c r="AA206" s="2269"/>
    </row>
    <row r="207" spans="1:27" ht="13.5" customHeight="1" x14ac:dyDescent="0.3">
      <c r="A207" s="2269"/>
      <c r="B207" s="2269"/>
      <c r="C207" s="2272"/>
      <c r="D207" s="2358"/>
      <c r="E207" s="2358"/>
      <c r="F207" s="2358"/>
      <c r="G207" s="2283"/>
      <c r="H207" s="2268"/>
      <c r="I207" s="2269"/>
      <c r="J207" s="2269"/>
      <c r="K207" s="2269"/>
      <c r="L207" s="2269"/>
      <c r="M207" s="2270"/>
      <c r="N207" s="2270"/>
      <c r="O207" s="2270"/>
      <c r="P207" s="2269"/>
      <c r="Q207" s="2269"/>
      <c r="R207" s="2269"/>
      <c r="S207" s="2269"/>
      <c r="T207" s="2269"/>
      <c r="U207" s="2269"/>
      <c r="V207" s="2269"/>
      <c r="W207" s="2269"/>
      <c r="X207" s="2269"/>
      <c r="Y207" s="2269"/>
      <c r="Z207" s="2269"/>
      <c r="AA207" s="2269"/>
    </row>
    <row r="208" spans="1:27" ht="13.5" customHeight="1" x14ac:dyDescent="0.3">
      <c r="A208" s="2269"/>
      <c r="B208" s="2269"/>
      <c r="C208" s="2272"/>
      <c r="D208" s="2358"/>
      <c r="E208" s="2358"/>
      <c r="F208" s="2358"/>
      <c r="G208" s="2283"/>
      <c r="H208" s="2268"/>
      <c r="I208" s="2269"/>
      <c r="J208" s="2269"/>
      <c r="K208" s="2269"/>
      <c r="L208" s="2269"/>
      <c r="M208" s="2270"/>
      <c r="N208" s="2270"/>
      <c r="O208" s="2270"/>
      <c r="P208" s="2269"/>
      <c r="Q208" s="2269"/>
      <c r="R208" s="2269"/>
      <c r="S208" s="2269"/>
      <c r="T208" s="2269"/>
      <c r="U208" s="2269"/>
      <c r="V208" s="2269"/>
      <c r="W208" s="2269"/>
      <c r="X208" s="2269"/>
      <c r="Y208" s="2269"/>
      <c r="Z208" s="2269"/>
      <c r="AA208" s="2269"/>
    </row>
    <row r="209" spans="1:27" ht="13.5" customHeight="1" x14ac:dyDescent="0.3">
      <c r="A209" s="2269"/>
      <c r="B209" s="2269"/>
      <c r="C209" s="2272"/>
      <c r="D209" s="2358"/>
      <c r="E209" s="2358"/>
      <c r="F209" s="2358"/>
      <c r="G209" s="2283"/>
      <c r="H209" s="2268"/>
      <c r="I209" s="2269"/>
      <c r="J209" s="2269"/>
      <c r="K209" s="2269"/>
      <c r="L209" s="2269"/>
      <c r="M209" s="2270"/>
      <c r="N209" s="2270"/>
      <c r="O209" s="2270"/>
      <c r="P209" s="2269"/>
      <c r="Q209" s="2269"/>
      <c r="R209" s="2269"/>
      <c r="S209" s="2269"/>
      <c r="T209" s="2269"/>
      <c r="U209" s="2269"/>
      <c r="V209" s="2269"/>
      <c r="W209" s="2269"/>
      <c r="X209" s="2269"/>
      <c r="Y209" s="2269"/>
      <c r="Z209" s="2269"/>
      <c r="AA209" s="2269"/>
    </row>
    <row r="210" spans="1:27" ht="13.5" customHeight="1" x14ac:dyDescent="0.3">
      <c r="A210" s="2269"/>
      <c r="B210" s="2269"/>
      <c r="C210" s="2272"/>
      <c r="D210" s="2358"/>
      <c r="E210" s="2358"/>
      <c r="F210" s="2358"/>
      <c r="G210" s="2283"/>
      <c r="H210" s="2268"/>
      <c r="I210" s="2269"/>
      <c r="J210" s="2269"/>
      <c r="K210" s="2269"/>
      <c r="L210" s="2269"/>
      <c r="M210" s="2270"/>
      <c r="N210" s="2270"/>
      <c r="O210" s="2270"/>
      <c r="P210" s="2269"/>
      <c r="Q210" s="2269"/>
      <c r="R210" s="2269"/>
      <c r="S210" s="2269"/>
      <c r="T210" s="2269"/>
      <c r="U210" s="2269"/>
      <c r="V210" s="2269"/>
      <c r="W210" s="2269"/>
      <c r="X210" s="2269"/>
      <c r="Y210" s="2269"/>
      <c r="Z210" s="2269"/>
      <c r="AA210" s="2269"/>
    </row>
    <row r="211" spans="1:27" ht="13.5" customHeight="1" x14ac:dyDescent="0.3">
      <c r="A211" s="2269"/>
      <c r="B211" s="2269"/>
      <c r="C211" s="2272"/>
      <c r="D211" s="2358"/>
      <c r="E211" s="2358"/>
      <c r="F211" s="2358"/>
      <c r="G211" s="2283"/>
      <c r="H211" s="2268"/>
      <c r="I211" s="2269"/>
      <c r="J211" s="2269"/>
      <c r="K211" s="2269"/>
      <c r="L211" s="2269"/>
      <c r="M211" s="2270"/>
      <c r="N211" s="2270"/>
      <c r="O211" s="2270"/>
      <c r="P211" s="2269"/>
      <c r="Q211" s="2269"/>
      <c r="R211" s="2269"/>
      <c r="S211" s="2269"/>
      <c r="T211" s="2269"/>
      <c r="U211" s="2269"/>
      <c r="V211" s="2269"/>
      <c r="W211" s="2269"/>
      <c r="X211" s="2269"/>
      <c r="Y211" s="2269"/>
      <c r="Z211" s="2269"/>
      <c r="AA211" s="2269"/>
    </row>
    <row r="212" spans="1:27" ht="13.5" customHeight="1" x14ac:dyDescent="0.3">
      <c r="A212" s="2269"/>
      <c r="B212" s="2269"/>
      <c r="C212" s="2272"/>
      <c r="D212" s="2358"/>
      <c r="E212" s="2358"/>
      <c r="F212" s="2358"/>
      <c r="G212" s="2283"/>
      <c r="H212" s="2268"/>
      <c r="I212" s="2269"/>
      <c r="J212" s="2269"/>
      <c r="K212" s="2269"/>
      <c r="L212" s="2269"/>
      <c r="M212" s="2270"/>
      <c r="N212" s="2270"/>
      <c r="O212" s="2270"/>
      <c r="P212" s="2269"/>
      <c r="Q212" s="2269"/>
      <c r="R212" s="2269"/>
      <c r="S212" s="2269"/>
      <c r="T212" s="2269"/>
      <c r="U212" s="2269"/>
      <c r="V212" s="2269"/>
      <c r="W212" s="2269"/>
      <c r="X212" s="2269"/>
      <c r="Y212" s="2269"/>
      <c r="Z212" s="2269"/>
      <c r="AA212" s="2269"/>
    </row>
    <row r="213" spans="1:27" ht="13.5" customHeight="1" x14ac:dyDescent="0.3">
      <c r="A213" s="2269"/>
      <c r="B213" s="2269"/>
      <c r="C213" s="2272"/>
      <c r="D213" s="2358"/>
      <c r="E213" s="2358"/>
      <c r="F213" s="2358"/>
      <c r="G213" s="2283"/>
      <c r="H213" s="2268"/>
      <c r="I213" s="2269"/>
      <c r="J213" s="2269"/>
      <c r="K213" s="2269"/>
      <c r="L213" s="2269"/>
      <c r="M213" s="2270"/>
      <c r="N213" s="2270"/>
      <c r="O213" s="2270"/>
      <c r="P213" s="2269"/>
      <c r="Q213" s="2269"/>
      <c r="R213" s="2269"/>
      <c r="S213" s="2269"/>
      <c r="T213" s="2269"/>
      <c r="U213" s="2269"/>
      <c r="V213" s="2269"/>
      <c r="W213" s="2269"/>
      <c r="X213" s="2269"/>
      <c r="Y213" s="2269"/>
      <c r="Z213" s="2269"/>
      <c r="AA213" s="2269"/>
    </row>
    <row r="214" spans="1:27" ht="13.5" customHeight="1" x14ac:dyDescent="0.3">
      <c r="A214" s="2269"/>
      <c r="B214" s="2269"/>
      <c r="C214" s="2272"/>
      <c r="D214" s="2358"/>
      <c r="E214" s="2358"/>
      <c r="F214" s="2358"/>
      <c r="G214" s="2283"/>
      <c r="H214" s="2268"/>
      <c r="I214" s="2269"/>
      <c r="J214" s="2269"/>
      <c r="K214" s="2269"/>
      <c r="L214" s="2269"/>
      <c r="M214" s="2270"/>
      <c r="N214" s="2270"/>
      <c r="O214" s="2270"/>
      <c r="P214" s="2269"/>
      <c r="Q214" s="2269"/>
      <c r="R214" s="2269"/>
      <c r="S214" s="2269"/>
      <c r="T214" s="2269"/>
      <c r="U214" s="2269"/>
      <c r="V214" s="2269"/>
      <c r="W214" s="2269"/>
      <c r="X214" s="2269"/>
      <c r="Y214" s="2269"/>
      <c r="Z214" s="2269"/>
      <c r="AA214" s="2269"/>
    </row>
    <row r="215" spans="1:27" ht="13.5" customHeight="1" x14ac:dyDescent="0.3">
      <c r="A215" s="2269"/>
      <c r="B215" s="2269"/>
      <c r="C215" s="2272"/>
      <c r="D215" s="2358"/>
      <c r="E215" s="2358"/>
      <c r="F215" s="2358"/>
      <c r="G215" s="2283"/>
      <c r="H215" s="2268"/>
      <c r="I215" s="2269"/>
      <c r="J215" s="2269"/>
      <c r="K215" s="2269"/>
      <c r="L215" s="2269"/>
      <c r="M215" s="2270"/>
      <c r="N215" s="2270"/>
      <c r="O215" s="2270"/>
      <c r="P215" s="2269"/>
      <c r="Q215" s="2269"/>
      <c r="R215" s="2269"/>
      <c r="S215" s="2269"/>
      <c r="T215" s="2269"/>
      <c r="U215" s="2269"/>
      <c r="V215" s="2269"/>
      <c r="W215" s="2269"/>
      <c r="X215" s="2269"/>
      <c r="Y215" s="2269"/>
      <c r="Z215" s="2269"/>
      <c r="AA215" s="2269"/>
    </row>
    <row r="216" spans="1:27" ht="13.5" customHeight="1" x14ac:dyDescent="0.3">
      <c r="A216" s="2269"/>
      <c r="B216" s="2269"/>
      <c r="C216" s="2272"/>
      <c r="D216" s="2358"/>
      <c r="E216" s="2358"/>
      <c r="F216" s="2358"/>
      <c r="G216" s="2283"/>
      <c r="H216" s="2268"/>
      <c r="I216" s="2269"/>
      <c r="J216" s="2269"/>
      <c r="K216" s="2269"/>
      <c r="L216" s="2269"/>
      <c r="M216" s="2270"/>
      <c r="N216" s="2270"/>
      <c r="O216" s="2270"/>
      <c r="P216" s="2269"/>
      <c r="Q216" s="2269"/>
      <c r="R216" s="2269"/>
      <c r="S216" s="2269"/>
      <c r="T216" s="2269"/>
      <c r="U216" s="2269"/>
      <c r="V216" s="2269"/>
      <c r="W216" s="2269"/>
      <c r="X216" s="2269"/>
      <c r="Y216" s="2269"/>
      <c r="Z216" s="2269"/>
      <c r="AA216" s="2269"/>
    </row>
    <row r="217" spans="1:27" ht="13.5" customHeight="1" x14ac:dyDescent="0.3">
      <c r="A217" s="2269"/>
      <c r="B217" s="2269"/>
      <c r="C217" s="2272"/>
      <c r="D217" s="2358"/>
      <c r="E217" s="2358"/>
      <c r="F217" s="2358"/>
      <c r="G217" s="2283"/>
      <c r="H217" s="2268"/>
      <c r="I217" s="2269"/>
      <c r="J217" s="2269"/>
      <c r="K217" s="2269"/>
      <c r="L217" s="2269"/>
      <c r="M217" s="2270"/>
      <c r="N217" s="2270"/>
      <c r="O217" s="2270"/>
      <c r="P217" s="2269"/>
      <c r="Q217" s="2269"/>
      <c r="R217" s="2269"/>
      <c r="S217" s="2269"/>
      <c r="T217" s="2269"/>
      <c r="U217" s="2269"/>
      <c r="V217" s="2269"/>
      <c r="W217" s="2269"/>
      <c r="X217" s="2269"/>
      <c r="Y217" s="2269"/>
      <c r="Z217" s="2269"/>
      <c r="AA217" s="2269"/>
    </row>
    <row r="218" spans="1:27" ht="13.5" customHeight="1" x14ac:dyDescent="0.3">
      <c r="A218" s="2269"/>
      <c r="B218" s="2269"/>
      <c r="C218" s="2272"/>
      <c r="D218" s="2358"/>
      <c r="E218" s="2358"/>
      <c r="F218" s="2358"/>
      <c r="G218" s="2283"/>
      <c r="H218" s="2268"/>
      <c r="I218" s="2269"/>
      <c r="J218" s="2269"/>
      <c r="K218" s="2269"/>
      <c r="L218" s="2269"/>
      <c r="M218" s="2270"/>
      <c r="N218" s="2270"/>
      <c r="O218" s="2270"/>
      <c r="P218" s="2269"/>
      <c r="Q218" s="2269"/>
      <c r="R218" s="2269"/>
      <c r="S218" s="2269"/>
      <c r="T218" s="2269"/>
      <c r="U218" s="2269"/>
      <c r="V218" s="2269"/>
      <c r="W218" s="2269"/>
      <c r="X218" s="2269"/>
      <c r="Y218" s="2269"/>
      <c r="Z218" s="2269"/>
      <c r="AA218" s="2269"/>
    </row>
    <row r="219" spans="1:27" ht="13.5" customHeight="1" x14ac:dyDescent="0.3">
      <c r="A219" s="2269"/>
      <c r="B219" s="2269"/>
      <c r="C219" s="2272"/>
      <c r="D219" s="2358"/>
      <c r="E219" s="2358"/>
      <c r="F219" s="2358"/>
      <c r="G219" s="2283"/>
      <c r="H219" s="2268"/>
      <c r="I219" s="2269"/>
      <c r="J219" s="2269"/>
      <c r="K219" s="2269"/>
      <c r="L219" s="2269"/>
      <c r="M219" s="2270"/>
      <c r="N219" s="2270"/>
      <c r="O219" s="2270"/>
      <c r="P219" s="2269"/>
      <c r="Q219" s="2269"/>
      <c r="R219" s="2269"/>
      <c r="S219" s="2269"/>
      <c r="T219" s="2269"/>
      <c r="U219" s="2269"/>
      <c r="V219" s="2269"/>
      <c r="W219" s="2269"/>
      <c r="X219" s="2269"/>
      <c r="Y219" s="2269"/>
      <c r="Z219" s="2269"/>
      <c r="AA219" s="2269"/>
    </row>
    <row r="220" spans="1:27" ht="13.5" customHeight="1" x14ac:dyDescent="0.3">
      <c r="A220" s="2269"/>
      <c r="B220" s="2269"/>
      <c r="C220" s="2272"/>
      <c r="D220" s="2358"/>
      <c r="E220" s="2358"/>
      <c r="F220" s="2358"/>
      <c r="G220" s="2283"/>
      <c r="H220" s="2268"/>
      <c r="I220" s="2269"/>
      <c r="J220" s="2269"/>
      <c r="K220" s="2269"/>
      <c r="L220" s="2269"/>
      <c r="M220" s="2270"/>
      <c r="N220" s="2270"/>
      <c r="O220" s="2270"/>
      <c r="P220" s="2269"/>
      <c r="Q220" s="2269"/>
      <c r="R220" s="2269"/>
      <c r="S220" s="2269"/>
      <c r="T220" s="2269"/>
      <c r="U220" s="2269"/>
      <c r="V220" s="2269"/>
      <c r="W220" s="2269"/>
      <c r="X220" s="2269"/>
      <c r="Y220" s="2269"/>
      <c r="Z220" s="2269"/>
      <c r="AA220" s="2269"/>
    </row>
    <row r="221" spans="1:27" ht="13.5" customHeight="1" x14ac:dyDescent="0.3">
      <c r="A221" s="2269"/>
      <c r="B221" s="2269"/>
      <c r="C221" s="2272"/>
      <c r="D221" s="2358"/>
      <c r="E221" s="2358"/>
      <c r="F221" s="2358"/>
      <c r="G221" s="2283"/>
      <c r="H221" s="2268"/>
      <c r="I221" s="2269"/>
      <c r="J221" s="2269"/>
      <c r="K221" s="2269"/>
      <c r="L221" s="2269"/>
      <c r="M221" s="2270"/>
      <c r="N221" s="2270"/>
      <c r="O221" s="2270"/>
      <c r="P221" s="2269"/>
      <c r="Q221" s="2269"/>
      <c r="R221" s="2269"/>
      <c r="S221" s="2269"/>
      <c r="T221" s="2269"/>
      <c r="U221" s="2269"/>
      <c r="V221" s="2269"/>
      <c r="W221" s="2269"/>
      <c r="X221" s="2269"/>
      <c r="Y221" s="2269"/>
      <c r="Z221" s="2269"/>
      <c r="AA221" s="2269"/>
    </row>
    <row r="222" spans="1:27" ht="13.5" customHeight="1" x14ac:dyDescent="0.3">
      <c r="A222" s="2269"/>
      <c r="B222" s="2269"/>
      <c r="C222" s="2272"/>
      <c r="D222" s="2358"/>
      <c r="E222" s="2358"/>
      <c r="F222" s="2358"/>
      <c r="G222" s="2283"/>
      <c r="H222" s="2268"/>
      <c r="I222" s="2269"/>
      <c r="J222" s="2269"/>
      <c r="K222" s="2269"/>
      <c r="L222" s="2269"/>
      <c r="M222" s="2270"/>
      <c r="N222" s="2270"/>
      <c r="O222" s="2270"/>
      <c r="P222" s="2269"/>
      <c r="Q222" s="2269"/>
      <c r="R222" s="2269"/>
      <c r="S222" s="2269"/>
      <c r="T222" s="2269"/>
      <c r="U222" s="2269"/>
      <c r="V222" s="2269"/>
      <c r="W222" s="2269"/>
      <c r="X222" s="2269"/>
      <c r="Y222" s="2269"/>
      <c r="Z222" s="2269"/>
      <c r="AA222" s="2269"/>
    </row>
    <row r="223" spans="1:27" ht="13.5" customHeight="1" x14ac:dyDescent="0.3">
      <c r="A223" s="2269"/>
      <c r="B223" s="2269"/>
      <c r="C223" s="2272"/>
      <c r="D223" s="2358"/>
      <c r="E223" s="2358"/>
      <c r="F223" s="2358"/>
      <c r="G223" s="2283"/>
      <c r="H223" s="2268"/>
      <c r="I223" s="2269"/>
      <c r="J223" s="2269"/>
      <c r="K223" s="2269"/>
      <c r="L223" s="2269"/>
      <c r="M223" s="2270"/>
      <c r="N223" s="2270"/>
      <c r="O223" s="2270"/>
      <c r="P223" s="2269"/>
      <c r="Q223" s="2269"/>
      <c r="R223" s="2269"/>
      <c r="S223" s="2269"/>
      <c r="T223" s="2269"/>
      <c r="U223" s="2269"/>
      <c r="V223" s="2269"/>
      <c r="W223" s="2269"/>
      <c r="X223" s="2269"/>
      <c r="Y223" s="2269"/>
      <c r="Z223" s="2269"/>
      <c r="AA223" s="2269"/>
    </row>
    <row r="224" spans="1:27" ht="13.5" customHeight="1" x14ac:dyDescent="0.3">
      <c r="A224" s="2269"/>
      <c r="B224" s="2269"/>
      <c r="C224" s="2272"/>
      <c r="D224" s="2358"/>
      <c r="E224" s="2358"/>
      <c r="F224" s="2358"/>
      <c r="G224" s="2283"/>
      <c r="H224" s="2268"/>
      <c r="I224" s="2269"/>
      <c r="J224" s="2269"/>
      <c r="K224" s="2269"/>
      <c r="L224" s="2269"/>
      <c r="M224" s="2270"/>
      <c r="N224" s="2270"/>
      <c r="O224" s="2270"/>
      <c r="P224" s="2269"/>
      <c r="Q224" s="2269"/>
      <c r="R224" s="2269"/>
      <c r="S224" s="2269"/>
      <c r="T224" s="2269"/>
      <c r="U224" s="2269"/>
      <c r="V224" s="2269"/>
      <c r="W224" s="2269"/>
      <c r="X224" s="2269"/>
      <c r="Y224" s="2269"/>
      <c r="Z224" s="2269"/>
      <c r="AA224" s="2269"/>
    </row>
    <row r="225" spans="1:27" ht="13.5" customHeight="1" x14ac:dyDescent="0.3">
      <c r="A225" s="2269"/>
      <c r="B225" s="2269"/>
      <c r="C225" s="2272"/>
      <c r="D225" s="2358"/>
      <c r="E225" s="2358"/>
      <c r="F225" s="2358"/>
      <c r="G225" s="2283"/>
      <c r="H225" s="2268"/>
      <c r="I225" s="2269"/>
      <c r="J225" s="2269"/>
      <c r="K225" s="2269"/>
      <c r="L225" s="2269"/>
      <c r="M225" s="2270"/>
      <c r="N225" s="2270"/>
      <c r="O225" s="2270"/>
      <c r="P225" s="2269"/>
      <c r="Q225" s="2269"/>
      <c r="R225" s="2269"/>
      <c r="S225" s="2269"/>
      <c r="T225" s="2269"/>
      <c r="U225" s="2269"/>
      <c r="V225" s="2269"/>
      <c r="W225" s="2269"/>
      <c r="X225" s="2269"/>
      <c r="Y225" s="2269"/>
      <c r="Z225" s="2269"/>
      <c r="AA225" s="2269"/>
    </row>
    <row r="226" spans="1:27" ht="13.5" customHeight="1" x14ac:dyDescent="0.3">
      <c r="A226" s="2269"/>
      <c r="B226" s="2269"/>
      <c r="C226" s="2272"/>
      <c r="D226" s="2358"/>
      <c r="E226" s="2358"/>
      <c r="F226" s="2358"/>
      <c r="G226" s="2283"/>
      <c r="H226" s="2268"/>
      <c r="I226" s="2269"/>
      <c r="J226" s="2269"/>
      <c r="K226" s="2269"/>
      <c r="L226" s="2269"/>
      <c r="M226" s="2270"/>
      <c r="N226" s="2270"/>
      <c r="O226" s="2270"/>
      <c r="P226" s="2269"/>
      <c r="Q226" s="2269"/>
      <c r="R226" s="2269"/>
      <c r="S226" s="2269"/>
      <c r="T226" s="2269"/>
      <c r="U226" s="2269"/>
      <c r="V226" s="2269"/>
      <c r="W226" s="2269"/>
      <c r="X226" s="2269"/>
      <c r="Y226" s="2269"/>
      <c r="Z226" s="2269"/>
      <c r="AA226" s="2269"/>
    </row>
    <row r="227" spans="1:27" ht="13.5" customHeight="1" x14ac:dyDescent="0.3">
      <c r="A227" s="2269"/>
      <c r="B227" s="2269"/>
      <c r="C227" s="2272"/>
      <c r="D227" s="2358"/>
      <c r="E227" s="2358"/>
      <c r="F227" s="2358"/>
      <c r="G227" s="2283"/>
      <c r="H227" s="2268"/>
      <c r="I227" s="2269"/>
      <c r="J227" s="2269"/>
      <c r="K227" s="2269"/>
      <c r="L227" s="2269"/>
      <c r="M227" s="2270"/>
      <c r="N227" s="2270"/>
      <c r="O227" s="2270"/>
      <c r="P227" s="2269"/>
      <c r="Q227" s="2269"/>
      <c r="R227" s="2269"/>
      <c r="S227" s="2269"/>
      <c r="T227" s="2269"/>
      <c r="U227" s="2269"/>
      <c r="V227" s="2269"/>
      <c r="W227" s="2269"/>
      <c r="X227" s="2269"/>
      <c r="Y227" s="2269"/>
      <c r="Z227" s="2269"/>
      <c r="AA227" s="2269"/>
    </row>
    <row r="228" spans="1:27" ht="13.5" customHeight="1" x14ac:dyDescent="0.3">
      <c r="A228" s="2269"/>
      <c r="B228" s="2269"/>
      <c r="C228" s="2272"/>
      <c r="D228" s="2358"/>
      <c r="E228" s="2358"/>
      <c r="F228" s="2358"/>
      <c r="G228" s="2283"/>
      <c r="H228" s="2268"/>
      <c r="I228" s="2269"/>
      <c r="J228" s="2269"/>
      <c r="K228" s="2269"/>
      <c r="L228" s="2269"/>
      <c r="M228" s="2270"/>
      <c r="N228" s="2270"/>
      <c r="O228" s="2270"/>
      <c r="P228" s="2269"/>
      <c r="Q228" s="2269"/>
      <c r="R228" s="2269"/>
      <c r="S228" s="2269"/>
      <c r="T228" s="2269"/>
      <c r="U228" s="2269"/>
      <c r="V228" s="2269"/>
      <c r="W228" s="2269"/>
      <c r="X228" s="2269"/>
      <c r="Y228" s="2269"/>
      <c r="Z228" s="2269"/>
      <c r="AA228" s="2269"/>
    </row>
    <row r="229" spans="1:27" ht="13.5" customHeight="1" x14ac:dyDescent="0.3">
      <c r="A229" s="2269"/>
      <c r="B229" s="2269"/>
      <c r="C229" s="2272"/>
      <c r="D229" s="2358"/>
      <c r="E229" s="2358"/>
      <c r="F229" s="2358"/>
      <c r="G229" s="2283"/>
      <c r="H229" s="2268"/>
      <c r="I229" s="2269"/>
      <c r="J229" s="2269"/>
      <c r="K229" s="2269"/>
      <c r="L229" s="2269"/>
      <c r="M229" s="2270"/>
      <c r="N229" s="2270"/>
      <c r="O229" s="2270"/>
      <c r="P229" s="2269"/>
      <c r="Q229" s="2269"/>
      <c r="R229" s="2269"/>
      <c r="S229" s="2269"/>
      <c r="T229" s="2269"/>
      <c r="U229" s="2269"/>
      <c r="V229" s="2269"/>
      <c r="W229" s="2269"/>
      <c r="X229" s="2269"/>
      <c r="Y229" s="2269"/>
      <c r="Z229" s="2269"/>
      <c r="AA229" s="2269"/>
    </row>
    <row r="230" spans="1:27" ht="13.5" customHeight="1" x14ac:dyDescent="0.3">
      <c r="A230" s="2269"/>
      <c r="B230" s="2269"/>
      <c r="C230" s="2272"/>
      <c r="D230" s="2358"/>
      <c r="E230" s="2358"/>
      <c r="F230" s="2358"/>
      <c r="G230" s="2283"/>
      <c r="H230" s="2268"/>
      <c r="I230" s="2269"/>
      <c r="J230" s="2269"/>
      <c r="K230" s="2269"/>
      <c r="L230" s="2269"/>
      <c r="M230" s="2270"/>
      <c r="N230" s="2270"/>
      <c r="O230" s="2270"/>
      <c r="P230" s="2269"/>
      <c r="Q230" s="2269"/>
      <c r="R230" s="2269"/>
      <c r="S230" s="2269"/>
      <c r="T230" s="2269"/>
      <c r="U230" s="2269"/>
      <c r="V230" s="2269"/>
      <c r="W230" s="2269"/>
      <c r="X230" s="2269"/>
      <c r="Y230" s="2269"/>
      <c r="Z230" s="2269"/>
      <c r="AA230" s="2269"/>
    </row>
    <row r="231" spans="1:27" ht="13.5" customHeight="1" x14ac:dyDescent="0.3">
      <c r="A231" s="2269"/>
      <c r="B231" s="2269"/>
      <c r="C231" s="2272"/>
      <c r="D231" s="2358"/>
      <c r="E231" s="2358"/>
      <c r="F231" s="2358"/>
      <c r="G231" s="2283"/>
      <c r="H231" s="2268"/>
      <c r="I231" s="2269"/>
      <c r="J231" s="2269"/>
      <c r="K231" s="2269"/>
      <c r="L231" s="2269"/>
      <c r="M231" s="2270"/>
      <c r="N231" s="2270"/>
      <c r="O231" s="2270"/>
      <c r="P231" s="2269"/>
      <c r="Q231" s="2269"/>
      <c r="R231" s="2269"/>
      <c r="S231" s="2269"/>
      <c r="T231" s="2269"/>
      <c r="U231" s="2269"/>
      <c r="V231" s="2269"/>
      <c r="W231" s="2269"/>
      <c r="X231" s="2269"/>
      <c r="Y231" s="2269"/>
      <c r="Z231" s="2269"/>
      <c r="AA231" s="2269"/>
    </row>
    <row r="232" spans="1:27" ht="13.5" customHeight="1" x14ac:dyDescent="0.3">
      <c r="A232" s="2269"/>
      <c r="B232" s="2269"/>
      <c r="C232" s="2272"/>
      <c r="D232" s="2358"/>
      <c r="E232" s="2358"/>
      <c r="F232" s="2358"/>
      <c r="G232" s="2283"/>
      <c r="H232" s="2268"/>
      <c r="I232" s="2269"/>
      <c r="J232" s="2269"/>
      <c r="K232" s="2269"/>
      <c r="L232" s="2269"/>
      <c r="M232" s="2270"/>
      <c r="N232" s="2270"/>
      <c r="O232" s="2270"/>
      <c r="P232" s="2269"/>
      <c r="Q232" s="2269"/>
      <c r="R232" s="2269"/>
      <c r="S232" s="2269"/>
      <c r="T232" s="2269"/>
      <c r="U232" s="2269"/>
      <c r="V232" s="2269"/>
      <c r="W232" s="2269"/>
      <c r="X232" s="2269"/>
      <c r="Y232" s="2269"/>
      <c r="Z232" s="2269"/>
      <c r="AA232" s="2269"/>
    </row>
    <row r="233" spans="1:27" ht="13.5" customHeight="1" x14ac:dyDescent="0.3">
      <c r="A233" s="2269"/>
      <c r="B233" s="2269"/>
      <c r="C233" s="2272"/>
      <c r="D233" s="2358"/>
      <c r="E233" s="2358"/>
      <c r="F233" s="2358"/>
      <c r="G233" s="2283"/>
      <c r="H233" s="2268"/>
      <c r="I233" s="2269"/>
      <c r="J233" s="2269"/>
      <c r="K233" s="2269"/>
      <c r="L233" s="2269"/>
      <c r="M233" s="2270"/>
      <c r="N233" s="2270"/>
      <c r="O233" s="2270"/>
      <c r="P233" s="2269"/>
      <c r="Q233" s="2269"/>
      <c r="R233" s="2269"/>
      <c r="S233" s="2269"/>
      <c r="T233" s="2269"/>
      <c r="U233" s="2269"/>
      <c r="V233" s="2269"/>
      <c r="W233" s="2269"/>
      <c r="X233" s="2269"/>
      <c r="Y233" s="2269"/>
      <c r="Z233" s="2269"/>
      <c r="AA233" s="2269"/>
    </row>
    <row r="234" spans="1:27" ht="13.5" customHeight="1" x14ac:dyDescent="0.3">
      <c r="A234" s="2269"/>
      <c r="B234" s="2269"/>
      <c r="C234" s="2272"/>
      <c r="D234" s="2358"/>
      <c r="E234" s="2358"/>
      <c r="F234" s="2358"/>
      <c r="G234" s="2283"/>
      <c r="H234" s="2268"/>
      <c r="I234" s="2269"/>
      <c r="J234" s="2269"/>
      <c r="K234" s="2269"/>
      <c r="L234" s="2269"/>
      <c r="M234" s="2270"/>
      <c r="N234" s="2270"/>
      <c r="O234" s="2270"/>
      <c r="P234" s="2269"/>
      <c r="Q234" s="2269"/>
      <c r="R234" s="2269"/>
      <c r="S234" s="2269"/>
      <c r="T234" s="2269"/>
      <c r="U234" s="2269"/>
      <c r="V234" s="2269"/>
      <c r="W234" s="2269"/>
      <c r="X234" s="2269"/>
      <c r="Y234" s="2269"/>
      <c r="Z234" s="2269"/>
      <c r="AA234" s="2269"/>
    </row>
    <row r="235" spans="1:27" ht="13.5" customHeight="1" x14ac:dyDescent="0.3">
      <c r="A235" s="2269"/>
      <c r="B235" s="2269"/>
      <c r="C235" s="2272"/>
      <c r="D235" s="2358"/>
      <c r="E235" s="2358"/>
      <c r="F235" s="2358"/>
      <c r="G235" s="2283"/>
      <c r="H235" s="2268"/>
      <c r="I235" s="2269"/>
      <c r="J235" s="2269"/>
      <c r="K235" s="2269"/>
      <c r="L235" s="2269"/>
      <c r="M235" s="2270"/>
      <c r="N235" s="2270"/>
      <c r="O235" s="2270"/>
      <c r="P235" s="2269"/>
      <c r="Q235" s="2269"/>
      <c r="R235" s="2269"/>
      <c r="S235" s="2269"/>
      <c r="T235" s="2269"/>
      <c r="U235" s="2269"/>
      <c r="V235" s="2269"/>
      <c r="W235" s="2269"/>
      <c r="X235" s="2269"/>
      <c r="Y235" s="2269"/>
      <c r="Z235" s="2269"/>
      <c r="AA235" s="2269"/>
    </row>
    <row r="236" spans="1:27" ht="13.5" customHeight="1" x14ac:dyDescent="0.3">
      <c r="A236" s="2269"/>
      <c r="B236" s="2269"/>
      <c r="C236" s="2272"/>
      <c r="D236" s="2358"/>
      <c r="E236" s="2358"/>
      <c r="F236" s="2358"/>
      <c r="G236" s="2283"/>
      <c r="H236" s="2268"/>
      <c r="I236" s="2269"/>
      <c r="J236" s="2269"/>
      <c r="K236" s="2269"/>
      <c r="L236" s="2269"/>
      <c r="M236" s="2270"/>
      <c r="N236" s="2270"/>
      <c r="O236" s="2270"/>
      <c r="P236" s="2269"/>
      <c r="Q236" s="2269"/>
      <c r="R236" s="2269"/>
      <c r="S236" s="2269"/>
      <c r="T236" s="2269"/>
      <c r="U236" s="2269"/>
      <c r="V236" s="2269"/>
      <c r="W236" s="2269"/>
      <c r="X236" s="2269"/>
      <c r="Y236" s="2269"/>
      <c r="Z236" s="2269"/>
      <c r="AA236" s="2269"/>
    </row>
    <row r="237" spans="1:27" ht="13.5" customHeight="1" x14ac:dyDescent="0.3">
      <c r="A237" s="2269"/>
      <c r="B237" s="2269"/>
      <c r="C237" s="2272"/>
      <c r="D237" s="2358"/>
      <c r="E237" s="2358"/>
      <c r="F237" s="2358"/>
      <c r="G237" s="2283"/>
      <c r="H237" s="2268"/>
      <c r="I237" s="2269"/>
      <c r="J237" s="2269"/>
      <c r="K237" s="2269"/>
      <c r="L237" s="2269"/>
      <c r="M237" s="2270"/>
      <c r="N237" s="2270"/>
      <c r="O237" s="2270"/>
      <c r="P237" s="2269"/>
      <c r="Q237" s="2269"/>
      <c r="R237" s="2269"/>
      <c r="S237" s="2269"/>
      <c r="T237" s="2269"/>
      <c r="U237" s="2269"/>
      <c r="V237" s="2269"/>
      <c r="W237" s="2269"/>
      <c r="X237" s="2269"/>
      <c r="Y237" s="2269"/>
      <c r="Z237" s="2269"/>
      <c r="AA237" s="2269"/>
    </row>
    <row r="238" spans="1:27" ht="13.5" customHeight="1" x14ac:dyDescent="0.3">
      <c r="A238" s="2269"/>
      <c r="B238" s="2269"/>
      <c r="C238" s="2272"/>
      <c r="D238" s="2358"/>
      <c r="E238" s="2358"/>
      <c r="F238" s="2358"/>
      <c r="G238" s="2283"/>
      <c r="H238" s="2268"/>
      <c r="I238" s="2269"/>
      <c r="J238" s="2269"/>
      <c r="K238" s="2269"/>
      <c r="L238" s="2269"/>
      <c r="M238" s="2270"/>
      <c r="N238" s="2270"/>
      <c r="O238" s="2270"/>
      <c r="P238" s="2269"/>
      <c r="Q238" s="2269"/>
      <c r="R238" s="2269"/>
      <c r="S238" s="2269"/>
      <c r="T238" s="2269"/>
      <c r="U238" s="2269"/>
      <c r="V238" s="2269"/>
      <c r="W238" s="2269"/>
      <c r="X238" s="2269"/>
      <c r="Y238" s="2269"/>
      <c r="Z238" s="2269"/>
      <c r="AA238" s="2269"/>
    </row>
    <row r="239" spans="1:27" ht="13.5" customHeight="1" x14ac:dyDescent="0.3">
      <c r="A239" s="2269"/>
      <c r="B239" s="2269"/>
      <c r="C239" s="2272"/>
      <c r="D239" s="2358"/>
      <c r="E239" s="2358"/>
      <c r="F239" s="2358"/>
      <c r="G239" s="2283"/>
      <c r="H239" s="2268"/>
      <c r="I239" s="2269"/>
      <c r="J239" s="2269"/>
      <c r="K239" s="2269"/>
      <c r="L239" s="2269"/>
      <c r="M239" s="2270"/>
      <c r="N239" s="2270"/>
      <c r="O239" s="2270"/>
      <c r="P239" s="2269"/>
      <c r="Q239" s="2269"/>
      <c r="R239" s="2269"/>
      <c r="S239" s="2269"/>
      <c r="T239" s="2269"/>
      <c r="U239" s="2269"/>
      <c r="V239" s="2269"/>
      <c r="W239" s="2269"/>
      <c r="X239" s="2269"/>
      <c r="Y239" s="2269"/>
      <c r="Z239" s="2269"/>
      <c r="AA239" s="2269"/>
    </row>
    <row r="240" spans="1:27" ht="13.5" customHeight="1" x14ac:dyDescent="0.3">
      <c r="A240" s="2269"/>
      <c r="B240" s="2269"/>
      <c r="C240" s="2272"/>
      <c r="D240" s="2358"/>
      <c r="E240" s="2358"/>
      <c r="F240" s="2358"/>
      <c r="G240" s="2283"/>
      <c r="H240" s="2268"/>
      <c r="I240" s="2269"/>
      <c r="J240" s="2269"/>
      <c r="K240" s="2269"/>
      <c r="L240" s="2269"/>
      <c r="M240" s="2270"/>
      <c r="N240" s="2270"/>
      <c r="O240" s="2270"/>
      <c r="P240" s="2269"/>
      <c r="Q240" s="2269"/>
      <c r="R240" s="2269"/>
      <c r="S240" s="2269"/>
      <c r="T240" s="2269"/>
      <c r="U240" s="2269"/>
      <c r="V240" s="2269"/>
      <c r="W240" s="2269"/>
      <c r="X240" s="2269"/>
      <c r="Y240" s="2269"/>
      <c r="Z240" s="2269"/>
      <c r="AA240" s="2269"/>
    </row>
    <row r="241" spans="1:27" ht="13.5" customHeight="1" x14ac:dyDescent="0.3">
      <c r="A241" s="2269"/>
      <c r="B241" s="2269"/>
      <c r="C241" s="2272"/>
      <c r="D241" s="2358"/>
      <c r="E241" s="2358"/>
      <c r="F241" s="2358"/>
      <c r="G241" s="2283"/>
      <c r="H241" s="2268"/>
      <c r="I241" s="2269"/>
      <c r="J241" s="2269"/>
      <c r="K241" s="2269"/>
      <c r="L241" s="2269"/>
      <c r="M241" s="2270"/>
      <c r="N241" s="2270"/>
      <c r="O241" s="2270"/>
      <c r="P241" s="2269"/>
      <c r="Q241" s="2269"/>
      <c r="R241" s="2269"/>
      <c r="S241" s="2269"/>
      <c r="T241" s="2269"/>
      <c r="U241" s="2269"/>
      <c r="V241" s="2269"/>
      <c r="W241" s="2269"/>
      <c r="X241" s="2269"/>
      <c r="Y241" s="2269"/>
      <c r="Z241" s="2269"/>
      <c r="AA241" s="2269"/>
    </row>
    <row r="242" spans="1:27" ht="13.5" customHeight="1" x14ac:dyDescent="0.3">
      <c r="A242" s="2269"/>
      <c r="B242" s="2269"/>
      <c r="C242" s="2272"/>
      <c r="D242" s="2358"/>
      <c r="E242" s="2358"/>
      <c r="F242" s="2358"/>
      <c r="G242" s="2283"/>
      <c r="H242" s="2268"/>
      <c r="I242" s="2269"/>
      <c r="J242" s="2269"/>
      <c r="K242" s="2269"/>
      <c r="L242" s="2269"/>
      <c r="M242" s="2270"/>
      <c r="N242" s="2270"/>
      <c r="O242" s="2270"/>
      <c r="P242" s="2269"/>
      <c r="Q242" s="2269"/>
      <c r="R242" s="2269"/>
      <c r="S242" s="2269"/>
      <c r="T242" s="2269"/>
      <c r="U242" s="2269"/>
      <c r="V242" s="2269"/>
      <c r="W242" s="2269"/>
      <c r="X242" s="2269"/>
      <c r="Y242" s="2269"/>
      <c r="Z242" s="2269"/>
      <c r="AA242" s="2269"/>
    </row>
    <row r="243" spans="1:27" ht="13.5" customHeight="1" x14ac:dyDescent="0.3">
      <c r="A243" s="2269"/>
      <c r="B243" s="2269"/>
      <c r="C243" s="2272"/>
      <c r="D243" s="2358"/>
      <c r="E243" s="2358"/>
      <c r="F243" s="2358"/>
      <c r="G243" s="2283"/>
      <c r="H243" s="2268"/>
      <c r="I243" s="2269"/>
      <c r="J243" s="2269"/>
      <c r="K243" s="2269"/>
      <c r="L243" s="2269"/>
      <c r="M243" s="2270"/>
      <c r="N243" s="2270"/>
      <c r="O243" s="2270"/>
      <c r="P243" s="2269"/>
      <c r="Q243" s="2269"/>
      <c r="R243" s="2269"/>
      <c r="S243" s="2269"/>
      <c r="T243" s="2269"/>
      <c r="U243" s="2269"/>
      <c r="V243" s="2269"/>
      <c r="W243" s="2269"/>
      <c r="X243" s="2269"/>
      <c r="Y243" s="2269"/>
      <c r="Z243" s="2269"/>
      <c r="AA243" s="2269"/>
    </row>
    <row r="244" spans="1:27" ht="13.5" customHeight="1" x14ac:dyDescent="0.3">
      <c r="A244" s="2269"/>
      <c r="B244" s="2269"/>
      <c r="C244" s="2272"/>
      <c r="D244" s="2358"/>
      <c r="E244" s="2358"/>
      <c r="F244" s="2358"/>
      <c r="G244" s="2283"/>
      <c r="H244" s="2268"/>
      <c r="I244" s="2269"/>
      <c r="J244" s="2269"/>
      <c r="K244" s="2269"/>
      <c r="L244" s="2269"/>
      <c r="M244" s="2270"/>
      <c r="N244" s="2270"/>
      <c r="O244" s="2270"/>
      <c r="P244" s="2269"/>
      <c r="Q244" s="2269"/>
      <c r="R244" s="2269"/>
      <c r="S244" s="2269"/>
      <c r="T244" s="2269"/>
      <c r="U244" s="2269"/>
      <c r="V244" s="2269"/>
      <c r="W244" s="2269"/>
      <c r="X244" s="2269"/>
      <c r="Y244" s="2269"/>
      <c r="Z244" s="2269"/>
      <c r="AA244" s="2269"/>
    </row>
    <row r="245" spans="1:27" ht="13.5" customHeight="1" x14ac:dyDescent="0.3">
      <c r="A245" s="2269"/>
      <c r="B245" s="2269"/>
      <c r="C245" s="2272"/>
      <c r="D245" s="2358"/>
      <c r="E245" s="2358"/>
      <c r="F245" s="2358"/>
      <c r="G245" s="2283"/>
      <c r="H245" s="2268"/>
      <c r="I245" s="2269"/>
      <c r="J245" s="2269"/>
      <c r="K245" s="2269"/>
      <c r="L245" s="2269"/>
      <c r="M245" s="2270"/>
      <c r="N245" s="2270"/>
      <c r="O245" s="2270"/>
      <c r="P245" s="2269"/>
      <c r="Q245" s="2269"/>
      <c r="R245" s="2269"/>
      <c r="S245" s="2269"/>
      <c r="T245" s="2269"/>
      <c r="U245" s="2269"/>
      <c r="V245" s="2269"/>
      <c r="W245" s="2269"/>
      <c r="X245" s="2269"/>
      <c r="Y245" s="2269"/>
      <c r="Z245" s="2269"/>
      <c r="AA245" s="2269"/>
    </row>
    <row r="246" spans="1:27" ht="13.5" customHeight="1" x14ac:dyDescent="0.3">
      <c r="A246" s="2269"/>
      <c r="B246" s="2269"/>
      <c r="C246" s="2272"/>
      <c r="D246" s="2358"/>
      <c r="E246" s="2358"/>
      <c r="F246" s="2358"/>
      <c r="G246" s="2283"/>
      <c r="H246" s="2268"/>
      <c r="I246" s="2269"/>
      <c r="J246" s="2269"/>
      <c r="K246" s="2269"/>
      <c r="L246" s="2269"/>
      <c r="M246" s="2270"/>
      <c r="N246" s="2270"/>
      <c r="O246" s="2270"/>
      <c r="P246" s="2269"/>
      <c r="Q246" s="2269"/>
      <c r="R246" s="2269"/>
      <c r="S246" s="2269"/>
      <c r="T246" s="2269"/>
      <c r="U246" s="2269"/>
      <c r="V246" s="2269"/>
      <c r="W246" s="2269"/>
      <c r="X246" s="2269"/>
      <c r="Y246" s="2269"/>
      <c r="Z246" s="2269"/>
      <c r="AA246" s="2269"/>
    </row>
    <row r="247" spans="1:27" ht="13.5" customHeight="1" x14ac:dyDescent="0.3">
      <c r="A247" s="2269"/>
      <c r="B247" s="2269"/>
      <c r="C247" s="2272"/>
      <c r="D247" s="2358"/>
      <c r="E247" s="2358"/>
      <c r="F247" s="2358"/>
      <c r="G247" s="2283"/>
      <c r="H247" s="2268"/>
      <c r="I247" s="2269"/>
      <c r="J247" s="2269"/>
      <c r="K247" s="2269"/>
      <c r="L247" s="2269"/>
      <c r="M247" s="2270"/>
      <c r="N247" s="2270"/>
      <c r="O247" s="2270"/>
      <c r="P247" s="2269"/>
      <c r="Q247" s="2269"/>
      <c r="R247" s="2269"/>
      <c r="S247" s="2269"/>
      <c r="T247" s="2269"/>
      <c r="U247" s="2269"/>
      <c r="V247" s="2269"/>
      <c r="W247" s="2269"/>
      <c r="X247" s="2269"/>
      <c r="Y247" s="2269"/>
      <c r="Z247" s="2269"/>
      <c r="AA247" s="2269"/>
    </row>
    <row r="248" spans="1:27" ht="13.5" customHeight="1" x14ac:dyDescent="0.3">
      <c r="A248" s="2269"/>
      <c r="B248" s="2269"/>
      <c r="C248" s="2272"/>
      <c r="D248" s="2358"/>
      <c r="E248" s="2358"/>
      <c r="F248" s="2358"/>
      <c r="G248" s="2283"/>
      <c r="H248" s="2268"/>
      <c r="I248" s="2269"/>
      <c r="J248" s="2269"/>
      <c r="K248" s="2269"/>
      <c r="L248" s="2269"/>
      <c r="M248" s="2270"/>
      <c r="N248" s="2270"/>
      <c r="O248" s="2270"/>
      <c r="P248" s="2269"/>
      <c r="Q248" s="2269"/>
      <c r="R248" s="2269"/>
      <c r="S248" s="2269"/>
      <c r="T248" s="2269"/>
      <c r="U248" s="2269"/>
      <c r="V248" s="2269"/>
      <c r="W248" s="2269"/>
      <c r="X248" s="2269"/>
      <c r="Y248" s="2269"/>
      <c r="Z248" s="2269"/>
      <c r="AA248" s="2269"/>
    </row>
    <row r="249" spans="1:27" ht="13.5" customHeight="1" x14ac:dyDescent="0.3">
      <c r="A249" s="2269"/>
      <c r="B249" s="2269"/>
      <c r="C249" s="2272"/>
      <c r="D249" s="2358"/>
      <c r="E249" s="2358"/>
      <c r="F249" s="2358"/>
      <c r="G249" s="2283"/>
      <c r="H249" s="2268"/>
      <c r="I249" s="2269"/>
      <c r="J249" s="2269"/>
      <c r="K249" s="2269"/>
      <c r="L249" s="2269"/>
      <c r="M249" s="2270"/>
      <c r="N249" s="2270"/>
      <c r="O249" s="2270"/>
      <c r="P249" s="2269"/>
      <c r="Q249" s="2269"/>
      <c r="R249" s="2269"/>
      <c r="S249" s="2269"/>
      <c r="T249" s="2269"/>
      <c r="U249" s="2269"/>
      <c r="V249" s="2269"/>
      <c r="W249" s="2269"/>
      <c r="X249" s="2269"/>
      <c r="Y249" s="2269"/>
      <c r="Z249" s="2269"/>
      <c r="AA249" s="2269"/>
    </row>
    <row r="250" spans="1:27" ht="13.5" customHeight="1" x14ac:dyDescent="0.3">
      <c r="A250" s="2269"/>
      <c r="B250" s="2269"/>
      <c r="C250" s="2272"/>
      <c r="D250" s="2358"/>
      <c r="E250" s="2358"/>
      <c r="F250" s="2358"/>
      <c r="G250" s="2283"/>
      <c r="H250" s="2268"/>
      <c r="I250" s="2269"/>
      <c r="J250" s="2269"/>
      <c r="K250" s="2269"/>
      <c r="L250" s="2269"/>
      <c r="M250" s="2270"/>
      <c r="N250" s="2270"/>
      <c r="O250" s="2270"/>
      <c r="P250" s="2269"/>
      <c r="Q250" s="2269"/>
      <c r="R250" s="2269"/>
      <c r="S250" s="2269"/>
      <c r="T250" s="2269"/>
      <c r="U250" s="2269"/>
      <c r="V250" s="2269"/>
      <c r="W250" s="2269"/>
      <c r="X250" s="2269"/>
      <c r="Y250" s="2269"/>
      <c r="Z250" s="2269"/>
      <c r="AA250" s="2269"/>
    </row>
    <row r="251" spans="1:27" ht="13.5" customHeight="1" x14ac:dyDescent="0.3">
      <c r="A251" s="2269"/>
      <c r="B251" s="2269"/>
      <c r="C251" s="2272"/>
      <c r="D251" s="2358"/>
      <c r="E251" s="2358"/>
      <c r="F251" s="2358"/>
      <c r="G251" s="2283"/>
      <c r="H251" s="2268"/>
      <c r="I251" s="2269"/>
      <c r="J251" s="2269"/>
      <c r="K251" s="2269"/>
      <c r="L251" s="2269"/>
      <c r="M251" s="2270"/>
      <c r="N251" s="2270"/>
      <c r="O251" s="2270"/>
      <c r="P251" s="2269"/>
      <c r="Q251" s="2269"/>
      <c r="R251" s="2269"/>
      <c r="S251" s="2269"/>
      <c r="T251" s="2269"/>
      <c r="U251" s="2269"/>
      <c r="V251" s="2269"/>
      <c r="W251" s="2269"/>
      <c r="X251" s="2269"/>
      <c r="Y251" s="2269"/>
      <c r="Z251" s="2269"/>
      <c r="AA251" s="2269"/>
    </row>
    <row r="252" spans="1:27" ht="13.5" customHeight="1" x14ac:dyDescent="0.3">
      <c r="A252" s="2269"/>
      <c r="B252" s="2269"/>
      <c r="C252" s="2272"/>
      <c r="D252" s="2358"/>
      <c r="E252" s="2358"/>
      <c r="F252" s="2358"/>
      <c r="G252" s="2283"/>
      <c r="H252" s="2268"/>
      <c r="I252" s="2269"/>
      <c r="J252" s="2269"/>
      <c r="K252" s="2269"/>
      <c r="L252" s="2269"/>
      <c r="M252" s="2270"/>
      <c r="N252" s="2270"/>
      <c r="O252" s="2270"/>
      <c r="P252" s="2269"/>
      <c r="Q252" s="2269"/>
      <c r="R252" s="2269"/>
      <c r="S252" s="2269"/>
      <c r="T252" s="2269"/>
      <c r="U252" s="2269"/>
      <c r="V252" s="2269"/>
      <c r="W252" s="2269"/>
      <c r="X252" s="2269"/>
      <c r="Y252" s="2269"/>
      <c r="Z252" s="2269"/>
      <c r="AA252" s="2269"/>
    </row>
    <row r="253" spans="1:27" ht="13.5" customHeight="1" x14ac:dyDescent="0.3">
      <c r="A253" s="2269"/>
      <c r="B253" s="2269"/>
      <c r="C253" s="2272"/>
      <c r="D253" s="2358"/>
      <c r="E253" s="2358"/>
      <c r="F253" s="2358"/>
      <c r="G253" s="2283"/>
      <c r="H253" s="2268"/>
      <c r="I253" s="2269"/>
      <c r="J253" s="2269"/>
      <c r="K253" s="2269"/>
      <c r="L253" s="2269"/>
      <c r="M253" s="2270"/>
      <c r="N253" s="2270"/>
      <c r="O253" s="2270"/>
      <c r="P253" s="2269"/>
      <c r="Q253" s="2269"/>
      <c r="R253" s="2269"/>
      <c r="S253" s="2269"/>
      <c r="T253" s="2269"/>
      <c r="U253" s="2269"/>
      <c r="V253" s="2269"/>
      <c r="W253" s="2269"/>
      <c r="X253" s="2269"/>
      <c r="Y253" s="2269"/>
      <c r="Z253" s="2269"/>
      <c r="AA253" s="2269"/>
    </row>
    <row r="254" spans="1:27" ht="13.5" customHeight="1" x14ac:dyDescent="0.3">
      <c r="A254" s="2269"/>
      <c r="B254" s="2269"/>
      <c r="C254" s="2272"/>
      <c r="D254" s="2358"/>
      <c r="E254" s="2358"/>
      <c r="F254" s="2358"/>
      <c r="G254" s="2283"/>
      <c r="H254" s="2268"/>
      <c r="I254" s="2269"/>
      <c r="J254" s="2269"/>
      <c r="K254" s="2269"/>
      <c r="L254" s="2269"/>
      <c r="M254" s="2270"/>
      <c r="N254" s="2270"/>
      <c r="O254" s="2270"/>
      <c r="P254" s="2269"/>
      <c r="Q254" s="2269"/>
      <c r="R254" s="2269"/>
      <c r="S254" s="2269"/>
      <c r="T254" s="2269"/>
      <c r="U254" s="2269"/>
      <c r="V254" s="2269"/>
      <c r="W254" s="2269"/>
      <c r="X254" s="2269"/>
      <c r="Y254" s="2269"/>
      <c r="Z254" s="2269"/>
      <c r="AA254" s="2269"/>
    </row>
    <row r="255" spans="1:27" ht="13.5" customHeight="1" x14ac:dyDescent="0.3">
      <c r="A255" s="2269"/>
      <c r="B255" s="2269"/>
      <c r="C255" s="2272"/>
      <c r="D255" s="2358"/>
      <c r="E255" s="2358"/>
      <c r="F255" s="2358"/>
      <c r="G255" s="2283"/>
      <c r="H255" s="2268"/>
      <c r="I255" s="2269"/>
      <c r="J255" s="2269"/>
      <c r="K255" s="2269"/>
      <c r="L255" s="2269"/>
      <c r="M255" s="2270"/>
      <c r="N255" s="2270"/>
      <c r="O255" s="2270"/>
      <c r="P255" s="2269"/>
      <c r="Q255" s="2269"/>
      <c r="R255" s="2269"/>
      <c r="S255" s="2269"/>
      <c r="T255" s="2269"/>
      <c r="U255" s="2269"/>
      <c r="V255" s="2269"/>
      <c r="W255" s="2269"/>
      <c r="X255" s="2269"/>
      <c r="Y255" s="2269"/>
      <c r="Z255" s="2269"/>
      <c r="AA255" s="2269"/>
    </row>
    <row r="256" spans="1:27" ht="13.5" customHeight="1" x14ac:dyDescent="0.3">
      <c r="A256" s="2269"/>
      <c r="B256" s="2269"/>
      <c r="C256" s="2272"/>
      <c r="D256" s="2358"/>
      <c r="E256" s="2358"/>
      <c r="F256" s="2358"/>
      <c r="G256" s="2283"/>
      <c r="H256" s="2268"/>
      <c r="I256" s="2269"/>
      <c r="J256" s="2269"/>
      <c r="K256" s="2269"/>
      <c r="L256" s="2269"/>
      <c r="M256" s="2270"/>
      <c r="N256" s="2270"/>
      <c r="O256" s="2270"/>
      <c r="P256" s="2269"/>
      <c r="Q256" s="2269"/>
      <c r="R256" s="2269"/>
      <c r="S256" s="2269"/>
      <c r="T256" s="2269"/>
      <c r="U256" s="2269"/>
      <c r="V256" s="2269"/>
      <c r="W256" s="2269"/>
      <c r="X256" s="2269"/>
      <c r="Y256" s="2269"/>
      <c r="Z256" s="2269"/>
      <c r="AA256" s="2269"/>
    </row>
    <row r="257" spans="1:27" ht="13.5" customHeight="1" x14ac:dyDescent="0.3">
      <c r="A257" s="2269"/>
      <c r="B257" s="2269"/>
      <c r="C257" s="2272"/>
      <c r="D257" s="2358"/>
      <c r="E257" s="2358"/>
      <c r="F257" s="2358"/>
      <c r="G257" s="2283"/>
      <c r="H257" s="2268"/>
      <c r="I257" s="2269"/>
      <c r="J257" s="2269"/>
      <c r="K257" s="2269"/>
      <c r="L257" s="2269"/>
      <c r="M257" s="2270"/>
      <c r="N257" s="2270"/>
      <c r="O257" s="2270"/>
      <c r="P257" s="2269"/>
      <c r="Q257" s="2269"/>
      <c r="R257" s="2269"/>
      <c r="S257" s="2269"/>
      <c r="T257" s="2269"/>
      <c r="U257" s="2269"/>
      <c r="V257" s="2269"/>
      <c r="W257" s="2269"/>
      <c r="X257" s="2269"/>
      <c r="Y257" s="2269"/>
      <c r="Z257" s="2269"/>
      <c r="AA257" s="2269"/>
    </row>
    <row r="258" spans="1:27" ht="13.5" customHeight="1" x14ac:dyDescent="0.3">
      <c r="A258" s="2269"/>
      <c r="B258" s="2269"/>
      <c r="C258" s="2272"/>
      <c r="D258" s="2358"/>
      <c r="E258" s="2358"/>
      <c r="F258" s="2358"/>
      <c r="G258" s="2283"/>
      <c r="H258" s="2268"/>
      <c r="I258" s="2269"/>
      <c r="J258" s="2269"/>
      <c r="K258" s="2269"/>
      <c r="L258" s="2269"/>
      <c r="M258" s="2270"/>
      <c r="N258" s="2270"/>
      <c r="O258" s="2270"/>
      <c r="P258" s="2269"/>
      <c r="Q258" s="2269"/>
      <c r="R258" s="2269"/>
      <c r="S258" s="2269"/>
      <c r="T258" s="2269"/>
      <c r="U258" s="2269"/>
      <c r="V258" s="2269"/>
      <c r="W258" s="2269"/>
      <c r="X258" s="2269"/>
      <c r="Y258" s="2269"/>
      <c r="Z258" s="2269"/>
      <c r="AA258" s="2269"/>
    </row>
    <row r="259" spans="1:27" ht="13.5" customHeight="1" x14ac:dyDescent="0.3">
      <c r="A259" s="2269"/>
      <c r="B259" s="2269"/>
      <c r="C259" s="2272"/>
      <c r="D259" s="2358"/>
      <c r="E259" s="2358"/>
      <c r="F259" s="2358"/>
      <c r="G259" s="2283"/>
      <c r="H259" s="2268"/>
      <c r="I259" s="2269"/>
      <c r="J259" s="2269"/>
      <c r="K259" s="2269"/>
      <c r="L259" s="2269"/>
      <c r="M259" s="2270"/>
      <c r="N259" s="2270"/>
      <c r="O259" s="2270"/>
      <c r="P259" s="2269"/>
      <c r="Q259" s="2269"/>
      <c r="R259" s="2269"/>
      <c r="S259" s="2269"/>
      <c r="T259" s="2269"/>
      <c r="U259" s="2269"/>
      <c r="V259" s="2269"/>
      <c r="W259" s="2269"/>
      <c r="X259" s="2269"/>
      <c r="Y259" s="2269"/>
      <c r="Z259" s="2269"/>
      <c r="AA259" s="2269"/>
    </row>
    <row r="260" spans="1:27" ht="13.5" customHeight="1" x14ac:dyDescent="0.3">
      <c r="A260" s="2269"/>
      <c r="B260" s="2269"/>
      <c r="C260" s="2272"/>
      <c r="D260" s="2358"/>
      <c r="E260" s="2358"/>
      <c r="F260" s="2358"/>
      <c r="G260" s="2283"/>
      <c r="H260" s="2268"/>
      <c r="I260" s="2269"/>
      <c r="J260" s="2269"/>
      <c r="K260" s="2269"/>
      <c r="L260" s="2269"/>
      <c r="M260" s="2270"/>
      <c r="N260" s="2270"/>
      <c r="O260" s="2270"/>
      <c r="P260" s="2269"/>
      <c r="Q260" s="2269"/>
      <c r="R260" s="2269"/>
      <c r="S260" s="2269"/>
      <c r="T260" s="2269"/>
      <c r="U260" s="2269"/>
      <c r="V260" s="2269"/>
      <c r="W260" s="2269"/>
      <c r="X260" s="2269"/>
      <c r="Y260" s="2269"/>
      <c r="Z260" s="2269"/>
      <c r="AA260" s="2269"/>
    </row>
    <row r="261" spans="1:27" ht="13.5" customHeight="1" x14ac:dyDescent="0.3">
      <c r="A261" s="2269"/>
      <c r="B261" s="2269"/>
      <c r="C261" s="2272"/>
      <c r="D261" s="2358"/>
      <c r="E261" s="2358"/>
      <c r="F261" s="2358"/>
      <c r="G261" s="2283"/>
      <c r="H261" s="2268"/>
      <c r="I261" s="2269"/>
      <c r="J261" s="2269"/>
      <c r="K261" s="2269"/>
      <c r="L261" s="2269"/>
      <c r="M261" s="2270"/>
      <c r="N261" s="2270"/>
      <c r="O261" s="2270"/>
      <c r="P261" s="2269"/>
      <c r="Q261" s="2269"/>
      <c r="R261" s="2269"/>
      <c r="S261" s="2269"/>
      <c r="T261" s="2269"/>
      <c r="U261" s="2269"/>
      <c r="V261" s="2269"/>
      <c r="W261" s="2269"/>
      <c r="X261" s="2269"/>
      <c r="Y261" s="2269"/>
      <c r="Z261" s="2269"/>
      <c r="AA261" s="2269"/>
    </row>
    <row r="262" spans="1:27" ht="13.5" customHeight="1" x14ac:dyDescent="0.3">
      <c r="A262" s="2269"/>
      <c r="B262" s="2269"/>
      <c r="C262" s="2272"/>
      <c r="D262" s="2358"/>
      <c r="E262" s="2358"/>
      <c r="F262" s="2358"/>
      <c r="G262" s="2283"/>
      <c r="H262" s="2268"/>
      <c r="I262" s="2269"/>
      <c r="J262" s="2269"/>
      <c r="K262" s="2269"/>
      <c r="L262" s="2269"/>
      <c r="M262" s="2270"/>
      <c r="N262" s="2270"/>
      <c r="O262" s="2270"/>
      <c r="P262" s="2269"/>
      <c r="Q262" s="2269"/>
      <c r="R262" s="2269"/>
      <c r="S262" s="2269"/>
      <c r="T262" s="2269"/>
      <c r="U262" s="2269"/>
      <c r="V262" s="2269"/>
      <c r="W262" s="2269"/>
      <c r="X262" s="2269"/>
      <c r="Y262" s="2269"/>
      <c r="Z262" s="2269"/>
      <c r="AA262" s="2269"/>
    </row>
    <row r="263" spans="1:27" ht="13.5" customHeight="1" x14ac:dyDescent="0.3">
      <c r="A263" s="2269"/>
      <c r="B263" s="2269"/>
      <c r="C263" s="2272"/>
      <c r="D263" s="2358"/>
      <c r="E263" s="2358"/>
      <c r="F263" s="2358"/>
      <c r="G263" s="2283"/>
      <c r="H263" s="2268"/>
      <c r="I263" s="2269"/>
      <c r="J263" s="2269"/>
      <c r="K263" s="2269"/>
      <c r="L263" s="2269"/>
      <c r="M263" s="2270"/>
      <c r="N263" s="2270"/>
      <c r="O263" s="2270"/>
      <c r="P263" s="2269"/>
      <c r="Q263" s="2269"/>
      <c r="R263" s="2269"/>
      <c r="S263" s="2269"/>
      <c r="T263" s="2269"/>
      <c r="U263" s="2269"/>
      <c r="V263" s="2269"/>
      <c r="W263" s="2269"/>
      <c r="X263" s="2269"/>
      <c r="Y263" s="2269"/>
      <c r="Z263" s="2269"/>
      <c r="AA263" s="2269"/>
    </row>
    <row r="264" spans="1:27" ht="13.5" customHeight="1" x14ac:dyDescent="0.3">
      <c r="A264" s="2269"/>
      <c r="B264" s="2269"/>
      <c r="C264" s="2272"/>
      <c r="D264" s="2358"/>
      <c r="E264" s="2358"/>
      <c r="F264" s="2358"/>
      <c r="G264" s="2283"/>
      <c r="H264" s="2268"/>
      <c r="I264" s="2269"/>
      <c r="J264" s="2269"/>
      <c r="K264" s="2269"/>
      <c r="L264" s="2269"/>
      <c r="M264" s="2270"/>
      <c r="N264" s="2270"/>
      <c r="O264" s="2270"/>
      <c r="P264" s="2269"/>
      <c r="Q264" s="2269"/>
      <c r="R264" s="2269"/>
      <c r="S264" s="2269"/>
      <c r="T264" s="2269"/>
      <c r="U264" s="2269"/>
      <c r="V264" s="2269"/>
      <c r="W264" s="2269"/>
      <c r="X264" s="2269"/>
      <c r="Y264" s="2269"/>
      <c r="Z264" s="2269"/>
      <c r="AA264" s="2269"/>
    </row>
    <row r="265" spans="1:27" ht="13.5" customHeight="1" x14ac:dyDescent="0.3">
      <c r="A265" s="2269"/>
      <c r="B265" s="2269"/>
      <c r="C265" s="2272"/>
      <c r="D265" s="2358"/>
      <c r="E265" s="2358"/>
      <c r="F265" s="2358"/>
      <c r="G265" s="2283"/>
      <c r="H265" s="2268"/>
      <c r="I265" s="2269"/>
      <c r="J265" s="2269"/>
      <c r="K265" s="2269"/>
      <c r="L265" s="2269"/>
      <c r="M265" s="2270"/>
      <c r="N265" s="2270"/>
      <c r="O265" s="2270"/>
      <c r="P265" s="2269"/>
      <c r="Q265" s="2269"/>
      <c r="R265" s="2269"/>
      <c r="S265" s="2269"/>
      <c r="T265" s="2269"/>
      <c r="U265" s="2269"/>
      <c r="V265" s="2269"/>
      <c r="W265" s="2269"/>
      <c r="X265" s="2269"/>
      <c r="Y265" s="2269"/>
      <c r="Z265" s="2269"/>
      <c r="AA265" s="2269"/>
    </row>
    <row r="266" spans="1:27" ht="13.5" customHeight="1" x14ac:dyDescent="0.3">
      <c r="A266" s="2269"/>
      <c r="B266" s="2269"/>
      <c r="C266" s="2272"/>
      <c r="D266" s="2358"/>
      <c r="E266" s="2358"/>
      <c r="F266" s="2358"/>
      <c r="G266" s="2283"/>
      <c r="H266" s="2268"/>
      <c r="I266" s="2269"/>
      <c r="J266" s="2269"/>
      <c r="K266" s="2269"/>
      <c r="L266" s="2269"/>
      <c r="M266" s="2270"/>
      <c r="N266" s="2270"/>
      <c r="O266" s="2270"/>
      <c r="P266" s="2269"/>
      <c r="Q266" s="2269"/>
      <c r="R266" s="2269"/>
      <c r="S266" s="2269"/>
      <c r="T266" s="2269"/>
      <c r="U266" s="2269"/>
      <c r="V266" s="2269"/>
      <c r="W266" s="2269"/>
      <c r="X266" s="2269"/>
      <c r="Y266" s="2269"/>
      <c r="Z266" s="2269"/>
      <c r="AA266" s="2269"/>
    </row>
    <row r="267" spans="1:27" ht="13.5" customHeight="1" x14ac:dyDescent="0.3">
      <c r="A267" s="2269"/>
      <c r="B267" s="2269"/>
      <c r="C267" s="2272"/>
      <c r="D267" s="2358"/>
      <c r="E267" s="2358"/>
      <c r="F267" s="2358"/>
      <c r="G267" s="2283"/>
      <c r="H267" s="2268"/>
      <c r="I267" s="2269"/>
      <c r="J267" s="2269"/>
      <c r="K267" s="2269"/>
      <c r="L267" s="2269"/>
      <c r="M267" s="2270"/>
      <c r="N267" s="2270"/>
      <c r="O267" s="2270"/>
      <c r="P267" s="2269"/>
      <c r="Q267" s="2269"/>
      <c r="R267" s="2269"/>
      <c r="S267" s="2269"/>
      <c r="T267" s="2269"/>
      <c r="U267" s="2269"/>
      <c r="V267" s="2269"/>
      <c r="W267" s="2269"/>
      <c r="X267" s="2269"/>
      <c r="Y267" s="2269"/>
      <c r="Z267" s="2269"/>
      <c r="AA267" s="2269"/>
    </row>
    <row r="268" spans="1:27" ht="13.5" customHeight="1" x14ac:dyDescent="0.3">
      <c r="A268" s="2269"/>
      <c r="B268" s="2269"/>
      <c r="C268" s="2272"/>
      <c r="D268" s="2358"/>
      <c r="E268" s="2358"/>
      <c r="F268" s="2358"/>
      <c r="G268" s="2283"/>
      <c r="H268" s="2268"/>
      <c r="I268" s="2269"/>
      <c r="J268" s="2269"/>
      <c r="K268" s="2269"/>
      <c r="L268" s="2269"/>
      <c r="M268" s="2270"/>
      <c r="N268" s="2270"/>
      <c r="O268" s="2270"/>
      <c r="P268" s="2269"/>
      <c r="Q268" s="2269"/>
      <c r="R268" s="2269"/>
      <c r="S268" s="2269"/>
      <c r="T268" s="2269"/>
      <c r="U268" s="2269"/>
      <c r="V268" s="2269"/>
      <c r="W268" s="2269"/>
      <c r="X268" s="2269"/>
      <c r="Y268" s="2269"/>
      <c r="Z268" s="2269"/>
      <c r="AA268" s="2269"/>
    </row>
    <row r="269" spans="1:27" ht="13.5" customHeight="1" x14ac:dyDescent="0.3">
      <c r="A269" s="2269"/>
      <c r="B269" s="2269"/>
      <c r="C269" s="2272"/>
      <c r="D269" s="2358"/>
      <c r="E269" s="2358"/>
      <c r="F269" s="2358"/>
      <c r="G269" s="2283"/>
      <c r="H269" s="2268"/>
      <c r="I269" s="2269"/>
      <c r="J269" s="2269"/>
      <c r="K269" s="2269"/>
      <c r="L269" s="2269"/>
      <c r="M269" s="2270"/>
      <c r="N269" s="2270"/>
      <c r="O269" s="2270"/>
      <c r="P269" s="2269"/>
      <c r="Q269" s="2269"/>
      <c r="R269" s="2269"/>
      <c r="S269" s="2269"/>
      <c r="T269" s="2269"/>
      <c r="U269" s="2269"/>
      <c r="V269" s="2269"/>
      <c r="W269" s="2269"/>
      <c r="X269" s="2269"/>
      <c r="Y269" s="2269"/>
      <c r="Z269" s="2269"/>
      <c r="AA269" s="2269"/>
    </row>
    <row r="270" spans="1:27" ht="13.5" customHeight="1" x14ac:dyDescent="0.3">
      <c r="A270" s="2269"/>
      <c r="B270" s="2269"/>
      <c r="C270" s="2272"/>
      <c r="D270" s="2358"/>
      <c r="E270" s="2358"/>
      <c r="F270" s="2358"/>
      <c r="G270" s="2283"/>
      <c r="H270" s="2268"/>
      <c r="I270" s="2269"/>
      <c r="J270" s="2269"/>
      <c r="K270" s="2269"/>
      <c r="L270" s="2269"/>
      <c r="M270" s="2270"/>
      <c r="N270" s="2270"/>
      <c r="O270" s="2270"/>
      <c r="P270" s="2269"/>
      <c r="Q270" s="2269"/>
      <c r="R270" s="2269"/>
      <c r="S270" s="2269"/>
      <c r="T270" s="2269"/>
      <c r="U270" s="2269"/>
      <c r="V270" s="2269"/>
      <c r="W270" s="2269"/>
      <c r="X270" s="2269"/>
      <c r="Y270" s="2269"/>
      <c r="Z270" s="2269"/>
      <c r="AA270" s="2269"/>
    </row>
    <row r="271" spans="1:27" ht="13.5" customHeight="1" x14ac:dyDescent="0.3">
      <c r="A271" s="2269"/>
      <c r="B271" s="2269"/>
      <c r="C271" s="2272"/>
      <c r="D271" s="2358"/>
      <c r="E271" s="2358"/>
      <c r="F271" s="2358"/>
      <c r="G271" s="2283"/>
      <c r="H271" s="2268"/>
      <c r="I271" s="2269"/>
      <c r="J271" s="2269"/>
      <c r="K271" s="2269"/>
      <c r="L271" s="2269"/>
      <c r="M271" s="2270"/>
      <c r="N271" s="2270"/>
      <c r="O271" s="2270"/>
      <c r="P271" s="2269"/>
      <c r="Q271" s="2269"/>
      <c r="R271" s="2269"/>
      <c r="S271" s="2269"/>
      <c r="T271" s="2269"/>
      <c r="U271" s="2269"/>
      <c r="V271" s="2269"/>
      <c r="W271" s="2269"/>
      <c r="X271" s="2269"/>
      <c r="Y271" s="2269"/>
      <c r="Z271" s="2269"/>
      <c r="AA271" s="2269"/>
    </row>
    <row r="272" spans="1:27" ht="13.5" customHeight="1" x14ac:dyDescent="0.3">
      <c r="A272" s="2269"/>
      <c r="B272" s="2269"/>
      <c r="C272" s="2272"/>
      <c r="D272" s="2358"/>
      <c r="E272" s="2358"/>
      <c r="F272" s="2358"/>
      <c r="G272" s="2283"/>
      <c r="H272" s="2268"/>
      <c r="I272" s="2269"/>
      <c r="J272" s="2269"/>
      <c r="K272" s="2269"/>
      <c r="L272" s="2269"/>
      <c r="M272" s="2270"/>
      <c r="N272" s="2270"/>
      <c r="O272" s="2270"/>
      <c r="P272" s="2269"/>
      <c r="Q272" s="2269"/>
      <c r="R272" s="2269"/>
      <c r="S272" s="2269"/>
      <c r="T272" s="2269"/>
      <c r="U272" s="2269"/>
      <c r="V272" s="2269"/>
      <c r="W272" s="2269"/>
      <c r="X272" s="2269"/>
      <c r="Y272" s="2269"/>
      <c r="Z272" s="2269"/>
      <c r="AA272" s="2269"/>
    </row>
    <row r="273" spans="1:27" ht="13.5" customHeight="1" x14ac:dyDescent="0.3">
      <c r="A273" s="2269"/>
      <c r="B273" s="2269"/>
      <c r="C273" s="2272"/>
      <c r="D273" s="2358"/>
      <c r="E273" s="2358"/>
      <c r="F273" s="2358"/>
      <c r="G273" s="2283"/>
      <c r="H273" s="2268"/>
      <c r="I273" s="2269"/>
      <c r="J273" s="2269"/>
      <c r="K273" s="2269"/>
      <c r="L273" s="2269"/>
      <c r="M273" s="2270"/>
      <c r="N273" s="2270"/>
      <c r="O273" s="2270"/>
      <c r="P273" s="2269"/>
      <c r="Q273" s="2269"/>
      <c r="R273" s="2269"/>
      <c r="S273" s="2269"/>
      <c r="T273" s="2269"/>
      <c r="U273" s="2269"/>
      <c r="V273" s="2269"/>
      <c r="W273" s="2269"/>
      <c r="X273" s="2269"/>
      <c r="Y273" s="2269"/>
      <c r="Z273" s="2269"/>
      <c r="AA273" s="2269"/>
    </row>
    <row r="274" spans="1:27" ht="13.5" customHeight="1" x14ac:dyDescent="0.3">
      <c r="A274" s="2269"/>
      <c r="B274" s="2269"/>
      <c r="C274" s="2272"/>
      <c r="D274" s="2358"/>
      <c r="E274" s="2358"/>
      <c r="F274" s="2358"/>
      <c r="G274" s="2283"/>
      <c r="H274" s="2268"/>
      <c r="I274" s="2269"/>
      <c r="J274" s="2269"/>
      <c r="K274" s="2269"/>
      <c r="L274" s="2269"/>
      <c r="M274" s="2270"/>
      <c r="N274" s="2270"/>
      <c r="O274" s="2270"/>
      <c r="P274" s="2269"/>
      <c r="Q274" s="2269"/>
      <c r="R274" s="2269"/>
      <c r="S274" s="2269"/>
      <c r="T274" s="2269"/>
      <c r="U274" s="2269"/>
      <c r="V274" s="2269"/>
      <c r="W274" s="2269"/>
      <c r="X274" s="2269"/>
      <c r="Y274" s="2269"/>
      <c r="Z274" s="2269"/>
      <c r="AA274" s="2269"/>
    </row>
    <row r="275" spans="1:27" ht="13.5" customHeight="1" x14ac:dyDescent="0.3">
      <c r="A275" s="2269"/>
      <c r="B275" s="2269"/>
      <c r="C275" s="2272"/>
      <c r="D275" s="2358"/>
      <c r="E275" s="2358"/>
      <c r="F275" s="2358"/>
      <c r="G275" s="2283"/>
      <c r="H275" s="2268"/>
      <c r="I275" s="2269"/>
      <c r="J275" s="2269"/>
      <c r="K275" s="2269"/>
      <c r="L275" s="2269"/>
      <c r="M275" s="2270"/>
      <c r="N275" s="2270"/>
      <c r="O275" s="2270"/>
      <c r="P275" s="2269"/>
      <c r="Q275" s="2269"/>
      <c r="R275" s="2269"/>
      <c r="S275" s="2269"/>
      <c r="T275" s="2269"/>
      <c r="U275" s="2269"/>
      <c r="V275" s="2269"/>
      <c r="W275" s="2269"/>
      <c r="X275" s="2269"/>
      <c r="Y275" s="2269"/>
      <c r="Z275" s="2269"/>
      <c r="AA275" s="2269"/>
    </row>
    <row r="276" spans="1:27" ht="13.5" customHeight="1" x14ac:dyDescent="0.3">
      <c r="A276" s="2269"/>
      <c r="B276" s="2269"/>
      <c r="C276" s="2272"/>
      <c r="D276" s="2358"/>
      <c r="E276" s="2358"/>
      <c r="F276" s="2358"/>
      <c r="G276" s="2283"/>
      <c r="H276" s="2268"/>
      <c r="I276" s="2269"/>
      <c r="J276" s="2269"/>
      <c r="K276" s="2269"/>
      <c r="L276" s="2269"/>
      <c r="M276" s="2270"/>
      <c r="N276" s="2270"/>
      <c r="O276" s="2270"/>
      <c r="P276" s="2269"/>
      <c r="Q276" s="2269"/>
      <c r="R276" s="2269"/>
      <c r="S276" s="2269"/>
      <c r="T276" s="2269"/>
      <c r="U276" s="2269"/>
      <c r="V276" s="2269"/>
      <c r="W276" s="2269"/>
      <c r="X276" s="2269"/>
      <c r="Y276" s="2269"/>
      <c r="Z276" s="2269"/>
      <c r="AA276" s="2269"/>
    </row>
    <row r="277" spans="1:27" ht="13.5" customHeight="1" x14ac:dyDescent="0.3">
      <c r="A277" s="2269"/>
      <c r="B277" s="2269"/>
      <c r="C277" s="2272"/>
      <c r="D277" s="2358"/>
      <c r="E277" s="2358"/>
      <c r="F277" s="2358"/>
      <c r="G277" s="2283"/>
      <c r="H277" s="2268"/>
      <c r="I277" s="2269"/>
      <c r="J277" s="2269"/>
      <c r="K277" s="2269"/>
      <c r="L277" s="2269"/>
      <c r="M277" s="2270"/>
      <c r="N277" s="2270"/>
      <c r="O277" s="2270"/>
      <c r="P277" s="2269"/>
      <c r="Q277" s="2269"/>
      <c r="R277" s="2269"/>
      <c r="S277" s="2269"/>
      <c r="T277" s="2269"/>
      <c r="U277" s="2269"/>
      <c r="V277" s="2269"/>
      <c r="W277" s="2269"/>
      <c r="X277" s="2269"/>
      <c r="Y277" s="2269"/>
      <c r="Z277" s="2269"/>
      <c r="AA277" s="2269"/>
    </row>
    <row r="278" spans="1:27" ht="13.5" customHeight="1" x14ac:dyDescent="0.3">
      <c r="A278" s="2269"/>
      <c r="B278" s="2269"/>
      <c r="C278" s="2272"/>
      <c r="D278" s="2358"/>
      <c r="E278" s="2358"/>
      <c r="F278" s="2358"/>
      <c r="G278" s="2283"/>
      <c r="H278" s="2268"/>
      <c r="I278" s="2269"/>
      <c r="J278" s="2269"/>
      <c r="K278" s="2269"/>
      <c r="L278" s="2269"/>
      <c r="M278" s="2270"/>
      <c r="N278" s="2270"/>
      <c r="O278" s="2270"/>
      <c r="P278" s="2269"/>
      <c r="Q278" s="2269"/>
      <c r="R278" s="2269"/>
      <c r="S278" s="2269"/>
      <c r="T278" s="2269"/>
      <c r="U278" s="2269"/>
      <c r="V278" s="2269"/>
      <c r="W278" s="2269"/>
      <c r="X278" s="2269"/>
      <c r="Y278" s="2269"/>
      <c r="Z278" s="2269"/>
      <c r="AA278" s="2269"/>
    </row>
    <row r="279" spans="1:27" ht="13.5" customHeight="1" x14ac:dyDescent="0.3">
      <c r="A279" s="2269"/>
      <c r="B279" s="2269"/>
      <c r="C279" s="2272"/>
      <c r="D279" s="2358"/>
      <c r="E279" s="2358"/>
      <c r="F279" s="2358"/>
      <c r="G279" s="2283"/>
      <c r="H279" s="2268"/>
      <c r="I279" s="2269"/>
      <c r="J279" s="2269"/>
      <c r="K279" s="2269"/>
      <c r="L279" s="2269"/>
      <c r="M279" s="2270"/>
      <c r="N279" s="2270"/>
      <c r="O279" s="2270"/>
      <c r="P279" s="2269"/>
      <c r="Q279" s="2269"/>
      <c r="R279" s="2269"/>
      <c r="S279" s="2269"/>
      <c r="T279" s="2269"/>
      <c r="U279" s="2269"/>
      <c r="V279" s="2269"/>
      <c r="W279" s="2269"/>
      <c r="X279" s="2269"/>
      <c r="Y279" s="2269"/>
      <c r="Z279" s="2269"/>
      <c r="AA279" s="2269"/>
    </row>
    <row r="280" spans="1:27" ht="13.5" customHeight="1" x14ac:dyDescent="0.3">
      <c r="A280" s="2269"/>
      <c r="B280" s="2269"/>
      <c r="C280" s="2272"/>
      <c r="D280" s="2358"/>
      <c r="E280" s="2358"/>
      <c r="F280" s="2358"/>
      <c r="G280" s="2283"/>
      <c r="H280" s="2268"/>
      <c r="I280" s="2269"/>
      <c r="J280" s="2269"/>
      <c r="K280" s="2269"/>
      <c r="L280" s="2269"/>
      <c r="M280" s="2270"/>
      <c r="N280" s="2270"/>
      <c r="O280" s="2270"/>
      <c r="P280" s="2269"/>
      <c r="Q280" s="2269"/>
      <c r="R280" s="2269"/>
      <c r="S280" s="2269"/>
      <c r="T280" s="2269"/>
      <c r="U280" s="2269"/>
      <c r="V280" s="2269"/>
      <c r="W280" s="2269"/>
      <c r="X280" s="2269"/>
      <c r="Y280" s="2269"/>
      <c r="Z280" s="2269"/>
      <c r="AA280" s="2269"/>
    </row>
    <row r="281" spans="1:27" ht="13.5" customHeight="1" x14ac:dyDescent="0.3">
      <c r="A281" s="2269"/>
      <c r="B281" s="2269"/>
      <c r="C281" s="2272"/>
      <c r="D281" s="2358"/>
      <c r="E281" s="2358"/>
      <c r="F281" s="2358"/>
      <c r="G281" s="2283"/>
      <c r="H281" s="2268"/>
      <c r="I281" s="2269"/>
      <c r="J281" s="2269"/>
      <c r="K281" s="2269"/>
      <c r="L281" s="2269"/>
      <c r="M281" s="2270"/>
      <c r="N281" s="2270"/>
      <c r="O281" s="2270"/>
      <c r="P281" s="2269"/>
      <c r="Q281" s="2269"/>
      <c r="R281" s="2269"/>
      <c r="S281" s="2269"/>
      <c r="T281" s="2269"/>
      <c r="U281" s="2269"/>
      <c r="V281" s="2269"/>
      <c r="W281" s="2269"/>
      <c r="X281" s="2269"/>
      <c r="Y281" s="2269"/>
      <c r="Z281" s="2269"/>
      <c r="AA281" s="2269"/>
    </row>
    <row r="282" spans="1:27" ht="13.5" customHeight="1" x14ac:dyDescent="0.3">
      <c r="A282" s="2269"/>
      <c r="B282" s="2269"/>
      <c r="C282" s="2272"/>
      <c r="D282" s="2358"/>
      <c r="E282" s="2358"/>
      <c r="F282" s="2358"/>
      <c r="G282" s="2283"/>
      <c r="H282" s="2268"/>
      <c r="I282" s="2269"/>
      <c r="J282" s="2269"/>
      <c r="K282" s="2269"/>
      <c r="L282" s="2269"/>
      <c r="M282" s="2270"/>
      <c r="N282" s="2270"/>
      <c r="O282" s="2270"/>
      <c r="P282" s="2269"/>
      <c r="Q282" s="2269"/>
      <c r="R282" s="2269"/>
      <c r="S282" s="2269"/>
      <c r="T282" s="2269"/>
      <c r="U282" s="2269"/>
      <c r="V282" s="2269"/>
      <c r="W282" s="2269"/>
      <c r="X282" s="2269"/>
      <c r="Y282" s="2269"/>
      <c r="Z282" s="2269"/>
      <c r="AA282" s="2269"/>
    </row>
    <row r="283" spans="1:27" ht="13.5" customHeight="1" x14ac:dyDescent="0.3">
      <c r="A283" s="2269"/>
      <c r="B283" s="2269"/>
      <c r="C283" s="2272"/>
      <c r="D283" s="2358"/>
      <c r="E283" s="2358"/>
      <c r="F283" s="2358"/>
      <c r="G283" s="2283"/>
      <c r="H283" s="2268"/>
      <c r="I283" s="2269"/>
      <c r="J283" s="2269"/>
      <c r="K283" s="2269"/>
      <c r="L283" s="2269"/>
      <c r="M283" s="2270"/>
      <c r="N283" s="2270"/>
      <c r="O283" s="2270"/>
      <c r="P283" s="2269"/>
      <c r="Q283" s="2269"/>
      <c r="R283" s="2269"/>
      <c r="S283" s="2269"/>
      <c r="T283" s="2269"/>
      <c r="U283" s="2269"/>
      <c r="V283" s="2269"/>
      <c r="W283" s="2269"/>
      <c r="X283" s="2269"/>
      <c r="Y283" s="2269"/>
      <c r="Z283" s="2269"/>
      <c r="AA283" s="2269"/>
    </row>
    <row r="284" spans="1:27" ht="13.5" customHeight="1" x14ac:dyDescent="0.3">
      <c r="A284" s="2269"/>
      <c r="B284" s="2269"/>
      <c r="C284" s="2272"/>
      <c r="D284" s="2358"/>
      <c r="E284" s="2358"/>
      <c r="F284" s="2358"/>
      <c r="G284" s="2283"/>
      <c r="H284" s="2268"/>
      <c r="I284" s="2269"/>
      <c r="J284" s="2269"/>
      <c r="K284" s="2269"/>
      <c r="L284" s="2269"/>
      <c r="M284" s="2270"/>
      <c r="N284" s="2270"/>
      <c r="O284" s="2270"/>
      <c r="P284" s="2269"/>
      <c r="Q284" s="2269"/>
      <c r="R284" s="2269"/>
      <c r="S284" s="2269"/>
      <c r="T284" s="2269"/>
      <c r="U284" s="2269"/>
      <c r="V284" s="2269"/>
      <c r="W284" s="2269"/>
      <c r="X284" s="2269"/>
      <c r="Y284" s="2269"/>
      <c r="Z284" s="2269"/>
      <c r="AA284" s="2269"/>
    </row>
    <row r="285" spans="1:27" ht="13.5" customHeight="1" x14ac:dyDescent="0.3">
      <c r="A285" s="2269"/>
      <c r="B285" s="2269"/>
      <c r="C285" s="2272"/>
      <c r="D285" s="2358"/>
      <c r="E285" s="2358"/>
      <c r="F285" s="2358"/>
      <c r="G285" s="2283"/>
      <c r="H285" s="2268"/>
      <c r="I285" s="2269"/>
      <c r="J285" s="2269"/>
      <c r="K285" s="2269"/>
      <c r="L285" s="2269"/>
      <c r="M285" s="2270"/>
      <c r="N285" s="2270"/>
      <c r="O285" s="2270"/>
      <c r="P285" s="2269"/>
      <c r="Q285" s="2269"/>
      <c r="R285" s="2269"/>
      <c r="S285" s="2269"/>
      <c r="T285" s="2269"/>
      <c r="U285" s="2269"/>
      <c r="V285" s="2269"/>
      <c r="W285" s="2269"/>
      <c r="X285" s="2269"/>
      <c r="Y285" s="2269"/>
      <c r="Z285" s="2269"/>
      <c r="AA285" s="2269"/>
    </row>
    <row r="286" spans="1:27" ht="13.5" customHeight="1" x14ac:dyDescent="0.3">
      <c r="A286" s="2269"/>
      <c r="B286" s="2269"/>
      <c r="C286" s="2272"/>
      <c r="D286" s="2358"/>
      <c r="E286" s="2358"/>
      <c r="F286" s="2358"/>
      <c r="G286" s="2283"/>
      <c r="H286" s="2268"/>
      <c r="I286" s="2269"/>
      <c r="J286" s="2269"/>
      <c r="K286" s="2269"/>
      <c r="L286" s="2269"/>
      <c r="M286" s="2270"/>
      <c r="N286" s="2270"/>
      <c r="O286" s="2270"/>
      <c r="P286" s="2269"/>
      <c r="Q286" s="2269"/>
      <c r="R286" s="2269"/>
      <c r="S286" s="2269"/>
      <c r="T286" s="2269"/>
      <c r="U286" s="2269"/>
      <c r="V286" s="2269"/>
      <c r="W286" s="2269"/>
      <c r="X286" s="2269"/>
      <c r="Y286" s="2269"/>
      <c r="Z286" s="2269"/>
      <c r="AA286" s="2269"/>
    </row>
    <row r="287" spans="1:27" ht="13.5" customHeight="1" x14ac:dyDescent="0.3">
      <c r="A287" s="2269"/>
      <c r="B287" s="2269"/>
      <c r="C287" s="2272"/>
      <c r="D287" s="2358"/>
      <c r="E287" s="2358"/>
      <c r="F287" s="2358"/>
      <c r="G287" s="2283"/>
      <c r="H287" s="2268"/>
      <c r="I287" s="2269"/>
      <c r="J287" s="2269"/>
      <c r="K287" s="2269"/>
      <c r="L287" s="2269"/>
      <c r="M287" s="2270"/>
      <c r="N287" s="2270"/>
      <c r="O287" s="2270"/>
      <c r="P287" s="2269"/>
      <c r="Q287" s="2269"/>
      <c r="R287" s="2269"/>
      <c r="S287" s="2269"/>
      <c r="T287" s="2269"/>
      <c r="U287" s="2269"/>
      <c r="V287" s="2269"/>
      <c r="W287" s="2269"/>
      <c r="X287" s="2269"/>
      <c r="Y287" s="2269"/>
      <c r="Z287" s="2269"/>
      <c r="AA287" s="2269"/>
    </row>
    <row r="288" spans="1:27" ht="13.5" customHeight="1" x14ac:dyDescent="0.3">
      <c r="A288" s="2269"/>
      <c r="B288" s="2269"/>
      <c r="C288" s="2272"/>
      <c r="D288" s="2358"/>
      <c r="E288" s="2358"/>
      <c r="F288" s="2358"/>
      <c r="G288" s="2283"/>
      <c r="H288" s="2268"/>
      <c r="I288" s="2269"/>
      <c r="J288" s="2269"/>
      <c r="K288" s="2269"/>
      <c r="L288" s="2269"/>
      <c r="M288" s="2270"/>
      <c r="N288" s="2270"/>
      <c r="O288" s="2270"/>
      <c r="P288" s="2269"/>
      <c r="Q288" s="2269"/>
      <c r="R288" s="2269"/>
      <c r="S288" s="2269"/>
      <c r="T288" s="2269"/>
      <c r="U288" s="2269"/>
      <c r="V288" s="2269"/>
      <c r="W288" s="2269"/>
      <c r="X288" s="2269"/>
      <c r="Y288" s="2269"/>
      <c r="Z288" s="2269"/>
      <c r="AA288" s="2269"/>
    </row>
    <row r="289" spans="1:27" ht="13.5" customHeight="1" x14ac:dyDescent="0.3">
      <c r="A289" s="2269"/>
      <c r="B289" s="2269"/>
      <c r="C289" s="2272"/>
      <c r="D289" s="2358"/>
      <c r="E289" s="2358"/>
      <c r="F289" s="2358"/>
      <c r="G289" s="2283"/>
      <c r="H289" s="2268"/>
      <c r="I289" s="2269"/>
      <c r="J289" s="2269"/>
      <c r="K289" s="2269"/>
      <c r="L289" s="2269"/>
      <c r="M289" s="2270"/>
      <c r="N289" s="2270"/>
      <c r="O289" s="2270"/>
      <c r="P289" s="2269"/>
      <c r="Q289" s="2269"/>
      <c r="R289" s="2269"/>
      <c r="S289" s="2269"/>
      <c r="T289" s="2269"/>
      <c r="U289" s="2269"/>
      <c r="V289" s="2269"/>
      <c r="W289" s="2269"/>
      <c r="X289" s="2269"/>
      <c r="Y289" s="2269"/>
      <c r="Z289" s="2269"/>
      <c r="AA289" s="2269"/>
    </row>
    <row r="290" spans="1:27" ht="13.5" customHeight="1" x14ac:dyDescent="0.3">
      <c r="A290" s="2269"/>
      <c r="B290" s="2269"/>
      <c r="C290" s="2272"/>
      <c r="D290" s="2358"/>
      <c r="E290" s="2358"/>
      <c r="F290" s="2358"/>
      <c r="G290" s="2283"/>
      <c r="H290" s="2268"/>
      <c r="I290" s="2269"/>
      <c r="J290" s="2269"/>
      <c r="K290" s="2269"/>
      <c r="L290" s="2269"/>
      <c r="M290" s="2270"/>
      <c r="N290" s="2270"/>
      <c r="O290" s="2270"/>
      <c r="P290" s="2269"/>
      <c r="Q290" s="2269"/>
      <c r="R290" s="2269"/>
      <c r="S290" s="2269"/>
      <c r="T290" s="2269"/>
      <c r="U290" s="2269"/>
      <c r="V290" s="2269"/>
      <c r="W290" s="2269"/>
      <c r="X290" s="2269"/>
      <c r="Y290" s="2269"/>
      <c r="Z290" s="2269"/>
      <c r="AA290" s="2269"/>
    </row>
    <row r="291" spans="1:27" ht="13.5" customHeight="1" x14ac:dyDescent="0.3">
      <c r="A291" s="2269"/>
      <c r="B291" s="2269"/>
      <c r="C291" s="2272"/>
      <c r="D291" s="2358"/>
      <c r="E291" s="2358"/>
      <c r="F291" s="2358"/>
      <c r="G291" s="2283"/>
      <c r="H291" s="2268"/>
      <c r="I291" s="2269"/>
      <c r="J291" s="2269"/>
      <c r="K291" s="2269"/>
      <c r="L291" s="2269"/>
      <c r="M291" s="2270"/>
      <c r="N291" s="2270"/>
      <c r="O291" s="2270"/>
      <c r="P291" s="2269"/>
      <c r="Q291" s="2269"/>
      <c r="R291" s="2269"/>
      <c r="S291" s="2269"/>
      <c r="T291" s="2269"/>
      <c r="U291" s="2269"/>
      <c r="V291" s="2269"/>
      <c r="W291" s="2269"/>
      <c r="X291" s="2269"/>
      <c r="Y291" s="2269"/>
      <c r="Z291" s="2269"/>
      <c r="AA291" s="2269"/>
    </row>
    <row r="292" spans="1:27" ht="13.5" customHeight="1" x14ac:dyDescent="0.3">
      <c r="A292" s="2269"/>
      <c r="B292" s="2269"/>
      <c r="C292" s="2272"/>
      <c r="D292" s="2358"/>
      <c r="E292" s="2358"/>
      <c r="F292" s="2358"/>
      <c r="G292" s="2283"/>
      <c r="H292" s="2268"/>
      <c r="I292" s="2269"/>
      <c r="J292" s="2269"/>
      <c r="K292" s="2269"/>
      <c r="L292" s="2269"/>
      <c r="M292" s="2270"/>
      <c r="N292" s="2270"/>
      <c r="O292" s="2270"/>
      <c r="P292" s="2269"/>
      <c r="Q292" s="2269"/>
      <c r="R292" s="2269"/>
      <c r="S292" s="2269"/>
      <c r="T292" s="2269"/>
      <c r="U292" s="2269"/>
      <c r="V292" s="2269"/>
      <c r="W292" s="2269"/>
      <c r="X292" s="2269"/>
      <c r="Y292" s="2269"/>
      <c r="Z292" s="2269"/>
      <c r="AA292" s="2269"/>
    </row>
    <row r="293" spans="1:27" ht="13.5" customHeight="1" x14ac:dyDescent="0.3">
      <c r="A293" s="2269"/>
      <c r="B293" s="2269"/>
      <c r="C293" s="2272"/>
      <c r="D293" s="2358"/>
      <c r="E293" s="2358"/>
      <c r="F293" s="2358"/>
      <c r="G293" s="2283"/>
      <c r="H293" s="2268"/>
      <c r="I293" s="2269"/>
      <c r="J293" s="2269"/>
      <c r="K293" s="2269"/>
      <c r="L293" s="2269"/>
      <c r="M293" s="2270"/>
      <c r="N293" s="2270"/>
      <c r="O293" s="2270"/>
      <c r="P293" s="2269"/>
      <c r="Q293" s="2269"/>
      <c r="R293" s="2269"/>
      <c r="S293" s="2269"/>
      <c r="T293" s="2269"/>
      <c r="U293" s="2269"/>
      <c r="V293" s="2269"/>
      <c r="W293" s="2269"/>
      <c r="X293" s="2269"/>
      <c r="Y293" s="2269"/>
      <c r="Z293" s="2269"/>
      <c r="AA293" s="2269"/>
    </row>
    <row r="294" spans="1:27" ht="13.5" customHeight="1" x14ac:dyDescent="0.3">
      <c r="A294" s="2269"/>
      <c r="B294" s="2269"/>
      <c r="C294" s="2272"/>
      <c r="D294" s="2358"/>
      <c r="E294" s="2358"/>
      <c r="F294" s="2358"/>
      <c r="G294" s="2283"/>
      <c r="H294" s="2268"/>
      <c r="I294" s="2269"/>
      <c r="J294" s="2269"/>
      <c r="K294" s="2269"/>
      <c r="L294" s="2269"/>
      <c r="M294" s="2270"/>
      <c r="N294" s="2270"/>
      <c r="O294" s="2270"/>
      <c r="P294" s="2269"/>
      <c r="Q294" s="2269"/>
      <c r="R294" s="2269"/>
      <c r="S294" s="2269"/>
      <c r="T294" s="2269"/>
      <c r="U294" s="2269"/>
      <c r="V294" s="2269"/>
      <c r="W294" s="2269"/>
      <c r="X294" s="2269"/>
      <c r="Y294" s="2269"/>
      <c r="Z294" s="2269"/>
      <c r="AA294" s="2269"/>
    </row>
    <row r="295" spans="1:27" ht="13.5" customHeight="1" x14ac:dyDescent="0.3">
      <c r="A295" s="2269"/>
      <c r="B295" s="2269"/>
      <c r="C295" s="2272"/>
      <c r="D295" s="2358"/>
      <c r="E295" s="2358"/>
      <c r="F295" s="2358"/>
      <c r="G295" s="2283"/>
      <c r="H295" s="2268"/>
      <c r="I295" s="2269"/>
      <c r="J295" s="2269"/>
      <c r="K295" s="2269"/>
      <c r="L295" s="2269"/>
      <c r="M295" s="2270"/>
      <c r="N295" s="2270"/>
      <c r="O295" s="2270"/>
      <c r="P295" s="2269"/>
      <c r="Q295" s="2269"/>
      <c r="R295" s="2269"/>
      <c r="S295" s="2269"/>
      <c r="T295" s="2269"/>
      <c r="U295" s="2269"/>
      <c r="V295" s="2269"/>
      <c r="W295" s="2269"/>
      <c r="X295" s="2269"/>
      <c r="Y295" s="2269"/>
      <c r="Z295" s="2269"/>
      <c r="AA295" s="2269"/>
    </row>
    <row r="296" spans="1:27" ht="13.5" customHeight="1" x14ac:dyDescent="0.3">
      <c r="A296" s="2269"/>
      <c r="B296" s="2269"/>
      <c r="C296" s="2272"/>
      <c r="D296" s="2358"/>
      <c r="E296" s="2358"/>
      <c r="F296" s="2358"/>
      <c r="G296" s="2283"/>
      <c r="H296" s="2268"/>
      <c r="I296" s="2269"/>
      <c r="J296" s="2269"/>
      <c r="K296" s="2269"/>
      <c r="L296" s="2269"/>
      <c r="M296" s="2270"/>
      <c r="N296" s="2270"/>
      <c r="O296" s="2270"/>
      <c r="P296" s="2269"/>
      <c r="Q296" s="2269"/>
      <c r="R296" s="2269"/>
      <c r="S296" s="2269"/>
      <c r="T296" s="2269"/>
      <c r="U296" s="2269"/>
      <c r="V296" s="2269"/>
      <c r="W296" s="2269"/>
      <c r="X296" s="2269"/>
      <c r="Y296" s="2269"/>
      <c r="Z296" s="2269"/>
      <c r="AA296" s="2269"/>
    </row>
    <row r="297" spans="1:27" ht="13.5" customHeight="1" x14ac:dyDescent="0.3">
      <c r="A297" s="2269"/>
      <c r="B297" s="2269"/>
      <c r="C297" s="2272"/>
      <c r="D297" s="2358"/>
      <c r="E297" s="2358"/>
      <c r="F297" s="2358"/>
      <c r="G297" s="2283"/>
      <c r="H297" s="2268"/>
      <c r="I297" s="2269"/>
      <c r="J297" s="2269"/>
      <c r="K297" s="2269"/>
      <c r="L297" s="2269"/>
      <c r="M297" s="2270"/>
      <c r="N297" s="2270"/>
      <c r="O297" s="2270"/>
      <c r="P297" s="2269"/>
      <c r="Q297" s="2269"/>
      <c r="R297" s="2269"/>
      <c r="S297" s="2269"/>
      <c r="T297" s="2269"/>
      <c r="U297" s="2269"/>
      <c r="V297" s="2269"/>
      <c r="W297" s="2269"/>
      <c r="X297" s="2269"/>
      <c r="Y297" s="2269"/>
      <c r="Z297" s="2269"/>
      <c r="AA297" s="2269"/>
    </row>
    <row r="298" spans="1:27" ht="13.5" customHeight="1" x14ac:dyDescent="0.3">
      <c r="A298" s="2269"/>
      <c r="B298" s="2269"/>
      <c r="C298" s="2272"/>
      <c r="D298" s="2358"/>
      <c r="E298" s="2358"/>
      <c r="F298" s="2358"/>
      <c r="G298" s="2283"/>
      <c r="H298" s="2268"/>
      <c r="I298" s="2269"/>
      <c r="J298" s="2269"/>
      <c r="K298" s="2269"/>
      <c r="L298" s="2269"/>
      <c r="M298" s="2270"/>
      <c r="N298" s="2270"/>
      <c r="O298" s="2270"/>
      <c r="P298" s="2269"/>
      <c r="Q298" s="2269"/>
      <c r="R298" s="2269"/>
      <c r="S298" s="2269"/>
      <c r="T298" s="2269"/>
      <c r="U298" s="2269"/>
      <c r="V298" s="2269"/>
      <c r="W298" s="2269"/>
      <c r="X298" s="2269"/>
      <c r="Y298" s="2269"/>
      <c r="Z298" s="2269"/>
      <c r="AA298" s="2269"/>
    </row>
    <row r="299" spans="1:27" ht="13.5" customHeight="1" x14ac:dyDescent="0.3">
      <c r="A299" s="2269"/>
      <c r="B299" s="2269"/>
      <c r="C299" s="2272"/>
      <c r="D299" s="2358"/>
      <c r="E299" s="2358"/>
      <c r="F299" s="2358"/>
      <c r="G299" s="2283"/>
      <c r="H299" s="2268"/>
      <c r="I299" s="2269"/>
      <c r="J299" s="2269"/>
      <c r="K299" s="2269"/>
      <c r="L299" s="2269"/>
      <c r="M299" s="2270"/>
      <c r="N299" s="2270"/>
      <c r="O299" s="2270"/>
      <c r="P299" s="2269"/>
      <c r="Q299" s="2269"/>
      <c r="R299" s="2269"/>
      <c r="S299" s="2269"/>
      <c r="T299" s="2269"/>
      <c r="U299" s="2269"/>
      <c r="V299" s="2269"/>
      <c r="W299" s="2269"/>
      <c r="X299" s="2269"/>
      <c r="Y299" s="2269"/>
      <c r="Z299" s="2269"/>
      <c r="AA299" s="2269"/>
    </row>
    <row r="300" spans="1:27" ht="13.5" customHeight="1" x14ac:dyDescent="0.3">
      <c r="A300" s="2269"/>
      <c r="B300" s="2269"/>
      <c r="C300" s="2272"/>
      <c r="D300" s="2358"/>
      <c r="E300" s="2358"/>
      <c r="F300" s="2358"/>
      <c r="G300" s="2283"/>
      <c r="H300" s="2268"/>
      <c r="I300" s="2269"/>
      <c r="J300" s="2269"/>
      <c r="K300" s="2269"/>
      <c r="L300" s="2269"/>
      <c r="M300" s="2270"/>
      <c r="N300" s="2270"/>
      <c r="O300" s="2270"/>
      <c r="P300" s="2269"/>
      <c r="Q300" s="2269"/>
      <c r="R300" s="2269"/>
      <c r="S300" s="2269"/>
      <c r="T300" s="2269"/>
      <c r="U300" s="2269"/>
      <c r="V300" s="2269"/>
      <c r="W300" s="2269"/>
      <c r="X300" s="2269"/>
      <c r="Y300" s="2269"/>
      <c r="Z300" s="2269"/>
      <c r="AA300" s="2269"/>
    </row>
    <row r="301" spans="1:27" ht="13.5" customHeight="1" x14ac:dyDescent="0.3">
      <c r="A301" s="2269"/>
      <c r="B301" s="2269"/>
      <c r="C301" s="2272"/>
      <c r="D301" s="2358"/>
      <c r="E301" s="2358"/>
      <c r="F301" s="2358"/>
      <c r="G301" s="2283"/>
      <c r="H301" s="2268"/>
      <c r="I301" s="2269"/>
      <c r="J301" s="2269"/>
      <c r="K301" s="2269"/>
      <c r="L301" s="2269"/>
      <c r="M301" s="2270"/>
      <c r="N301" s="2270"/>
      <c r="O301" s="2270"/>
      <c r="P301" s="2269"/>
      <c r="Q301" s="2269"/>
      <c r="R301" s="2269"/>
      <c r="S301" s="2269"/>
      <c r="T301" s="2269"/>
      <c r="U301" s="2269"/>
      <c r="V301" s="2269"/>
      <c r="W301" s="2269"/>
      <c r="X301" s="2269"/>
      <c r="Y301" s="2269"/>
      <c r="Z301" s="2269"/>
      <c r="AA301" s="2269"/>
    </row>
    <row r="302" spans="1:27" ht="13.5" customHeight="1" x14ac:dyDescent="0.3">
      <c r="A302" s="2269"/>
      <c r="B302" s="2269"/>
      <c r="C302" s="2272"/>
      <c r="D302" s="2358"/>
      <c r="E302" s="2358"/>
      <c r="F302" s="2358"/>
      <c r="G302" s="2283"/>
      <c r="H302" s="2268"/>
      <c r="I302" s="2269"/>
      <c r="J302" s="2269"/>
      <c r="K302" s="2269"/>
      <c r="L302" s="2269"/>
      <c r="M302" s="2270"/>
      <c r="N302" s="2270"/>
      <c r="O302" s="2270"/>
      <c r="P302" s="2269"/>
      <c r="Q302" s="2269"/>
      <c r="R302" s="2269"/>
      <c r="S302" s="2269"/>
      <c r="T302" s="2269"/>
      <c r="U302" s="2269"/>
      <c r="V302" s="2269"/>
      <c r="W302" s="2269"/>
      <c r="X302" s="2269"/>
      <c r="Y302" s="2269"/>
      <c r="Z302" s="2269"/>
      <c r="AA302" s="2269"/>
    </row>
    <row r="303" spans="1:27" ht="13.5" customHeight="1" x14ac:dyDescent="0.3">
      <c r="A303" s="2269"/>
      <c r="B303" s="2269"/>
      <c r="C303" s="2272"/>
      <c r="D303" s="2358"/>
      <c r="E303" s="2358"/>
      <c r="F303" s="2358"/>
      <c r="G303" s="2283"/>
      <c r="H303" s="2268"/>
      <c r="I303" s="2269"/>
      <c r="J303" s="2269"/>
      <c r="K303" s="2269"/>
      <c r="L303" s="2269"/>
      <c r="M303" s="2270"/>
      <c r="N303" s="2270"/>
      <c r="O303" s="2270"/>
      <c r="P303" s="2269"/>
      <c r="Q303" s="2269"/>
      <c r="R303" s="2269"/>
      <c r="S303" s="2269"/>
      <c r="T303" s="2269"/>
      <c r="U303" s="2269"/>
      <c r="V303" s="2269"/>
      <c r="W303" s="2269"/>
      <c r="X303" s="2269"/>
      <c r="Y303" s="2269"/>
      <c r="Z303" s="2269"/>
      <c r="AA303" s="2269"/>
    </row>
    <row r="304" spans="1:27" ht="13.5" customHeight="1" x14ac:dyDescent="0.3">
      <c r="A304" s="2269"/>
      <c r="B304" s="2269"/>
      <c r="C304" s="2272"/>
      <c r="D304" s="2358"/>
      <c r="E304" s="2358"/>
      <c r="F304" s="2358"/>
      <c r="G304" s="2283"/>
      <c r="H304" s="2268"/>
      <c r="I304" s="2269"/>
      <c r="J304" s="2269"/>
      <c r="K304" s="2269"/>
      <c r="L304" s="2269"/>
      <c r="M304" s="2270"/>
      <c r="N304" s="2270"/>
      <c r="O304" s="2270"/>
      <c r="P304" s="2269"/>
      <c r="Q304" s="2269"/>
      <c r="R304" s="2269"/>
      <c r="S304" s="2269"/>
      <c r="T304" s="2269"/>
      <c r="U304" s="2269"/>
      <c r="V304" s="2269"/>
      <c r="W304" s="2269"/>
      <c r="X304" s="2269"/>
      <c r="Y304" s="2269"/>
      <c r="Z304" s="2269"/>
      <c r="AA304" s="2269"/>
    </row>
    <row r="305" spans="1:27" ht="13.5" customHeight="1" x14ac:dyDescent="0.3">
      <c r="A305" s="2269"/>
      <c r="B305" s="2269"/>
      <c r="C305" s="2272"/>
      <c r="D305" s="2358"/>
      <c r="E305" s="2358"/>
      <c r="F305" s="2358"/>
      <c r="G305" s="2283"/>
      <c r="H305" s="2268"/>
      <c r="I305" s="2269"/>
      <c r="J305" s="2269"/>
      <c r="K305" s="2269"/>
      <c r="L305" s="2269"/>
      <c r="M305" s="2270"/>
      <c r="N305" s="2270"/>
      <c r="O305" s="2270"/>
      <c r="P305" s="2269"/>
      <c r="Q305" s="2269"/>
      <c r="R305" s="2269"/>
      <c r="S305" s="2269"/>
      <c r="T305" s="2269"/>
      <c r="U305" s="2269"/>
      <c r="V305" s="2269"/>
      <c r="W305" s="2269"/>
      <c r="X305" s="2269"/>
      <c r="Y305" s="2269"/>
      <c r="Z305" s="2269"/>
      <c r="AA305" s="2269"/>
    </row>
    <row r="306" spans="1:27" ht="13.5" customHeight="1" x14ac:dyDescent="0.3">
      <c r="A306" s="2269"/>
      <c r="B306" s="2269"/>
      <c r="C306" s="2272"/>
      <c r="D306" s="2358"/>
      <c r="E306" s="2358"/>
      <c r="F306" s="2358"/>
      <c r="G306" s="2283"/>
      <c r="H306" s="2268"/>
      <c r="I306" s="2269"/>
      <c r="J306" s="2269"/>
      <c r="K306" s="2269"/>
      <c r="L306" s="2269"/>
      <c r="M306" s="2270"/>
      <c r="N306" s="2270"/>
      <c r="O306" s="2270"/>
      <c r="P306" s="2269"/>
      <c r="Q306" s="2269"/>
      <c r="R306" s="2269"/>
      <c r="S306" s="2269"/>
      <c r="T306" s="2269"/>
      <c r="U306" s="2269"/>
      <c r="V306" s="2269"/>
      <c r="W306" s="2269"/>
      <c r="X306" s="2269"/>
      <c r="Y306" s="2269"/>
      <c r="Z306" s="2269"/>
      <c r="AA306" s="2269"/>
    </row>
    <row r="307" spans="1:27" ht="13.5" customHeight="1" x14ac:dyDescent="0.3">
      <c r="A307" s="2269"/>
      <c r="B307" s="2269"/>
      <c r="C307" s="2272"/>
      <c r="D307" s="2358"/>
      <c r="E307" s="2358"/>
      <c r="F307" s="2358"/>
      <c r="G307" s="2283"/>
      <c r="H307" s="2268"/>
      <c r="I307" s="2269"/>
      <c r="J307" s="2269"/>
      <c r="K307" s="2269"/>
      <c r="L307" s="2269"/>
      <c r="M307" s="2270"/>
      <c r="N307" s="2270"/>
      <c r="O307" s="2270"/>
      <c r="P307" s="2269"/>
      <c r="Q307" s="2269"/>
      <c r="R307" s="2269"/>
      <c r="S307" s="2269"/>
      <c r="T307" s="2269"/>
      <c r="U307" s="2269"/>
      <c r="V307" s="2269"/>
      <c r="W307" s="2269"/>
      <c r="X307" s="2269"/>
      <c r="Y307" s="2269"/>
      <c r="Z307" s="2269"/>
      <c r="AA307" s="2269"/>
    </row>
    <row r="308" spans="1:27" ht="13.5" customHeight="1" x14ac:dyDescent="0.3">
      <c r="A308" s="2269"/>
      <c r="B308" s="2269"/>
      <c r="C308" s="2272"/>
      <c r="D308" s="2358"/>
      <c r="E308" s="2358"/>
      <c r="F308" s="2358"/>
      <c r="G308" s="2283"/>
      <c r="H308" s="2268"/>
      <c r="I308" s="2269"/>
      <c r="J308" s="2269"/>
      <c r="K308" s="2269"/>
      <c r="L308" s="2269"/>
      <c r="M308" s="2270"/>
      <c r="N308" s="2270"/>
      <c r="O308" s="2270"/>
      <c r="P308" s="2269"/>
      <c r="Q308" s="2269"/>
      <c r="R308" s="2269"/>
      <c r="S308" s="2269"/>
      <c r="T308" s="2269"/>
      <c r="U308" s="2269"/>
      <c r="V308" s="2269"/>
      <c r="W308" s="2269"/>
      <c r="X308" s="2269"/>
      <c r="Y308" s="2269"/>
      <c r="Z308" s="2269"/>
      <c r="AA308" s="2269"/>
    </row>
    <row r="309" spans="1:27" ht="13.5" customHeight="1" x14ac:dyDescent="0.3">
      <c r="A309" s="2269"/>
      <c r="B309" s="2269"/>
      <c r="C309" s="2272"/>
      <c r="D309" s="2358"/>
      <c r="E309" s="2358"/>
      <c r="F309" s="2358"/>
      <c r="G309" s="2283"/>
      <c r="H309" s="2268"/>
      <c r="I309" s="2269"/>
      <c r="J309" s="2269"/>
      <c r="K309" s="2269"/>
      <c r="L309" s="2269"/>
      <c r="M309" s="2270"/>
      <c r="N309" s="2270"/>
      <c r="O309" s="2270"/>
      <c r="P309" s="2269"/>
      <c r="Q309" s="2269"/>
      <c r="R309" s="2269"/>
      <c r="S309" s="2269"/>
      <c r="T309" s="2269"/>
      <c r="U309" s="2269"/>
      <c r="V309" s="2269"/>
      <c r="W309" s="2269"/>
      <c r="X309" s="2269"/>
      <c r="Y309" s="2269"/>
      <c r="Z309" s="2269"/>
      <c r="AA309" s="2269"/>
    </row>
    <row r="310" spans="1:27" ht="13.5" customHeight="1" x14ac:dyDescent="0.3">
      <c r="A310" s="2269"/>
      <c r="B310" s="2269"/>
      <c r="C310" s="2272"/>
      <c r="D310" s="2358"/>
      <c r="E310" s="2358"/>
      <c r="F310" s="2358"/>
      <c r="G310" s="2283"/>
      <c r="H310" s="2268"/>
      <c r="I310" s="2269"/>
      <c r="J310" s="2269"/>
      <c r="K310" s="2269"/>
      <c r="L310" s="2269"/>
      <c r="M310" s="2270"/>
      <c r="N310" s="2270"/>
      <c r="O310" s="2270"/>
      <c r="P310" s="2269"/>
      <c r="Q310" s="2269"/>
      <c r="R310" s="2269"/>
      <c r="S310" s="2269"/>
      <c r="T310" s="2269"/>
      <c r="U310" s="2269"/>
      <c r="V310" s="2269"/>
      <c r="W310" s="2269"/>
      <c r="X310" s="2269"/>
      <c r="Y310" s="2269"/>
      <c r="Z310" s="2269"/>
      <c r="AA310" s="2269"/>
    </row>
    <row r="311" spans="1:27" ht="13.5" customHeight="1" x14ac:dyDescent="0.3">
      <c r="A311" s="2269"/>
      <c r="B311" s="2269"/>
      <c r="C311" s="2272"/>
      <c r="D311" s="2358"/>
      <c r="E311" s="2358"/>
      <c r="F311" s="2358"/>
      <c r="G311" s="2283"/>
      <c r="H311" s="2268"/>
      <c r="I311" s="2269"/>
      <c r="J311" s="2269"/>
      <c r="K311" s="2269"/>
      <c r="L311" s="2269"/>
      <c r="M311" s="2270"/>
      <c r="N311" s="2270"/>
      <c r="O311" s="2270"/>
      <c r="P311" s="2269"/>
      <c r="Q311" s="2269"/>
      <c r="R311" s="2269"/>
      <c r="S311" s="2269"/>
      <c r="T311" s="2269"/>
      <c r="U311" s="2269"/>
      <c r="V311" s="2269"/>
      <c r="W311" s="2269"/>
      <c r="X311" s="2269"/>
      <c r="Y311" s="2269"/>
      <c r="Z311" s="2269"/>
      <c r="AA311" s="2269"/>
    </row>
    <row r="312" spans="1:27" ht="13.5" customHeight="1" x14ac:dyDescent="0.3">
      <c r="A312" s="2269"/>
      <c r="B312" s="2269"/>
      <c r="C312" s="2272"/>
      <c r="D312" s="2358"/>
      <c r="E312" s="2358"/>
      <c r="F312" s="2358"/>
      <c r="G312" s="2283"/>
      <c r="H312" s="2268"/>
      <c r="I312" s="2269"/>
      <c r="J312" s="2269"/>
      <c r="K312" s="2269"/>
      <c r="L312" s="2269"/>
      <c r="M312" s="2270"/>
      <c r="N312" s="2270"/>
      <c r="O312" s="2270"/>
      <c r="P312" s="2269"/>
      <c r="Q312" s="2269"/>
      <c r="R312" s="2269"/>
      <c r="S312" s="2269"/>
      <c r="T312" s="2269"/>
      <c r="U312" s="2269"/>
      <c r="V312" s="2269"/>
      <c r="W312" s="2269"/>
      <c r="X312" s="2269"/>
      <c r="Y312" s="2269"/>
      <c r="Z312" s="2269"/>
      <c r="AA312" s="2269"/>
    </row>
    <row r="313" spans="1:27" ht="13.5" customHeight="1" x14ac:dyDescent="0.3">
      <c r="A313" s="2269"/>
      <c r="B313" s="2269"/>
      <c r="C313" s="2272"/>
      <c r="D313" s="2358"/>
      <c r="E313" s="2358"/>
      <c r="F313" s="2358"/>
      <c r="G313" s="2283"/>
      <c r="H313" s="2268"/>
      <c r="I313" s="2269"/>
      <c r="J313" s="2269"/>
      <c r="K313" s="2269"/>
      <c r="L313" s="2269"/>
      <c r="M313" s="2270"/>
      <c r="N313" s="2270"/>
      <c r="O313" s="2270"/>
      <c r="P313" s="2269"/>
      <c r="Q313" s="2269"/>
      <c r="R313" s="2269"/>
      <c r="S313" s="2269"/>
      <c r="T313" s="2269"/>
      <c r="U313" s="2269"/>
      <c r="V313" s="2269"/>
      <c r="W313" s="2269"/>
      <c r="X313" s="2269"/>
      <c r="Y313" s="2269"/>
      <c r="Z313" s="2269"/>
      <c r="AA313" s="2269"/>
    </row>
    <row r="314" spans="1:27" ht="13.5" customHeight="1" x14ac:dyDescent="0.3">
      <c r="A314" s="2269"/>
      <c r="B314" s="2269"/>
      <c r="C314" s="2272"/>
      <c r="D314" s="2358"/>
      <c r="E314" s="2358"/>
      <c r="F314" s="2358"/>
      <c r="G314" s="2283"/>
      <c r="H314" s="2268"/>
      <c r="I314" s="2269"/>
      <c r="J314" s="2269"/>
      <c r="K314" s="2269"/>
      <c r="L314" s="2269"/>
      <c r="M314" s="2270"/>
      <c r="N314" s="2270"/>
      <c r="O314" s="2270"/>
      <c r="P314" s="2269"/>
      <c r="Q314" s="2269"/>
      <c r="R314" s="2269"/>
      <c r="S314" s="2269"/>
      <c r="T314" s="2269"/>
      <c r="U314" s="2269"/>
      <c r="V314" s="2269"/>
      <c r="W314" s="2269"/>
      <c r="X314" s="2269"/>
      <c r="Y314" s="2269"/>
      <c r="Z314" s="2269"/>
      <c r="AA314" s="2269"/>
    </row>
    <row r="315" spans="1:27" ht="13.5" customHeight="1" x14ac:dyDescent="0.3">
      <c r="A315" s="2269"/>
      <c r="B315" s="2269"/>
      <c r="C315" s="2272"/>
      <c r="D315" s="2358"/>
      <c r="E315" s="2358"/>
      <c r="F315" s="2358"/>
      <c r="G315" s="2283"/>
      <c r="H315" s="2268"/>
      <c r="I315" s="2269"/>
      <c r="J315" s="2269"/>
      <c r="K315" s="2269"/>
      <c r="L315" s="2269"/>
      <c r="M315" s="2270"/>
      <c r="N315" s="2270"/>
      <c r="O315" s="2270"/>
      <c r="P315" s="2269"/>
      <c r="Q315" s="2269"/>
      <c r="R315" s="2269"/>
      <c r="S315" s="2269"/>
      <c r="T315" s="2269"/>
      <c r="U315" s="2269"/>
      <c r="V315" s="2269"/>
      <c r="W315" s="2269"/>
      <c r="X315" s="2269"/>
      <c r="Y315" s="2269"/>
      <c r="Z315" s="2269"/>
      <c r="AA315" s="2269"/>
    </row>
    <row r="316" spans="1:27" ht="13.5" customHeight="1" x14ac:dyDescent="0.3">
      <c r="A316" s="2269"/>
      <c r="B316" s="2269"/>
      <c r="C316" s="2272"/>
      <c r="D316" s="2358"/>
      <c r="E316" s="2358"/>
      <c r="F316" s="2358"/>
      <c r="G316" s="2283"/>
      <c r="H316" s="2268"/>
      <c r="I316" s="2269"/>
      <c r="J316" s="2269"/>
      <c r="K316" s="2269"/>
      <c r="L316" s="2269"/>
      <c r="M316" s="2270"/>
      <c r="N316" s="2270"/>
      <c r="O316" s="2270"/>
      <c r="P316" s="2269"/>
      <c r="Q316" s="2269"/>
      <c r="R316" s="2269"/>
      <c r="S316" s="2269"/>
      <c r="T316" s="2269"/>
      <c r="U316" s="2269"/>
      <c r="V316" s="2269"/>
      <c r="W316" s="2269"/>
      <c r="X316" s="2269"/>
      <c r="Y316" s="2269"/>
      <c r="Z316" s="2269"/>
      <c r="AA316" s="2269"/>
    </row>
    <row r="317" spans="1:27" ht="13.5" customHeight="1" x14ac:dyDescent="0.3">
      <c r="A317" s="2269"/>
      <c r="B317" s="2269"/>
      <c r="C317" s="2272"/>
      <c r="D317" s="2358"/>
      <c r="E317" s="2358"/>
      <c r="F317" s="2358"/>
      <c r="G317" s="2283"/>
      <c r="H317" s="2268"/>
      <c r="I317" s="2269"/>
      <c r="J317" s="2269"/>
      <c r="K317" s="2269"/>
      <c r="L317" s="2269"/>
      <c r="M317" s="2270"/>
      <c r="N317" s="2270"/>
      <c r="O317" s="2270"/>
      <c r="P317" s="2269"/>
      <c r="Q317" s="2269"/>
      <c r="R317" s="2269"/>
      <c r="S317" s="2269"/>
      <c r="T317" s="2269"/>
      <c r="U317" s="2269"/>
      <c r="V317" s="2269"/>
      <c r="W317" s="2269"/>
      <c r="X317" s="2269"/>
      <c r="Y317" s="2269"/>
      <c r="Z317" s="2269"/>
      <c r="AA317" s="2269"/>
    </row>
    <row r="318" spans="1:27" ht="13.5" customHeight="1" x14ac:dyDescent="0.3">
      <c r="A318" s="2269"/>
      <c r="B318" s="2269"/>
      <c r="C318" s="2272"/>
      <c r="D318" s="2358"/>
      <c r="E318" s="2358"/>
      <c r="F318" s="2358"/>
      <c r="G318" s="2283"/>
      <c r="H318" s="2268"/>
      <c r="I318" s="2269"/>
      <c r="J318" s="2269"/>
      <c r="K318" s="2269"/>
      <c r="L318" s="2269"/>
      <c r="M318" s="2270"/>
      <c r="N318" s="2270"/>
      <c r="O318" s="2270"/>
      <c r="P318" s="2269"/>
      <c r="Q318" s="2269"/>
      <c r="R318" s="2269"/>
      <c r="S318" s="2269"/>
      <c r="T318" s="2269"/>
      <c r="U318" s="2269"/>
      <c r="V318" s="2269"/>
      <c r="W318" s="2269"/>
      <c r="X318" s="2269"/>
      <c r="Y318" s="2269"/>
      <c r="Z318" s="2269"/>
      <c r="AA318" s="2269"/>
    </row>
    <row r="319" spans="1:27" ht="13.5" customHeight="1" x14ac:dyDescent="0.3">
      <c r="A319" s="2269"/>
      <c r="B319" s="2269"/>
      <c r="C319" s="2272"/>
      <c r="D319" s="2358"/>
      <c r="E319" s="2358"/>
      <c r="F319" s="2358"/>
      <c r="G319" s="2283"/>
      <c r="H319" s="2268"/>
      <c r="I319" s="2269"/>
      <c r="J319" s="2269"/>
      <c r="K319" s="2269"/>
      <c r="L319" s="2269"/>
      <c r="M319" s="2270"/>
      <c r="N319" s="2270"/>
      <c r="O319" s="2270"/>
      <c r="P319" s="2269"/>
      <c r="Q319" s="2269"/>
      <c r="R319" s="2269"/>
      <c r="S319" s="2269"/>
      <c r="T319" s="2269"/>
      <c r="U319" s="2269"/>
      <c r="V319" s="2269"/>
      <c r="W319" s="2269"/>
      <c r="X319" s="2269"/>
      <c r="Y319" s="2269"/>
      <c r="Z319" s="2269"/>
      <c r="AA319" s="2269"/>
    </row>
    <row r="320" spans="1:27" ht="13.5" customHeight="1" x14ac:dyDescent="0.3">
      <c r="A320" s="2269"/>
      <c r="B320" s="2269"/>
      <c r="C320" s="2272"/>
      <c r="D320" s="2358"/>
      <c r="E320" s="2358"/>
      <c r="F320" s="2358"/>
      <c r="G320" s="2283"/>
      <c r="H320" s="2268"/>
      <c r="I320" s="2269"/>
      <c r="J320" s="2269"/>
      <c r="K320" s="2269"/>
      <c r="L320" s="2269"/>
      <c r="M320" s="2270"/>
      <c r="N320" s="2270"/>
      <c r="O320" s="2270"/>
      <c r="P320" s="2269"/>
      <c r="Q320" s="2269"/>
      <c r="R320" s="2269"/>
      <c r="S320" s="2269"/>
      <c r="T320" s="2269"/>
      <c r="U320" s="2269"/>
      <c r="V320" s="2269"/>
      <c r="W320" s="2269"/>
      <c r="X320" s="2269"/>
      <c r="Y320" s="2269"/>
      <c r="Z320" s="2269"/>
      <c r="AA320" s="2269"/>
    </row>
    <row r="321" spans="1:27" ht="13.5" customHeight="1" x14ac:dyDescent="0.3">
      <c r="A321" s="2269"/>
      <c r="B321" s="2269"/>
      <c r="C321" s="2272"/>
      <c r="D321" s="2358"/>
      <c r="E321" s="2358"/>
      <c r="F321" s="2358"/>
      <c r="G321" s="2283"/>
      <c r="H321" s="2268"/>
      <c r="I321" s="2269"/>
      <c r="J321" s="2269"/>
      <c r="K321" s="2269"/>
      <c r="L321" s="2269"/>
      <c r="M321" s="2270"/>
      <c r="N321" s="2270"/>
      <c r="O321" s="2270"/>
      <c r="P321" s="2269"/>
      <c r="Q321" s="2269"/>
      <c r="R321" s="2269"/>
      <c r="S321" s="2269"/>
      <c r="T321" s="2269"/>
      <c r="U321" s="2269"/>
      <c r="V321" s="2269"/>
      <c r="W321" s="2269"/>
      <c r="X321" s="2269"/>
      <c r="Y321" s="2269"/>
      <c r="Z321" s="2269"/>
      <c r="AA321" s="2269"/>
    </row>
    <row r="322" spans="1:27" ht="13.5" customHeight="1" x14ac:dyDescent="0.3">
      <c r="A322" s="2269"/>
      <c r="B322" s="2269"/>
      <c r="C322" s="2272"/>
      <c r="D322" s="2358"/>
      <c r="E322" s="2358"/>
      <c r="F322" s="2358"/>
      <c r="G322" s="2283"/>
      <c r="H322" s="2268"/>
      <c r="I322" s="2269"/>
      <c r="J322" s="2269"/>
      <c r="K322" s="2269"/>
      <c r="L322" s="2269"/>
      <c r="M322" s="2270"/>
      <c r="N322" s="2270"/>
      <c r="O322" s="2270"/>
      <c r="P322" s="2269"/>
      <c r="Q322" s="2269"/>
      <c r="R322" s="2269"/>
      <c r="S322" s="2269"/>
      <c r="T322" s="2269"/>
      <c r="U322" s="2269"/>
      <c r="V322" s="2269"/>
      <c r="W322" s="2269"/>
      <c r="X322" s="2269"/>
      <c r="Y322" s="2269"/>
      <c r="Z322" s="2269"/>
      <c r="AA322" s="2269"/>
    </row>
    <row r="323" spans="1:27" ht="13.5" customHeight="1" x14ac:dyDescent="0.3">
      <c r="A323" s="2269"/>
      <c r="B323" s="2269"/>
      <c r="C323" s="2272"/>
      <c r="D323" s="2358"/>
      <c r="E323" s="2358"/>
      <c r="F323" s="2358"/>
      <c r="G323" s="2283"/>
      <c r="H323" s="2268"/>
      <c r="I323" s="2269"/>
      <c r="J323" s="2269"/>
      <c r="K323" s="2269"/>
      <c r="L323" s="2269"/>
      <c r="M323" s="2270"/>
      <c r="N323" s="2270"/>
      <c r="O323" s="2270"/>
      <c r="P323" s="2269"/>
      <c r="Q323" s="2269"/>
      <c r="R323" s="2269"/>
      <c r="S323" s="2269"/>
      <c r="T323" s="2269"/>
      <c r="U323" s="2269"/>
      <c r="V323" s="2269"/>
      <c r="W323" s="2269"/>
      <c r="X323" s="2269"/>
      <c r="Y323" s="2269"/>
      <c r="Z323" s="2269"/>
      <c r="AA323" s="2269"/>
    </row>
    <row r="324" spans="1:27" ht="13.5" customHeight="1" x14ac:dyDescent="0.3">
      <c r="A324" s="2269"/>
      <c r="B324" s="2269"/>
      <c r="C324" s="2272"/>
      <c r="D324" s="2358"/>
      <c r="E324" s="2358"/>
      <c r="F324" s="2358"/>
      <c r="G324" s="2283"/>
      <c r="H324" s="2268"/>
      <c r="I324" s="2269"/>
      <c r="J324" s="2269"/>
      <c r="K324" s="2269"/>
      <c r="L324" s="2269"/>
      <c r="M324" s="2270"/>
      <c r="N324" s="2270"/>
      <c r="O324" s="2270"/>
      <c r="P324" s="2269"/>
      <c r="Q324" s="2269"/>
      <c r="R324" s="2269"/>
      <c r="S324" s="2269"/>
      <c r="T324" s="2269"/>
      <c r="U324" s="2269"/>
      <c r="V324" s="2269"/>
      <c r="W324" s="2269"/>
      <c r="X324" s="2269"/>
      <c r="Y324" s="2269"/>
      <c r="Z324" s="2269"/>
      <c r="AA324" s="2269"/>
    </row>
    <row r="325" spans="1:27" ht="13.5" customHeight="1" x14ac:dyDescent="0.3">
      <c r="A325" s="2269"/>
      <c r="B325" s="2269"/>
      <c r="C325" s="2272"/>
      <c r="D325" s="2358"/>
      <c r="E325" s="2358"/>
      <c r="F325" s="2358"/>
      <c r="G325" s="2283"/>
      <c r="H325" s="2268"/>
      <c r="I325" s="2269"/>
      <c r="J325" s="2269"/>
      <c r="K325" s="2269"/>
      <c r="L325" s="2269"/>
      <c r="M325" s="2270"/>
      <c r="N325" s="2270"/>
      <c r="O325" s="2270"/>
      <c r="P325" s="2269"/>
      <c r="Q325" s="2269"/>
      <c r="R325" s="2269"/>
      <c r="S325" s="2269"/>
      <c r="T325" s="2269"/>
      <c r="U325" s="2269"/>
      <c r="V325" s="2269"/>
      <c r="W325" s="2269"/>
      <c r="X325" s="2269"/>
      <c r="Y325" s="2269"/>
      <c r="Z325" s="2269"/>
      <c r="AA325" s="2269"/>
    </row>
    <row r="326" spans="1:27" ht="13.5" customHeight="1" x14ac:dyDescent="0.3">
      <c r="A326" s="2269"/>
      <c r="B326" s="2269"/>
      <c r="C326" s="2272"/>
      <c r="D326" s="2358"/>
      <c r="E326" s="2358"/>
      <c r="F326" s="2358"/>
      <c r="G326" s="2283"/>
      <c r="H326" s="2268"/>
      <c r="I326" s="2269"/>
      <c r="J326" s="2269"/>
      <c r="K326" s="2269"/>
      <c r="L326" s="2269"/>
      <c r="M326" s="2270"/>
      <c r="N326" s="2270"/>
      <c r="O326" s="2270"/>
      <c r="P326" s="2269"/>
      <c r="Q326" s="2269"/>
      <c r="R326" s="2269"/>
      <c r="S326" s="2269"/>
      <c r="T326" s="2269"/>
      <c r="U326" s="2269"/>
      <c r="V326" s="2269"/>
      <c r="W326" s="2269"/>
      <c r="X326" s="2269"/>
      <c r="Y326" s="2269"/>
      <c r="Z326" s="2269"/>
      <c r="AA326" s="2269"/>
    </row>
    <row r="327" spans="1:27" ht="13.5" customHeight="1" x14ac:dyDescent="0.3">
      <c r="A327" s="2269"/>
      <c r="B327" s="2269"/>
      <c r="C327" s="2272"/>
      <c r="D327" s="2358"/>
      <c r="E327" s="2358"/>
      <c r="F327" s="2358"/>
      <c r="G327" s="2283"/>
      <c r="H327" s="2268"/>
      <c r="I327" s="2269"/>
      <c r="J327" s="2269"/>
      <c r="K327" s="2269"/>
      <c r="L327" s="2269"/>
      <c r="M327" s="2270"/>
      <c r="N327" s="2270"/>
      <c r="O327" s="2270"/>
      <c r="P327" s="2269"/>
      <c r="Q327" s="2269"/>
      <c r="R327" s="2269"/>
      <c r="S327" s="2269"/>
      <c r="T327" s="2269"/>
      <c r="U327" s="2269"/>
      <c r="V327" s="2269"/>
      <c r="W327" s="2269"/>
      <c r="X327" s="2269"/>
      <c r="Y327" s="2269"/>
      <c r="Z327" s="2269"/>
      <c r="AA327" s="2269"/>
    </row>
    <row r="328" spans="1:27" ht="13.5" customHeight="1" x14ac:dyDescent="0.3">
      <c r="A328" s="2269"/>
      <c r="B328" s="2269"/>
      <c r="C328" s="2272"/>
      <c r="D328" s="2358"/>
      <c r="E328" s="2358"/>
      <c r="F328" s="2358"/>
      <c r="G328" s="2283"/>
      <c r="H328" s="2268"/>
      <c r="I328" s="2269"/>
      <c r="J328" s="2269"/>
      <c r="K328" s="2269"/>
      <c r="L328" s="2269"/>
      <c r="M328" s="2270"/>
      <c r="N328" s="2270"/>
      <c r="O328" s="2270"/>
      <c r="P328" s="2269"/>
      <c r="Q328" s="2269"/>
      <c r="R328" s="2269"/>
      <c r="S328" s="2269"/>
      <c r="T328" s="2269"/>
      <c r="U328" s="2269"/>
      <c r="V328" s="2269"/>
      <c r="W328" s="2269"/>
      <c r="X328" s="2269"/>
      <c r="Y328" s="2269"/>
      <c r="Z328" s="2269"/>
      <c r="AA328" s="2269"/>
    </row>
    <row r="329" spans="1:27" ht="13.5" customHeight="1" x14ac:dyDescent="0.3">
      <c r="A329" s="2269"/>
      <c r="B329" s="2269"/>
      <c r="C329" s="2272"/>
      <c r="D329" s="2358"/>
      <c r="E329" s="2358"/>
      <c r="F329" s="2358"/>
      <c r="G329" s="2283"/>
      <c r="H329" s="2268"/>
      <c r="I329" s="2269"/>
      <c r="J329" s="2269"/>
      <c r="K329" s="2269"/>
      <c r="L329" s="2269"/>
      <c r="M329" s="2270"/>
      <c r="N329" s="2270"/>
      <c r="O329" s="2270"/>
      <c r="P329" s="2269"/>
      <c r="Q329" s="2269"/>
      <c r="R329" s="2269"/>
      <c r="S329" s="2269"/>
      <c r="T329" s="2269"/>
      <c r="U329" s="2269"/>
      <c r="V329" s="2269"/>
      <c r="W329" s="2269"/>
      <c r="X329" s="2269"/>
      <c r="Y329" s="2269"/>
      <c r="Z329" s="2269"/>
      <c r="AA329" s="2269"/>
    </row>
    <row r="330" spans="1:27" ht="13.5" customHeight="1" x14ac:dyDescent="0.3">
      <c r="A330" s="2269"/>
      <c r="B330" s="2269"/>
      <c r="C330" s="2272"/>
      <c r="D330" s="2358"/>
      <c r="E330" s="2358"/>
      <c r="F330" s="2358"/>
      <c r="G330" s="2283"/>
      <c r="H330" s="2268"/>
      <c r="I330" s="2269"/>
      <c r="J330" s="2269"/>
      <c r="K330" s="2269"/>
      <c r="L330" s="2269"/>
      <c r="M330" s="2270"/>
      <c r="N330" s="2270"/>
      <c r="O330" s="2270"/>
      <c r="P330" s="2269"/>
      <c r="Q330" s="2269"/>
      <c r="R330" s="2269"/>
      <c r="S330" s="2269"/>
      <c r="T330" s="2269"/>
      <c r="U330" s="2269"/>
      <c r="V330" s="2269"/>
      <c r="W330" s="2269"/>
      <c r="X330" s="2269"/>
      <c r="Y330" s="2269"/>
      <c r="Z330" s="2269"/>
      <c r="AA330" s="2269"/>
    </row>
    <row r="331" spans="1:27" ht="13.5" customHeight="1" x14ac:dyDescent="0.3">
      <c r="A331" s="2269"/>
      <c r="B331" s="2269"/>
      <c r="C331" s="2272"/>
      <c r="D331" s="2358"/>
      <c r="E331" s="2358"/>
      <c r="F331" s="2358"/>
      <c r="G331" s="2283"/>
      <c r="H331" s="2268"/>
      <c r="I331" s="2269"/>
      <c r="J331" s="2269"/>
      <c r="K331" s="2269"/>
      <c r="L331" s="2269"/>
      <c r="M331" s="2270"/>
      <c r="N331" s="2270"/>
      <c r="O331" s="2270"/>
      <c r="P331" s="2269"/>
      <c r="Q331" s="2269"/>
      <c r="R331" s="2269"/>
      <c r="S331" s="2269"/>
      <c r="T331" s="2269"/>
      <c r="U331" s="2269"/>
      <c r="V331" s="2269"/>
      <c r="W331" s="2269"/>
      <c r="X331" s="2269"/>
      <c r="Y331" s="2269"/>
      <c r="Z331" s="2269"/>
      <c r="AA331" s="2269"/>
    </row>
    <row r="332" spans="1:27" ht="13.5" customHeight="1" x14ac:dyDescent="0.3">
      <c r="A332" s="2269"/>
      <c r="B332" s="2269"/>
      <c r="C332" s="2272"/>
      <c r="D332" s="2358"/>
      <c r="E332" s="2358"/>
      <c r="F332" s="2358"/>
      <c r="G332" s="2283"/>
      <c r="H332" s="2268"/>
      <c r="I332" s="2269"/>
      <c r="J332" s="2269"/>
      <c r="K332" s="2269"/>
      <c r="L332" s="2269"/>
      <c r="M332" s="2270"/>
      <c r="N332" s="2270"/>
      <c r="O332" s="2270"/>
      <c r="P332" s="2269"/>
      <c r="Q332" s="2269"/>
      <c r="R332" s="2269"/>
      <c r="S332" s="2269"/>
      <c r="T332" s="2269"/>
      <c r="U332" s="2269"/>
      <c r="V332" s="2269"/>
      <c r="W332" s="2269"/>
      <c r="X332" s="2269"/>
      <c r="Y332" s="2269"/>
      <c r="Z332" s="2269"/>
      <c r="AA332" s="2269"/>
    </row>
    <row r="333" spans="1:27" ht="13.5" customHeight="1" x14ac:dyDescent="0.3">
      <c r="A333" s="2269"/>
      <c r="B333" s="2269"/>
      <c r="C333" s="2272"/>
      <c r="D333" s="2358"/>
      <c r="E333" s="2358"/>
      <c r="F333" s="2358"/>
      <c r="G333" s="2283"/>
      <c r="H333" s="2268"/>
      <c r="I333" s="2269"/>
      <c r="J333" s="2269"/>
      <c r="K333" s="2269"/>
      <c r="L333" s="2269"/>
      <c r="M333" s="2270"/>
      <c r="N333" s="2270"/>
      <c r="O333" s="2270"/>
      <c r="P333" s="2269"/>
      <c r="Q333" s="2269"/>
      <c r="R333" s="2269"/>
      <c r="S333" s="2269"/>
      <c r="T333" s="2269"/>
      <c r="U333" s="2269"/>
      <c r="V333" s="2269"/>
      <c r="W333" s="2269"/>
      <c r="X333" s="2269"/>
      <c r="Y333" s="2269"/>
      <c r="Z333" s="2269"/>
      <c r="AA333" s="2269"/>
    </row>
    <row r="334" spans="1:27" ht="13.5" customHeight="1" x14ac:dyDescent="0.3">
      <c r="A334" s="2269"/>
      <c r="B334" s="2269"/>
      <c r="C334" s="2272"/>
      <c r="D334" s="2358"/>
      <c r="E334" s="2358"/>
      <c r="F334" s="2358"/>
      <c r="G334" s="2283"/>
      <c r="H334" s="2268"/>
      <c r="I334" s="2269"/>
      <c r="J334" s="2269"/>
      <c r="K334" s="2269"/>
      <c r="L334" s="2269"/>
      <c r="M334" s="2270"/>
      <c r="N334" s="2270"/>
      <c r="O334" s="2270"/>
      <c r="P334" s="2269"/>
      <c r="Q334" s="2269"/>
      <c r="R334" s="2269"/>
      <c r="S334" s="2269"/>
      <c r="T334" s="2269"/>
      <c r="U334" s="2269"/>
      <c r="V334" s="2269"/>
      <c r="W334" s="2269"/>
      <c r="X334" s="2269"/>
      <c r="Y334" s="2269"/>
      <c r="Z334" s="2269"/>
      <c r="AA334" s="2269"/>
    </row>
    <row r="335" spans="1:27" ht="13.5" customHeight="1" x14ac:dyDescent="0.3">
      <c r="A335" s="2269"/>
      <c r="B335" s="2269"/>
      <c r="C335" s="2272"/>
      <c r="D335" s="2358"/>
      <c r="E335" s="2358"/>
      <c r="F335" s="2358"/>
      <c r="G335" s="2283"/>
      <c r="H335" s="2268"/>
      <c r="I335" s="2269"/>
      <c r="J335" s="2269"/>
      <c r="K335" s="2269"/>
      <c r="L335" s="2269"/>
      <c r="M335" s="2270"/>
      <c r="N335" s="2270"/>
      <c r="O335" s="2270"/>
      <c r="P335" s="2269"/>
      <c r="Q335" s="2269"/>
      <c r="R335" s="2269"/>
      <c r="S335" s="2269"/>
      <c r="T335" s="2269"/>
      <c r="U335" s="2269"/>
      <c r="V335" s="2269"/>
      <c r="W335" s="2269"/>
      <c r="X335" s="2269"/>
      <c r="Y335" s="2269"/>
      <c r="Z335" s="2269"/>
      <c r="AA335" s="2269"/>
    </row>
    <row r="336" spans="1:27" ht="13.5" customHeight="1" x14ac:dyDescent="0.3">
      <c r="A336" s="2269"/>
      <c r="B336" s="2269"/>
      <c r="C336" s="2272"/>
      <c r="D336" s="2358"/>
      <c r="E336" s="2358"/>
      <c r="F336" s="2358"/>
      <c r="G336" s="2283"/>
      <c r="H336" s="2268"/>
      <c r="I336" s="2269"/>
      <c r="J336" s="2269"/>
      <c r="K336" s="2269"/>
      <c r="L336" s="2269"/>
      <c r="M336" s="2270"/>
      <c r="N336" s="2270"/>
      <c r="O336" s="2270"/>
      <c r="P336" s="2269"/>
      <c r="Q336" s="2269"/>
      <c r="R336" s="2269"/>
      <c r="S336" s="2269"/>
      <c r="T336" s="2269"/>
      <c r="U336" s="2269"/>
      <c r="V336" s="2269"/>
      <c r="W336" s="2269"/>
      <c r="X336" s="2269"/>
      <c r="Y336" s="2269"/>
      <c r="Z336" s="2269"/>
      <c r="AA336" s="2269"/>
    </row>
    <row r="337" spans="1:27" ht="13.5" customHeight="1" x14ac:dyDescent="0.3">
      <c r="A337" s="2269"/>
      <c r="B337" s="2269"/>
      <c r="C337" s="2272"/>
      <c r="D337" s="2358"/>
      <c r="E337" s="2358"/>
      <c r="F337" s="2358"/>
      <c r="G337" s="2283"/>
      <c r="H337" s="2268"/>
      <c r="I337" s="2269"/>
      <c r="J337" s="2269"/>
      <c r="K337" s="2269"/>
      <c r="L337" s="2269"/>
      <c r="M337" s="2270"/>
      <c r="N337" s="2270"/>
      <c r="O337" s="2270"/>
      <c r="P337" s="2269"/>
      <c r="Q337" s="2269"/>
      <c r="R337" s="2269"/>
      <c r="S337" s="2269"/>
      <c r="T337" s="2269"/>
      <c r="U337" s="2269"/>
      <c r="V337" s="2269"/>
      <c r="W337" s="2269"/>
      <c r="X337" s="2269"/>
      <c r="Y337" s="2269"/>
      <c r="Z337" s="2269"/>
      <c r="AA337" s="2269"/>
    </row>
    <row r="338" spans="1:27" ht="13.5" customHeight="1" x14ac:dyDescent="0.3">
      <c r="A338" s="2269"/>
      <c r="B338" s="2269"/>
      <c r="C338" s="2272"/>
      <c r="D338" s="2358"/>
      <c r="E338" s="2358"/>
      <c r="F338" s="2358"/>
      <c r="G338" s="2283"/>
      <c r="H338" s="2268"/>
      <c r="I338" s="2269"/>
      <c r="J338" s="2269"/>
      <c r="K338" s="2269"/>
      <c r="L338" s="2269"/>
      <c r="M338" s="2270"/>
      <c r="N338" s="2270"/>
      <c r="O338" s="2270"/>
      <c r="P338" s="2269"/>
      <c r="Q338" s="2269"/>
      <c r="R338" s="2269"/>
      <c r="S338" s="2269"/>
      <c r="T338" s="2269"/>
      <c r="U338" s="2269"/>
      <c r="V338" s="2269"/>
      <c r="W338" s="2269"/>
      <c r="X338" s="2269"/>
      <c r="Y338" s="2269"/>
      <c r="Z338" s="2269"/>
      <c r="AA338" s="2269"/>
    </row>
    <row r="339" spans="1:27" ht="13.5" customHeight="1" x14ac:dyDescent="0.3">
      <c r="A339" s="2269"/>
      <c r="B339" s="2269"/>
      <c r="C339" s="2272"/>
      <c r="D339" s="2358"/>
      <c r="E339" s="2358"/>
      <c r="F339" s="2358"/>
      <c r="G339" s="2283"/>
      <c r="H339" s="2268"/>
      <c r="I339" s="2269"/>
      <c r="J339" s="2269"/>
      <c r="K339" s="2269"/>
      <c r="L339" s="2269"/>
      <c r="M339" s="2270"/>
      <c r="N339" s="2270"/>
      <c r="O339" s="2270"/>
      <c r="P339" s="2269"/>
      <c r="Q339" s="2269"/>
      <c r="R339" s="2269"/>
      <c r="S339" s="2269"/>
      <c r="T339" s="2269"/>
      <c r="U339" s="2269"/>
      <c r="V339" s="2269"/>
      <c r="W339" s="2269"/>
      <c r="X339" s="2269"/>
      <c r="Y339" s="2269"/>
      <c r="Z339" s="2269"/>
      <c r="AA339" s="2269"/>
    </row>
    <row r="340" spans="1:27" ht="13.5" customHeight="1" x14ac:dyDescent="0.3">
      <c r="A340" s="2269"/>
      <c r="B340" s="2269"/>
      <c r="C340" s="2272"/>
      <c r="D340" s="2358"/>
      <c r="E340" s="2358"/>
      <c r="F340" s="2358"/>
      <c r="G340" s="2283"/>
      <c r="H340" s="2268"/>
      <c r="I340" s="2269"/>
      <c r="J340" s="2269"/>
      <c r="K340" s="2269"/>
      <c r="L340" s="2269"/>
      <c r="M340" s="2270"/>
      <c r="N340" s="2270"/>
      <c r="O340" s="2270"/>
      <c r="P340" s="2269"/>
      <c r="Q340" s="2269"/>
      <c r="R340" s="2269"/>
      <c r="S340" s="2269"/>
      <c r="T340" s="2269"/>
      <c r="U340" s="2269"/>
      <c r="V340" s="2269"/>
      <c r="W340" s="2269"/>
      <c r="X340" s="2269"/>
      <c r="Y340" s="2269"/>
      <c r="Z340" s="2269"/>
      <c r="AA340" s="2269"/>
    </row>
    <row r="341" spans="1:27" ht="13.5" customHeight="1" x14ac:dyDescent="0.3">
      <c r="A341" s="2269"/>
      <c r="B341" s="2269"/>
      <c r="C341" s="2272"/>
      <c r="D341" s="2358"/>
      <c r="E341" s="2358"/>
      <c r="F341" s="2358"/>
      <c r="G341" s="2283"/>
      <c r="H341" s="2268"/>
      <c r="I341" s="2269"/>
      <c r="J341" s="2269"/>
      <c r="K341" s="2269"/>
      <c r="L341" s="2269"/>
      <c r="M341" s="2270"/>
      <c r="N341" s="2270"/>
      <c r="O341" s="2270"/>
      <c r="P341" s="2269"/>
      <c r="Q341" s="2269"/>
      <c r="R341" s="2269"/>
      <c r="S341" s="2269"/>
      <c r="T341" s="2269"/>
      <c r="U341" s="2269"/>
      <c r="V341" s="2269"/>
      <c r="W341" s="2269"/>
      <c r="X341" s="2269"/>
      <c r="Y341" s="2269"/>
      <c r="Z341" s="2269"/>
      <c r="AA341" s="2269"/>
    </row>
    <row r="342" spans="1:27" ht="13.5" customHeight="1" x14ac:dyDescent="0.3">
      <c r="A342" s="2269"/>
      <c r="B342" s="2269"/>
      <c r="C342" s="2272"/>
      <c r="D342" s="2358"/>
      <c r="E342" s="2358"/>
      <c r="F342" s="2358"/>
      <c r="G342" s="2283"/>
      <c r="H342" s="2268"/>
      <c r="I342" s="2269"/>
      <c r="J342" s="2269"/>
      <c r="K342" s="2269"/>
      <c r="L342" s="2269"/>
      <c r="M342" s="2270"/>
      <c r="N342" s="2270"/>
      <c r="O342" s="2270"/>
      <c r="P342" s="2269"/>
      <c r="Q342" s="2269"/>
      <c r="R342" s="2269"/>
      <c r="S342" s="2269"/>
      <c r="T342" s="2269"/>
      <c r="U342" s="2269"/>
      <c r="V342" s="2269"/>
      <c r="W342" s="2269"/>
      <c r="X342" s="2269"/>
      <c r="Y342" s="2269"/>
      <c r="Z342" s="2269"/>
      <c r="AA342" s="2269"/>
    </row>
    <row r="343" spans="1:27" ht="13.5" customHeight="1" x14ac:dyDescent="0.3">
      <c r="A343" s="2269"/>
      <c r="B343" s="2269"/>
      <c r="C343" s="2272"/>
      <c r="D343" s="2358"/>
      <c r="E343" s="2358"/>
      <c r="F343" s="2358"/>
      <c r="G343" s="2283"/>
      <c r="H343" s="2268"/>
      <c r="I343" s="2269"/>
      <c r="J343" s="2269"/>
      <c r="K343" s="2269"/>
      <c r="L343" s="2269"/>
      <c r="M343" s="2270"/>
      <c r="N343" s="2270"/>
      <c r="O343" s="2270"/>
      <c r="P343" s="2269"/>
      <c r="Q343" s="2269"/>
      <c r="R343" s="2269"/>
      <c r="S343" s="2269"/>
      <c r="T343" s="2269"/>
      <c r="U343" s="2269"/>
      <c r="V343" s="2269"/>
      <c r="W343" s="2269"/>
      <c r="X343" s="2269"/>
      <c r="Y343" s="2269"/>
      <c r="Z343" s="2269"/>
      <c r="AA343" s="2269"/>
    </row>
    <row r="344" spans="1:27" ht="13.5" customHeight="1" x14ac:dyDescent="0.3">
      <c r="A344" s="2269"/>
      <c r="B344" s="2269"/>
      <c r="C344" s="2272"/>
      <c r="D344" s="2358"/>
      <c r="E344" s="2358"/>
      <c r="F344" s="2358"/>
      <c r="G344" s="2283"/>
      <c r="H344" s="2268"/>
      <c r="I344" s="2269"/>
      <c r="J344" s="2269"/>
      <c r="K344" s="2269"/>
      <c r="L344" s="2269"/>
      <c r="M344" s="2270"/>
      <c r="N344" s="2270"/>
      <c r="O344" s="2270"/>
      <c r="P344" s="2269"/>
      <c r="Q344" s="2269"/>
      <c r="R344" s="2269"/>
      <c r="S344" s="2269"/>
      <c r="T344" s="2269"/>
      <c r="U344" s="2269"/>
      <c r="V344" s="2269"/>
      <c r="W344" s="2269"/>
      <c r="X344" s="2269"/>
      <c r="Y344" s="2269"/>
      <c r="Z344" s="2269"/>
      <c r="AA344" s="2269"/>
    </row>
    <row r="345" spans="1:27" ht="13.5" customHeight="1" x14ac:dyDescent="0.3">
      <c r="A345" s="2269"/>
      <c r="B345" s="2269"/>
      <c r="C345" s="2272"/>
      <c r="D345" s="2358"/>
      <c r="E345" s="2358"/>
      <c r="F345" s="2358"/>
      <c r="G345" s="2283"/>
      <c r="H345" s="2268"/>
      <c r="I345" s="2269"/>
      <c r="J345" s="2269"/>
      <c r="K345" s="2269"/>
      <c r="L345" s="2269"/>
      <c r="M345" s="2270"/>
      <c r="N345" s="2270"/>
      <c r="O345" s="2270"/>
      <c r="P345" s="2269"/>
      <c r="Q345" s="2269"/>
      <c r="R345" s="2269"/>
      <c r="S345" s="2269"/>
      <c r="T345" s="2269"/>
      <c r="U345" s="2269"/>
      <c r="V345" s="2269"/>
      <c r="W345" s="2269"/>
      <c r="X345" s="2269"/>
      <c r="Y345" s="2269"/>
      <c r="Z345" s="2269"/>
      <c r="AA345" s="2269"/>
    </row>
    <row r="346" spans="1:27" ht="13.5" customHeight="1" x14ac:dyDescent="0.3">
      <c r="A346" s="2269"/>
      <c r="B346" s="2269"/>
      <c r="C346" s="2272"/>
      <c r="D346" s="2358"/>
      <c r="E346" s="2358"/>
      <c r="F346" s="2358"/>
      <c r="G346" s="2283"/>
      <c r="H346" s="2268"/>
      <c r="I346" s="2269"/>
      <c r="J346" s="2269"/>
      <c r="K346" s="2269"/>
      <c r="L346" s="2269"/>
      <c r="M346" s="2270"/>
      <c r="N346" s="2270"/>
      <c r="O346" s="2270"/>
      <c r="P346" s="2269"/>
      <c r="Q346" s="2269"/>
      <c r="R346" s="2269"/>
      <c r="S346" s="2269"/>
      <c r="T346" s="2269"/>
      <c r="U346" s="2269"/>
      <c r="V346" s="2269"/>
      <c r="W346" s="2269"/>
      <c r="X346" s="2269"/>
      <c r="Y346" s="2269"/>
      <c r="Z346" s="2269"/>
      <c r="AA346" s="2269"/>
    </row>
    <row r="347" spans="1:27" ht="13.5" customHeight="1" x14ac:dyDescent="0.3">
      <c r="A347" s="2269"/>
      <c r="B347" s="2269"/>
      <c r="C347" s="2272"/>
      <c r="D347" s="2358"/>
      <c r="E347" s="2358"/>
      <c r="F347" s="2358"/>
      <c r="G347" s="2283"/>
      <c r="H347" s="2268"/>
      <c r="I347" s="2269"/>
      <c r="J347" s="2269"/>
      <c r="K347" s="2269"/>
      <c r="L347" s="2269"/>
      <c r="M347" s="2270"/>
      <c r="N347" s="2270"/>
      <c r="O347" s="2270"/>
      <c r="P347" s="2269"/>
      <c r="Q347" s="2269"/>
      <c r="R347" s="2269"/>
      <c r="S347" s="2269"/>
      <c r="T347" s="2269"/>
      <c r="U347" s="2269"/>
      <c r="V347" s="2269"/>
      <c r="W347" s="2269"/>
      <c r="X347" s="2269"/>
      <c r="Y347" s="2269"/>
      <c r="Z347" s="2269"/>
      <c r="AA347" s="2269"/>
    </row>
    <row r="348" spans="1:27" ht="13.5" customHeight="1" x14ac:dyDescent="0.3">
      <c r="A348" s="2269"/>
      <c r="B348" s="2269"/>
      <c r="C348" s="2272"/>
      <c r="D348" s="2358"/>
      <c r="E348" s="2358"/>
      <c r="F348" s="2358"/>
      <c r="G348" s="2283"/>
      <c r="H348" s="2268"/>
      <c r="I348" s="2269"/>
      <c r="J348" s="2269"/>
      <c r="K348" s="2269"/>
      <c r="L348" s="2269"/>
      <c r="M348" s="2270"/>
      <c r="N348" s="2270"/>
      <c r="O348" s="2270"/>
      <c r="P348" s="2269"/>
      <c r="Q348" s="2269"/>
      <c r="R348" s="2269"/>
      <c r="S348" s="2269"/>
      <c r="T348" s="2269"/>
      <c r="U348" s="2269"/>
      <c r="V348" s="2269"/>
      <c r="W348" s="2269"/>
      <c r="X348" s="2269"/>
      <c r="Y348" s="2269"/>
      <c r="Z348" s="2269"/>
      <c r="AA348" s="2269"/>
    </row>
    <row r="349" spans="1:27" ht="13.5" customHeight="1" x14ac:dyDescent="0.3">
      <c r="A349" s="2269"/>
      <c r="B349" s="2269"/>
      <c r="C349" s="2272"/>
      <c r="D349" s="2358"/>
      <c r="E349" s="2358"/>
      <c r="F349" s="2358"/>
      <c r="G349" s="2283"/>
      <c r="H349" s="2268"/>
      <c r="I349" s="2269"/>
      <c r="J349" s="2269"/>
      <c r="K349" s="2269"/>
      <c r="L349" s="2269"/>
      <c r="M349" s="2270"/>
      <c r="N349" s="2270"/>
      <c r="O349" s="2270"/>
      <c r="P349" s="2269"/>
      <c r="Q349" s="2269"/>
      <c r="R349" s="2269"/>
      <c r="S349" s="2269"/>
      <c r="T349" s="2269"/>
      <c r="U349" s="2269"/>
      <c r="V349" s="2269"/>
      <c r="W349" s="2269"/>
      <c r="X349" s="2269"/>
      <c r="Y349" s="2269"/>
      <c r="Z349" s="2269"/>
      <c r="AA349" s="2269"/>
    </row>
    <row r="350" spans="1:27" ht="13.5" customHeight="1" x14ac:dyDescent="0.3">
      <c r="A350" s="2269"/>
      <c r="B350" s="2269"/>
      <c r="C350" s="2272"/>
      <c r="D350" s="2358"/>
      <c r="E350" s="2358"/>
      <c r="F350" s="2358"/>
      <c r="G350" s="2283"/>
      <c r="H350" s="2268"/>
      <c r="I350" s="2269"/>
      <c r="J350" s="2269"/>
      <c r="K350" s="2269"/>
      <c r="L350" s="2269"/>
      <c r="M350" s="2270"/>
      <c r="N350" s="2270"/>
      <c r="O350" s="2270"/>
      <c r="P350" s="2269"/>
      <c r="Q350" s="2269"/>
      <c r="R350" s="2269"/>
      <c r="S350" s="2269"/>
      <c r="T350" s="2269"/>
      <c r="U350" s="2269"/>
      <c r="V350" s="2269"/>
      <c r="W350" s="2269"/>
      <c r="X350" s="2269"/>
      <c r="Y350" s="2269"/>
      <c r="Z350" s="2269"/>
      <c r="AA350" s="2269"/>
    </row>
    <row r="351" spans="1:27" ht="13.5" customHeight="1" x14ac:dyDescent="0.3">
      <c r="A351" s="2269"/>
      <c r="B351" s="2269"/>
      <c r="C351" s="2272"/>
      <c r="D351" s="2358"/>
      <c r="E351" s="2358"/>
      <c r="F351" s="2358"/>
      <c r="G351" s="2283"/>
      <c r="H351" s="2268"/>
      <c r="I351" s="2269"/>
      <c r="J351" s="2269"/>
      <c r="K351" s="2269"/>
      <c r="L351" s="2269"/>
      <c r="M351" s="2270"/>
      <c r="N351" s="2270"/>
      <c r="O351" s="2270"/>
      <c r="P351" s="2269"/>
      <c r="Q351" s="2269"/>
      <c r="R351" s="2269"/>
      <c r="S351" s="2269"/>
      <c r="T351" s="2269"/>
      <c r="U351" s="2269"/>
      <c r="V351" s="2269"/>
      <c r="W351" s="2269"/>
      <c r="X351" s="2269"/>
      <c r="Y351" s="2269"/>
      <c r="Z351" s="2269"/>
      <c r="AA351" s="2269"/>
    </row>
    <row r="352" spans="1:27" ht="13.5" customHeight="1" x14ac:dyDescent="0.3">
      <c r="A352" s="2269"/>
      <c r="B352" s="2269"/>
      <c r="C352" s="2272"/>
      <c r="D352" s="2358"/>
      <c r="E352" s="2358"/>
      <c r="F352" s="2358"/>
      <c r="G352" s="2283"/>
      <c r="H352" s="2268"/>
      <c r="I352" s="2269"/>
      <c r="J352" s="2269"/>
      <c r="K352" s="2269"/>
      <c r="L352" s="2269"/>
      <c r="M352" s="2270"/>
      <c r="N352" s="2270"/>
      <c r="O352" s="2270"/>
      <c r="P352" s="2269"/>
      <c r="Q352" s="2269"/>
      <c r="R352" s="2269"/>
      <c r="S352" s="2269"/>
      <c r="T352" s="2269"/>
      <c r="U352" s="2269"/>
      <c r="V352" s="2269"/>
      <c r="W352" s="2269"/>
      <c r="X352" s="2269"/>
      <c r="Y352" s="2269"/>
      <c r="Z352" s="2269"/>
      <c r="AA352" s="2269"/>
    </row>
    <row r="353" spans="1:27" ht="13.5" customHeight="1" x14ac:dyDescent="0.3">
      <c r="A353" s="2269"/>
      <c r="B353" s="2269"/>
      <c r="C353" s="2272"/>
      <c r="D353" s="2358"/>
      <c r="E353" s="2358"/>
      <c r="F353" s="2358"/>
      <c r="G353" s="2283"/>
      <c r="H353" s="2268"/>
      <c r="I353" s="2269"/>
      <c r="J353" s="2269"/>
      <c r="K353" s="2269"/>
      <c r="L353" s="2269"/>
      <c r="M353" s="2270"/>
      <c r="N353" s="2270"/>
      <c r="O353" s="2270"/>
      <c r="P353" s="2269"/>
      <c r="Q353" s="2269"/>
      <c r="R353" s="2269"/>
      <c r="S353" s="2269"/>
      <c r="T353" s="2269"/>
      <c r="U353" s="2269"/>
      <c r="V353" s="2269"/>
      <c r="W353" s="2269"/>
      <c r="X353" s="2269"/>
      <c r="Y353" s="2269"/>
      <c r="Z353" s="2269"/>
      <c r="AA353" s="2269"/>
    </row>
    <row r="354" spans="1:27" ht="13.5" customHeight="1" x14ac:dyDescent="0.3">
      <c r="A354" s="2269"/>
      <c r="B354" s="2269"/>
      <c r="C354" s="2272"/>
      <c r="D354" s="2358"/>
      <c r="E354" s="2358"/>
      <c r="F354" s="2358"/>
      <c r="G354" s="2283"/>
      <c r="H354" s="2268"/>
      <c r="I354" s="2269"/>
      <c r="J354" s="2269"/>
      <c r="K354" s="2269"/>
      <c r="L354" s="2269"/>
      <c r="M354" s="2270"/>
      <c r="N354" s="2270"/>
      <c r="O354" s="2270"/>
      <c r="P354" s="2269"/>
      <c r="Q354" s="2269"/>
      <c r="R354" s="2269"/>
      <c r="S354" s="2269"/>
      <c r="T354" s="2269"/>
      <c r="U354" s="2269"/>
      <c r="V354" s="2269"/>
      <c r="W354" s="2269"/>
      <c r="X354" s="2269"/>
      <c r="Y354" s="2269"/>
      <c r="Z354" s="2269"/>
      <c r="AA354" s="2269"/>
    </row>
    <row r="355" spans="1:27" ht="13.5" customHeight="1" x14ac:dyDescent="0.3">
      <c r="A355" s="2269"/>
      <c r="B355" s="2269"/>
      <c r="C355" s="2272"/>
      <c r="D355" s="2358"/>
      <c r="E355" s="2358"/>
      <c r="F355" s="2358"/>
      <c r="G355" s="2283"/>
      <c r="H355" s="2268"/>
      <c r="I355" s="2269"/>
      <c r="J355" s="2269"/>
      <c r="K355" s="2269"/>
      <c r="L355" s="2269"/>
      <c r="M355" s="2270"/>
      <c r="N355" s="2270"/>
      <c r="O355" s="2270"/>
      <c r="P355" s="2269"/>
      <c r="Q355" s="2269"/>
      <c r="R355" s="2269"/>
      <c r="S355" s="2269"/>
      <c r="T355" s="2269"/>
      <c r="U355" s="2269"/>
      <c r="V355" s="2269"/>
      <c r="W355" s="2269"/>
      <c r="X355" s="2269"/>
      <c r="Y355" s="2269"/>
      <c r="Z355" s="2269"/>
      <c r="AA355" s="2269"/>
    </row>
    <row r="356" spans="1:27" ht="13.5" customHeight="1" x14ac:dyDescent="0.3">
      <c r="A356" s="2269"/>
      <c r="B356" s="2269"/>
      <c r="C356" s="2272"/>
      <c r="D356" s="2358"/>
      <c r="E356" s="2358"/>
      <c r="F356" s="2358"/>
      <c r="G356" s="2283"/>
      <c r="H356" s="2268"/>
      <c r="I356" s="2269"/>
      <c r="J356" s="2269"/>
      <c r="K356" s="2269"/>
      <c r="L356" s="2269"/>
      <c r="M356" s="2270"/>
      <c r="N356" s="2270"/>
      <c r="O356" s="2270"/>
      <c r="P356" s="2269"/>
      <c r="Q356" s="2269"/>
      <c r="R356" s="2269"/>
      <c r="S356" s="2269"/>
      <c r="T356" s="2269"/>
      <c r="U356" s="2269"/>
      <c r="V356" s="2269"/>
      <c r="W356" s="2269"/>
      <c r="X356" s="2269"/>
      <c r="Y356" s="2269"/>
      <c r="Z356" s="2269"/>
      <c r="AA356" s="2269"/>
    </row>
    <row r="357" spans="1:27" ht="13.5" customHeight="1" x14ac:dyDescent="0.3">
      <c r="A357" s="2269"/>
      <c r="B357" s="2269"/>
      <c r="C357" s="2272"/>
      <c r="D357" s="2358"/>
      <c r="E357" s="2358"/>
      <c r="F357" s="2358"/>
      <c r="G357" s="2283"/>
      <c r="H357" s="2268"/>
      <c r="I357" s="2269"/>
      <c r="J357" s="2269"/>
      <c r="K357" s="2269"/>
      <c r="L357" s="2269"/>
      <c r="M357" s="2270"/>
      <c r="N357" s="2270"/>
      <c r="O357" s="2270"/>
      <c r="P357" s="2269"/>
      <c r="Q357" s="2269"/>
      <c r="R357" s="2269"/>
      <c r="S357" s="2269"/>
      <c r="T357" s="2269"/>
      <c r="U357" s="2269"/>
      <c r="V357" s="2269"/>
      <c r="W357" s="2269"/>
      <c r="X357" s="2269"/>
      <c r="Y357" s="2269"/>
      <c r="Z357" s="2269"/>
      <c r="AA357" s="2269"/>
    </row>
    <row r="358" spans="1:27" ht="13.5" customHeight="1" x14ac:dyDescent="0.3">
      <c r="A358" s="2269"/>
      <c r="B358" s="2269"/>
      <c r="C358" s="2272"/>
      <c r="D358" s="2358"/>
      <c r="E358" s="2358"/>
      <c r="F358" s="2358"/>
      <c r="G358" s="2283"/>
      <c r="H358" s="2268"/>
      <c r="I358" s="2269"/>
      <c r="J358" s="2269"/>
      <c r="K358" s="2269"/>
      <c r="L358" s="2269"/>
      <c r="M358" s="2270"/>
      <c r="N358" s="2270"/>
      <c r="O358" s="2270"/>
      <c r="P358" s="2269"/>
      <c r="Q358" s="2269"/>
      <c r="R358" s="2269"/>
      <c r="S358" s="2269"/>
      <c r="T358" s="2269"/>
      <c r="U358" s="2269"/>
      <c r="V358" s="2269"/>
      <c r="W358" s="2269"/>
      <c r="X358" s="2269"/>
      <c r="Y358" s="2269"/>
      <c r="Z358" s="2269"/>
      <c r="AA358" s="2269"/>
    </row>
    <row r="359" spans="1:27" ht="13.5" customHeight="1" x14ac:dyDescent="0.3">
      <c r="A359" s="2269"/>
      <c r="B359" s="2269"/>
      <c r="C359" s="2272"/>
      <c r="D359" s="2358"/>
      <c r="E359" s="2358"/>
      <c r="F359" s="2358"/>
      <c r="G359" s="2283"/>
      <c r="H359" s="2268"/>
      <c r="I359" s="2269"/>
      <c r="J359" s="2269"/>
      <c r="K359" s="2269"/>
      <c r="L359" s="2269"/>
      <c r="M359" s="2270"/>
      <c r="N359" s="2270"/>
      <c r="O359" s="2270"/>
      <c r="P359" s="2269"/>
      <c r="Q359" s="2269"/>
      <c r="R359" s="2269"/>
      <c r="S359" s="2269"/>
      <c r="T359" s="2269"/>
      <c r="U359" s="2269"/>
      <c r="V359" s="2269"/>
      <c r="W359" s="2269"/>
      <c r="X359" s="2269"/>
      <c r="Y359" s="2269"/>
      <c r="Z359" s="2269"/>
      <c r="AA359" s="2269"/>
    </row>
    <row r="360" spans="1:27" ht="13.5" customHeight="1" x14ac:dyDescent="0.3">
      <c r="A360" s="2269"/>
      <c r="B360" s="2269"/>
      <c r="C360" s="2272"/>
      <c r="D360" s="2358"/>
      <c r="E360" s="2358"/>
      <c r="F360" s="2358"/>
      <c r="G360" s="2283"/>
      <c r="H360" s="2268"/>
      <c r="I360" s="2269"/>
      <c r="J360" s="2269"/>
      <c r="K360" s="2269"/>
      <c r="L360" s="2269"/>
      <c r="M360" s="2270"/>
      <c r="N360" s="2270"/>
      <c r="O360" s="2270"/>
      <c r="P360" s="2269"/>
      <c r="Q360" s="2269"/>
      <c r="R360" s="2269"/>
      <c r="S360" s="2269"/>
      <c r="T360" s="2269"/>
      <c r="U360" s="2269"/>
      <c r="V360" s="2269"/>
      <c r="W360" s="2269"/>
      <c r="X360" s="2269"/>
      <c r="Y360" s="2269"/>
      <c r="Z360" s="2269"/>
      <c r="AA360" s="2269"/>
    </row>
    <row r="361" spans="1:27" ht="13.5" customHeight="1" x14ac:dyDescent="0.3">
      <c r="A361" s="2269"/>
      <c r="B361" s="2269"/>
      <c r="C361" s="2272"/>
      <c r="D361" s="2358"/>
      <c r="E361" s="2358"/>
      <c r="F361" s="2358"/>
      <c r="G361" s="2283"/>
      <c r="H361" s="2268"/>
      <c r="I361" s="2269"/>
      <c r="J361" s="2269"/>
      <c r="K361" s="2269"/>
      <c r="L361" s="2269"/>
      <c r="M361" s="2270"/>
      <c r="N361" s="2270"/>
      <c r="O361" s="2270"/>
      <c r="P361" s="2269"/>
      <c r="Q361" s="2269"/>
      <c r="R361" s="2269"/>
      <c r="S361" s="2269"/>
      <c r="T361" s="2269"/>
      <c r="U361" s="2269"/>
      <c r="V361" s="2269"/>
      <c r="W361" s="2269"/>
      <c r="X361" s="2269"/>
      <c r="Y361" s="2269"/>
      <c r="Z361" s="2269"/>
      <c r="AA361" s="2269"/>
    </row>
    <row r="362" spans="1:27" ht="13.5" customHeight="1" x14ac:dyDescent="0.3">
      <c r="A362" s="2269"/>
      <c r="B362" s="2269"/>
      <c r="C362" s="2272"/>
      <c r="D362" s="2358"/>
      <c r="E362" s="2358"/>
      <c r="F362" s="2358"/>
      <c r="G362" s="2283"/>
      <c r="H362" s="2268"/>
      <c r="I362" s="2269"/>
      <c r="J362" s="2269"/>
      <c r="K362" s="2269"/>
      <c r="L362" s="2269"/>
      <c r="M362" s="2270"/>
      <c r="N362" s="2270"/>
      <c r="O362" s="2270"/>
      <c r="P362" s="2269"/>
      <c r="Q362" s="2269"/>
      <c r="R362" s="2269"/>
      <c r="S362" s="2269"/>
      <c r="T362" s="2269"/>
      <c r="U362" s="2269"/>
      <c r="V362" s="2269"/>
      <c r="W362" s="2269"/>
      <c r="X362" s="2269"/>
      <c r="Y362" s="2269"/>
      <c r="Z362" s="2269"/>
      <c r="AA362" s="2269"/>
    </row>
    <row r="363" spans="1:27" ht="13.5" customHeight="1" x14ac:dyDescent="0.3">
      <c r="A363" s="2269"/>
      <c r="B363" s="2269"/>
      <c r="C363" s="2272"/>
      <c r="D363" s="2358"/>
      <c r="E363" s="2358"/>
      <c r="F363" s="2358"/>
      <c r="G363" s="2283"/>
      <c r="H363" s="2268"/>
      <c r="I363" s="2269"/>
      <c r="J363" s="2269"/>
      <c r="K363" s="2269"/>
      <c r="L363" s="2269"/>
      <c r="M363" s="2270"/>
      <c r="N363" s="2270"/>
      <c r="O363" s="2270"/>
      <c r="P363" s="2269"/>
      <c r="Q363" s="2269"/>
      <c r="R363" s="2269"/>
      <c r="S363" s="2269"/>
      <c r="T363" s="2269"/>
      <c r="U363" s="2269"/>
      <c r="V363" s="2269"/>
      <c r="W363" s="2269"/>
      <c r="X363" s="2269"/>
      <c r="Y363" s="2269"/>
      <c r="Z363" s="2269"/>
      <c r="AA363" s="2269"/>
    </row>
    <row r="364" spans="1:27" ht="13.5" customHeight="1" x14ac:dyDescent="0.3">
      <c r="A364" s="2269"/>
      <c r="B364" s="2269"/>
      <c r="C364" s="2272"/>
      <c r="D364" s="2358"/>
      <c r="E364" s="2358"/>
      <c r="F364" s="2358"/>
      <c r="G364" s="2283"/>
      <c r="H364" s="2268"/>
      <c r="I364" s="2269"/>
      <c r="J364" s="2269"/>
      <c r="K364" s="2269"/>
      <c r="L364" s="2269"/>
      <c r="M364" s="2270"/>
      <c r="N364" s="2270"/>
      <c r="O364" s="2270"/>
      <c r="P364" s="2269"/>
      <c r="Q364" s="2269"/>
      <c r="R364" s="2269"/>
      <c r="S364" s="2269"/>
      <c r="T364" s="2269"/>
      <c r="U364" s="2269"/>
      <c r="V364" s="2269"/>
      <c r="W364" s="2269"/>
      <c r="X364" s="2269"/>
      <c r="Y364" s="2269"/>
      <c r="Z364" s="2269"/>
      <c r="AA364" s="2269"/>
    </row>
    <row r="365" spans="1:27" ht="13.5" customHeight="1" x14ac:dyDescent="0.3">
      <c r="A365" s="2269"/>
      <c r="B365" s="2269"/>
      <c r="C365" s="2272"/>
      <c r="D365" s="2358"/>
      <c r="E365" s="2358"/>
      <c r="F365" s="2358"/>
      <c r="G365" s="2283"/>
      <c r="H365" s="2268"/>
      <c r="I365" s="2269"/>
      <c r="J365" s="2269"/>
      <c r="K365" s="2269"/>
      <c r="L365" s="2269"/>
      <c r="M365" s="2270"/>
      <c r="N365" s="2270"/>
      <c r="O365" s="2270"/>
      <c r="P365" s="2269"/>
      <c r="Q365" s="2269"/>
      <c r="R365" s="2269"/>
      <c r="S365" s="2269"/>
      <c r="T365" s="2269"/>
      <c r="U365" s="2269"/>
      <c r="V365" s="2269"/>
      <c r="W365" s="2269"/>
      <c r="X365" s="2269"/>
      <c r="Y365" s="2269"/>
      <c r="Z365" s="2269"/>
      <c r="AA365" s="2269"/>
    </row>
    <row r="366" spans="1:27" ht="13.5" customHeight="1" x14ac:dyDescent="0.3">
      <c r="A366" s="2269"/>
      <c r="B366" s="2269"/>
      <c r="C366" s="2272"/>
      <c r="D366" s="2358"/>
      <c r="E366" s="2358"/>
      <c r="F366" s="2358"/>
      <c r="G366" s="2283"/>
      <c r="H366" s="2268"/>
      <c r="I366" s="2269"/>
      <c r="J366" s="2269"/>
      <c r="K366" s="2269"/>
      <c r="L366" s="2269"/>
      <c r="M366" s="2270"/>
      <c r="N366" s="2270"/>
      <c r="O366" s="2270"/>
      <c r="P366" s="2269"/>
      <c r="Q366" s="2269"/>
      <c r="R366" s="2269"/>
      <c r="S366" s="2269"/>
      <c r="T366" s="2269"/>
      <c r="U366" s="2269"/>
      <c r="V366" s="2269"/>
      <c r="W366" s="2269"/>
      <c r="X366" s="2269"/>
      <c r="Y366" s="2269"/>
      <c r="Z366" s="2269"/>
      <c r="AA366" s="2269"/>
    </row>
    <row r="367" spans="1:27" ht="13.5" customHeight="1" x14ac:dyDescent="0.3">
      <c r="A367" s="2269"/>
      <c r="B367" s="2269"/>
      <c r="C367" s="2272"/>
      <c r="D367" s="2358"/>
      <c r="E367" s="2358"/>
      <c r="F367" s="2358"/>
      <c r="G367" s="2283"/>
      <c r="H367" s="2268"/>
      <c r="I367" s="2269"/>
      <c r="J367" s="2269"/>
      <c r="K367" s="2269"/>
      <c r="L367" s="2269"/>
      <c r="M367" s="2270"/>
      <c r="N367" s="2270"/>
      <c r="O367" s="2270"/>
      <c r="P367" s="2269"/>
      <c r="Q367" s="2269"/>
      <c r="R367" s="2269"/>
      <c r="S367" s="2269"/>
      <c r="T367" s="2269"/>
      <c r="U367" s="2269"/>
      <c r="V367" s="2269"/>
      <c r="W367" s="2269"/>
      <c r="X367" s="2269"/>
      <c r="Y367" s="2269"/>
      <c r="Z367" s="2269"/>
      <c r="AA367" s="2269"/>
    </row>
    <row r="368" spans="1:27" ht="13.5" customHeight="1" x14ac:dyDescent="0.3">
      <c r="A368" s="2269"/>
      <c r="B368" s="2269"/>
      <c r="C368" s="2272"/>
      <c r="D368" s="2358"/>
      <c r="E368" s="2358"/>
      <c r="F368" s="2358"/>
      <c r="G368" s="2283"/>
      <c r="H368" s="2268"/>
      <c r="I368" s="2269"/>
      <c r="J368" s="2269"/>
      <c r="K368" s="2269"/>
      <c r="L368" s="2269"/>
      <c r="M368" s="2270"/>
      <c r="N368" s="2270"/>
      <c r="O368" s="2270"/>
      <c r="P368" s="2269"/>
      <c r="Q368" s="2269"/>
      <c r="R368" s="2269"/>
      <c r="S368" s="2269"/>
      <c r="T368" s="2269"/>
      <c r="U368" s="2269"/>
      <c r="V368" s="2269"/>
      <c r="W368" s="2269"/>
      <c r="X368" s="2269"/>
      <c r="Y368" s="2269"/>
      <c r="Z368" s="2269"/>
      <c r="AA368" s="2269"/>
    </row>
    <row r="369" spans="1:27" ht="13.5" customHeight="1" x14ac:dyDescent="0.3">
      <c r="A369" s="2269"/>
      <c r="B369" s="2269"/>
      <c r="C369" s="2272"/>
      <c r="D369" s="2358"/>
      <c r="E369" s="2358"/>
      <c r="F369" s="2358"/>
      <c r="G369" s="2283"/>
      <c r="H369" s="2268"/>
      <c r="I369" s="2269"/>
      <c r="J369" s="2269"/>
      <c r="K369" s="2269"/>
      <c r="L369" s="2269"/>
      <c r="M369" s="2270"/>
      <c r="N369" s="2270"/>
      <c r="O369" s="2270"/>
      <c r="P369" s="2269"/>
      <c r="Q369" s="2269"/>
      <c r="R369" s="2269"/>
      <c r="S369" s="2269"/>
      <c r="T369" s="2269"/>
      <c r="U369" s="2269"/>
      <c r="V369" s="2269"/>
      <c r="W369" s="2269"/>
      <c r="X369" s="2269"/>
      <c r="Y369" s="2269"/>
      <c r="Z369" s="2269"/>
      <c r="AA369" s="2269"/>
    </row>
    <row r="370" spans="1:27" ht="13.5" customHeight="1" x14ac:dyDescent="0.3">
      <c r="A370" s="2269"/>
      <c r="B370" s="2269"/>
      <c r="C370" s="2272"/>
      <c r="D370" s="2358"/>
      <c r="E370" s="2358"/>
      <c r="F370" s="2358"/>
      <c r="G370" s="2283"/>
      <c r="H370" s="2268"/>
      <c r="I370" s="2269"/>
      <c r="J370" s="2269"/>
      <c r="K370" s="2269"/>
      <c r="L370" s="2269"/>
      <c r="M370" s="2270"/>
      <c r="N370" s="2270"/>
      <c r="O370" s="2270"/>
      <c r="P370" s="2269"/>
      <c r="Q370" s="2269"/>
      <c r="R370" s="2269"/>
      <c r="S370" s="2269"/>
      <c r="T370" s="2269"/>
      <c r="U370" s="2269"/>
      <c r="V370" s="2269"/>
      <c r="W370" s="2269"/>
      <c r="X370" s="2269"/>
      <c r="Y370" s="2269"/>
      <c r="Z370" s="2269"/>
      <c r="AA370" s="2269"/>
    </row>
    <row r="371" spans="1:27" ht="13.5" customHeight="1" x14ac:dyDescent="0.3">
      <c r="A371" s="2269"/>
      <c r="B371" s="2269"/>
      <c r="C371" s="2272"/>
      <c r="D371" s="2358"/>
      <c r="E371" s="2358"/>
      <c r="F371" s="2358"/>
      <c r="G371" s="2283"/>
      <c r="H371" s="2268"/>
      <c r="I371" s="2269"/>
      <c r="J371" s="2269"/>
      <c r="K371" s="2269"/>
      <c r="L371" s="2269"/>
      <c r="M371" s="2270"/>
      <c r="N371" s="2270"/>
      <c r="O371" s="2270"/>
      <c r="P371" s="2269"/>
      <c r="Q371" s="2269"/>
      <c r="R371" s="2269"/>
      <c r="S371" s="2269"/>
      <c r="T371" s="2269"/>
      <c r="U371" s="2269"/>
      <c r="V371" s="2269"/>
      <c r="W371" s="2269"/>
      <c r="X371" s="2269"/>
      <c r="Y371" s="2269"/>
      <c r="Z371" s="2269"/>
      <c r="AA371" s="2269"/>
    </row>
    <row r="372" spans="1:27" ht="13.5" customHeight="1" x14ac:dyDescent="0.3">
      <c r="A372" s="2269"/>
      <c r="B372" s="2269"/>
      <c r="C372" s="2272"/>
      <c r="D372" s="2358"/>
      <c r="E372" s="2358"/>
      <c r="F372" s="2358"/>
      <c r="G372" s="2283"/>
      <c r="H372" s="2268"/>
      <c r="I372" s="2269"/>
      <c r="J372" s="2269"/>
      <c r="K372" s="2269"/>
      <c r="L372" s="2269"/>
      <c r="M372" s="2270"/>
      <c r="N372" s="2270"/>
      <c r="O372" s="2270"/>
      <c r="P372" s="2269"/>
      <c r="Q372" s="2269"/>
      <c r="R372" s="2269"/>
      <c r="S372" s="2269"/>
      <c r="T372" s="2269"/>
      <c r="U372" s="2269"/>
      <c r="V372" s="2269"/>
      <c r="W372" s="2269"/>
      <c r="X372" s="2269"/>
      <c r="Y372" s="2269"/>
      <c r="Z372" s="2269"/>
      <c r="AA372" s="2269"/>
    </row>
    <row r="373" spans="1:27" ht="13.5" customHeight="1" x14ac:dyDescent="0.3">
      <c r="A373" s="2269"/>
      <c r="B373" s="2269"/>
      <c r="C373" s="2272"/>
      <c r="D373" s="2358"/>
      <c r="E373" s="2358"/>
      <c r="F373" s="2358"/>
      <c r="G373" s="2283"/>
      <c r="H373" s="2268"/>
      <c r="I373" s="2269"/>
      <c r="J373" s="2269"/>
      <c r="K373" s="2269"/>
      <c r="L373" s="2269"/>
      <c r="M373" s="2270"/>
      <c r="N373" s="2270"/>
      <c r="O373" s="2270"/>
      <c r="P373" s="2269"/>
      <c r="Q373" s="2269"/>
      <c r="R373" s="2269"/>
      <c r="S373" s="2269"/>
      <c r="T373" s="2269"/>
      <c r="U373" s="2269"/>
      <c r="V373" s="2269"/>
      <c r="W373" s="2269"/>
      <c r="X373" s="2269"/>
      <c r="Y373" s="2269"/>
      <c r="Z373" s="2269"/>
      <c r="AA373" s="2269"/>
    </row>
    <row r="374" spans="1:27" ht="13.5" customHeight="1" x14ac:dyDescent="0.3">
      <c r="A374" s="2269"/>
      <c r="B374" s="2269"/>
      <c r="C374" s="2272"/>
      <c r="D374" s="2358"/>
      <c r="E374" s="2358"/>
      <c r="F374" s="2358"/>
      <c r="G374" s="2283"/>
      <c r="H374" s="2268"/>
      <c r="I374" s="2269"/>
      <c r="J374" s="2269"/>
      <c r="K374" s="2269"/>
      <c r="L374" s="2269"/>
      <c r="M374" s="2270"/>
      <c r="N374" s="2270"/>
      <c r="O374" s="2270"/>
      <c r="P374" s="2269"/>
      <c r="Q374" s="2269"/>
      <c r="R374" s="2269"/>
      <c r="S374" s="2269"/>
      <c r="T374" s="2269"/>
      <c r="U374" s="2269"/>
      <c r="V374" s="2269"/>
      <c r="W374" s="2269"/>
      <c r="X374" s="2269"/>
      <c r="Y374" s="2269"/>
      <c r="Z374" s="2269"/>
      <c r="AA374" s="2269"/>
    </row>
    <row r="375" spans="1:27" ht="13.5" customHeight="1" x14ac:dyDescent="0.3">
      <c r="A375" s="2269"/>
      <c r="B375" s="2269"/>
      <c r="C375" s="2272"/>
      <c r="D375" s="2358"/>
      <c r="E375" s="2358"/>
      <c r="F375" s="2358"/>
      <c r="G375" s="2283"/>
      <c r="H375" s="2268"/>
      <c r="I375" s="2269"/>
      <c r="J375" s="2269"/>
      <c r="K375" s="2269"/>
      <c r="L375" s="2269"/>
      <c r="M375" s="2270"/>
      <c r="N375" s="2270"/>
      <c r="O375" s="2270"/>
      <c r="P375" s="2269"/>
      <c r="Q375" s="2269"/>
      <c r="R375" s="2269"/>
      <c r="S375" s="2269"/>
      <c r="T375" s="2269"/>
      <c r="U375" s="2269"/>
      <c r="V375" s="2269"/>
      <c r="W375" s="2269"/>
      <c r="X375" s="2269"/>
      <c r="Y375" s="2269"/>
      <c r="Z375" s="2269"/>
      <c r="AA375" s="2269"/>
    </row>
    <row r="376" spans="1:27" ht="13.5" customHeight="1" x14ac:dyDescent="0.3">
      <c r="A376" s="2269"/>
      <c r="B376" s="2269"/>
      <c r="C376" s="2272"/>
      <c r="D376" s="2358"/>
      <c r="E376" s="2358"/>
      <c r="F376" s="2358"/>
      <c r="G376" s="2283"/>
      <c r="H376" s="2268"/>
      <c r="I376" s="2269"/>
      <c r="J376" s="2269"/>
      <c r="K376" s="2269"/>
      <c r="L376" s="2269"/>
      <c r="M376" s="2270"/>
      <c r="N376" s="2270"/>
      <c r="O376" s="2270"/>
      <c r="P376" s="2269"/>
      <c r="Q376" s="2269"/>
      <c r="R376" s="2269"/>
      <c r="S376" s="2269"/>
      <c r="T376" s="2269"/>
      <c r="U376" s="2269"/>
      <c r="V376" s="2269"/>
      <c r="W376" s="2269"/>
      <c r="X376" s="2269"/>
      <c r="Y376" s="2269"/>
      <c r="Z376" s="2269"/>
      <c r="AA376" s="2269"/>
    </row>
    <row r="377" spans="1:27" ht="13.5" customHeight="1" x14ac:dyDescent="0.3">
      <c r="A377" s="2269"/>
      <c r="B377" s="2269"/>
      <c r="C377" s="2272"/>
      <c r="D377" s="2358"/>
      <c r="E377" s="2358"/>
      <c r="F377" s="2358"/>
      <c r="G377" s="2283"/>
      <c r="H377" s="2268"/>
      <c r="I377" s="2269"/>
      <c r="J377" s="2269"/>
      <c r="K377" s="2269"/>
      <c r="L377" s="2269"/>
      <c r="M377" s="2270"/>
      <c r="N377" s="2270"/>
      <c r="O377" s="2270"/>
      <c r="P377" s="2269"/>
      <c r="Q377" s="2269"/>
      <c r="R377" s="2269"/>
      <c r="S377" s="2269"/>
      <c r="T377" s="2269"/>
      <c r="U377" s="2269"/>
      <c r="V377" s="2269"/>
      <c r="W377" s="2269"/>
      <c r="X377" s="2269"/>
      <c r="Y377" s="2269"/>
      <c r="Z377" s="2269"/>
      <c r="AA377" s="2269"/>
    </row>
    <row r="378" spans="1:27" ht="13.5" customHeight="1" x14ac:dyDescent="0.3">
      <c r="A378" s="2269"/>
      <c r="B378" s="2269"/>
      <c r="C378" s="2272"/>
      <c r="D378" s="2358"/>
      <c r="E378" s="2358"/>
      <c r="F378" s="2358"/>
      <c r="G378" s="2283"/>
      <c r="H378" s="2268"/>
      <c r="I378" s="2269"/>
      <c r="J378" s="2269"/>
      <c r="K378" s="2269"/>
      <c r="L378" s="2269"/>
      <c r="M378" s="2270"/>
      <c r="N378" s="2270"/>
      <c r="O378" s="2270"/>
      <c r="P378" s="2269"/>
      <c r="Q378" s="2269"/>
      <c r="R378" s="2269"/>
      <c r="S378" s="2269"/>
      <c r="T378" s="2269"/>
      <c r="U378" s="2269"/>
      <c r="V378" s="2269"/>
      <c r="W378" s="2269"/>
      <c r="X378" s="2269"/>
      <c r="Y378" s="2269"/>
      <c r="Z378" s="2269"/>
      <c r="AA378" s="2269"/>
    </row>
    <row r="379" spans="1:27" ht="13.5" customHeight="1" x14ac:dyDescent="0.3">
      <c r="A379" s="2269"/>
      <c r="B379" s="2269"/>
      <c r="C379" s="2272"/>
      <c r="D379" s="2358"/>
      <c r="E379" s="2358"/>
      <c r="F379" s="2358"/>
      <c r="G379" s="2283"/>
      <c r="H379" s="2268"/>
      <c r="I379" s="2269"/>
      <c r="J379" s="2269"/>
      <c r="K379" s="2269"/>
      <c r="L379" s="2269"/>
      <c r="M379" s="2270"/>
      <c r="N379" s="2270"/>
      <c r="O379" s="2270"/>
      <c r="P379" s="2269"/>
      <c r="Q379" s="2269"/>
      <c r="R379" s="2269"/>
      <c r="S379" s="2269"/>
      <c r="T379" s="2269"/>
      <c r="U379" s="2269"/>
      <c r="V379" s="2269"/>
      <c r="W379" s="2269"/>
      <c r="X379" s="2269"/>
      <c r="Y379" s="2269"/>
      <c r="Z379" s="2269"/>
      <c r="AA379" s="2269"/>
    </row>
    <row r="380" spans="1:27" ht="13.5" customHeight="1" x14ac:dyDescent="0.3">
      <c r="A380" s="2269"/>
      <c r="B380" s="2269"/>
      <c r="C380" s="2272"/>
      <c r="D380" s="2358"/>
      <c r="E380" s="2358"/>
      <c r="F380" s="2358"/>
      <c r="G380" s="2283"/>
      <c r="H380" s="2268"/>
      <c r="I380" s="2269"/>
      <c r="J380" s="2269"/>
      <c r="K380" s="2269"/>
      <c r="L380" s="2269"/>
      <c r="M380" s="2270"/>
      <c r="N380" s="2270"/>
      <c r="O380" s="2270"/>
      <c r="P380" s="2269"/>
      <c r="Q380" s="2269"/>
      <c r="R380" s="2269"/>
      <c r="S380" s="2269"/>
      <c r="T380" s="2269"/>
      <c r="U380" s="2269"/>
      <c r="V380" s="2269"/>
      <c r="W380" s="2269"/>
      <c r="X380" s="2269"/>
      <c r="Y380" s="2269"/>
      <c r="Z380" s="2269"/>
      <c r="AA380" s="2269"/>
    </row>
    <row r="381" spans="1:27" ht="13.5" customHeight="1" x14ac:dyDescent="0.3">
      <c r="A381" s="2269"/>
      <c r="B381" s="2269"/>
      <c r="C381" s="2272"/>
      <c r="D381" s="2358"/>
      <c r="E381" s="2358"/>
      <c r="F381" s="2358"/>
      <c r="G381" s="2283"/>
      <c r="H381" s="2268"/>
      <c r="I381" s="2269"/>
      <c r="J381" s="2269"/>
      <c r="K381" s="2269"/>
      <c r="L381" s="2269"/>
      <c r="M381" s="2270"/>
      <c r="N381" s="2270"/>
      <c r="O381" s="2270"/>
      <c r="P381" s="2269"/>
      <c r="Q381" s="2269"/>
      <c r="R381" s="2269"/>
      <c r="S381" s="2269"/>
      <c r="T381" s="2269"/>
      <c r="U381" s="2269"/>
      <c r="V381" s="2269"/>
      <c r="W381" s="2269"/>
      <c r="X381" s="2269"/>
      <c r="Y381" s="2269"/>
      <c r="Z381" s="2269"/>
      <c r="AA381" s="2269"/>
    </row>
    <row r="382" spans="1:27" ht="13.5" customHeight="1" x14ac:dyDescent="0.3">
      <c r="A382" s="2269"/>
      <c r="B382" s="2269"/>
      <c r="C382" s="2272"/>
      <c r="D382" s="2358"/>
      <c r="E382" s="2358"/>
      <c r="F382" s="2358"/>
      <c r="G382" s="2283"/>
      <c r="H382" s="2268"/>
      <c r="I382" s="2269"/>
      <c r="J382" s="2269"/>
      <c r="K382" s="2269"/>
      <c r="L382" s="2269"/>
      <c r="M382" s="2270"/>
      <c r="N382" s="2270"/>
      <c r="O382" s="2270"/>
      <c r="P382" s="2269"/>
      <c r="Q382" s="2269"/>
      <c r="R382" s="2269"/>
      <c r="S382" s="2269"/>
      <c r="T382" s="2269"/>
      <c r="U382" s="2269"/>
      <c r="V382" s="2269"/>
      <c r="W382" s="2269"/>
      <c r="X382" s="2269"/>
      <c r="Y382" s="2269"/>
      <c r="Z382" s="2269"/>
      <c r="AA382" s="2269"/>
    </row>
    <row r="383" spans="1:27" ht="13.5" customHeight="1" x14ac:dyDescent="0.3">
      <c r="A383" s="2269"/>
      <c r="B383" s="2269"/>
      <c r="C383" s="2272"/>
      <c r="D383" s="2358"/>
      <c r="E383" s="2358"/>
      <c r="F383" s="2358"/>
      <c r="G383" s="2283"/>
      <c r="H383" s="2268"/>
      <c r="I383" s="2269"/>
      <c r="J383" s="2269"/>
      <c r="K383" s="2269"/>
      <c r="L383" s="2269"/>
      <c r="M383" s="2270"/>
      <c r="N383" s="2270"/>
      <c r="O383" s="2270"/>
      <c r="P383" s="2269"/>
      <c r="Q383" s="2269"/>
      <c r="R383" s="2269"/>
      <c r="S383" s="2269"/>
      <c r="T383" s="2269"/>
      <c r="U383" s="2269"/>
      <c r="V383" s="2269"/>
      <c r="W383" s="2269"/>
      <c r="X383" s="2269"/>
      <c r="Y383" s="2269"/>
      <c r="Z383" s="2269"/>
      <c r="AA383" s="2269"/>
    </row>
    <row r="384" spans="1:27" ht="13.5" customHeight="1" x14ac:dyDescent="0.3">
      <c r="A384" s="2269"/>
      <c r="B384" s="2269"/>
      <c r="C384" s="2272"/>
      <c r="D384" s="2358"/>
      <c r="E384" s="2358"/>
      <c r="F384" s="2358"/>
      <c r="G384" s="2283"/>
      <c r="H384" s="2268"/>
      <c r="I384" s="2269"/>
      <c r="J384" s="2269"/>
      <c r="K384" s="2269"/>
      <c r="L384" s="2269"/>
      <c r="M384" s="2270"/>
      <c r="N384" s="2270"/>
      <c r="O384" s="2270"/>
      <c r="P384" s="2269"/>
      <c r="Q384" s="2269"/>
      <c r="R384" s="2269"/>
      <c r="S384" s="2269"/>
      <c r="T384" s="2269"/>
      <c r="U384" s="2269"/>
      <c r="V384" s="2269"/>
      <c r="W384" s="2269"/>
      <c r="X384" s="2269"/>
      <c r="Y384" s="2269"/>
      <c r="Z384" s="2269"/>
      <c r="AA384" s="2269"/>
    </row>
    <row r="385" spans="1:27" ht="13.5" customHeight="1" x14ac:dyDescent="0.3">
      <c r="A385" s="2269"/>
      <c r="B385" s="2269"/>
      <c r="C385" s="2272"/>
      <c r="D385" s="2358"/>
      <c r="E385" s="2358"/>
      <c r="F385" s="2358"/>
      <c r="G385" s="2283"/>
      <c r="H385" s="2268"/>
      <c r="I385" s="2269"/>
      <c r="J385" s="2269"/>
      <c r="K385" s="2269"/>
      <c r="L385" s="2269"/>
      <c r="M385" s="2270"/>
      <c r="N385" s="2270"/>
      <c r="O385" s="2270"/>
      <c r="P385" s="2269"/>
      <c r="Q385" s="2269"/>
      <c r="R385" s="2269"/>
      <c r="S385" s="2269"/>
      <c r="T385" s="2269"/>
      <c r="U385" s="2269"/>
      <c r="V385" s="2269"/>
      <c r="W385" s="2269"/>
      <c r="X385" s="2269"/>
      <c r="Y385" s="2269"/>
      <c r="Z385" s="2269"/>
      <c r="AA385" s="2269"/>
    </row>
    <row r="386" spans="1:27" ht="13.5" customHeight="1" x14ac:dyDescent="0.3">
      <c r="A386" s="2269"/>
      <c r="B386" s="2269"/>
      <c r="C386" s="2272"/>
      <c r="D386" s="2358"/>
      <c r="E386" s="2358"/>
      <c r="F386" s="2358"/>
      <c r="G386" s="2283"/>
      <c r="H386" s="2268"/>
      <c r="I386" s="2269"/>
      <c r="J386" s="2269"/>
      <c r="K386" s="2269"/>
      <c r="L386" s="2269"/>
      <c r="M386" s="2270"/>
      <c r="N386" s="2270"/>
      <c r="O386" s="2270"/>
      <c r="P386" s="2269"/>
      <c r="Q386" s="2269"/>
      <c r="R386" s="2269"/>
      <c r="S386" s="2269"/>
      <c r="T386" s="2269"/>
      <c r="U386" s="2269"/>
      <c r="V386" s="2269"/>
      <c r="W386" s="2269"/>
      <c r="X386" s="2269"/>
      <c r="Y386" s="2269"/>
      <c r="Z386" s="2269"/>
      <c r="AA386" s="2269"/>
    </row>
    <row r="387" spans="1:27" ht="13.5" customHeight="1" x14ac:dyDescent="0.3">
      <c r="A387" s="2269"/>
      <c r="B387" s="2269"/>
      <c r="C387" s="2272"/>
      <c r="D387" s="2358"/>
      <c r="E387" s="2358"/>
      <c r="F387" s="2358"/>
      <c r="G387" s="2283"/>
      <c r="H387" s="2268"/>
      <c r="I387" s="2269"/>
      <c r="J387" s="2269"/>
      <c r="K387" s="2269"/>
      <c r="L387" s="2269"/>
      <c r="M387" s="2270"/>
      <c r="N387" s="2270"/>
      <c r="O387" s="2270"/>
      <c r="P387" s="2269"/>
      <c r="Q387" s="2269"/>
      <c r="R387" s="2269"/>
      <c r="S387" s="2269"/>
      <c r="T387" s="2269"/>
      <c r="U387" s="2269"/>
      <c r="V387" s="2269"/>
      <c r="W387" s="2269"/>
      <c r="X387" s="2269"/>
      <c r="Y387" s="2269"/>
      <c r="Z387" s="2269"/>
      <c r="AA387" s="2269"/>
    </row>
    <row r="388" spans="1:27" ht="13.5" customHeight="1" x14ac:dyDescent="0.3">
      <c r="A388" s="2269"/>
      <c r="B388" s="2269"/>
      <c r="C388" s="2272"/>
      <c r="D388" s="2358"/>
      <c r="E388" s="2358"/>
      <c r="F388" s="2358"/>
      <c r="G388" s="2283"/>
      <c r="H388" s="2268"/>
      <c r="I388" s="2269"/>
      <c r="J388" s="2269"/>
      <c r="K388" s="2269"/>
      <c r="L388" s="2269"/>
      <c r="M388" s="2270"/>
      <c r="N388" s="2270"/>
      <c r="O388" s="2270"/>
      <c r="P388" s="2269"/>
      <c r="Q388" s="2269"/>
      <c r="R388" s="2269"/>
      <c r="S388" s="2269"/>
      <c r="T388" s="2269"/>
      <c r="U388" s="2269"/>
      <c r="V388" s="2269"/>
      <c r="W388" s="2269"/>
      <c r="X388" s="2269"/>
      <c r="Y388" s="2269"/>
      <c r="Z388" s="2269"/>
      <c r="AA388" s="2269"/>
    </row>
    <row r="389" spans="1:27" ht="13.5" customHeight="1" x14ac:dyDescent="0.3">
      <c r="A389" s="2269"/>
      <c r="B389" s="2269"/>
      <c r="C389" s="2272"/>
      <c r="D389" s="2358"/>
      <c r="E389" s="2358"/>
      <c r="F389" s="2358"/>
      <c r="G389" s="2283"/>
      <c r="H389" s="2268"/>
      <c r="I389" s="2269"/>
      <c r="J389" s="2269"/>
      <c r="K389" s="2269"/>
      <c r="L389" s="2269"/>
      <c r="M389" s="2270"/>
      <c r="N389" s="2270"/>
      <c r="O389" s="2270"/>
      <c r="P389" s="2269"/>
      <c r="Q389" s="2269"/>
      <c r="R389" s="2269"/>
      <c r="S389" s="2269"/>
      <c r="T389" s="2269"/>
      <c r="U389" s="2269"/>
      <c r="V389" s="2269"/>
      <c r="W389" s="2269"/>
      <c r="X389" s="2269"/>
      <c r="Y389" s="2269"/>
      <c r="Z389" s="2269"/>
      <c r="AA389" s="2269"/>
    </row>
    <row r="390" spans="1:27" ht="13.5" customHeight="1" x14ac:dyDescent="0.3">
      <c r="A390" s="2269"/>
      <c r="B390" s="2269"/>
      <c r="C390" s="2272"/>
      <c r="D390" s="2358"/>
      <c r="E390" s="2358"/>
      <c r="F390" s="2358"/>
      <c r="G390" s="2283"/>
      <c r="H390" s="2268"/>
      <c r="I390" s="2269"/>
      <c r="J390" s="2269"/>
      <c r="K390" s="2269"/>
      <c r="L390" s="2269"/>
      <c r="M390" s="2270"/>
      <c r="N390" s="2270"/>
      <c r="O390" s="2270"/>
      <c r="P390" s="2269"/>
      <c r="Q390" s="2269"/>
      <c r="R390" s="2269"/>
      <c r="S390" s="2269"/>
      <c r="T390" s="2269"/>
      <c r="U390" s="2269"/>
      <c r="V390" s="2269"/>
      <c r="W390" s="2269"/>
      <c r="X390" s="2269"/>
      <c r="Y390" s="2269"/>
      <c r="Z390" s="2269"/>
      <c r="AA390" s="2269"/>
    </row>
    <row r="391" spans="1:27" ht="13.5" customHeight="1" x14ac:dyDescent="0.3">
      <c r="A391" s="2269"/>
      <c r="B391" s="2269"/>
      <c r="C391" s="2272"/>
      <c r="D391" s="2358"/>
      <c r="E391" s="2358"/>
      <c r="F391" s="2358"/>
      <c r="G391" s="2283"/>
      <c r="H391" s="2268"/>
      <c r="I391" s="2269"/>
      <c r="J391" s="2269"/>
      <c r="K391" s="2269"/>
      <c r="L391" s="2269"/>
      <c r="M391" s="2270"/>
      <c r="N391" s="2270"/>
      <c r="O391" s="2270"/>
      <c r="P391" s="2269"/>
      <c r="Q391" s="2269"/>
      <c r="R391" s="2269"/>
      <c r="S391" s="2269"/>
      <c r="T391" s="2269"/>
      <c r="U391" s="2269"/>
      <c r="V391" s="2269"/>
      <c r="W391" s="2269"/>
      <c r="X391" s="2269"/>
      <c r="Y391" s="2269"/>
      <c r="Z391" s="2269"/>
      <c r="AA391" s="2269"/>
    </row>
    <row r="392" spans="1:27" ht="13.5" customHeight="1" x14ac:dyDescent="0.3">
      <c r="A392" s="2269"/>
      <c r="B392" s="2269"/>
      <c r="C392" s="2272"/>
      <c r="D392" s="2358"/>
      <c r="E392" s="2358"/>
      <c r="F392" s="2358"/>
      <c r="G392" s="2283"/>
      <c r="H392" s="2268"/>
      <c r="I392" s="2269"/>
      <c r="J392" s="2269"/>
      <c r="K392" s="2269"/>
      <c r="L392" s="2269"/>
      <c r="M392" s="2270"/>
      <c r="N392" s="2270"/>
      <c r="O392" s="2270"/>
      <c r="P392" s="2269"/>
      <c r="Q392" s="2269"/>
      <c r="R392" s="2269"/>
      <c r="S392" s="2269"/>
      <c r="T392" s="2269"/>
      <c r="U392" s="2269"/>
      <c r="V392" s="2269"/>
      <c r="W392" s="2269"/>
      <c r="X392" s="2269"/>
      <c r="Y392" s="2269"/>
      <c r="Z392" s="2269"/>
      <c r="AA392" s="2269"/>
    </row>
    <row r="393" spans="1:27" ht="13.5" customHeight="1" x14ac:dyDescent="0.3">
      <c r="A393" s="2269"/>
      <c r="B393" s="2269"/>
      <c r="C393" s="2272"/>
      <c r="D393" s="2358"/>
      <c r="E393" s="2358"/>
      <c r="F393" s="2358"/>
      <c r="G393" s="2283"/>
      <c r="H393" s="2268"/>
      <c r="I393" s="2269"/>
      <c r="J393" s="2269"/>
      <c r="K393" s="2269"/>
      <c r="L393" s="2269"/>
      <c r="M393" s="2270"/>
      <c r="N393" s="2270"/>
      <c r="O393" s="2270"/>
      <c r="P393" s="2269"/>
      <c r="Q393" s="2269"/>
      <c r="R393" s="2269"/>
      <c r="S393" s="2269"/>
      <c r="T393" s="2269"/>
      <c r="U393" s="2269"/>
      <c r="V393" s="2269"/>
      <c r="W393" s="2269"/>
      <c r="X393" s="2269"/>
      <c r="Y393" s="2269"/>
      <c r="Z393" s="2269"/>
      <c r="AA393" s="2269"/>
    </row>
    <row r="394" spans="1:27" ht="13.5" customHeight="1" x14ac:dyDescent="0.3">
      <c r="A394" s="2269"/>
      <c r="B394" s="2269"/>
      <c r="C394" s="2272"/>
      <c r="D394" s="2358"/>
      <c r="E394" s="2358"/>
      <c r="F394" s="2358"/>
      <c r="G394" s="2283"/>
      <c r="H394" s="2268"/>
      <c r="I394" s="2269"/>
      <c r="J394" s="2269"/>
      <c r="K394" s="2269"/>
      <c r="L394" s="2269"/>
      <c r="M394" s="2270"/>
      <c r="N394" s="2270"/>
      <c r="O394" s="2270"/>
      <c r="P394" s="2269"/>
      <c r="Q394" s="2269"/>
      <c r="R394" s="2269"/>
      <c r="S394" s="2269"/>
      <c r="T394" s="2269"/>
      <c r="U394" s="2269"/>
      <c r="V394" s="2269"/>
      <c r="W394" s="2269"/>
      <c r="X394" s="2269"/>
      <c r="Y394" s="2269"/>
      <c r="Z394" s="2269"/>
      <c r="AA394" s="2269"/>
    </row>
    <row r="395" spans="1:27" ht="13.5" customHeight="1" x14ac:dyDescent="0.3">
      <c r="A395" s="2269"/>
      <c r="B395" s="2269"/>
      <c r="C395" s="2272"/>
      <c r="D395" s="2358"/>
      <c r="E395" s="2358"/>
      <c r="F395" s="2358"/>
      <c r="G395" s="2283"/>
      <c r="H395" s="2268"/>
      <c r="I395" s="2269"/>
      <c r="J395" s="2269"/>
      <c r="K395" s="2269"/>
      <c r="L395" s="2269"/>
      <c r="M395" s="2270"/>
      <c r="N395" s="2270"/>
      <c r="O395" s="2270"/>
      <c r="P395" s="2269"/>
      <c r="Q395" s="2269"/>
      <c r="R395" s="2269"/>
      <c r="S395" s="2269"/>
      <c r="T395" s="2269"/>
      <c r="U395" s="2269"/>
      <c r="V395" s="2269"/>
      <c r="W395" s="2269"/>
      <c r="X395" s="2269"/>
      <c r="Y395" s="2269"/>
      <c r="Z395" s="2269"/>
      <c r="AA395" s="2269"/>
    </row>
    <row r="396" spans="1:27" ht="13.5" customHeight="1" x14ac:dyDescent="0.3">
      <c r="A396" s="2269"/>
      <c r="B396" s="2269"/>
      <c r="C396" s="2272"/>
      <c r="D396" s="2358"/>
      <c r="E396" s="2358"/>
      <c r="F396" s="2358"/>
      <c r="G396" s="2283"/>
      <c r="H396" s="2268"/>
      <c r="I396" s="2269"/>
      <c r="J396" s="2269"/>
      <c r="K396" s="2269"/>
      <c r="L396" s="2269"/>
      <c r="M396" s="2270"/>
      <c r="N396" s="2270"/>
      <c r="O396" s="2270"/>
      <c r="P396" s="2269"/>
      <c r="Q396" s="2269"/>
      <c r="R396" s="2269"/>
      <c r="S396" s="2269"/>
      <c r="T396" s="2269"/>
      <c r="U396" s="2269"/>
      <c r="V396" s="2269"/>
      <c r="W396" s="2269"/>
      <c r="X396" s="2269"/>
      <c r="Y396" s="2269"/>
      <c r="Z396" s="2269"/>
      <c r="AA396" s="2269"/>
    </row>
    <row r="397" spans="1:27" ht="13.5" customHeight="1" x14ac:dyDescent="0.3">
      <c r="A397" s="2269"/>
      <c r="B397" s="2269"/>
      <c r="C397" s="2272"/>
      <c r="D397" s="2358"/>
      <c r="E397" s="2358"/>
      <c r="F397" s="2358"/>
      <c r="G397" s="2283"/>
      <c r="H397" s="2268"/>
      <c r="I397" s="2269"/>
      <c r="J397" s="2269"/>
      <c r="K397" s="2269"/>
      <c r="L397" s="2269"/>
      <c r="M397" s="2270"/>
      <c r="N397" s="2270"/>
      <c r="O397" s="2270"/>
      <c r="P397" s="2269"/>
      <c r="Q397" s="2269"/>
      <c r="R397" s="2269"/>
      <c r="S397" s="2269"/>
      <c r="T397" s="2269"/>
      <c r="U397" s="2269"/>
      <c r="V397" s="2269"/>
      <c r="W397" s="2269"/>
      <c r="X397" s="2269"/>
      <c r="Y397" s="2269"/>
      <c r="Z397" s="2269"/>
      <c r="AA397" s="2269"/>
    </row>
    <row r="398" spans="1:27" ht="13.5" customHeight="1" x14ac:dyDescent="0.3">
      <c r="A398" s="2269"/>
      <c r="B398" s="2269"/>
      <c r="C398" s="2272"/>
      <c r="D398" s="2358"/>
      <c r="E398" s="2358"/>
      <c r="F398" s="2358"/>
      <c r="G398" s="2283"/>
      <c r="H398" s="2268"/>
      <c r="I398" s="2269"/>
      <c r="J398" s="2269"/>
      <c r="K398" s="2269"/>
      <c r="L398" s="2269"/>
      <c r="M398" s="2270"/>
      <c r="N398" s="2270"/>
      <c r="O398" s="2270"/>
      <c r="P398" s="2269"/>
      <c r="Q398" s="2269"/>
      <c r="R398" s="2269"/>
      <c r="S398" s="2269"/>
      <c r="T398" s="2269"/>
      <c r="U398" s="2269"/>
      <c r="V398" s="2269"/>
      <c r="W398" s="2269"/>
      <c r="X398" s="2269"/>
      <c r="Y398" s="2269"/>
      <c r="Z398" s="2269"/>
      <c r="AA398" s="2269"/>
    </row>
    <row r="399" spans="1:27" ht="13.5" customHeight="1" x14ac:dyDescent="0.3">
      <c r="A399" s="2269"/>
      <c r="B399" s="2269"/>
      <c r="C399" s="2272"/>
      <c r="D399" s="2358"/>
      <c r="E399" s="2358"/>
      <c r="F399" s="2358"/>
      <c r="G399" s="2283"/>
      <c r="H399" s="2268"/>
      <c r="I399" s="2269"/>
      <c r="J399" s="2269"/>
      <c r="K399" s="2269"/>
      <c r="L399" s="2269"/>
      <c r="M399" s="2270"/>
      <c r="N399" s="2270"/>
      <c r="O399" s="2270"/>
      <c r="P399" s="2269"/>
      <c r="Q399" s="2269"/>
      <c r="R399" s="2269"/>
      <c r="S399" s="2269"/>
      <c r="T399" s="2269"/>
      <c r="U399" s="2269"/>
      <c r="V399" s="2269"/>
      <c r="W399" s="2269"/>
      <c r="X399" s="2269"/>
      <c r="Y399" s="2269"/>
      <c r="Z399" s="2269"/>
      <c r="AA399" s="2269"/>
    </row>
    <row r="400" spans="1:27" ht="13.5" customHeight="1" x14ac:dyDescent="0.3">
      <c r="A400" s="2269"/>
      <c r="B400" s="2269"/>
      <c r="C400" s="2272"/>
      <c r="D400" s="2358"/>
      <c r="E400" s="2358"/>
      <c r="F400" s="2358"/>
      <c r="G400" s="2283"/>
      <c r="H400" s="2268"/>
      <c r="I400" s="2269"/>
      <c r="J400" s="2269"/>
      <c r="K400" s="2269"/>
      <c r="L400" s="2269"/>
      <c r="M400" s="2270"/>
      <c r="N400" s="2270"/>
      <c r="O400" s="2270"/>
      <c r="P400" s="2269"/>
      <c r="Q400" s="2269"/>
      <c r="R400" s="2269"/>
      <c r="S400" s="2269"/>
      <c r="T400" s="2269"/>
      <c r="U400" s="2269"/>
      <c r="V400" s="2269"/>
      <c r="W400" s="2269"/>
      <c r="X400" s="2269"/>
      <c r="Y400" s="2269"/>
      <c r="Z400" s="2269"/>
      <c r="AA400" s="2269"/>
    </row>
    <row r="401" spans="1:27" ht="13.5" customHeight="1" x14ac:dyDescent="0.3">
      <c r="A401" s="2269"/>
      <c r="B401" s="2269"/>
      <c r="C401" s="2272"/>
      <c r="D401" s="2358"/>
      <c r="E401" s="2358"/>
      <c r="F401" s="2358"/>
      <c r="G401" s="2283"/>
      <c r="H401" s="2268"/>
      <c r="I401" s="2269"/>
      <c r="J401" s="2269"/>
      <c r="K401" s="2269"/>
      <c r="L401" s="2269"/>
      <c r="M401" s="2270"/>
      <c r="N401" s="2270"/>
      <c r="O401" s="2270"/>
      <c r="P401" s="2269"/>
      <c r="Q401" s="2269"/>
      <c r="R401" s="2269"/>
      <c r="S401" s="2269"/>
      <c r="T401" s="2269"/>
      <c r="U401" s="2269"/>
      <c r="V401" s="2269"/>
      <c r="W401" s="2269"/>
      <c r="X401" s="2269"/>
      <c r="Y401" s="2269"/>
      <c r="Z401" s="2269"/>
      <c r="AA401" s="2269"/>
    </row>
    <row r="402" spans="1:27" ht="13.5" customHeight="1" x14ac:dyDescent="0.3">
      <c r="A402" s="2269"/>
      <c r="B402" s="2269"/>
      <c r="C402" s="2272"/>
      <c r="D402" s="2358"/>
      <c r="E402" s="2358"/>
      <c r="F402" s="2358"/>
      <c r="G402" s="2283"/>
      <c r="H402" s="2268"/>
      <c r="I402" s="2269"/>
      <c r="J402" s="2269"/>
      <c r="K402" s="2269"/>
      <c r="L402" s="2269"/>
      <c r="M402" s="2270"/>
      <c r="N402" s="2270"/>
      <c r="O402" s="2270"/>
      <c r="P402" s="2269"/>
      <c r="Q402" s="2269"/>
      <c r="R402" s="2269"/>
      <c r="S402" s="2269"/>
      <c r="T402" s="2269"/>
      <c r="U402" s="2269"/>
      <c r="V402" s="2269"/>
      <c r="W402" s="2269"/>
      <c r="X402" s="2269"/>
      <c r="Y402" s="2269"/>
      <c r="Z402" s="2269"/>
      <c r="AA402" s="2269"/>
    </row>
    <row r="403" spans="1:27" ht="13.5" customHeight="1" x14ac:dyDescent="0.3">
      <c r="A403" s="2269"/>
      <c r="B403" s="2269"/>
      <c r="C403" s="2272"/>
      <c r="D403" s="2358"/>
      <c r="E403" s="2358"/>
      <c r="F403" s="2358"/>
      <c r="G403" s="2283"/>
      <c r="H403" s="2268"/>
      <c r="I403" s="2269"/>
      <c r="J403" s="2269"/>
      <c r="K403" s="2269"/>
      <c r="L403" s="2269"/>
      <c r="M403" s="2270"/>
      <c r="N403" s="2270"/>
      <c r="O403" s="2270"/>
      <c r="P403" s="2269"/>
      <c r="Q403" s="2269"/>
      <c r="R403" s="2269"/>
      <c r="S403" s="2269"/>
      <c r="T403" s="2269"/>
      <c r="U403" s="2269"/>
      <c r="V403" s="2269"/>
      <c r="W403" s="2269"/>
      <c r="X403" s="2269"/>
      <c r="Y403" s="2269"/>
      <c r="Z403" s="2269"/>
      <c r="AA403" s="2269"/>
    </row>
    <row r="404" spans="1:27" ht="13.5" customHeight="1" x14ac:dyDescent="0.3">
      <c r="A404" s="2269"/>
      <c r="B404" s="2269"/>
      <c r="C404" s="2272"/>
      <c r="D404" s="2358"/>
      <c r="E404" s="2358"/>
      <c r="F404" s="2358"/>
      <c r="G404" s="2283"/>
      <c r="H404" s="2268"/>
      <c r="I404" s="2269"/>
      <c r="J404" s="2269"/>
      <c r="K404" s="2269"/>
      <c r="L404" s="2269"/>
      <c r="M404" s="2270"/>
      <c r="N404" s="2270"/>
      <c r="O404" s="2270"/>
      <c r="P404" s="2269"/>
      <c r="Q404" s="2269"/>
      <c r="R404" s="2269"/>
      <c r="S404" s="2269"/>
      <c r="T404" s="2269"/>
      <c r="U404" s="2269"/>
      <c r="V404" s="2269"/>
      <c r="W404" s="2269"/>
      <c r="X404" s="2269"/>
      <c r="Y404" s="2269"/>
      <c r="Z404" s="2269"/>
      <c r="AA404" s="2269"/>
    </row>
    <row r="405" spans="1:27" ht="13.5" customHeight="1" x14ac:dyDescent="0.3">
      <c r="A405" s="2269"/>
      <c r="B405" s="2269"/>
      <c r="C405" s="2272"/>
      <c r="D405" s="2358"/>
      <c r="E405" s="2358"/>
      <c r="F405" s="2358"/>
      <c r="G405" s="2283"/>
      <c r="H405" s="2268"/>
      <c r="I405" s="2269"/>
      <c r="J405" s="2269"/>
      <c r="K405" s="2269"/>
      <c r="L405" s="2269"/>
      <c r="M405" s="2270"/>
      <c r="N405" s="2270"/>
      <c r="O405" s="2270"/>
      <c r="P405" s="2269"/>
      <c r="Q405" s="2269"/>
      <c r="R405" s="2269"/>
      <c r="S405" s="2269"/>
      <c r="T405" s="2269"/>
      <c r="U405" s="2269"/>
      <c r="V405" s="2269"/>
      <c r="W405" s="2269"/>
      <c r="X405" s="2269"/>
      <c r="Y405" s="2269"/>
      <c r="Z405" s="2269"/>
      <c r="AA405" s="2269"/>
    </row>
    <row r="406" spans="1:27" ht="13.5" customHeight="1" x14ac:dyDescent="0.3">
      <c r="A406" s="2269"/>
      <c r="B406" s="2269"/>
      <c r="C406" s="2272"/>
      <c r="D406" s="2358"/>
      <c r="E406" s="2358"/>
      <c r="F406" s="2358"/>
      <c r="G406" s="2283"/>
      <c r="H406" s="2268"/>
      <c r="I406" s="2269"/>
      <c r="J406" s="2269"/>
      <c r="K406" s="2269"/>
      <c r="L406" s="2269"/>
      <c r="M406" s="2270"/>
      <c r="N406" s="2270"/>
      <c r="O406" s="2270"/>
      <c r="P406" s="2269"/>
      <c r="Q406" s="2269"/>
      <c r="R406" s="2269"/>
      <c r="S406" s="2269"/>
      <c r="T406" s="2269"/>
      <c r="U406" s="2269"/>
      <c r="V406" s="2269"/>
      <c r="W406" s="2269"/>
      <c r="X406" s="2269"/>
      <c r="Y406" s="2269"/>
      <c r="Z406" s="2269"/>
      <c r="AA406" s="2269"/>
    </row>
    <row r="407" spans="1:27" ht="13.5" customHeight="1" x14ac:dyDescent="0.3">
      <c r="A407" s="2269"/>
      <c r="B407" s="2269"/>
      <c r="C407" s="2272"/>
      <c r="D407" s="2358"/>
      <c r="E407" s="2358"/>
      <c r="F407" s="2358"/>
      <c r="G407" s="2283"/>
      <c r="H407" s="2268"/>
      <c r="I407" s="2269"/>
      <c r="J407" s="2269"/>
      <c r="K407" s="2269"/>
      <c r="L407" s="2269"/>
      <c r="M407" s="2270"/>
      <c r="N407" s="2270"/>
      <c r="O407" s="2270"/>
      <c r="P407" s="2269"/>
      <c r="Q407" s="2269"/>
      <c r="R407" s="2269"/>
      <c r="S407" s="2269"/>
      <c r="T407" s="2269"/>
      <c r="U407" s="2269"/>
      <c r="V407" s="2269"/>
      <c r="W407" s="2269"/>
      <c r="X407" s="2269"/>
      <c r="Y407" s="2269"/>
      <c r="Z407" s="2269"/>
      <c r="AA407" s="2269"/>
    </row>
    <row r="408" spans="1:27" ht="13.5" customHeight="1" x14ac:dyDescent="0.3">
      <c r="A408" s="2269"/>
      <c r="B408" s="2269"/>
      <c r="C408" s="2272"/>
      <c r="D408" s="2358"/>
      <c r="E408" s="2358"/>
      <c r="F408" s="2358"/>
      <c r="G408" s="2283"/>
      <c r="H408" s="2268"/>
      <c r="I408" s="2269"/>
      <c r="J408" s="2269"/>
      <c r="K408" s="2269"/>
      <c r="L408" s="2269"/>
      <c r="M408" s="2270"/>
      <c r="N408" s="2270"/>
      <c r="O408" s="2270"/>
      <c r="P408" s="2269"/>
      <c r="Q408" s="2269"/>
      <c r="R408" s="2269"/>
      <c r="S408" s="2269"/>
      <c r="T408" s="2269"/>
      <c r="U408" s="2269"/>
      <c r="V408" s="2269"/>
      <c r="W408" s="2269"/>
      <c r="X408" s="2269"/>
      <c r="Y408" s="2269"/>
      <c r="Z408" s="2269"/>
      <c r="AA408" s="2269"/>
    </row>
    <row r="409" spans="1:27" ht="13.5" customHeight="1" x14ac:dyDescent="0.3">
      <c r="A409" s="2269"/>
      <c r="B409" s="2269"/>
      <c r="C409" s="2272"/>
      <c r="D409" s="2358"/>
      <c r="E409" s="2358"/>
      <c r="F409" s="2358"/>
      <c r="G409" s="2283"/>
      <c r="H409" s="2268"/>
      <c r="I409" s="2269"/>
      <c r="J409" s="2269"/>
      <c r="K409" s="2269"/>
      <c r="L409" s="2269"/>
      <c r="M409" s="2270"/>
      <c r="N409" s="2270"/>
      <c r="O409" s="2270"/>
      <c r="P409" s="2269"/>
      <c r="Q409" s="2269"/>
      <c r="R409" s="2269"/>
      <c r="S409" s="2269"/>
      <c r="T409" s="2269"/>
      <c r="U409" s="2269"/>
      <c r="V409" s="2269"/>
      <c r="W409" s="2269"/>
      <c r="X409" s="2269"/>
      <c r="Y409" s="2269"/>
      <c r="Z409" s="2269"/>
      <c r="AA409" s="2269"/>
    </row>
    <row r="410" spans="1:27" ht="13.5" customHeight="1" x14ac:dyDescent="0.3">
      <c r="A410" s="2269"/>
      <c r="B410" s="2269"/>
      <c r="C410" s="2272"/>
      <c r="D410" s="2358"/>
      <c r="E410" s="2358"/>
      <c r="F410" s="2358"/>
      <c r="G410" s="2283"/>
      <c r="H410" s="2268"/>
      <c r="I410" s="2269"/>
      <c r="J410" s="2269"/>
      <c r="K410" s="2269"/>
      <c r="L410" s="2269"/>
      <c r="M410" s="2270"/>
      <c r="N410" s="2270"/>
      <c r="O410" s="2270"/>
      <c r="P410" s="2269"/>
      <c r="Q410" s="2269"/>
      <c r="R410" s="2269"/>
      <c r="S410" s="2269"/>
      <c r="T410" s="2269"/>
      <c r="U410" s="2269"/>
      <c r="V410" s="2269"/>
      <c r="W410" s="2269"/>
      <c r="X410" s="2269"/>
      <c r="Y410" s="2269"/>
      <c r="Z410" s="2269"/>
      <c r="AA410" s="2269"/>
    </row>
    <row r="411" spans="1:27" ht="13.5" customHeight="1" x14ac:dyDescent="0.3">
      <c r="A411" s="2269"/>
      <c r="B411" s="2269"/>
      <c r="C411" s="2272"/>
      <c r="D411" s="2358"/>
      <c r="E411" s="2358"/>
      <c r="F411" s="2358"/>
      <c r="G411" s="2283"/>
      <c r="H411" s="2268"/>
      <c r="I411" s="2269"/>
      <c r="J411" s="2269"/>
      <c r="K411" s="2269"/>
      <c r="L411" s="2269"/>
      <c r="M411" s="2270"/>
      <c r="N411" s="2270"/>
      <c r="O411" s="2270"/>
      <c r="P411" s="2269"/>
      <c r="Q411" s="2269"/>
      <c r="R411" s="2269"/>
      <c r="S411" s="2269"/>
      <c r="T411" s="2269"/>
      <c r="U411" s="2269"/>
      <c r="V411" s="2269"/>
      <c r="W411" s="2269"/>
      <c r="X411" s="2269"/>
      <c r="Y411" s="2269"/>
      <c r="Z411" s="2269"/>
      <c r="AA411" s="2269"/>
    </row>
    <row r="412" spans="1:27" ht="13.5" customHeight="1" x14ac:dyDescent="0.3">
      <c r="A412" s="2269"/>
      <c r="B412" s="2269"/>
      <c r="C412" s="2272"/>
      <c r="D412" s="2358"/>
      <c r="E412" s="2358"/>
      <c r="F412" s="2358"/>
      <c r="G412" s="2283"/>
      <c r="H412" s="2268"/>
      <c r="I412" s="2269"/>
      <c r="J412" s="2269"/>
      <c r="K412" s="2269"/>
      <c r="L412" s="2269"/>
      <c r="M412" s="2270"/>
      <c r="N412" s="2270"/>
      <c r="O412" s="2270"/>
      <c r="P412" s="2269"/>
      <c r="Q412" s="2269"/>
      <c r="R412" s="2269"/>
      <c r="S412" s="2269"/>
      <c r="T412" s="2269"/>
      <c r="U412" s="2269"/>
      <c r="V412" s="2269"/>
      <c r="W412" s="2269"/>
      <c r="X412" s="2269"/>
      <c r="Y412" s="2269"/>
      <c r="Z412" s="2269"/>
      <c r="AA412" s="2269"/>
    </row>
    <row r="413" spans="1:27" ht="13.5" customHeight="1" x14ac:dyDescent="0.3">
      <c r="A413" s="2269"/>
      <c r="B413" s="2269"/>
      <c r="C413" s="2272"/>
      <c r="D413" s="2358"/>
      <c r="E413" s="2358"/>
      <c r="F413" s="2358"/>
      <c r="G413" s="2283"/>
      <c r="H413" s="2268"/>
      <c r="I413" s="2269"/>
      <c r="J413" s="2269"/>
      <c r="K413" s="2269"/>
      <c r="L413" s="2269"/>
      <c r="M413" s="2270"/>
      <c r="N413" s="2270"/>
      <c r="O413" s="2270"/>
      <c r="P413" s="2269"/>
      <c r="Q413" s="2269"/>
      <c r="R413" s="2269"/>
      <c r="S413" s="2269"/>
      <c r="T413" s="2269"/>
      <c r="U413" s="2269"/>
      <c r="V413" s="2269"/>
      <c r="W413" s="2269"/>
      <c r="X413" s="2269"/>
      <c r="Y413" s="2269"/>
      <c r="Z413" s="2269"/>
      <c r="AA413" s="2269"/>
    </row>
    <row r="414" spans="1:27" ht="13.5" customHeight="1" x14ac:dyDescent="0.3">
      <c r="A414" s="2269"/>
      <c r="B414" s="2269"/>
      <c r="C414" s="2272"/>
      <c r="D414" s="2358"/>
      <c r="E414" s="2358"/>
      <c r="F414" s="2358"/>
      <c r="G414" s="2283"/>
      <c r="H414" s="2268"/>
      <c r="I414" s="2269"/>
      <c r="J414" s="2269"/>
      <c r="K414" s="2269"/>
      <c r="L414" s="2269"/>
      <c r="M414" s="2270"/>
      <c r="N414" s="2270"/>
      <c r="O414" s="2270"/>
      <c r="P414" s="2269"/>
      <c r="Q414" s="2269"/>
      <c r="R414" s="2269"/>
      <c r="S414" s="2269"/>
      <c r="T414" s="2269"/>
      <c r="U414" s="2269"/>
      <c r="V414" s="2269"/>
      <c r="W414" s="2269"/>
      <c r="X414" s="2269"/>
      <c r="Y414" s="2269"/>
      <c r="Z414" s="2269"/>
      <c r="AA414" s="2269"/>
    </row>
    <row r="415" spans="1:27" ht="13.5" customHeight="1" x14ac:dyDescent="0.3">
      <c r="A415" s="2269"/>
      <c r="B415" s="2269"/>
      <c r="C415" s="2272"/>
      <c r="D415" s="2358"/>
      <c r="E415" s="2358"/>
      <c r="F415" s="2358"/>
      <c r="G415" s="2283"/>
      <c r="H415" s="2268"/>
      <c r="I415" s="2269"/>
      <c r="J415" s="2269"/>
      <c r="K415" s="2269"/>
      <c r="L415" s="2269"/>
      <c r="M415" s="2270"/>
      <c r="N415" s="2270"/>
      <c r="O415" s="2270"/>
      <c r="P415" s="2269"/>
      <c r="Q415" s="2269"/>
      <c r="R415" s="2269"/>
      <c r="S415" s="2269"/>
      <c r="T415" s="2269"/>
      <c r="U415" s="2269"/>
      <c r="V415" s="2269"/>
      <c r="W415" s="2269"/>
      <c r="X415" s="2269"/>
      <c r="Y415" s="2269"/>
      <c r="Z415" s="2269"/>
      <c r="AA415" s="2269"/>
    </row>
    <row r="416" spans="1:27" ht="13.5" customHeight="1" x14ac:dyDescent="0.3">
      <c r="A416" s="2269"/>
      <c r="B416" s="2269"/>
      <c r="C416" s="2272"/>
      <c r="D416" s="2358"/>
      <c r="E416" s="2358"/>
      <c r="F416" s="2358"/>
      <c r="G416" s="2283"/>
      <c r="H416" s="2268"/>
      <c r="I416" s="2269"/>
      <c r="J416" s="2269"/>
      <c r="K416" s="2269"/>
      <c r="L416" s="2269"/>
      <c r="M416" s="2270"/>
      <c r="N416" s="2270"/>
      <c r="O416" s="2270"/>
      <c r="P416" s="2269"/>
      <c r="Q416" s="2269"/>
      <c r="R416" s="2269"/>
      <c r="S416" s="2269"/>
      <c r="T416" s="2269"/>
      <c r="U416" s="2269"/>
      <c r="V416" s="2269"/>
      <c r="W416" s="2269"/>
      <c r="X416" s="2269"/>
      <c r="Y416" s="2269"/>
      <c r="Z416" s="2269"/>
      <c r="AA416" s="2269"/>
    </row>
    <row r="417" spans="1:27" ht="13.5" customHeight="1" x14ac:dyDescent="0.3">
      <c r="A417" s="2269"/>
      <c r="B417" s="2269"/>
      <c r="C417" s="2272"/>
      <c r="D417" s="2358"/>
      <c r="E417" s="2358"/>
      <c r="F417" s="2358"/>
      <c r="G417" s="2283"/>
      <c r="H417" s="2268"/>
      <c r="I417" s="2269"/>
      <c r="J417" s="2269"/>
      <c r="K417" s="2269"/>
      <c r="L417" s="2269"/>
      <c r="M417" s="2270"/>
      <c r="N417" s="2270"/>
      <c r="O417" s="2270"/>
      <c r="P417" s="2269"/>
      <c r="Q417" s="2269"/>
      <c r="R417" s="2269"/>
      <c r="S417" s="2269"/>
      <c r="T417" s="2269"/>
      <c r="U417" s="2269"/>
      <c r="V417" s="2269"/>
      <c r="W417" s="2269"/>
      <c r="X417" s="2269"/>
      <c r="Y417" s="2269"/>
      <c r="Z417" s="2269"/>
      <c r="AA417" s="2269"/>
    </row>
    <row r="418" spans="1:27" ht="13.5" customHeight="1" x14ac:dyDescent="0.3">
      <c r="A418" s="2269"/>
      <c r="B418" s="2269"/>
      <c r="C418" s="2272"/>
      <c r="D418" s="2358"/>
      <c r="E418" s="2358"/>
      <c r="F418" s="2358"/>
      <c r="G418" s="2283"/>
      <c r="H418" s="2268"/>
      <c r="I418" s="2269"/>
      <c r="J418" s="2269"/>
      <c r="K418" s="2269"/>
      <c r="L418" s="2269"/>
      <c r="M418" s="2270"/>
      <c r="N418" s="2270"/>
      <c r="O418" s="2270"/>
      <c r="P418" s="2269"/>
      <c r="Q418" s="2269"/>
      <c r="R418" s="2269"/>
      <c r="S418" s="2269"/>
      <c r="T418" s="2269"/>
      <c r="U418" s="2269"/>
      <c r="V418" s="2269"/>
      <c r="W418" s="2269"/>
      <c r="X418" s="2269"/>
      <c r="Y418" s="2269"/>
      <c r="Z418" s="2269"/>
      <c r="AA418" s="2269"/>
    </row>
    <row r="419" spans="1:27" ht="13.5" customHeight="1" x14ac:dyDescent="0.3">
      <c r="A419" s="2269"/>
      <c r="B419" s="2269"/>
      <c r="C419" s="2272"/>
      <c r="D419" s="2358"/>
      <c r="E419" s="2358"/>
      <c r="F419" s="2358"/>
      <c r="G419" s="2283"/>
      <c r="H419" s="2268"/>
      <c r="I419" s="2269"/>
      <c r="J419" s="2269"/>
      <c r="K419" s="2269"/>
      <c r="L419" s="2269"/>
      <c r="M419" s="2270"/>
      <c r="N419" s="2270"/>
      <c r="O419" s="2270"/>
      <c r="P419" s="2269"/>
      <c r="Q419" s="2269"/>
      <c r="R419" s="2269"/>
      <c r="S419" s="2269"/>
      <c r="T419" s="2269"/>
      <c r="U419" s="2269"/>
      <c r="V419" s="2269"/>
      <c r="W419" s="2269"/>
      <c r="X419" s="2269"/>
      <c r="Y419" s="2269"/>
      <c r="Z419" s="2269"/>
      <c r="AA419" s="2269"/>
    </row>
    <row r="420" spans="1:27" ht="13.5" customHeight="1" x14ac:dyDescent="0.3">
      <c r="A420" s="2269"/>
      <c r="B420" s="2269"/>
      <c r="C420" s="2272"/>
      <c r="D420" s="2358"/>
      <c r="E420" s="2358"/>
      <c r="F420" s="2358"/>
      <c r="G420" s="2283"/>
      <c r="H420" s="2268"/>
      <c r="I420" s="2269"/>
      <c r="J420" s="2269"/>
      <c r="K420" s="2269"/>
      <c r="L420" s="2269"/>
      <c r="M420" s="2270"/>
      <c r="N420" s="2270"/>
      <c r="O420" s="2270"/>
      <c r="P420" s="2269"/>
      <c r="Q420" s="2269"/>
      <c r="R420" s="2269"/>
      <c r="S420" s="2269"/>
      <c r="T420" s="2269"/>
      <c r="U420" s="2269"/>
      <c r="V420" s="2269"/>
      <c r="W420" s="2269"/>
      <c r="X420" s="2269"/>
      <c r="Y420" s="2269"/>
      <c r="Z420" s="2269"/>
      <c r="AA420" s="2269"/>
    </row>
    <row r="421" spans="1:27" ht="13.5" customHeight="1" x14ac:dyDescent="0.3">
      <c r="A421" s="2269"/>
      <c r="B421" s="2269"/>
      <c r="C421" s="2272"/>
      <c r="D421" s="2358"/>
      <c r="E421" s="2358"/>
      <c r="F421" s="2358"/>
      <c r="G421" s="2283"/>
      <c r="H421" s="2268"/>
      <c r="I421" s="2269"/>
      <c r="J421" s="2269"/>
      <c r="K421" s="2269"/>
      <c r="L421" s="2269"/>
      <c r="M421" s="2270"/>
      <c r="N421" s="2270"/>
      <c r="O421" s="2270"/>
      <c r="P421" s="2269"/>
      <c r="Q421" s="2269"/>
      <c r="R421" s="2269"/>
      <c r="S421" s="2269"/>
      <c r="T421" s="2269"/>
      <c r="U421" s="2269"/>
      <c r="V421" s="2269"/>
      <c r="W421" s="2269"/>
      <c r="X421" s="2269"/>
      <c r="Y421" s="2269"/>
      <c r="Z421" s="2269"/>
      <c r="AA421" s="2269"/>
    </row>
    <row r="422" spans="1:27" ht="13.5" customHeight="1" x14ac:dyDescent="0.3">
      <c r="A422" s="2269"/>
      <c r="B422" s="2269"/>
      <c r="C422" s="2272"/>
      <c r="D422" s="2358"/>
      <c r="E422" s="2358"/>
      <c r="F422" s="2358"/>
      <c r="G422" s="2283"/>
      <c r="H422" s="2268"/>
      <c r="I422" s="2269"/>
      <c r="J422" s="2269"/>
      <c r="K422" s="2269"/>
      <c r="L422" s="2269"/>
      <c r="M422" s="2270"/>
      <c r="N422" s="2270"/>
      <c r="O422" s="2270"/>
      <c r="P422" s="2269"/>
      <c r="Q422" s="2269"/>
      <c r="R422" s="2269"/>
      <c r="S422" s="2269"/>
      <c r="T422" s="2269"/>
      <c r="U422" s="2269"/>
      <c r="V422" s="2269"/>
      <c r="W422" s="2269"/>
      <c r="X422" s="2269"/>
      <c r="Y422" s="2269"/>
      <c r="Z422" s="2269"/>
      <c r="AA422" s="2269"/>
    </row>
    <row r="423" spans="1:27" ht="13.5" customHeight="1" x14ac:dyDescent="0.3">
      <c r="A423" s="2269"/>
      <c r="B423" s="2269"/>
      <c r="C423" s="2272"/>
      <c r="D423" s="2358"/>
      <c r="E423" s="2358"/>
      <c r="F423" s="2358"/>
      <c r="G423" s="2283"/>
      <c r="H423" s="2268"/>
      <c r="I423" s="2269"/>
      <c r="J423" s="2269"/>
      <c r="K423" s="2269"/>
      <c r="L423" s="2269"/>
      <c r="M423" s="2270"/>
      <c r="N423" s="2270"/>
      <c r="O423" s="2270"/>
      <c r="P423" s="2269"/>
      <c r="Q423" s="2269"/>
      <c r="R423" s="2269"/>
      <c r="S423" s="2269"/>
      <c r="T423" s="2269"/>
      <c r="U423" s="2269"/>
      <c r="V423" s="2269"/>
      <c r="W423" s="2269"/>
      <c r="X423" s="2269"/>
      <c r="Y423" s="2269"/>
      <c r="Z423" s="2269"/>
      <c r="AA423" s="2269"/>
    </row>
    <row r="424" spans="1:27" ht="13.5" customHeight="1" x14ac:dyDescent="0.3">
      <c r="A424" s="2269"/>
      <c r="B424" s="2269"/>
      <c r="C424" s="2272"/>
      <c r="D424" s="2358"/>
      <c r="E424" s="2358"/>
      <c r="F424" s="2358"/>
      <c r="G424" s="2283"/>
      <c r="H424" s="2268"/>
      <c r="I424" s="2269"/>
      <c r="J424" s="2269"/>
      <c r="K424" s="2269"/>
      <c r="L424" s="2269"/>
      <c r="M424" s="2270"/>
      <c r="N424" s="2270"/>
      <c r="O424" s="2270"/>
      <c r="P424" s="2269"/>
      <c r="Q424" s="2269"/>
      <c r="R424" s="2269"/>
      <c r="S424" s="2269"/>
      <c r="T424" s="2269"/>
      <c r="U424" s="2269"/>
      <c r="V424" s="2269"/>
      <c r="W424" s="2269"/>
      <c r="X424" s="2269"/>
      <c r="Y424" s="2269"/>
      <c r="Z424" s="2269"/>
      <c r="AA424" s="2269"/>
    </row>
    <row r="425" spans="1:27" ht="13.5" customHeight="1" x14ac:dyDescent="0.3">
      <c r="A425" s="2269"/>
      <c r="B425" s="2269"/>
      <c r="C425" s="2272"/>
      <c r="D425" s="2358"/>
      <c r="E425" s="2358"/>
      <c r="F425" s="2358"/>
      <c r="G425" s="2283"/>
      <c r="H425" s="2268"/>
      <c r="I425" s="2269"/>
      <c r="J425" s="2269"/>
      <c r="K425" s="2269"/>
      <c r="L425" s="2269"/>
      <c r="M425" s="2270"/>
      <c r="N425" s="2270"/>
      <c r="O425" s="2270"/>
      <c r="P425" s="2269"/>
      <c r="Q425" s="2269"/>
      <c r="R425" s="2269"/>
      <c r="S425" s="2269"/>
      <c r="T425" s="2269"/>
      <c r="U425" s="2269"/>
      <c r="V425" s="2269"/>
      <c r="W425" s="2269"/>
      <c r="X425" s="2269"/>
      <c r="Y425" s="2269"/>
      <c r="Z425" s="2269"/>
      <c r="AA425" s="2269"/>
    </row>
    <row r="426" spans="1:27" ht="13.5" customHeight="1" x14ac:dyDescent="0.3">
      <c r="A426" s="2269"/>
      <c r="B426" s="2269"/>
      <c r="C426" s="2272"/>
      <c r="D426" s="2358"/>
      <c r="E426" s="2358"/>
      <c r="F426" s="2358"/>
      <c r="G426" s="2283"/>
      <c r="H426" s="2268"/>
      <c r="I426" s="2269"/>
      <c r="J426" s="2269"/>
      <c r="K426" s="2269"/>
      <c r="L426" s="2269"/>
      <c r="M426" s="2270"/>
      <c r="N426" s="2270"/>
      <c r="O426" s="2270"/>
      <c r="P426" s="2269"/>
      <c r="Q426" s="2269"/>
      <c r="R426" s="2269"/>
      <c r="S426" s="2269"/>
      <c r="T426" s="2269"/>
      <c r="U426" s="2269"/>
      <c r="V426" s="2269"/>
      <c r="W426" s="2269"/>
      <c r="X426" s="2269"/>
      <c r="Y426" s="2269"/>
      <c r="Z426" s="2269"/>
      <c r="AA426" s="2269"/>
    </row>
    <row r="427" spans="1:27" ht="13.5" customHeight="1" x14ac:dyDescent="0.3">
      <c r="A427" s="2269"/>
      <c r="B427" s="2269"/>
      <c r="C427" s="2272"/>
      <c r="D427" s="2358"/>
      <c r="E427" s="2358"/>
      <c r="F427" s="2358"/>
      <c r="G427" s="2283"/>
      <c r="H427" s="2268"/>
      <c r="I427" s="2269"/>
      <c r="J427" s="2269"/>
      <c r="K427" s="2269"/>
      <c r="L427" s="2269"/>
      <c r="M427" s="2270"/>
      <c r="N427" s="2270"/>
      <c r="O427" s="2270"/>
      <c r="P427" s="2269"/>
      <c r="Q427" s="2269"/>
      <c r="R427" s="2269"/>
      <c r="S427" s="2269"/>
      <c r="T427" s="2269"/>
      <c r="U427" s="2269"/>
      <c r="V427" s="2269"/>
      <c r="W427" s="2269"/>
      <c r="X427" s="2269"/>
      <c r="Y427" s="2269"/>
      <c r="Z427" s="2269"/>
      <c r="AA427" s="2269"/>
    </row>
    <row r="428" spans="1:27" ht="13.5" customHeight="1" x14ac:dyDescent="0.3">
      <c r="A428" s="2269"/>
      <c r="B428" s="2269"/>
      <c r="C428" s="2272"/>
      <c r="D428" s="2358"/>
      <c r="E428" s="2358"/>
      <c r="F428" s="2358"/>
      <c r="G428" s="2283"/>
      <c r="H428" s="2268"/>
      <c r="I428" s="2269"/>
      <c r="J428" s="2269"/>
      <c r="K428" s="2269"/>
      <c r="L428" s="2269"/>
      <c r="M428" s="2270"/>
      <c r="N428" s="2270"/>
      <c r="O428" s="2270"/>
      <c r="P428" s="2269"/>
      <c r="Q428" s="2269"/>
      <c r="R428" s="2269"/>
      <c r="S428" s="2269"/>
      <c r="T428" s="2269"/>
      <c r="U428" s="2269"/>
      <c r="V428" s="2269"/>
      <c r="W428" s="2269"/>
      <c r="X428" s="2269"/>
      <c r="Y428" s="2269"/>
      <c r="Z428" s="2269"/>
      <c r="AA428" s="2269"/>
    </row>
    <row r="429" spans="1:27" ht="13.5" customHeight="1" x14ac:dyDescent="0.3">
      <c r="A429" s="2269"/>
      <c r="B429" s="2269"/>
      <c r="C429" s="2272"/>
      <c r="D429" s="2358"/>
      <c r="E429" s="2358"/>
      <c r="F429" s="2358"/>
      <c r="G429" s="2283"/>
      <c r="H429" s="2268"/>
      <c r="I429" s="2269"/>
      <c r="J429" s="2269"/>
      <c r="K429" s="2269"/>
      <c r="L429" s="2269"/>
      <c r="M429" s="2270"/>
      <c r="N429" s="2270"/>
      <c r="O429" s="2270"/>
      <c r="P429" s="2269"/>
      <c r="Q429" s="2269"/>
      <c r="R429" s="2269"/>
      <c r="S429" s="2269"/>
      <c r="T429" s="2269"/>
      <c r="U429" s="2269"/>
      <c r="V429" s="2269"/>
      <c r="W429" s="2269"/>
      <c r="X429" s="2269"/>
      <c r="Y429" s="2269"/>
      <c r="Z429" s="2269"/>
      <c r="AA429" s="2269"/>
    </row>
    <row r="430" spans="1:27" ht="13.5" customHeight="1" x14ac:dyDescent="0.3">
      <c r="A430" s="2269"/>
      <c r="B430" s="2269"/>
      <c r="C430" s="2272"/>
      <c r="D430" s="2358"/>
      <c r="E430" s="2358"/>
      <c r="F430" s="2358"/>
      <c r="G430" s="2283"/>
      <c r="H430" s="2268"/>
      <c r="I430" s="2269"/>
      <c r="J430" s="2269"/>
      <c r="K430" s="2269"/>
      <c r="L430" s="2269"/>
      <c r="M430" s="2270"/>
      <c r="N430" s="2270"/>
      <c r="O430" s="2270"/>
      <c r="P430" s="2269"/>
      <c r="Q430" s="2269"/>
      <c r="R430" s="2269"/>
      <c r="S430" s="2269"/>
      <c r="T430" s="2269"/>
      <c r="U430" s="2269"/>
      <c r="V430" s="2269"/>
      <c r="W430" s="2269"/>
      <c r="X430" s="2269"/>
      <c r="Y430" s="2269"/>
      <c r="Z430" s="2269"/>
      <c r="AA430" s="2269"/>
    </row>
    <row r="431" spans="1:27" ht="13.5" customHeight="1" x14ac:dyDescent="0.3">
      <c r="A431" s="2269"/>
      <c r="B431" s="2269"/>
      <c r="C431" s="2272"/>
      <c r="D431" s="2358"/>
      <c r="E431" s="2358"/>
      <c r="F431" s="2358"/>
      <c r="G431" s="2283"/>
      <c r="H431" s="2268"/>
      <c r="I431" s="2269"/>
      <c r="J431" s="2269"/>
      <c r="K431" s="2269"/>
      <c r="L431" s="2269"/>
      <c r="M431" s="2270"/>
      <c r="N431" s="2270"/>
      <c r="O431" s="2270"/>
      <c r="P431" s="2269"/>
      <c r="Q431" s="2269"/>
      <c r="R431" s="2269"/>
      <c r="S431" s="2269"/>
      <c r="T431" s="2269"/>
      <c r="U431" s="2269"/>
      <c r="V431" s="2269"/>
      <c r="W431" s="2269"/>
      <c r="X431" s="2269"/>
      <c r="Y431" s="2269"/>
      <c r="Z431" s="2269"/>
      <c r="AA431" s="2269"/>
    </row>
    <row r="432" spans="1:27" ht="13.5" customHeight="1" x14ac:dyDescent="0.3">
      <c r="A432" s="2269"/>
      <c r="B432" s="2269"/>
      <c r="C432" s="2272"/>
      <c r="D432" s="2358"/>
      <c r="E432" s="2358"/>
      <c r="F432" s="2358"/>
      <c r="G432" s="2283"/>
      <c r="H432" s="2268"/>
      <c r="I432" s="2269"/>
      <c r="J432" s="2269"/>
      <c r="K432" s="2269"/>
      <c r="L432" s="2269"/>
      <c r="M432" s="2270"/>
      <c r="N432" s="2270"/>
      <c r="O432" s="2270"/>
      <c r="P432" s="2269"/>
      <c r="Q432" s="2269"/>
      <c r="R432" s="2269"/>
      <c r="S432" s="2269"/>
      <c r="T432" s="2269"/>
      <c r="U432" s="2269"/>
      <c r="V432" s="2269"/>
      <c r="W432" s="2269"/>
      <c r="X432" s="2269"/>
      <c r="Y432" s="2269"/>
      <c r="Z432" s="2269"/>
      <c r="AA432" s="2269"/>
    </row>
    <row r="433" spans="1:27" ht="13.5" customHeight="1" x14ac:dyDescent="0.3">
      <c r="A433" s="2269"/>
      <c r="B433" s="2269"/>
      <c r="C433" s="2272"/>
      <c r="D433" s="2358"/>
      <c r="E433" s="2358"/>
      <c r="F433" s="2358"/>
      <c r="G433" s="2283"/>
      <c r="H433" s="2268"/>
      <c r="I433" s="2269"/>
      <c r="J433" s="2269"/>
      <c r="K433" s="2269"/>
      <c r="L433" s="2269"/>
      <c r="M433" s="2270"/>
      <c r="N433" s="2270"/>
      <c r="O433" s="2270"/>
      <c r="P433" s="2269"/>
      <c r="Q433" s="2269"/>
      <c r="R433" s="2269"/>
      <c r="S433" s="2269"/>
      <c r="T433" s="2269"/>
      <c r="U433" s="2269"/>
      <c r="V433" s="2269"/>
      <c r="W433" s="2269"/>
      <c r="X433" s="2269"/>
      <c r="Y433" s="2269"/>
      <c r="Z433" s="2269"/>
      <c r="AA433" s="2269"/>
    </row>
    <row r="434" spans="1:27" ht="13.5" customHeight="1" x14ac:dyDescent="0.3">
      <c r="A434" s="2269"/>
      <c r="B434" s="2269"/>
      <c r="C434" s="2272"/>
      <c r="D434" s="2358"/>
      <c r="E434" s="2358"/>
      <c r="F434" s="2358"/>
      <c r="G434" s="2283"/>
      <c r="H434" s="2268"/>
      <c r="I434" s="2269"/>
      <c r="J434" s="2269"/>
      <c r="K434" s="2269"/>
      <c r="L434" s="2269"/>
      <c r="M434" s="2270"/>
      <c r="N434" s="2270"/>
      <c r="O434" s="2270"/>
      <c r="P434" s="2269"/>
      <c r="Q434" s="2269"/>
      <c r="R434" s="2269"/>
      <c r="S434" s="2269"/>
      <c r="T434" s="2269"/>
      <c r="U434" s="2269"/>
      <c r="V434" s="2269"/>
      <c r="W434" s="2269"/>
      <c r="X434" s="2269"/>
      <c r="Y434" s="2269"/>
      <c r="Z434" s="2269"/>
      <c r="AA434" s="2269"/>
    </row>
    <row r="435" spans="1:27" ht="13.5" customHeight="1" x14ac:dyDescent="0.3">
      <c r="A435" s="2269"/>
      <c r="B435" s="2269"/>
      <c r="C435" s="2272"/>
      <c r="D435" s="2358"/>
      <c r="E435" s="2358"/>
      <c r="F435" s="2358"/>
      <c r="G435" s="2283"/>
      <c r="H435" s="2268"/>
      <c r="I435" s="2269"/>
      <c r="J435" s="2269"/>
      <c r="K435" s="2269"/>
      <c r="L435" s="2269"/>
      <c r="M435" s="2270"/>
      <c r="N435" s="2270"/>
      <c r="O435" s="2270"/>
      <c r="P435" s="2269"/>
      <c r="Q435" s="2269"/>
      <c r="R435" s="2269"/>
      <c r="S435" s="2269"/>
      <c r="T435" s="2269"/>
      <c r="U435" s="2269"/>
      <c r="V435" s="2269"/>
      <c r="W435" s="2269"/>
      <c r="X435" s="2269"/>
      <c r="Y435" s="2269"/>
      <c r="Z435" s="2269"/>
      <c r="AA435" s="2269"/>
    </row>
    <row r="436" spans="1:27" ht="13.5" customHeight="1" x14ac:dyDescent="0.3">
      <c r="A436" s="2269"/>
      <c r="B436" s="2269"/>
      <c r="C436" s="2272"/>
      <c r="D436" s="2358"/>
      <c r="E436" s="2358"/>
      <c r="F436" s="2358"/>
      <c r="G436" s="2283"/>
      <c r="H436" s="2268"/>
      <c r="I436" s="2269"/>
      <c r="J436" s="2269"/>
      <c r="K436" s="2269"/>
      <c r="L436" s="2269"/>
      <c r="M436" s="2270"/>
      <c r="N436" s="2270"/>
      <c r="O436" s="2270"/>
      <c r="P436" s="2269"/>
      <c r="Q436" s="2269"/>
      <c r="R436" s="2269"/>
      <c r="S436" s="2269"/>
      <c r="T436" s="2269"/>
      <c r="U436" s="2269"/>
      <c r="V436" s="2269"/>
      <c r="W436" s="2269"/>
      <c r="X436" s="2269"/>
      <c r="Y436" s="2269"/>
      <c r="Z436" s="2269"/>
      <c r="AA436" s="2269"/>
    </row>
    <row r="437" spans="1:27" ht="13.5" customHeight="1" x14ac:dyDescent="0.3">
      <c r="A437" s="2269"/>
      <c r="B437" s="2269"/>
      <c r="C437" s="2272"/>
      <c r="D437" s="2358"/>
      <c r="E437" s="2358"/>
      <c r="F437" s="2358"/>
      <c r="G437" s="2283"/>
      <c r="H437" s="2268"/>
      <c r="I437" s="2269"/>
      <c r="J437" s="2269"/>
      <c r="K437" s="2269"/>
      <c r="L437" s="2269"/>
      <c r="M437" s="2270"/>
      <c r="N437" s="2270"/>
      <c r="O437" s="2270"/>
      <c r="P437" s="2269"/>
      <c r="Q437" s="2269"/>
      <c r="R437" s="2269"/>
      <c r="S437" s="2269"/>
      <c r="T437" s="2269"/>
      <c r="U437" s="2269"/>
      <c r="V437" s="2269"/>
      <c r="W437" s="2269"/>
      <c r="X437" s="2269"/>
      <c r="Y437" s="2269"/>
      <c r="Z437" s="2269"/>
      <c r="AA437" s="2269"/>
    </row>
    <row r="438" spans="1:27" ht="13.5" customHeight="1" x14ac:dyDescent="0.3">
      <c r="A438" s="2269"/>
      <c r="B438" s="2269"/>
      <c r="C438" s="2272"/>
      <c r="D438" s="2358"/>
      <c r="E438" s="2358"/>
      <c r="F438" s="2358"/>
      <c r="G438" s="2283"/>
      <c r="H438" s="2268"/>
      <c r="I438" s="2269"/>
      <c r="J438" s="2269"/>
      <c r="K438" s="2269"/>
      <c r="L438" s="2269"/>
      <c r="M438" s="2270"/>
      <c r="N438" s="2270"/>
      <c r="O438" s="2270"/>
      <c r="P438" s="2269"/>
      <c r="Q438" s="2269"/>
      <c r="R438" s="2269"/>
      <c r="S438" s="2269"/>
      <c r="T438" s="2269"/>
      <c r="U438" s="2269"/>
      <c r="V438" s="2269"/>
      <c r="W438" s="2269"/>
      <c r="X438" s="2269"/>
      <c r="Y438" s="2269"/>
      <c r="Z438" s="2269"/>
      <c r="AA438" s="2269"/>
    </row>
    <row r="439" spans="1:27" ht="13.5" customHeight="1" x14ac:dyDescent="0.3">
      <c r="A439" s="2269"/>
      <c r="B439" s="2269"/>
      <c r="C439" s="2272"/>
      <c r="D439" s="2358"/>
      <c r="E439" s="2358"/>
      <c r="F439" s="2358"/>
      <c r="G439" s="2283"/>
      <c r="H439" s="2268"/>
      <c r="I439" s="2269"/>
      <c r="J439" s="2269"/>
      <c r="K439" s="2269"/>
      <c r="L439" s="2269"/>
      <c r="M439" s="2270"/>
      <c r="N439" s="2270"/>
      <c r="O439" s="2270"/>
      <c r="P439" s="2269"/>
      <c r="Q439" s="2269"/>
      <c r="R439" s="2269"/>
      <c r="S439" s="2269"/>
      <c r="T439" s="2269"/>
      <c r="U439" s="2269"/>
      <c r="V439" s="2269"/>
      <c r="W439" s="2269"/>
      <c r="X439" s="2269"/>
      <c r="Y439" s="2269"/>
      <c r="Z439" s="2269"/>
      <c r="AA439" s="2269"/>
    </row>
    <row r="440" spans="1:27" ht="13.5" customHeight="1" x14ac:dyDescent="0.3">
      <c r="A440" s="2269"/>
      <c r="B440" s="2269"/>
      <c r="C440" s="2272"/>
      <c r="D440" s="2358"/>
      <c r="E440" s="2358"/>
      <c r="F440" s="2358"/>
      <c r="G440" s="2283"/>
      <c r="H440" s="2268"/>
      <c r="I440" s="2269"/>
      <c r="J440" s="2269"/>
      <c r="K440" s="2269"/>
      <c r="L440" s="2269"/>
      <c r="M440" s="2270"/>
      <c r="N440" s="2270"/>
      <c r="O440" s="2270"/>
      <c r="P440" s="2269"/>
      <c r="Q440" s="2269"/>
      <c r="R440" s="2269"/>
      <c r="S440" s="2269"/>
      <c r="T440" s="2269"/>
      <c r="U440" s="2269"/>
      <c r="V440" s="2269"/>
      <c r="W440" s="2269"/>
      <c r="X440" s="2269"/>
      <c r="Y440" s="2269"/>
      <c r="Z440" s="2269"/>
      <c r="AA440" s="2269"/>
    </row>
    <row r="441" spans="1:27" ht="13.5" customHeight="1" x14ac:dyDescent="0.3">
      <c r="A441" s="2269"/>
      <c r="B441" s="2269"/>
      <c r="C441" s="2272"/>
      <c r="D441" s="2358"/>
      <c r="E441" s="2358"/>
      <c r="F441" s="2358"/>
      <c r="G441" s="2283"/>
      <c r="H441" s="2268"/>
      <c r="I441" s="2269"/>
      <c r="J441" s="2269"/>
      <c r="K441" s="2269"/>
      <c r="L441" s="2269"/>
      <c r="M441" s="2270"/>
      <c r="N441" s="2270"/>
      <c r="O441" s="2270"/>
      <c r="P441" s="2269"/>
      <c r="Q441" s="2269"/>
      <c r="R441" s="2269"/>
      <c r="S441" s="2269"/>
      <c r="T441" s="2269"/>
      <c r="U441" s="2269"/>
      <c r="V441" s="2269"/>
      <c r="W441" s="2269"/>
      <c r="X441" s="2269"/>
      <c r="Y441" s="2269"/>
      <c r="Z441" s="2269"/>
      <c r="AA441" s="2269"/>
    </row>
    <row r="442" spans="1:27" ht="13.5" customHeight="1" x14ac:dyDescent="0.3">
      <c r="A442" s="2269"/>
      <c r="B442" s="2269"/>
      <c r="C442" s="2272"/>
      <c r="D442" s="2358"/>
      <c r="E442" s="2358"/>
      <c r="F442" s="2358"/>
      <c r="G442" s="2283"/>
      <c r="H442" s="2268"/>
      <c r="I442" s="2269"/>
      <c r="J442" s="2269"/>
      <c r="K442" s="2269"/>
      <c r="L442" s="2269"/>
      <c r="M442" s="2270"/>
      <c r="N442" s="2270"/>
      <c r="O442" s="2270"/>
      <c r="P442" s="2269"/>
      <c r="Q442" s="2269"/>
      <c r="R442" s="2269"/>
      <c r="S442" s="2269"/>
      <c r="T442" s="2269"/>
      <c r="U442" s="2269"/>
      <c r="V442" s="2269"/>
      <c r="W442" s="2269"/>
      <c r="X442" s="2269"/>
      <c r="Y442" s="2269"/>
      <c r="Z442" s="2269"/>
      <c r="AA442" s="2269"/>
    </row>
    <row r="443" spans="1:27" ht="13.5" customHeight="1" x14ac:dyDescent="0.3">
      <c r="A443" s="2269"/>
      <c r="B443" s="2269"/>
      <c r="C443" s="2272"/>
      <c r="D443" s="2358"/>
      <c r="E443" s="2358"/>
      <c r="F443" s="2358"/>
      <c r="G443" s="2283"/>
      <c r="H443" s="2268"/>
      <c r="I443" s="2269"/>
      <c r="J443" s="2269"/>
      <c r="K443" s="2269"/>
      <c r="L443" s="2269"/>
      <c r="M443" s="2270"/>
      <c r="N443" s="2270"/>
      <c r="O443" s="2270"/>
      <c r="P443" s="2269"/>
      <c r="Q443" s="2269"/>
      <c r="R443" s="2269"/>
      <c r="S443" s="2269"/>
      <c r="T443" s="2269"/>
      <c r="U443" s="2269"/>
      <c r="V443" s="2269"/>
      <c r="W443" s="2269"/>
      <c r="X443" s="2269"/>
      <c r="Y443" s="2269"/>
      <c r="Z443" s="2269"/>
      <c r="AA443" s="2269"/>
    </row>
    <row r="444" spans="1:27" ht="13.5" customHeight="1" x14ac:dyDescent="0.3">
      <c r="A444" s="2269"/>
      <c r="B444" s="2269"/>
      <c r="C444" s="2272"/>
      <c r="D444" s="2358"/>
      <c r="E444" s="2358"/>
      <c r="F444" s="2358"/>
      <c r="G444" s="2283"/>
      <c r="H444" s="2268"/>
      <c r="I444" s="2269"/>
      <c r="J444" s="2269"/>
      <c r="K444" s="2269"/>
      <c r="L444" s="2269"/>
      <c r="M444" s="2270"/>
      <c r="N444" s="2270"/>
      <c r="O444" s="2270"/>
      <c r="P444" s="2269"/>
      <c r="Q444" s="2269"/>
      <c r="R444" s="2269"/>
      <c r="S444" s="2269"/>
      <c r="T444" s="2269"/>
      <c r="U444" s="2269"/>
      <c r="V444" s="2269"/>
      <c r="W444" s="2269"/>
      <c r="X444" s="2269"/>
      <c r="Y444" s="2269"/>
      <c r="Z444" s="2269"/>
      <c r="AA444" s="2269"/>
    </row>
    <row r="445" spans="1:27" ht="13.5" customHeight="1" x14ac:dyDescent="0.3">
      <c r="A445" s="2269"/>
      <c r="B445" s="2269"/>
      <c r="C445" s="2272"/>
      <c r="D445" s="2358"/>
      <c r="E445" s="2358"/>
      <c r="F445" s="2358"/>
      <c r="G445" s="2283"/>
      <c r="H445" s="2268"/>
      <c r="I445" s="2269"/>
      <c r="J445" s="2269"/>
      <c r="K445" s="2269"/>
      <c r="L445" s="2269"/>
      <c r="M445" s="2270"/>
      <c r="N445" s="2270"/>
      <c r="O445" s="2270"/>
      <c r="P445" s="2269"/>
      <c r="Q445" s="2269"/>
      <c r="R445" s="2269"/>
      <c r="S445" s="2269"/>
      <c r="T445" s="2269"/>
      <c r="U445" s="2269"/>
      <c r="V445" s="2269"/>
      <c r="W445" s="2269"/>
      <c r="X445" s="2269"/>
      <c r="Y445" s="2269"/>
      <c r="Z445" s="2269"/>
      <c r="AA445" s="2269"/>
    </row>
    <row r="446" spans="1:27" ht="13.5" customHeight="1" x14ac:dyDescent="0.3">
      <c r="A446" s="2269"/>
      <c r="B446" s="2269"/>
      <c r="C446" s="2272"/>
      <c r="D446" s="2358"/>
      <c r="E446" s="2358"/>
      <c r="F446" s="2358"/>
      <c r="G446" s="2283"/>
      <c r="H446" s="2268"/>
      <c r="I446" s="2269"/>
      <c r="J446" s="2269"/>
      <c r="K446" s="2269"/>
      <c r="L446" s="2269"/>
      <c r="M446" s="2270"/>
      <c r="N446" s="2270"/>
      <c r="O446" s="2270"/>
      <c r="P446" s="2269"/>
      <c r="Q446" s="2269"/>
      <c r="R446" s="2269"/>
      <c r="S446" s="2269"/>
      <c r="T446" s="2269"/>
      <c r="U446" s="2269"/>
      <c r="V446" s="2269"/>
      <c r="W446" s="2269"/>
      <c r="X446" s="2269"/>
      <c r="Y446" s="2269"/>
      <c r="Z446" s="2269"/>
      <c r="AA446" s="2269"/>
    </row>
    <row r="447" spans="1:27" ht="13.5" customHeight="1" x14ac:dyDescent="0.3">
      <c r="A447" s="2269"/>
      <c r="B447" s="2269"/>
      <c r="C447" s="2272"/>
      <c r="D447" s="2358"/>
      <c r="E447" s="2358"/>
      <c r="F447" s="2358"/>
      <c r="G447" s="2283"/>
      <c r="H447" s="2268"/>
      <c r="I447" s="2269"/>
      <c r="J447" s="2269"/>
      <c r="K447" s="2269"/>
      <c r="L447" s="2269"/>
      <c r="M447" s="2270"/>
      <c r="N447" s="2270"/>
      <c r="O447" s="2270"/>
      <c r="P447" s="2269"/>
      <c r="Q447" s="2269"/>
      <c r="R447" s="2269"/>
      <c r="S447" s="2269"/>
      <c r="T447" s="2269"/>
      <c r="U447" s="2269"/>
      <c r="V447" s="2269"/>
      <c r="W447" s="2269"/>
      <c r="X447" s="2269"/>
      <c r="Y447" s="2269"/>
      <c r="Z447" s="2269"/>
      <c r="AA447" s="2269"/>
    </row>
    <row r="448" spans="1:27" ht="13.5" customHeight="1" x14ac:dyDescent="0.3">
      <c r="A448" s="2269"/>
      <c r="B448" s="2269"/>
      <c r="C448" s="2272"/>
      <c r="D448" s="2358"/>
      <c r="E448" s="2358"/>
      <c r="F448" s="2358"/>
      <c r="G448" s="2283"/>
      <c r="H448" s="2268"/>
      <c r="I448" s="2269"/>
      <c r="J448" s="2269"/>
      <c r="K448" s="2269"/>
      <c r="L448" s="2269"/>
      <c r="M448" s="2270"/>
      <c r="N448" s="2270"/>
      <c r="O448" s="2270"/>
      <c r="P448" s="2269"/>
      <c r="Q448" s="2269"/>
      <c r="R448" s="2269"/>
      <c r="S448" s="2269"/>
      <c r="T448" s="2269"/>
      <c r="U448" s="2269"/>
      <c r="V448" s="2269"/>
      <c r="W448" s="2269"/>
      <c r="X448" s="2269"/>
      <c r="Y448" s="2269"/>
      <c r="Z448" s="2269"/>
      <c r="AA448" s="2269"/>
    </row>
    <row r="449" spans="1:27" ht="13.5" customHeight="1" x14ac:dyDescent="0.3">
      <c r="A449" s="2269"/>
      <c r="B449" s="2269"/>
      <c r="C449" s="2272"/>
      <c r="D449" s="2358"/>
      <c r="E449" s="2358"/>
      <c r="F449" s="2358"/>
      <c r="G449" s="2283"/>
      <c r="H449" s="2268"/>
      <c r="I449" s="2269"/>
      <c r="J449" s="2269"/>
      <c r="K449" s="2269"/>
      <c r="L449" s="2269"/>
      <c r="M449" s="2270"/>
      <c r="N449" s="2270"/>
      <c r="O449" s="2270"/>
      <c r="P449" s="2269"/>
      <c r="Q449" s="2269"/>
      <c r="R449" s="2269"/>
      <c r="S449" s="2269"/>
      <c r="T449" s="2269"/>
      <c r="U449" s="2269"/>
      <c r="V449" s="2269"/>
      <c r="W449" s="2269"/>
      <c r="X449" s="2269"/>
      <c r="Y449" s="2269"/>
      <c r="Z449" s="2269"/>
      <c r="AA449" s="2269"/>
    </row>
    <row r="450" spans="1:27" ht="13.5" customHeight="1" x14ac:dyDescent="0.3">
      <c r="A450" s="2269"/>
      <c r="B450" s="2269"/>
      <c r="C450" s="2272"/>
      <c r="D450" s="2358"/>
      <c r="E450" s="2358"/>
      <c r="F450" s="2358"/>
      <c r="G450" s="2283"/>
      <c r="H450" s="2268"/>
      <c r="I450" s="2269"/>
      <c r="J450" s="2269"/>
      <c r="K450" s="2269"/>
      <c r="L450" s="2269"/>
      <c r="M450" s="2270"/>
      <c r="N450" s="2270"/>
      <c r="O450" s="2270"/>
      <c r="P450" s="2269"/>
      <c r="Q450" s="2269"/>
      <c r="R450" s="2269"/>
      <c r="S450" s="2269"/>
      <c r="T450" s="2269"/>
      <c r="U450" s="2269"/>
      <c r="V450" s="2269"/>
      <c r="W450" s="2269"/>
      <c r="X450" s="2269"/>
      <c r="Y450" s="2269"/>
      <c r="Z450" s="2269"/>
      <c r="AA450" s="2269"/>
    </row>
    <row r="451" spans="1:27" ht="13.5" customHeight="1" x14ac:dyDescent="0.3">
      <c r="A451" s="2269"/>
      <c r="B451" s="2269"/>
      <c r="C451" s="2272"/>
      <c r="D451" s="2358"/>
      <c r="E451" s="2358"/>
      <c r="F451" s="2358"/>
      <c r="G451" s="2283"/>
      <c r="H451" s="2268"/>
      <c r="I451" s="2269"/>
      <c r="J451" s="2269"/>
      <c r="K451" s="2269"/>
      <c r="L451" s="2269"/>
      <c r="M451" s="2270"/>
      <c r="N451" s="2270"/>
      <c r="O451" s="2270"/>
      <c r="P451" s="2269"/>
      <c r="Q451" s="2269"/>
      <c r="R451" s="2269"/>
      <c r="S451" s="2269"/>
      <c r="T451" s="2269"/>
      <c r="U451" s="2269"/>
      <c r="V451" s="2269"/>
      <c r="W451" s="2269"/>
      <c r="X451" s="2269"/>
      <c r="Y451" s="2269"/>
      <c r="Z451" s="2269"/>
      <c r="AA451" s="2269"/>
    </row>
    <row r="452" spans="1:27" ht="13.5" customHeight="1" x14ac:dyDescent="0.3">
      <c r="A452" s="2269"/>
      <c r="B452" s="2269"/>
      <c r="C452" s="2272"/>
      <c r="D452" s="2358"/>
      <c r="E452" s="2358"/>
      <c r="F452" s="2358"/>
      <c r="G452" s="2283"/>
      <c r="H452" s="2268"/>
      <c r="I452" s="2269"/>
      <c r="J452" s="2269"/>
      <c r="K452" s="2269"/>
      <c r="L452" s="2269"/>
      <c r="M452" s="2270"/>
      <c r="N452" s="2270"/>
      <c r="O452" s="2270"/>
      <c r="P452" s="2269"/>
      <c r="Q452" s="2269"/>
      <c r="R452" s="2269"/>
      <c r="S452" s="2269"/>
      <c r="T452" s="2269"/>
      <c r="U452" s="2269"/>
      <c r="V452" s="2269"/>
      <c r="W452" s="2269"/>
      <c r="X452" s="2269"/>
      <c r="Y452" s="2269"/>
      <c r="Z452" s="2269"/>
      <c r="AA452" s="2269"/>
    </row>
    <row r="453" spans="1:27" ht="13.5" customHeight="1" x14ac:dyDescent="0.3">
      <c r="A453" s="2269"/>
      <c r="B453" s="2269"/>
      <c r="C453" s="2272"/>
      <c r="D453" s="2358"/>
      <c r="E453" s="2358"/>
      <c r="F453" s="2358"/>
      <c r="G453" s="2283"/>
      <c r="H453" s="2268"/>
      <c r="I453" s="2269"/>
      <c r="J453" s="2269"/>
      <c r="K453" s="2269"/>
      <c r="L453" s="2269"/>
      <c r="M453" s="2270"/>
      <c r="N453" s="2270"/>
      <c r="O453" s="2270"/>
      <c r="P453" s="2269"/>
      <c r="Q453" s="2269"/>
      <c r="R453" s="2269"/>
      <c r="S453" s="2269"/>
      <c r="T453" s="2269"/>
      <c r="U453" s="2269"/>
      <c r="V453" s="2269"/>
      <c r="W453" s="2269"/>
      <c r="X453" s="2269"/>
      <c r="Y453" s="2269"/>
      <c r="Z453" s="2269"/>
      <c r="AA453" s="2269"/>
    </row>
    <row r="454" spans="1:27" ht="13.5" customHeight="1" x14ac:dyDescent="0.3">
      <c r="A454" s="2269"/>
      <c r="B454" s="2269"/>
      <c r="C454" s="2272"/>
      <c r="D454" s="2358"/>
      <c r="E454" s="2358"/>
      <c r="F454" s="2358"/>
      <c r="G454" s="2283"/>
      <c r="H454" s="2268"/>
      <c r="I454" s="2269"/>
      <c r="J454" s="2269"/>
      <c r="K454" s="2269"/>
      <c r="L454" s="2269"/>
      <c r="M454" s="2270"/>
      <c r="N454" s="2270"/>
      <c r="O454" s="2270"/>
      <c r="P454" s="2269"/>
      <c r="Q454" s="2269"/>
      <c r="R454" s="2269"/>
      <c r="S454" s="2269"/>
      <c r="T454" s="2269"/>
      <c r="U454" s="2269"/>
      <c r="V454" s="2269"/>
      <c r="W454" s="2269"/>
      <c r="X454" s="2269"/>
      <c r="Y454" s="2269"/>
      <c r="Z454" s="2269"/>
      <c r="AA454" s="2269"/>
    </row>
    <row r="455" spans="1:27" ht="13.5" customHeight="1" x14ac:dyDescent="0.3">
      <c r="A455" s="2269"/>
      <c r="B455" s="2269"/>
      <c r="C455" s="2272"/>
      <c r="D455" s="2358"/>
      <c r="E455" s="2358"/>
      <c r="F455" s="2358"/>
      <c r="G455" s="2283"/>
      <c r="H455" s="2268"/>
      <c r="I455" s="2269"/>
      <c r="J455" s="2269"/>
      <c r="K455" s="2269"/>
      <c r="L455" s="2269"/>
      <c r="M455" s="2270"/>
      <c r="N455" s="2270"/>
      <c r="O455" s="2270"/>
      <c r="P455" s="2269"/>
      <c r="Q455" s="2269"/>
      <c r="R455" s="2269"/>
      <c r="S455" s="2269"/>
      <c r="T455" s="2269"/>
      <c r="U455" s="2269"/>
      <c r="V455" s="2269"/>
      <c r="W455" s="2269"/>
      <c r="X455" s="2269"/>
      <c r="Y455" s="2269"/>
      <c r="Z455" s="2269"/>
      <c r="AA455" s="2269"/>
    </row>
    <row r="456" spans="1:27" ht="13.5" customHeight="1" x14ac:dyDescent="0.3">
      <c r="A456" s="2269"/>
      <c r="B456" s="2269"/>
      <c r="C456" s="2272"/>
      <c r="D456" s="2358"/>
      <c r="E456" s="2358"/>
      <c r="F456" s="2358"/>
      <c r="G456" s="2283"/>
      <c r="H456" s="2268"/>
      <c r="I456" s="2269"/>
      <c r="J456" s="2269"/>
      <c r="K456" s="2269"/>
      <c r="L456" s="2269"/>
      <c r="M456" s="2270"/>
      <c r="N456" s="2270"/>
      <c r="O456" s="2270"/>
      <c r="P456" s="2269"/>
      <c r="Q456" s="2269"/>
      <c r="R456" s="2269"/>
      <c r="S456" s="2269"/>
      <c r="T456" s="2269"/>
      <c r="U456" s="2269"/>
      <c r="V456" s="2269"/>
      <c r="W456" s="2269"/>
      <c r="X456" s="2269"/>
      <c r="Y456" s="2269"/>
      <c r="Z456" s="2269"/>
      <c r="AA456" s="2269"/>
    </row>
    <row r="457" spans="1:27" ht="13.5" customHeight="1" x14ac:dyDescent="0.3">
      <c r="A457" s="2269"/>
      <c r="B457" s="2269"/>
      <c r="C457" s="2272"/>
      <c r="D457" s="2358"/>
      <c r="E457" s="2358"/>
      <c r="F457" s="2358"/>
      <c r="G457" s="2283"/>
      <c r="H457" s="2268"/>
      <c r="I457" s="2269"/>
      <c r="J457" s="2269"/>
      <c r="K457" s="2269"/>
      <c r="L457" s="2269"/>
      <c r="M457" s="2270"/>
      <c r="N457" s="2270"/>
      <c r="O457" s="2270"/>
      <c r="P457" s="2269"/>
      <c r="Q457" s="2269"/>
      <c r="R457" s="2269"/>
      <c r="S457" s="2269"/>
      <c r="T457" s="2269"/>
      <c r="U457" s="2269"/>
      <c r="V457" s="2269"/>
      <c r="W457" s="2269"/>
      <c r="X457" s="2269"/>
      <c r="Y457" s="2269"/>
      <c r="Z457" s="2269"/>
      <c r="AA457" s="2269"/>
    </row>
    <row r="458" spans="1:27" ht="13.5" customHeight="1" x14ac:dyDescent="0.3">
      <c r="A458" s="2269"/>
      <c r="B458" s="2269"/>
      <c r="C458" s="2272"/>
      <c r="D458" s="2358"/>
      <c r="E458" s="2358"/>
      <c r="F458" s="2358"/>
      <c r="G458" s="2283"/>
      <c r="H458" s="2268"/>
      <c r="I458" s="2269"/>
      <c r="J458" s="2269"/>
      <c r="K458" s="2269"/>
      <c r="L458" s="2269"/>
      <c r="M458" s="2270"/>
      <c r="N458" s="2270"/>
      <c r="O458" s="2270"/>
      <c r="P458" s="2269"/>
      <c r="Q458" s="2269"/>
      <c r="R458" s="2269"/>
      <c r="S458" s="2269"/>
      <c r="T458" s="2269"/>
      <c r="U458" s="2269"/>
      <c r="V458" s="2269"/>
      <c r="W458" s="2269"/>
      <c r="X458" s="2269"/>
      <c r="Y458" s="2269"/>
      <c r="Z458" s="2269"/>
      <c r="AA458" s="2269"/>
    </row>
    <row r="459" spans="1:27" ht="13.5" customHeight="1" x14ac:dyDescent="0.3">
      <c r="A459" s="2269"/>
      <c r="B459" s="2269"/>
      <c r="C459" s="2272"/>
      <c r="D459" s="2358"/>
      <c r="E459" s="2358"/>
      <c r="F459" s="2358"/>
      <c r="G459" s="2283"/>
      <c r="H459" s="2268"/>
      <c r="I459" s="2269"/>
      <c r="J459" s="2269"/>
      <c r="K459" s="2269"/>
      <c r="L459" s="2269"/>
      <c r="M459" s="2270"/>
      <c r="N459" s="2270"/>
      <c r="O459" s="2270"/>
      <c r="P459" s="2269"/>
      <c r="Q459" s="2269"/>
      <c r="R459" s="2269"/>
      <c r="S459" s="2269"/>
      <c r="T459" s="2269"/>
      <c r="U459" s="2269"/>
      <c r="V459" s="2269"/>
      <c r="W459" s="2269"/>
      <c r="X459" s="2269"/>
      <c r="Y459" s="2269"/>
      <c r="Z459" s="2269"/>
      <c r="AA459" s="2269"/>
    </row>
    <row r="460" spans="1:27" ht="13.5" customHeight="1" x14ac:dyDescent="0.3">
      <c r="A460" s="2269"/>
      <c r="B460" s="2269"/>
      <c r="C460" s="2272"/>
      <c r="D460" s="2358"/>
      <c r="E460" s="2358"/>
      <c r="F460" s="2358"/>
      <c r="G460" s="2283"/>
      <c r="H460" s="2268"/>
      <c r="I460" s="2269"/>
      <c r="J460" s="2269"/>
      <c r="K460" s="2269"/>
      <c r="L460" s="2269"/>
      <c r="M460" s="2270"/>
      <c r="N460" s="2270"/>
      <c r="O460" s="2270"/>
      <c r="P460" s="2269"/>
      <c r="Q460" s="2269"/>
      <c r="R460" s="2269"/>
      <c r="S460" s="2269"/>
      <c r="T460" s="2269"/>
      <c r="U460" s="2269"/>
      <c r="V460" s="2269"/>
      <c r="W460" s="2269"/>
      <c r="X460" s="2269"/>
      <c r="Y460" s="2269"/>
      <c r="Z460" s="2269"/>
      <c r="AA460" s="2269"/>
    </row>
    <row r="461" spans="1:27" ht="13.5" customHeight="1" x14ac:dyDescent="0.3">
      <c r="A461" s="2269"/>
      <c r="B461" s="2269"/>
      <c r="C461" s="2272"/>
      <c r="D461" s="2358"/>
      <c r="E461" s="2358"/>
      <c r="F461" s="2358"/>
      <c r="G461" s="2283"/>
      <c r="H461" s="2268"/>
      <c r="I461" s="2269"/>
      <c r="J461" s="2269"/>
      <c r="K461" s="2269"/>
      <c r="L461" s="2269"/>
      <c r="M461" s="2270"/>
      <c r="N461" s="2270"/>
      <c r="O461" s="2270"/>
      <c r="P461" s="2269"/>
      <c r="Q461" s="2269"/>
      <c r="R461" s="2269"/>
      <c r="S461" s="2269"/>
      <c r="T461" s="2269"/>
      <c r="U461" s="2269"/>
      <c r="V461" s="2269"/>
      <c r="W461" s="2269"/>
      <c r="X461" s="2269"/>
      <c r="Y461" s="2269"/>
      <c r="Z461" s="2269"/>
      <c r="AA461" s="2269"/>
    </row>
    <row r="462" spans="1:27" ht="13.5" customHeight="1" x14ac:dyDescent="0.3">
      <c r="A462" s="2269"/>
      <c r="B462" s="2269"/>
      <c r="C462" s="2272"/>
      <c r="D462" s="2358"/>
      <c r="E462" s="2358"/>
      <c r="F462" s="2358"/>
      <c r="G462" s="2283"/>
      <c r="H462" s="2268"/>
      <c r="I462" s="2269"/>
      <c r="J462" s="2269"/>
      <c r="K462" s="2269"/>
      <c r="L462" s="2269"/>
      <c r="M462" s="2270"/>
      <c r="N462" s="2270"/>
      <c r="O462" s="2270"/>
      <c r="P462" s="2269"/>
      <c r="Q462" s="2269"/>
      <c r="R462" s="2269"/>
      <c r="S462" s="2269"/>
      <c r="T462" s="2269"/>
      <c r="U462" s="2269"/>
      <c r="V462" s="2269"/>
      <c r="W462" s="2269"/>
      <c r="X462" s="2269"/>
      <c r="Y462" s="2269"/>
      <c r="Z462" s="2269"/>
      <c r="AA462" s="2269"/>
    </row>
    <row r="463" spans="1:27" ht="13.5" customHeight="1" x14ac:dyDescent="0.3">
      <c r="A463" s="2269"/>
      <c r="B463" s="2269"/>
      <c r="C463" s="2272"/>
      <c r="D463" s="2358"/>
      <c r="E463" s="2358"/>
      <c r="F463" s="2358"/>
      <c r="G463" s="2283"/>
      <c r="H463" s="2268"/>
      <c r="I463" s="2269"/>
      <c r="J463" s="2269"/>
      <c r="K463" s="2269"/>
      <c r="L463" s="2269"/>
      <c r="M463" s="2270"/>
      <c r="N463" s="2270"/>
      <c r="O463" s="2270"/>
      <c r="P463" s="2269"/>
      <c r="Q463" s="2269"/>
      <c r="R463" s="2269"/>
      <c r="S463" s="2269"/>
      <c r="T463" s="2269"/>
      <c r="U463" s="2269"/>
      <c r="V463" s="2269"/>
      <c r="W463" s="2269"/>
      <c r="X463" s="2269"/>
      <c r="Y463" s="2269"/>
      <c r="Z463" s="2269"/>
      <c r="AA463" s="2269"/>
    </row>
    <row r="464" spans="1:27" ht="13.5" customHeight="1" x14ac:dyDescent="0.3">
      <c r="A464" s="2269"/>
      <c r="B464" s="2269"/>
      <c r="C464" s="2272"/>
      <c r="D464" s="2358"/>
      <c r="E464" s="2358"/>
      <c r="F464" s="2358"/>
      <c r="G464" s="2283"/>
      <c r="H464" s="2268"/>
      <c r="I464" s="2269"/>
      <c r="J464" s="2269"/>
      <c r="K464" s="2269"/>
      <c r="L464" s="2269"/>
      <c r="M464" s="2270"/>
      <c r="N464" s="2270"/>
      <c r="O464" s="2270"/>
      <c r="P464" s="2269"/>
      <c r="Q464" s="2269"/>
      <c r="R464" s="2269"/>
      <c r="S464" s="2269"/>
      <c r="T464" s="2269"/>
      <c r="U464" s="2269"/>
      <c r="V464" s="2269"/>
      <c r="W464" s="2269"/>
      <c r="X464" s="2269"/>
      <c r="Y464" s="2269"/>
      <c r="Z464" s="2269"/>
      <c r="AA464" s="2269"/>
    </row>
    <row r="465" spans="1:27" ht="13.5" customHeight="1" x14ac:dyDescent="0.3">
      <c r="A465" s="2269"/>
      <c r="B465" s="2269"/>
      <c r="C465" s="2272"/>
      <c r="D465" s="2358"/>
      <c r="E465" s="2358"/>
      <c r="F465" s="2358"/>
      <c r="G465" s="2283"/>
      <c r="H465" s="2268"/>
      <c r="I465" s="2269"/>
      <c r="J465" s="2269"/>
      <c r="K465" s="2269"/>
      <c r="L465" s="2269"/>
      <c r="M465" s="2270"/>
      <c r="N465" s="2270"/>
      <c r="O465" s="2270"/>
      <c r="P465" s="2269"/>
      <c r="Q465" s="2269"/>
      <c r="R465" s="2269"/>
      <c r="S465" s="2269"/>
      <c r="T465" s="2269"/>
      <c r="U465" s="2269"/>
      <c r="V465" s="2269"/>
      <c r="W465" s="2269"/>
      <c r="X465" s="2269"/>
      <c r="Y465" s="2269"/>
      <c r="Z465" s="2269"/>
      <c r="AA465" s="2269"/>
    </row>
    <row r="466" spans="1:27" ht="13.5" customHeight="1" x14ac:dyDescent="0.3">
      <c r="A466" s="2269"/>
      <c r="B466" s="2269"/>
      <c r="C466" s="2272"/>
      <c r="D466" s="2358"/>
      <c r="E466" s="2358"/>
      <c r="F466" s="2358"/>
      <c r="G466" s="2283"/>
      <c r="H466" s="2268"/>
      <c r="I466" s="2269"/>
      <c r="J466" s="2269"/>
      <c r="K466" s="2269"/>
      <c r="L466" s="2269"/>
      <c r="M466" s="2270"/>
      <c r="N466" s="2270"/>
      <c r="O466" s="2270"/>
      <c r="P466" s="2269"/>
      <c r="Q466" s="2269"/>
      <c r="R466" s="2269"/>
      <c r="S466" s="2269"/>
      <c r="T466" s="2269"/>
      <c r="U466" s="2269"/>
      <c r="V466" s="2269"/>
      <c r="W466" s="2269"/>
      <c r="X466" s="2269"/>
      <c r="Y466" s="2269"/>
      <c r="Z466" s="2269"/>
      <c r="AA466" s="2269"/>
    </row>
    <row r="467" spans="1:27" ht="13.5" customHeight="1" x14ac:dyDescent="0.3">
      <c r="A467" s="2269"/>
      <c r="B467" s="2269"/>
      <c r="C467" s="2272"/>
      <c r="D467" s="2358"/>
      <c r="E467" s="2358"/>
      <c r="F467" s="2358"/>
      <c r="G467" s="2283"/>
      <c r="H467" s="2268"/>
      <c r="I467" s="2269"/>
      <c r="J467" s="2269"/>
      <c r="K467" s="2269"/>
      <c r="L467" s="2269"/>
      <c r="M467" s="2270"/>
      <c r="N467" s="2270"/>
      <c r="O467" s="2270"/>
      <c r="P467" s="2269"/>
      <c r="Q467" s="2269"/>
      <c r="R467" s="2269"/>
      <c r="S467" s="2269"/>
      <c r="T467" s="2269"/>
      <c r="U467" s="2269"/>
      <c r="V467" s="2269"/>
      <c r="W467" s="2269"/>
      <c r="X467" s="2269"/>
      <c r="Y467" s="2269"/>
      <c r="Z467" s="2269"/>
      <c r="AA467" s="2269"/>
    </row>
    <row r="468" spans="1:27" ht="13.5" customHeight="1" x14ac:dyDescent="0.3">
      <c r="A468" s="2269"/>
      <c r="B468" s="2269"/>
      <c r="C468" s="2272"/>
      <c r="D468" s="2358"/>
      <c r="E468" s="2358"/>
      <c r="F468" s="2358"/>
      <c r="G468" s="2283"/>
      <c r="H468" s="2268"/>
      <c r="I468" s="2269"/>
      <c r="J468" s="2269"/>
      <c r="K468" s="2269"/>
      <c r="L468" s="2269"/>
      <c r="M468" s="2270"/>
      <c r="N468" s="2270"/>
      <c r="O468" s="2270"/>
      <c r="P468" s="2269"/>
      <c r="Q468" s="2269"/>
      <c r="R468" s="2269"/>
      <c r="S468" s="2269"/>
      <c r="T468" s="2269"/>
      <c r="U468" s="2269"/>
      <c r="V468" s="2269"/>
      <c r="W468" s="2269"/>
      <c r="X468" s="2269"/>
      <c r="Y468" s="2269"/>
      <c r="Z468" s="2269"/>
      <c r="AA468" s="2269"/>
    </row>
    <row r="469" spans="1:27" ht="13.5" customHeight="1" x14ac:dyDescent="0.3">
      <c r="A469" s="2269"/>
      <c r="B469" s="2269"/>
      <c r="C469" s="2272"/>
      <c r="D469" s="2358"/>
      <c r="E469" s="2358"/>
      <c r="F469" s="2358"/>
      <c r="G469" s="2283"/>
      <c r="H469" s="2268"/>
      <c r="I469" s="2269"/>
      <c r="J469" s="2269"/>
      <c r="K469" s="2269"/>
      <c r="L469" s="2269"/>
      <c r="M469" s="2270"/>
      <c r="N469" s="2270"/>
      <c r="O469" s="2270"/>
      <c r="P469" s="2269"/>
      <c r="Q469" s="2269"/>
      <c r="R469" s="2269"/>
      <c r="S469" s="2269"/>
      <c r="T469" s="2269"/>
      <c r="U469" s="2269"/>
      <c r="V469" s="2269"/>
      <c r="W469" s="2269"/>
      <c r="X469" s="2269"/>
      <c r="Y469" s="2269"/>
      <c r="Z469" s="2269"/>
      <c r="AA469" s="2269"/>
    </row>
    <row r="470" spans="1:27" ht="13.5" customHeight="1" x14ac:dyDescent="0.3">
      <c r="A470" s="2269"/>
      <c r="B470" s="2269"/>
      <c r="C470" s="2272"/>
      <c r="D470" s="2358"/>
      <c r="E470" s="2358"/>
      <c r="F470" s="2358"/>
      <c r="G470" s="2283"/>
      <c r="H470" s="2268"/>
      <c r="I470" s="2269"/>
      <c r="J470" s="2269"/>
      <c r="K470" s="2269"/>
      <c r="L470" s="2269"/>
      <c r="M470" s="2270"/>
      <c r="N470" s="2270"/>
      <c r="O470" s="2270"/>
      <c r="P470" s="2269"/>
      <c r="Q470" s="2269"/>
      <c r="R470" s="2269"/>
      <c r="S470" s="2269"/>
      <c r="T470" s="2269"/>
      <c r="U470" s="2269"/>
      <c r="V470" s="2269"/>
      <c r="W470" s="2269"/>
      <c r="X470" s="2269"/>
      <c r="Y470" s="2269"/>
      <c r="Z470" s="2269"/>
      <c r="AA470" s="2269"/>
    </row>
    <row r="471" spans="1:27" ht="13.5" customHeight="1" x14ac:dyDescent="0.3">
      <c r="A471" s="2269"/>
      <c r="B471" s="2269"/>
      <c r="C471" s="2272"/>
      <c r="D471" s="2358"/>
      <c r="E471" s="2358"/>
      <c r="F471" s="2358"/>
      <c r="G471" s="2283"/>
      <c r="H471" s="2268"/>
      <c r="I471" s="2269"/>
      <c r="J471" s="2269"/>
      <c r="K471" s="2269"/>
      <c r="L471" s="2269"/>
      <c r="M471" s="2270"/>
      <c r="N471" s="2270"/>
      <c r="O471" s="2270"/>
      <c r="P471" s="2269"/>
      <c r="Q471" s="2269"/>
      <c r="R471" s="2269"/>
      <c r="S471" s="2269"/>
      <c r="T471" s="2269"/>
      <c r="U471" s="2269"/>
      <c r="V471" s="2269"/>
      <c r="W471" s="2269"/>
      <c r="X471" s="2269"/>
      <c r="Y471" s="2269"/>
      <c r="Z471" s="2269"/>
      <c r="AA471" s="2269"/>
    </row>
    <row r="472" spans="1:27" ht="13.5" customHeight="1" x14ac:dyDescent="0.3">
      <c r="A472" s="2269"/>
      <c r="B472" s="2269"/>
      <c r="C472" s="2272"/>
      <c r="D472" s="2358"/>
      <c r="E472" s="2358"/>
      <c r="F472" s="2358"/>
      <c r="G472" s="2283"/>
      <c r="H472" s="2268"/>
      <c r="I472" s="2269"/>
      <c r="J472" s="2269"/>
      <c r="K472" s="2269"/>
      <c r="L472" s="2269"/>
      <c r="M472" s="2270"/>
      <c r="N472" s="2270"/>
      <c r="O472" s="2270"/>
      <c r="P472" s="2269"/>
      <c r="Q472" s="2269"/>
      <c r="R472" s="2269"/>
      <c r="S472" s="2269"/>
      <c r="T472" s="2269"/>
      <c r="U472" s="2269"/>
      <c r="V472" s="2269"/>
      <c r="W472" s="2269"/>
      <c r="X472" s="2269"/>
      <c r="Y472" s="2269"/>
      <c r="Z472" s="2269"/>
      <c r="AA472" s="2269"/>
    </row>
    <row r="473" spans="1:27" ht="13.5" customHeight="1" x14ac:dyDescent="0.3">
      <c r="A473" s="2269"/>
      <c r="B473" s="2269"/>
      <c r="C473" s="2272"/>
      <c r="D473" s="2358"/>
      <c r="E473" s="2358"/>
      <c r="F473" s="2358"/>
      <c r="G473" s="2283"/>
      <c r="H473" s="2268"/>
      <c r="I473" s="2269"/>
      <c r="J473" s="2269"/>
      <c r="K473" s="2269"/>
      <c r="L473" s="2269"/>
      <c r="M473" s="2270"/>
      <c r="N473" s="2270"/>
      <c r="O473" s="2270"/>
      <c r="P473" s="2269"/>
      <c r="Q473" s="2269"/>
      <c r="R473" s="2269"/>
      <c r="S473" s="2269"/>
      <c r="T473" s="2269"/>
      <c r="U473" s="2269"/>
      <c r="V473" s="2269"/>
      <c r="W473" s="2269"/>
      <c r="X473" s="2269"/>
      <c r="Y473" s="2269"/>
      <c r="Z473" s="2269"/>
      <c r="AA473" s="2269"/>
    </row>
    <row r="474" spans="1:27" ht="13.5" customHeight="1" x14ac:dyDescent="0.3">
      <c r="A474" s="2269"/>
      <c r="B474" s="2269"/>
      <c r="C474" s="2272"/>
      <c r="D474" s="2358"/>
      <c r="E474" s="2358"/>
      <c r="F474" s="2358"/>
      <c r="G474" s="2283"/>
      <c r="H474" s="2268"/>
      <c r="I474" s="2269"/>
      <c r="J474" s="2269"/>
      <c r="K474" s="2269"/>
      <c r="L474" s="2269"/>
      <c r="M474" s="2270"/>
      <c r="N474" s="2270"/>
      <c r="O474" s="2270"/>
      <c r="P474" s="2269"/>
      <c r="Q474" s="2269"/>
      <c r="R474" s="2269"/>
      <c r="S474" s="2269"/>
      <c r="T474" s="2269"/>
      <c r="U474" s="2269"/>
      <c r="V474" s="2269"/>
      <c r="W474" s="2269"/>
      <c r="X474" s="2269"/>
      <c r="Y474" s="2269"/>
      <c r="Z474" s="2269"/>
      <c r="AA474" s="2269"/>
    </row>
    <row r="475" spans="1:27" ht="13.5" customHeight="1" x14ac:dyDescent="0.3">
      <c r="A475" s="2269"/>
      <c r="B475" s="2269"/>
      <c r="C475" s="2272"/>
      <c r="D475" s="2358"/>
      <c r="E475" s="2358"/>
      <c r="F475" s="2358"/>
      <c r="G475" s="2283"/>
      <c r="H475" s="2268"/>
      <c r="I475" s="2269"/>
      <c r="J475" s="2269"/>
      <c r="K475" s="2269"/>
      <c r="L475" s="2269"/>
      <c r="M475" s="2270"/>
      <c r="N475" s="2270"/>
      <c r="O475" s="2270"/>
      <c r="P475" s="2269"/>
      <c r="Q475" s="2269"/>
      <c r="R475" s="2269"/>
      <c r="S475" s="2269"/>
      <c r="T475" s="2269"/>
      <c r="U475" s="2269"/>
      <c r="V475" s="2269"/>
      <c r="W475" s="2269"/>
      <c r="X475" s="2269"/>
      <c r="Y475" s="2269"/>
      <c r="Z475" s="2269"/>
      <c r="AA475" s="2269"/>
    </row>
    <row r="476" spans="1:27" ht="13.5" customHeight="1" x14ac:dyDescent="0.3">
      <c r="A476" s="2269"/>
      <c r="B476" s="2269"/>
      <c r="C476" s="2272"/>
      <c r="D476" s="2358"/>
      <c r="E476" s="2358"/>
      <c r="F476" s="2358"/>
      <c r="G476" s="2283"/>
      <c r="H476" s="2268"/>
      <c r="I476" s="2269"/>
      <c r="J476" s="2269"/>
      <c r="K476" s="2269"/>
      <c r="L476" s="2269"/>
      <c r="M476" s="2270"/>
      <c r="N476" s="2270"/>
      <c r="O476" s="2270"/>
      <c r="P476" s="2269"/>
      <c r="Q476" s="2269"/>
      <c r="R476" s="2269"/>
      <c r="S476" s="2269"/>
      <c r="T476" s="2269"/>
      <c r="U476" s="2269"/>
      <c r="V476" s="2269"/>
      <c r="W476" s="2269"/>
      <c r="X476" s="2269"/>
      <c r="Y476" s="2269"/>
      <c r="Z476" s="2269"/>
      <c r="AA476" s="2269"/>
    </row>
    <row r="477" spans="1:27" ht="13.5" customHeight="1" x14ac:dyDescent="0.3">
      <c r="A477" s="2269"/>
      <c r="B477" s="2269"/>
      <c r="C477" s="2272"/>
      <c r="D477" s="2358"/>
      <c r="E477" s="2358"/>
      <c r="F477" s="2358"/>
      <c r="G477" s="2283"/>
      <c r="H477" s="2268"/>
      <c r="I477" s="2269"/>
      <c r="J477" s="2269"/>
      <c r="K477" s="2269"/>
      <c r="L477" s="2269"/>
      <c r="M477" s="2270"/>
      <c r="N477" s="2270"/>
      <c r="O477" s="2270"/>
      <c r="P477" s="2269"/>
      <c r="Q477" s="2269"/>
      <c r="R477" s="2269"/>
      <c r="S477" s="2269"/>
      <c r="T477" s="2269"/>
      <c r="U477" s="2269"/>
      <c r="V477" s="2269"/>
      <c r="W477" s="2269"/>
      <c r="X477" s="2269"/>
      <c r="Y477" s="2269"/>
      <c r="Z477" s="2269"/>
      <c r="AA477" s="2269"/>
    </row>
    <row r="478" spans="1:27" ht="13.5" customHeight="1" x14ac:dyDescent="0.3">
      <c r="A478" s="2269"/>
      <c r="B478" s="2269"/>
      <c r="C478" s="2272"/>
      <c r="D478" s="2358"/>
      <c r="E478" s="2358"/>
      <c r="F478" s="2358"/>
      <c r="G478" s="2283"/>
      <c r="H478" s="2268"/>
      <c r="I478" s="2269"/>
      <c r="J478" s="2269"/>
      <c r="K478" s="2269"/>
      <c r="L478" s="2269"/>
      <c r="M478" s="2270"/>
      <c r="N478" s="2270"/>
      <c r="O478" s="2270"/>
      <c r="P478" s="2269"/>
      <c r="Q478" s="2269"/>
      <c r="R478" s="2269"/>
      <c r="S478" s="2269"/>
      <c r="T478" s="2269"/>
      <c r="U478" s="2269"/>
      <c r="V478" s="2269"/>
      <c r="W478" s="2269"/>
      <c r="X478" s="2269"/>
      <c r="Y478" s="2269"/>
      <c r="Z478" s="2269"/>
      <c r="AA478" s="2269"/>
    </row>
    <row r="479" spans="1:27" ht="13.5" customHeight="1" x14ac:dyDescent="0.3">
      <c r="A479" s="2269"/>
      <c r="B479" s="2269"/>
      <c r="C479" s="2272"/>
      <c r="D479" s="2358"/>
      <c r="E479" s="2358"/>
      <c r="F479" s="2358"/>
      <c r="G479" s="2283"/>
      <c r="H479" s="2268"/>
      <c r="I479" s="2269"/>
      <c r="J479" s="2269"/>
      <c r="K479" s="2269"/>
      <c r="L479" s="2269"/>
      <c r="M479" s="2270"/>
      <c r="N479" s="2270"/>
      <c r="O479" s="2270"/>
      <c r="P479" s="2269"/>
      <c r="Q479" s="2269"/>
      <c r="R479" s="2269"/>
      <c r="S479" s="2269"/>
      <c r="T479" s="2269"/>
      <c r="U479" s="2269"/>
      <c r="V479" s="2269"/>
      <c r="W479" s="2269"/>
      <c r="X479" s="2269"/>
      <c r="Y479" s="2269"/>
      <c r="Z479" s="2269"/>
      <c r="AA479" s="2269"/>
    </row>
    <row r="480" spans="1:27" ht="13.5" customHeight="1" x14ac:dyDescent="0.3">
      <c r="A480" s="2269"/>
      <c r="B480" s="2269"/>
      <c r="C480" s="2272"/>
      <c r="D480" s="2358"/>
      <c r="E480" s="2358"/>
      <c r="F480" s="2358"/>
      <c r="G480" s="2283"/>
      <c r="H480" s="2268"/>
      <c r="I480" s="2269"/>
      <c r="J480" s="2269"/>
      <c r="K480" s="2269"/>
      <c r="L480" s="2269"/>
      <c r="M480" s="2270"/>
      <c r="N480" s="2270"/>
      <c r="O480" s="2270"/>
      <c r="P480" s="2269"/>
      <c r="Q480" s="2269"/>
      <c r="R480" s="2269"/>
      <c r="S480" s="2269"/>
      <c r="T480" s="2269"/>
      <c r="U480" s="2269"/>
      <c r="V480" s="2269"/>
      <c r="W480" s="2269"/>
      <c r="X480" s="2269"/>
      <c r="Y480" s="2269"/>
      <c r="Z480" s="2269"/>
      <c r="AA480" s="2269"/>
    </row>
    <row r="481" spans="1:27" ht="13.5" customHeight="1" x14ac:dyDescent="0.3">
      <c r="A481" s="2269"/>
      <c r="B481" s="2269"/>
      <c r="C481" s="2272"/>
      <c r="D481" s="2358"/>
      <c r="E481" s="2358"/>
      <c r="F481" s="2358"/>
      <c r="G481" s="2283"/>
      <c r="H481" s="2268"/>
      <c r="I481" s="2269"/>
      <c r="J481" s="2269"/>
      <c r="K481" s="2269"/>
      <c r="L481" s="2269"/>
      <c r="M481" s="2270"/>
      <c r="N481" s="2270"/>
      <c r="O481" s="2270"/>
      <c r="P481" s="2269"/>
      <c r="Q481" s="2269"/>
      <c r="R481" s="2269"/>
      <c r="S481" s="2269"/>
      <c r="T481" s="2269"/>
      <c r="U481" s="2269"/>
      <c r="V481" s="2269"/>
      <c r="W481" s="2269"/>
      <c r="X481" s="2269"/>
      <c r="Y481" s="2269"/>
      <c r="Z481" s="2269"/>
      <c r="AA481" s="2269"/>
    </row>
    <row r="482" spans="1:27" ht="13.5" customHeight="1" x14ac:dyDescent="0.3">
      <c r="A482" s="2269"/>
      <c r="B482" s="2269"/>
      <c r="C482" s="2272"/>
      <c r="D482" s="2358"/>
      <c r="E482" s="2358"/>
      <c r="F482" s="2358"/>
      <c r="G482" s="2283"/>
      <c r="H482" s="2268"/>
      <c r="I482" s="2269"/>
      <c r="J482" s="2269"/>
      <c r="K482" s="2269"/>
      <c r="L482" s="2269"/>
      <c r="M482" s="2270"/>
      <c r="N482" s="2270"/>
      <c r="O482" s="2270"/>
      <c r="P482" s="2269"/>
      <c r="Q482" s="2269"/>
      <c r="R482" s="2269"/>
      <c r="S482" s="2269"/>
      <c r="T482" s="2269"/>
      <c r="U482" s="2269"/>
      <c r="V482" s="2269"/>
      <c r="W482" s="2269"/>
      <c r="X482" s="2269"/>
      <c r="Y482" s="2269"/>
      <c r="Z482" s="2269"/>
      <c r="AA482" s="2269"/>
    </row>
    <row r="483" spans="1:27" ht="13.5" customHeight="1" x14ac:dyDescent="0.3">
      <c r="A483" s="2269"/>
      <c r="B483" s="2269"/>
      <c r="C483" s="2272"/>
      <c r="D483" s="2358"/>
      <c r="E483" s="2358"/>
      <c r="F483" s="2358"/>
      <c r="G483" s="2283"/>
      <c r="H483" s="2268"/>
      <c r="I483" s="2269"/>
      <c r="J483" s="2269"/>
      <c r="K483" s="2269"/>
      <c r="L483" s="2269"/>
      <c r="M483" s="2270"/>
      <c r="N483" s="2270"/>
      <c r="O483" s="2270"/>
      <c r="P483" s="2269"/>
      <c r="Q483" s="2269"/>
      <c r="R483" s="2269"/>
      <c r="S483" s="2269"/>
      <c r="T483" s="2269"/>
      <c r="U483" s="2269"/>
      <c r="V483" s="2269"/>
      <c r="W483" s="2269"/>
      <c r="X483" s="2269"/>
      <c r="Y483" s="2269"/>
      <c r="Z483" s="2269"/>
      <c r="AA483" s="2269"/>
    </row>
    <row r="484" spans="1:27" ht="13.5" customHeight="1" x14ac:dyDescent="0.3">
      <c r="A484" s="2269"/>
      <c r="B484" s="2269"/>
      <c r="C484" s="2272"/>
      <c r="D484" s="2358"/>
      <c r="E484" s="2358"/>
      <c r="F484" s="2358"/>
      <c r="G484" s="2283"/>
      <c r="H484" s="2268"/>
      <c r="I484" s="2269"/>
      <c r="J484" s="2269"/>
      <c r="K484" s="2269"/>
      <c r="L484" s="2269"/>
      <c r="M484" s="2270"/>
      <c r="N484" s="2270"/>
      <c r="O484" s="2270"/>
      <c r="P484" s="2269"/>
      <c r="Q484" s="2269"/>
      <c r="R484" s="2269"/>
      <c r="S484" s="2269"/>
      <c r="T484" s="2269"/>
      <c r="U484" s="2269"/>
      <c r="V484" s="2269"/>
      <c r="W484" s="2269"/>
      <c r="X484" s="2269"/>
      <c r="Y484" s="2269"/>
      <c r="Z484" s="2269"/>
      <c r="AA484" s="2269"/>
    </row>
    <row r="485" spans="1:27" ht="13.5" customHeight="1" x14ac:dyDescent="0.3">
      <c r="A485" s="2269"/>
      <c r="B485" s="2269"/>
      <c r="C485" s="2272"/>
      <c r="D485" s="2358"/>
      <c r="E485" s="2358"/>
      <c r="F485" s="2358"/>
      <c r="G485" s="2283"/>
      <c r="H485" s="2268"/>
      <c r="I485" s="2269"/>
      <c r="J485" s="2269"/>
      <c r="K485" s="2269"/>
      <c r="L485" s="2269"/>
      <c r="M485" s="2270"/>
      <c r="N485" s="2270"/>
      <c r="O485" s="2270"/>
      <c r="P485" s="2269"/>
      <c r="Q485" s="2269"/>
      <c r="R485" s="2269"/>
      <c r="S485" s="2269"/>
      <c r="T485" s="2269"/>
      <c r="U485" s="2269"/>
      <c r="V485" s="2269"/>
      <c r="W485" s="2269"/>
      <c r="X485" s="2269"/>
      <c r="Y485" s="2269"/>
      <c r="Z485" s="2269"/>
      <c r="AA485" s="2269"/>
    </row>
    <row r="486" spans="1:27" ht="13.5" customHeight="1" x14ac:dyDescent="0.3">
      <c r="A486" s="2269"/>
      <c r="B486" s="2269"/>
      <c r="C486" s="2272"/>
      <c r="D486" s="2358"/>
      <c r="E486" s="2358"/>
      <c r="F486" s="2358"/>
      <c r="G486" s="2283"/>
      <c r="H486" s="2268"/>
      <c r="I486" s="2269"/>
      <c r="J486" s="2269"/>
      <c r="K486" s="2269"/>
      <c r="L486" s="2269"/>
      <c r="M486" s="2270"/>
      <c r="N486" s="2270"/>
      <c r="O486" s="2270"/>
      <c r="P486" s="2269"/>
      <c r="Q486" s="2269"/>
      <c r="R486" s="2269"/>
      <c r="S486" s="2269"/>
      <c r="T486" s="2269"/>
      <c r="U486" s="2269"/>
      <c r="V486" s="2269"/>
      <c r="W486" s="2269"/>
      <c r="X486" s="2269"/>
      <c r="Y486" s="2269"/>
      <c r="Z486" s="2269"/>
      <c r="AA486" s="2269"/>
    </row>
    <row r="487" spans="1:27" ht="13.5" customHeight="1" x14ac:dyDescent="0.3">
      <c r="A487" s="2269"/>
      <c r="B487" s="2269"/>
      <c r="C487" s="2272"/>
      <c r="D487" s="2358"/>
      <c r="E487" s="2358"/>
      <c r="F487" s="2358"/>
      <c r="G487" s="2283"/>
      <c r="H487" s="2268"/>
      <c r="I487" s="2269"/>
      <c r="J487" s="2269"/>
      <c r="K487" s="2269"/>
      <c r="L487" s="2269"/>
      <c r="M487" s="2270"/>
      <c r="N487" s="2270"/>
      <c r="O487" s="2270"/>
      <c r="P487" s="2269"/>
      <c r="Q487" s="2269"/>
      <c r="R487" s="2269"/>
      <c r="S487" s="2269"/>
      <c r="T487" s="2269"/>
      <c r="U487" s="2269"/>
      <c r="V487" s="2269"/>
      <c r="W487" s="2269"/>
      <c r="X487" s="2269"/>
      <c r="Y487" s="2269"/>
      <c r="Z487" s="2269"/>
      <c r="AA487" s="2269"/>
    </row>
    <row r="488" spans="1:27" ht="13.5" customHeight="1" x14ac:dyDescent="0.3">
      <c r="A488" s="2269"/>
      <c r="B488" s="2269"/>
      <c r="C488" s="2272"/>
      <c r="D488" s="2358"/>
      <c r="E488" s="2358"/>
      <c r="F488" s="2358"/>
      <c r="G488" s="2283"/>
      <c r="H488" s="2268"/>
      <c r="I488" s="2269"/>
      <c r="J488" s="2269"/>
      <c r="K488" s="2269"/>
      <c r="L488" s="2269"/>
      <c r="M488" s="2270"/>
      <c r="N488" s="2270"/>
      <c r="O488" s="2270"/>
      <c r="P488" s="2269"/>
      <c r="Q488" s="2269"/>
      <c r="R488" s="2269"/>
      <c r="S488" s="2269"/>
      <c r="T488" s="2269"/>
      <c r="U488" s="2269"/>
      <c r="V488" s="2269"/>
      <c r="W488" s="2269"/>
      <c r="X488" s="2269"/>
      <c r="Y488" s="2269"/>
      <c r="Z488" s="2269"/>
      <c r="AA488" s="2269"/>
    </row>
    <row r="489" spans="1:27" ht="13.5" customHeight="1" x14ac:dyDescent="0.3">
      <c r="A489" s="2269"/>
      <c r="B489" s="2269"/>
      <c r="C489" s="2272"/>
      <c r="D489" s="2358"/>
      <c r="E489" s="2358"/>
      <c r="F489" s="2358"/>
      <c r="G489" s="2283"/>
      <c r="H489" s="2268"/>
      <c r="I489" s="2269"/>
      <c r="J489" s="2269"/>
      <c r="K489" s="2269"/>
      <c r="L489" s="2269"/>
      <c r="M489" s="2270"/>
      <c r="N489" s="2270"/>
      <c r="O489" s="2270"/>
      <c r="P489" s="2269"/>
      <c r="Q489" s="2269"/>
      <c r="R489" s="2269"/>
      <c r="S489" s="2269"/>
      <c r="T489" s="2269"/>
      <c r="U489" s="2269"/>
      <c r="V489" s="2269"/>
      <c r="W489" s="2269"/>
      <c r="X489" s="2269"/>
      <c r="Y489" s="2269"/>
      <c r="Z489" s="2269"/>
      <c r="AA489" s="2269"/>
    </row>
    <row r="490" spans="1:27" ht="13.5" customHeight="1" x14ac:dyDescent="0.3">
      <c r="A490" s="2269"/>
      <c r="B490" s="2269"/>
      <c r="C490" s="2272"/>
      <c r="D490" s="2358"/>
      <c r="E490" s="2358"/>
      <c r="F490" s="2358"/>
      <c r="G490" s="2283"/>
      <c r="H490" s="2268"/>
      <c r="I490" s="2269"/>
      <c r="J490" s="2269"/>
      <c r="K490" s="2269"/>
      <c r="L490" s="2269"/>
      <c r="M490" s="2270"/>
      <c r="N490" s="2270"/>
      <c r="O490" s="2270"/>
      <c r="P490" s="2269"/>
      <c r="Q490" s="2269"/>
      <c r="R490" s="2269"/>
      <c r="S490" s="2269"/>
      <c r="T490" s="2269"/>
      <c r="U490" s="2269"/>
      <c r="V490" s="2269"/>
      <c r="W490" s="2269"/>
      <c r="X490" s="2269"/>
      <c r="Y490" s="2269"/>
      <c r="Z490" s="2269"/>
      <c r="AA490" s="2269"/>
    </row>
    <row r="491" spans="1:27" ht="13.5" customHeight="1" x14ac:dyDescent="0.3">
      <c r="A491" s="2269"/>
      <c r="B491" s="2269"/>
      <c r="C491" s="2272"/>
      <c r="D491" s="2358"/>
      <c r="E491" s="2358"/>
      <c r="F491" s="2358"/>
      <c r="G491" s="2283"/>
      <c r="H491" s="2268"/>
      <c r="I491" s="2269"/>
      <c r="J491" s="2269"/>
      <c r="K491" s="2269"/>
      <c r="L491" s="2269"/>
      <c r="M491" s="2270"/>
      <c r="N491" s="2270"/>
      <c r="O491" s="2270"/>
      <c r="P491" s="2269"/>
      <c r="Q491" s="2269"/>
      <c r="R491" s="2269"/>
      <c r="S491" s="2269"/>
      <c r="T491" s="2269"/>
      <c r="U491" s="2269"/>
      <c r="V491" s="2269"/>
      <c r="W491" s="2269"/>
      <c r="X491" s="2269"/>
      <c r="Y491" s="2269"/>
      <c r="Z491" s="2269"/>
      <c r="AA491" s="2269"/>
    </row>
    <row r="492" spans="1:27" ht="13.5" customHeight="1" x14ac:dyDescent="0.3">
      <c r="A492" s="2269"/>
      <c r="B492" s="2269"/>
      <c r="C492" s="2272"/>
      <c r="D492" s="2358"/>
      <c r="E492" s="2358"/>
      <c r="F492" s="2358"/>
      <c r="G492" s="2283"/>
      <c r="H492" s="2268"/>
      <c r="I492" s="2269"/>
      <c r="J492" s="2269"/>
      <c r="K492" s="2269"/>
      <c r="L492" s="2269"/>
      <c r="M492" s="2270"/>
      <c r="N492" s="2270"/>
      <c r="O492" s="2270"/>
      <c r="P492" s="2269"/>
      <c r="Q492" s="2269"/>
      <c r="R492" s="2269"/>
      <c r="S492" s="2269"/>
      <c r="T492" s="2269"/>
      <c r="U492" s="2269"/>
      <c r="V492" s="2269"/>
      <c r="W492" s="2269"/>
      <c r="X492" s="2269"/>
      <c r="Y492" s="2269"/>
      <c r="Z492" s="2269"/>
      <c r="AA492" s="2269"/>
    </row>
    <row r="493" spans="1:27" ht="13.5" customHeight="1" x14ac:dyDescent="0.3">
      <c r="A493" s="2269"/>
      <c r="B493" s="2269"/>
      <c r="C493" s="2272"/>
      <c r="D493" s="2358"/>
      <c r="E493" s="2358"/>
      <c r="F493" s="2358"/>
      <c r="G493" s="2283"/>
      <c r="H493" s="2268"/>
      <c r="I493" s="2269"/>
      <c r="J493" s="2269"/>
      <c r="K493" s="2269"/>
      <c r="L493" s="2269"/>
      <c r="M493" s="2270"/>
      <c r="N493" s="2270"/>
      <c r="O493" s="2270"/>
      <c r="P493" s="2269"/>
      <c r="Q493" s="2269"/>
      <c r="R493" s="2269"/>
      <c r="S493" s="2269"/>
      <c r="T493" s="2269"/>
      <c r="U493" s="2269"/>
      <c r="V493" s="2269"/>
      <c r="W493" s="2269"/>
      <c r="X493" s="2269"/>
      <c r="Y493" s="2269"/>
      <c r="Z493" s="2269"/>
      <c r="AA493" s="2269"/>
    </row>
    <row r="494" spans="1:27" ht="13.5" customHeight="1" x14ac:dyDescent="0.3">
      <c r="A494" s="2269"/>
      <c r="B494" s="2269"/>
      <c r="C494" s="2272"/>
      <c r="D494" s="2358"/>
      <c r="E494" s="2358"/>
      <c r="F494" s="2358"/>
      <c r="G494" s="2283"/>
      <c r="H494" s="2268"/>
      <c r="I494" s="2269"/>
      <c r="J494" s="2269"/>
      <c r="K494" s="2269"/>
      <c r="L494" s="2269"/>
      <c r="M494" s="2270"/>
      <c r="N494" s="2270"/>
      <c r="O494" s="2270"/>
      <c r="P494" s="2269"/>
      <c r="Q494" s="2269"/>
      <c r="R494" s="2269"/>
      <c r="S494" s="2269"/>
      <c r="T494" s="2269"/>
      <c r="U494" s="2269"/>
      <c r="V494" s="2269"/>
      <c r="W494" s="2269"/>
      <c r="X494" s="2269"/>
      <c r="Y494" s="2269"/>
      <c r="Z494" s="2269"/>
      <c r="AA494" s="2269"/>
    </row>
    <row r="495" spans="1:27" ht="13.5" customHeight="1" x14ac:dyDescent="0.3">
      <c r="A495" s="2269"/>
      <c r="B495" s="2269"/>
      <c r="C495" s="2272"/>
      <c r="D495" s="2358"/>
      <c r="E495" s="2358"/>
      <c r="F495" s="2358"/>
      <c r="G495" s="2283"/>
      <c r="H495" s="2268"/>
      <c r="I495" s="2269"/>
      <c r="J495" s="2269"/>
      <c r="K495" s="2269"/>
      <c r="L495" s="2269"/>
      <c r="M495" s="2270"/>
      <c r="N495" s="2270"/>
      <c r="O495" s="2270"/>
      <c r="P495" s="2269"/>
      <c r="Q495" s="2269"/>
      <c r="R495" s="2269"/>
      <c r="S495" s="2269"/>
      <c r="T495" s="2269"/>
      <c r="U495" s="2269"/>
      <c r="V495" s="2269"/>
      <c r="W495" s="2269"/>
      <c r="X495" s="2269"/>
      <c r="Y495" s="2269"/>
      <c r="Z495" s="2269"/>
      <c r="AA495" s="2269"/>
    </row>
    <row r="496" spans="1:27" ht="13.5" customHeight="1" x14ac:dyDescent="0.3">
      <c r="A496" s="2269"/>
      <c r="B496" s="2269"/>
      <c r="C496" s="2272"/>
      <c r="D496" s="2358"/>
      <c r="E496" s="2358"/>
      <c r="F496" s="2358"/>
      <c r="G496" s="2283"/>
      <c r="H496" s="2268"/>
      <c r="I496" s="2269"/>
      <c r="J496" s="2269"/>
      <c r="K496" s="2269"/>
      <c r="L496" s="2269"/>
      <c r="M496" s="2270"/>
      <c r="N496" s="2270"/>
      <c r="O496" s="2270"/>
      <c r="P496" s="2269"/>
      <c r="Q496" s="2269"/>
      <c r="R496" s="2269"/>
      <c r="S496" s="2269"/>
      <c r="T496" s="2269"/>
      <c r="U496" s="2269"/>
      <c r="V496" s="2269"/>
      <c r="W496" s="2269"/>
      <c r="X496" s="2269"/>
      <c r="Y496" s="2269"/>
      <c r="Z496" s="2269"/>
      <c r="AA496" s="2269"/>
    </row>
    <row r="497" spans="1:27" ht="13.5" customHeight="1" x14ac:dyDescent="0.3">
      <c r="A497" s="2269"/>
      <c r="B497" s="2269"/>
      <c r="C497" s="2272"/>
      <c r="D497" s="2358"/>
      <c r="E497" s="2358"/>
      <c r="F497" s="2358"/>
      <c r="G497" s="2283"/>
      <c r="H497" s="2268"/>
      <c r="I497" s="2269"/>
      <c r="J497" s="2269"/>
      <c r="K497" s="2269"/>
      <c r="L497" s="2269"/>
      <c r="M497" s="2270"/>
      <c r="N497" s="2270"/>
      <c r="O497" s="2270"/>
      <c r="P497" s="2269"/>
      <c r="Q497" s="2269"/>
      <c r="R497" s="2269"/>
      <c r="S497" s="2269"/>
      <c r="T497" s="2269"/>
      <c r="U497" s="2269"/>
      <c r="V497" s="2269"/>
      <c r="W497" s="2269"/>
      <c r="X497" s="2269"/>
      <c r="Y497" s="2269"/>
      <c r="Z497" s="2269"/>
      <c r="AA497" s="2269"/>
    </row>
    <row r="498" spans="1:27" ht="13.5" customHeight="1" x14ac:dyDescent="0.3">
      <c r="A498" s="2269"/>
      <c r="B498" s="2269"/>
      <c r="C498" s="2272"/>
      <c r="D498" s="2358"/>
      <c r="E498" s="2358"/>
      <c r="F498" s="2358"/>
      <c r="G498" s="2283"/>
      <c r="H498" s="2268"/>
      <c r="I498" s="2269"/>
      <c r="J498" s="2269"/>
      <c r="K498" s="2269"/>
      <c r="L498" s="2269"/>
      <c r="M498" s="2270"/>
      <c r="N498" s="2270"/>
      <c r="O498" s="2270"/>
      <c r="P498" s="2269"/>
      <c r="Q498" s="2269"/>
      <c r="R498" s="2269"/>
      <c r="S498" s="2269"/>
      <c r="T498" s="2269"/>
      <c r="U498" s="2269"/>
      <c r="V498" s="2269"/>
      <c r="W498" s="2269"/>
      <c r="X498" s="2269"/>
      <c r="Y498" s="2269"/>
      <c r="Z498" s="2269"/>
      <c r="AA498" s="2269"/>
    </row>
    <row r="499" spans="1:27" ht="13.5" customHeight="1" x14ac:dyDescent="0.3">
      <c r="A499" s="2269"/>
      <c r="B499" s="2269"/>
      <c r="C499" s="2272"/>
      <c r="D499" s="2358"/>
      <c r="E499" s="2358"/>
      <c r="F499" s="2358"/>
      <c r="G499" s="2283"/>
      <c r="H499" s="2268"/>
      <c r="I499" s="2269"/>
      <c r="J499" s="2269"/>
      <c r="K499" s="2269"/>
      <c r="L499" s="2269"/>
      <c r="M499" s="2270"/>
      <c r="N499" s="2270"/>
      <c r="O499" s="2270"/>
      <c r="P499" s="2269"/>
      <c r="Q499" s="2269"/>
      <c r="R499" s="2269"/>
      <c r="S499" s="2269"/>
      <c r="T499" s="2269"/>
      <c r="U499" s="2269"/>
      <c r="V499" s="2269"/>
      <c r="W499" s="2269"/>
      <c r="X499" s="2269"/>
      <c r="Y499" s="2269"/>
      <c r="Z499" s="2269"/>
      <c r="AA499" s="2269"/>
    </row>
    <row r="500" spans="1:27" ht="13.5" customHeight="1" x14ac:dyDescent="0.3">
      <c r="A500" s="2269"/>
      <c r="B500" s="2269"/>
      <c r="C500" s="2272"/>
      <c r="D500" s="2358"/>
      <c r="E500" s="2358"/>
      <c r="F500" s="2358"/>
      <c r="G500" s="2283"/>
      <c r="H500" s="2268"/>
      <c r="I500" s="2269"/>
      <c r="J500" s="2269"/>
      <c r="K500" s="2269"/>
      <c r="L500" s="2269"/>
      <c r="M500" s="2270"/>
      <c r="N500" s="2270"/>
      <c r="O500" s="2270"/>
      <c r="P500" s="2269"/>
      <c r="Q500" s="2269"/>
      <c r="R500" s="2269"/>
      <c r="S500" s="2269"/>
      <c r="T500" s="2269"/>
      <c r="U500" s="2269"/>
      <c r="V500" s="2269"/>
      <c r="W500" s="2269"/>
      <c r="X500" s="2269"/>
      <c r="Y500" s="2269"/>
      <c r="Z500" s="2269"/>
      <c r="AA500" s="2269"/>
    </row>
    <row r="501" spans="1:27" ht="13.5" customHeight="1" x14ac:dyDescent="0.3">
      <c r="A501" s="2269"/>
      <c r="B501" s="2269"/>
      <c r="C501" s="2272"/>
      <c r="D501" s="2358"/>
      <c r="E501" s="2358"/>
      <c r="F501" s="2358"/>
      <c r="G501" s="2283"/>
      <c r="H501" s="2268"/>
      <c r="I501" s="2269"/>
      <c r="J501" s="2269"/>
      <c r="K501" s="2269"/>
      <c r="L501" s="2269"/>
      <c r="M501" s="2270"/>
      <c r="N501" s="2270"/>
      <c r="O501" s="2270"/>
      <c r="P501" s="2269"/>
      <c r="Q501" s="2269"/>
      <c r="R501" s="2269"/>
      <c r="S501" s="2269"/>
      <c r="T501" s="2269"/>
      <c r="U501" s="2269"/>
      <c r="V501" s="2269"/>
      <c r="W501" s="2269"/>
      <c r="X501" s="2269"/>
      <c r="Y501" s="2269"/>
      <c r="Z501" s="2269"/>
      <c r="AA501" s="2269"/>
    </row>
    <row r="502" spans="1:27" ht="13.5" customHeight="1" x14ac:dyDescent="0.3">
      <c r="A502" s="2269"/>
      <c r="B502" s="2269"/>
      <c r="C502" s="2272"/>
      <c r="D502" s="2358"/>
      <c r="E502" s="2358"/>
      <c r="F502" s="2358"/>
      <c r="G502" s="2283"/>
      <c r="H502" s="2268"/>
      <c r="I502" s="2269"/>
      <c r="J502" s="2269"/>
      <c r="K502" s="2269"/>
      <c r="L502" s="2269"/>
      <c r="M502" s="2270"/>
      <c r="N502" s="2270"/>
      <c r="O502" s="2270"/>
      <c r="P502" s="2269"/>
      <c r="Q502" s="2269"/>
      <c r="R502" s="2269"/>
      <c r="S502" s="2269"/>
      <c r="T502" s="2269"/>
      <c r="U502" s="2269"/>
      <c r="V502" s="2269"/>
      <c r="W502" s="2269"/>
      <c r="X502" s="2269"/>
      <c r="Y502" s="2269"/>
      <c r="Z502" s="2269"/>
      <c r="AA502" s="2269"/>
    </row>
    <row r="503" spans="1:27" ht="13.5" customHeight="1" x14ac:dyDescent="0.3">
      <c r="A503" s="2269"/>
      <c r="B503" s="2269"/>
      <c r="C503" s="2272"/>
      <c r="D503" s="2358"/>
      <c r="E503" s="2358"/>
      <c r="F503" s="2358"/>
      <c r="G503" s="2283"/>
      <c r="H503" s="2268"/>
      <c r="I503" s="2269"/>
      <c r="J503" s="2269"/>
      <c r="K503" s="2269"/>
      <c r="L503" s="2269"/>
      <c r="M503" s="2270"/>
      <c r="N503" s="2270"/>
      <c r="O503" s="2270"/>
      <c r="P503" s="2269"/>
      <c r="Q503" s="2269"/>
      <c r="R503" s="2269"/>
      <c r="S503" s="2269"/>
      <c r="T503" s="2269"/>
      <c r="U503" s="2269"/>
      <c r="V503" s="2269"/>
      <c r="W503" s="2269"/>
      <c r="X503" s="2269"/>
      <c r="Y503" s="2269"/>
      <c r="Z503" s="2269"/>
      <c r="AA503" s="2269"/>
    </row>
    <row r="504" spans="1:27" ht="13.5" customHeight="1" x14ac:dyDescent="0.3">
      <c r="A504" s="2269"/>
      <c r="B504" s="2269"/>
      <c r="C504" s="2272"/>
      <c r="D504" s="2358"/>
      <c r="E504" s="2358"/>
      <c r="F504" s="2358"/>
      <c r="G504" s="2283"/>
      <c r="H504" s="2268"/>
      <c r="I504" s="2269"/>
      <c r="J504" s="2269"/>
      <c r="K504" s="2269"/>
      <c r="L504" s="2269"/>
      <c r="M504" s="2270"/>
      <c r="N504" s="2270"/>
      <c r="O504" s="2270"/>
      <c r="P504" s="2269"/>
      <c r="Q504" s="2269"/>
      <c r="R504" s="2269"/>
      <c r="S504" s="2269"/>
      <c r="T504" s="2269"/>
      <c r="U504" s="2269"/>
      <c r="V504" s="2269"/>
      <c r="W504" s="2269"/>
      <c r="X504" s="2269"/>
      <c r="Y504" s="2269"/>
      <c r="Z504" s="2269"/>
      <c r="AA504" s="2269"/>
    </row>
    <row r="505" spans="1:27" ht="13.5" customHeight="1" x14ac:dyDescent="0.3">
      <c r="A505" s="2269"/>
      <c r="B505" s="2269"/>
      <c r="C505" s="2272"/>
      <c r="D505" s="2358"/>
      <c r="E505" s="2358"/>
      <c r="F505" s="2358"/>
      <c r="G505" s="2283"/>
      <c r="H505" s="2268"/>
      <c r="I505" s="2269"/>
      <c r="J505" s="2269"/>
      <c r="K505" s="2269"/>
      <c r="L505" s="2269"/>
      <c r="M505" s="2270"/>
      <c r="N505" s="2270"/>
      <c r="O505" s="2270"/>
      <c r="P505" s="2269"/>
      <c r="Q505" s="2269"/>
      <c r="R505" s="2269"/>
      <c r="S505" s="2269"/>
      <c r="T505" s="2269"/>
      <c r="U505" s="2269"/>
      <c r="V505" s="2269"/>
      <c r="W505" s="2269"/>
      <c r="X505" s="2269"/>
      <c r="Y505" s="2269"/>
      <c r="Z505" s="2269"/>
      <c r="AA505" s="2269"/>
    </row>
    <row r="506" spans="1:27" ht="13.5" customHeight="1" x14ac:dyDescent="0.3">
      <c r="A506" s="2269"/>
      <c r="B506" s="2269"/>
      <c r="C506" s="2272"/>
      <c r="D506" s="2358"/>
      <c r="E506" s="2358"/>
      <c r="F506" s="2358"/>
      <c r="G506" s="2283"/>
      <c r="H506" s="2268"/>
      <c r="I506" s="2269"/>
      <c r="J506" s="2269"/>
      <c r="K506" s="2269"/>
      <c r="L506" s="2269"/>
      <c r="M506" s="2270"/>
      <c r="N506" s="2270"/>
      <c r="O506" s="2270"/>
      <c r="P506" s="2269"/>
      <c r="Q506" s="2269"/>
      <c r="R506" s="2269"/>
      <c r="S506" s="2269"/>
      <c r="T506" s="2269"/>
      <c r="U506" s="2269"/>
      <c r="V506" s="2269"/>
      <c r="W506" s="2269"/>
      <c r="X506" s="2269"/>
      <c r="Y506" s="2269"/>
      <c r="Z506" s="2269"/>
      <c r="AA506" s="2269"/>
    </row>
    <row r="507" spans="1:27" ht="13.5" customHeight="1" x14ac:dyDescent="0.3">
      <c r="A507" s="2269"/>
      <c r="B507" s="2269"/>
      <c r="C507" s="2272"/>
      <c r="D507" s="2358"/>
      <c r="E507" s="2358"/>
      <c r="F507" s="2358"/>
      <c r="G507" s="2283"/>
      <c r="H507" s="2268"/>
      <c r="I507" s="2269"/>
      <c r="J507" s="2269"/>
      <c r="K507" s="2269"/>
      <c r="L507" s="2269"/>
      <c r="M507" s="2270"/>
      <c r="N507" s="2270"/>
      <c r="O507" s="2270"/>
      <c r="P507" s="2269"/>
      <c r="Q507" s="2269"/>
      <c r="R507" s="2269"/>
      <c r="S507" s="2269"/>
      <c r="T507" s="2269"/>
      <c r="U507" s="2269"/>
      <c r="V507" s="2269"/>
      <c r="W507" s="2269"/>
      <c r="X507" s="2269"/>
      <c r="Y507" s="2269"/>
      <c r="Z507" s="2269"/>
      <c r="AA507" s="2269"/>
    </row>
    <row r="508" spans="1:27" ht="13.5" customHeight="1" x14ac:dyDescent="0.3">
      <c r="A508" s="2269"/>
      <c r="B508" s="2269"/>
      <c r="C508" s="2272"/>
      <c r="D508" s="2358"/>
      <c r="E508" s="2358"/>
      <c r="F508" s="2358"/>
      <c r="G508" s="2283"/>
      <c r="H508" s="2268"/>
      <c r="I508" s="2269"/>
      <c r="J508" s="2269"/>
      <c r="K508" s="2269"/>
      <c r="L508" s="2269"/>
      <c r="M508" s="2270"/>
      <c r="N508" s="2270"/>
      <c r="O508" s="2270"/>
      <c r="P508" s="2269"/>
      <c r="Q508" s="2269"/>
      <c r="R508" s="2269"/>
      <c r="S508" s="2269"/>
      <c r="T508" s="2269"/>
      <c r="U508" s="2269"/>
      <c r="V508" s="2269"/>
      <c r="W508" s="2269"/>
      <c r="X508" s="2269"/>
      <c r="Y508" s="2269"/>
      <c r="Z508" s="2269"/>
      <c r="AA508" s="2269"/>
    </row>
    <row r="509" spans="1:27" ht="13.5" customHeight="1" x14ac:dyDescent="0.3">
      <c r="A509" s="2269"/>
      <c r="B509" s="2269"/>
      <c r="C509" s="2272"/>
      <c r="D509" s="2358"/>
      <c r="E509" s="2358"/>
      <c r="F509" s="2358"/>
      <c r="G509" s="2283"/>
      <c r="H509" s="2268"/>
      <c r="I509" s="2269"/>
      <c r="J509" s="2269"/>
      <c r="K509" s="2269"/>
      <c r="L509" s="2269"/>
      <c r="M509" s="2270"/>
      <c r="N509" s="2270"/>
      <c r="O509" s="2270"/>
      <c r="P509" s="2269"/>
      <c r="Q509" s="2269"/>
      <c r="R509" s="2269"/>
      <c r="S509" s="2269"/>
      <c r="T509" s="2269"/>
      <c r="U509" s="2269"/>
      <c r="V509" s="2269"/>
      <c r="W509" s="2269"/>
      <c r="X509" s="2269"/>
      <c r="Y509" s="2269"/>
      <c r="Z509" s="2269"/>
      <c r="AA509" s="2269"/>
    </row>
    <row r="510" spans="1:27" ht="13.5" customHeight="1" x14ac:dyDescent="0.3">
      <c r="A510" s="2269"/>
      <c r="B510" s="2269"/>
      <c r="C510" s="2272"/>
      <c r="D510" s="2358"/>
      <c r="E510" s="2358"/>
      <c r="F510" s="2358"/>
      <c r="G510" s="2283"/>
      <c r="H510" s="2268"/>
      <c r="I510" s="2269"/>
      <c r="J510" s="2269"/>
      <c r="K510" s="2269"/>
      <c r="L510" s="2269"/>
      <c r="M510" s="2270"/>
      <c r="N510" s="2270"/>
      <c r="O510" s="2270"/>
      <c r="P510" s="2269"/>
      <c r="Q510" s="2269"/>
      <c r="R510" s="2269"/>
      <c r="S510" s="2269"/>
      <c r="T510" s="2269"/>
      <c r="U510" s="2269"/>
      <c r="V510" s="2269"/>
      <c r="W510" s="2269"/>
      <c r="X510" s="2269"/>
      <c r="Y510" s="2269"/>
      <c r="Z510" s="2269"/>
      <c r="AA510" s="2269"/>
    </row>
    <row r="511" spans="1:27" ht="13.5" customHeight="1" x14ac:dyDescent="0.3">
      <c r="A511" s="2269"/>
      <c r="B511" s="2269"/>
      <c r="C511" s="2272"/>
      <c r="D511" s="2358"/>
      <c r="E511" s="2358"/>
      <c r="F511" s="2358"/>
      <c r="G511" s="2283"/>
      <c r="H511" s="2268"/>
      <c r="I511" s="2269"/>
      <c r="J511" s="2269"/>
      <c r="K511" s="2269"/>
      <c r="L511" s="2269"/>
      <c r="M511" s="2270"/>
      <c r="N511" s="2270"/>
      <c r="O511" s="2270"/>
      <c r="P511" s="2269"/>
      <c r="Q511" s="2269"/>
      <c r="R511" s="2269"/>
      <c r="S511" s="2269"/>
      <c r="T511" s="2269"/>
      <c r="U511" s="2269"/>
      <c r="V511" s="2269"/>
      <c r="W511" s="2269"/>
      <c r="X511" s="2269"/>
      <c r="Y511" s="2269"/>
      <c r="Z511" s="2269"/>
      <c r="AA511" s="2269"/>
    </row>
    <row r="512" spans="1:27" ht="13.5" customHeight="1" x14ac:dyDescent="0.3">
      <c r="A512" s="2269"/>
      <c r="B512" s="2269"/>
      <c r="C512" s="2272"/>
      <c r="D512" s="2358"/>
      <c r="E512" s="2358"/>
      <c r="F512" s="2358"/>
      <c r="G512" s="2283"/>
      <c r="H512" s="2268"/>
      <c r="I512" s="2269"/>
      <c r="J512" s="2269"/>
      <c r="K512" s="2269"/>
      <c r="L512" s="2269"/>
      <c r="M512" s="2270"/>
      <c r="N512" s="2270"/>
      <c r="O512" s="2270"/>
      <c r="P512" s="2269"/>
      <c r="Q512" s="2269"/>
      <c r="R512" s="2269"/>
      <c r="S512" s="2269"/>
      <c r="T512" s="2269"/>
      <c r="U512" s="2269"/>
      <c r="V512" s="2269"/>
      <c r="W512" s="2269"/>
      <c r="X512" s="2269"/>
      <c r="Y512" s="2269"/>
      <c r="Z512" s="2269"/>
      <c r="AA512" s="2269"/>
    </row>
    <row r="513" spans="1:27" ht="13.5" customHeight="1" x14ac:dyDescent="0.3">
      <c r="A513" s="2269"/>
      <c r="B513" s="2269"/>
      <c r="C513" s="2272"/>
      <c r="D513" s="2358"/>
      <c r="E513" s="2358"/>
      <c r="F513" s="2358"/>
      <c r="G513" s="2283"/>
      <c r="H513" s="2268"/>
      <c r="I513" s="2269"/>
      <c r="J513" s="2269"/>
      <c r="K513" s="2269"/>
      <c r="L513" s="2269"/>
      <c r="M513" s="2270"/>
      <c r="N513" s="2270"/>
      <c r="O513" s="2270"/>
      <c r="P513" s="2269"/>
      <c r="Q513" s="2269"/>
      <c r="R513" s="2269"/>
      <c r="S513" s="2269"/>
      <c r="T513" s="2269"/>
      <c r="U513" s="2269"/>
      <c r="V513" s="2269"/>
      <c r="W513" s="2269"/>
      <c r="X513" s="2269"/>
      <c r="Y513" s="2269"/>
      <c r="Z513" s="2269"/>
      <c r="AA513" s="2269"/>
    </row>
    <row r="514" spans="1:27" ht="13.5" customHeight="1" x14ac:dyDescent="0.3">
      <c r="A514" s="2269"/>
      <c r="B514" s="2269"/>
      <c r="C514" s="2272"/>
      <c r="D514" s="2358"/>
      <c r="E514" s="2358"/>
      <c r="F514" s="2358"/>
      <c r="G514" s="2283"/>
      <c r="H514" s="2268"/>
      <c r="I514" s="2269"/>
      <c r="J514" s="2269"/>
      <c r="K514" s="2269"/>
      <c r="L514" s="2269"/>
      <c r="M514" s="2270"/>
      <c r="N514" s="2270"/>
      <c r="O514" s="2270"/>
      <c r="P514" s="2269"/>
      <c r="Q514" s="2269"/>
      <c r="R514" s="2269"/>
      <c r="S514" s="2269"/>
      <c r="T514" s="2269"/>
      <c r="U514" s="2269"/>
      <c r="V514" s="2269"/>
      <c r="W514" s="2269"/>
      <c r="X514" s="2269"/>
      <c r="Y514" s="2269"/>
      <c r="Z514" s="2269"/>
      <c r="AA514" s="2269"/>
    </row>
    <row r="515" spans="1:27" ht="13.5" customHeight="1" x14ac:dyDescent="0.3">
      <c r="A515" s="2269"/>
      <c r="B515" s="2269"/>
      <c r="C515" s="2272"/>
      <c r="D515" s="2358"/>
      <c r="E515" s="2358"/>
      <c r="F515" s="2358"/>
      <c r="G515" s="2283"/>
      <c r="H515" s="2268"/>
      <c r="I515" s="2269"/>
      <c r="J515" s="2269"/>
      <c r="K515" s="2269"/>
      <c r="L515" s="2269"/>
      <c r="M515" s="2270"/>
      <c r="N515" s="2270"/>
      <c r="O515" s="2270"/>
      <c r="P515" s="2269"/>
      <c r="Q515" s="2269"/>
      <c r="R515" s="2269"/>
      <c r="S515" s="2269"/>
      <c r="T515" s="2269"/>
      <c r="U515" s="2269"/>
      <c r="V515" s="2269"/>
      <c r="W515" s="2269"/>
      <c r="X515" s="2269"/>
      <c r="Y515" s="2269"/>
      <c r="Z515" s="2269"/>
      <c r="AA515" s="2269"/>
    </row>
    <row r="516" spans="1:27" ht="13.5" customHeight="1" x14ac:dyDescent="0.3">
      <c r="A516" s="2269"/>
      <c r="B516" s="2269"/>
      <c r="C516" s="2272"/>
      <c r="D516" s="2358"/>
      <c r="E516" s="2358"/>
      <c r="F516" s="2358"/>
      <c r="G516" s="2283"/>
      <c r="H516" s="2268"/>
      <c r="I516" s="2269"/>
      <c r="J516" s="2269"/>
      <c r="K516" s="2269"/>
      <c r="L516" s="2269"/>
      <c r="M516" s="2270"/>
      <c r="N516" s="2270"/>
      <c r="O516" s="2270"/>
      <c r="P516" s="2269"/>
      <c r="Q516" s="2269"/>
      <c r="R516" s="2269"/>
      <c r="S516" s="2269"/>
      <c r="T516" s="2269"/>
      <c r="U516" s="2269"/>
      <c r="V516" s="2269"/>
      <c r="W516" s="2269"/>
      <c r="X516" s="2269"/>
      <c r="Y516" s="2269"/>
      <c r="Z516" s="2269"/>
      <c r="AA516" s="2269"/>
    </row>
    <row r="517" spans="1:27" ht="13.5" customHeight="1" x14ac:dyDescent="0.3">
      <c r="A517" s="2269"/>
      <c r="B517" s="2269"/>
      <c r="C517" s="2272"/>
      <c r="D517" s="2358"/>
      <c r="E517" s="2358"/>
      <c r="F517" s="2358"/>
      <c r="G517" s="2283"/>
      <c r="H517" s="2268"/>
      <c r="I517" s="2269"/>
      <c r="J517" s="2269"/>
      <c r="K517" s="2269"/>
      <c r="L517" s="2269"/>
      <c r="M517" s="2270"/>
      <c r="N517" s="2270"/>
      <c r="O517" s="2270"/>
      <c r="P517" s="2269"/>
      <c r="Q517" s="2269"/>
      <c r="R517" s="2269"/>
      <c r="S517" s="2269"/>
      <c r="T517" s="2269"/>
      <c r="U517" s="2269"/>
      <c r="V517" s="2269"/>
      <c r="W517" s="2269"/>
      <c r="X517" s="2269"/>
      <c r="Y517" s="2269"/>
      <c r="Z517" s="2269"/>
      <c r="AA517" s="2269"/>
    </row>
    <row r="518" spans="1:27" ht="13.5" customHeight="1" x14ac:dyDescent="0.3">
      <c r="A518" s="2269"/>
      <c r="B518" s="2269"/>
      <c r="C518" s="2272"/>
      <c r="D518" s="2358"/>
      <c r="E518" s="2358"/>
      <c r="F518" s="2358"/>
      <c r="G518" s="2283"/>
      <c r="H518" s="2268"/>
      <c r="I518" s="2269"/>
      <c r="J518" s="2269"/>
      <c r="K518" s="2269"/>
      <c r="L518" s="2269"/>
      <c r="M518" s="2270"/>
      <c r="N518" s="2270"/>
      <c r="O518" s="2270"/>
      <c r="P518" s="2269"/>
      <c r="Q518" s="2269"/>
      <c r="R518" s="2269"/>
      <c r="S518" s="2269"/>
      <c r="T518" s="2269"/>
      <c r="U518" s="2269"/>
      <c r="V518" s="2269"/>
      <c r="W518" s="2269"/>
      <c r="X518" s="2269"/>
      <c r="Y518" s="2269"/>
      <c r="Z518" s="2269"/>
      <c r="AA518" s="2269"/>
    </row>
    <row r="519" spans="1:27" ht="13.5" customHeight="1" x14ac:dyDescent="0.3">
      <c r="A519" s="2269"/>
      <c r="B519" s="2269"/>
      <c r="C519" s="2272"/>
      <c r="D519" s="2358"/>
      <c r="E519" s="2358"/>
      <c r="F519" s="2358"/>
      <c r="G519" s="2283"/>
      <c r="H519" s="2268"/>
      <c r="I519" s="2269"/>
      <c r="J519" s="2269"/>
      <c r="K519" s="2269"/>
      <c r="L519" s="2269"/>
      <c r="M519" s="2270"/>
      <c r="N519" s="2270"/>
      <c r="O519" s="2270"/>
      <c r="P519" s="2269"/>
      <c r="Q519" s="2269"/>
      <c r="R519" s="2269"/>
      <c r="S519" s="2269"/>
      <c r="T519" s="2269"/>
      <c r="U519" s="2269"/>
      <c r="V519" s="2269"/>
      <c r="W519" s="2269"/>
      <c r="X519" s="2269"/>
      <c r="Y519" s="2269"/>
      <c r="Z519" s="2269"/>
      <c r="AA519" s="2269"/>
    </row>
    <row r="520" spans="1:27" ht="13.5" customHeight="1" x14ac:dyDescent="0.3">
      <c r="A520" s="2269"/>
      <c r="B520" s="2269"/>
      <c r="C520" s="2272"/>
      <c r="D520" s="2358"/>
      <c r="E520" s="2358"/>
      <c r="F520" s="2358"/>
      <c r="G520" s="2283"/>
      <c r="H520" s="2268"/>
      <c r="I520" s="2269"/>
      <c r="J520" s="2269"/>
      <c r="K520" s="2269"/>
      <c r="L520" s="2269"/>
      <c r="M520" s="2270"/>
      <c r="N520" s="2270"/>
      <c r="O520" s="2270"/>
      <c r="P520" s="2269"/>
      <c r="Q520" s="2269"/>
      <c r="R520" s="2269"/>
      <c r="S520" s="2269"/>
      <c r="T520" s="2269"/>
      <c r="U520" s="2269"/>
      <c r="V520" s="2269"/>
      <c r="W520" s="2269"/>
      <c r="X520" s="2269"/>
      <c r="Y520" s="2269"/>
      <c r="Z520" s="2269"/>
      <c r="AA520" s="2269"/>
    </row>
    <row r="521" spans="1:27" ht="13.5" customHeight="1" x14ac:dyDescent="0.3">
      <c r="A521" s="2269"/>
      <c r="B521" s="2269"/>
      <c r="C521" s="2272"/>
      <c r="D521" s="2358"/>
      <c r="E521" s="2358"/>
      <c r="F521" s="2358"/>
      <c r="G521" s="2283"/>
      <c r="H521" s="2268"/>
      <c r="I521" s="2269"/>
      <c r="J521" s="2269"/>
      <c r="K521" s="2269"/>
      <c r="L521" s="2269"/>
      <c r="M521" s="2270"/>
      <c r="N521" s="2270"/>
      <c r="O521" s="2270"/>
      <c r="P521" s="2269"/>
      <c r="Q521" s="2269"/>
      <c r="R521" s="2269"/>
      <c r="S521" s="2269"/>
      <c r="T521" s="2269"/>
      <c r="U521" s="2269"/>
      <c r="V521" s="2269"/>
      <c r="W521" s="2269"/>
      <c r="X521" s="2269"/>
      <c r="Y521" s="2269"/>
      <c r="Z521" s="2269"/>
      <c r="AA521" s="2269"/>
    </row>
    <row r="522" spans="1:27" ht="13.5" customHeight="1" x14ac:dyDescent="0.3">
      <c r="A522" s="2269"/>
      <c r="B522" s="2269"/>
      <c r="C522" s="2272"/>
      <c r="D522" s="2358"/>
      <c r="E522" s="2358"/>
      <c r="F522" s="2358"/>
      <c r="G522" s="2283"/>
      <c r="H522" s="2268"/>
      <c r="I522" s="2269"/>
      <c r="J522" s="2269"/>
      <c r="K522" s="2269"/>
      <c r="L522" s="2269"/>
      <c r="M522" s="2270"/>
      <c r="N522" s="2270"/>
      <c r="O522" s="2270"/>
      <c r="P522" s="2269"/>
      <c r="Q522" s="2269"/>
      <c r="R522" s="2269"/>
      <c r="S522" s="2269"/>
      <c r="T522" s="2269"/>
      <c r="U522" s="2269"/>
      <c r="V522" s="2269"/>
      <c r="W522" s="2269"/>
      <c r="X522" s="2269"/>
      <c r="Y522" s="2269"/>
      <c r="Z522" s="2269"/>
      <c r="AA522" s="2269"/>
    </row>
    <row r="523" spans="1:27" ht="13.5" customHeight="1" x14ac:dyDescent="0.3">
      <c r="A523" s="2269"/>
      <c r="B523" s="2269"/>
      <c r="C523" s="2272"/>
      <c r="D523" s="2358"/>
      <c r="E523" s="2358"/>
      <c r="F523" s="2358"/>
      <c r="G523" s="2283"/>
      <c r="H523" s="2268"/>
      <c r="I523" s="2269"/>
      <c r="J523" s="2269"/>
      <c r="K523" s="2269"/>
      <c r="L523" s="2269"/>
      <c r="M523" s="2270"/>
      <c r="N523" s="2270"/>
      <c r="O523" s="2270"/>
      <c r="P523" s="2269"/>
      <c r="Q523" s="2269"/>
      <c r="R523" s="2269"/>
      <c r="S523" s="2269"/>
      <c r="T523" s="2269"/>
      <c r="U523" s="2269"/>
      <c r="V523" s="2269"/>
      <c r="W523" s="2269"/>
      <c r="X523" s="2269"/>
      <c r="Y523" s="2269"/>
      <c r="Z523" s="2269"/>
      <c r="AA523" s="2269"/>
    </row>
    <row r="524" spans="1:27" ht="13.5" customHeight="1" x14ac:dyDescent="0.3">
      <c r="A524" s="2269"/>
      <c r="B524" s="2269"/>
      <c r="C524" s="2272"/>
      <c r="D524" s="2358"/>
      <c r="E524" s="2358"/>
      <c r="F524" s="2358"/>
      <c r="G524" s="2283"/>
      <c r="H524" s="2268"/>
      <c r="I524" s="2269"/>
      <c r="J524" s="2269"/>
      <c r="K524" s="2269"/>
      <c r="L524" s="2269"/>
      <c r="M524" s="2270"/>
      <c r="N524" s="2270"/>
      <c r="O524" s="2270"/>
      <c r="P524" s="2269"/>
      <c r="Q524" s="2269"/>
      <c r="R524" s="2269"/>
      <c r="S524" s="2269"/>
      <c r="T524" s="2269"/>
      <c r="U524" s="2269"/>
      <c r="V524" s="2269"/>
      <c r="W524" s="2269"/>
      <c r="X524" s="2269"/>
      <c r="Y524" s="2269"/>
      <c r="Z524" s="2269"/>
      <c r="AA524" s="2269"/>
    </row>
    <row r="525" spans="1:27" ht="13.5" customHeight="1" x14ac:dyDescent="0.3">
      <c r="A525" s="2269"/>
      <c r="B525" s="2269"/>
      <c r="C525" s="2272"/>
      <c r="D525" s="2358"/>
      <c r="E525" s="2358"/>
      <c r="F525" s="2358"/>
      <c r="G525" s="2283"/>
      <c r="H525" s="2268"/>
      <c r="I525" s="2269"/>
      <c r="J525" s="2269"/>
      <c r="K525" s="2269"/>
      <c r="L525" s="2269"/>
      <c r="M525" s="2270"/>
      <c r="N525" s="2270"/>
      <c r="O525" s="2270"/>
      <c r="P525" s="2269"/>
      <c r="Q525" s="2269"/>
      <c r="R525" s="2269"/>
      <c r="S525" s="2269"/>
      <c r="T525" s="2269"/>
      <c r="U525" s="2269"/>
      <c r="V525" s="2269"/>
      <c r="W525" s="2269"/>
      <c r="X525" s="2269"/>
      <c r="Y525" s="2269"/>
      <c r="Z525" s="2269"/>
      <c r="AA525" s="2269"/>
    </row>
    <row r="526" spans="1:27" ht="13.5" customHeight="1" x14ac:dyDescent="0.3">
      <c r="A526" s="2269"/>
      <c r="B526" s="2269"/>
      <c r="C526" s="2272"/>
      <c r="D526" s="2358"/>
      <c r="E526" s="2358"/>
      <c r="F526" s="2358"/>
      <c r="G526" s="2283"/>
      <c r="H526" s="2268"/>
      <c r="I526" s="2269"/>
      <c r="J526" s="2269"/>
      <c r="K526" s="2269"/>
      <c r="L526" s="2269"/>
      <c r="M526" s="2270"/>
      <c r="N526" s="2270"/>
      <c r="O526" s="2270"/>
      <c r="P526" s="2269"/>
      <c r="Q526" s="2269"/>
      <c r="R526" s="2269"/>
      <c r="S526" s="2269"/>
      <c r="T526" s="2269"/>
      <c r="U526" s="2269"/>
      <c r="V526" s="2269"/>
      <c r="W526" s="2269"/>
      <c r="X526" s="2269"/>
      <c r="Y526" s="2269"/>
      <c r="Z526" s="2269"/>
      <c r="AA526" s="2269"/>
    </row>
    <row r="527" spans="1:27" ht="13.5" customHeight="1" x14ac:dyDescent="0.3">
      <c r="A527" s="2269"/>
      <c r="B527" s="2269"/>
      <c r="C527" s="2272"/>
      <c r="D527" s="2358"/>
      <c r="E527" s="2358"/>
      <c r="F527" s="2358"/>
      <c r="G527" s="2283"/>
      <c r="H527" s="2268"/>
      <c r="I527" s="2269"/>
      <c r="J527" s="2269"/>
      <c r="K527" s="2269"/>
      <c r="L527" s="2269"/>
      <c r="M527" s="2270"/>
      <c r="N527" s="2270"/>
      <c r="O527" s="2270"/>
      <c r="P527" s="2269"/>
      <c r="Q527" s="2269"/>
      <c r="R527" s="2269"/>
      <c r="S527" s="2269"/>
      <c r="T527" s="2269"/>
      <c r="U527" s="2269"/>
      <c r="V527" s="2269"/>
      <c r="W527" s="2269"/>
      <c r="X527" s="2269"/>
      <c r="Y527" s="2269"/>
      <c r="Z527" s="2269"/>
      <c r="AA527" s="2269"/>
    </row>
    <row r="528" spans="1:27" ht="13.5" customHeight="1" x14ac:dyDescent="0.3">
      <c r="A528" s="2269"/>
      <c r="B528" s="2269"/>
      <c r="C528" s="2272"/>
      <c r="D528" s="2358"/>
      <c r="E528" s="2358"/>
      <c r="F528" s="2358"/>
      <c r="G528" s="2283"/>
      <c r="H528" s="2268"/>
      <c r="I528" s="2269"/>
      <c r="J528" s="2269"/>
      <c r="K528" s="2269"/>
      <c r="L528" s="2269"/>
      <c r="M528" s="2270"/>
      <c r="N528" s="2270"/>
      <c r="O528" s="2270"/>
      <c r="P528" s="2269"/>
      <c r="Q528" s="2269"/>
      <c r="R528" s="2269"/>
      <c r="S528" s="2269"/>
      <c r="T528" s="2269"/>
      <c r="U528" s="2269"/>
      <c r="V528" s="2269"/>
      <c r="W528" s="2269"/>
      <c r="X528" s="2269"/>
      <c r="Y528" s="2269"/>
      <c r="Z528" s="2269"/>
      <c r="AA528" s="2269"/>
    </row>
    <row r="529" spans="1:27" ht="13.5" customHeight="1" x14ac:dyDescent="0.3">
      <c r="A529" s="2269"/>
      <c r="B529" s="2269"/>
      <c r="C529" s="2272"/>
      <c r="D529" s="2358"/>
      <c r="E529" s="2358"/>
      <c r="F529" s="2358"/>
      <c r="G529" s="2283"/>
      <c r="H529" s="2268"/>
      <c r="I529" s="2269"/>
      <c r="J529" s="2269"/>
      <c r="K529" s="2269"/>
      <c r="L529" s="2269"/>
      <c r="M529" s="2270"/>
      <c r="N529" s="2270"/>
      <c r="O529" s="2270"/>
      <c r="P529" s="2269"/>
      <c r="Q529" s="2269"/>
      <c r="R529" s="2269"/>
      <c r="S529" s="2269"/>
      <c r="T529" s="2269"/>
      <c r="U529" s="2269"/>
      <c r="V529" s="2269"/>
      <c r="W529" s="2269"/>
      <c r="X529" s="2269"/>
      <c r="Y529" s="2269"/>
      <c r="Z529" s="2269"/>
      <c r="AA529" s="2269"/>
    </row>
    <row r="530" spans="1:27" ht="13.5" customHeight="1" x14ac:dyDescent="0.3">
      <c r="A530" s="2269"/>
      <c r="B530" s="2269"/>
      <c r="C530" s="2272"/>
      <c r="D530" s="2358"/>
      <c r="E530" s="2358"/>
      <c r="F530" s="2358"/>
      <c r="G530" s="2283"/>
      <c r="H530" s="2268"/>
      <c r="I530" s="2269"/>
      <c r="J530" s="2269"/>
      <c r="K530" s="2269"/>
      <c r="L530" s="2269"/>
      <c r="M530" s="2270"/>
      <c r="N530" s="2270"/>
      <c r="O530" s="2270"/>
      <c r="P530" s="2269"/>
      <c r="Q530" s="2269"/>
      <c r="R530" s="2269"/>
      <c r="S530" s="2269"/>
      <c r="T530" s="2269"/>
      <c r="U530" s="2269"/>
      <c r="V530" s="2269"/>
      <c r="W530" s="2269"/>
      <c r="X530" s="2269"/>
      <c r="Y530" s="2269"/>
      <c r="Z530" s="2269"/>
      <c r="AA530" s="2269"/>
    </row>
    <row r="531" spans="1:27" ht="13.5" customHeight="1" x14ac:dyDescent="0.3">
      <c r="A531" s="2269"/>
      <c r="B531" s="2269"/>
      <c r="C531" s="2272"/>
      <c r="D531" s="2358"/>
      <c r="E531" s="2358"/>
      <c r="F531" s="2358"/>
      <c r="G531" s="2283"/>
      <c r="H531" s="2268"/>
      <c r="I531" s="2269"/>
      <c r="J531" s="2269"/>
      <c r="K531" s="2269"/>
      <c r="L531" s="2269"/>
      <c r="M531" s="2270"/>
      <c r="N531" s="2270"/>
      <c r="O531" s="2270"/>
      <c r="P531" s="2269"/>
      <c r="Q531" s="2269"/>
      <c r="R531" s="2269"/>
      <c r="S531" s="2269"/>
      <c r="T531" s="2269"/>
      <c r="U531" s="2269"/>
      <c r="V531" s="2269"/>
      <c r="W531" s="2269"/>
      <c r="X531" s="2269"/>
      <c r="Y531" s="2269"/>
      <c r="Z531" s="2269"/>
      <c r="AA531" s="2269"/>
    </row>
    <row r="532" spans="1:27" ht="13.5" customHeight="1" x14ac:dyDescent="0.3">
      <c r="A532" s="2269"/>
      <c r="B532" s="2269"/>
      <c r="C532" s="2272"/>
      <c r="D532" s="2358"/>
      <c r="E532" s="2358"/>
      <c r="F532" s="2358"/>
      <c r="G532" s="2283"/>
      <c r="H532" s="2268"/>
      <c r="I532" s="2269"/>
      <c r="J532" s="2269"/>
      <c r="K532" s="2269"/>
      <c r="L532" s="2269"/>
      <c r="M532" s="2270"/>
      <c r="N532" s="2270"/>
      <c r="O532" s="2270"/>
      <c r="P532" s="2269"/>
      <c r="Q532" s="2269"/>
      <c r="R532" s="2269"/>
      <c r="S532" s="2269"/>
      <c r="T532" s="2269"/>
      <c r="U532" s="2269"/>
      <c r="V532" s="2269"/>
      <c r="W532" s="2269"/>
      <c r="X532" s="2269"/>
      <c r="Y532" s="2269"/>
      <c r="Z532" s="2269"/>
      <c r="AA532" s="2269"/>
    </row>
    <row r="533" spans="1:27" ht="13.5" customHeight="1" x14ac:dyDescent="0.3">
      <c r="A533" s="2269"/>
      <c r="B533" s="2269"/>
      <c r="C533" s="2272"/>
      <c r="D533" s="2358"/>
      <c r="E533" s="2358"/>
      <c r="F533" s="2358"/>
      <c r="G533" s="2283"/>
      <c r="H533" s="2268"/>
      <c r="I533" s="2269"/>
      <c r="J533" s="2269"/>
      <c r="K533" s="2269"/>
      <c r="L533" s="2269"/>
      <c r="M533" s="2270"/>
      <c r="N533" s="2270"/>
      <c r="O533" s="2270"/>
      <c r="P533" s="2269"/>
      <c r="Q533" s="2269"/>
      <c r="R533" s="2269"/>
      <c r="S533" s="2269"/>
      <c r="T533" s="2269"/>
      <c r="U533" s="2269"/>
      <c r="V533" s="2269"/>
      <c r="W533" s="2269"/>
      <c r="X533" s="2269"/>
      <c r="Y533" s="2269"/>
      <c r="Z533" s="2269"/>
      <c r="AA533" s="2269"/>
    </row>
    <row r="534" spans="1:27" ht="13.5" customHeight="1" x14ac:dyDescent="0.3">
      <c r="A534" s="2269"/>
      <c r="B534" s="2269"/>
      <c r="C534" s="2272"/>
      <c r="D534" s="2358"/>
      <c r="E534" s="2358"/>
      <c r="F534" s="2358"/>
      <c r="G534" s="2283"/>
      <c r="H534" s="2268"/>
      <c r="I534" s="2269"/>
      <c r="J534" s="2269"/>
      <c r="K534" s="2269"/>
      <c r="L534" s="2269"/>
      <c r="M534" s="2270"/>
      <c r="N534" s="2270"/>
      <c r="O534" s="2270"/>
      <c r="P534" s="2269"/>
      <c r="Q534" s="2269"/>
      <c r="R534" s="2269"/>
      <c r="S534" s="2269"/>
      <c r="T534" s="2269"/>
      <c r="U534" s="2269"/>
      <c r="V534" s="2269"/>
      <c r="W534" s="2269"/>
      <c r="X534" s="2269"/>
      <c r="Y534" s="2269"/>
      <c r="Z534" s="2269"/>
      <c r="AA534" s="2269"/>
    </row>
    <row r="535" spans="1:27" ht="13.5" customHeight="1" x14ac:dyDescent="0.3">
      <c r="A535" s="2269"/>
      <c r="B535" s="2269"/>
      <c r="C535" s="2272"/>
      <c r="D535" s="2358"/>
      <c r="E535" s="2358"/>
      <c r="F535" s="2358"/>
      <c r="G535" s="2283"/>
      <c r="H535" s="2268"/>
      <c r="I535" s="2269"/>
      <c r="J535" s="2269"/>
      <c r="K535" s="2269"/>
      <c r="L535" s="2269"/>
      <c r="M535" s="2270"/>
      <c r="N535" s="2270"/>
      <c r="O535" s="2270"/>
      <c r="P535" s="2269"/>
      <c r="Q535" s="2269"/>
      <c r="R535" s="2269"/>
      <c r="S535" s="2269"/>
      <c r="T535" s="2269"/>
      <c r="U535" s="2269"/>
      <c r="V535" s="2269"/>
      <c r="W535" s="2269"/>
      <c r="X535" s="2269"/>
      <c r="Y535" s="2269"/>
      <c r="Z535" s="2269"/>
      <c r="AA535" s="2269"/>
    </row>
    <row r="536" spans="1:27" ht="13.5" customHeight="1" x14ac:dyDescent="0.3">
      <c r="A536" s="2269"/>
      <c r="B536" s="2269"/>
      <c r="C536" s="2272"/>
      <c r="D536" s="2358"/>
      <c r="E536" s="2358"/>
      <c r="F536" s="2358"/>
      <c r="G536" s="2283"/>
      <c r="H536" s="2268"/>
      <c r="I536" s="2269"/>
      <c r="J536" s="2269"/>
      <c r="K536" s="2269"/>
      <c r="L536" s="2269"/>
      <c r="M536" s="2270"/>
      <c r="N536" s="2270"/>
      <c r="O536" s="2270"/>
      <c r="P536" s="2269"/>
      <c r="Q536" s="2269"/>
      <c r="R536" s="2269"/>
      <c r="S536" s="2269"/>
      <c r="T536" s="2269"/>
      <c r="U536" s="2269"/>
      <c r="V536" s="2269"/>
      <c r="W536" s="2269"/>
      <c r="X536" s="2269"/>
      <c r="Y536" s="2269"/>
      <c r="Z536" s="2269"/>
      <c r="AA536" s="2269"/>
    </row>
    <row r="537" spans="1:27" ht="13.5" customHeight="1" x14ac:dyDescent="0.3">
      <c r="A537" s="2269"/>
      <c r="B537" s="2269"/>
      <c r="C537" s="2272"/>
      <c r="D537" s="2358"/>
      <c r="E537" s="2358"/>
      <c r="F537" s="2358"/>
      <c r="G537" s="2283"/>
      <c r="H537" s="2268"/>
      <c r="I537" s="2269"/>
      <c r="J537" s="2269"/>
      <c r="K537" s="2269"/>
      <c r="L537" s="2269"/>
      <c r="M537" s="2270"/>
      <c r="N537" s="2270"/>
      <c r="O537" s="2270"/>
      <c r="P537" s="2269"/>
      <c r="Q537" s="2269"/>
      <c r="R537" s="2269"/>
      <c r="S537" s="2269"/>
      <c r="T537" s="2269"/>
      <c r="U537" s="2269"/>
      <c r="V537" s="2269"/>
      <c r="W537" s="2269"/>
      <c r="X537" s="2269"/>
      <c r="Y537" s="2269"/>
      <c r="Z537" s="2269"/>
      <c r="AA537" s="2269"/>
    </row>
    <row r="538" spans="1:27" ht="13.5" customHeight="1" x14ac:dyDescent="0.3">
      <c r="A538" s="2269"/>
      <c r="B538" s="2269"/>
      <c r="C538" s="2272"/>
      <c r="D538" s="2358"/>
      <c r="E538" s="2358"/>
      <c r="F538" s="2358"/>
      <c r="G538" s="2283"/>
      <c r="H538" s="2268"/>
      <c r="I538" s="2269"/>
      <c r="J538" s="2269"/>
      <c r="K538" s="2269"/>
      <c r="L538" s="2269"/>
      <c r="M538" s="2270"/>
      <c r="N538" s="2270"/>
      <c r="O538" s="2270"/>
      <c r="P538" s="2269"/>
      <c r="Q538" s="2269"/>
      <c r="R538" s="2269"/>
      <c r="S538" s="2269"/>
      <c r="T538" s="2269"/>
      <c r="U538" s="2269"/>
      <c r="V538" s="2269"/>
      <c r="W538" s="2269"/>
      <c r="X538" s="2269"/>
      <c r="Y538" s="2269"/>
      <c r="Z538" s="2269"/>
      <c r="AA538" s="2269"/>
    </row>
    <row r="539" spans="1:27" ht="13.5" customHeight="1" x14ac:dyDescent="0.3">
      <c r="A539" s="2269"/>
      <c r="B539" s="2269"/>
      <c r="C539" s="2272"/>
      <c r="D539" s="2358"/>
      <c r="E539" s="2358"/>
      <c r="F539" s="2358"/>
      <c r="G539" s="2283"/>
      <c r="H539" s="2268"/>
      <c r="I539" s="2269"/>
      <c r="J539" s="2269"/>
      <c r="K539" s="2269"/>
      <c r="L539" s="2269"/>
      <c r="M539" s="2270"/>
      <c r="N539" s="2270"/>
      <c r="O539" s="2270"/>
      <c r="P539" s="2269"/>
      <c r="Q539" s="2269"/>
      <c r="R539" s="2269"/>
      <c r="S539" s="2269"/>
      <c r="T539" s="2269"/>
      <c r="U539" s="2269"/>
      <c r="V539" s="2269"/>
      <c r="W539" s="2269"/>
      <c r="X539" s="2269"/>
      <c r="Y539" s="2269"/>
      <c r="Z539" s="2269"/>
      <c r="AA539" s="2269"/>
    </row>
    <row r="540" spans="1:27" ht="13.5" customHeight="1" x14ac:dyDescent="0.3">
      <c r="A540" s="2269"/>
      <c r="B540" s="2269"/>
      <c r="C540" s="2272"/>
      <c r="D540" s="2358"/>
      <c r="E540" s="2358"/>
      <c r="F540" s="2358"/>
      <c r="G540" s="2283"/>
      <c r="H540" s="2268"/>
      <c r="I540" s="2269"/>
      <c r="J540" s="2269"/>
      <c r="K540" s="2269"/>
      <c r="L540" s="2269"/>
      <c r="M540" s="2270"/>
      <c r="N540" s="2270"/>
      <c r="O540" s="2270"/>
      <c r="P540" s="2269"/>
      <c r="Q540" s="2269"/>
      <c r="R540" s="2269"/>
      <c r="S540" s="2269"/>
      <c r="T540" s="2269"/>
      <c r="U540" s="2269"/>
      <c r="V540" s="2269"/>
      <c r="W540" s="2269"/>
      <c r="X540" s="2269"/>
      <c r="Y540" s="2269"/>
      <c r="Z540" s="2269"/>
      <c r="AA540" s="2269"/>
    </row>
    <row r="541" spans="1:27" ht="13.5" customHeight="1" x14ac:dyDescent="0.3">
      <c r="A541" s="2269"/>
      <c r="B541" s="2269"/>
      <c r="C541" s="2272"/>
      <c r="D541" s="2358"/>
      <c r="E541" s="2358"/>
      <c r="F541" s="2358"/>
      <c r="G541" s="2283"/>
      <c r="H541" s="2268"/>
      <c r="I541" s="2269"/>
      <c r="J541" s="2269"/>
      <c r="K541" s="2269"/>
      <c r="L541" s="2269"/>
      <c r="M541" s="2270"/>
      <c r="N541" s="2270"/>
      <c r="O541" s="2270"/>
      <c r="P541" s="2269"/>
      <c r="Q541" s="2269"/>
      <c r="R541" s="2269"/>
      <c r="S541" s="2269"/>
      <c r="T541" s="2269"/>
      <c r="U541" s="2269"/>
      <c r="V541" s="2269"/>
      <c r="W541" s="2269"/>
      <c r="X541" s="2269"/>
      <c r="Y541" s="2269"/>
      <c r="Z541" s="2269"/>
      <c r="AA541" s="2269"/>
    </row>
    <row r="542" spans="1:27" ht="13.5" customHeight="1" x14ac:dyDescent="0.3">
      <c r="A542" s="2269"/>
      <c r="B542" s="2269"/>
      <c r="C542" s="2272"/>
      <c r="D542" s="2358"/>
      <c r="E542" s="2358"/>
      <c r="F542" s="2358"/>
      <c r="G542" s="2283"/>
      <c r="H542" s="2268"/>
      <c r="I542" s="2269"/>
      <c r="J542" s="2269"/>
      <c r="K542" s="2269"/>
      <c r="L542" s="2269"/>
      <c r="M542" s="2270"/>
      <c r="N542" s="2270"/>
      <c r="O542" s="2270"/>
      <c r="P542" s="2269"/>
      <c r="Q542" s="2269"/>
      <c r="R542" s="2269"/>
      <c r="S542" s="2269"/>
      <c r="T542" s="2269"/>
      <c r="U542" s="2269"/>
      <c r="V542" s="2269"/>
      <c r="W542" s="2269"/>
      <c r="X542" s="2269"/>
      <c r="Y542" s="2269"/>
      <c r="Z542" s="2269"/>
      <c r="AA542" s="2269"/>
    </row>
    <row r="543" spans="1:27" ht="13.5" customHeight="1" x14ac:dyDescent="0.3">
      <c r="A543" s="2269"/>
      <c r="B543" s="2269"/>
      <c r="C543" s="2272"/>
      <c r="D543" s="2358"/>
      <c r="E543" s="2358"/>
      <c r="F543" s="2358"/>
      <c r="G543" s="2283"/>
      <c r="H543" s="2268"/>
      <c r="I543" s="2269"/>
      <c r="J543" s="2269"/>
      <c r="K543" s="2269"/>
      <c r="L543" s="2269"/>
      <c r="M543" s="2270"/>
      <c r="N543" s="2270"/>
      <c r="O543" s="2270"/>
      <c r="P543" s="2269"/>
      <c r="Q543" s="2269"/>
      <c r="R543" s="2269"/>
      <c r="S543" s="2269"/>
      <c r="T543" s="2269"/>
      <c r="U543" s="2269"/>
      <c r="V543" s="2269"/>
      <c r="W543" s="2269"/>
      <c r="X543" s="2269"/>
      <c r="Y543" s="2269"/>
      <c r="Z543" s="2269"/>
      <c r="AA543" s="2269"/>
    </row>
    <row r="544" spans="1:27" ht="13.5" customHeight="1" x14ac:dyDescent="0.3">
      <c r="A544" s="2269"/>
      <c r="B544" s="2269"/>
      <c r="C544" s="2272"/>
      <c r="D544" s="2358"/>
      <c r="E544" s="2358"/>
      <c r="F544" s="2358"/>
      <c r="G544" s="2283"/>
      <c r="H544" s="2268"/>
      <c r="I544" s="2269"/>
      <c r="J544" s="2269"/>
      <c r="K544" s="2269"/>
      <c r="L544" s="2269"/>
      <c r="M544" s="2270"/>
      <c r="N544" s="2270"/>
      <c r="O544" s="2270"/>
      <c r="P544" s="2269"/>
      <c r="Q544" s="2269"/>
      <c r="R544" s="2269"/>
      <c r="S544" s="2269"/>
      <c r="T544" s="2269"/>
      <c r="U544" s="2269"/>
      <c r="V544" s="2269"/>
      <c r="W544" s="2269"/>
      <c r="X544" s="2269"/>
      <c r="Y544" s="2269"/>
      <c r="Z544" s="2269"/>
      <c r="AA544" s="2269"/>
    </row>
    <row r="545" spans="1:27" ht="13.5" customHeight="1" x14ac:dyDescent="0.3">
      <c r="A545" s="2269"/>
      <c r="B545" s="2269"/>
      <c r="C545" s="2272"/>
      <c r="D545" s="2358"/>
      <c r="E545" s="2358"/>
      <c r="F545" s="2358"/>
      <c r="G545" s="2283"/>
      <c r="H545" s="2268"/>
      <c r="I545" s="2269"/>
      <c r="J545" s="2269"/>
      <c r="K545" s="2269"/>
      <c r="L545" s="2269"/>
      <c r="M545" s="2270"/>
      <c r="N545" s="2270"/>
      <c r="O545" s="2270"/>
      <c r="P545" s="2269"/>
      <c r="Q545" s="2269"/>
      <c r="R545" s="2269"/>
      <c r="S545" s="2269"/>
      <c r="T545" s="2269"/>
      <c r="U545" s="2269"/>
      <c r="V545" s="2269"/>
      <c r="W545" s="2269"/>
      <c r="X545" s="2269"/>
      <c r="Y545" s="2269"/>
      <c r="Z545" s="2269"/>
      <c r="AA545" s="2269"/>
    </row>
    <row r="546" spans="1:27" ht="13.5" customHeight="1" x14ac:dyDescent="0.3">
      <c r="A546" s="2269"/>
      <c r="B546" s="2269"/>
      <c r="C546" s="2272"/>
      <c r="D546" s="2358"/>
      <c r="E546" s="2358"/>
      <c r="F546" s="2358"/>
      <c r="G546" s="2283"/>
      <c r="H546" s="2268"/>
      <c r="I546" s="2269"/>
      <c r="J546" s="2269"/>
      <c r="K546" s="2269"/>
      <c r="L546" s="2269"/>
      <c r="M546" s="2270"/>
      <c r="N546" s="2270"/>
      <c r="O546" s="2270"/>
      <c r="P546" s="2269"/>
      <c r="Q546" s="2269"/>
      <c r="R546" s="2269"/>
      <c r="S546" s="2269"/>
      <c r="T546" s="2269"/>
      <c r="U546" s="2269"/>
      <c r="V546" s="2269"/>
      <c r="W546" s="2269"/>
      <c r="X546" s="2269"/>
      <c r="Y546" s="2269"/>
      <c r="Z546" s="2269"/>
      <c r="AA546" s="2269"/>
    </row>
    <row r="547" spans="1:27" ht="13.5" customHeight="1" x14ac:dyDescent="0.3">
      <c r="A547" s="2269"/>
      <c r="B547" s="2269"/>
      <c r="C547" s="2272"/>
      <c r="D547" s="2358"/>
      <c r="E547" s="2358"/>
      <c r="F547" s="2358"/>
      <c r="G547" s="2283"/>
      <c r="H547" s="2268"/>
      <c r="I547" s="2269"/>
      <c r="J547" s="2269"/>
      <c r="K547" s="2269"/>
      <c r="L547" s="2269"/>
      <c r="M547" s="2270"/>
      <c r="N547" s="2270"/>
      <c r="O547" s="2270"/>
      <c r="P547" s="2269"/>
      <c r="Q547" s="2269"/>
      <c r="R547" s="2269"/>
      <c r="S547" s="2269"/>
      <c r="T547" s="2269"/>
      <c r="U547" s="2269"/>
      <c r="V547" s="2269"/>
      <c r="W547" s="2269"/>
      <c r="X547" s="2269"/>
      <c r="Y547" s="2269"/>
      <c r="Z547" s="2269"/>
      <c r="AA547" s="2269"/>
    </row>
    <row r="548" spans="1:27" ht="13.5" customHeight="1" x14ac:dyDescent="0.3">
      <c r="A548" s="2269"/>
      <c r="B548" s="2269"/>
      <c r="C548" s="2272"/>
      <c r="D548" s="2358"/>
      <c r="E548" s="2358"/>
      <c r="F548" s="2358"/>
      <c r="G548" s="2283"/>
      <c r="H548" s="2268"/>
      <c r="I548" s="2269"/>
      <c r="J548" s="2269"/>
      <c r="K548" s="2269"/>
      <c r="L548" s="2269"/>
      <c r="M548" s="2270"/>
      <c r="N548" s="2270"/>
      <c r="O548" s="2270"/>
      <c r="P548" s="2269"/>
      <c r="Q548" s="2269"/>
      <c r="R548" s="2269"/>
      <c r="S548" s="2269"/>
      <c r="T548" s="2269"/>
      <c r="U548" s="2269"/>
      <c r="V548" s="2269"/>
      <c r="W548" s="2269"/>
      <c r="X548" s="2269"/>
      <c r="Y548" s="2269"/>
      <c r="Z548" s="2269"/>
      <c r="AA548" s="2269"/>
    </row>
    <row r="549" spans="1:27" ht="13.5" customHeight="1" x14ac:dyDescent="0.3">
      <c r="A549" s="2269"/>
      <c r="B549" s="2269"/>
      <c r="C549" s="2272"/>
      <c r="D549" s="2358"/>
      <c r="E549" s="2358"/>
      <c r="F549" s="2358"/>
      <c r="G549" s="2283"/>
      <c r="H549" s="2268"/>
      <c r="I549" s="2269"/>
      <c r="J549" s="2269"/>
      <c r="K549" s="2269"/>
      <c r="L549" s="2269"/>
      <c r="M549" s="2270"/>
      <c r="N549" s="2270"/>
      <c r="O549" s="2270"/>
      <c r="P549" s="2269"/>
      <c r="Q549" s="2269"/>
      <c r="R549" s="2269"/>
      <c r="S549" s="2269"/>
      <c r="T549" s="2269"/>
      <c r="U549" s="2269"/>
      <c r="V549" s="2269"/>
      <c r="W549" s="2269"/>
      <c r="X549" s="2269"/>
      <c r="Y549" s="2269"/>
      <c r="Z549" s="2269"/>
      <c r="AA549" s="2269"/>
    </row>
    <row r="550" spans="1:27" ht="13.5" customHeight="1" x14ac:dyDescent="0.3">
      <c r="A550" s="2269"/>
      <c r="B550" s="2269"/>
      <c r="C550" s="2272"/>
      <c r="D550" s="2358"/>
      <c r="E550" s="2358"/>
      <c r="F550" s="2358"/>
      <c r="G550" s="2283"/>
      <c r="H550" s="2268"/>
      <c r="I550" s="2269"/>
      <c r="J550" s="2269"/>
      <c r="K550" s="2269"/>
      <c r="L550" s="2269"/>
      <c r="M550" s="2270"/>
      <c r="N550" s="2270"/>
      <c r="O550" s="2270"/>
      <c r="P550" s="2269"/>
      <c r="Q550" s="2269"/>
      <c r="R550" s="2269"/>
      <c r="S550" s="2269"/>
      <c r="T550" s="2269"/>
      <c r="U550" s="2269"/>
      <c r="V550" s="2269"/>
      <c r="W550" s="2269"/>
      <c r="X550" s="2269"/>
      <c r="Y550" s="2269"/>
      <c r="Z550" s="2269"/>
      <c r="AA550" s="2269"/>
    </row>
    <row r="551" spans="1:27" ht="13.5" customHeight="1" x14ac:dyDescent="0.3">
      <c r="A551" s="2269"/>
      <c r="B551" s="2269"/>
      <c r="C551" s="2272"/>
      <c r="D551" s="2358"/>
      <c r="E551" s="2358"/>
      <c r="F551" s="2358"/>
      <c r="G551" s="2283"/>
      <c r="H551" s="2268"/>
      <c r="I551" s="2269"/>
      <c r="J551" s="2269"/>
      <c r="K551" s="2269"/>
      <c r="L551" s="2269"/>
      <c r="M551" s="2270"/>
      <c r="N551" s="2270"/>
      <c r="O551" s="2270"/>
      <c r="P551" s="2269"/>
      <c r="Q551" s="2269"/>
      <c r="R551" s="2269"/>
      <c r="S551" s="2269"/>
      <c r="T551" s="2269"/>
      <c r="U551" s="2269"/>
      <c r="V551" s="2269"/>
      <c r="W551" s="2269"/>
      <c r="X551" s="2269"/>
      <c r="Y551" s="2269"/>
      <c r="Z551" s="2269"/>
      <c r="AA551" s="2269"/>
    </row>
    <row r="552" spans="1:27" ht="13.5" customHeight="1" x14ac:dyDescent="0.3">
      <c r="A552" s="2269"/>
      <c r="B552" s="2269"/>
      <c r="C552" s="2272"/>
      <c r="D552" s="2358"/>
      <c r="E552" s="2358"/>
      <c r="F552" s="2358"/>
      <c r="G552" s="2283"/>
      <c r="H552" s="2268"/>
      <c r="I552" s="2269"/>
      <c r="J552" s="2269"/>
      <c r="K552" s="2269"/>
      <c r="L552" s="2269"/>
      <c r="M552" s="2270"/>
      <c r="N552" s="2270"/>
      <c r="O552" s="2270"/>
      <c r="P552" s="2269"/>
      <c r="Q552" s="2269"/>
      <c r="R552" s="2269"/>
      <c r="S552" s="2269"/>
      <c r="T552" s="2269"/>
      <c r="U552" s="2269"/>
      <c r="V552" s="2269"/>
      <c r="W552" s="2269"/>
      <c r="X552" s="2269"/>
      <c r="Y552" s="2269"/>
      <c r="Z552" s="2269"/>
      <c r="AA552" s="2269"/>
    </row>
    <row r="553" spans="1:27" ht="13.5" customHeight="1" x14ac:dyDescent="0.3">
      <c r="A553" s="2269"/>
      <c r="B553" s="2269"/>
      <c r="C553" s="2272"/>
      <c r="D553" s="2358"/>
      <c r="E553" s="2358"/>
      <c r="F553" s="2358"/>
      <c r="G553" s="2283"/>
      <c r="H553" s="2268"/>
      <c r="I553" s="2269"/>
      <c r="J553" s="2269"/>
      <c r="K553" s="2269"/>
      <c r="L553" s="2269"/>
      <c r="M553" s="2270"/>
      <c r="N553" s="2270"/>
      <c r="O553" s="2270"/>
      <c r="P553" s="2269"/>
      <c r="Q553" s="2269"/>
      <c r="R553" s="2269"/>
      <c r="S553" s="2269"/>
      <c r="T553" s="2269"/>
      <c r="U553" s="2269"/>
      <c r="V553" s="2269"/>
      <c r="W553" s="2269"/>
      <c r="X553" s="2269"/>
      <c r="Y553" s="2269"/>
      <c r="Z553" s="2269"/>
      <c r="AA553" s="2269"/>
    </row>
    <row r="554" spans="1:27" ht="13.5" customHeight="1" x14ac:dyDescent="0.3">
      <c r="A554" s="2269"/>
      <c r="B554" s="2269"/>
      <c r="C554" s="2272"/>
      <c r="D554" s="2358"/>
      <c r="E554" s="2358"/>
      <c r="F554" s="2358"/>
      <c r="G554" s="2283"/>
      <c r="H554" s="2268"/>
      <c r="I554" s="2269"/>
      <c r="J554" s="2269"/>
      <c r="K554" s="2269"/>
      <c r="L554" s="2269"/>
      <c r="M554" s="2270"/>
      <c r="N554" s="2270"/>
      <c r="O554" s="2270"/>
      <c r="P554" s="2269"/>
      <c r="Q554" s="2269"/>
      <c r="R554" s="2269"/>
      <c r="S554" s="2269"/>
      <c r="T554" s="2269"/>
      <c r="U554" s="2269"/>
      <c r="V554" s="2269"/>
      <c r="W554" s="2269"/>
      <c r="X554" s="2269"/>
      <c r="Y554" s="2269"/>
      <c r="Z554" s="2269"/>
      <c r="AA554" s="2269"/>
    </row>
    <row r="555" spans="1:27" ht="13.5" customHeight="1" x14ac:dyDescent="0.3">
      <c r="A555" s="2269"/>
      <c r="B555" s="2269"/>
      <c r="C555" s="2272"/>
      <c r="D555" s="2358"/>
      <c r="E555" s="2358"/>
      <c r="F555" s="2358"/>
      <c r="G555" s="2283"/>
      <c r="H555" s="2268"/>
      <c r="I555" s="2269"/>
      <c r="J555" s="2269"/>
      <c r="K555" s="2269"/>
      <c r="L555" s="2269"/>
      <c r="M555" s="2270"/>
      <c r="N555" s="2270"/>
      <c r="O555" s="2270"/>
      <c r="P555" s="2269"/>
      <c r="Q555" s="2269"/>
      <c r="R555" s="2269"/>
      <c r="S555" s="2269"/>
      <c r="T555" s="2269"/>
      <c r="U555" s="2269"/>
      <c r="V555" s="2269"/>
      <c r="W555" s="2269"/>
      <c r="X555" s="2269"/>
      <c r="Y555" s="2269"/>
      <c r="Z555" s="2269"/>
      <c r="AA555" s="2269"/>
    </row>
    <row r="556" spans="1:27" ht="13.5" customHeight="1" x14ac:dyDescent="0.3">
      <c r="A556" s="2269"/>
      <c r="B556" s="2269"/>
      <c r="C556" s="2272"/>
      <c r="D556" s="2358"/>
      <c r="E556" s="2358"/>
      <c r="F556" s="2358"/>
      <c r="G556" s="2283"/>
      <c r="H556" s="2268"/>
      <c r="I556" s="2269"/>
      <c r="J556" s="2269"/>
      <c r="K556" s="2269"/>
      <c r="L556" s="2269"/>
      <c r="M556" s="2270"/>
      <c r="N556" s="2270"/>
      <c r="O556" s="2270"/>
      <c r="P556" s="2269"/>
      <c r="Q556" s="2269"/>
      <c r="R556" s="2269"/>
      <c r="S556" s="2269"/>
      <c r="T556" s="2269"/>
      <c r="U556" s="2269"/>
      <c r="V556" s="2269"/>
      <c r="W556" s="2269"/>
      <c r="X556" s="2269"/>
      <c r="Y556" s="2269"/>
      <c r="Z556" s="2269"/>
      <c r="AA556" s="2269"/>
    </row>
    <row r="557" spans="1:27" ht="13.5" customHeight="1" x14ac:dyDescent="0.3">
      <c r="A557" s="2269"/>
      <c r="B557" s="2269"/>
      <c r="C557" s="2272"/>
      <c r="D557" s="2358"/>
      <c r="E557" s="2358"/>
      <c r="F557" s="2358"/>
      <c r="G557" s="2283"/>
      <c r="H557" s="2268"/>
      <c r="I557" s="2269"/>
      <c r="J557" s="2269"/>
      <c r="K557" s="2269"/>
      <c r="L557" s="2269"/>
      <c r="M557" s="2270"/>
      <c r="N557" s="2270"/>
      <c r="O557" s="2270"/>
      <c r="P557" s="2269"/>
      <c r="Q557" s="2269"/>
      <c r="R557" s="2269"/>
      <c r="S557" s="2269"/>
      <c r="T557" s="2269"/>
      <c r="U557" s="2269"/>
      <c r="V557" s="2269"/>
      <c r="W557" s="2269"/>
      <c r="X557" s="2269"/>
      <c r="Y557" s="2269"/>
      <c r="Z557" s="2269"/>
      <c r="AA557" s="2269"/>
    </row>
    <row r="558" spans="1:27" ht="13.5" customHeight="1" x14ac:dyDescent="0.3">
      <c r="A558" s="2269"/>
      <c r="B558" s="2269"/>
      <c r="C558" s="2272"/>
      <c r="D558" s="2358"/>
      <c r="E558" s="2358"/>
      <c r="F558" s="2358"/>
      <c r="G558" s="2283"/>
      <c r="H558" s="2268"/>
      <c r="I558" s="2269"/>
      <c r="J558" s="2269"/>
      <c r="K558" s="2269"/>
      <c r="L558" s="2269"/>
      <c r="M558" s="2270"/>
      <c r="N558" s="2270"/>
      <c r="O558" s="2270"/>
      <c r="P558" s="2269"/>
      <c r="Q558" s="2269"/>
      <c r="R558" s="2269"/>
      <c r="S558" s="2269"/>
      <c r="T558" s="2269"/>
      <c r="U558" s="2269"/>
      <c r="V558" s="2269"/>
      <c r="W558" s="2269"/>
      <c r="X558" s="2269"/>
      <c r="Y558" s="2269"/>
      <c r="Z558" s="2269"/>
      <c r="AA558" s="2269"/>
    </row>
    <row r="559" spans="1:27" ht="13.5" customHeight="1" x14ac:dyDescent="0.3">
      <c r="A559" s="2269"/>
      <c r="B559" s="2269"/>
      <c r="C559" s="2272"/>
      <c r="D559" s="2358"/>
      <c r="E559" s="2358"/>
      <c r="F559" s="2358"/>
      <c r="G559" s="2283"/>
      <c r="H559" s="2268"/>
      <c r="I559" s="2269"/>
      <c r="J559" s="2269"/>
      <c r="K559" s="2269"/>
      <c r="L559" s="2269"/>
      <c r="M559" s="2270"/>
      <c r="N559" s="2270"/>
      <c r="O559" s="2270"/>
      <c r="P559" s="2269"/>
      <c r="Q559" s="2269"/>
      <c r="R559" s="2269"/>
      <c r="S559" s="2269"/>
      <c r="T559" s="2269"/>
      <c r="U559" s="2269"/>
      <c r="V559" s="2269"/>
      <c r="W559" s="2269"/>
      <c r="X559" s="2269"/>
      <c r="Y559" s="2269"/>
      <c r="Z559" s="2269"/>
      <c r="AA559" s="2269"/>
    </row>
    <row r="560" spans="1:27" ht="13.5" customHeight="1" x14ac:dyDescent="0.3">
      <c r="A560" s="2269"/>
      <c r="B560" s="2269"/>
      <c r="C560" s="2272"/>
      <c r="D560" s="2358"/>
      <c r="E560" s="2358"/>
      <c r="F560" s="2358"/>
      <c r="G560" s="2283"/>
      <c r="H560" s="2268"/>
      <c r="I560" s="2269"/>
      <c r="J560" s="2269"/>
      <c r="K560" s="2269"/>
      <c r="L560" s="2269"/>
      <c r="M560" s="2270"/>
      <c r="N560" s="2270"/>
      <c r="O560" s="2270"/>
      <c r="P560" s="2269"/>
      <c r="Q560" s="2269"/>
      <c r="R560" s="2269"/>
      <c r="S560" s="2269"/>
      <c r="T560" s="2269"/>
      <c r="U560" s="2269"/>
      <c r="V560" s="2269"/>
      <c r="W560" s="2269"/>
      <c r="X560" s="2269"/>
      <c r="Y560" s="2269"/>
      <c r="Z560" s="2269"/>
      <c r="AA560" s="2269"/>
    </row>
    <row r="561" spans="1:27" ht="13.5" customHeight="1" x14ac:dyDescent="0.3">
      <c r="A561" s="2269"/>
      <c r="B561" s="2269"/>
      <c r="C561" s="2272"/>
      <c r="D561" s="2358"/>
      <c r="E561" s="2358"/>
      <c r="F561" s="2358"/>
      <c r="G561" s="2283"/>
      <c r="H561" s="2268"/>
      <c r="I561" s="2269"/>
      <c r="J561" s="2269"/>
      <c r="K561" s="2269"/>
      <c r="L561" s="2269"/>
      <c r="M561" s="2270"/>
      <c r="N561" s="2270"/>
      <c r="O561" s="2270"/>
      <c r="P561" s="2269"/>
      <c r="Q561" s="2269"/>
      <c r="R561" s="2269"/>
      <c r="S561" s="2269"/>
      <c r="T561" s="2269"/>
      <c r="U561" s="2269"/>
      <c r="V561" s="2269"/>
      <c r="W561" s="2269"/>
      <c r="X561" s="2269"/>
      <c r="Y561" s="2269"/>
      <c r="Z561" s="2269"/>
      <c r="AA561" s="2269"/>
    </row>
    <row r="562" spans="1:27" ht="13.5" customHeight="1" x14ac:dyDescent="0.3">
      <c r="A562" s="2269"/>
      <c r="B562" s="2269"/>
      <c r="C562" s="2272"/>
      <c r="D562" s="2358"/>
      <c r="E562" s="2358"/>
      <c r="F562" s="2358"/>
      <c r="G562" s="2283"/>
      <c r="H562" s="2268"/>
      <c r="I562" s="2269"/>
      <c r="J562" s="2269"/>
      <c r="K562" s="2269"/>
      <c r="L562" s="2269"/>
      <c r="M562" s="2270"/>
      <c r="N562" s="2270"/>
      <c r="O562" s="2270"/>
      <c r="P562" s="2269"/>
      <c r="Q562" s="2269"/>
      <c r="R562" s="2269"/>
      <c r="S562" s="2269"/>
      <c r="T562" s="2269"/>
      <c r="U562" s="2269"/>
      <c r="V562" s="2269"/>
      <c r="W562" s="2269"/>
      <c r="X562" s="2269"/>
      <c r="Y562" s="2269"/>
      <c r="Z562" s="2269"/>
      <c r="AA562" s="2269"/>
    </row>
    <row r="563" spans="1:27" ht="13.5" customHeight="1" x14ac:dyDescent="0.3">
      <c r="A563" s="2269"/>
      <c r="B563" s="2269"/>
      <c r="C563" s="2272"/>
      <c r="D563" s="2358"/>
      <c r="E563" s="2358"/>
      <c r="F563" s="2358"/>
      <c r="G563" s="2283"/>
      <c r="H563" s="2268"/>
      <c r="I563" s="2269"/>
      <c r="J563" s="2269"/>
      <c r="K563" s="2269"/>
      <c r="L563" s="2269"/>
      <c r="M563" s="2270"/>
      <c r="N563" s="2270"/>
      <c r="O563" s="2270"/>
      <c r="P563" s="2269"/>
      <c r="Q563" s="2269"/>
      <c r="R563" s="2269"/>
      <c r="S563" s="2269"/>
      <c r="T563" s="2269"/>
      <c r="U563" s="2269"/>
      <c r="V563" s="2269"/>
      <c r="W563" s="2269"/>
      <c r="X563" s="2269"/>
      <c r="Y563" s="2269"/>
      <c r="Z563" s="2269"/>
      <c r="AA563" s="2269"/>
    </row>
    <row r="564" spans="1:27" ht="13.5" customHeight="1" x14ac:dyDescent="0.3">
      <c r="A564" s="2269"/>
      <c r="B564" s="2269"/>
      <c r="C564" s="2272"/>
      <c r="D564" s="2358"/>
      <c r="E564" s="2358"/>
      <c r="F564" s="2358"/>
      <c r="G564" s="2283"/>
      <c r="H564" s="2268"/>
      <c r="I564" s="2269"/>
      <c r="J564" s="2269"/>
      <c r="K564" s="2269"/>
      <c r="L564" s="2269"/>
      <c r="M564" s="2270"/>
      <c r="N564" s="2270"/>
      <c r="O564" s="2270"/>
      <c r="P564" s="2269"/>
      <c r="Q564" s="2269"/>
      <c r="R564" s="2269"/>
      <c r="S564" s="2269"/>
      <c r="T564" s="2269"/>
      <c r="U564" s="2269"/>
      <c r="V564" s="2269"/>
      <c r="W564" s="2269"/>
      <c r="X564" s="2269"/>
      <c r="Y564" s="2269"/>
      <c r="Z564" s="2269"/>
      <c r="AA564" s="2269"/>
    </row>
    <row r="565" spans="1:27" ht="13.5" customHeight="1" x14ac:dyDescent="0.3">
      <c r="A565" s="2269"/>
      <c r="B565" s="2269"/>
      <c r="C565" s="2272"/>
      <c r="D565" s="2358"/>
      <c r="E565" s="2358"/>
      <c r="F565" s="2358"/>
      <c r="G565" s="2283"/>
      <c r="H565" s="2268"/>
      <c r="I565" s="2269"/>
      <c r="J565" s="2269"/>
      <c r="K565" s="2269"/>
      <c r="L565" s="2269"/>
      <c r="M565" s="2270"/>
      <c r="N565" s="2270"/>
      <c r="O565" s="2270"/>
      <c r="P565" s="2269"/>
      <c r="Q565" s="2269"/>
      <c r="R565" s="2269"/>
      <c r="S565" s="2269"/>
      <c r="T565" s="2269"/>
      <c r="U565" s="2269"/>
      <c r="V565" s="2269"/>
      <c r="W565" s="2269"/>
      <c r="X565" s="2269"/>
      <c r="Y565" s="2269"/>
      <c r="Z565" s="2269"/>
      <c r="AA565" s="2269"/>
    </row>
    <row r="566" spans="1:27" ht="13.5" customHeight="1" x14ac:dyDescent="0.3">
      <c r="A566" s="2269"/>
      <c r="B566" s="2269"/>
      <c r="C566" s="2272"/>
      <c r="D566" s="2358"/>
      <c r="E566" s="2358"/>
      <c r="F566" s="2358"/>
      <c r="G566" s="2283"/>
      <c r="H566" s="2268"/>
      <c r="I566" s="2269"/>
      <c r="J566" s="2269"/>
      <c r="K566" s="2269"/>
      <c r="L566" s="2269"/>
      <c r="M566" s="2270"/>
      <c r="N566" s="2270"/>
      <c r="O566" s="2270"/>
      <c r="P566" s="2269"/>
      <c r="Q566" s="2269"/>
      <c r="R566" s="2269"/>
      <c r="S566" s="2269"/>
      <c r="T566" s="2269"/>
      <c r="U566" s="2269"/>
      <c r="V566" s="2269"/>
      <c r="W566" s="2269"/>
      <c r="X566" s="2269"/>
      <c r="Y566" s="2269"/>
      <c r="Z566" s="2269"/>
      <c r="AA566" s="2269"/>
    </row>
    <row r="567" spans="1:27" ht="13.5" customHeight="1" x14ac:dyDescent="0.3">
      <c r="A567" s="2269"/>
      <c r="B567" s="2269"/>
      <c r="C567" s="2272"/>
      <c r="D567" s="2358"/>
      <c r="E567" s="2358"/>
      <c r="F567" s="2358"/>
      <c r="G567" s="2283"/>
      <c r="H567" s="2268"/>
      <c r="I567" s="2269"/>
      <c r="J567" s="2269"/>
      <c r="K567" s="2269"/>
      <c r="L567" s="2269"/>
      <c r="M567" s="2270"/>
      <c r="N567" s="2270"/>
      <c r="O567" s="2270"/>
      <c r="P567" s="2269"/>
      <c r="Q567" s="2269"/>
      <c r="R567" s="2269"/>
      <c r="S567" s="2269"/>
      <c r="T567" s="2269"/>
      <c r="U567" s="2269"/>
      <c r="V567" s="2269"/>
      <c r="W567" s="2269"/>
      <c r="X567" s="2269"/>
      <c r="Y567" s="2269"/>
      <c r="Z567" s="2269"/>
      <c r="AA567" s="2269"/>
    </row>
    <row r="568" spans="1:27" ht="13.5" customHeight="1" x14ac:dyDescent="0.3">
      <c r="A568" s="2269"/>
      <c r="B568" s="2269"/>
      <c r="C568" s="2272"/>
      <c r="D568" s="2358"/>
      <c r="E568" s="2358"/>
      <c r="F568" s="2358"/>
      <c r="G568" s="2283"/>
      <c r="H568" s="2268"/>
      <c r="I568" s="2269"/>
      <c r="J568" s="2269"/>
      <c r="K568" s="2269"/>
      <c r="L568" s="2269"/>
      <c r="M568" s="2270"/>
      <c r="N568" s="2270"/>
      <c r="O568" s="2270"/>
      <c r="P568" s="2269"/>
      <c r="Q568" s="2269"/>
      <c r="R568" s="2269"/>
      <c r="S568" s="2269"/>
      <c r="T568" s="2269"/>
      <c r="U568" s="2269"/>
      <c r="V568" s="2269"/>
      <c r="W568" s="2269"/>
      <c r="X568" s="2269"/>
      <c r="Y568" s="2269"/>
      <c r="Z568" s="2269"/>
      <c r="AA568" s="2269"/>
    </row>
    <row r="569" spans="1:27" ht="13.5" customHeight="1" x14ac:dyDescent="0.3">
      <c r="A569" s="2269"/>
      <c r="B569" s="2269"/>
      <c r="C569" s="2272"/>
      <c r="D569" s="2358"/>
      <c r="E569" s="2358"/>
      <c r="F569" s="2358"/>
      <c r="G569" s="2283"/>
      <c r="H569" s="2268"/>
      <c r="I569" s="2269"/>
      <c r="J569" s="2269"/>
      <c r="K569" s="2269"/>
      <c r="L569" s="2269"/>
      <c r="M569" s="2270"/>
      <c r="N569" s="2270"/>
      <c r="O569" s="2270"/>
      <c r="P569" s="2269"/>
      <c r="Q569" s="2269"/>
      <c r="R569" s="2269"/>
      <c r="S569" s="2269"/>
      <c r="T569" s="2269"/>
      <c r="U569" s="2269"/>
      <c r="V569" s="2269"/>
      <c r="W569" s="2269"/>
      <c r="X569" s="2269"/>
      <c r="Y569" s="2269"/>
      <c r="Z569" s="2269"/>
      <c r="AA569" s="2269"/>
    </row>
    <row r="570" spans="1:27" ht="13.5" customHeight="1" x14ac:dyDescent="0.3">
      <c r="A570" s="2269"/>
      <c r="B570" s="2269"/>
      <c r="C570" s="2272"/>
      <c r="D570" s="2358"/>
      <c r="E570" s="2358"/>
      <c r="F570" s="2358"/>
      <c r="G570" s="2283"/>
      <c r="H570" s="2268"/>
      <c r="I570" s="2269"/>
      <c r="J570" s="2269"/>
      <c r="K570" s="2269"/>
      <c r="L570" s="2269"/>
      <c r="M570" s="2270"/>
      <c r="N570" s="2270"/>
      <c r="O570" s="2270"/>
      <c r="P570" s="2269"/>
      <c r="Q570" s="2269"/>
      <c r="R570" s="2269"/>
      <c r="S570" s="2269"/>
      <c r="T570" s="2269"/>
      <c r="U570" s="2269"/>
      <c r="V570" s="2269"/>
      <c r="W570" s="2269"/>
      <c r="X570" s="2269"/>
      <c r="Y570" s="2269"/>
      <c r="Z570" s="2269"/>
      <c r="AA570" s="2269"/>
    </row>
    <row r="571" spans="1:27" ht="13.5" customHeight="1" x14ac:dyDescent="0.3">
      <c r="A571" s="2269"/>
      <c r="B571" s="2269"/>
      <c r="C571" s="2272"/>
      <c r="D571" s="2358"/>
      <c r="E571" s="2358"/>
      <c r="F571" s="2358"/>
      <c r="G571" s="2283"/>
      <c r="H571" s="2268"/>
      <c r="I571" s="2269"/>
      <c r="J571" s="2269"/>
      <c r="K571" s="2269"/>
      <c r="L571" s="2269"/>
      <c r="M571" s="2270"/>
      <c r="N571" s="2270"/>
      <c r="O571" s="2270"/>
      <c r="P571" s="2269"/>
      <c r="Q571" s="2269"/>
      <c r="R571" s="2269"/>
      <c r="S571" s="2269"/>
      <c r="T571" s="2269"/>
      <c r="U571" s="2269"/>
      <c r="V571" s="2269"/>
      <c r="W571" s="2269"/>
      <c r="X571" s="2269"/>
      <c r="Y571" s="2269"/>
      <c r="Z571" s="2269"/>
      <c r="AA571" s="2269"/>
    </row>
    <row r="572" spans="1:27" ht="13.5" customHeight="1" x14ac:dyDescent="0.3">
      <c r="A572" s="2269"/>
      <c r="B572" s="2269"/>
      <c r="C572" s="2272"/>
      <c r="D572" s="2358"/>
      <c r="E572" s="2358"/>
      <c r="F572" s="2358"/>
      <c r="G572" s="2283"/>
      <c r="H572" s="2268"/>
      <c r="I572" s="2269"/>
      <c r="J572" s="2269"/>
      <c r="K572" s="2269"/>
      <c r="L572" s="2269"/>
      <c r="M572" s="2270"/>
      <c r="N572" s="2270"/>
      <c r="O572" s="2270"/>
      <c r="P572" s="2269"/>
      <c r="Q572" s="2269"/>
      <c r="R572" s="2269"/>
      <c r="S572" s="2269"/>
      <c r="T572" s="2269"/>
      <c r="U572" s="2269"/>
      <c r="V572" s="2269"/>
      <c r="W572" s="2269"/>
      <c r="X572" s="2269"/>
      <c r="Y572" s="2269"/>
      <c r="Z572" s="2269"/>
      <c r="AA572" s="2269"/>
    </row>
    <row r="573" spans="1:27" ht="13.5" customHeight="1" x14ac:dyDescent="0.3">
      <c r="A573" s="2269"/>
      <c r="B573" s="2269"/>
      <c r="C573" s="2272"/>
      <c r="D573" s="2358"/>
      <c r="E573" s="2358"/>
      <c r="F573" s="2358"/>
      <c r="G573" s="2283"/>
      <c r="H573" s="2268"/>
      <c r="I573" s="2269"/>
      <c r="J573" s="2269"/>
      <c r="K573" s="2269"/>
      <c r="L573" s="2269"/>
      <c r="M573" s="2270"/>
      <c r="N573" s="2270"/>
      <c r="O573" s="2270"/>
      <c r="P573" s="2269"/>
      <c r="Q573" s="2269"/>
      <c r="R573" s="2269"/>
      <c r="S573" s="2269"/>
      <c r="T573" s="2269"/>
      <c r="U573" s="2269"/>
      <c r="V573" s="2269"/>
      <c r="W573" s="2269"/>
      <c r="X573" s="2269"/>
      <c r="Y573" s="2269"/>
      <c r="Z573" s="2269"/>
      <c r="AA573" s="2269"/>
    </row>
    <row r="574" spans="1:27" ht="13.5" customHeight="1" x14ac:dyDescent="0.3">
      <c r="A574" s="2269"/>
      <c r="B574" s="2269"/>
      <c r="C574" s="2272"/>
      <c r="D574" s="2358"/>
      <c r="E574" s="2358"/>
      <c r="F574" s="2358"/>
      <c r="G574" s="2283"/>
      <c r="H574" s="2268"/>
      <c r="I574" s="2269"/>
      <c r="J574" s="2269"/>
      <c r="K574" s="2269"/>
      <c r="L574" s="2269"/>
      <c r="M574" s="2270"/>
      <c r="N574" s="2270"/>
      <c r="O574" s="2270"/>
      <c r="P574" s="2269"/>
      <c r="Q574" s="2269"/>
      <c r="R574" s="2269"/>
      <c r="S574" s="2269"/>
      <c r="T574" s="2269"/>
      <c r="U574" s="2269"/>
      <c r="V574" s="2269"/>
      <c r="W574" s="2269"/>
      <c r="X574" s="2269"/>
      <c r="Y574" s="2269"/>
      <c r="Z574" s="2269"/>
      <c r="AA574" s="2269"/>
    </row>
    <row r="575" spans="1:27" ht="13.5" customHeight="1" x14ac:dyDescent="0.3">
      <c r="A575" s="2269"/>
      <c r="B575" s="2269"/>
      <c r="C575" s="2272"/>
      <c r="D575" s="2358"/>
      <c r="E575" s="2358"/>
      <c r="F575" s="2358"/>
      <c r="G575" s="2283"/>
      <c r="H575" s="2268"/>
      <c r="I575" s="2269"/>
      <c r="J575" s="2269"/>
      <c r="K575" s="2269"/>
      <c r="L575" s="2269"/>
      <c r="M575" s="2270"/>
      <c r="N575" s="2270"/>
      <c r="O575" s="2270"/>
      <c r="P575" s="2269"/>
      <c r="Q575" s="2269"/>
      <c r="R575" s="2269"/>
      <c r="S575" s="2269"/>
      <c r="T575" s="2269"/>
      <c r="U575" s="2269"/>
      <c r="V575" s="2269"/>
      <c r="W575" s="2269"/>
      <c r="X575" s="2269"/>
      <c r="Y575" s="2269"/>
      <c r="Z575" s="2269"/>
      <c r="AA575" s="2269"/>
    </row>
    <row r="576" spans="1:27" ht="13.5" customHeight="1" x14ac:dyDescent="0.3">
      <c r="A576" s="2269"/>
      <c r="B576" s="2269"/>
      <c r="C576" s="2272"/>
      <c r="D576" s="2358"/>
      <c r="E576" s="2358"/>
      <c r="F576" s="2358"/>
      <c r="G576" s="2283"/>
      <c r="H576" s="2268"/>
      <c r="I576" s="2269"/>
      <c r="J576" s="2269"/>
      <c r="K576" s="2269"/>
      <c r="L576" s="2269"/>
      <c r="M576" s="2270"/>
      <c r="N576" s="2270"/>
      <c r="O576" s="2270"/>
      <c r="P576" s="2269"/>
      <c r="Q576" s="2269"/>
      <c r="R576" s="2269"/>
      <c r="S576" s="2269"/>
      <c r="T576" s="2269"/>
      <c r="U576" s="2269"/>
      <c r="V576" s="2269"/>
      <c r="W576" s="2269"/>
      <c r="X576" s="2269"/>
      <c r="Y576" s="2269"/>
      <c r="Z576" s="2269"/>
      <c r="AA576" s="2269"/>
    </row>
    <row r="577" spans="1:27" ht="13.5" customHeight="1" x14ac:dyDescent="0.3">
      <c r="A577" s="2269"/>
      <c r="B577" s="2269"/>
      <c r="C577" s="2272"/>
      <c r="D577" s="2358"/>
      <c r="E577" s="2358"/>
      <c r="F577" s="2358"/>
      <c r="G577" s="2283"/>
      <c r="H577" s="2268"/>
      <c r="I577" s="2269"/>
      <c r="J577" s="2269"/>
      <c r="K577" s="2269"/>
      <c r="L577" s="2269"/>
      <c r="M577" s="2270"/>
      <c r="N577" s="2270"/>
      <c r="O577" s="2270"/>
      <c r="P577" s="2269"/>
      <c r="Q577" s="2269"/>
      <c r="R577" s="2269"/>
      <c r="S577" s="2269"/>
      <c r="T577" s="2269"/>
      <c r="U577" s="2269"/>
      <c r="V577" s="2269"/>
      <c r="W577" s="2269"/>
      <c r="X577" s="2269"/>
      <c r="Y577" s="2269"/>
      <c r="Z577" s="2269"/>
      <c r="AA577" s="2269"/>
    </row>
    <row r="578" spans="1:27" ht="13.5" customHeight="1" x14ac:dyDescent="0.3">
      <c r="A578" s="2269"/>
      <c r="B578" s="2269"/>
      <c r="C578" s="2272"/>
      <c r="D578" s="2358"/>
      <c r="E578" s="2358"/>
      <c r="F578" s="2358"/>
      <c r="G578" s="2283"/>
      <c r="H578" s="2268"/>
      <c r="I578" s="2269"/>
      <c r="J578" s="2269"/>
      <c r="K578" s="2269"/>
      <c r="L578" s="2269"/>
      <c r="M578" s="2270"/>
      <c r="N578" s="2270"/>
      <c r="O578" s="2270"/>
      <c r="P578" s="2269"/>
      <c r="Q578" s="2269"/>
      <c r="R578" s="2269"/>
      <c r="S578" s="2269"/>
      <c r="T578" s="2269"/>
      <c r="U578" s="2269"/>
      <c r="V578" s="2269"/>
      <c r="W578" s="2269"/>
      <c r="X578" s="2269"/>
      <c r="Y578" s="2269"/>
      <c r="Z578" s="2269"/>
      <c r="AA578" s="2269"/>
    </row>
    <row r="579" spans="1:27" ht="13.5" customHeight="1" x14ac:dyDescent="0.3">
      <c r="A579" s="2269"/>
      <c r="B579" s="2269"/>
      <c r="C579" s="2272"/>
      <c r="D579" s="2358"/>
      <c r="E579" s="2358"/>
      <c r="F579" s="2358"/>
      <c r="G579" s="2283"/>
      <c r="H579" s="2268"/>
      <c r="I579" s="2269"/>
      <c r="J579" s="2269"/>
      <c r="K579" s="2269"/>
      <c r="L579" s="2269"/>
      <c r="M579" s="2270"/>
      <c r="N579" s="2270"/>
      <c r="O579" s="2270"/>
      <c r="P579" s="2269"/>
      <c r="Q579" s="2269"/>
      <c r="R579" s="2269"/>
      <c r="S579" s="2269"/>
      <c r="T579" s="2269"/>
      <c r="U579" s="2269"/>
      <c r="V579" s="2269"/>
      <c r="W579" s="2269"/>
      <c r="X579" s="2269"/>
      <c r="Y579" s="2269"/>
      <c r="Z579" s="2269"/>
      <c r="AA579" s="2269"/>
    </row>
    <row r="580" spans="1:27" ht="13.5" customHeight="1" x14ac:dyDescent="0.3">
      <c r="A580" s="2269"/>
      <c r="B580" s="2269"/>
      <c r="C580" s="2272"/>
      <c r="D580" s="2358"/>
      <c r="E580" s="2358"/>
      <c r="F580" s="2358"/>
      <c r="G580" s="2283"/>
      <c r="H580" s="2268"/>
      <c r="I580" s="2269"/>
      <c r="J580" s="2269"/>
      <c r="K580" s="2269"/>
      <c r="L580" s="2269"/>
      <c r="M580" s="2270"/>
      <c r="N580" s="2270"/>
      <c r="O580" s="2270"/>
      <c r="P580" s="2269"/>
      <c r="Q580" s="2269"/>
      <c r="R580" s="2269"/>
      <c r="S580" s="2269"/>
      <c r="T580" s="2269"/>
      <c r="U580" s="2269"/>
      <c r="V580" s="2269"/>
      <c r="W580" s="2269"/>
      <c r="X580" s="2269"/>
      <c r="Y580" s="2269"/>
      <c r="Z580" s="2269"/>
      <c r="AA580" s="2269"/>
    </row>
    <row r="581" spans="1:27" ht="13.5" customHeight="1" x14ac:dyDescent="0.3">
      <c r="A581" s="2269"/>
      <c r="B581" s="2269"/>
      <c r="C581" s="2272"/>
      <c r="D581" s="2358"/>
      <c r="E581" s="2358"/>
      <c r="F581" s="2358"/>
      <c r="G581" s="2283"/>
      <c r="H581" s="2268"/>
      <c r="I581" s="2269"/>
      <c r="J581" s="2269"/>
      <c r="K581" s="2269"/>
      <c r="L581" s="2269"/>
      <c r="M581" s="2270"/>
      <c r="N581" s="2270"/>
      <c r="O581" s="2270"/>
      <c r="P581" s="2269"/>
      <c r="Q581" s="2269"/>
      <c r="R581" s="2269"/>
      <c r="S581" s="2269"/>
      <c r="T581" s="2269"/>
      <c r="U581" s="2269"/>
      <c r="V581" s="2269"/>
      <c r="W581" s="2269"/>
      <c r="X581" s="2269"/>
      <c r="Y581" s="2269"/>
      <c r="Z581" s="2269"/>
      <c r="AA581" s="2269"/>
    </row>
    <row r="582" spans="1:27" ht="13.5" customHeight="1" x14ac:dyDescent="0.3">
      <c r="A582" s="2269"/>
      <c r="B582" s="2269"/>
      <c r="C582" s="2272"/>
      <c r="D582" s="2358"/>
      <c r="E582" s="2358"/>
      <c r="F582" s="2358"/>
      <c r="G582" s="2283"/>
      <c r="H582" s="2268"/>
      <c r="I582" s="2269"/>
      <c r="J582" s="2269"/>
      <c r="K582" s="2269"/>
      <c r="L582" s="2269"/>
      <c r="M582" s="2270"/>
      <c r="N582" s="2270"/>
      <c r="O582" s="2270"/>
      <c r="P582" s="2269"/>
      <c r="Q582" s="2269"/>
      <c r="R582" s="2269"/>
      <c r="S582" s="2269"/>
      <c r="T582" s="2269"/>
      <c r="U582" s="2269"/>
      <c r="V582" s="2269"/>
      <c r="W582" s="2269"/>
      <c r="X582" s="2269"/>
      <c r="Y582" s="2269"/>
      <c r="Z582" s="2269"/>
      <c r="AA582" s="2269"/>
    </row>
    <row r="583" spans="1:27" ht="13.5" customHeight="1" x14ac:dyDescent="0.3">
      <c r="A583" s="2269"/>
      <c r="B583" s="2269"/>
      <c r="C583" s="2272"/>
      <c r="D583" s="2358"/>
      <c r="E583" s="2358"/>
      <c r="F583" s="2358"/>
      <c r="G583" s="2283"/>
      <c r="H583" s="2268"/>
      <c r="I583" s="2269"/>
      <c r="J583" s="2269"/>
      <c r="K583" s="2269"/>
      <c r="L583" s="2269"/>
      <c r="M583" s="2270"/>
      <c r="N583" s="2270"/>
      <c r="O583" s="2270"/>
      <c r="P583" s="2269"/>
      <c r="Q583" s="2269"/>
      <c r="R583" s="2269"/>
      <c r="S583" s="2269"/>
      <c r="T583" s="2269"/>
      <c r="U583" s="2269"/>
      <c r="V583" s="2269"/>
      <c r="W583" s="2269"/>
      <c r="X583" s="2269"/>
      <c r="Y583" s="2269"/>
      <c r="Z583" s="2269"/>
      <c r="AA583" s="2269"/>
    </row>
    <row r="584" spans="1:27" ht="13.5" customHeight="1" x14ac:dyDescent="0.3">
      <c r="A584" s="2269"/>
      <c r="B584" s="2269"/>
      <c r="C584" s="2272"/>
      <c r="D584" s="2358"/>
      <c r="E584" s="2358"/>
      <c r="F584" s="2358"/>
      <c r="G584" s="2283"/>
      <c r="H584" s="2268"/>
      <c r="I584" s="2269"/>
      <c r="J584" s="2269"/>
      <c r="K584" s="2269"/>
      <c r="L584" s="2269"/>
      <c r="M584" s="2270"/>
      <c r="N584" s="2270"/>
      <c r="O584" s="2270"/>
      <c r="P584" s="2269"/>
      <c r="Q584" s="2269"/>
      <c r="R584" s="2269"/>
      <c r="S584" s="2269"/>
      <c r="T584" s="2269"/>
      <c r="U584" s="2269"/>
      <c r="V584" s="2269"/>
      <c r="W584" s="2269"/>
      <c r="X584" s="2269"/>
      <c r="Y584" s="2269"/>
      <c r="Z584" s="2269"/>
      <c r="AA584" s="2269"/>
    </row>
    <row r="585" spans="1:27" ht="13.5" customHeight="1" x14ac:dyDescent="0.3">
      <c r="A585" s="2269"/>
      <c r="B585" s="2269"/>
      <c r="C585" s="2272"/>
      <c r="D585" s="2358"/>
      <c r="E585" s="2358"/>
      <c r="F585" s="2358"/>
      <c r="G585" s="2283"/>
      <c r="H585" s="2268"/>
      <c r="I585" s="2269"/>
      <c r="J585" s="2269"/>
      <c r="K585" s="2269"/>
      <c r="L585" s="2269"/>
      <c r="M585" s="2270"/>
      <c r="N585" s="2270"/>
      <c r="O585" s="2270"/>
      <c r="P585" s="2269"/>
      <c r="Q585" s="2269"/>
      <c r="R585" s="2269"/>
      <c r="S585" s="2269"/>
      <c r="T585" s="2269"/>
      <c r="U585" s="2269"/>
      <c r="V585" s="2269"/>
      <c r="W585" s="2269"/>
      <c r="X585" s="2269"/>
      <c r="Y585" s="2269"/>
      <c r="Z585" s="2269"/>
      <c r="AA585" s="2269"/>
    </row>
    <row r="586" spans="1:27" ht="13.5" customHeight="1" x14ac:dyDescent="0.3">
      <c r="A586" s="2269"/>
      <c r="B586" s="2269"/>
      <c r="C586" s="2272"/>
      <c r="D586" s="2358"/>
      <c r="E586" s="2358"/>
      <c r="F586" s="2358"/>
      <c r="G586" s="2283"/>
      <c r="H586" s="2268"/>
      <c r="I586" s="2269"/>
      <c r="J586" s="2269"/>
      <c r="K586" s="2269"/>
      <c r="L586" s="2269"/>
      <c r="M586" s="2270"/>
      <c r="N586" s="2270"/>
      <c r="O586" s="2270"/>
      <c r="P586" s="2269"/>
      <c r="Q586" s="2269"/>
      <c r="R586" s="2269"/>
      <c r="S586" s="2269"/>
      <c r="T586" s="2269"/>
      <c r="U586" s="2269"/>
      <c r="V586" s="2269"/>
      <c r="W586" s="2269"/>
      <c r="X586" s="2269"/>
      <c r="Y586" s="2269"/>
      <c r="Z586" s="2269"/>
      <c r="AA586" s="2269"/>
    </row>
    <row r="587" spans="1:27" ht="13.5" customHeight="1" x14ac:dyDescent="0.3">
      <c r="A587" s="2269"/>
      <c r="B587" s="2269"/>
      <c r="C587" s="2272"/>
      <c r="D587" s="2358"/>
      <c r="E587" s="2358"/>
      <c r="F587" s="2358"/>
      <c r="G587" s="2283"/>
      <c r="H587" s="2268"/>
      <c r="I587" s="2269"/>
      <c r="J587" s="2269"/>
      <c r="K587" s="2269"/>
      <c r="L587" s="2269"/>
      <c r="M587" s="2270"/>
      <c r="N587" s="2270"/>
      <c r="O587" s="2270"/>
      <c r="P587" s="2269"/>
      <c r="Q587" s="2269"/>
      <c r="R587" s="2269"/>
      <c r="S587" s="2269"/>
      <c r="T587" s="2269"/>
      <c r="U587" s="2269"/>
      <c r="V587" s="2269"/>
      <c r="W587" s="2269"/>
      <c r="X587" s="2269"/>
      <c r="Y587" s="2269"/>
      <c r="Z587" s="2269"/>
      <c r="AA587" s="2269"/>
    </row>
    <row r="588" spans="1:27" ht="13.5" customHeight="1" x14ac:dyDescent="0.3">
      <c r="A588" s="2269"/>
      <c r="B588" s="2269"/>
      <c r="C588" s="2272"/>
      <c r="D588" s="2358"/>
      <c r="E588" s="2358"/>
      <c r="F588" s="2358"/>
      <c r="G588" s="2283"/>
      <c r="H588" s="2268"/>
      <c r="I588" s="2269"/>
      <c r="J588" s="2269"/>
      <c r="K588" s="2269"/>
      <c r="L588" s="2269"/>
      <c r="M588" s="2270"/>
      <c r="N588" s="2270"/>
      <c r="O588" s="2270"/>
      <c r="P588" s="2269"/>
      <c r="Q588" s="2269"/>
      <c r="R588" s="2269"/>
      <c r="S588" s="2269"/>
      <c r="T588" s="2269"/>
      <c r="U588" s="2269"/>
      <c r="V588" s="2269"/>
      <c r="W588" s="2269"/>
      <c r="X588" s="2269"/>
      <c r="Y588" s="2269"/>
      <c r="Z588" s="2269"/>
      <c r="AA588" s="2269"/>
    </row>
    <row r="589" spans="1:27" ht="13.5" customHeight="1" x14ac:dyDescent="0.3">
      <c r="A589" s="2269"/>
      <c r="B589" s="2269"/>
      <c r="C589" s="2272"/>
      <c r="D589" s="2358"/>
      <c r="E589" s="2358"/>
      <c r="F589" s="2358"/>
      <c r="G589" s="2283"/>
      <c r="H589" s="2268"/>
      <c r="I589" s="2269"/>
      <c r="J589" s="2269"/>
      <c r="K589" s="2269"/>
      <c r="L589" s="2269"/>
      <c r="M589" s="2270"/>
      <c r="N589" s="2270"/>
      <c r="O589" s="2270"/>
      <c r="P589" s="2269"/>
      <c r="Q589" s="2269"/>
      <c r="R589" s="2269"/>
      <c r="S589" s="2269"/>
      <c r="T589" s="2269"/>
      <c r="U589" s="2269"/>
      <c r="V589" s="2269"/>
      <c r="W589" s="2269"/>
      <c r="X589" s="2269"/>
      <c r="Y589" s="2269"/>
      <c r="Z589" s="2269"/>
      <c r="AA589" s="2269"/>
    </row>
    <row r="590" spans="1:27" ht="13.5" customHeight="1" x14ac:dyDescent="0.3">
      <c r="A590" s="2269"/>
      <c r="B590" s="2269"/>
      <c r="C590" s="2272"/>
      <c r="D590" s="2358"/>
      <c r="E590" s="2358"/>
      <c r="F590" s="2358"/>
      <c r="G590" s="2283"/>
      <c r="H590" s="2268"/>
      <c r="I590" s="2269"/>
      <c r="J590" s="2269"/>
      <c r="K590" s="2269"/>
      <c r="L590" s="2269"/>
      <c r="M590" s="2270"/>
      <c r="N590" s="2270"/>
      <c r="O590" s="2270"/>
      <c r="P590" s="2269"/>
      <c r="Q590" s="2269"/>
      <c r="R590" s="2269"/>
      <c r="S590" s="2269"/>
      <c r="T590" s="2269"/>
      <c r="U590" s="2269"/>
      <c r="V590" s="2269"/>
      <c r="W590" s="2269"/>
      <c r="X590" s="2269"/>
      <c r="Y590" s="2269"/>
      <c r="Z590" s="2269"/>
      <c r="AA590" s="2269"/>
    </row>
    <row r="591" spans="1:27" ht="13.5" customHeight="1" x14ac:dyDescent="0.3">
      <c r="A591" s="2269"/>
      <c r="B591" s="2269"/>
      <c r="C591" s="2272"/>
      <c r="D591" s="2358"/>
      <c r="E591" s="2358"/>
      <c r="F591" s="2358"/>
      <c r="G591" s="2283"/>
      <c r="H591" s="2268"/>
      <c r="I591" s="2269"/>
      <c r="J591" s="2269"/>
      <c r="K591" s="2269"/>
      <c r="L591" s="2269"/>
      <c r="M591" s="2270"/>
      <c r="N591" s="2270"/>
      <c r="O591" s="2270"/>
      <c r="P591" s="2269"/>
      <c r="Q591" s="2269"/>
      <c r="R591" s="2269"/>
      <c r="S591" s="2269"/>
      <c r="T591" s="2269"/>
      <c r="U591" s="2269"/>
      <c r="V591" s="2269"/>
      <c r="W591" s="2269"/>
      <c r="X591" s="2269"/>
      <c r="Y591" s="2269"/>
      <c r="Z591" s="2269"/>
      <c r="AA591" s="2269"/>
    </row>
    <row r="592" spans="1:27" ht="13.5" customHeight="1" x14ac:dyDescent="0.3">
      <c r="A592" s="2269"/>
      <c r="B592" s="2269"/>
      <c r="C592" s="2272"/>
      <c r="D592" s="2358"/>
      <c r="E592" s="2358"/>
      <c r="F592" s="2358"/>
      <c r="G592" s="2283"/>
      <c r="H592" s="2268"/>
      <c r="I592" s="2269"/>
      <c r="J592" s="2269"/>
      <c r="K592" s="2269"/>
      <c r="L592" s="2269"/>
      <c r="M592" s="2270"/>
      <c r="N592" s="2270"/>
      <c r="O592" s="2270"/>
      <c r="P592" s="2269"/>
      <c r="Q592" s="2269"/>
      <c r="R592" s="2269"/>
      <c r="S592" s="2269"/>
      <c r="T592" s="2269"/>
      <c r="U592" s="2269"/>
      <c r="V592" s="2269"/>
      <c r="W592" s="2269"/>
      <c r="X592" s="2269"/>
      <c r="Y592" s="2269"/>
      <c r="Z592" s="2269"/>
      <c r="AA592" s="2269"/>
    </row>
    <row r="593" spans="1:27" ht="13.5" customHeight="1" x14ac:dyDescent="0.3">
      <c r="A593" s="2269"/>
      <c r="B593" s="2269"/>
      <c r="C593" s="2272"/>
      <c r="D593" s="2358"/>
      <c r="E593" s="2358"/>
      <c r="F593" s="2358"/>
      <c r="G593" s="2283"/>
      <c r="H593" s="2268"/>
      <c r="I593" s="2269"/>
      <c r="J593" s="2269"/>
      <c r="K593" s="2269"/>
      <c r="L593" s="2269"/>
      <c r="M593" s="2270"/>
      <c r="N593" s="2270"/>
      <c r="O593" s="2270"/>
      <c r="P593" s="2269"/>
      <c r="Q593" s="2269"/>
      <c r="R593" s="2269"/>
      <c r="S593" s="2269"/>
      <c r="T593" s="2269"/>
      <c r="U593" s="2269"/>
      <c r="V593" s="2269"/>
      <c r="W593" s="2269"/>
      <c r="X593" s="2269"/>
      <c r="Y593" s="2269"/>
      <c r="Z593" s="2269"/>
      <c r="AA593" s="2269"/>
    </row>
    <row r="594" spans="1:27" ht="13.5" customHeight="1" x14ac:dyDescent="0.3">
      <c r="A594" s="2269"/>
      <c r="B594" s="2269"/>
      <c r="C594" s="2272"/>
      <c r="D594" s="2358"/>
      <c r="E594" s="2358"/>
      <c r="F594" s="2358"/>
      <c r="G594" s="2283"/>
      <c r="H594" s="2268"/>
      <c r="I594" s="2269"/>
      <c r="J594" s="2269"/>
      <c r="K594" s="2269"/>
      <c r="L594" s="2269"/>
      <c r="M594" s="2270"/>
      <c r="N594" s="2270"/>
      <c r="O594" s="2270"/>
      <c r="P594" s="2269"/>
      <c r="Q594" s="2269"/>
      <c r="R594" s="2269"/>
      <c r="S594" s="2269"/>
      <c r="T594" s="2269"/>
      <c r="U594" s="2269"/>
      <c r="V594" s="2269"/>
      <c r="W594" s="2269"/>
      <c r="X594" s="2269"/>
      <c r="Y594" s="2269"/>
      <c r="Z594" s="2269"/>
      <c r="AA594" s="2269"/>
    </row>
    <row r="595" spans="1:27" ht="13.5" customHeight="1" x14ac:dyDescent="0.3">
      <c r="A595" s="2269"/>
      <c r="B595" s="2269"/>
      <c r="C595" s="2272"/>
      <c r="D595" s="2358"/>
      <c r="E595" s="2358"/>
      <c r="F595" s="2358"/>
      <c r="G595" s="2283"/>
      <c r="H595" s="2268"/>
      <c r="I595" s="2269"/>
      <c r="J595" s="2269"/>
      <c r="K595" s="2269"/>
      <c r="L595" s="2269"/>
      <c r="M595" s="2270"/>
      <c r="N595" s="2270"/>
      <c r="O595" s="2270"/>
      <c r="P595" s="2269"/>
      <c r="Q595" s="2269"/>
      <c r="R595" s="2269"/>
      <c r="S595" s="2269"/>
      <c r="T595" s="2269"/>
      <c r="U595" s="2269"/>
      <c r="V595" s="2269"/>
      <c r="W595" s="2269"/>
      <c r="X595" s="2269"/>
      <c r="Y595" s="2269"/>
      <c r="Z595" s="2269"/>
      <c r="AA595" s="2269"/>
    </row>
    <row r="596" spans="1:27" ht="13.5" customHeight="1" x14ac:dyDescent="0.3">
      <c r="A596" s="2269"/>
      <c r="B596" s="2269"/>
      <c r="C596" s="2272"/>
      <c r="D596" s="2358"/>
      <c r="E596" s="2358"/>
      <c r="F596" s="2358"/>
      <c r="G596" s="2283"/>
      <c r="H596" s="2268"/>
      <c r="I596" s="2269"/>
      <c r="J596" s="2269"/>
      <c r="K596" s="2269"/>
      <c r="L596" s="2269"/>
      <c r="M596" s="2270"/>
      <c r="N596" s="2270"/>
      <c r="O596" s="2270"/>
      <c r="P596" s="2269"/>
      <c r="Q596" s="2269"/>
      <c r="R596" s="2269"/>
      <c r="S596" s="2269"/>
      <c r="T596" s="2269"/>
      <c r="U596" s="2269"/>
      <c r="V596" s="2269"/>
      <c r="W596" s="2269"/>
      <c r="X596" s="2269"/>
      <c r="Y596" s="2269"/>
      <c r="Z596" s="2269"/>
      <c r="AA596" s="2269"/>
    </row>
    <row r="597" spans="1:27" ht="13.5" customHeight="1" x14ac:dyDescent="0.3">
      <c r="A597" s="2269"/>
      <c r="B597" s="2269"/>
      <c r="C597" s="2272"/>
      <c r="D597" s="2358"/>
      <c r="E597" s="2358"/>
      <c r="F597" s="2358"/>
      <c r="G597" s="2283"/>
      <c r="H597" s="2268"/>
      <c r="I597" s="2269"/>
      <c r="J597" s="2269"/>
      <c r="K597" s="2269"/>
      <c r="L597" s="2269"/>
      <c r="M597" s="2270"/>
      <c r="N597" s="2270"/>
      <c r="O597" s="2270"/>
      <c r="P597" s="2269"/>
      <c r="Q597" s="2269"/>
      <c r="R597" s="2269"/>
      <c r="S597" s="2269"/>
      <c r="T597" s="2269"/>
      <c r="U597" s="2269"/>
      <c r="V597" s="2269"/>
      <c r="W597" s="2269"/>
      <c r="X597" s="2269"/>
      <c r="Y597" s="2269"/>
      <c r="Z597" s="2269"/>
      <c r="AA597" s="2269"/>
    </row>
    <row r="598" spans="1:27" ht="13.5" customHeight="1" x14ac:dyDescent="0.3">
      <c r="A598" s="2269"/>
      <c r="B598" s="2269"/>
      <c r="C598" s="2272"/>
      <c r="D598" s="2358"/>
      <c r="E598" s="2358"/>
      <c r="F598" s="2358"/>
      <c r="G598" s="2283"/>
      <c r="H598" s="2268"/>
      <c r="I598" s="2269"/>
      <c r="J598" s="2269"/>
      <c r="K598" s="2269"/>
      <c r="L598" s="2269"/>
      <c r="M598" s="2270"/>
      <c r="N598" s="2270"/>
      <c r="O598" s="2270"/>
      <c r="P598" s="2269"/>
      <c r="Q598" s="2269"/>
      <c r="R598" s="2269"/>
      <c r="S598" s="2269"/>
      <c r="T598" s="2269"/>
      <c r="U598" s="2269"/>
      <c r="V598" s="2269"/>
      <c r="W598" s="2269"/>
      <c r="X598" s="2269"/>
      <c r="Y598" s="2269"/>
      <c r="Z598" s="2269"/>
      <c r="AA598" s="2269"/>
    </row>
    <row r="599" spans="1:27" ht="13.5" customHeight="1" x14ac:dyDescent="0.3">
      <c r="A599" s="2269"/>
      <c r="B599" s="2269"/>
      <c r="C599" s="2272"/>
      <c r="D599" s="2358"/>
      <c r="E599" s="2358"/>
      <c r="F599" s="2358"/>
      <c r="G599" s="2283"/>
      <c r="H599" s="2268"/>
      <c r="I599" s="2269"/>
      <c r="J599" s="2269"/>
      <c r="K599" s="2269"/>
      <c r="L599" s="2269"/>
      <c r="M599" s="2270"/>
      <c r="N599" s="2270"/>
      <c r="O599" s="2270"/>
      <c r="P599" s="2269"/>
      <c r="Q599" s="2269"/>
      <c r="R599" s="2269"/>
      <c r="S599" s="2269"/>
      <c r="T599" s="2269"/>
      <c r="U599" s="2269"/>
      <c r="V599" s="2269"/>
      <c r="W599" s="2269"/>
      <c r="X599" s="2269"/>
      <c r="Y599" s="2269"/>
      <c r="Z599" s="2269"/>
      <c r="AA599" s="2269"/>
    </row>
    <row r="600" spans="1:27" ht="13.5" customHeight="1" x14ac:dyDescent="0.3">
      <c r="A600" s="2269"/>
      <c r="B600" s="2269"/>
      <c r="C600" s="2272"/>
      <c r="D600" s="2358"/>
      <c r="E600" s="2358"/>
      <c r="F600" s="2358"/>
      <c r="G600" s="2283"/>
      <c r="H600" s="2268"/>
      <c r="I600" s="2269"/>
      <c r="J600" s="2269"/>
      <c r="K600" s="2269"/>
      <c r="L600" s="2269"/>
      <c r="M600" s="2270"/>
      <c r="N600" s="2270"/>
      <c r="O600" s="2270"/>
      <c r="P600" s="2269"/>
      <c r="Q600" s="2269"/>
      <c r="R600" s="2269"/>
      <c r="S600" s="2269"/>
      <c r="T600" s="2269"/>
      <c r="U600" s="2269"/>
      <c r="V600" s="2269"/>
      <c r="W600" s="2269"/>
      <c r="X600" s="2269"/>
      <c r="Y600" s="2269"/>
      <c r="Z600" s="2269"/>
      <c r="AA600" s="2269"/>
    </row>
    <row r="601" spans="1:27" ht="13.5" customHeight="1" x14ac:dyDescent="0.3">
      <c r="A601" s="2269"/>
      <c r="B601" s="2269"/>
      <c r="C601" s="2272"/>
      <c r="D601" s="2358"/>
      <c r="E601" s="2358"/>
      <c r="F601" s="2358"/>
      <c r="G601" s="2283"/>
      <c r="H601" s="2268"/>
      <c r="I601" s="2269"/>
      <c r="J601" s="2269"/>
      <c r="K601" s="2269"/>
      <c r="L601" s="2269"/>
      <c r="M601" s="2270"/>
      <c r="N601" s="2270"/>
      <c r="O601" s="2270"/>
      <c r="P601" s="2269"/>
      <c r="Q601" s="2269"/>
      <c r="R601" s="2269"/>
      <c r="S601" s="2269"/>
      <c r="T601" s="2269"/>
      <c r="U601" s="2269"/>
      <c r="V601" s="2269"/>
      <c r="W601" s="2269"/>
      <c r="X601" s="2269"/>
      <c r="Y601" s="2269"/>
      <c r="Z601" s="2269"/>
      <c r="AA601" s="2269"/>
    </row>
    <row r="602" spans="1:27" ht="13.5" customHeight="1" x14ac:dyDescent="0.3">
      <c r="A602" s="2269"/>
      <c r="B602" s="2269"/>
      <c r="C602" s="2272"/>
      <c r="D602" s="2358"/>
      <c r="E602" s="2358"/>
      <c r="F602" s="2358"/>
      <c r="G602" s="2283"/>
      <c r="H602" s="2268"/>
      <c r="I602" s="2269"/>
      <c r="J602" s="2269"/>
      <c r="K602" s="2269"/>
      <c r="L602" s="2269"/>
      <c r="M602" s="2270"/>
      <c r="N602" s="2270"/>
      <c r="O602" s="2270"/>
      <c r="P602" s="2269"/>
      <c r="Q602" s="2269"/>
      <c r="R602" s="2269"/>
      <c r="S602" s="2269"/>
      <c r="T602" s="2269"/>
      <c r="U602" s="2269"/>
      <c r="V602" s="2269"/>
      <c r="W602" s="2269"/>
      <c r="X602" s="2269"/>
      <c r="Y602" s="2269"/>
      <c r="Z602" s="2269"/>
      <c r="AA602" s="2269"/>
    </row>
    <row r="603" spans="1:27" ht="13.5" customHeight="1" x14ac:dyDescent="0.3">
      <c r="A603" s="2269"/>
      <c r="B603" s="2269"/>
      <c r="C603" s="2272"/>
      <c r="D603" s="2358"/>
      <c r="E603" s="2358"/>
      <c r="F603" s="2358"/>
      <c r="G603" s="2283"/>
      <c r="H603" s="2268"/>
      <c r="I603" s="2269"/>
      <c r="J603" s="2269"/>
      <c r="K603" s="2269"/>
      <c r="L603" s="2269"/>
      <c r="M603" s="2270"/>
      <c r="N603" s="2270"/>
      <c r="O603" s="2270"/>
      <c r="P603" s="2269"/>
      <c r="Q603" s="2269"/>
      <c r="R603" s="2269"/>
      <c r="S603" s="2269"/>
      <c r="T603" s="2269"/>
      <c r="U603" s="2269"/>
      <c r="V603" s="2269"/>
      <c r="W603" s="2269"/>
      <c r="X603" s="2269"/>
      <c r="Y603" s="2269"/>
      <c r="Z603" s="2269"/>
      <c r="AA603" s="2269"/>
    </row>
    <row r="604" spans="1:27" ht="13.5" customHeight="1" x14ac:dyDescent="0.3">
      <c r="A604" s="2269"/>
      <c r="B604" s="2269"/>
      <c r="C604" s="2272"/>
      <c r="D604" s="2358"/>
      <c r="E604" s="2358"/>
      <c r="F604" s="2358"/>
      <c r="G604" s="2283"/>
      <c r="H604" s="2268"/>
      <c r="I604" s="2269"/>
      <c r="J604" s="2269"/>
      <c r="K604" s="2269"/>
      <c r="L604" s="2269"/>
      <c r="M604" s="2270"/>
      <c r="N604" s="2270"/>
      <c r="O604" s="2270"/>
      <c r="P604" s="2269"/>
      <c r="Q604" s="2269"/>
      <c r="R604" s="2269"/>
      <c r="S604" s="2269"/>
      <c r="T604" s="2269"/>
      <c r="U604" s="2269"/>
      <c r="V604" s="2269"/>
      <c r="W604" s="2269"/>
      <c r="X604" s="2269"/>
      <c r="Y604" s="2269"/>
      <c r="Z604" s="2269"/>
      <c r="AA604" s="2269"/>
    </row>
    <row r="605" spans="1:27" ht="13.5" customHeight="1" x14ac:dyDescent="0.3">
      <c r="A605" s="2269"/>
      <c r="B605" s="2269"/>
      <c r="C605" s="2272"/>
      <c r="D605" s="2358"/>
      <c r="E605" s="2358"/>
      <c r="F605" s="2358"/>
      <c r="G605" s="2283"/>
      <c r="H605" s="2268"/>
      <c r="I605" s="2269"/>
      <c r="J605" s="2269"/>
      <c r="K605" s="2269"/>
      <c r="L605" s="2269"/>
      <c r="M605" s="2270"/>
      <c r="N605" s="2270"/>
      <c r="O605" s="2270"/>
      <c r="P605" s="2269"/>
      <c r="Q605" s="2269"/>
      <c r="R605" s="2269"/>
      <c r="S605" s="2269"/>
      <c r="T605" s="2269"/>
      <c r="U605" s="2269"/>
      <c r="V605" s="2269"/>
      <c r="W605" s="2269"/>
      <c r="X605" s="2269"/>
      <c r="Y605" s="2269"/>
      <c r="Z605" s="2269"/>
      <c r="AA605" s="2269"/>
    </row>
    <row r="606" spans="1:27" ht="13.5" customHeight="1" x14ac:dyDescent="0.3">
      <c r="A606" s="2269"/>
      <c r="B606" s="2269"/>
      <c r="C606" s="2272"/>
      <c r="D606" s="2358"/>
      <c r="E606" s="2358"/>
      <c r="F606" s="2358"/>
      <c r="G606" s="2283"/>
      <c r="H606" s="2268"/>
      <c r="I606" s="2269"/>
      <c r="J606" s="2269"/>
      <c r="K606" s="2269"/>
      <c r="L606" s="2269"/>
      <c r="M606" s="2270"/>
      <c r="N606" s="2270"/>
      <c r="O606" s="2270"/>
      <c r="P606" s="2269"/>
      <c r="Q606" s="2269"/>
      <c r="R606" s="2269"/>
      <c r="S606" s="2269"/>
      <c r="T606" s="2269"/>
      <c r="U606" s="2269"/>
      <c r="V606" s="2269"/>
      <c r="W606" s="2269"/>
      <c r="X606" s="2269"/>
      <c r="Y606" s="2269"/>
      <c r="Z606" s="2269"/>
      <c r="AA606" s="2269"/>
    </row>
    <row r="607" spans="1:27" ht="13.5" customHeight="1" x14ac:dyDescent="0.3">
      <c r="A607" s="2269"/>
      <c r="B607" s="2269"/>
      <c r="C607" s="2272"/>
      <c r="D607" s="2358"/>
      <c r="E607" s="2358"/>
      <c r="F607" s="2358"/>
      <c r="G607" s="2283"/>
      <c r="H607" s="2268"/>
      <c r="I607" s="2269"/>
      <c r="J607" s="2269"/>
      <c r="K607" s="2269"/>
      <c r="L607" s="2269"/>
      <c r="M607" s="2270"/>
      <c r="N607" s="2270"/>
      <c r="O607" s="2270"/>
      <c r="P607" s="2269"/>
      <c r="Q607" s="2269"/>
      <c r="R607" s="2269"/>
      <c r="S607" s="2269"/>
      <c r="T607" s="2269"/>
      <c r="U607" s="2269"/>
      <c r="V607" s="2269"/>
      <c r="W607" s="2269"/>
      <c r="X607" s="2269"/>
      <c r="Y607" s="2269"/>
      <c r="Z607" s="2269"/>
      <c r="AA607" s="2269"/>
    </row>
    <row r="608" spans="1:27" ht="13.5" customHeight="1" x14ac:dyDescent="0.3">
      <c r="A608" s="2269"/>
      <c r="B608" s="2269"/>
      <c r="C608" s="2272"/>
      <c r="D608" s="2358"/>
      <c r="E608" s="2358"/>
      <c r="F608" s="2358"/>
      <c r="G608" s="2283"/>
      <c r="H608" s="2268"/>
      <c r="I608" s="2269"/>
      <c r="J608" s="2269"/>
      <c r="K608" s="2269"/>
      <c r="L608" s="2269"/>
      <c r="M608" s="2270"/>
      <c r="N608" s="2270"/>
      <c r="O608" s="2270"/>
      <c r="P608" s="2269"/>
      <c r="Q608" s="2269"/>
      <c r="R608" s="2269"/>
      <c r="S608" s="2269"/>
      <c r="T608" s="2269"/>
      <c r="U608" s="2269"/>
      <c r="V608" s="2269"/>
      <c r="W608" s="2269"/>
      <c r="X608" s="2269"/>
      <c r="Y608" s="2269"/>
      <c r="Z608" s="2269"/>
      <c r="AA608" s="2269"/>
    </row>
    <row r="609" spans="1:27" ht="13.5" customHeight="1" x14ac:dyDescent="0.3">
      <c r="A609" s="2269"/>
      <c r="B609" s="2269"/>
      <c r="C609" s="2272"/>
      <c r="D609" s="2358"/>
      <c r="E609" s="2358"/>
      <c r="F609" s="2358"/>
      <c r="G609" s="2283"/>
      <c r="H609" s="2268"/>
      <c r="I609" s="2269"/>
      <c r="J609" s="2269"/>
      <c r="K609" s="2269"/>
      <c r="L609" s="2269"/>
      <c r="M609" s="2270"/>
      <c r="N609" s="2270"/>
      <c r="O609" s="2270"/>
      <c r="P609" s="2269"/>
      <c r="Q609" s="2269"/>
      <c r="R609" s="2269"/>
      <c r="S609" s="2269"/>
      <c r="T609" s="2269"/>
      <c r="U609" s="2269"/>
      <c r="V609" s="2269"/>
      <c r="W609" s="2269"/>
      <c r="X609" s="2269"/>
      <c r="Y609" s="2269"/>
      <c r="Z609" s="2269"/>
      <c r="AA609" s="2269"/>
    </row>
    <row r="610" spans="1:27" ht="13.5" customHeight="1" x14ac:dyDescent="0.3">
      <c r="A610" s="2269"/>
      <c r="B610" s="2269"/>
      <c r="C610" s="2272"/>
      <c r="D610" s="2358"/>
      <c r="E610" s="2358"/>
      <c r="F610" s="2358"/>
      <c r="G610" s="2283"/>
      <c r="H610" s="2268"/>
      <c r="I610" s="2269"/>
      <c r="J610" s="2269"/>
      <c r="K610" s="2269"/>
      <c r="L610" s="2269"/>
      <c r="M610" s="2270"/>
      <c r="N610" s="2270"/>
      <c r="O610" s="2270"/>
      <c r="P610" s="2269"/>
      <c r="Q610" s="2269"/>
      <c r="R610" s="2269"/>
      <c r="S610" s="2269"/>
      <c r="T610" s="2269"/>
      <c r="U610" s="2269"/>
      <c r="V610" s="2269"/>
      <c r="W610" s="2269"/>
      <c r="X610" s="2269"/>
      <c r="Y610" s="2269"/>
      <c r="Z610" s="2269"/>
      <c r="AA610" s="2269"/>
    </row>
    <row r="611" spans="1:27" ht="13.5" customHeight="1" x14ac:dyDescent="0.3">
      <c r="A611" s="2269"/>
      <c r="B611" s="2269"/>
      <c r="C611" s="2272"/>
      <c r="D611" s="2358"/>
      <c r="E611" s="2358"/>
      <c r="F611" s="2358"/>
      <c r="G611" s="2283"/>
      <c r="H611" s="2268"/>
      <c r="I611" s="2269"/>
      <c r="J611" s="2269"/>
      <c r="K611" s="2269"/>
      <c r="L611" s="2269"/>
      <c r="M611" s="2270"/>
      <c r="N611" s="2270"/>
      <c r="O611" s="2270"/>
      <c r="P611" s="2269"/>
      <c r="Q611" s="2269"/>
      <c r="R611" s="2269"/>
      <c r="S611" s="2269"/>
      <c r="T611" s="2269"/>
      <c r="U611" s="2269"/>
      <c r="V611" s="2269"/>
      <c r="W611" s="2269"/>
      <c r="X611" s="2269"/>
      <c r="Y611" s="2269"/>
      <c r="Z611" s="2269"/>
      <c r="AA611" s="2269"/>
    </row>
    <row r="612" spans="1:27" ht="13.5" customHeight="1" x14ac:dyDescent="0.3">
      <c r="A612" s="2269"/>
      <c r="B612" s="2269"/>
      <c r="C612" s="2272"/>
      <c r="D612" s="2358"/>
      <c r="E612" s="2358"/>
      <c r="F612" s="2358"/>
      <c r="G612" s="2283"/>
      <c r="H612" s="2268"/>
      <c r="I612" s="2269"/>
      <c r="J612" s="2269"/>
      <c r="K612" s="2269"/>
      <c r="L612" s="2269"/>
      <c r="M612" s="2270"/>
      <c r="N612" s="2270"/>
      <c r="O612" s="2270"/>
      <c r="P612" s="2269"/>
      <c r="Q612" s="2269"/>
      <c r="R612" s="2269"/>
      <c r="S612" s="2269"/>
      <c r="T612" s="2269"/>
      <c r="U612" s="2269"/>
      <c r="V612" s="2269"/>
      <c r="W612" s="2269"/>
      <c r="X612" s="2269"/>
      <c r="Y612" s="2269"/>
      <c r="Z612" s="2269"/>
      <c r="AA612" s="2269"/>
    </row>
    <row r="613" spans="1:27" ht="13.5" customHeight="1" x14ac:dyDescent="0.3">
      <c r="A613" s="2269"/>
      <c r="B613" s="2269"/>
      <c r="C613" s="2272"/>
      <c r="D613" s="2358"/>
      <c r="E613" s="2358"/>
      <c r="F613" s="2358"/>
      <c r="G613" s="2283"/>
      <c r="H613" s="2268"/>
      <c r="I613" s="2269"/>
      <c r="J613" s="2269"/>
      <c r="K613" s="2269"/>
      <c r="L613" s="2269"/>
      <c r="M613" s="2270"/>
      <c r="N613" s="2270"/>
      <c r="O613" s="2270"/>
      <c r="P613" s="2269"/>
      <c r="Q613" s="2269"/>
      <c r="R613" s="2269"/>
      <c r="S613" s="2269"/>
      <c r="T613" s="2269"/>
      <c r="U613" s="2269"/>
      <c r="V613" s="2269"/>
      <c r="W613" s="2269"/>
      <c r="X613" s="2269"/>
      <c r="Y613" s="2269"/>
      <c r="Z613" s="2269"/>
      <c r="AA613" s="2269"/>
    </row>
    <row r="614" spans="1:27" ht="13.5" customHeight="1" x14ac:dyDescent="0.3">
      <c r="A614" s="2269"/>
      <c r="B614" s="2269"/>
      <c r="C614" s="2272"/>
      <c r="D614" s="2358"/>
      <c r="E614" s="2358"/>
      <c r="F614" s="2358"/>
      <c r="G614" s="2283"/>
      <c r="H614" s="2268"/>
      <c r="I614" s="2269"/>
      <c r="J614" s="2269"/>
      <c r="K614" s="2269"/>
      <c r="L614" s="2269"/>
      <c r="M614" s="2270"/>
      <c r="N614" s="2270"/>
      <c r="O614" s="2270"/>
      <c r="P614" s="2269"/>
      <c r="Q614" s="2269"/>
      <c r="R614" s="2269"/>
      <c r="S614" s="2269"/>
      <c r="T614" s="2269"/>
      <c r="U614" s="2269"/>
      <c r="V614" s="2269"/>
      <c r="W614" s="2269"/>
      <c r="X614" s="2269"/>
      <c r="Y614" s="2269"/>
      <c r="Z614" s="2269"/>
      <c r="AA614" s="2269"/>
    </row>
    <row r="615" spans="1:27" ht="13.5" customHeight="1" x14ac:dyDescent="0.3">
      <c r="A615" s="2269"/>
      <c r="B615" s="2269"/>
      <c r="C615" s="2272"/>
      <c r="D615" s="2358"/>
      <c r="E615" s="2358"/>
      <c r="F615" s="2358"/>
      <c r="G615" s="2283"/>
      <c r="H615" s="2268"/>
      <c r="I615" s="2269"/>
      <c r="J615" s="2269"/>
      <c r="K615" s="2269"/>
      <c r="L615" s="2269"/>
      <c r="M615" s="2270"/>
      <c r="N615" s="2270"/>
      <c r="O615" s="2270"/>
      <c r="P615" s="2269"/>
      <c r="Q615" s="2269"/>
      <c r="R615" s="2269"/>
      <c r="S615" s="2269"/>
      <c r="T615" s="2269"/>
      <c r="U615" s="2269"/>
      <c r="V615" s="2269"/>
      <c r="W615" s="2269"/>
      <c r="X615" s="2269"/>
      <c r="Y615" s="2269"/>
      <c r="Z615" s="2269"/>
      <c r="AA615" s="2269"/>
    </row>
    <row r="616" spans="1:27" ht="13.5" customHeight="1" x14ac:dyDescent="0.3">
      <c r="A616" s="2269"/>
      <c r="B616" s="2269"/>
      <c r="C616" s="2272"/>
      <c r="D616" s="2358"/>
      <c r="E616" s="2358"/>
      <c r="F616" s="2358"/>
      <c r="G616" s="2283"/>
      <c r="H616" s="2268"/>
      <c r="I616" s="2269"/>
      <c r="J616" s="2269"/>
      <c r="K616" s="2269"/>
      <c r="L616" s="2269"/>
      <c r="M616" s="2270"/>
      <c r="N616" s="2270"/>
      <c r="O616" s="2270"/>
      <c r="P616" s="2269"/>
      <c r="Q616" s="2269"/>
      <c r="R616" s="2269"/>
      <c r="S616" s="2269"/>
      <c r="T616" s="2269"/>
      <c r="U616" s="2269"/>
      <c r="V616" s="2269"/>
      <c r="W616" s="2269"/>
      <c r="X616" s="2269"/>
      <c r="Y616" s="2269"/>
      <c r="Z616" s="2269"/>
      <c r="AA616" s="2269"/>
    </row>
    <row r="617" spans="1:27" ht="13.5" customHeight="1" x14ac:dyDescent="0.3">
      <c r="A617" s="2269"/>
      <c r="B617" s="2269"/>
      <c r="C617" s="2272"/>
      <c r="D617" s="2358"/>
      <c r="E617" s="2358"/>
      <c r="F617" s="2358"/>
      <c r="G617" s="2283"/>
      <c r="H617" s="2268"/>
      <c r="I617" s="2269"/>
      <c r="J617" s="2269"/>
      <c r="K617" s="2269"/>
      <c r="L617" s="2269"/>
      <c r="M617" s="2270"/>
      <c r="N617" s="2270"/>
      <c r="O617" s="2270"/>
      <c r="P617" s="2269"/>
      <c r="Q617" s="2269"/>
      <c r="R617" s="2269"/>
      <c r="S617" s="2269"/>
      <c r="T617" s="2269"/>
      <c r="U617" s="2269"/>
      <c r="V617" s="2269"/>
      <c r="W617" s="2269"/>
      <c r="X617" s="2269"/>
      <c r="Y617" s="2269"/>
      <c r="Z617" s="2269"/>
      <c r="AA617" s="2269"/>
    </row>
    <row r="618" spans="1:27" ht="13.5" customHeight="1" x14ac:dyDescent="0.3">
      <c r="A618" s="2269"/>
      <c r="B618" s="2269"/>
      <c r="C618" s="2272"/>
      <c r="D618" s="2358"/>
      <c r="E618" s="2358"/>
      <c r="F618" s="2358"/>
      <c r="G618" s="2283"/>
      <c r="H618" s="2268"/>
      <c r="I618" s="2269"/>
      <c r="J618" s="2269"/>
      <c r="K618" s="2269"/>
      <c r="L618" s="2269"/>
      <c r="M618" s="2270"/>
      <c r="N618" s="2270"/>
      <c r="O618" s="2270"/>
      <c r="P618" s="2269"/>
      <c r="Q618" s="2269"/>
      <c r="R618" s="2269"/>
      <c r="S618" s="2269"/>
      <c r="T618" s="2269"/>
      <c r="U618" s="2269"/>
      <c r="V618" s="2269"/>
      <c r="W618" s="2269"/>
      <c r="X618" s="2269"/>
      <c r="Y618" s="2269"/>
      <c r="Z618" s="2269"/>
      <c r="AA618" s="2269"/>
    </row>
    <row r="619" spans="1:27" ht="13.5" customHeight="1" x14ac:dyDescent="0.3">
      <c r="A619" s="2269"/>
      <c r="B619" s="2269"/>
      <c r="C619" s="2272"/>
      <c r="D619" s="2358"/>
      <c r="E619" s="2358"/>
      <c r="F619" s="2358"/>
      <c r="G619" s="2283"/>
      <c r="H619" s="2268"/>
      <c r="I619" s="2269"/>
      <c r="J619" s="2269"/>
      <c r="K619" s="2269"/>
      <c r="L619" s="2269"/>
      <c r="M619" s="2270"/>
      <c r="N619" s="2270"/>
      <c r="O619" s="2270"/>
      <c r="P619" s="2269"/>
      <c r="Q619" s="2269"/>
      <c r="R619" s="2269"/>
      <c r="S619" s="2269"/>
      <c r="T619" s="2269"/>
      <c r="U619" s="2269"/>
      <c r="V619" s="2269"/>
      <c r="W619" s="2269"/>
      <c r="X619" s="2269"/>
      <c r="Y619" s="2269"/>
      <c r="Z619" s="2269"/>
      <c r="AA619" s="2269"/>
    </row>
    <row r="620" spans="1:27" ht="13.5" customHeight="1" x14ac:dyDescent="0.3">
      <c r="A620" s="2269"/>
      <c r="B620" s="2269"/>
      <c r="C620" s="2272"/>
      <c r="D620" s="2358"/>
      <c r="E620" s="2358"/>
      <c r="F620" s="2358"/>
      <c r="G620" s="2283"/>
      <c r="H620" s="2268"/>
      <c r="I620" s="2269"/>
      <c r="J620" s="2269"/>
      <c r="K620" s="2269"/>
      <c r="L620" s="2269"/>
      <c r="M620" s="2270"/>
      <c r="N620" s="2270"/>
      <c r="O620" s="2270"/>
      <c r="P620" s="2269"/>
      <c r="Q620" s="2269"/>
      <c r="R620" s="2269"/>
      <c r="S620" s="2269"/>
      <c r="T620" s="2269"/>
      <c r="U620" s="2269"/>
      <c r="V620" s="2269"/>
      <c r="W620" s="2269"/>
      <c r="X620" s="2269"/>
      <c r="Y620" s="2269"/>
      <c r="Z620" s="2269"/>
      <c r="AA620" s="2269"/>
    </row>
    <row r="621" spans="1:27" ht="13.5" customHeight="1" x14ac:dyDescent="0.3">
      <c r="A621" s="2269"/>
      <c r="B621" s="2269"/>
      <c r="C621" s="2272"/>
      <c r="D621" s="2358"/>
      <c r="E621" s="2358"/>
      <c r="F621" s="2358"/>
      <c r="G621" s="2283"/>
      <c r="H621" s="2268"/>
      <c r="I621" s="2269"/>
      <c r="J621" s="2269"/>
      <c r="K621" s="2269"/>
      <c r="L621" s="2269"/>
      <c r="M621" s="2270"/>
      <c r="N621" s="2270"/>
      <c r="O621" s="2270"/>
      <c r="P621" s="2269"/>
      <c r="Q621" s="2269"/>
      <c r="R621" s="2269"/>
      <c r="S621" s="2269"/>
      <c r="T621" s="2269"/>
      <c r="U621" s="2269"/>
      <c r="V621" s="2269"/>
      <c r="W621" s="2269"/>
      <c r="X621" s="2269"/>
      <c r="Y621" s="2269"/>
      <c r="Z621" s="2269"/>
      <c r="AA621" s="2269"/>
    </row>
    <row r="622" spans="1:27" ht="13.5" customHeight="1" x14ac:dyDescent="0.3">
      <c r="A622" s="2269"/>
      <c r="B622" s="2269"/>
      <c r="C622" s="2272"/>
      <c r="D622" s="2358"/>
      <c r="E622" s="2358"/>
      <c r="F622" s="2358"/>
      <c r="G622" s="2283"/>
      <c r="H622" s="2268"/>
      <c r="I622" s="2269"/>
      <c r="J622" s="2269"/>
      <c r="K622" s="2269"/>
      <c r="L622" s="2269"/>
      <c r="M622" s="2270"/>
      <c r="N622" s="2270"/>
      <c r="O622" s="2270"/>
      <c r="P622" s="2269"/>
      <c r="Q622" s="2269"/>
      <c r="R622" s="2269"/>
      <c r="S622" s="2269"/>
      <c r="T622" s="2269"/>
      <c r="U622" s="2269"/>
      <c r="V622" s="2269"/>
      <c r="W622" s="2269"/>
      <c r="X622" s="2269"/>
      <c r="Y622" s="2269"/>
      <c r="Z622" s="2269"/>
      <c r="AA622" s="2269"/>
    </row>
    <row r="623" spans="1:27" ht="13.5" customHeight="1" x14ac:dyDescent="0.3">
      <c r="A623" s="2269"/>
      <c r="B623" s="2269"/>
      <c r="C623" s="2272"/>
      <c r="D623" s="2358"/>
      <c r="E623" s="2358"/>
      <c r="F623" s="2358"/>
      <c r="G623" s="2283"/>
      <c r="H623" s="2268"/>
      <c r="I623" s="2269"/>
      <c r="J623" s="2269"/>
      <c r="K623" s="2269"/>
      <c r="L623" s="2269"/>
      <c r="M623" s="2270"/>
      <c r="N623" s="2270"/>
      <c r="O623" s="2270"/>
      <c r="P623" s="2269"/>
      <c r="Q623" s="2269"/>
      <c r="R623" s="2269"/>
      <c r="S623" s="2269"/>
      <c r="T623" s="2269"/>
      <c r="U623" s="2269"/>
      <c r="V623" s="2269"/>
      <c r="W623" s="2269"/>
      <c r="X623" s="2269"/>
      <c r="Y623" s="2269"/>
      <c r="Z623" s="2269"/>
      <c r="AA623" s="2269"/>
    </row>
    <row r="624" spans="1:27" ht="13.5" customHeight="1" x14ac:dyDescent="0.3">
      <c r="A624" s="2269"/>
      <c r="B624" s="2269"/>
      <c r="C624" s="2272"/>
      <c r="D624" s="2358"/>
      <c r="E624" s="2358"/>
      <c r="F624" s="2358"/>
      <c r="G624" s="2283"/>
      <c r="H624" s="2268"/>
      <c r="I624" s="2269"/>
      <c r="J624" s="2269"/>
      <c r="K624" s="2269"/>
      <c r="L624" s="2269"/>
      <c r="M624" s="2270"/>
      <c r="N624" s="2270"/>
      <c r="O624" s="2270"/>
      <c r="P624" s="2269"/>
      <c r="Q624" s="2269"/>
      <c r="R624" s="2269"/>
      <c r="S624" s="2269"/>
      <c r="T624" s="2269"/>
      <c r="U624" s="2269"/>
      <c r="V624" s="2269"/>
      <c r="W624" s="2269"/>
      <c r="X624" s="2269"/>
      <c r="Y624" s="2269"/>
      <c r="Z624" s="2269"/>
      <c r="AA624" s="2269"/>
    </row>
    <row r="625" spans="1:27" ht="13.5" customHeight="1" x14ac:dyDescent="0.3">
      <c r="A625" s="2269"/>
      <c r="B625" s="2269"/>
      <c r="C625" s="2272"/>
      <c r="D625" s="2358"/>
      <c r="E625" s="2358"/>
      <c r="F625" s="2358"/>
      <c r="G625" s="2283"/>
      <c r="H625" s="2268"/>
      <c r="I625" s="2269"/>
      <c r="J625" s="2269"/>
      <c r="K625" s="2269"/>
      <c r="L625" s="2269"/>
      <c r="M625" s="2270"/>
      <c r="N625" s="2270"/>
      <c r="O625" s="2270"/>
      <c r="P625" s="2269"/>
      <c r="Q625" s="2269"/>
      <c r="R625" s="2269"/>
      <c r="S625" s="2269"/>
      <c r="T625" s="2269"/>
      <c r="U625" s="2269"/>
      <c r="V625" s="2269"/>
      <c r="W625" s="2269"/>
      <c r="X625" s="2269"/>
      <c r="Y625" s="2269"/>
      <c r="Z625" s="2269"/>
      <c r="AA625" s="2269"/>
    </row>
    <row r="626" spans="1:27" ht="13.5" customHeight="1" x14ac:dyDescent="0.3">
      <c r="A626" s="2269"/>
      <c r="B626" s="2269"/>
      <c r="C626" s="2272"/>
      <c r="D626" s="2358"/>
      <c r="E626" s="2358"/>
      <c r="F626" s="2358"/>
      <c r="G626" s="2283"/>
      <c r="H626" s="2268"/>
      <c r="I626" s="2269"/>
      <c r="J626" s="2269"/>
      <c r="K626" s="2269"/>
      <c r="L626" s="2269"/>
      <c r="M626" s="2270"/>
      <c r="N626" s="2270"/>
      <c r="O626" s="2270"/>
      <c r="P626" s="2269"/>
      <c r="Q626" s="2269"/>
      <c r="R626" s="2269"/>
      <c r="S626" s="2269"/>
      <c r="T626" s="2269"/>
      <c r="U626" s="2269"/>
      <c r="V626" s="2269"/>
      <c r="W626" s="2269"/>
      <c r="X626" s="2269"/>
      <c r="Y626" s="2269"/>
      <c r="Z626" s="2269"/>
      <c r="AA626" s="2269"/>
    </row>
    <row r="627" spans="1:27" ht="13.5" customHeight="1" x14ac:dyDescent="0.3">
      <c r="A627" s="2269"/>
      <c r="B627" s="2269"/>
      <c r="C627" s="2272"/>
      <c r="D627" s="2358"/>
      <c r="E627" s="2358"/>
      <c r="F627" s="2358"/>
      <c r="G627" s="2283"/>
      <c r="H627" s="2268"/>
      <c r="I627" s="2269"/>
      <c r="J627" s="2269"/>
      <c r="K627" s="2269"/>
      <c r="L627" s="2269"/>
      <c r="M627" s="2270"/>
      <c r="N627" s="2270"/>
      <c r="O627" s="2270"/>
      <c r="P627" s="2269"/>
      <c r="Q627" s="2269"/>
      <c r="R627" s="2269"/>
      <c r="S627" s="2269"/>
      <c r="T627" s="2269"/>
      <c r="U627" s="2269"/>
      <c r="V627" s="2269"/>
      <c r="W627" s="2269"/>
      <c r="X627" s="2269"/>
      <c r="Y627" s="2269"/>
      <c r="Z627" s="2269"/>
      <c r="AA627" s="2269"/>
    </row>
    <row r="628" spans="1:27" ht="13.5" customHeight="1" x14ac:dyDescent="0.3">
      <c r="A628" s="2269"/>
      <c r="B628" s="2269"/>
      <c r="C628" s="2272"/>
      <c r="D628" s="2358"/>
      <c r="E628" s="2358"/>
      <c r="F628" s="2358"/>
      <c r="G628" s="2283"/>
      <c r="H628" s="2268"/>
      <c r="I628" s="2269"/>
      <c r="J628" s="2269"/>
      <c r="K628" s="2269"/>
      <c r="L628" s="2269"/>
      <c r="M628" s="2270"/>
      <c r="N628" s="2270"/>
      <c r="O628" s="2270"/>
      <c r="P628" s="2269"/>
      <c r="Q628" s="2269"/>
      <c r="R628" s="2269"/>
      <c r="S628" s="2269"/>
      <c r="T628" s="2269"/>
      <c r="U628" s="2269"/>
      <c r="V628" s="2269"/>
      <c r="W628" s="2269"/>
      <c r="X628" s="2269"/>
      <c r="Y628" s="2269"/>
      <c r="Z628" s="2269"/>
      <c r="AA628" s="2269"/>
    </row>
    <row r="629" spans="1:27" ht="13.5" customHeight="1" x14ac:dyDescent="0.3">
      <c r="A629" s="2269"/>
      <c r="B629" s="2269"/>
      <c r="C629" s="2272"/>
      <c r="D629" s="2358"/>
      <c r="E629" s="2358"/>
      <c r="F629" s="2358"/>
      <c r="G629" s="2283"/>
      <c r="H629" s="2268"/>
      <c r="I629" s="2269"/>
      <c r="J629" s="2269"/>
      <c r="K629" s="2269"/>
      <c r="L629" s="2269"/>
      <c r="M629" s="2270"/>
      <c r="N629" s="2270"/>
      <c r="O629" s="2270"/>
      <c r="P629" s="2269"/>
      <c r="Q629" s="2269"/>
      <c r="R629" s="2269"/>
      <c r="S629" s="2269"/>
      <c r="T629" s="2269"/>
      <c r="U629" s="2269"/>
      <c r="V629" s="2269"/>
      <c r="W629" s="2269"/>
      <c r="X629" s="2269"/>
      <c r="Y629" s="2269"/>
      <c r="Z629" s="2269"/>
      <c r="AA629" s="2269"/>
    </row>
    <row r="630" spans="1:27" ht="13.5" customHeight="1" x14ac:dyDescent="0.3">
      <c r="A630" s="2269"/>
      <c r="B630" s="2269"/>
      <c r="C630" s="2272"/>
      <c r="D630" s="2358"/>
      <c r="E630" s="2358"/>
      <c r="F630" s="2358"/>
      <c r="G630" s="2283"/>
      <c r="H630" s="2268"/>
      <c r="I630" s="2269"/>
      <c r="J630" s="2269"/>
      <c r="K630" s="2269"/>
      <c r="L630" s="2269"/>
      <c r="M630" s="2270"/>
      <c r="N630" s="2270"/>
      <c r="O630" s="2270"/>
      <c r="P630" s="2269"/>
      <c r="Q630" s="2269"/>
      <c r="R630" s="2269"/>
      <c r="S630" s="2269"/>
      <c r="T630" s="2269"/>
      <c r="U630" s="2269"/>
      <c r="V630" s="2269"/>
      <c r="W630" s="2269"/>
      <c r="X630" s="2269"/>
      <c r="Y630" s="2269"/>
      <c r="Z630" s="2269"/>
      <c r="AA630" s="2269"/>
    </row>
    <row r="631" spans="1:27" ht="13.5" customHeight="1" x14ac:dyDescent="0.3">
      <c r="A631" s="2269"/>
      <c r="B631" s="2269"/>
      <c r="C631" s="2272"/>
      <c r="D631" s="2358"/>
      <c r="E631" s="2358"/>
      <c r="F631" s="2358"/>
      <c r="G631" s="2283"/>
      <c r="H631" s="2268"/>
      <c r="I631" s="2269"/>
      <c r="J631" s="2269"/>
      <c r="K631" s="2269"/>
      <c r="L631" s="2269"/>
      <c r="M631" s="2270"/>
      <c r="N631" s="2270"/>
      <c r="O631" s="2270"/>
      <c r="P631" s="2269"/>
      <c r="Q631" s="2269"/>
      <c r="R631" s="2269"/>
      <c r="S631" s="2269"/>
      <c r="T631" s="2269"/>
      <c r="U631" s="2269"/>
      <c r="V631" s="2269"/>
      <c r="W631" s="2269"/>
      <c r="X631" s="2269"/>
      <c r="Y631" s="2269"/>
      <c r="Z631" s="2269"/>
      <c r="AA631" s="2269"/>
    </row>
    <row r="632" spans="1:27" ht="13.5" customHeight="1" x14ac:dyDescent="0.3">
      <c r="A632" s="2269"/>
      <c r="B632" s="2269"/>
      <c r="C632" s="2272"/>
      <c r="D632" s="2358"/>
      <c r="E632" s="2358"/>
      <c r="F632" s="2358"/>
      <c r="G632" s="2283"/>
      <c r="H632" s="2268"/>
      <c r="I632" s="2269"/>
      <c r="J632" s="2269"/>
      <c r="K632" s="2269"/>
      <c r="L632" s="2269"/>
      <c r="M632" s="2270"/>
      <c r="N632" s="2270"/>
      <c r="O632" s="2270"/>
      <c r="P632" s="2269"/>
      <c r="Q632" s="2269"/>
      <c r="R632" s="2269"/>
      <c r="S632" s="2269"/>
      <c r="T632" s="2269"/>
      <c r="U632" s="2269"/>
      <c r="V632" s="2269"/>
      <c r="W632" s="2269"/>
      <c r="X632" s="2269"/>
      <c r="Y632" s="2269"/>
      <c r="Z632" s="2269"/>
      <c r="AA632" s="2269"/>
    </row>
    <row r="633" spans="1:27" ht="13.5" customHeight="1" x14ac:dyDescent="0.3">
      <c r="A633" s="2269"/>
      <c r="B633" s="2269"/>
      <c r="C633" s="2272"/>
      <c r="D633" s="2358"/>
      <c r="E633" s="2358"/>
      <c r="F633" s="2358"/>
      <c r="G633" s="2283"/>
      <c r="H633" s="2268"/>
      <c r="I633" s="2269"/>
      <c r="J633" s="2269"/>
      <c r="K633" s="2269"/>
      <c r="L633" s="2269"/>
      <c r="M633" s="2270"/>
      <c r="N633" s="2270"/>
      <c r="O633" s="2270"/>
      <c r="P633" s="2269"/>
      <c r="Q633" s="2269"/>
      <c r="R633" s="2269"/>
      <c r="S633" s="2269"/>
      <c r="T633" s="2269"/>
      <c r="U633" s="2269"/>
      <c r="V633" s="2269"/>
      <c r="W633" s="2269"/>
      <c r="X633" s="2269"/>
      <c r="Y633" s="2269"/>
      <c r="Z633" s="2269"/>
      <c r="AA633" s="2269"/>
    </row>
    <row r="634" spans="1:27" ht="13.5" customHeight="1" x14ac:dyDescent="0.3">
      <c r="A634" s="2269"/>
      <c r="B634" s="2269"/>
      <c r="C634" s="2272"/>
      <c r="D634" s="2358"/>
      <c r="E634" s="2358"/>
      <c r="F634" s="2358"/>
      <c r="G634" s="2283"/>
      <c r="H634" s="2268"/>
      <c r="I634" s="2269"/>
      <c r="J634" s="2269"/>
      <c r="K634" s="2269"/>
      <c r="L634" s="2269"/>
      <c r="M634" s="2270"/>
      <c r="N634" s="2270"/>
      <c r="O634" s="2270"/>
      <c r="P634" s="2269"/>
      <c r="Q634" s="2269"/>
      <c r="R634" s="2269"/>
      <c r="S634" s="2269"/>
      <c r="T634" s="2269"/>
      <c r="U634" s="2269"/>
      <c r="V634" s="2269"/>
      <c r="W634" s="2269"/>
      <c r="X634" s="2269"/>
      <c r="Y634" s="2269"/>
      <c r="Z634" s="2269"/>
      <c r="AA634" s="2269"/>
    </row>
    <row r="635" spans="1:27" ht="13.5" customHeight="1" x14ac:dyDescent="0.3">
      <c r="A635" s="2269"/>
      <c r="B635" s="2269"/>
      <c r="C635" s="2272"/>
      <c r="D635" s="2358"/>
      <c r="E635" s="2358"/>
      <c r="F635" s="2358"/>
      <c r="G635" s="2283"/>
      <c r="H635" s="2268"/>
      <c r="I635" s="2269"/>
      <c r="J635" s="2269"/>
      <c r="K635" s="2269"/>
      <c r="L635" s="2269"/>
      <c r="M635" s="2270"/>
      <c r="N635" s="2270"/>
      <c r="O635" s="2270"/>
      <c r="P635" s="2269"/>
      <c r="Q635" s="2269"/>
      <c r="R635" s="2269"/>
      <c r="S635" s="2269"/>
      <c r="T635" s="2269"/>
      <c r="U635" s="2269"/>
      <c r="V635" s="2269"/>
      <c r="W635" s="2269"/>
      <c r="X635" s="2269"/>
      <c r="Y635" s="2269"/>
      <c r="Z635" s="2269"/>
      <c r="AA635" s="2269"/>
    </row>
    <row r="636" spans="1:27" ht="13.5" customHeight="1" x14ac:dyDescent="0.3">
      <c r="A636" s="2269"/>
      <c r="B636" s="2269"/>
      <c r="C636" s="2272"/>
      <c r="D636" s="2358"/>
      <c r="E636" s="2358"/>
      <c r="F636" s="2358"/>
      <c r="G636" s="2283"/>
      <c r="H636" s="2268"/>
      <c r="I636" s="2269"/>
      <c r="J636" s="2269"/>
      <c r="K636" s="2269"/>
      <c r="L636" s="2269"/>
      <c r="M636" s="2270"/>
      <c r="N636" s="2270"/>
      <c r="O636" s="2270"/>
      <c r="P636" s="2269"/>
      <c r="Q636" s="2269"/>
      <c r="R636" s="2269"/>
      <c r="S636" s="2269"/>
      <c r="T636" s="2269"/>
      <c r="U636" s="2269"/>
      <c r="V636" s="2269"/>
      <c r="W636" s="2269"/>
      <c r="X636" s="2269"/>
      <c r="Y636" s="2269"/>
      <c r="Z636" s="2269"/>
      <c r="AA636" s="2269"/>
    </row>
    <row r="637" spans="1:27" ht="13.5" customHeight="1" x14ac:dyDescent="0.3">
      <c r="A637" s="2269"/>
      <c r="B637" s="2269"/>
      <c r="C637" s="2272"/>
      <c r="D637" s="2358"/>
      <c r="E637" s="2358"/>
      <c r="F637" s="2358"/>
      <c r="G637" s="2283"/>
      <c r="H637" s="2268"/>
      <c r="I637" s="2269"/>
      <c r="J637" s="2269"/>
      <c r="K637" s="2269"/>
      <c r="L637" s="2269"/>
      <c r="M637" s="2270"/>
      <c r="N637" s="2270"/>
      <c r="O637" s="2270"/>
      <c r="P637" s="2269"/>
      <c r="Q637" s="2269"/>
      <c r="R637" s="2269"/>
      <c r="S637" s="2269"/>
      <c r="T637" s="2269"/>
      <c r="U637" s="2269"/>
      <c r="V637" s="2269"/>
      <c r="W637" s="2269"/>
      <c r="X637" s="2269"/>
      <c r="Y637" s="2269"/>
      <c r="Z637" s="2269"/>
      <c r="AA637" s="2269"/>
    </row>
    <row r="638" spans="1:27" ht="13.5" customHeight="1" x14ac:dyDescent="0.3">
      <c r="A638" s="2269"/>
      <c r="B638" s="2269"/>
      <c r="C638" s="2272"/>
      <c r="D638" s="2358"/>
      <c r="E638" s="2358"/>
      <c r="F638" s="2358"/>
      <c r="G638" s="2283"/>
      <c r="H638" s="2268"/>
      <c r="I638" s="2269"/>
      <c r="J638" s="2269"/>
      <c r="K638" s="2269"/>
      <c r="L638" s="2269"/>
      <c r="M638" s="2270"/>
      <c r="N638" s="2270"/>
      <c r="O638" s="2270"/>
      <c r="P638" s="2269"/>
      <c r="Q638" s="2269"/>
      <c r="R638" s="2269"/>
      <c r="S638" s="2269"/>
      <c r="T638" s="2269"/>
      <c r="U638" s="2269"/>
      <c r="V638" s="2269"/>
      <c r="W638" s="2269"/>
      <c r="X638" s="2269"/>
      <c r="Y638" s="2269"/>
      <c r="Z638" s="2269"/>
      <c r="AA638" s="2269"/>
    </row>
    <row r="639" spans="1:27" ht="13.5" customHeight="1" x14ac:dyDescent="0.3">
      <c r="A639" s="2269"/>
      <c r="B639" s="2269"/>
      <c r="C639" s="2272"/>
      <c r="D639" s="2358"/>
      <c r="E639" s="2358"/>
      <c r="F639" s="2358"/>
      <c r="G639" s="2283"/>
      <c r="H639" s="2268"/>
      <c r="I639" s="2269"/>
      <c r="J639" s="2269"/>
      <c r="K639" s="2269"/>
      <c r="L639" s="2269"/>
      <c r="M639" s="2270"/>
      <c r="N639" s="2270"/>
      <c r="O639" s="2270"/>
      <c r="P639" s="2269"/>
      <c r="Q639" s="2269"/>
      <c r="R639" s="2269"/>
      <c r="S639" s="2269"/>
      <c r="T639" s="2269"/>
      <c r="U639" s="2269"/>
      <c r="V639" s="2269"/>
      <c r="W639" s="2269"/>
      <c r="X639" s="2269"/>
      <c r="Y639" s="2269"/>
      <c r="Z639" s="2269"/>
      <c r="AA639" s="2269"/>
    </row>
    <row r="640" spans="1:27" ht="13.5" customHeight="1" x14ac:dyDescent="0.3">
      <c r="A640" s="2269"/>
      <c r="B640" s="2269"/>
      <c r="C640" s="2272"/>
      <c r="D640" s="2358"/>
      <c r="E640" s="2358"/>
      <c r="F640" s="2358"/>
      <c r="G640" s="2283"/>
      <c r="H640" s="2268"/>
      <c r="I640" s="2269"/>
      <c r="J640" s="2269"/>
      <c r="K640" s="2269"/>
      <c r="L640" s="2269"/>
      <c r="M640" s="2270"/>
      <c r="N640" s="2270"/>
      <c r="O640" s="2270"/>
      <c r="P640" s="2269"/>
      <c r="Q640" s="2269"/>
      <c r="R640" s="2269"/>
      <c r="S640" s="2269"/>
      <c r="T640" s="2269"/>
      <c r="U640" s="2269"/>
      <c r="V640" s="2269"/>
      <c r="W640" s="2269"/>
      <c r="X640" s="2269"/>
      <c r="Y640" s="2269"/>
      <c r="Z640" s="2269"/>
      <c r="AA640" s="2269"/>
    </row>
    <row r="641" spans="1:27" ht="13.5" customHeight="1" x14ac:dyDescent="0.3">
      <c r="A641" s="2269"/>
      <c r="B641" s="2269"/>
      <c r="C641" s="2272"/>
      <c r="D641" s="2358"/>
      <c r="E641" s="2358"/>
      <c r="F641" s="2358"/>
      <c r="G641" s="2283"/>
      <c r="H641" s="2268"/>
      <c r="I641" s="2269"/>
      <c r="J641" s="2269"/>
      <c r="K641" s="2269"/>
      <c r="L641" s="2269"/>
      <c r="M641" s="2270"/>
      <c r="N641" s="2270"/>
      <c r="O641" s="2270"/>
      <c r="P641" s="2269"/>
      <c r="Q641" s="2269"/>
      <c r="R641" s="2269"/>
      <c r="S641" s="2269"/>
      <c r="T641" s="2269"/>
      <c r="U641" s="2269"/>
      <c r="V641" s="2269"/>
      <c r="W641" s="2269"/>
      <c r="X641" s="2269"/>
      <c r="Y641" s="2269"/>
      <c r="Z641" s="2269"/>
      <c r="AA641" s="2269"/>
    </row>
    <row r="642" spans="1:27" ht="13.5" customHeight="1" x14ac:dyDescent="0.3">
      <c r="A642" s="2269"/>
      <c r="B642" s="2269"/>
      <c r="C642" s="2272"/>
      <c r="D642" s="2358"/>
      <c r="E642" s="2358"/>
      <c r="F642" s="2358"/>
      <c r="G642" s="2283"/>
      <c r="H642" s="2268"/>
      <c r="I642" s="2269"/>
      <c r="J642" s="2269"/>
      <c r="K642" s="2269"/>
      <c r="L642" s="2269"/>
      <c r="M642" s="2270"/>
      <c r="N642" s="2270"/>
      <c r="O642" s="2270"/>
      <c r="P642" s="2269"/>
      <c r="Q642" s="2269"/>
      <c r="R642" s="2269"/>
      <c r="S642" s="2269"/>
      <c r="T642" s="2269"/>
      <c r="U642" s="2269"/>
      <c r="V642" s="2269"/>
      <c r="W642" s="2269"/>
      <c r="X642" s="2269"/>
      <c r="Y642" s="2269"/>
      <c r="Z642" s="2269"/>
      <c r="AA642" s="2269"/>
    </row>
    <row r="643" spans="1:27" ht="13.5" customHeight="1" x14ac:dyDescent="0.3">
      <c r="A643" s="2269"/>
      <c r="B643" s="2269"/>
      <c r="C643" s="2272"/>
      <c r="D643" s="2358"/>
      <c r="E643" s="2358"/>
      <c r="F643" s="2358"/>
      <c r="G643" s="2283"/>
      <c r="H643" s="2268"/>
      <c r="I643" s="2269"/>
      <c r="J643" s="2269"/>
      <c r="K643" s="2269"/>
      <c r="L643" s="2269"/>
      <c r="M643" s="2270"/>
      <c r="N643" s="2270"/>
      <c r="O643" s="2270"/>
      <c r="P643" s="2269"/>
      <c r="Q643" s="2269"/>
      <c r="R643" s="2269"/>
      <c r="S643" s="2269"/>
      <c r="T643" s="2269"/>
      <c r="U643" s="2269"/>
      <c r="V643" s="2269"/>
      <c r="W643" s="2269"/>
      <c r="X643" s="2269"/>
      <c r="Y643" s="2269"/>
      <c r="Z643" s="2269"/>
      <c r="AA643" s="2269"/>
    </row>
    <row r="644" spans="1:27" ht="13.5" customHeight="1" x14ac:dyDescent="0.3">
      <c r="A644" s="2269"/>
      <c r="B644" s="2269"/>
      <c r="C644" s="2272"/>
      <c r="D644" s="2358"/>
      <c r="E644" s="2358"/>
      <c r="F644" s="2358"/>
      <c r="G644" s="2283"/>
      <c r="H644" s="2268"/>
      <c r="I644" s="2269"/>
      <c r="J644" s="2269"/>
      <c r="K644" s="2269"/>
      <c r="L644" s="2269"/>
      <c r="M644" s="2270"/>
      <c r="N644" s="2270"/>
      <c r="O644" s="2270"/>
      <c r="P644" s="2269"/>
      <c r="Q644" s="2269"/>
      <c r="R644" s="2269"/>
      <c r="S644" s="2269"/>
      <c r="T644" s="2269"/>
      <c r="U644" s="2269"/>
      <c r="V644" s="2269"/>
      <c r="W644" s="2269"/>
      <c r="X644" s="2269"/>
      <c r="Y644" s="2269"/>
      <c r="Z644" s="2269"/>
      <c r="AA644" s="2269"/>
    </row>
    <row r="645" spans="1:27" ht="13.5" customHeight="1" x14ac:dyDescent="0.3">
      <c r="A645" s="2269"/>
      <c r="B645" s="2269"/>
      <c r="C645" s="2272"/>
      <c r="D645" s="2358"/>
      <c r="E645" s="2358"/>
      <c r="F645" s="2358"/>
      <c r="G645" s="2283"/>
      <c r="H645" s="2268"/>
      <c r="I645" s="2269"/>
      <c r="J645" s="2269"/>
      <c r="K645" s="2269"/>
      <c r="L645" s="2269"/>
      <c r="M645" s="2270"/>
      <c r="N645" s="2270"/>
      <c r="O645" s="2270"/>
      <c r="P645" s="2269"/>
      <c r="Q645" s="2269"/>
      <c r="R645" s="2269"/>
      <c r="S645" s="2269"/>
      <c r="T645" s="2269"/>
      <c r="U645" s="2269"/>
      <c r="V645" s="2269"/>
      <c r="W645" s="2269"/>
      <c r="X645" s="2269"/>
      <c r="Y645" s="2269"/>
      <c r="Z645" s="2269"/>
      <c r="AA645" s="2269"/>
    </row>
    <row r="646" spans="1:27" ht="13.5" customHeight="1" x14ac:dyDescent="0.3">
      <c r="A646" s="2269"/>
      <c r="B646" s="2269"/>
      <c r="C646" s="2272"/>
      <c r="D646" s="2358"/>
      <c r="E646" s="2358"/>
      <c r="F646" s="2358"/>
      <c r="G646" s="2283"/>
      <c r="H646" s="2268"/>
      <c r="I646" s="2269"/>
      <c r="J646" s="2269"/>
      <c r="K646" s="2269"/>
      <c r="L646" s="2269"/>
      <c r="M646" s="2270"/>
      <c r="N646" s="2270"/>
      <c r="O646" s="2270"/>
      <c r="P646" s="2269"/>
      <c r="Q646" s="2269"/>
      <c r="R646" s="2269"/>
      <c r="S646" s="2269"/>
      <c r="T646" s="2269"/>
      <c r="U646" s="2269"/>
      <c r="V646" s="2269"/>
      <c r="W646" s="2269"/>
      <c r="X646" s="2269"/>
      <c r="Y646" s="2269"/>
      <c r="Z646" s="2269"/>
      <c r="AA646" s="2269"/>
    </row>
    <row r="647" spans="1:27" ht="13.5" customHeight="1" x14ac:dyDescent="0.3">
      <c r="A647" s="2269"/>
      <c r="B647" s="2269"/>
      <c r="C647" s="2272"/>
      <c r="D647" s="2358"/>
      <c r="E647" s="2358"/>
      <c r="F647" s="2358"/>
      <c r="G647" s="2283"/>
      <c r="H647" s="2268"/>
      <c r="I647" s="2269"/>
      <c r="J647" s="2269"/>
      <c r="K647" s="2269"/>
      <c r="L647" s="2269"/>
      <c r="M647" s="2270"/>
      <c r="N647" s="2270"/>
      <c r="O647" s="2270"/>
      <c r="P647" s="2269"/>
      <c r="Q647" s="2269"/>
      <c r="R647" s="2269"/>
      <c r="S647" s="2269"/>
      <c r="T647" s="2269"/>
      <c r="U647" s="2269"/>
      <c r="V647" s="2269"/>
      <c r="W647" s="2269"/>
      <c r="X647" s="2269"/>
      <c r="Y647" s="2269"/>
      <c r="Z647" s="2269"/>
      <c r="AA647" s="2269"/>
    </row>
    <row r="648" spans="1:27" ht="13.5" customHeight="1" x14ac:dyDescent="0.3">
      <c r="A648" s="2269"/>
      <c r="B648" s="2269"/>
      <c r="C648" s="2272"/>
      <c r="D648" s="2358"/>
      <c r="E648" s="2358"/>
      <c r="F648" s="2358"/>
      <c r="G648" s="2283"/>
      <c r="H648" s="2268"/>
      <c r="I648" s="2269"/>
      <c r="J648" s="2269"/>
      <c r="K648" s="2269"/>
      <c r="L648" s="2269"/>
      <c r="M648" s="2270"/>
      <c r="N648" s="2270"/>
      <c r="O648" s="2270"/>
      <c r="P648" s="2269"/>
      <c r="Q648" s="2269"/>
      <c r="R648" s="2269"/>
      <c r="S648" s="2269"/>
      <c r="T648" s="2269"/>
      <c r="U648" s="2269"/>
      <c r="V648" s="2269"/>
      <c r="W648" s="2269"/>
      <c r="X648" s="2269"/>
      <c r="Y648" s="2269"/>
      <c r="Z648" s="2269"/>
      <c r="AA648" s="2269"/>
    </row>
    <row r="649" spans="1:27" ht="13.5" customHeight="1" x14ac:dyDescent="0.3">
      <c r="A649" s="2269"/>
      <c r="B649" s="2269"/>
      <c r="C649" s="2272"/>
      <c r="D649" s="2358"/>
      <c r="E649" s="2358"/>
      <c r="F649" s="2358"/>
      <c r="G649" s="2283"/>
      <c r="H649" s="2268"/>
      <c r="I649" s="2269"/>
      <c r="J649" s="2269"/>
      <c r="K649" s="2269"/>
      <c r="L649" s="2269"/>
      <c r="M649" s="2270"/>
      <c r="N649" s="2270"/>
      <c r="O649" s="2270"/>
      <c r="P649" s="2269"/>
      <c r="Q649" s="2269"/>
      <c r="R649" s="2269"/>
      <c r="S649" s="2269"/>
      <c r="T649" s="2269"/>
      <c r="U649" s="2269"/>
      <c r="V649" s="2269"/>
      <c r="W649" s="2269"/>
      <c r="X649" s="2269"/>
      <c r="Y649" s="2269"/>
      <c r="Z649" s="2269"/>
      <c r="AA649" s="2269"/>
    </row>
    <row r="650" spans="1:27" ht="13.5" customHeight="1" x14ac:dyDescent="0.3">
      <c r="A650" s="2269"/>
      <c r="B650" s="2269"/>
      <c r="C650" s="2272"/>
      <c r="D650" s="2358"/>
      <c r="E650" s="2358"/>
      <c r="F650" s="2358"/>
      <c r="G650" s="2283"/>
      <c r="H650" s="2268"/>
      <c r="I650" s="2269"/>
      <c r="J650" s="2269"/>
      <c r="K650" s="2269"/>
      <c r="L650" s="2269"/>
      <c r="M650" s="2270"/>
      <c r="N650" s="2270"/>
      <c r="O650" s="2270"/>
      <c r="P650" s="2269"/>
      <c r="Q650" s="2269"/>
      <c r="R650" s="2269"/>
      <c r="S650" s="2269"/>
      <c r="T650" s="2269"/>
      <c r="U650" s="2269"/>
      <c r="V650" s="2269"/>
      <c r="W650" s="2269"/>
      <c r="X650" s="2269"/>
      <c r="Y650" s="2269"/>
      <c r="Z650" s="2269"/>
      <c r="AA650" s="2269"/>
    </row>
    <row r="651" spans="1:27" ht="13.5" customHeight="1" x14ac:dyDescent="0.3">
      <c r="A651" s="2269"/>
      <c r="B651" s="2269"/>
      <c r="C651" s="2272"/>
      <c r="D651" s="2358"/>
      <c r="E651" s="2358"/>
      <c r="F651" s="2358"/>
      <c r="G651" s="2283"/>
      <c r="H651" s="2268"/>
      <c r="I651" s="2269"/>
      <c r="J651" s="2269"/>
      <c r="K651" s="2269"/>
      <c r="L651" s="2269"/>
      <c r="M651" s="2270"/>
      <c r="N651" s="2270"/>
      <c r="O651" s="2270"/>
      <c r="P651" s="2269"/>
      <c r="Q651" s="2269"/>
      <c r="R651" s="2269"/>
      <c r="S651" s="2269"/>
      <c r="T651" s="2269"/>
      <c r="U651" s="2269"/>
      <c r="V651" s="2269"/>
      <c r="W651" s="2269"/>
      <c r="X651" s="2269"/>
      <c r="Y651" s="2269"/>
      <c r="Z651" s="2269"/>
      <c r="AA651" s="2269"/>
    </row>
    <row r="652" spans="1:27" ht="13.5" customHeight="1" x14ac:dyDescent="0.3">
      <c r="A652" s="2269"/>
      <c r="B652" s="2269"/>
      <c r="C652" s="2272"/>
      <c r="D652" s="2358"/>
      <c r="E652" s="2358"/>
      <c r="F652" s="2358"/>
      <c r="G652" s="2283"/>
      <c r="H652" s="2268"/>
      <c r="I652" s="2269"/>
      <c r="J652" s="2269"/>
      <c r="K652" s="2269"/>
      <c r="L652" s="2269"/>
      <c r="M652" s="2270"/>
      <c r="N652" s="2270"/>
      <c r="O652" s="2270"/>
      <c r="P652" s="2269"/>
      <c r="Q652" s="2269"/>
      <c r="R652" s="2269"/>
      <c r="S652" s="2269"/>
      <c r="T652" s="2269"/>
      <c r="U652" s="2269"/>
      <c r="V652" s="2269"/>
      <c r="W652" s="2269"/>
      <c r="X652" s="2269"/>
      <c r="Y652" s="2269"/>
      <c r="Z652" s="2269"/>
      <c r="AA652" s="2269"/>
    </row>
    <row r="653" spans="1:27" ht="13.5" customHeight="1" x14ac:dyDescent="0.3">
      <c r="A653" s="2269"/>
      <c r="B653" s="2269"/>
      <c r="C653" s="2272"/>
      <c r="D653" s="2358"/>
      <c r="E653" s="2358"/>
      <c r="F653" s="2358"/>
      <c r="G653" s="2283"/>
      <c r="H653" s="2268"/>
      <c r="I653" s="2269"/>
      <c r="J653" s="2269"/>
      <c r="K653" s="2269"/>
      <c r="L653" s="2269"/>
      <c r="M653" s="2270"/>
      <c r="N653" s="2270"/>
      <c r="O653" s="2270"/>
      <c r="P653" s="2269"/>
      <c r="Q653" s="2269"/>
      <c r="R653" s="2269"/>
      <c r="S653" s="2269"/>
      <c r="T653" s="2269"/>
      <c r="U653" s="2269"/>
      <c r="V653" s="2269"/>
      <c r="W653" s="2269"/>
      <c r="X653" s="2269"/>
      <c r="Y653" s="2269"/>
      <c r="Z653" s="2269"/>
      <c r="AA653" s="2269"/>
    </row>
    <row r="654" spans="1:27" ht="13.5" customHeight="1" x14ac:dyDescent="0.3">
      <c r="A654" s="2269"/>
      <c r="B654" s="2269"/>
      <c r="C654" s="2272"/>
      <c r="D654" s="2358"/>
      <c r="E654" s="2358"/>
      <c r="F654" s="2358"/>
      <c r="G654" s="2283"/>
      <c r="H654" s="2268"/>
      <c r="I654" s="2269"/>
      <c r="J654" s="2269"/>
      <c r="K654" s="2269"/>
      <c r="L654" s="2269"/>
      <c r="M654" s="2270"/>
      <c r="N654" s="2270"/>
      <c r="O654" s="2270"/>
      <c r="P654" s="2269"/>
      <c r="Q654" s="2269"/>
      <c r="R654" s="2269"/>
      <c r="S654" s="2269"/>
      <c r="T654" s="2269"/>
      <c r="U654" s="2269"/>
      <c r="V654" s="2269"/>
      <c r="W654" s="2269"/>
      <c r="X654" s="2269"/>
      <c r="Y654" s="2269"/>
      <c r="Z654" s="2269"/>
      <c r="AA654" s="2269"/>
    </row>
    <row r="655" spans="1:27" ht="13.5" customHeight="1" x14ac:dyDescent="0.3">
      <c r="A655" s="2269"/>
      <c r="B655" s="2269"/>
      <c r="C655" s="2272"/>
      <c r="D655" s="2358"/>
      <c r="E655" s="2358"/>
      <c r="F655" s="2358"/>
      <c r="G655" s="2283"/>
      <c r="H655" s="2268"/>
      <c r="I655" s="2269"/>
      <c r="J655" s="2269"/>
      <c r="K655" s="2269"/>
      <c r="L655" s="2269"/>
      <c r="M655" s="2270"/>
      <c r="N655" s="2270"/>
      <c r="O655" s="2270"/>
      <c r="P655" s="2269"/>
      <c r="Q655" s="2269"/>
      <c r="R655" s="2269"/>
      <c r="S655" s="2269"/>
      <c r="T655" s="2269"/>
      <c r="U655" s="2269"/>
      <c r="V655" s="2269"/>
      <c r="W655" s="2269"/>
      <c r="X655" s="2269"/>
      <c r="Y655" s="2269"/>
      <c r="Z655" s="2269"/>
      <c r="AA655" s="2269"/>
    </row>
    <row r="656" spans="1:27" ht="13.5" customHeight="1" x14ac:dyDescent="0.3">
      <c r="A656" s="2269"/>
      <c r="B656" s="2269"/>
      <c r="C656" s="2272"/>
      <c r="D656" s="2358"/>
      <c r="E656" s="2358"/>
      <c r="F656" s="2358"/>
      <c r="G656" s="2283"/>
      <c r="H656" s="2268"/>
      <c r="I656" s="2269"/>
      <c r="J656" s="2269"/>
      <c r="K656" s="2269"/>
      <c r="L656" s="2269"/>
      <c r="M656" s="2270"/>
      <c r="N656" s="2270"/>
      <c r="O656" s="2270"/>
      <c r="P656" s="2269"/>
      <c r="Q656" s="2269"/>
      <c r="R656" s="2269"/>
      <c r="S656" s="2269"/>
      <c r="T656" s="2269"/>
      <c r="U656" s="2269"/>
      <c r="V656" s="2269"/>
      <c r="W656" s="2269"/>
      <c r="X656" s="2269"/>
      <c r="Y656" s="2269"/>
      <c r="Z656" s="2269"/>
      <c r="AA656" s="2269"/>
    </row>
    <row r="657" spans="1:27" ht="13.5" customHeight="1" x14ac:dyDescent="0.3">
      <c r="A657" s="2269"/>
      <c r="B657" s="2269"/>
      <c r="C657" s="2272"/>
      <c r="D657" s="2358"/>
      <c r="E657" s="2358"/>
      <c r="F657" s="2358"/>
      <c r="G657" s="2283"/>
      <c r="H657" s="2268"/>
      <c r="I657" s="2269"/>
      <c r="J657" s="2269"/>
      <c r="K657" s="2269"/>
      <c r="L657" s="2269"/>
      <c r="M657" s="2270"/>
      <c r="N657" s="2270"/>
      <c r="O657" s="2270"/>
      <c r="P657" s="2269"/>
      <c r="Q657" s="2269"/>
      <c r="R657" s="2269"/>
      <c r="S657" s="2269"/>
      <c r="T657" s="2269"/>
      <c r="U657" s="2269"/>
      <c r="V657" s="2269"/>
      <c r="W657" s="2269"/>
      <c r="X657" s="2269"/>
      <c r="Y657" s="2269"/>
      <c r="Z657" s="2269"/>
      <c r="AA657" s="2269"/>
    </row>
    <row r="658" spans="1:27" ht="13.5" customHeight="1" x14ac:dyDescent="0.3">
      <c r="A658" s="2269"/>
      <c r="B658" s="2269"/>
      <c r="C658" s="2272"/>
      <c r="D658" s="2358"/>
      <c r="E658" s="2358"/>
      <c r="F658" s="2358"/>
      <c r="G658" s="2283"/>
      <c r="H658" s="2268"/>
      <c r="I658" s="2269"/>
      <c r="J658" s="2269"/>
      <c r="K658" s="2269"/>
      <c r="L658" s="2269"/>
      <c r="M658" s="2270"/>
      <c r="N658" s="2270"/>
      <c r="O658" s="2270"/>
      <c r="P658" s="2269"/>
      <c r="Q658" s="2269"/>
      <c r="R658" s="2269"/>
      <c r="S658" s="2269"/>
      <c r="T658" s="2269"/>
      <c r="U658" s="2269"/>
      <c r="V658" s="2269"/>
      <c r="W658" s="2269"/>
      <c r="X658" s="2269"/>
      <c r="Y658" s="2269"/>
      <c r="Z658" s="2269"/>
      <c r="AA658" s="2269"/>
    </row>
    <row r="659" spans="1:27" ht="13.5" customHeight="1" x14ac:dyDescent="0.3">
      <c r="A659" s="2269"/>
      <c r="B659" s="2269"/>
      <c r="C659" s="2272"/>
      <c r="D659" s="2358"/>
      <c r="E659" s="2358"/>
      <c r="F659" s="2358"/>
      <c r="G659" s="2283"/>
      <c r="H659" s="2268"/>
      <c r="I659" s="2269"/>
      <c r="J659" s="2269"/>
      <c r="K659" s="2269"/>
      <c r="L659" s="2269"/>
      <c r="M659" s="2270"/>
      <c r="N659" s="2270"/>
      <c r="O659" s="2270"/>
      <c r="P659" s="2269"/>
      <c r="Q659" s="2269"/>
      <c r="R659" s="2269"/>
      <c r="S659" s="2269"/>
      <c r="T659" s="2269"/>
      <c r="U659" s="2269"/>
      <c r="V659" s="2269"/>
      <c r="W659" s="2269"/>
      <c r="X659" s="2269"/>
      <c r="Y659" s="2269"/>
      <c r="Z659" s="2269"/>
      <c r="AA659" s="2269"/>
    </row>
    <row r="660" spans="1:27" ht="13.5" customHeight="1" x14ac:dyDescent="0.3">
      <c r="A660" s="2269"/>
      <c r="B660" s="2269"/>
      <c r="C660" s="2272"/>
      <c r="D660" s="2358"/>
      <c r="E660" s="2358"/>
      <c r="F660" s="2358"/>
      <c r="G660" s="2283"/>
      <c r="H660" s="2268"/>
      <c r="I660" s="2269"/>
      <c r="J660" s="2269"/>
      <c r="K660" s="2269"/>
      <c r="L660" s="2269"/>
      <c r="M660" s="2270"/>
      <c r="N660" s="2270"/>
      <c r="O660" s="2270"/>
      <c r="P660" s="2269"/>
      <c r="Q660" s="2269"/>
      <c r="R660" s="2269"/>
      <c r="S660" s="2269"/>
      <c r="T660" s="2269"/>
      <c r="U660" s="2269"/>
      <c r="V660" s="2269"/>
      <c r="W660" s="2269"/>
      <c r="X660" s="2269"/>
      <c r="Y660" s="2269"/>
      <c r="Z660" s="2269"/>
      <c r="AA660" s="2269"/>
    </row>
    <row r="661" spans="1:27" ht="13.5" customHeight="1" x14ac:dyDescent="0.3">
      <c r="A661" s="2269"/>
      <c r="B661" s="2269"/>
      <c r="C661" s="2272"/>
      <c r="D661" s="2358"/>
      <c r="E661" s="2358"/>
      <c r="F661" s="2358"/>
      <c r="G661" s="2283"/>
      <c r="H661" s="2268"/>
      <c r="I661" s="2269"/>
      <c r="J661" s="2269"/>
      <c r="K661" s="2269"/>
      <c r="L661" s="2269"/>
      <c r="M661" s="2270"/>
      <c r="N661" s="2270"/>
      <c r="O661" s="2270"/>
      <c r="P661" s="2269"/>
      <c r="Q661" s="2269"/>
      <c r="R661" s="2269"/>
      <c r="S661" s="2269"/>
      <c r="T661" s="2269"/>
      <c r="U661" s="2269"/>
      <c r="V661" s="2269"/>
      <c r="W661" s="2269"/>
      <c r="X661" s="2269"/>
      <c r="Y661" s="2269"/>
      <c r="Z661" s="2269"/>
      <c r="AA661" s="2269"/>
    </row>
    <row r="662" spans="1:27" ht="13.5" customHeight="1" x14ac:dyDescent="0.3">
      <c r="A662" s="2269"/>
      <c r="B662" s="2269"/>
      <c r="C662" s="2272"/>
      <c r="D662" s="2358"/>
      <c r="E662" s="2358"/>
      <c r="F662" s="2358"/>
      <c r="G662" s="2283"/>
      <c r="H662" s="2268"/>
      <c r="I662" s="2269"/>
      <c r="J662" s="2269"/>
      <c r="K662" s="2269"/>
      <c r="L662" s="2269"/>
      <c r="M662" s="2270"/>
      <c r="N662" s="2270"/>
      <c r="O662" s="2270"/>
      <c r="P662" s="2269"/>
      <c r="Q662" s="2269"/>
      <c r="R662" s="2269"/>
      <c r="S662" s="2269"/>
      <c r="T662" s="2269"/>
      <c r="U662" s="2269"/>
      <c r="V662" s="2269"/>
      <c r="W662" s="2269"/>
      <c r="X662" s="2269"/>
      <c r="Y662" s="2269"/>
      <c r="Z662" s="2269"/>
      <c r="AA662" s="2269"/>
    </row>
    <row r="663" spans="1:27" ht="13.5" customHeight="1" x14ac:dyDescent="0.3">
      <c r="A663" s="2269"/>
      <c r="B663" s="2269"/>
      <c r="C663" s="2272"/>
      <c r="D663" s="2358"/>
      <c r="E663" s="2358"/>
      <c r="F663" s="2358"/>
      <c r="G663" s="2283"/>
      <c r="H663" s="2268"/>
      <c r="I663" s="2269"/>
      <c r="J663" s="2269"/>
      <c r="K663" s="2269"/>
      <c r="L663" s="2269"/>
      <c r="M663" s="2270"/>
      <c r="N663" s="2270"/>
      <c r="O663" s="2270"/>
      <c r="P663" s="2269"/>
      <c r="Q663" s="2269"/>
      <c r="R663" s="2269"/>
      <c r="S663" s="2269"/>
      <c r="T663" s="2269"/>
      <c r="U663" s="2269"/>
      <c r="V663" s="2269"/>
      <c r="W663" s="2269"/>
      <c r="X663" s="2269"/>
      <c r="Y663" s="2269"/>
      <c r="Z663" s="2269"/>
      <c r="AA663" s="2269"/>
    </row>
    <row r="664" spans="1:27" ht="13.5" customHeight="1" x14ac:dyDescent="0.3">
      <c r="A664" s="2269"/>
      <c r="B664" s="2269"/>
      <c r="C664" s="2272"/>
      <c r="D664" s="2358"/>
      <c r="E664" s="2358"/>
      <c r="F664" s="2358"/>
      <c r="G664" s="2283"/>
      <c r="H664" s="2268"/>
      <c r="I664" s="2269"/>
      <c r="J664" s="2269"/>
      <c r="K664" s="2269"/>
      <c r="L664" s="2269"/>
      <c r="M664" s="2270"/>
      <c r="N664" s="2270"/>
      <c r="O664" s="2270"/>
      <c r="P664" s="2269"/>
      <c r="Q664" s="2269"/>
      <c r="R664" s="2269"/>
      <c r="S664" s="2269"/>
      <c r="T664" s="2269"/>
      <c r="U664" s="2269"/>
      <c r="V664" s="2269"/>
      <c r="W664" s="2269"/>
      <c r="X664" s="2269"/>
      <c r="Y664" s="2269"/>
      <c r="Z664" s="2269"/>
      <c r="AA664" s="2269"/>
    </row>
    <row r="665" spans="1:27" ht="13.5" customHeight="1" x14ac:dyDescent="0.3">
      <c r="A665" s="2269"/>
      <c r="B665" s="2269"/>
      <c r="C665" s="2272"/>
      <c r="D665" s="2358"/>
      <c r="E665" s="2358"/>
      <c r="F665" s="2358"/>
      <c r="G665" s="2283"/>
      <c r="H665" s="2268"/>
      <c r="I665" s="2269"/>
      <c r="J665" s="2269"/>
      <c r="K665" s="2269"/>
      <c r="L665" s="2269"/>
      <c r="M665" s="2270"/>
      <c r="N665" s="2270"/>
      <c r="O665" s="2270"/>
      <c r="P665" s="2269"/>
      <c r="Q665" s="2269"/>
      <c r="R665" s="2269"/>
      <c r="S665" s="2269"/>
      <c r="T665" s="2269"/>
      <c r="U665" s="2269"/>
      <c r="V665" s="2269"/>
      <c r="W665" s="2269"/>
      <c r="X665" s="2269"/>
      <c r="Y665" s="2269"/>
      <c r="Z665" s="2269"/>
      <c r="AA665" s="2269"/>
    </row>
    <row r="666" spans="1:27" ht="13.5" customHeight="1" x14ac:dyDescent="0.3">
      <c r="A666" s="2269"/>
      <c r="B666" s="2269"/>
      <c r="C666" s="2272"/>
      <c r="D666" s="2358"/>
      <c r="E666" s="2358"/>
      <c r="F666" s="2358"/>
      <c r="G666" s="2283"/>
      <c r="H666" s="2268"/>
      <c r="I666" s="2269"/>
      <c r="J666" s="2269"/>
      <c r="K666" s="2269"/>
      <c r="L666" s="2269"/>
      <c r="M666" s="2270"/>
      <c r="N666" s="2270"/>
      <c r="O666" s="2270"/>
      <c r="P666" s="2269"/>
      <c r="Q666" s="2269"/>
      <c r="R666" s="2269"/>
      <c r="S666" s="2269"/>
      <c r="T666" s="2269"/>
      <c r="U666" s="2269"/>
      <c r="V666" s="2269"/>
      <c r="W666" s="2269"/>
      <c r="X666" s="2269"/>
      <c r="Y666" s="2269"/>
      <c r="Z666" s="2269"/>
      <c r="AA666" s="2269"/>
    </row>
    <row r="667" spans="1:27" ht="13.5" customHeight="1" x14ac:dyDescent="0.3">
      <c r="A667" s="2269"/>
      <c r="B667" s="2269"/>
      <c r="C667" s="2272"/>
      <c r="D667" s="2358"/>
      <c r="E667" s="2358"/>
      <c r="F667" s="2358"/>
      <c r="G667" s="2283"/>
      <c r="H667" s="2268"/>
      <c r="I667" s="2269"/>
      <c r="J667" s="2269"/>
      <c r="K667" s="2269"/>
      <c r="L667" s="2269"/>
      <c r="M667" s="2270"/>
      <c r="N667" s="2270"/>
      <c r="O667" s="2270"/>
      <c r="P667" s="2269"/>
      <c r="Q667" s="2269"/>
      <c r="R667" s="2269"/>
      <c r="S667" s="2269"/>
      <c r="T667" s="2269"/>
      <c r="U667" s="2269"/>
      <c r="V667" s="2269"/>
      <c r="W667" s="2269"/>
      <c r="X667" s="2269"/>
      <c r="Y667" s="2269"/>
      <c r="Z667" s="2269"/>
      <c r="AA667" s="2269"/>
    </row>
    <row r="668" spans="1:27" ht="13.5" customHeight="1" x14ac:dyDescent="0.3">
      <c r="A668" s="2269"/>
      <c r="B668" s="2269"/>
      <c r="C668" s="2272"/>
      <c r="D668" s="2358"/>
      <c r="E668" s="2358"/>
      <c r="F668" s="2358"/>
      <c r="G668" s="2283"/>
      <c r="H668" s="2268"/>
      <c r="I668" s="2269"/>
      <c r="J668" s="2269"/>
      <c r="K668" s="2269"/>
      <c r="L668" s="2269"/>
      <c r="M668" s="2270"/>
      <c r="N668" s="2270"/>
      <c r="O668" s="2270"/>
      <c r="P668" s="2269"/>
      <c r="Q668" s="2269"/>
      <c r="R668" s="2269"/>
      <c r="S668" s="2269"/>
      <c r="T668" s="2269"/>
      <c r="U668" s="2269"/>
      <c r="V668" s="2269"/>
      <c r="W668" s="2269"/>
      <c r="X668" s="2269"/>
      <c r="Y668" s="2269"/>
      <c r="Z668" s="2269"/>
      <c r="AA668" s="2269"/>
    </row>
    <row r="669" spans="1:27" ht="13.5" customHeight="1" x14ac:dyDescent="0.3">
      <c r="A669" s="2269"/>
      <c r="B669" s="2269"/>
      <c r="C669" s="2272"/>
      <c r="D669" s="2358"/>
      <c r="E669" s="2358"/>
      <c r="F669" s="2358"/>
      <c r="G669" s="2283"/>
      <c r="H669" s="2268"/>
      <c r="I669" s="2269"/>
      <c r="J669" s="2269"/>
      <c r="K669" s="2269"/>
      <c r="L669" s="2269"/>
      <c r="M669" s="2270"/>
      <c r="N669" s="2270"/>
      <c r="O669" s="2270"/>
      <c r="P669" s="2269"/>
      <c r="Q669" s="2269"/>
      <c r="R669" s="2269"/>
      <c r="S669" s="2269"/>
      <c r="T669" s="2269"/>
      <c r="U669" s="2269"/>
      <c r="V669" s="2269"/>
      <c r="W669" s="2269"/>
      <c r="X669" s="2269"/>
      <c r="Y669" s="2269"/>
      <c r="Z669" s="2269"/>
      <c r="AA669" s="2269"/>
    </row>
    <row r="670" spans="1:27" ht="13.5" customHeight="1" x14ac:dyDescent="0.3">
      <c r="A670" s="2269"/>
      <c r="B670" s="2269"/>
      <c r="C670" s="2272"/>
      <c r="D670" s="2358"/>
      <c r="E670" s="2358"/>
      <c r="F670" s="2358"/>
      <c r="G670" s="2283"/>
      <c r="H670" s="2268"/>
      <c r="I670" s="2269"/>
      <c r="J670" s="2269"/>
      <c r="K670" s="2269"/>
      <c r="L670" s="2269"/>
      <c r="M670" s="2270"/>
      <c r="N670" s="2270"/>
      <c r="O670" s="2270"/>
      <c r="P670" s="2269"/>
      <c r="Q670" s="2269"/>
      <c r="R670" s="2269"/>
      <c r="S670" s="2269"/>
      <c r="T670" s="2269"/>
      <c r="U670" s="2269"/>
      <c r="V670" s="2269"/>
      <c r="W670" s="2269"/>
      <c r="X670" s="2269"/>
      <c r="Y670" s="2269"/>
      <c r="Z670" s="2269"/>
      <c r="AA670" s="2269"/>
    </row>
    <row r="671" spans="1:27" ht="13.5" customHeight="1" x14ac:dyDescent="0.3">
      <c r="A671" s="2269"/>
      <c r="B671" s="2269"/>
      <c r="C671" s="2272"/>
      <c r="D671" s="2358"/>
      <c r="E671" s="2358"/>
      <c r="F671" s="2358"/>
      <c r="G671" s="2283"/>
      <c r="H671" s="2268"/>
      <c r="I671" s="2269"/>
      <c r="J671" s="2269"/>
      <c r="K671" s="2269"/>
      <c r="L671" s="2269"/>
      <c r="M671" s="2270"/>
      <c r="N671" s="2270"/>
      <c r="O671" s="2270"/>
      <c r="P671" s="2269"/>
      <c r="Q671" s="2269"/>
      <c r="R671" s="2269"/>
      <c r="S671" s="2269"/>
      <c r="T671" s="2269"/>
      <c r="U671" s="2269"/>
      <c r="V671" s="2269"/>
      <c r="W671" s="2269"/>
      <c r="X671" s="2269"/>
      <c r="Y671" s="2269"/>
      <c r="Z671" s="2269"/>
      <c r="AA671" s="2269"/>
    </row>
    <row r="672" spans="1:27" ht="13.5" customHeight="1" x14ac:dyDescent="0.3">
      <c r="A672" s="2269"/>
      <c r="B672" s="2269"/>
      <c r="C672" s="2272"/>
      <c r="D672" s="2358"/>
      <c r="E672" s="2358"/>
      <c r="F672" s="2358"/>
      <c r="G672" s="2283"/>
      <c r="H672" s="2268"/>
      <c r="I672" s="2269"/>
      <c r="J672" s="2269"/>
      <c r="K672" s="2269"/>
      <c r="L672" s="2269"/>
      <c r="M672" s="2270"/>
      <c r="N672" s="2270"/>
      <c r="O672" s="2270"/>
      <c r="P672" s="2269"/>
      <c r="Q672" s="2269"/>
      <c r="R672" s="2269"/>
      <c r="S672" s="2269"/>
      <c r="T672" s="2269"/>
      <c r="U672" s="2269"/>
      <c r="V672" s="2269"/>
      <c r="W672" s="2269"/>
      <c r="X672" s="2269"/>
      <c r="Y672" s="2269"/>
      <c r="Z672" s="2269"/>
      <c r="AA672" s="2269"/>
    </row>
    <row r="673" spans="1:27" ht="13.5" customHeight="1" x14ac:dyDescent="0.3">
      <c r="A673" s="2269"/>
      <c r="B673" s="2269"/>
      <c r="C673" s="2272"/>
      <c r="D673" s="2358"/>
      <c r="E673" s="2358"/>
      <c r="F673" s="2358"/>
      <c r="G673" s="2283"/>
      <c r="H673" s="2268"/>
      <c r="I673" s="2269"/>
      <c r="J673" s="2269"/>
      <c r="K673" s="2269"/>
      <c r="L673" s="2269"/>
      <c r="M673" s="2270"/>
      <c r="N673" s="2270"/>
      <c r="O673" s="2270"/>
      <c r="P673" s="2269"/>
      <c r="Q673" s="2269"/>
      <c r="R673" s="2269"/>
      <c r="S673" s="2269"/>
      <c r="T673" s="2269"/>
      <c r="U673" s="2269"/>
      <c r="V673" s="2269"/>
      <c r="W673" s="2269"/>
      <c r="X673" s="2269"/>
      <c r="Y673" s="2269"/>
      <c r="Z673" s="2269"/>
      <c r="AA673" s="2269"/>
    </row>
    <row r="674" spans="1:27" ht="13.5" customHeight="1" x14ac:dyDescent="0.3">
      <c r="A674" s="2269"/>
      <c r="B674" s="2269"/>
      <c r="C674" s="2272"/>
      <c r="D674" s="2358"/>
      <c r="E674" s="2358"/>
      <c r="F674" s="2358"/>
      <c r="G674" s="2283"/>
      <c r="H674" s="2268"/>
      <c r="I674" s="2269"/>
      <c r="J674" s="2269"/>
      <c r="K674" s="2269"/>
      <c r="L674" s="2269"/>
      <c r="M674" s="2270"/>
      <c r="N674" s="2270"/>
      <c r="O674" s="2270"/>
      <c r="P674" s="2269"/>
      <c r="Q674" s="2269"/>
      <c r="R674" s="2269"/>
      <c r="S674" s="2269"/>
      <c r="T674" s="2269"/>
      <c r="U674" s="2269"/>
      <c r="V674" s="2269"/>
      <c r="W674" s="2269"/>
      <c r="X674" s="2269"/>
      <c r="Y674" s="2269"/>
      <c r="Z674" s="2269"/>
      <c r="AA674" s="2269"/>
    </row>
    <row r="675" spans="1:27" ht="13.5" customHeight="1" x14ac:dyDescent="0.3">
      <c r="A675" s="2269"/>
      <c r="B675" s="2269"/>
      <c r="C675" s="2272"/>
      <c r="D675" s="2358"/>
      <c r="E675" s="2358"/>
      <c r="F675" s="2358"/>
      <c r="G675" s="2283"/>
      <c r="H675" s="2268"/>
      <c r="I675" s="2269"/>
      <c r="J675" s="2269"/>
      <c r="K675" s="2269"/>
      <c r="L675" s="2269"/>
      <c r="M675" s="2270"/>
      <c r="N675" s="2270"/>
      <c r="O675" s="2270"/>
      <c r="P675" s="2269"/>
      <c r="Q675" s="2269"/>
      <c r="R675" s="2269"/>
      <c r="S675" s="2269"/>
      <c r="T675" s="2269"/>
      <c r="U675" s="2269"/>
      <c r="V675" s="2269"/>
      <c r="W675" s="2269"/>
      <c r="X675" s="2269"/>
      <c r="Y675" s="2269"/>
      <c r="Z675" s="2269"/>
      <c r="AA675" s="2269"/>
    </row>
    <row r="676" spans="1:27" ht="13.5" customHeight="1" x14ac:dyDescent="0.3">
      <c r="A676" s="2269"/>
      <c r="B676" s="2269"/>
      <c r="C676" s="2272"/>
      <c r="D676" s="2358"/>
      <c r="E676" s="2358"/>
      <c r="F676" s="2358"/>
      <c r="G676" s="2283"/>
      <c r="H676" s="2268"/>
      <c r="I676" s="2269"/>
      <c r="J676" s="2269"/>
      <c r="K676" s="2269"/>
      <c r="L676" s="2269"/>
      <c r="M676" s="2270"/>
      <c r="N676" s="2270"/>
      <c r="O676" s="2270"/>
      <c r="P676" s="2269"/>
      <c r="Q676" s="2269"/>
      <c r="R676" s="2269"/>
      <c r="S676" s="2269"/>
      <c r="T676" s="2269"/>
      <c r="U676" s="2269"/>
      <c r="V676" s="2269"/>
      <c r="W676" s="2269"/>
      <c r="X676" s="2269"/>
      <c r="Y676" s="2269"/>
      <c r="Z676" s="2269"/>
      <c r="AA676" s="2269"/>
    </row>
    <row r="677" spans="1:27" ht="13.5" customHeight="1" x14ac:dyDescent="0.3">
      <c r="A677" s="2269"/>
      <c r="B677" s="2269"/>
      <c r="C677" s="2272"/>
      <c r="D677" s="2358"/>
      <c r="E677" s="2358"/>
      <c r="F677" s="2358"/>
      <c r="G677" s="2283"/>
      <c r="H677" s="2268"/>
      <c r="I677" s="2269"/>
      <c r="J677" s="2269"/>
      <c r="K677" s="2269"/>
      <c r="L677" s="2269"/>
      <c r="M677" s="2270"/>
      <c r="N677" s="2270"/>
      <c r="O677" s="2270"/>
      <c r="P677" s="2269"/>
      <c r="Q677" s="2269"/>
      <c r="R677" s="2269"/>
      <c r="S677" s="2269"/>
      <c r="T677" s="2269"/>
      <c r="U677" s="2269"/>
      <c r="V677" s="2269"/>
      <c r="W677" s="2269"/>
      <c r="X677" s="2269"/>
      <c r="Y677" s="2269"/>
      <c r="Z677" s="2269"/>
      <c r="AA677" s="2269"/>
    </row>
    <row r="678" spans="1:27" ht="13.5" customHeight="1" x14ac:dyDescent="0.3">
      <c r="A678" s="2269"/>
      <c r="B678" s="2269"/>
      <c r="C678" s="2272"/>
      <c r="D678" s="2358"/>
      <c r="E678" s="2358"/>
      <c r="F678" s="2358"/>
      <c r="G678" s="2283"/>
      <c r="H678" s="2268"/>
      <c r="I678" s="2269"/>
      <c r="J678" s="2269"/>
      <c r="K678" s="2269"/>
      <c r="L678" s="2269"/>
      <c r="M678" s="2270"/>
      <c r="N678" s="2270"/>
      <c r="O678" s="2270"/>
      <c r="P678" s="2269"/>
      <c r="Q678" s="2269"/>
      <c r="R678" s="2269"/>
      <c r="S678" s="2269"/>
      <c r="T678" s="2269"/>
      <c r="U678" s="2269"/>
      <c r="V678" s="2269"/>
      <c r="W678" s="2269"/>
      <c r="X678" s="2269"/>
      <c r="Y678" s="2269"/>
      <c r="Z678" s="2269"/>
      <c r="AA678" s="2269"/>
    </row>
    <row r="679" spans="1:27" ht="13.5" customHeight="1" x14ac:dyDescent="0.3">
      <c r="A679" s="2269"/>
      <c r="B679" s="2269"/>
      <c r="C679" s="2272"/>
      <c r="D679" s="2358"/>
      <c r="E679" s="2358"/>
      <c r="F679" s="2358"/>
      <c r="G679" s="2283"/>
      <c r="H679" s="2268"/>
      <c r="I679" s="2269"/>
      <c r="J679" s="2269"/>
      <c r="K679" s="2269"/>
      <c r="L679" s="2269"/>
      <c r="M679" s="2270"/>
      <c r="N679" s="2270"/>
      <c r="O679" s="2270"/>
      <c r="P679" s="2269"/>
      <c r="Q679" s="2269"/>
      <c r="R679" s="2269"/>
      <c r="S679" s="2269"/>
      <c r="T679" s="2269"/>
      <c r="U679" s="2269"/>
      <c r="V679" s="2269"/>
      <c r="W679" s="2269"/>
      <c r="X679" s="2269"/>
      <c r="Y679" s="2269"/>
      <c r="Z679" s="2269"/>
      <c r="AA679" s="2269"/>
    </row>
    <row r="680" spans="1:27" ht="13.5" customHeight="1" x14ac:dyDescent="0.3">
      <c r="A680" s="2269"/>
      <c r="B680" s="2269"/>
      <c r="C680" s="2272"/>
      <c r="D680" s="2358"/>
      <c r="E680" s="2358"/>
      <c r="F680" s="2358"/>
      <c r="G680" s="2283"/>
      <c r="H680" s="2268"/>
      <c r="I680" s="2269"/>
      <c r="J680" s="2269"/>
      <c r="K680" s="2269"/>
      <c r="L680" s="2269"/>
      <c r="M680" s="2270"/>
      <c r="N680" s="2270"/>
      <c r="O680" s="2270"/>
      <c r="P680" s="2269"/>
      <c r="Q680" s="2269"/>
      <c r="R680" s="2269"/>
      <c r="S680" s="2269"/>
      <c r="T680" s="2269"/>
      <c r="U680" s="2269"/>
      <c r="V680" s="2269"/>
      <c r="W680" s="2269"/>
      <c r="X680" s="2269"/>
      <c r="Y680" s="2269"/>
      <c r="Z680" s="2269"/>
      <c r="AA680" s="2269"/>
    </row>
    <row r="681" spans="1:27" ht="13.5" customHeight="1" x14ac:dyDescent="0.3">
      <c r="A681" s="2269"/>
      <c r="B681" s="2269"/>
      <c r="C681" s="2272"/>
      <c r="D681" s="2358"/>
      <c r="E681" s="2358"/>
      <c r="F681" s="2358"/>
      <c r="G681" s="2283"/>
      <c r="H681" s="2268"/>
      <c r="I681" s="2269"/>
      <c r="J681" s="2269"/>
      <c r="K681" s="2269"/>
      <c r="L681" s="2269"/>
      <c r="M681" s="2270"/>
      <c r="N681" s="2270"/>
      <c r="O681" s="2270"/>
      <c r="P681" s="2269"/>
      <c r="Q681" s="2269"/>
      <c r="R681" s="2269"/>
      <c r="S681" s="2269"/>
      <c r="T681" s="2269"/>
      <c r="U681" s="2269"/>
      <c r="V681" s="2269"/>
      <c r="W681" s="2269"/>
      <c r="X681" s="2269"/>
      <c r="Y681" s="2269"/>
      <c r="Z681" s="2269"/>
      <c r="AA681" s="2269"/>
    </row>
    <row r="682" spans="1:27" ht="13.5" customHeight="1" x14ac:dyDescent="0.3">
      <c r="A682" s="2269"/>
      <c r="B682" s="2269"/>
      <c r="C682" s="2272"/>
      <c r="D682" s="2358"/>
      <c r="E682" s="2358"/>
      <c r="F682" s="2358"/>
      <c r="G682" s="2283"/>
      <c r="H682" s="2268"/>
      <c r="I682" s="2269"/>
      <c r="J682" s="2269"/>
      <c r="K682" s="2269"/>
      <c r="L682" s="2269"/>
      <c r="M682" s="2270"/>
      <c r="N682" s="2270"/>
      <c r="O682" s="2270"/>
      <c r="P682" s="2269"/>
      <c r="Q682" s="2269"/>
      <c r="R682" s="2269"/>
      <c r="S682" s="2269"/>
      <c r="T682" s="2269"/>
      <c r="U682" s="2269"/>
      <c r="V682" s="2269"/>
      <c r="W682" s="2269"/>
      <c r="X682" s="2269"/>
      <c r="Y682" s="2269"/>
      <c r="Z682" s="2269"/>
      <c r="AA682" s="2269"/>
    </row>
    <row r="683" spans="1:27" ht="13.5" customHeight="1" x14ac:dyDescent="0.3">
      <c r="A683" s="2269"/>
      <c r="B683" s="2269"/>
      <c r="C683" s="2272"/>
      <c r="D683" s="2358"/>
      <c r="E683" s="2358"/>
      <c r="F683" s="2358"/>
      <c r="G683" s="2283"/>
      <c r="H683" s="2268"/>
      <c r="I683" s="2269"/>
      <c r="J683" s="2269"/>
      <c r="K683" s="2269"/>
      <c r="L683" s="2269"/>
      <c r="M683" s="2270"/>
      <c r="N683" s="2270"/>
      <c r="O683" s="2270"/>
      <c r="P683" s="2269"/>
      <c r="Q683" s="2269"/>
      <c r="R683" s="2269"/>
      <c r="S683" s="2269"/>
      <c r="T683" s="2269"/>
      <c r="U683" s="2269"/>
      <c r="V683" s="2269"/>
      <c r="W683" s="2269"/>
      <c r="X683" s="2269"/>
      <c r="Y683" s="2269"/>
      <c r="Z683" s="2269"/>
      <c r="AA683" s="2269"/>
    </row>
    <row r="684" spans="1:27" ht="13.5" customHeight="1" x14ac:dyDescent="0.3">
      <c r="A684" s="2269"/>
      <c r="B684" s="2269"/>
      <c r="C684" s="2272"/>
      <c r="D684" s="2358"/>
      <c r="E684" s="2358"/>
      <c r="F684" s="2358"/>
      <c r="G684" s="2283"/>
      <c r="H684" s="2268"/>
      <c r="I684" s="2269"/>
      <c r="J684" s="2269"/>
      <c r="K684" s="2269"/>
      <c r="L684" s="2269"/>
      <c r="M684" s="2270"/>
      <c r="N684" s="2270"/>
      <c r="O684" s="2270"/>
      <c r="P684" s="2269"/>
      <c r="Q684" s="2269"/>
      <c r="R684" s="2269"/>
      <c r="S684" s="2269"/>
      <c r="T684" s="2269"/>
      <c r="U684" s="2269"/>
      <c r="V684" s="2269"/>
      <c r="W684" s="2269"/>
      <c r="X684" s="2269"/>
      <c r="Y684" s="2269"/>
      <c r="Z684" s="2269"/>
      <c r="AA684" s="2269"/>
    </row>
    <row r="685" spans="1:27" ht="13.5" customHeight="1" x14ac:dyDescent="0.3">
      <c r="A685" s="2269"/>
      <c r="B685" s="2269"/>
      <c r="C685" s="2272"/>
      <c r="D685" s="2358"/>
      <c r="E685" s="2358"/>
      <c r="F685" s="2358"/>
      <c r="G685" s="2283"/>
      <c r="H685" s="2268"/>
      <c r="I685" s="2269"/>
      <c r="J685" s="2269"/>
      <c r="K685" s="2269"/>
      <c r="L685" s="2269"/>
      <c r="M685" s="2270"/>
      <c r="N685" s="2270"/>
      <c r="O685" s="2270"/>
      <c r="P685" s="2269"/>
      <c r="Q685" s="2269"/>
      <c r="R685" s="2269"/>
      <c r="S685" s="2269"/>
      <c r="T685" s="2269"/>
      <c r="U685" s="2269"/>
      <c r="V685" s="2269"/>
      <c r="W685" s="2269"/>
      <c r="X685" s="2269"/>
      <c r="Y685" s="2269"/>
      <c r="Z685" s="2269"/>
      <c r="AA685" s="2269"/>
    </row>
    <row r="686" spans="1:27" ht="13.5" customHeight="1" x14ac:dyDescent="0.3">
      <c r="A686" s="2269"/>
      <c r="B686" s="2269"/>
      <c r="C686" s="2272"/>
      <c r="D686" s="2358"/>
      <c r="E686" s="2358"/>
      <c r="F686" s="2358"/>
      <c r="G686" s="2283"/>
      <c r="H686" s="2268"/>
      <c r="I686" s="2269"/>
      <c r="J686" s="2269"/>
      <c r="K686" s="2269"/>
      <c r="L686" s="2269"/>
      <c r="M686" s="2270"/>
      <c r="N686" s="2270"/>
      <c r="O686" s="2270"/>
      <c r="P686" s="2269"/>
      <c r="Q686" s="2269"/>
      <c r="R686" s="2269"/>
      <c r="S686" s="2269"/>
      <c r="T686" s="2269"/>
      <c r="U686" s="2269"/>
      <c r="V686" s="2269"/>
      <c r="W686" s="2269"/>
      <c r="X686" s="2269"/>
      <c r="Y686" s="2269"/>
      <c r="Z686" s="2269"/>
      <c r="AA686" s="2269"/>
    </row>
    <row r="687" spans="1:27" ht="13.5" customHeight="1" x14ac:dyDescent="0.3">
      <c r="A687" s="2269"/>
      <c r="B687" s="2269"/>
      <c r="C687" s="2272"/>
      <c r="D687" s="2358"/>
      <c r="E687" s="2358"/>
      <c r="F687" s="2358"/>
      <c r="G687" s="2283"/>
      <c r="H687" s="2268"/>
      <c r="I687" s="2269"/>
      <c r="J687" s="2269"/>
      <c r="K687" s="2269"/>
      <c r="L687" s="2269"/>
      <c r="M687" s="2270"/>
      <c r="N687" s="2270"/>
      <c r="O687" s="2270"/>
      <c r="P687" s="2269"/>
      <c r="Q687" s="2269"/>
      <c r="R687" s="2269"/>
      <c r="S687" s="2269"/>
      <c r="T687" s="2269"/>
      <c r="U687" s="2269"/>
      <c r="V687" s="2269"/>
      <c r="W687" s="2269"/>
      <c r="X687" s="2269"/>
      <c r="Y687" s="2269"/>
      <c r="Z687" s="2269"/>
      <c r="AA687" s="2269"/>
    </row>
    <row r="688" spans="1:27" ht="13.5" customHeight="1" x14ac:dyDescent="0.3">
      <c r="A688" s="2269"/>
      <c r="B688" s="2269"/>
      <c r="C688" s="2272"/>
      <c r="D688" s="2358"/>
      <c r="E688" s="2358"/>
      <c r="F688" s="2358"/>
      <c r="G688" s="2283"/>
      <c r="H688" s="2268"/>
      <c r="I688" s="2269"/>
      <c r="J688" s="2269"/>
      <c r="K688" s="2269"/>
      <c r="L688" s="2269"/>
      <c r="M688" s="2270"/>
      <c r="N688" s="2270"/>
      <c r="O688" s="2270"/>
      <c r="P688" s="2269"/>
      <c r="Q688" s="2269"/>
      <c r="R688" s="2269"/>
      <c r="S688" s="2269"/>
      <c r="T688" s="2269"/>
      <c r="U688" s="2269"/>
      <c r="V688" s="2269"/>
      <c r="W688" s="2269"/>
      <c r="X688" s="2269"/>
      <c r="Y688" s="2269"/>
      <c r="Z688" s="2269"/>
      <c r="AA688" s="2269"/>
    </row>
    <row r="689" spans="1:27" ht="13.5" customHeight="1" x14ac:dyDescent="0.3">
      <c r="A689" s="2269"/>
      <c r="B689" s="2269"/>
      <c r="C689" s="2272"/>
      <c r="D689" s="2358"/>
      <c r="E689" s="2358"/>
      <c r="F689" s="2358"/>
      <c r="G689" s="2283"/>
      <c r="H689" s="2268"/>
      <c r="I689" s="2269"/>
      <c r="J689" s="2269"/>
      <c r="K689" s="2269"/>
      <c r="L689" s="2269"/>
      <c r="M689" s="2270"/>
      <c r="N689" s="2270"/>
      <c r="O689" s="2270"/>
      <c r="P689" s="2269"/>
      <c r="Q689" s="2269"/>
      <c r="R689" s="2269"/>
      <c r="S689" s="2269"/>
      <c r="T689" s="2269"/>
      <c r="U689" s="2269"/>
      <c r="V689" s="2269"/>
      <c r="W689" s="2269"/>
      <c r="X689" s="2269"/>
      <c r="Y689" s="2269"/>
      <c r="Z689" s="2269"/>
      <c r="AA689" s="2269"/>
    </row>
    <row r="690" spans="1:27" ht="13.5" customHeight="1" x14ac:dyDescent="0.3">
      <c r="A690" s="2269"/>
      <c r="B690" s="2269"/>
      <c r="C690" s="2272"/>
      <c r="D690" s="2358"/>
      <c r="E690" s="2358"/>
      <c r="F690" s="2358"/>
      <c r="G690" s="2283"/>
      <c r="H690" s="2268"/>
      <c r="I690" s="2269"/>
      <c r="J690" s="2269"/>
      <c r="K690" s="2269"/>
      <c r="L690" s="2269"/>
      <c r="M690" s="2270"/>
      <c r="N690" s="2270"/>
      <c r="O690" s="2270"/>
      <c r="P690" s="2269"/>
      <c r="Q690" s="2269"/>
      <c r="R690" s="2269"/>
      <c r="S690" s="2269"/>
      <c r="T690" s="2269"/>
      <c r="U690" s="2269"/>
      <c r="V690" s="2269"/>
      <c r="W690" s="2269"/>
      <c r="X690" s="2269"/>
      <c r="Y690" s="2269"/>
      <c r="Z690" s="2269"/>
      <c r="AA690" s="2269"/>
    </row>
    <row r="691" spans="1:27" ht="13.5" customHeight="1" x14ac:dyDescent="0.3">
      <c r="A691" s="2269"/>
      <c r="B691" s="2269"/>
      <c r="C691" s="2272"/>
      <c r="D691" s="2358"/>
      <c r="E691" s="2358"/>
      <c r="F691" s="2358"/>
      <c r="G691" s="2283"/>
      <c r="H691" s="2268"/>
      <c r="I691" s="2269"/>
      <c r="J691" s="2269"/>
      <c r="K691" s="2269"/>
      <c r="L691" s="2269"/>
      <c r="M691" s="2270"/>
      <c r="N691" s="2270"/>
      <c r="O691" s="2270"/>
      <c r="P691" s="2269"/>
      <c r="Q691" s="2269"/>
      <c r="R691" s="2269"/>
      <c r="S691" s="2269"/>
      <c r="T691" s="2269"/>
      <c r="U691" s="2269"/>
      <c r="V691" s="2269"/>
      <c r="W691" s="2269"/>
      <c r="X691" s="2269"/>
      <c r="Y691" s="2269"/>
      <c r="Z691" s="2269"/>
      <c r="AA691" s="2269"/>
    </row>
    <row r="692" spans="1:27" ht="13.5" customHeight="1" x14ac:dyDescent="0.3">
      <c r="A692" s="2269"/>
      <c r="B692" s="2269"/>
      <c r="C692" s="2272"/>
      <c r="D692" s="2358"/>
      <c r="E692" s="2358"/>
      <c r="F692" s="2358"/>
      <c r="G692" s="2283"/>
      <c r="H692" s="2268"/>
      <c r="I692" s="2269"/>
      <c r="J692" s="2269"/>
      <c r="K692" s="2269"/>
      <c r="L692" s="2269"/>
      <c r="M692" s="2270"/>
      <c r="N692" s="2270"/>
      <c r="O692" s="2270"/>
      <c r="P692" s="2269"/>
      <c r="Q692" s="2269"/>
      <c r="R692" s="2269"/>
      <c r="S692" s="2269"/>
      <c r="T692" s="2269"/>
      <c r="U692" s="2269"/>
      <c r="V692" s="2269"/>
      <c r="W692" s="2269"/>
      <c r="X692" s="2269"/>
      <c r="Y692" s="2269"/>
      <c r="Z692" s="2269"/>
      <c r="AA692" s="2269"/>
    </row>
    <row r="693" spans="1:27" ht="13.5" customHeight="1" x14ac:dyDescent="0.3">
      <c r="A693" s="2269"/>
      <c r="B693" s="2269"/>
      <c r="C693" s="2272"/>
      <c r="D693" s="2358"/>
      <c r="E693" s="2358"/>
      <c r="F693" s="2358"/>
      <c r="G693" s="2283"/>
      <c r="H693" s="2268"/>
      <c r="I693" s="2269"/>
      <c r="J693" s="2269"/>
      <c r="K693" s="2269"/>
      <c r="L693" s="2269"/>
      <c r="M693" s="2270"/>
      <c r="N693" s="2270"/>
      <c r="O693" s="2270"/>
      <c r="P693" s="2269"/>
      <c r="Q693" s="2269"/>
      <c r="R693" s="2269"/>
      <c r="S693" s="2269"/>
      <c r="T693" s="2269"/>
      <c r="U693" s="2269"/>
      <c r="V693" s="2269"/>
      <c r="W693" s="2269"/>
      <c r="X693" s="2269"/>
      <c r="Y693" s="2269"/>
      <c r="Z693" s="2269"/>
      <c r="AA693" s="2269"/>
    </row>
    <row r="694" spans="1:27" ht="13.5" customHeight="1" x14ac:dyDescent="0.3">
      <c r="A694" s="2269"/>
      <c r="B694" s="2269"/>
      <c r="C694" s="2272"/>
      <c r="D694" s="2358"/>
      <c r="E694" s="2358"/>
      <c r="F694" s="2358"/>
      <c r="G694" s="2283"/>
      <c r="H694" s="2268"/>
      <c r="I694" s="2269"/>
      <c r="J694" s="2269"/>
      <c r="K694" s="2269"/>
      <c r="L694" s="2269"/>
      <c r="M694" s="2270"/>
      <c r="N694" s="2270"/>
      <c r="O694" s="2270"/>
      <c r="P694" s="2269"/>
      <c r="Q694" s="2269"/>
      <c r="R694" s="2269"/>
      <c r="S694" s="2269"/>
      <c r="T694" s="2269"/>
      <c r="U694" s="2269"/>
      <c r="V694" s="2269"/>
      <c r="W694" s="2269"/>
      <c r="X694" s="2269"/>
      <c r="Y694" s="2269"/>
      <c r="Z694" s="2269"/>
      <c r="AA694" s="2269"/>
    </row>
    <row r="695" spans="1:27" ht="13.5" customHeight="1" x14ac:dyDescent="0.3">
      <c r="A695" s="2269"/>
      <c r="B695" s="2269"/>
      <c r="C695" s="2272"/>
      <c r="D695" s="2358"/>
      <c r="E695" s="2358"/>
      <c r="F695" s="2358"/>
      <c r="G695" s="2283"/>
      <c r="H695" s="2268"/>
      <c r="I695" s="2269"/>
      <c r="J695" s="2269"/>
      <c r="K695" s="2269"/>
      <c r="L695" s="2269"/>
      <c r="M695" s="2270"/>
      <c r="N695" s="2270"/>
      <c r="O695" s="2270"/>
      <c r="P695" s="2269"/>
      <c r="Q695" s="2269"/>
      <c r="R695" s="2269"/>
      <c r="S695" s="2269"/>
      <c r="T695" s="2269"/>
      <c r="U695" s="2269"/>
      <c r="V695" s="2269"/>
      <c r="W695" s="2269"/>
      <c r="X695" s="2269"/>
      <c r="Y695" s="2269"/>
      <c r="Z695" s="2269"/>
      <c r="AA695" s="2269"/>
    </row>
    <row r="696" spans="1:27" ht="13.5" customHeight="1" x14ac:dyDescent="0.3">
      <c r="A696" s="2269"/>
      <c r="B696" s="2269"/>
      <c r="C696" s="2272"/>
      <c r="D696" s="2358"/>
      <c r="E696" s="2358"/>
      <c r="F696" s="2358"/>
      <c r="G696" s="2283"/>
      <c r="H696" s="2268"/>
      <c r="I696" s="2269"/>
      <c r="J696" s="2269"/>
      <c r="K696" s="2269"/>
      <c r="L696" s="2269"/>
      <c r="M696" s="2270"/>
      <c r="N696" s="2270"/>
      <c r="O696" s="2270"/>
      <c r="P696" s="2269"/>
      <c r="Q696" s="2269"/>
      <c r="R696" s="2269"/>
      <c r="S696" s="2269"/>
      <c r="T696" s="2269"/>
      <c r="U696" s="2269"/>
      <c r="V696" s="2269"/>
      <c r="W696" s="2269"/>
      <c r="X696" s="2269"/>
      <c r="Y696" s="2269"/>
      <c r="Z696" s="2269"/>
      <c r="AA696" s="2269"/>
    </row>
    <row r="697" spans="1:27" ht="13.5" customHeight="1" x14ac:dyDescent="0.3">
      <c r="A697" s="2269"/>
      <c r="B697" s="2269"/>
      <c r="C697" s="2272"/>
      <c r="D697" s="2358"/>
      <c r="E697" s="2358"/>
      <c r="F697" s="2358"/>
      <c r="G697" s="2283"/>
      <c r="H697" s="2268"/>
      <c r="I697" s="2269"/>
      <c r="J697" s="2269"/>
      <c r="K697" s="2269"/>
      <c r="L697" s="2269"/>
      <c r="M697" s="2270"/>
      <c r="N697" s="2270"/>
      <c r="O697" s="2270"/>
      <c r="P697" s="2269"/>
      <c r="Q697" s="2269"/>
      <c r="R697" s="2269"/>
      <c r="S697" s="2269"/>
      <c r="T697" s="2269"/>
      <c r="U697" s="2269"/>
      <c r="V697" s="2269"/>
      <c r="W697" s="2269"/>
      <c r="X697" s="2269"/>
      <c r="Y697" s="2269"/>
      <c r="Z697" s="2269"/>
      <c r="AA697" s="2269"/>
    </row>
    <row r="698" spans="1:27" ht="13.5" customHeight="1" x14ac:dyDescent="0.3">
      <c r="A698" s="2269"/>
      <c r="B698" s="2269"/>
      <c r="C698" s="2272"/>
      <c r="D698" s="2358"/>
      <c r="E698" s="2358"/>
      <c r="F698" s="2358"/>
      <c r="G698" s="2283"/>
      <c r="H698" s="2268"/>
      <c r="I698" s="2269"/>
      <c r="J698" s="2269"/>
      <c r="K698" s="2269"/>
      <c r="L698" s="2269"/>
      <c r="M698" s="2270"/>
      <c r="N698" s="2270"/>
      <c r="O698" s="2270"/>
      <c r="P698" s="2269"/>
      <c r="Q698" s="2269"/>
      <c r="R698" s="2269"/>
      <c r="S698" s="2269"/>
      <c r="T698" s="2269"/>
      <c r="U698" s="2269"/>
      <c r="V698" s="2269"/>
      <c r="W698" s="2269"/>
      <c r="X698" s="2269"/>
      <c r="Y698" s="2269"/>
      <c r="Z698" s="2269"/>
      <c r="AA698" s="2269"/>
    </row>
    <row r="699" spans="1:27" ht="13.5" customHeight="1" x14ac:dyDescent="0.3">
      <c r="A699" s="2269"/>
      <c r="B699" s="2269"/>
      <c r="C699" s="2272"/>
      <c r="D699" s="2358"/>
      <c r="E699" s="2358"/>
      <c r="F699" s="2358"/>
      <c r="G699" s="2283"/>
      <c r="H699" s="2268"/>
      <c r="I699" s="2269"/>
      <c r="J699" s="2269"/>
      <c r="K699" s="2269"/>
      <c r="L699" s="2269"/>
      <c r="M699" s="2270"/>
      <c r="N699" s="2270"/>
      <c r="O699" s="2270"/>
      <c r="P699" s="2269"/>
      <c r="Q699" s="2269"/>
      <c r="R699" s="2269"/>
      <c r="S699" s="2269"/>
      <c r="T699" s="2269"/>
      <c r="U699" s="2269"/>
      <c r="V699" s="2269"/>
      <c r="W699" s="2269"/>
      <c r="X699" s="2269"/>
      <c r="Y699" s="2269"/>
      <c r="Z699" s="2269"/>
      <c r="AA699" s="2269"/>
    </row>
    <row r="700" spans="1:27" ht="13.5" customHeight="1" x14ac:dyDescent="0.3">
      <c r="A700" s="2269"/>
      <c r="B700" s="2269"/>
      <c r="C700" s="2272"/>
      <c r="D700" s="2358"/>
      <c r="E700" s="2358"/>
      <c r="F700" s="2358"/>
      <c r="G700" s="2283"/>
      <c r="H700" s="2268"/>
      <c r="I700" s="2269"/>
      <c r="J700" s="2269"/>
      <c r="K700" s="2269"/>
      <c r="L700" s="2269"/>
      <c r="M700" s="2270"/>
      <c r="N700" s="2270"/>
      <c r="O700" s="2270"/>
      <c r="P700" s="2269"/>
      <c r="Q700" s="2269"/>
      <c r="R700" s="2269"/>
      <c r="S700" s="2269"/>
      <c r="T700" s="2269"/>
      <c r="U700" s="2269"/>
      <c r="V700" s="2269"/>
      <c r="W700" s="2269"/>
      <c r="X700" s="2269"/>
      <c r="Y700" s="2269"/>
      <c r="Z700" s="2269"/>
      <c r="AA700" s="2269"/>
    </row>
    <row r="701" spans="1:27" ht="13.5" customHeight="1" x14ac:dyDescent="0.3">
      <c r="A701" s="2269"/>
      <c r="B701" s="2269"/>
      <c r="C701" s="2272"/>
      <c r="D701" s="2358"/>
      <c r="E701" s="2358"/>
      <c r="F701" s="2358"/>
      <c r="G701" s="2283"/>
      <c r="H701" s="2268"/>
      <c r="I701" s="2269"/>
      <c r="J701" s="2269"/>
      <c r="K701" s="2269"/>
      <c r="L701" s="2269"/>
      <c r="M701" s="2270"/>
      <c r="N701" s="2270"/>
      <c r="O701" s="2270"/>
      <c r="P701" s="2269"/>
      <c r="Q701" s="2269"/>
      <c r="R701" s="2269"/>
      <c r="S701" s="2269"/>
      <c r="T701" s="2269"/>
      <c r="U701" s="2269"/>
      <c r="V701" s="2269"/>
      <c r="W701" s="2269"/>
      <c r="X701" s="2269"/>
      <c r="Y701" s="2269"/>
      <c r="Z701" s="2269"/>
      <c r="AA701" s="2269"/>
    </row>
    <row r="702" spans="1:27" ht="13.5" customHeight="1" x14ac:dyDescent="0.3">
      <c r="A702" s="2269"/>
      <c r="B702" s="2269"/>
      <c r="C702" s="2272"/>
      <c r="D702" s="2358"/>
      <c r="E702" s="2358"/>
      <c r="F702" s="2358"/>
      <c r="G702" s="2283"/>
      <c r="H702" s="2268"/>
      <c r="I702" s="2269"/>
      <c r="J702" s="2269"/>
      <c r="K702" s="2269"/>
      <c r="L702" s="2269"/>
      <c r="M702" s="2270"/>
      <c r="N702" s="2270"/>
      <c r="O702" s="2270"/>
      <c r="P702" s="2269"/>
      <c r="Q702" s="2269"/>
      <c r="R702" s="2269"/>
      <c r="S702" s="2269"/>
      <c r="T702" s="2269"/>
      <c r="U702" s="2269"/>
      <c r="V702" s="2269"/>
      <c r="W702" s="2269"/>
      <c r="X702" s="2269"/>
      <c r="Y702" s="2269"/>
      <c r="Z702" s="2269"/>
      <c r="AA702" s="2269"/>
    </row>
    <row r="703" spans="1:27" ht="13.5" customHeight="1" x14ac:dyDescent="0.3">
      <c r="A703" s="2269"/>
      <c r="B703" s="2269"/>
      <c r="C703" s="2272"/>
      <c r="D703" s="2358"/>
      <c r="E703" s="2358"/>
      <c r="F703" s="2358"/>
      <c r="G703" s="2283"/>
      <c r="H703" s="2268"/>
      <c r="I703" s="2269"/>
      <c r="J703" s="2269"/>
      <c r="K703" s="2269"/>
      <c r="L703" s="2269"/>
      <c r="M703" s="2270"/>
      <c r="N703" s="2270"/>
      <c r="O703" s="2270"/>
      <c r="P703" s="2269"/>
      <c r="Q703" s="2269"/>
      <c r="R703" s="2269"/>
      <c r="S703" s="2269"/>
      <c r="T703" s="2269"/>
      <c r="U703" s="2269"/>
      <c r="V703" s="2269"/>
      <c r="W703" s="2269"/>
      <c r="X703" s="2269"/>
      <c r="Y703" s="2269"/>
      <c r="Z703" s="2269"/>
      <c r="AA703" s="2269"/>
    </row>
    <row r="704" spans="1:27" ht="13.5" customHeight="1" x14ac:dyDescent="0.3">
      <c r="A704" s="2269"/>
      <c r="B704" s="2269"/>
      <c r="C704" s="2272"/>
      <c r="D704" s="2358"/>
      <c r="E704" s="2358"/>
      <c r="F704" s="2358"/>
      <c r="G704" s="2283"/>
      <c r="H704" s="2268"/>
      <c r="I704" s="2269"/>
      <c r="J704" s="2269"/>
      <c r="K704" s="2269"/>
      <c r="L704" s="2269"/>
      <c r="M704" s="2270"/>
      <c r="N704" s="2270"/>
      <c r="O704" s="2270"/>
      <c r="P704" s="2269"/>
      <c r="Q704" s="2269"/>
      <c r="R704" s="2269"/>
      <c r="S704" s="2269"/>
      <c r="T704" s="2269"/>
      <c r="U704" s="2269"/>
      <c r="V704" s="2269"/>
      <c r="W704" s="2269"/>
      <c r="X704" s="2269"/>
      <c r="Y704" s="2269"/>
      <c r="Z704" s="2269"/>
      <c r="AA704" s="2269"/>
    </row>
    <row r="705" spans="1:27" ht="13.5" customHeight="1" x14ac:dyDescent="0.3">
      <c r="A705" s="2269"/>
      <c r="B705" s="2269"/>
      <c r="C705" s="2272"/>
      <c r="D705" s="2358"/>
      <c r="E705" s="2358"/>
      <c r="F705" s="2358"/>
      <c r="G705" s="2283"/>
      <c r="H705" s="2268"/>
      <c r="I705" s="2269"/>
      <c r="J705" s="2269"/>
      <c r="K705" s="2269"/>
      <c r="L705" s="2269"/>
      <c r="M705" s="2270"/>
      <c r="N705" s="2270"/>
      <c r="O705" s="2270"/>
      <c r="P705" s="2269"/>
      <c r="Q705" s="2269"/>
      <c r="R705" s="2269"/>
      <c r="S705" s="2269"/>
      <c r="T705" s="2269"/>
      <c r="U705" s="2269"/>
      <c r="V705" s="2269"/>
      <c r="W705" s="2269"/>
      <c r="X705" s="2269"/>
      <c r="Y705" s="2269"/>
      <c r="Z705" s="2269"/>
      <c r="AA705" s="2269"/>
    </row>
    <row r="706" spans="1:27" ht="13.5" customHeight="1" x14ac:dyDescent="0.3">
      <c r="A706" s="2269"/>
      <c r="B706" s="2269"/>
      <c r="C706" s="2272"/>
      <c r="D706" s="2358"/>
      <c r="E706" s="2358"/>
      <c r="F706" s="2358"/>
      <c r="G706" s="2283"/>
      <c r="H706" s="2268"/>
      <c r="I706" s="2269"/>
      <c r="J706" s="2269"/>
      <c r="K706" s="2269"/>
      <c r="L706" s="2269"/>
      <c r="M706" s="2270"/>
      <c r="N706" s="2270"/>
      <c r="O706" s="2270"/>
      <c r="P706" s="2269"/>
      <c r="Q706" s="2269"/>
      <c r="R706" s="2269"/>
      <c r="S706" s="2269"/>
      <c r="T706" s="2269"/>
      <c r="U706" s="2269"/>
      <c r="V706" s="2269"/>
      <c r="W706" s="2269"/>
      <c r="X706" s="2269"/>
      <c r="Y706" s="2269"/>
      <c r="Z706" s="2269"/>
      <c r="AA706" s="2269"/>
    </row>
    <row r="707" spans="1:27" ht="13.5" customHeight="1" x14ac:dyDescent="0.3">
      <c r="A707" s="2269"/>
      <c r="B707" s="2269"/>
      <c r="C707" s="2272"/>
      <c r="D707" s="2358"/>
      <c r="E707" s="2358"/>
      <c r="F707" s="2358"/>
      <c r="G707" s="2283"/>
      <c r="H707" s="2268"/>
      <c r="I707" s="2269"/>
      <c r="J707" s="2269"/>
      <c r="K707" s="2269"/>
      <c r="L707" s="2269"/>
      <c r="M707" s="2270"/>
      <c r="N707" s="2270"/>
      <c r="O707" s="2270"/>
      <c r="P707" s="2269"/>
      <c r="Q707" s="2269"/>
      <c r="R707" s="2269"/>
      <c r="S707" s="2269"/>
      <c r="T707" s="2269"/>
      <c r="U707" s="2269"/>
      <c r="V707" s="2269"/>
      <c r="W707" s="2269"/>
      <c r="X707" s="2269"/>
      <c r="Y707" s="2269"/>
      <c r="Z707" s="2269"/>
      <c r="AA707" s="2269"/>
    </row>
    <row r="708" spans="1:27" ht="13.5" customHeight="1" x14ac:dyDescent="0.3">
      <c r="A708" s="2269"/>
      <c r="B708" s="2269"/>
      <c r="C708" s="2272"/>
      <c r="D708" s="2358"/>
      <c r="E708" s="2358"/>
      <c r="F708" s="2358"/>
      <c r="G708" s="2283"/>
      <c r="H708" s="2268"/>
      <c r="I708" s="2269"/>
      <c r="J708" s="2269"/>
      <c r="K708" s="2269"/>
      <c r="L708" s="2269"/>
      <c r="M708" s="2270"/>
      <c r="N708" s="2270"/>
      <c r="O708" s="2270"/>
      <c r="P708" s="2269"/>
      <c r="Q708" s="2269"/>
      <c r="R708" s="2269"/>
      <c r="S708" s="2269"/>
      <c r="T708" s="2269"/>
      <c r="U708" s="2269"/>
      <c r="V708" s="2269"/>
      <c r="W708" s="2269"/>
      <c r="X708" s="2269"/>
      <c r="Y708" s="2269"/>
      <c r="Z708" s="2269"/>
      <c r="AA708" s="2269"/>
    </row>
    <row r="709" spans="1:27" ht="13.5" customHeight="1" x14ac:dyDescent="0.3">
      <c r="A709" s="2269"/>
      <c r="B709" s="2269"/>
      <c r="C709" s="2272"/>
      <c r="D709" s="2358"/>
      <c r="E709" s="2358"/>
      <c r="F709" s="2358"/>
      <c r="G709" s="2283"/>
      <c r="H709" s="2268"/>
      <c r="I709" s="2269"/>
      <c r="J709" s="2269"/>
      <c r="K709" s="2269"/>
      <c r="L709" s="2269"/>
      <c r="M709" s="2270"/>
      <c r="N709" s="2270"/>
      <c r="O709" s="2270"/>
      <c r="P709" s="2269"/>
      <c r="Q709" s="2269"/>
      <c r="R709" s="2269"/>
      <c r="S709" s="2269"/>
      <c r="T709" s="2269"/>
      <c r="U709" s="2269"/>
      <c r="V709" s="2269"/>
      <c r="W709" s="2269"/>
      <c r="X709" s="2269"/>
      <c r="Y709" s="2269"/>
      <c r="Z709" s="2269"/>
      <c r="AA709" s="2269"/>
    </row>
    <row r="710" spans="1:27" ht="13.5" customHeight="1" x14ac:dyDescent="0.3">
      <c r="A710" s="2269"/>
      <c r="B710" s="2269"/>
      <c r="C710" s="2272"/>
      <c r="D710" s="2358"/>
      <c r="E710" s="2358"/>
      <c r="F710" s="2358"/>
      <c r="G710" s="2283"/>
      <c r="H710" s="2268"/>
      <c r="I710" s="2269"/>
      <c r="J710" s="2269"/>
      <c r="K710" s="2269"/>
      <c r="L710" s="2269"/>
      <c r="M710" s="2270"/>
      <c r="N710" s="2270"/>
      <c r="O710" s="2270"/>
      <c r="P710" s="2269"/>
      <c r="Q710" s="2269"/>
      <c r="R710" s="2269"/>
      <c r="S710" s="2269"/>
      <c r="T710" s="2269"/>
      <c r="U710" s="2269"/>
      <c r="V710" s="2269"/>
      <c r="W710" s="2269"/>
      <c r="X710" s="2269"/>
      <c r="Y710" s="2269"/>
      <c r="Z710" s="2269"/>
      <c r="AA710" s="2269"/>
    </row>
    <row r="711" spans="1:27" ht="13.5" customHeight="1" x14ac:dyDescent="0.3">
      <c r="A711" s="2269"/>
      <c r="B711" s="2269"/>
      <c r="C711" s="2272"/>
      <c r="D711" s="2358"/>
      <c r="E711" s="2358"/>
      <c r="F711" s="2358"/>
      <c r="G711" s="2283"/>
      <c r="H711" s="2268"/>
      <c r="I711" s="2269"/>
      <c r="J711" s="2269"/>
      <c r="K711" s="2269"/>
      <c r="L711" s="2269"/>
      <c r="M711" s="2270"/>
      <c r="N711" s="2270"/>
      <c r="O711" s="2270"/>
      <c r="P711" s="2269"/>
      <c r="Q711" s="2269"/>
      <c r="R711" s="2269"/>
      <c r="S711" s="2269"/>
      <c r="T711" s="2269"/>
      <c r="U711" s="2269"/>
      <c r="V711" s="2269"/>
      <c r="W711" s="2269"/>
      <c r="X711" s="2269"/>
      <c r="Y711" s="2269"/>
      <c r="Z711" s="2269"/>
      <c r="AA711" s="2269"/>
    </row>
    <row r="712" spans="1:27" ht="13.5" customHeight="1" x14ac:dyDescent="0.3">
      <c r="A712" s="2269"/>
      <c r="B712" s="2269"/>
      <c r="C712" s="2272"/>
      <c r="D712" s="2358"/>
      <c r="E712" s="2358"/>
      <c r="F712" s="2358"/>
      <c r="G712" s="2283"/>
      <c r="H712" s="2268"/>
      <c r="I712" s="2269"/>
      <c r="J712" s="2269"/>
      <c r="K712" s="2269"/>
      <c r="L712" s="2269"/>
      <c r="M712" s="2270"/>
      <c r="N712" s="2270"/>
      <c r="O712" s="2270"/>
      <c r="P712" s="2269"/>
      <c r="Q712" s="2269"/>
      <c r="R712" s="2269"/>
      <c r="S712" s="2269"/>
      <c r="T712" s="2269"/>
      <c r="U712" s="2269"/>
      <c r="V712" s="2269"/>
      <c r="W712" s="2269"/>
      <c r="X712" s="2269"/>
      <c r="Y712" s="2269"/>
      <c r="Z712" s="2269"/>
      <c r="AA712" s="2269"/>
    </row>
    <row r="713" spans="1:27" ht="13.5" customHeight="1" x14ac:dyDescent="0.3">
      <c r="A713" s="2269"/>
      <c r="B713" s="2269"/>
      <c r="C713" s="2272"/>
      <c r="D713" s="2358"/>
      <c r="E713" s="2358"/>
      <c r="F713" s="2358"/>
      <c r="G713" s="2283"/>
      <c r="H713" s="2268"/>
      <c r="I713" s="2269"/>
      <c r="J713" s="2269"/>
      <c r="K713" s="2269"/>
      <c r="L713" s="2269"/>
      <c r="M713" s="2270"/>
      <c r="N713" s="2270"/>
      <c r="O713" s="2270"/>
      <c r="P713" s="2269"/>
      <c r="Q713" s="2269"/>
      <c r="R713" s="2269"/>
      <c r="S713" s="2269"/>
      <c r="T713" s="2269"/>
      <c r="U713" s="2269"/>
      <c r="V713" s="2269"/>
      <c r="W713" s="2269"/>
      <c r="X713" s="2269"/>
      <c r="Y713" s="2269"/>
      <c r="Z713" s="2269"/>
      <c r="AA713" s="2269"/>
    </row>
    <row r="714" spans="1:27" ht="13.5" customHeight="1" x14ac:dyDescent="0.3">
      <c r="A714" s="2269"/>
      <c r="B714" s="2269"/>
      <c r="C714" s="2272"/>
      <c r="D714" s="2358"/>
      <c r="E714" s="2358"/>
      <c r="F714" s="2358"/>
      <c r="G714" s="2283"/>
      <c r="H714" s="2268"/>
      <c r="I714" s="2269"/>
      <c r="J714" s="2269"/>
      <c r="K714" s="2269"/>
      <c r="L714" s="2269"/>
      <c r="M714" s="2270"/>
      <c r="N714" s="2270"/>
      <c r="O714" s="2270"/>
      <c r="P714" s="2269"/>
      <c r="Q714" s="2269"/>
      <c r="R714" s="2269"/>
      <c r="S714" s="2269"/>
      <c r="T714" s="2269"/>
      <c r="U714" s="2269"/>
      <c r="V714" s="2269"/>
      <c r="W714" s="2269"/>
      <c r="X714" s="2269"/>
      <c r="Y714" s="2269"/>
      <c r="Z714" s="2269"/>
      <c r="AA714" s="2269"/>
    </row>
    <row r="715" spans="1:27" ht="13.5" customHeight="1" x14ac:dyDescent="0.3">
      <c r="A715" s="2269"/>
      <c r="B715" s="2269"/>
      <c r="C715" s="2272"/>
      <c r="D715" s="2358"/>
      <c r="E715" s="2358"/>
      <c r="F715" s="2358"/>
      <c r="G715" s="2283"/>
      <c r="H715" s="2268"/>
      <c r="I715" s="2269"/>
      <c r="J715" s="2269"/>
      <c r="K715" s="2269"/>
      <c r="L715" s="2269"/>
      <c r="M715" s="2270"/>
      <c r="N715" s="2270"/>
      <c r="O715" s="2270"/>
      <c r="P715" s="2269"/>
      <c r="Q715" s="2269"/>
      <c r="R715" s="2269"/>
      <c r="S715" s="2269"/>
      <c r="T715" s="2269"/>
      <c r="U715" s="2269"/>
      <c r="V715" s="2269"/>
      <c r="W715" s="2269"/>
      <c r="X715" s="2269"/>
      <c r="Y715" s="2269"/>
      <c r="Z715" s="2269"/>
      <c r="AA715" s="2269"/>
    </row>
    <row r="716" spans="1:27" ht="13.5" customHeight="1" x14ac:dyDescent="0.3">
      <c r="A716" s="2269"/>
      <c r="B716" s="2269"/>
      <c r="C716" s="2272"/>
      <c r="D716" s="2358"/>
      <c r="E716" s="2358"/>
      <c r="F716" s="2358"/>
      <c r="G716" s="2283"/>
      <c r="H716" s="2268"/>
      <c r="I716" s="2269"/>
      <c r="J716" s="2269"/>
      <c r="K716" s="2269"/>
      <c r="L716" s="2269"/>
      <c r="M716" s="2270"/>
      <c r="N716" s="2270"/>
      <c r="O716" s="2270"/>
      <c r="P716" s="2269"/>
      <c r="Q716" s="2269"/>
      <c r="R716" s="2269"/>
      <c r="S716" s="2269"/>
      <c r="T716" s="2269"/>
      <c r="U716" s="2269"/>
      <c r="V716" s="2269"/>
      <c r="W716" s="2269"/>
      <c r="X716" s="2269"/>
      <c r="Y716" s="2269"/>
      <c r="Z716" s="2269"/>
      <c r="AA716" s="2269"/>
    </row>
    <row r="717" spans="1:27" ht="13.5" customHeight="1" x14ac:dyDescent="0.3">
      <c r="A717" s="2269"/>
      <c r="B717" s="2269"/>
      <c r="C717" s="2272"/>
      <c r="D717" s="2358"/>
      <c r="E717" s="2358"/>
      <c r="F717" s="2358"/>
      <c r="G717" s="2283"/>
      <c r="H717" s="2268"/>
      <c r="I717" s="2269"/>
      <c r="J717" s="2269"/>
      <c r="K717" s="2269"/>
      <c r="L717" s="2269"/>
      <c r="M717" s="2270"/>
      <c r="N717" s="2270"/>
      <c r="O717" s="2270"/>
      <c r="P717" s="2269"/>
      <c r="Q717" s="2269"/>
      <c r="R717" s="2269"/>
      <c r="S717" s="2269"/>
      <c r="T717" s="2269"/>
      <c r="U717" s="2269"/>
      <c r="V717" s="2269"/>
      <c r="W717" s="2269"/>
      <c r="X717" s="2269"/>
      <c r="Y717" s="2269"/>
      <c r="Z717" s="2269"/>
      <c r="AA717" s="2269"/>
    </row>
    <row r="718" spans="1:27" ht="13.5" customHeight="1" x14ac:dyDescent="0.3">
      <c r="A718" s="2269"/>
      <c r="B718" s="2269"/>
      <c r="C718" s="2272"/>
      <c r="D718" s="2358"/>
      <c r="E718" s="2358"/>
      <c r="F718" s="2358"/>
      <c r="G718" s="2283"/>
      <c r="H718" s="2268"/>
      <c r="I718" s="2269"/>
      <c r="J718" s="2269"/>
      <c r="K718" s="2269"/>
      <c r="L718" s="2269"/>
      <c r="M718" s="2270"/>
      <c r="N718" s="2270"/>
      <c r="O718" s="2270"/>
      <c r="P718" s="2269"/>
      <c r="Q718" s="2269"/>
      <c r="R718" s="2269"/>
      <c r="S718" s="2269"/>
      <c r="T718" s="2269"/>
      <c r="U718" s="2269"/>
      <c r="V718" s="2269"/>
      <c r="W718" s="2269"/>
      <c r="X718" s="2269"/>
      <c r="Y718" s="2269"/>
      <c r="Z718" s="2269"/>
      <c r="AA718" s="2269"/>
    </row>
    <row r="719" spans="1:27" ht="13.5" customHeight="1" x14ac:dyDescent="0.3">
      <c r="A719" s="2269"/>
      <c r="B719" s="2269"/>
      <c r="C719" s="2272"/>
      <c r="D719" s="2358"/>
      <c r="E719" s="2358"/>
      <c r="F719" s="2358"/>
      <c r="G719" s="2283"/>
      <c r="H719" s="2268"/>
      <c r="I719" s="2269"/>
      <c r="J719" s="2269"/>
      <c r="K719" s="2269"/>
      <c r="L719" s="2269"/>
      <c r="M719" s="2270"/>
      <c r="N719" s="2270"/>
      <c r="O719" s="2270"/>
      <c r="P719" s="2269"/>
      <c r="Q719" s="2269"/>
      <c r="R719" s="2269"/>
      <c r="S719" s="2269"/>
      <c r="T719" s="2269"/>
      <c r="U719" s="2269"/>
      <c r="V719" s="2269"/>
      <c r="W719" s="2269"/>
      <c r="X719" s="2269"/>
      <c r="Y719" s="2269"/>
      <c r="Z719" s="2269"/>
      <c r="AA719" s="2269"/>
    </row>
    <row r="720" spans="1:27" ht="13.5" customHeight="1" x14ac:dyDescent="0.3">
      <c r="A720" s="2269"/>
      <c r="B720" s="2269"/>
      <c r="C720" s="2272"/>
      <c r="D720" s="2358"/>
      <c r="E720" s="2358"/>
      <c r="F720" s="2358"/>
      <c r="G720" s="2283"/>
      <c r="H720" s="2268"/>
      <c r="I720" s="2269"/>
      <c r="J720" s="2269"/>
      <c r="K720" s="2269"/>
      <c r="L720" s="2269"/>
      <c r="M720" s="2270"/>
      <c r="N720" s="2270"/>
      <c r="O720" s="2270"/>
      <c r="P720" s="2269"/>
      <c r="Q720" s="2269"/>
      <c r="R720" s="2269"/>
      <c r="S720" s="2269"/>
      <c r="T720" s="2269"/>
      <c r="U720" s="2269"/>
      <c r="V720" s="2269"/>
      <c r="W720" s="2269"/>
      <c r="X720" s="2269"/>
      <c r="Y720" s="2269"/>
      <c r="Z720" s="2269"/>
      <c r="AA720" s="2269"/>
    </row>
    <row r="721" spans="1:27" ht="13.5" customHeight="1" x14ac:dyDescent="0.3">
      <c r="A721" s="2269"/>
      <c r="B721" s="2269"/>
      <c r="C721" s="2272"/>
      <c r="D721" s="2358"/>
      <c r="E721" s="2358"/>
      <c r="F721" s="2358"/>
      <c r="G721" s="2283"/>
      <c r="H721" s="2268"/>
      <c r="I721" s="2269"/>
      <c r="J721" s="2269"/>
      <c r="K721" s="2269"/>
      <c r="L721" s="2269"/>
      <c r="M721" s="2270"/>
      <c r="N721" s="2270"/>
      <c r="O721" s="2270"/>
      <c r="P721" s="2269"/>
      <c r="Q721" s="2269"/>
      <c r="R721" s="2269"/>
      <c r="S721" s="2269"/>
      <c r="T721" s="2269"/>
      <c r="U721" s="2269"/>
      <c r="V721" s="2269"/>
      <c r="W721" s="2269"/>
      <c r="X721" s="2269"/>
      <c r="Y721" s="2269"/>
      <c r="Z721" s="2269"/>
      <c r="AA721" s="2269"/>
    </row>
    <row r="722" spans="1:27" ht="13.5" customHeight="1" x14ac:dyDescent="0.3">
      <c r="A722" s="2269"/>
      <c r="B722" s="2269"/>
      <c r="C722" s="2272"/>
      <c r="D722" s="2358"/>
      <c r="E722" s="2358"/>
      <c r="F722" s="2358"/>
      <c r="G722" s="2283"/>
      <c r="H722" s="2268"/>
      <c r="I722" s="2269"/>
      <c r="J722" s="2269"/>
      <c r="K722" s="2269"/>
      <c r="L722" s="2269"/>
      <c r="M722" s="2270"/>
      <c r="N722" s="2270"/>
      <c r="O722" s="2270"/>
      <c r="P722" s="2269"/>
      <c r="Q722" s="2269"/>
      <c r="R722" s="2269"/>
      <c r="S722" s="2269"/>
      <c r="T722" s="2269"/>
      <c r="U722" s="2269"/>
      <c r="V722" s="2269"/>
      <c r="W722" s="2269"/>
      <c r="X722" s="2269"/>
      <c r="Y722" s="2269"/>
      <c r="Z722" s="2269"/>
      <c r="AA722" s="2269"/>
    </row>
    <row r="723" spans="1:27" ht="13.5" customHeight="1" x14ac:dyDescent="0.3">
      <c r="A723" s="2269"/>
      <c r="B723" s="2269"/>
      <c r="C723" s="2272"/>
      <c r="D723" s="2358"/>
      <c r="E723" s="2358"/>
      <c r="F723" s="2358"/>
      <c r="G723" s="2283"/>
      <c r="H723" s="2268"/>
      <c r="I723" s="2269"/>
      <c r="J723" s="2269"/>
      <c r="K723" s="2269"/>
      <c r="L723" s="2269"/>
      <c r="M723" s="2270"/>
      <c r="N723" s="2270"/>
      <c r="O723" s="2270"/>
      <c r="P723" s="2269"/>
      <c r="Q723" s="2269"/>
      <c r="R723" s="2269"/>
      <c r="S723" s="2269"/>
      <c r="T723" s="2269"/>
      <c r="U723" s="2269"/>
      <c r="V723" s="2269"/>
      <c r="W723" s="2269"/>
      <c r="X723" s="2269"/>
      <c r="Y723" s="2269"/>
      <c r="Z723" s="2269"/>
      <c r="AA723" s="2269"/>
    </row>
    <row r="724" spans="1:27" ht="13.5" customHeight="1" x14ac:dyDescent="0.3">
      <c r="A724" s="2269"/>
      <c r="B724" s="2269"/>
      <c r="C724" s="2272"/>
      <c r="D724" s="2358"/>
      <c r="E724" s="2358"/>
      <c r="F724" s="2358"/>
      <c r="G724" s="2283"/>
      <c r="H724" s="2268"/>
      <c r="I724" s="2269"/>
      <c r="J724" s="2269"/>
      <c r="K724" s="2269"/>
      <c r="L724" s="2269"/>
      <c r="M724" s="2270"/>
      <c r="N724" s="2270"/>
      <c r="O724" s="2270"/>
      <c r="P724" s="2269"/>
      <c r="Q724" s="2269"/>
      <c r="R724" s="2269"/>
      <c r="S724" s="2269"/>
      <c r="T724" s="2269"/>
      <c r="U724" s="2269"/>
      <c r="V724" s="2269"/>
      <c r="W724" s="2269"/>
      <c r="X724" s="2269"/>
      <c r="Y724" s="2269"/>
      <c r="Z724" s="2269"/>
      <c r="AA724" s="2269"/>
    </row>
    <row r="725" spans="1:27" ht="13.5" customHeight="1" x14ac:dyDescent="0.3">
      <c r="A725" s="2269"/>
      <c r="B725" s="2269"/>
      <c r="C725" s="2272"/>
      <c r="D725" s="2358"/>
      <c r="E725" s="2358"/>
      <c r="F725" s="2358"/>
      <c r="G725" s="2283"/>
      <c r="H725" s="2268"/>
      <c r="I725" s="2269"/>
      <c r="J725" s="2269"/>
      <c r="K725" s="2269"/>
      <c r="L725" s="2269"/>
      <c r="M725" s="2270"/>
      <c r="N725" s="2270"/>
      <c r="O725" s="2270"/>
      <c r="P725" s="2269"/>
      <c r="Q725" s="2269"/>
      <c r="R725" s="2269"/>
      <c r="S725" s="2269"/>
      <c r="T725" s="2269"/>
      <c r="U725" s="2269"/>
      <c r="V725" s="2269"/>
      <c r="W725" s="2269"/>
      <c r="X725" s="2269"/>
      <c r="Y725" s="2269"/>
      <c r="Z725" s="2269"/>
      <c r="AA725" s="2269"/>
    </row>
    <row r="726" spans="1:27" ht="13.5" customHeight="1" x14ac:dyDescent="0.3">
      <c r="A726" s="2269"/>
      <c r="B726" s="2269"/>
      <c r="C726" s="2272"/>
      <c r="D726" s="2358"/>
      <c r="E726" s="2358"/>
      <c r="F726" s="2358"/>
      <c r="G726" s="2283"/>
      <c r="H726" s="2268"/>
      <c r="I726" s="2269"/>
      <c r="J726" s="2269"/>
      <c r="K726" s="2269"/>
      <c r="L726" s="2269"/>
      <c r="M726" s="2270"/>
      <c r="N726" s="2270"/>
      <c r="O726" s="2270"/>
      <c r="P726" s="2269"/>
      <c r="Q726" s="2269"/>
      <c r="R726" s="2269"/>
      <c r="S726" s="2269"/>
      <c r="T726" s="2269"/>
      <c r="U726" s="2269"/>
      <c r="V726" s="2269"/>
      <c r="W726" s="2269"/>
      <c r="X726" s="2269"/>
      <c r="Y726" s="2269"/>
      <c r="Z726" s="2269"/>
      <c r="AA726" s="2269"/>
    </row>
    <row r="727" spans="1:27" ht="13.5" customHeight="1" x14ac:dyDescent="0.3">
      <c r="A727" s="2269"/>
      <c r="B727" s="2269"/>
      <c r="C727" s="2272"/>
      <c r="D727" s="2358"/>
      <c r="E727" s="2358"/>
      <c r="F727" s="2358"/>
      <c r="G727" s="2283"/>
      <c r="H727" s="2268"/>
      <c r="I727" s="2269"/>
      <c r="J727" s="2269"/>
      <c r="K727" s="2269"/>
      <c r="L727" s="2269"/>
      <c r="M727" s="2270"/>
      <c r="N727" s="2270"/>
      <c r="O727" s="2270"/>
      <c r="P727" s="2269"/>
      <c r="Q727" s="2269"/>
      <c r="R727" s="2269"/>
      <c r="S727" s="2269"/>
      <c r="T727" s="2269"/>
      <c r="U727" s="2269"/>
      <c r="V727" s="2269"/>
      <c r="W727" s="2269"/>
      <c r="X727" s="2269"/>
      <c r="Y727" s="2269"/>
      <c r="Z727" s="2269"/>
      <c r="AA727" s="2269"/>
    </row>
    <row r="728" spans="1:27" ht="13.5" customHeight="1" x14ac:dyDescent="0.3">
      <c r="A728" s="2269"/>
      <c r="B728" s="2269"/>
      <c r="C728" s="2272"/>
      <c r="D728" s="2358"/>
      <c r="E728" s="2358"/>
      <c r="F728" s="2358"/>
      <c r="G728" s="2283"/>
      <c r="H728" s="2268"/>
      <c r="I728" s="2269"/>
      <c r="J728" s="2269"/>
      <c r="K728" s="2269"/>
      <c r="L728" s="2269"/>
      <c r="M728" s="2270"/>
      <c r="N728" s="2270"/>
      <c r="O728" s="2270"/>
      <c r="P728" s="2269"/>
      <c r="Q728" s="2269"/>
      <c r="R728" s="2269"/>
      <c r="S728" s="2269"/>
      <c r="T728" s="2269"/>
      <c r="U728" s="2269"/>
      <c r="V728" s="2269"/>
      <c r="W728" s="2269"/>
      <c r="X728" s="2269"/>
      <c r="Y728" s="2269"/>
      <c r="Z728" s="2269"/>
      <c r="AA728" s="2269"/>
    </row>
    <row r="729" spans="1:27" ht="13.5" customHeight="1" x14ac:dyDescent="0.3">
      <c r="A729" s="2269"/>
      <c r="B729" s="2269"/>
      <c r="C729" s="2272"/>
      <c r="D729" s="2358"/>
      <c r="E729" s="2358"/>
      <c r="F729" s="2358"/>
      <c r="G729" s="2283"/>
      <c r="H729" s="2268"/>
      <c r="I729" s="2269"/>
      <c r="J729" s="2269"/>
      <c r="K729" s="2269"/>
      <c r="L729" s="2269"/>
      <c r="M729" s="2270"/>
      <c r="N729" s="2270"/>
      <c r="O729" s="2270"/>
      <c r="P729" s="2269"/>
      <c r="Q729" s="2269"/>
      <c r="R729" s="2269"/>
      <c r="S729" s="2269"/>
      <c r="T729" s="2269"/>
      <c r="U729" s="2269"/>
      <c r="V729" s="2269"/>
      <c r="W729" s="2269"/>
      <c r="X729" s="2269"/>
      <c r="Y729" s="2269"/>
      <c r="Z729" s="2269"/>
      <c r="AA729" s="2269"/>
    </row>
    <row r="730" spans="1:27" ht="13.5" customHeight="1" x14ac:dyDescent="0.3">
      <c r="A730" s="2269"/>
      <c r="B730" s="2269"/>
      <c r="C730" s="2272"/>
      <c r="D730" s="2358"/>
      <c r="E730" s="2358"/>
      <c r="F730" s="2358"/>
      <c r="G730" s="2283"/>
      <c r="H730" s="2268"/>
      <c r="I730" s="2269"/>
      <c r="J730" s="2269"/>
      <c r="K730" s="2269"/>
      <c r="L730" s="2269"/>
      <c r="M730" s="2270"/>
      <c r="N730" s="2270"/>
      <c r="O730" s="2270"/>
      <c r="P730" s="2269"/>
      <c r="Q730" s="2269"/>
      <c r="R730" s="2269"/>
      <c r="S730" s="2269"/>
      <c r="T730" s="2269"/>
      <c r="U730" s="2269"/>
      <c r="V730" s="2269"/>
      <c r="W730" s="2269"/>
      <c r="X730" s="2269"/>
      <c r="Y730" s="2269"/>
      <c r="Z730" s="2269"/>
      <c r="AA730" s="2269"/>
    </row>
    <row r="731" spans="1:27" ht="13.5" customHeight="1" x14ac:dyDescent="0.3">
      <c r="A731" s="2269"/>
      <c r="B731" s="2269"/>
      <c r="C731" s="2272"/>
      <c r="D731" s="2358"/>
      <c r="E731" s="2358"/>
      <c r="F731" s="2358"/>
      <c r="G731" s="2283"/>
      <c r="H731" s="2268"/>
      <c r="I731" s="2269"/>
      <c r="J731" s="2269"/>
      <c r="K731" s="2269"/>
      <c r="L731" s="2269"/>
      <c r="M731" s="2270"/>
      <c r="N731" s="2270"/>
      <c r="O731" s="2270"/>
      <c r="P731" s="2269"/>
      <c r="Q731" s="2269"/>
      <c r="R731" s="2269"/>
      <c r="S731" s="2269"/>
      <c r="T731" s="2269"/>
      <c r="U731" s="2269"/>
      <c r="V731" s="2269"/>
      <c r="W731" s="2269"/>
      <c r="X731" s="2269"/>
      <c r="Y731" s="2269"/>
      <c r="Z731" s="2269"/>
      <c r="AA731" s="2269"/>
    </row>
    <row r="732" spans="1:27" ht="13.5" customHeight="1" x14ac:dyDescent="0.3">
      <c r="A732" s="2269"/>
      <c r="B732" s="2269"/>
      <c r="C732" s="2272"/>
      <c r="D732" s="2358"/>
      <c r="E732" s="2358"/>
      <c r="F732" s="2358"/>
      <c r="G732" s="2283"/>
      <c r="H732" s="2268"/>
      <c r="I732" s="2269"/>
      <c r="J732" s="2269"/>
      <c r="K732" s="2269"/>
      <c r="L732" s="2269"/>
      <c r="M732" s="2270"/>
      <c r="N732" s="2270"/>
      <c r="O732" s="2270"/>
      <c r="P732" s="2269"/>
      <c r="Q732" s="2269"/>
      <c r="R732" s="2269"/>
      <c r="S732" s="2269"/>
      <c r="T732" s="2269"/>
      <c r="U732" s="2269"/>
      <c r="V732" s="2269"/>
      <c r="W732" s="2269"/>
      <c r="X732" s="2269"/>
      <c r="Y732" s="2269"/>
      <c r="Z732" s="2269"/>
      <c r="AA732" s="2269"/>
    </row>
    <row r="733" spans="1:27" ht="13.5" customHeight="1" x14ac:dyDescent="0.3">
      <c r="A733" s="2269"/>
      <c r="B733" s="2269"/>
      <c r="C733" s="2272"/>
      <c r="D733" s="2358"/>
      <c r="E733" s="2358"/>
      <c r="F733" s="2358"/>
      <c r="G733" s="2283"/>
      <c r="H733" s="2268"/>
      <c r="I733" s="2269"/>
      <c r="J733" s="2269"/>
      <c r="K733" s="2269"/>
      <c r="L733" s="2269"/>
      <c r="M733" s="2270"/>
      <c r="N733" s="2270"/>
      <c r="O733" s="2270"/>
      <c r="P733" s="2269"/>
      <c r="Q733" s="2269"/>
      <c r="R733" s="2269"/>
      <c r="S733" s="2269"/>
      <c r="T733" s="2269"/>
      <c r="U733" s="2269"/>
      <c r="V733" s="2269"/>
      <c r="W733" s="2269"/>
      <c r="X733" s="2269"/>
      <c r="Y733" s="2269"/>
      <c r="Z733" s="2269"/>
      <c r="AA733" s="2269"/>
    </row>
    <row r="734" spans="1:27" ht="13.5" customHeight="1" x14ac:dyDescent="0.3">
      <c r="A734" s="2269"/>
      <c r="B734" s="2269"/>
      <c r="C734" s="2272"/>
      <c r="D734" s="2358"/>
      <c r="E734" s="2358"/>
      <c r="F734" s="2358"/>
      <c r="G734" s="2283"/>
      <c r="H734" s="2268"/>
      <c r="I734" s="2269"/>
      <c r="J734" s="2269"/>
      <c r="K734" s="2269"/>
      <c r="L734" s="2269"/>
      <c r="M734" s="2270"/>
      <c r="N734" s="2270"/>
      <c r="O734" s="2270"/>
      <c r="P734" s="2269"/>
      <c r="Q734" s="2269"/>
      <c r="R734" s="2269"/>
      <c r="S734" s="2269"/>
      <c r="T734" s="2269"/>
      <c r="U734" s="2269"/>
      <c r="V734" s="2269"/>
      <c r="W734" s="2269"/>
      <c r="X734" s="2269"/>
      <c r="Y734" s="2269"/>
      <c r="Z734" s="2269"/>
      <c r="AA734" s="2269"/>
    </row>
    <row r="735" spans="1:27" ht="13.5" customHeight="1" x14ac:dyDescent="0.3">
      <c r="A735" s="2269"/>
      <c r="B735" s="2269"/>
      <c r="C735" s="2272"/>
      <c r="D735" s="2358"/>
      <c r="E735" s="2358"/>
      <c r="F735" s="2358"/>
      <c r="G735" s="2283"/>
      <c r="H735" s="2268"/>
      <c r="I735" s="2269"/>
      <c r="J735" s="2269"/>
      <c r="K735" s="2269"/>
      <c r="L735" s="2269"/>
      <c r="M735" s="2270"/>
      <c r="N735" s="2270"/>
      <c r="O735" s="2270"/>
      <c r="P735" s="2269"/>
      <c r="Q735" s="2269"/>
      <c r="R735" s="2269"/>
      <c r="S735" s="2269"/>
      <c r="T735" s="2269"/>
      <c r="U735" s="2269"/>
      <c r="V735" s="2269"/>
      <c r="W735" s="2269"/>
      <c r="X735" s="2269"/>
      <c r="Y735" s="2269"/>
      <c r="Z735" s="2269"/>
      <c r="AA735" s="2269"/>
    </row>
    <row r="736" spans="1:27" ht="13.5" customHeight="1" x14ac:dyDescent="0.3">
      <c r="A736" s="2269"/>
      <c r="B736" s="2269"/>
      <c r="C736" s="2272"/>
      <c r="D736" s="2358"/>
      <c r="E736" s="2358"/>
      <c r="F736" s="2358"/>
      <c r="G736" s="2283"/>
      <c r="H736" s="2268"/>
      <c r="I736" s="2269"/>
      <c r="J736" s="2269"/>
      <c r="K736" s="2269"/>
      <c r="L736" s="2269"/>
      <c r="M736" s="2270"/>
      <c r="N736" s="2270"/>
      <c r="O736" s="2270"/>
      <c r="P736" s="2269"/>
      <c r="Q736" s="2269"/>
      <c r="R736" s="2269"/>
      <c r="S736" s="2269"/>
      <c r="T736" s="2269"/>
      <c r="U736" s="2269"/>
      <c r="V736" s="2269"/>
      <c r="W736" s="2269"/>
      <c r="X736" s="2269"/>
      <c r="Y736" s="2269"/>
      <c r="Z736" s="2269"/>
      <c r="AA736" s="2269"/>
    </row>
    <row r="737" spans="1:27" ht="13.5" customHeight="1" x14ac:dyDescent="0.3">
      <c r="A737" s="2269"/>
      <c r="B737" s="2269"/>
      <c r="C737" s="2272"/>
      <c r="D737" s="2358"/>
      <c r="E737" s="2358"/>
      <c r="F737" s="2358"/>
      <c r="G737" s="2283"/>
      <c r="H737" s="2268"/>
      <c r="I737" s="2269"/>
      <c r="J737" s="2269"/>
      <c r="K737" s="2269"/>
      <c r="L737" s="2269"/>
      <c r="M737" s="2270"/>
      <c r="N737" s="2270"/>
      <c r="O737" s="2270"/>
      <c r="P737" s="2269"/>
      <c r="Q737" s="2269"/>
      <c r="R737" s="2269"/>
      <c r="S737" s="2269"/>
      <c r="T737" s="2269"/>
      <c r="U737" s="2269"/>
      <c r="V737" s="2269"/>
      <c r="W737" s="2269"/>
      <c r="X737" s="2269"/>
      <c r="Y737" s="2269"/>
      <c r="Z737" s="2269"/>
      <c r="AA737" s="2269"/>
    </row>
    <row r="738" spans="1:27" ht="13.5" customHeight="1" x14ac:dyDescent="0.3">
      <c r="A738" s="2269"/>
      <c r="B738" s="2269"/>
      <c r="C738" s="2272"/>
      <c r="D738" s="2358"/>
      <c r="E738" s="2358"/>
      <c r="F738" s="2358"/>
      <c r="G738" s="2283"/>
      <c r="H738" s="2268"/>
      <c r="I738" s="2269"/>
      <c r="J738" s="2269"/>
      <c r="K738" s="2269"/>
      <c r="L738" s="2269"/>
      <c r="M738" s="2270"/>
      <c r="N738" s="2270"/>
      <c r="O738" s="2270"/>
      <c r="P738" s="2269"/>
      <c r="Q738" s="2269"/>
      <c r="R738" s="2269"/>
      <c r="S738" s="2269"/>
      <c r="T738" s="2269"/>
      <c r="U738" s="2269"/>
      <c r="V738" s="2269"/>
      <c r="W738" s="2269"/>
      <c r="X738" s="2269"/>
      <c r="Y738" s="2269"/>
      <c r="Z738" s="2269"/>
      <c r="AA738" s="2269"/>
    </row>
    <row r="739" spans="1:27" ht="13.5" customHeight="1" x14ac:dyDescent="0.3">
      <c r="A739" s="2269"/>
      <c r="B739" s="2269"/>
      <c r="C739" s="2272"/>
      <c r="D739" s="2358"/>
      <c r="E739" s="2358"/>
      <c r="F739" s="2358"/>
      <c r="G739" s="2283"/>
      <c r="H739" s="2268"/>
      <c r="I739" s="2269"/>
      <c r="J739" s="2269"/>
      <c r="K739" s="2269"/>
      <c r="L739" s="2269"/>
      <c r="M739" s="2270"/>
      <c r="N739" s="2270"/>
      <c r="O739" s="2270"/>
      <c r="P739" s="2269"/>
      <c r="Q739" s="2269"/>
      <c r="R739" s="2269"/>
      <c r="S739" s="2269"/>
      <c r="T739" s="2269"/>
      <c r="U739" s="2269"/>
      <c r="V739" s="2269"/>
      <c r="W739" s="2269"/>
      <c r="X739" s="2269"/>
      <c r="Y739" s="2269"/>
      <c r="Z739" s="2269"/>
      <c r="AA739" s="2269"/>
    </row>
    <row r="740" spans="1:27" ht="13.5" customHeight="1" x14ac:dyDescent="0.3">
      <c r="A740" s="2269"/>
      <c r="B740" s="2269"/>
      <c r="C740" s="2272"/>
      <c r="D740" s="2358"/>
      <c r="E740" s="2358"/>
      <c r="F740" s="2358"/>
      <c r="G740" s="2283"/>
      <c r="H740" s="2268"/>
      <c r="I740" s="2269"/>
      <c r="J740" s="2269"/>
      <c r="K740" s="2269"/>
      <c r="L740" s="2269"/>
      <c r="M740" s="2270"/>
      <c r="N740" s="2270"/>
      <c r="O740" s="2270"/>
      <c r="P740" s="2269"/>
      <c r="Q740" s="2269"/>
      <c r="R740" s="2269"/>
      <c r="S740" s="2269"/>
      <c r="T740" s="2269"/>
      <c r="U740" s="2269"/>
      <c r="V740" s="2269"/>
      <c r="W740" s="2269"/>
      <c r="X740" s="2269"/>
      <c r="Y740" s="2269"/>
      <c r="Z740" s="2269"/>
      <c r="AA740" s="2269"/>
    </row>
    <row r="741" spans="1:27" ht="13.5" customHeight="1" x14ac:dyDescent="0.3">
      <c r="A741" s="2269"/>
      <c r="B741" s="2269"/>
      <c r="C741" s="2272"/>
      <c r="D741" s="2358"/>
      <c r="E741" s="2358"/>
      <c r="F741" s="2358"/>
      <c r="G741" s="2283"/>
      <c r="H741" s="2268"/>
      <c r="I741" s="2269"/>
      <c r="J741" s="2269"/>
      <c r="K741" s="2269"/>
      <c r="L741" s="2269"/>
      <c r="M741" s="2270"/>
      <c r="N741" s="2270"/>
      <c r="O741" s="2270"/>
      <c r="P741" s="2269"/>
      <c r="Q741" s="2269"/>
      <c r="R741" s="2269"/>
      <c r="S741" s="2269"/>
      <c r="T741" s="2269"/>
      <c r="U741" s="2269"/>
      <c r="V741" s="2269"/>
      <c r="W741" s="2269"/>
      <c r="X741" s="2269"/>
      <c r="Y741" s="2269"/>
      <c r="Z741" s="2269"/>
      <c r="AA741" s="2269"/>
    </row>
    <row r="742" spans="1:27" ht="13.5" customHeight="1" x14ac:dyDescent="0.3">
      <c r="A742" s="2269"/>
      <c r="B742" s="2269"/>
      <c r="C742" s="2272"/>
      <c r="D742" s="2358"/>
      <c r="E742" s="2358"/>
      <c r="F742" s="2358"/>
      <c r="G742" s="2283"/>
      <c r="H742" s="2268"/>
      <c r="I742" s="2269"/>
      <c r="J742" s="2269"/>
      <c r="K742" s="2269"/>
      <c r="L742" s="2269"/>
      <c r="M742" s="2270"/>
      <c r="N742" s="2270"/>
      <c r="O742" s="2270"/>
      <c r="P742" s="2269"/>
      <c r="Q742" s="2269"/>
      <c r="R742" s="2269"/>
      <c r="S742" s="2269"/>
      <c r="T742" s="2269"/>
      <c r="U742" s="2269"/>
      <c r="V742" s="2269"/>
      <c r="W742" s="2269"/>
      <c r="X742" s="2269"/>
      <c r="Y742" s="2269"/>
      <c r="Z742" s="2269"/>
      <c r="AA742" s="2269"/>
    </row>
    <row r="743" spans="1:27" ht="13.5" customHeight="1" x14ac:dyDescent="0.3">
      <c r="A743" s="2269"/>
      <c r="B743" s="2269"/>
      <c r="C743" s="2272"/>
      <c r="D743" s="2358"/>
      <c r="E743" s="2358"/>
      <c r="F743" s="2358"/>
      <c r="G743" s="2283"/>
      <c r="H743" s="2268"/>
      <c r="I743" s="2269"/>
      <c r="J743" s="2269"/>
      <c r="K743" s="2269"/>
      <c r="L743" s="2269"/>
      <c r="M743" s="2270"/>
      <c r="N743" s="2270"/>
      <c r="O743" s="2270"/>
      <c r="P743" s="2269"/>
      <c r="Q743" s="2269"/>
      <c r="R743" s="2269"/>
      <c r="S743" s="2269"/>
      <c r="T743" s="2269"/>
      <c r="U743" s="2269"/>
      <c r="V743" s="2269"/>
      <c r="W743" s="2269"/>
      <c r="X743" s="2269"/>
      <c r="Y743" s="2269"/>
      <c r="Z743" s="2269"/>
      <c r="AA743" s="2269"/>
    </row>
    <row r="744" spans="1:27" ht="13.5" customHeight="1" x14ac:dyDescent="0.3">
      <c r="A744" s="2269"/>
      <c r="B744" s="2269"/>
      <c r="C744" s="2272"/>
      <c r="D744" s="2358"/>
      <c r="E744" s="2358"/>
      <c r="F744" s="2358"/>
      <c r="G744" s="2283"/>
      <c r="H744" s="2268"/>
      <c r="I744" s="2269"/>
      <c r="J744" s="2269"/>
      <c r="K744" s="2269"/>
      <c r="L744" s="2269"/>
      <c r="M744" s="2270"/>
      <c r="N744" s="2270"/>
      <c r="O744" s="2270"/>
      <c r="P744" s="2269"/>
      <c r="Q744" s="2269"/>
      <c r="R744" s="2269"/>
      <c r="S744" s="2269"/>
      <c r="T744" s="2269"/>
      <c r="U744" s="2269"/>
      <c r="V744" s="2269"/>
      <c r="W744" s="2269"/>
      <c r="X744" s="2269"/>
      <c r="Y744" s="2269"/>
      <c r="Z744" s="2269"/>
      <c r="AA744" s="2269"/>
    </row>
    <row r="745" spans="1:27" ht="13.5" customHeight="1" x14ac:dyDescent="0.3">
      <c r="A745" s="2269"/>
      <c r="B745" s="2269"/>
      <c r="C745" s="2272"/>
      <c r="D745" s="2358"/>
      <c r="E745" s="2358"/>
      <c r="F745" s="2358"/>
      <c r="G745" s="2283"/>
      <c r="H745" s="2268"/>
      <c r="I745" s="2269"/>
      <c r="J745" s="2269"/>
      <c r="K745" s="2269"/>
      <c r="L745" s="2269"/>
      <c r="M745" s="2270"/>
      <c r="N745" s="2270"/>
      <c r="O745" s="2270"/>
      <c r="P745" s="2269"/>
      <c r="Q745" s="2269"/>
      <c r="R745" s="2269"/>
      <c r="S745" s="2269"/>
      <c r="T745" s="2269"/>
      <c r="U745" s="2269"/>
      <c r="V745" s="2269"/>
      <c r="W745" s="2269"/>
      <c r="X745" s="2269"/>
      <c r="Y745" s="2269"/>
      <c r="Z745" s="2269"/>
      <c r="AA745" s="2269"/>
    </row>
    <row r="746" spans="1:27" ht="13.5" customHeight="1" x14ac:dyDescent="0.3">
      <c r="A746" s="2269"/>
      <c r="B746" s="2269"/>
      <c r="C746" s="2272"/>
      <c r="D746" s="2358"/>
      <c r="E746" s="2358"/>
      <c r="F746" s="2358"/>
      <c r="G746" s="2283"/>
      <c r="H746" s="2268"/>
      <c r="I746" s="2269"/>
      <c r="J746" s="2269"/>
      <c r="K746" s="2269"/>
      <c r="L746" s="2269"/>
      <c r="M746" s="2270"/>
      <c r="N746" s="2270"/>
      <c r="O746" s="2270"/>
      <c r="P746" s="2269"/>
      <c r="Q746" s="2269"/>
      <c r="R746" s="2269"/>
      <c r="S746" s="2269"/>
      <c r="T746" s="2269"/>
      <c r="U746" s="2269"/>
      <c r="V746" s="2269"/>
      <c r="W746" s="2269"/>
      <c r="X746" s="2269"/>
      <c r="Y746" s="2269"/>
      <c r="Z746" s="2269"/>
      <c r="AA746" s="2269"/>
    </row>
    <row r="747" spans="1:27" ht="13.5" customHeight="1" x14ac:dyDescent="0.3">
      <c r="A747" s="2269"/>
      <c r="B747" s="2269"/>
      <c r="C747" s="2272"/>
      <c r="D747" s="2358"/>
      <c r="E747" s="2358"/>
      <c r="F747" s="2358"/>
      <c r="G747" s="2283"/>
      <c r="H747" s="2268"/>
      <c r="I747" s="2269"/>
      <c r="J747" s="2269"/>
      <c r="K747" s="2269"/>
      <c r="L747" s="2269"/>
      <c r="M747" s="2270"/>
      <c r="N747" s="2270"/>
      <c r="O747" s="2270"/>
      <c r="P747" s="2269"/>
      <c r="Q747" s="2269"/>
      <c r="R747" s="2269"/>
      <c r="S747" s="2269"/>
      <c r="T747" s="2269"/>
      <c r="U747" s="2269"/>
      <c r="V747" s="2269"/>
      <c r="W747" s="2269"/>
      <c r="X747" s="2269"/>
      <c r="Y747" s="2269"/>
      <c r="Z747" s="2269"/>
      <c r="AA747" s="2269"/>
    </row>
    <row r="748" spans="1:27" ht="13.5" customHeight="1" x14ac:dyDescent="0.3">
      <c r="A748" s="2269"/>
      <c r="B748" s="2269"/>
      <c r="C748" s="2272"/>
      <c r="D748" s="2358"/>
      <c r="E748" s="2358"/>
      <c r="F748" s="2358"/>
      <c r="G748" s="2283"/>
      <c r="H748" s="2268"/>
      <c r="I748" s="2269"/>
      <c r="J748" s="2269"/>
      <c r="K748" s="2269"/>
      <c r="L748" s="2269"/>
      <c r="M748" s="2270"/>
      <c r="N748" s="2270"/>
      <c r="O748" s="2270"/>
      <c r="P748" s="2269"/>
      <c r="Q748" s="2269"/>
      <c r="R748" s="2269"/>
      <c r="S748" s="2269"/>
      <c r="T748" s="2269"/>
      <c r="U748" s="2269"/>
      <c r="V748" s="2269"/>
      <c r="W748" s="2269"/>
      <c r="X748" s="2269"/>
      <c r="Y748" s="2269"/>
      <c r="Z748" s="2269"/>
      <c r="AA748" s="2269"/>
    </row>
    <row r="749" spans="1:27" ht="13.5" customHeight="1" x14ac:dyDescent="0.3">
      <c r="A749" s="2269"/>
      <c r="B749" s="2269"/>
      <c r="C749" s="2272"/>
      <c r="D749" s="2358"/>
      <c r="E749" s="2358"/>
      <c r="F749" s="2358"/>
      <c r="G749" s="2283"/>
      <c r="H749" s="2268"/>
      <c r="I749" s="2269"/>
      <c r="J749" s="2269"/>
      <c r="K749" s="2269"/>
      <c r="L749" s="2269"/>
      <c r="M749" s="2270"/>
      <c r="N749" s="2270"/>
      <c r="O749" s="2270"/>
      <c r="P749" s="2269"/>
      <c r="Q749" s="2269"/>
      <c r="R749" s="2269"/>
      <c r="S749" s="2269"/>
      <c r="T749" s="2269"/>
      <c r="U749" s="2269"/>
      <c r="V749" s="2269"/>
      <c r="W749" s="2269"/>
      <c r="X749" s="2269"/>
      <c r="Y749" s="2269"/>
      <c r="Z749" s="2269"/>
      <c r="AA749" s="2269"/>
    </row>
    <row r="750" spans="1:27" ht="13.5" customHeight="1" x14ac:dyDescent="0.3">
      <c r="A750" s="2269"/>
      <c r="B750" s="2269"/>
      <c r="C750" s="2272"/>
      <c r="D750" s="2358"/>
      <c r="E750" s="2358"/>
      <c r="F750" s="2358"/>
      <c r="G750" s="2283"/>
      <c r="H750" s="2268"/>
      <c r="I750" s="2269"/>
      <c r="J750" s="2269"/>
      <c r="K750" s="2269"/>
      <c r="L750" s="2269"/>
      <c r="M750" s="2270"/>
      <c r="N750" s="2270"/>
      <c r="O750" s="2270"/>
      <c r="P750" s="2269"/>
      <c r="Q750" s="2269"/>
      <c r="R750" s="2269"/>
      <c r="S750" s="2269"/>
      <c r="T750" s="2269"/>
      <c r="U750" s="2269"/>
      <c r="V750" s="2269"/>
      <c r="W750" s="2269"/>
      <c r="X750" s="2269"/>
      <c r="Y750" s="2269"/>
      <c r="Z750" s="2269"/>
      <c r="AA750" s="2269"/>
    </row>
    <row r="751" spans="1:27" ht="13.5" customHeight="1" x14ac:dyDescent="0.3">
      <c r="A751" s="2269"/>
      <c r="B751" s="2269"/>
      <c r="C751" s="2272"/>
      <c r="D751" s="2358"/>
      <c r="E751" s="2358"/>
      <c r="F751" s="2358"/>
      <c r="G751" s="2283"/>
      <c r="H751" s="2268"/>
      <c r="I751" s="2269"/>
      <c r="J751" s="2269"/>
      <c r="K751" s="2269"/>
      <c r="L751" s="2269"/>
      <c r="M751" s="2270"/>
      <c r="N751" s="2270"/>
      <c r="O751" s="2270"/>
      <c r="P751" s="2269"/>
      <c r="Q751" s="2269"/>
      <c r="R751" s="2269"/>
      <c r="S751" s="2269"/>
      <c r="T751" s="2269"/>
      <c r="U751" s="2269"/>
      <c r="V751" s="2269"/>
      <c r="W751" s="2269"/>
      <c r="X751" s="2269"/>
      <c r="Y751" s="2269"/>
      <c r="Z751" s="2269"/>
      <c r="AA751" s="2269"/>
    </row>
    <row r="752" spans="1:27" ht="13.5" customHeight="1" x14ac:dyDescent="0.3">
      <c r="A752" s="2269"/>
      <c r="B752" s="2269"/>
      <c r="C752" s="2272"/>
      <c r="D752" s="2358"/>
      <c r="E752" s="2358"/>
      <c r="F752" s="2358"/>
      <c r="G752" s="2283"/>
      <c r="H752" s="2268"/>
      <c r="I752" s="2269"/>
      <c r="J752" s="2269"/>
      <c r="K752" s="2269"/>
      <c r="L752" s="2269"/>
      <c r="M752" s="2270"/>
      <c r="N752" s="2270"/>
      <c r="O752" s="2270"/>
      <c r="P752" s="2269"/>
      <c r="Q752" s="2269"/>
      <c r="R752" s="2269"/>
      <c r="S752" s="2269"/>
      <c r="T752" s="2269"/>
      <c r="U752" s="2269"/>
      <c r="V752" s="2269"/>
      <c r="W752" s="2269"/>
      <c r="X752" s="2269"/>
      <c r="Y752" s="2269"/>
      <c r="Z752" s="2269"/>
      <c r="AA752" s="2269"/>
    </row>
    <row r="753" spans="1:27" ht="13.5" customHeight="1" x14ac:dyDescent="0.3">
      <c r="A753" s="2269"/>
      <c r="B753" s="2269"/>
      <c r="C753" s="2272"/>
      <c r="D753" s="2358"/>
      <c r="E753" s="2358"/>
      <c r="F753" s="2358"/>
      <c r="G753" s="2283"/>
      <c r="H753" s="2268"/>
      <c r="I753" s="2269"/>
      <c r="J753" s="2269"/>
      <c r="K753" s="2269"/>
      <c r="L753" s="2269"/>
      <c r="M753" s="2270"/>
      <c r="N753" s="2270"/>
      <c r="O753" s="2270"/>
      <c r="P753" s="2269"/>
      <c r="Q753" s="2269"/>
      <c r="R753" s="2269"/>
      <c r="S753" s="2269"/>
      <c r="T753" s="2269"/>
      <c r="U753" s="2269"/>
      <c r="V753" s="2269"/>
      <c r="W753" s="2269"/>
      <c r="X753" s="2269"/>
      <c r="Y753" s="2269"/>
      <c r="Z753" s="2269"/>
      <c r="AA753" s="2269"/>
    </row>
    <row r="754" spans="1:27" ht="13.5" customHeight="1" x14ac:dyDescent="0.3">
      <c r="A754" s="2269"/>
      <c r="B754" s="2269"/>
      <c r="C754" s="2272"/>
      <c r="D754" s="2358"/>
      <c r="E754" s="2358"/>
      <c r="F754" s="2358"/>
      <c r="G754" s="2283"/>
      <c r="H754" s="2268"/>
      <c r="I754" s="2269"/>
      <c r="J754" s="2269"/>
      <c r="K754" s="2269"/>
      <c r="L754" s="2269"/>
      <c r="M754" s="2270"/>
      <c r="N754" s="2270"/>
      <c r="O754" s="2270"/>
      <c r="P754" s="2269"/>
      <c r="Q754" s="2269"/>
      <c r="R754" s="2269"/>
      <c r="S754" s="2269"/>
      <c r="T754" s="2269"/>
      <c r="U754" s="2269"/>
      <c r="V754" s="2269"/>
      <c r="W754" s="2269"/>
      <c r="X754" s="2269"/>
      <c r="Y754" s="2269"/>
      <c r="Z754" s="2269"/>
      <c r="AA754" s="2269"/>
    </row>
    <row r="755" spans="1:27" ht="13.5" customHeight="1" x14ac:dyDescent="0.3">
      <c r="A755" s="2269"/>
      <c r="B755" s="2269"/>
      <c r="C755" s="2272"/>
      <c r="D755" s="2358"/>
      <c r="E755" s="2358"/>
      <c r="F755" s="2358"/>
      <c r="G755" s="2283"/>
      <c r="H755" s="2268"/>
      <c r="I755" s="2269"/>
      <c r="J755" s="2269"/>
      <c r="K755" s="2269"/>
      <c r="L755" s="2269"/>
      <c r="M755" s="2270"/>
      <c r="N755" s="2270"/>
      <c r="O755" s="2270"/>
      <c r="P755" s="2269"/>
      <c r="Q755" s="2269"/>
      <c r="R755" s="2269"/>
      <c r="S755" s="2269"/>
      <c r="T755" s="2269"/>
      <c r="U755" s="2269"/>
      <c r="V755" s="2269"/>
      <c r="W755" s="2269"/>
      <c r="X755" s="2269"/>
      <c r="Y755" s="2269"/>
      <c r="Z755" s="2269"/>
      <c r="AA755" s="2269"/>
    </row>
    <row r="756" spans="1:27" ht="13.5" customHeight="1" x14ac:dyDescent="0.3">
      <c r="A756" s="2269"/>
      <c r="B756" s="2269"/>
      <c r="C756" s="2272"/>
      <c r="D756" s="2358"/>
      <c r="E756" s="2358"/>
      <c r="F756" s="2358"/>
      <c r="G756" s="2283"/>
      <c r="H756" s="2268"/>
      <c r="I756" s="2269"/>
      <c r="J756" s="2269"/>
      <c r="K756" s="2269"/>
      <c r="L756" s="2269"/>
      <c r="M756" s="2270"/>
      <c r="N756" s="2270"/>
      <c r="O756" s="2270"/>
      <c r="P756" s="2269"/>
      <c r="Q756" s="2269"/>
      <c r="R756" s="2269"/>
      <c r="S756" s="2269"/>
      <c r="T756" s="2269"/>
      <c r="U756" s="2269"/>
      <c r="V756" s="2269"/>
      <c r="W756" s="2269"/>
      <c r="X756" s="2269"/>
      <c r="Y756" s="2269"/>
      <c r="Z756" s="2269"/>
      <c r="AA756" s="2269"/>
    </row>
    <row r="757" spans="1:27" ht="13.5" customHeight="1" x14ac:dyDescent="0.3">
      <c r="A757" s="2269"/>
      <c r="B757" s="2269"/>
      <c r="C757" s="2272"/>
      <c r="D757" s="2358"/>
      <c r="E757" s="2358"/>
      <c r="F757" s="2358"/>
      <c r="G757" s="2283"/>
      <c r="H757" s="2268"/>
      <c r="I757" s="2269"/>
      <c r="J757" s="2269"/>
      <c r="K757" s="2269"/>
      <c r="L757" s="2269"/>
      <c r="M757" s="2270"/>
      <c r="N757" s="2270"/>
      <c r="O757" s="2270"/>
      <c r="P757" s="2269"/>
      <c r="Q757" s="2269"/>
      <c r="R757" s="2269"/>
      <c r="S757" s="2269"/>
      <c r="T757" s="2269"/>
      <c r="U757" s="2269"/>
      <c r="V757" s="2269"/>
      <c r="W757" s="2269"/>
      <c r="X757" s="2269"/>
      <c r="Y757" s="2269"/>
      <c r="Z757" s="2269"/>
      <c r="AA757" s="2269"/>
    </row>
    <row r="758" spans="1:27" ht="13.5" customHeight="1" x14ac:dyDescent="0.3">
      <c r="A758" s="2269"/>
      <c r="B758" s="2269"/>
      <c r="C758" s="2272"/>
      <c r="D758" s="2358"/>
      <c r="E758" s="2358"/>
      <c r="F758" s="2358"/>
      <c r="G758" s="2283"/>
      <c r="H758" s="2268"/>
      <c r="I758" s="2269"/>
      <c r="J758" s="2269"/>
      <c r="K758" s="2269"/>
      <c r="L758" s="2269"/>
      <c r="M758" s="2270"/>
      <c r="N758" s="2270"/>
      <c r="O758" s="2270"/>
      <c r="P758" s="2269"/>
      <c r="Q758" s="2269"/>
      <c r="R758" s="2269"/>
      <c r="S758" s="2269"/>
      <c r="T758" s="2269"/>
      <c r="U758" s="2269"/>
      <c r="V758" s="2269"/>
      <c r="W758" s="2269"/>
      <c r="X758" s="2269"/>
      <c r="Y758" s="2269"/>
      <c r="Z758" s="2269"/>
      <c r="AA758" s="2269"/>
    </row>
    <row r="759" spans="1:27" ht="13.5" customHeight="1" x14ac:dyDescent="0.3">
      <c r="A759" s="2269"/>
      <c r="B759" s="2269"/>
      <c r="C759" s="2272"/>
      <c r="D759" s="2358"/>
      <c r="E759" s="2358"/>
      <c r="F759" s="2358"/>
      <c r="G759" s="2283"/>
      <c r="H759" s="2268"/>
      <c r="I759" s="2269"/>
      <c r="J759" s="2269"/>
      <c r="K759" s="2269"/>
      <c r="L759" s="2269"/>
      <c r="M759" s="2270"/>
      <c r="N759" s="2270"/>
      <c r="O759" s="2270"/>
      <c r="P759" s="2269"/>
      <c r="Q759" s="2269"/>
      <c r="R759" s="2269"/>
      <c r="S759" s="2269"/>
      <c r="T759" s="2269"/>
      <c r="U759" s="2269"/>
      <c r="V759" s="2269"/>
      <c r="W759" s="2269"/>
      <c r="X759" s="2269"/>
      <c r="Y759" s="2269"/>
      <c r="Z759" s="2269"/>
      <c r="AA759" s="2269"/>
    </row>
    <row r="760" spans="1:27" ht="13.5" customHeight="1" x14ac:dyDescent="0.3">
      <c r="A760" s="2269"/>
      <c r="B760" s="2269"/>
      <c r="C760" s="2272"/>
      <c r="D760" s="2358"/>
      <c r="E760" s="2358"/>
      <c r="F760" s="2358"/>
      <c r="G760" s="2283"/>
      <c r="H760" s="2268"/>
      <c r="I760" s="2269"/>
      <c r="J760" s="2269"/>
      <c r="K760" s="2269"/>
      <c r="L760" s="2269"/>
      <c r="M760" s="2270"/>
      <c r="N760" s="2270"/>
      <c r="O760" s="2270"/>
      <c r="P760" s="2269"/>
      <c r="Q760" s="2269"/>
      <c r="R760" s="2269"/>
      <c r="S760" s="2269"/>
      <c r="T760" s="2269"/>
      <c r="U760" s="2269"/>
      <c r="V760" s="2269"/>
      <c r="W760" s="2269"/>
      <c r="X760" s="2269"/>
      <c r="Y760" s="2269"/>
      <c r="Z760" s="2269"/>
      <c r="AA760" s="2269"/>
    </row>
    <row r="761" spans="1:27" ht="13.5" customHeight="1" x14ac:dyDescent="0.3">
      <c r="A761" s="2269"/>
      <c r="B761" s="2269"/>
      <c r="C761" s="2272"/>
      <c r="D761" s="2358"/>
      <c r="E761" s="2358"/>
      <c r="F761" s="2358"/>
      <c r="G761" s="2283"/>
      <c r="H761" s="2268"/>
      <c r="I761" s="2269"/>
      <c r="J761" s="2269"/>
      <c r="K761" s="2269"/>
      <c r="L761" s="2269"/>
      <c r="M761" s="2270"/>
      <c r="N761" s="2270"/>
      <c r="O761" s="2270"/>
      <c r="P761" s="2269"/>
      <c r="Q761" s="2269"/>
      <c r="R761" s="2269"/>
      <c r="S761" s="2269"/>
      <c r="T761" s="2269"/>
      <c r="U761" s="2269"/>
      <c r="V761" s="2269"/>
      <c r="W761" s="2269"/>
      <c r="X761" s="2269"/>
      <c r="Y761" s="2269"/>
      <c r="Z761" s="2269"/>
      <c r="AA761" s="2269"/>
    </row>
    <row r="762" spans="1:27" ht="13.5" customHeight="1" x14ac:dyDescent="0.3">
      <c r="A762" s="2269"/>
      <c r="B762" s="2269"/>
      <c r="C762" s="2272"/>
      <c r="D762" s="2358"/>
      <c r="E762" s="2358"/>
      <c r="F762" s="2358"/>
      <c r="G762" s="2283"/>
      <c r="H762" s="2268"/>
      <c r="I762" s="2269"/>
      <c r="J762" s="2269"/>
      <c r="K762" s="2269"/>
      <c r="L762" s="2269"/>
      <c r="M762" s="2270"/>
      <c r="N762" s="2270"/>
      <c r="O762" s="2270"/>
      <c r="P762" s="2269"/>
      <c r="Q762" s="2269"/>
      <c r="R762" s="2269"/>
      <c r="S762" s="2269"/>
      <c r="T762" s="2269"/>
      <c r="U762" s="2269"/>
      <c r="V762" s="2269"/>
      <c r="W762" s="2269"/>
      <c r="X762" s="2269"/>
      <c r="Y762" s="2269"/>
      <c r="Z762" s="2269"/>
      <c r="AA762" s="2269"/>
    </row>
    <row r="763" spans="1:27" ht="13.5" customHeight="1" x14ac:dyDescent="0.3">
      <c r="A763" s="2269"/>
      <c r="B763" s="2269"/>
      <c r="C763" s="2272"/>
      <c r="D763" s="2358"/>
      <c r="E763" s="2358"/>
      <c r="F763" s="2358"/>
      <c r="G763" s="2283"/>
      <c r="H763" s="2268"/>
      <c r="I763" s="2269"/>
      <c r="J763" s="2269"/>
      <c r="K763" s="2269"/>
      <c r="L763" s="2269"/>
      <c r="M763" s="2270"/>
      <c r="N763" s="2270"/>
      <c r="O763" s="2270"/>
      <c r="P763" s="2269"/>
      <c r="Q763" s="2269"/>
      <c r="R763" s="2269"/>
      <c r="S763" s="2269"/>
      <c r="T763" s="2269"/>
      <c r="U763" s="2269"/>
      <c r="V763" s="2269"/>
      <c r="W763" s="2269"/>
      <c r="X763" s="2269"/>
      <c r="Y763" s="2269"/>
      <c r="Z763" s="2269"/>
      <c r="AA763" s="2269"/>
    </row>
    <row r="764" spans="1:27" ht="13.5" customHeight="1" x14ac:dyDescent="0.3">
      <c r="A764" s="2269"/>
      <c r="B764" s="2269"/>
      <c r="C764" s="2272"/>
      <c r="D764" s="2358"/>
      <c r="E764" s="2358"/>
      <c r="F764" s="2358"/>
      <c r="G764" s="2283"/>
      <c r="H764" s="2268"/>
      <c r="I764" s="2269"/>
      <c r="J764" s="2269"/>
      <c r="K764" s="2269"/>
      <c r="L764" s="2269"/>
      <c r="M764" s="2270"/>
      <c r="N764" s="2270"/>
      <c r="O764" s="2270"/>
      <c r="P764" s="2269"/>
      <c r="Q764" s="2269"/>
      <c r="R764" s="2269"/>
      <c r="S764" s="2269"/>
      <c r="T764" s="2269"/>
      <c r="U764" s="2269"/>
      <c r="V764" s="2269"/>
      <c r="W764" s="2269"/>
      <c r="X764" s="2269"/>
      <c r="Y764" s="2269"/>
      <c r="Z764" s="2269"/>
      <c r="AA764" s="2269"/>
    </row>
    <row r="765" spans="1:27" ht="13.5" customHeight="1" x14ac:dyDescent="0.3">
      <c r="A765" s="2269"/>
      <c r="B765" s="2269"/>
      <c r="C765" s="2272"/>
      <c r="D765" s="2358"/>
      <c r="E765" s="2358"/>
      <c r="F765" s="2358"/>
      <c r="G765" s="2283"/>
      <c r="H765" s="2268"/>
      <c r="I765" s="2269"/>
      <c r="J765" s="2269"/>
      <c r="K765" s="2269"/>
      <c r="L765" s="2269"/>
      <c r="M765" s="2270"/>
      <c r="N765" s="2270"/>
      <c r="O765" s="2270"/>
      <c r="P765" s="2269"/>
      <c r="Q765" s="2269"/>
      <c r="R765" s="2269"/>
      <c r="S765" s="2269"/>
      <c r="T765" s="2269"/>
      <c r="U765" s="2269"/>
      <c r="V765" s="2269"/>
      <c r="W765" s="2269"/>
      <c r="X765" s="2269"/>
      <c r="Y765" s="2269"/>
      <c r="Z765" s="2269"/>
      <c r="AA765" s="2269"/>
    </row>
    <row r="766" spans="1:27" ht="13.5" customHeight="1" x14ac:dyDescent="0.3">
      <c r="A766" s="2269"/>
      <c r="B766" s="2269"/>
      <c r="C766" s="2272"/>
      <c r="D766" s="2358"/>
      <c r="E766" s="2358"/>
      <c r="F766" s="2358"/>
      <c r="G766" s="2283"/>
      <c r="H766" s="2268"/>
      <c r="I766" s="2269"/>
      <c r="J766" s="2269"/>
      <c r="K766" s="2269"/>
      <c r="L766" s="2269"/>
      <c r="M766" s="2270"/>
      <c r="N766" s="2270"/>
      <c r="O766" s="2270"/>
      <c r="P766" s="2269"/>
      <c r="Q766" s="2269"/>
      <c r="R766" s="2269"/>
      <c r="S766" s="2269"/>
      <c r="T766" s="2269"/>
      <c r="U766" s="2269"/>
      <c r="V766" s="2269"/>
      <c r="W766" s="2269"/>
      <c r="X766" s="2269"/>
      <c r="Y766" s="2269"/>
      <c r="Z766" s="2269"/>
      <c r="AA766" s="2269"/>
    </row>
    <row r="767" spans="1:27" ht="13.5" customHeight="1" x14ac:dyDescent="0.3">
      <c r="A767" s="2269"/>
      <c r="B767" s="2269"/>
      <c r="C767" s="2272"/>
      <c r="D767" s="2358"/>
      <c r="E767" s="2358"/>
      <c r="F767" s="2358"/>
      <c r="G767" s="2283"/>
      <c r="H767" s="2268"/>
      <c r="I767" s="2269"/>
      <c r="J767" s="2269"/>
      <c r="K767" s="2269"/>
      <c r="L767" s="2269"/>
      <c r="M767" s="2270"/>
      <c r="N767" s="2270"/>
      <c r="O767" s="2270"/>
      <c r="P767" s="2269"/>
      <c r="Q767" s="2269"/>
      <c r="R767" s="2269"/>
      <c r="S767" s="2269"/>
      <c r="T767" s="2269"/>
      <c r="U767" s="2269"/>
      <c r="V767" s="2269"/>
      <c r="W767" s="2269"/>
      <c r="X767" s="2269"/>
      <c r="Y767" s="2269"/>
      <c r="Z767" s="2269"/>
      <c r="AA767" s="2269"/>
    </row>
    <row r="768" spans="1:27" ht="13.5" customHeight="1" x14ac:dyDescent="0.3">
      <c r="A768" s="2269"/>
      <c r="B768" s="2269"/>
      <c r="C768" s="2272"/>
      <c r="D768" s="2358"/>
      <c r="E768" s="2358"/>
      <c r="F768" s="2358"/>
      <c r="G768" s="2283"/>
      <c r="H768" s="2268"/>
      <c r="I768" s="2269"/>
      <c r="J768" s="2269"/>
      <c r="K768" s="2269"/>
      <c r="L768" s="2269"/>
      <c r="M768" s="2270"/>
      <c r="N768" s="2270"/>
      <c r="O768" s="2270"/>
      <c r="P768" s="2269"/>
      <c r="Q768" s="2269"/>
      <c r="R768" s="2269"/>
      <c r="S768" s="2269"/>
      <c r="T768" s="2269"/>
      <c r="U768" s="2269"/>
      <c r="V768" s="2269"/>
      <c r="W768" s="2269"/>
      <c r="X768" s="2269"/>
      <c r="Y768" s="2269"/>
      <c r="Z768" s="2269"/>
      <c r="AA768" s="2269"/>
    </row>
    <row r="769" spans="1:27" ht="13.5" customHeight="1" x14ac:dyDescent="0.3">
      <c r="A769" s="2269"/>
      <c r="B769" s="2269"/>
      <c r="C769" s="2272"/>
      <c r="D769" s="2358"/>
      <c r="E769" s="2358"/>
      <c r="F769" s="2358"/>
      <c r="G769" s="2283"/>
      <c r="H769" s="2268"/>
      <c r="I769" s="2269"/>
      <c r="J769" s="2269"/>
      <c r="K769" s="2269"/>
      <c r="L769" s="2269"/>
      <c r="M769" s="2270"/>
      <c r="N769" s="2270"/>
      <c r="O769" s="2270"/>
      <c r="P769" s="2269"/>
      <c r="Q769" s="2269"/>
      <c r="R769" s="2269"/>
      <c r="S769" s="2269"/>
      <c r="T769" s="2269"/>
      <c r="U769" s="2269"/>
      <c r="V769" s="2269"/>
      <c r="W769" s="2269"/>
      <c r="X769" s="2269"/>
      <c r="Y769" s="2269"/>
      <c r="Z769" s="2269"/>
      <c r="AA769" s="2269"/>
    </row>
    <row r="770" spans="1:27" ht="13.5" customHeight="1" x14ac:dyDescent="0.3">
      <c r="A770" s="2269"/>
      <c r="B770" s="2269"/>
      <c r="C770" s="2272"/>
      <c r="D770" s="2358"/>
      <c r="E770" s="2358"/>
      <c r="F770" s="2358"/>
      <c r="G770" s="2283"/>
      <c r="H770" s="2268"/>
      <c r="I770" s="2269"/>
      <c r="J770" s="2269"/>
      <c r="K770" s="2269"/>
      <c r="L770" s="2269"/>
      <c r="M770" s="2270"/>
      <c r="N770" s="2270"/>
      <c r="O770" s="2270"/>
      <c r="P770" s="2269"/>
      <c r="Q770" s="2269"/>
      <c r="R770" s="2269"/>
      <c r="S770" s="2269"/>
      <c r="T770" s="2269"/>
      <c r="U770" s="2269"/>
      <c r="V770" s="2269"/>
      <c r="W770" s="2269"/>
      <c r="X770" s="2269"/>
      <c r="Y770" s="2269"/>
      <c r="Z770" s="2269"/>
      <c r="AA770" s="2269"/>
    </row>
    <row r="771" spans="1:27" ht="13.5" customHeight="1" x14ac:dyDescent="0.3">
      <c r="A771" s="2269"/>
      <c r="B771" s="2269"/>
      <c r="C771" s="2272"/>
      <c r="D771" s="2358"/>
      <c r="E771" s="2358"/>
      <c r="F771" s="2358"/>
      <c r="G771" s="2283"/>
      <c r="H771" s="2268"/>
      <c r="I771" s="2269"/>
      <c r="J771" s="2269"/>
      <c r="K771" s="2269"/>
      <c r="L771" s="2269"/>
      <c r="M771" s="2270"/>
      <c r="N771" s="2270"/>
      <c r="O771" s="2270"/>
      <c r="P771" s="2269"/>
      <c r="Q771" s="2269"/>
      <c r="R771" s="2269"/>
      <c r="S771" s="2269"/>
      <c r="T771" s="2269"/>
      <c r="U771" s="2269"/>
      <c r="V771" s="2269"/>
      <c r="W771" s="2269"/>
      <c r="X771" s="2269"/>
      <c r="Y771" s="2269"/>
      <c r="Z771" s="2269"/>
      <c r="AA771" s="2269"/>
    </row>
    <row r="772" spans="1:27" ht="13.5" customHeight="1" x14ac:dyDescent="0.3">
      <c r="A772" s="2269"/>
      <c r="B772" s="2269"/>
      <c r="C772" s="2272"/>
      <c r="D772" s="2358"/>
      <c r="E772" s="2358"/>
      <c r="F772" s="2358"/>
      <c r="G772" s="2283"/>
      <c r="H772" s="2268"/>
      <c r="I772" s="2269"/>
      <c r="J772" s="2269"/>
      <c r="K772" s="2269"/>
      <c r="L772" s="2269"/>
      <c r="M772" s="2270"/>
      <c r="N772" s="2270"/>
      <c r="O772" s="2270"/>
      <c r="P772" s="2269"/>
      <c r="Q772" s="2269"/>
      <c r="R772" s="2269"/>
      <c r="S772" s="2269"/>
      <c r="T772" s="2269"/>
      <c r="U772" s="2269"/>
      <c r="V772" s="2269"/>
      <c r="W772" s="2269"/>
      <c r="X772" s="2269"/>
      <c r="Y772" s="2269"/>
      <c r="Z772" s="2269"/>
      <c r="AA772" s="2269"/>
    </row>
    <row r="773" spans="1:27" ht="13.5" customHeight="1" x14ac:dyDescent="0.3">
      <c r="A773" s="2269"/>
      <c r="B773" s="2269"/>
      <c r="C773" s="2272"/>
      <c r="D773" s="2358"/>
      <c r="E773" s="2358"/>
      <c r="F773" s="2358"/>
      <c r="G773" s="2283"/>
      <c r="H773" s="2268"/>
      <c r="I773" s="2269"/>
      <c r="J773" s="2269"/>
      <c r="K773" s="2269"/>
      <c r="L773" s="2269"/>
      <c r="M773" s="2270"/>
      <c r="N773" s="2270"/>
      <c r="O773" s="2270"/>
      <c r="P773" s="2269"/>
      <c r="Q773" s="2269"/>
      <c r="R773" s="2269"/>
      <c r="S773" s="2269"/>
      <c r="T773" s="2269"/>
      <c r="U773" s="2269"/>
      <c r="V773" s="2269"/>
      <c r="W773" s="2269"/>
      <c r="X773" s="2269"/>
      <c r="Y773" s="2269"/>
      <c r="Z773" s="2269"/>
      <c r="AA773" s="2269"/>
    </row>
    <row r="774" spans="1:27" ht="13.5" customHeight="1" x14ac:dyDescent="0.3">
      <c r="A774" s="2269"/>
      <c r="B774" s="2269"/>
      <c r="C774" s="2272"/>
      <c r="D774" s="2358"/>
      <c r="E774" s="2358"/>
      <c r="F774" s="2358"/>
      <c r="G774" s="2283"/>
      <c r="H774" s="2268"/>
      <c r="I774" s="2269"/>
      <c r="J774" s="2269"/>
      <c r="K774" s="2269"/>
      <c r="L774" s="2269"/>
      <c r="M774" s="2270"/>
      <c r="N774" s="2270"/>
      <c r="O774" s="2270"/>
      <c r="P774" s="2269"/>
      <c r="Q774" s="2269"/>
      <c r="R774" s="2269"/>
      <c r="S774" s="2269"/>
      <c r="T774" s="2269"/>
      <c r="U774" s="2269"/>
      <c r="V774" s="2269"/>
      <c r="W774" s="2269"/>
      <c r="X774" s="2269"/>
      <c r="Y774" s="2269"/>
      <c r="Z774" s="2269"/>
      <c r="AA774" s="2269"/>
    </row>
    <row r="775" spans="1:27" ht="13.5" customHeight="1" x14ac:dyDescent="0.3">
      <c r="A775" s="2269"/>
      <c r="B775" s="2269"/>
      <c r="C775" s="2272"/>
      <c r="D775" s="2358"/>
      <c r="E775" s="2358"/>
      <c r="F775" s="2358"/>
      <c r="G775" s="2283"/>
      <c r="H775" s="2268"/>
      <c r="I775" s="2269"/>
      <c r="J775" s="2269"/>
      <c r="K775" s="2269"/>
      <c r="L775" s="2269"/>
      <c r="M775" s="2270"/>
      <c r="N775" s="2270"/>
      <c r="O775" s="2270"/>
      <c r="P775" s="2269"/>
      <c r="Q775" s="2269"/>
      <c r="R775" s="2269"/>
      <c r="S775" s="2269"/>
      <c r="T775" s="2269"/>
      <c r="U775" s="2269"/>
      <c r="V775" s="2269"/>
      <c r="W775" s="2269"/>
      <c r="X775" s="2269"/>
      <c r="Y775" s="2269"/>
      <c r="Z775" s="2269"/>
      <c r="AA775" s="2269"/>
    </row>
    <row r="776" spans="1:27" ht="13.5" customHeight="1" x14ac:dyDescent="0.3">
      <c r="A776" s="2269"/>
      <c r="B776" s="2269"/>
      <c r="C776" s="2272"/>
      <c r="D776" s="2358"/>
      <c r="E776" s="2358"/>
      <c r="F776" s="2358"/>
      <c r="G776" s="2283"/>
      <c r="H776" s="2268"/>
      <c r="I776" s="2269"/>
      <c r="J776" s="2269"/>
      <c r="K776" s="2269"/>
      <c r="L776" s="2269"/>
      <c r="M776" s="2270"/>
      <c r="N776" s="2270"/>
      <c r="O776" s="2270"/>
      <c r="P776" s="2269"/>
      <c r="Q776" s="2269"/>
      <c r="R776" s="2269"/>
      <c r="S776" s="2269"/>
      <c r="T776" s="2269"/>
      <c r="U776" s="2269"/>
      <c r="V776" s="2269"/>
      <c r="W776" s="2269"/>
      <c r="X776" s="2269"/>
      <c r="Y776" s="2269"/>
      <c r="Z776" s="2269"/>
      <c r="AA776" s="2269"/>
    </row>
    <row r="777" spans="1:27" ht="13.5" customHeight="1" x14ac:dyDescent="0.3">
      <c r="A777" s="2269"/>
      <c r="B777" s="2269"/>
      <c r="C777" s="2272"/>
      <c r="D777" s="2358"/>
      <c r="E777" s="2358"/>
      <c r="F777" s="2358"/>
      <c r="G777" s="2283"/>
      <c r="H777" s="2268"/>
      <c r="I777" s="2269"/>
      <c r="J777" s="2269"/>
      <c r="K777" s="2269"/>
      <c r="L777" s="2269"/>
      <c r="M777" s="2270"/>
      <c r="N777" s="2270"/>
      <c r="O777" s="2270"/>
      <c r="P777" s="2269"/>
      <c r="Q777" s="2269"/>
      <c r="R777" s="2269"/>
      <c r="S777" s="2269"/>
      <c r="T777" s="2269"/>
      <c r="U777" s="2269"/>
      <c r="V777" s="2269"/>
      <c r="W777" s="2269"/>
      <c r="X777" s="2269"/>
      <c r="Y777" s="2269"/>
      <c r="Z777" s="2269"/>
      <c r="AA777" s="2269"/>
    </row>
    <row r="778" spans="1:27" ht="13.5" customHeight="1" x14ac:dyDescent="0.3">
      <c r="A778" s="2269"/>
      <c r="B778" s="2269"/>
      <c r="C778" s="2272"/>
      <c r="D778" s="2358"/>
      <c r="E778" s="2358"/>
      <c r="F778" s="2358"/>
      <c r="G778" s="2283"/>
      <c r="H778" s="2268"/>
      <c r="I778" s="2269"/>
      <c r="J778" s="2269"/>
      <c r="K778" s="2269"/>
      <c r="L778" s="2269"/>
      <c r="M778" s="2270"/>
      <c r="N778" s="2270"/>
      <c r="O778" s="2270"/>
      <c r="P778" s="2269"/>
      <c r="Q778" s="2269"/>
      <c r="R778" s="2269"/>
      <c r="S778" s="2269"/>
      <c r="T778" s="2269"/>
      <c r="U778" s="2269"/>
      <c r="V778" s="2269"/>
      <c r="W778" s="2269"/>
      <c r="X778" s="2269"/>
      <c r="Y778" s="2269"/>
      <c r="Z778" s="2269"/>
      <c r="AA778" s="2269"/>
    </row>
    <row r="779" spans="1:27" ht="13.5" customHeight="1" x14ac:dyDescent="0.3">
      <c r="A779" s="2269"/>
      <c r="B779" s="2269"/>
      <c r="C779" s="2272"/>
      <c r="D779" s="2358"/>
      <c r="E779" s="2358"/>
      <c r="F779" s="2358"/>
      <c r="G779" s="2283"/>
      <c r="H779" s="2268"/>
      <c r="I779" s="2269"/>
      <c r="J779" s="2269"/>
      <c r="K779" s="2269"/>
      <c r="L779" s="2269"/>
      <c r="M779" s="2270"/>
      <c r="N779" s="2270"/>
      <c r="O779" s="2270"/>
      <c r="P779" s="2269"/>
      <c r="Q779" s="2269"/>
      <c r="R779" s="2269"/>
      <c r="S779" s="2269"/>
      <c r="T779" s="2269"/>
      <c r="U779" s="2269"/>
      <c r="V779" s="2269"/>
      <c r="W779" s="2269"/>
      <c r="X779" s="2269"/>
      <c r="Y779" s="2269"/>
      <c r="Z779" s="2269"/>
      <c r="AA779" s="2269"/>
    </row>
    <row r="780" spans="1:27" ht="13.5" customHeight="1" x14ac:dyDescent="0.3">
      <c r="A780" s="2269"/>
      <c r="B780" s="2269"/>
      <c r="C780" s="2272"/>
      <c r="D780" s="2358"/>
      <c r="E780" s="2358"/>
      <c r="F780" s="2358"/>
      <c r="G780" s="2283"/>
      <c r="H780" s="2268"/>
      <c r="I780" s="2269"/>
      <c r="J780" s="2269"/>
      <c r="K780" s="2269"/>
      <c r="L780" s="2269"/>
      <c r="M780" s="2270"/>
      <c r="N780" s="2270"/>
      <c r="O780" s="2270"/>
      <c r="P780" s="2269"/>
      <c r="Q780" s="2269"/>
      <c r="R780" s="2269"/>
      <c r="S780" s="2269"/>
      <c r="T780" s="2269"/>
      <c r="U780" s="2269"/>
      <c r="V780" s="2269"/>
      <c r="W780" s="2269"/>
      <c r="X780" s="2269"/>
      <c r="Y780" s="2269"/>
      <c r="Z780" s="2269"/>
      <c r="AA780" s="2269"/>
    </row>
    <row r="781" spans="1:27" ht="13.5" customHeight="1" x14ac:dyDescent="0.3">
      <c r="A781" s="2269"/>
      <c r="B781" s="2269"/>
      <c r="C781" s="2272"/>
      <c r="D781" s="2358"/>
      <c r="E781" s="2358"/>
      <c r="F781" s="2358"/>
      <c r="G781" s="2283"/>
      <c r="H781" s="2268"/>
      <c r="I781" s="2269"/>
      <c r="J781" s="2269"/>
      <c r="K781" s="2269"/>
      <c r="L781" s="2269"/>
      <c r="M781" s="2270"/>
      <c r="N781" s="2270"/>
      <c r="O781" s="2270"/>
      <c r="P781" s="2269"/>
      <c r="Q781" s="2269"/>
      <c r="R781" s="2269"/>
      <c r="S781" s="2269"/>
      <c r="T781" s="2269"/>
      <c r="U781" s="2269"/>
      <c r="V781" s="2269"/>
      <c r="W781" s="2269"/>
      <c r="X781" s="2269"/>
      <c r="Y781" s="2269"/>
      <c r="Z781" s="2269"/>
      <c r="AA781" s="2269"/>
    </row>
    <row r="782" spans="1:27" ht="13.5" customHeight="1" x14ac:dyDescent="0.3">
      <c r="A782" s="2269"/>
      <c r="B782" s="2269"/>
      <c r="C782" s="2272"/>
      <c r="D782" s="2358"/>
      <c r="E782" s="2358"/>
      <c r="F782" s="2358"/>
      <c r="G782" s="2283"/>
      <c r="H782" s="2268"/>
      <c r="I782" s="2269"/>
      <c r="J782" s="2269"/>
      <c r="K782" s="2269"/>
      <c r="L782" s="2269"/>
      <c r="M782" s="2270"/>
      <c r="N782" s="2270"/>
      <c r="O782" s="2270"/>
      <c r="P782" s="2269"/>
      <c r="Q782" s="2269"/>
      <c r="R782" s="2269"/>
      <c r="S782" s="2269"/>
      <c r="T782" s="2269"/>
      <c r="U782" s="2269"/>
      <c r="V782" s="2269"/>
      <c r="W782" s="2269"/>
      <c r="X782" s="2269"/>
      <c r="Y782" s="2269"/>
      <c r="Z782" s="2269"/>
      <c r="AA782" s="2269"/>
    </row>
    <row r="783" spans="1:27" ht="13.5" customHeight="1" x14ac:dyDescent="0.3">
      <c r="A783" s="2269"/>
      <c r="B783" s="2269"/>
      <c r="C783" s="2272"/>
      <c r="D783" s="2358"/>
      <c r="E783" s="2358"/>
      <c r="F783" s="2358"/>
      <c r="G783" s="2283"/>
      <c r="H783" s="2268"/>
      <c r="I783" s="2269"/>
      <c r="J783" s="2269"/>
      <c r="K783" s="2269"/>
      <c r="L783" s="2269"/>
      <c r="M783" s="2270"/>
      <c r="N783" s="2270"/>
      <c r="O783" s="2270"/>
      <c r="P783" s="2269"/>
      <c r="Q783" s="2269"/>
      <c r="R783" s="2269"/>
      <c r="S783" s="2269"/>
      <c r="T783" s="2269"/>
      <c r="U783" s="2269"/>
      <c r="V783" s="2269"/>
      <c r="W783" s="2269"/>
      <c r="X783" s="2269"/>
      <c r="Y783" s="2269"/>
      <c r="Z783" s="2269"/>
      <c r="AA783" s="2269"/>
    </row>
    <row r="784" spans="1:27" ht="13.5" customHeight="1" x14ac:dyDescent="0.3">
      <c r="A784" s="2269"/>
      <c r="B784" s="2269"/>
      <c r="C784" s="2272"/>
      <c r="D784" s="2358"/>
      <c r="E784" s="2358"/>
      <c r="F784" s="2358"/>
      <c r="G784" s="2283"/>
      <c r="H784" s="2268"/>
      <c r="I784" s="2269"/>
      <c r="J784" s="2269"/>
      <c r="K784" s="2269"/>
      <c r="L784" s="2269"/>
      <c r="M784" s="2270"/>
      <c r="N784" s="2270"/>
      <c r="O784" s="2270"/>
      <c r="P784" s="2269"/>
      <c r="Q784" s="2269"/>
      <c r="R784" s="2269"/>
      <c r="S784" s="2269"/>
      <c r="T784" s="2269"/>
      <c r="U784" s="2269"/>
      <c r="V784" s="2269"/>
      <c r="W784" s="2269"/>
      <c r="X784" s="2269"/>
      <c r="Y784" s="2269"/>
      <c r="Z784" s="2269"/>
      <c r="AA784" s="2269"/>
    </row>
    <row r="785" spans="1:27" ht="13.5" customHeight="1" x14ac:dyDescent="0.3">
      <c r="A785" s="2269"/>
      <c r="B785" s="2269"/>
      <c r="C785" s="2272"/>
      <c r="D785" s="2358"/>
      <c r="E785" s="2358"/>
      <c r="F785" s="2358"/>
      <c r="G785" s="2283"/>
      <c r="H785" s="2268"/>
      <c r="I785" s="2269"/>
      <c r="J785" s="2269"/>
      <c r="K785" s="2269"/>
      <c r="L785" s="2269"/>
      <c r="M785" s="2270"/>
      <c r="N785" s="2270"/>
      <c r="O785" s="2270"/>
      <c r="P785" s="2269"/>
      <c r="Q785" s="2269"/>
      <c r="R785" s="2269"/>
      <c r="S785" s="2269"/>
      <c r="T785" s="2269"/>
      <c r="U785" s="2269"/>
      <c r="V785" s="2269"/>
      <c r="W785" s="2269"/>
      <c r="X785" s="2269"/>
      <c r="Y785" s="2269"/>
      <c r="Z785" s="2269"/>
      <c r="AA785" s="2269"/>
    </row>
    <row r="786" spans="1:27" ht="13.5" customHeight="1" x14ac:dyDescent="0.3">
      <c r="A786" s="2269"/>
      <c r="B786" s="2269"/>
      <c r="C786" s="2272"/>
      <c r="D786" s="2358"/>
      <c r="E786" s="2358"/>
      <c r="F786" s="2358"/>
      <c r="G786" s="2283"/>
      <c r="H786" s="2268"/>
      <c r="I786" s="2269"/>
      <c r="J786" s="2269"/>
      <c r="K786" s="2269"/>
      <c r="L786" s="2269"/>
      <c r="M786" s="2270"/>
      <c r="N786" s="2270"/>
      <c r="O786" s="2270"/>
      <c r="P786" s="2269"/>
      <c r="Q786" s="2269"/>
      <c r="R786" s="2269"/>
      <c r="S786" s="2269"/>
      <c r="T786" s="2269"/>
      <c r="U786" s="2269"/>
      <c r="V786" s="2269"/>
      <c r="W786" s="2269"/>
      <c r="X786" s="2269"/>
      <c r="Y786" s="2269"/>
      <c r="Z786" s="2269"/>
      <c r="AA786" s="2269"/>
    </row>
    <row r="787" spans="1:27" ht="13.5" customHeight="1" x14ac:dyDescent="0.3">
      <c r="A787" s="2269"/>
      <c r="B787" s="2269"/>
      <c r="C787" s="2272"/>
      <c r="D787" s="2358"/>
      <c r="E787" s="2358"/>
      <c r="F787" s="2358"/>
      <c r="G787" s="2283"/>
      <c r="H787" s="2268"/>
      <c r="I787" s="2269"/>
      <c r="J787" s="2269"/>
      <c r="K787" s="2269"/>
      <c r="L787" s="2269"/>
      <c r="M787" s="2270"/>
      <c r="N787" s="2270"/>
      <c r="O787" s="2270"/>
      <c r="P787" s="2269"/>
      <c r="Q787" s="2269"/>
      <c r="R787" s="2269"/>
      <c r="S787" s="2269"/>
      <c r="T787" s="2269"/>
      <c r="U787" s="2269"/>
      <c r="V787" s="2269"/>
      <c r="W787" s="2269"/>
      <c r="X787" s="2269"/>
      <c r="Y787" s="2269"/>
      <c r="Z787" s="2269"/>
      <c r="AA787" s="2269"/>
    </row>
    <row r="788" spans="1:27" ht="13.5" customHeight="1" x14ac:dyDescent="0.3">
      <c r="A788" s="2269"/>
      <c r="B788" s="2269"/>
      <c r="C788" s="2272"/>
      <c r="D788" s="2358"/>
      <c r="E788" s="2358"/>
      <c r="F788" s="2358"/>
      <c r="G788" s="2283"/>
      <c r="H788" s="2268"/>
      <c r="I788" s="2269"/>
      <c r="J788" s="2269"/>
      <c r="K788" s="2269"/>
      <c r="L788" s="2269"/>
      <c r="M788" s="2270"/>
      <c r="N788" s="2270"/>
      <c r="O788" s="2270"/>
      <c r="P788" s="2269"/>
      <c r="Q788" s="2269"/>
      <c r="R788" s="2269"/>
      <c r="S788" s="2269"/>
      <c r="T788" s="2269"/>
      <c r="U788" s="2269"/>
      <c r="V788" s="2269"/>
      <c r="W788" s="2269"/>
      <c r="X788" s="2269"/>
      <c r="Y788" s="2269"/>
      <c r="Z788" s="2269"/>
      <c r="AA788" s="2269"/>
    </row>
    <row r="789" spans="1:27" ht="13.5" customHeight="1" x14ac:dyDescent="0.3">
      <c r="A789" s="2269"/>
      <c r="B789" s="2269"/>
      <c r="C789" s="2272"/>
      <c r="D789" s="2358"/>
      <c r="E789" s="2358"/>
      <c r="F789" s="2358"/>
      <c r="G789" s="2283"/>
      <c r="H789" s="2268"/>
      <c r="I789" s="2269"/>
      <c r="J789" s="2269"/>
      <c r="K789" s="2269"/>
      <c r="L789" s="2269"/>
      <c r="M789" s="2270"/>
      <c r="N789" s="2270"/>
      <c r="O789" s="2270"/>
      <c r="P789" s="2269"/>
      <c r="Q789" s="2269"/>
      <c r="R789" s="2269"/>
      <c r="S789" s="2269"/>
      <c r="T789" s="2269"/>
      <c r="U789" s="2269"/>
      <c r="V789" s="2269"/>
      <c r="W789" s="2269"/>
      <c r="X789" s="2269"/>
      <c r="Y789" s="2269"/>
      <c r="Z789" s="2269"/>
      <c r="AA789" s="2269"/>
    </row>
    <row r="790" spans="1:27" ht="13.5" customHeight="1" x14ac:dyDescent="0.3">
      <c r="A790" s="2269"/>
      <c r="B790" s="2269"/>
      <c r="C790" s="2272"/>
      <c r="D790" s="2358"/>
      <c r="E790" s="2358"/>
      <c r="F790" s="2358"/>
      <c r="G790" s="2283"/>
      <c r="H790" s="2268"/>
      <c r="I790" s="2269"/>
      <c r="J790" s="2269"/>
      <c r="K790" s="2269"/>
      <c r="L790" s="2269"/>
      <c r="M790" s="2270"/>
      <c r="N790" s="2270"/>
      <c r="O790" s="2270"/>
      <c r="P790" s="2269"/>
      <c r="Q790" s="2269"/>
      <c r="R790" s="2269"/>
      <c r="S790" s="2269"/>
      <c r="T790" s="2269"/>
      <c r="U790" s="2269"/>
      <c r="V790" s="2269"/>
      <c r="W790" s="2269"/>
      <c r="X790" s="2269"/>
      <c r="Y790" s="2269"/>
      <c r="Z790" s="2269"/>
      <c r="AA790" s="2269"/>
    </row>
    <row r="791" spans="1:27" ht="13.5" customHeight="1" x14ac:dyDescent="0.3">
      <c r="A791" s="2269"/>
      <c r="B791" s="2269"/>
      <c r="C791" s="2272"/>
      <c r="D791" s="2358"/>
      <c r="E791" s="2358"/>
      <c r="F791" s="2358"/>
      <c r="G791" s="2283"/>
      <c r="H791" s="2268"/>
      <c r="I791" s="2269"/>
      <c r="J791" s="2269"/>
      <c r="K791" s="2269"/>
      <c r="L791" s="2269"/>
      <c r="M791" s="2270"/>
      <c r="N791" s="2270"/>
      <c r="O791" s="2270"/>
      <c r="P791" s="2269"/>
      <c r="Q791" s="2269"/>
      <c r="R791" s="2269"/>
      <c r="S791" s="2269"/>
      <c r="T791" s="2269"/>
      <c r="U791" s="2269"/>
      <c r="V791" s="2269"/>
      <c r="W791" s="2269"/>
      <c r="X791" s="2269"/>
      <c r="Y791" s="2269"/>
      <c r="Z791" s="2269"/>
      <c r="AA791" s="2269"/>
    </row>
    <row r="792" spans="1:27" ht="13.5" customHeight="1" x14ac:dyDescent="0.3">
      <c r="A792" s="2269"/>
      <c r="B792" s="2269"/>
      <c r="C792" s="2272"/>
      <c r="D792" s="2358"/>
      <c r="E792" s="2358"/>
      <c r="F792" s="2358"/>
      <c r="G792" s="2283"/>
      <c r="H792" s="2268"/>
      <c r="I792" s="2269"/>
      <c r="J792" s="2269"/>
      <c r="K792" s="2269"/>
      <c r="L792" s="2269"/>
      <c r="M792" s="2270"/>
      <c r="N792" s="2270"/>
      <c r="O792" s="2270"/>
      <c r="P792" s="2269"/>
      <c r="Q792" s="2269"/>
      <c r="R792" s="2269"/>
      <c r="S792" s="2269"/>
      <c r="T792" s="2269"/>
      <c r="U792" s="2269"/>
      <c r="V792" s="2269"/>
      <c r="W792" s="2269"/>
      <c r="X792" s="2269"/>
      <c r="Y792" s="2269"/>
      <c r="Z792" s="2269"/>
      <c r="AA792" s="2269"/>
    </row>
    <row r="793" spans="1:27" ht="13.5" customHeight="1" x14ac:dyDescent="0.3">
      <c r="A793" s="2269"/>
      <c r="B793" s="2269"/>
      <c r="C793" s="2272"/>
      <c r="D793" s="2358"/>
      <c r="E793" s="2358"/>
      <c r="F793" s="2358"/>
      <c r="G793" s="2283"/>
      <c r="H793" s="2268"/>
      <c r="I793" s="2269"/>
      <c r="J793" s="2269"/>
      <c r="K793" s="2269"/>
      <c r="L793" s="2269"/>
      <c r="M793" s="2270"/>
      <c r="N793" s="2270"/>
      <c r="O793" s="2270"/>
      <c r="P793" s="2269"/>
      <c r="Q793" s="2269"/>
      <c r="R793" s="2269"/>
      <c r="S793" s="2269"/>
      <c r="T793" s="2269"/>
      <c r="U793" s="2269"/>
      <c r="V793" s="2269"/>
      <c r="W793" s="2269"/>
      <c r="X793" s="2269"/>
      <c r="Y793" s="2269"/>
      <c r="Z793" s="2269"/>
      <c r="AA793" s="2269"/>
    </row>
    <row r="794" spans="1:27" ht="13.5" customHeight="1" x14ac:dyDescent="0.3">
      <c r="A794" s="2269"/>
      <c r="B794" s="2269"/>
      <c r="C794" s="2272"/>
      <c r="D794" s="2358"/>
      <c r="E794" s="2358"/>
      <c r="F794" s="2358"/>
      <c r="G794" s="2283"/>
      <c r="H794" s="2268"/>
      <c r="I794" s="2269"/>
      <c r="J794" s="2269"/>
      <c r="K794" s="2269"/>
      <c r="L794" s="2269"/>
      <c r="M794" s="2270"/>
      <c r="N794" s="2270"/>
      <c r="O794" s="2270"/>
      <c r="P794" s="2269"/>
      <c r="Q794" s="2269"/>
      <c r="R794" s="2269"/>
      <c r="S794" s="2269"/>
      <c r="T794" s="2269"/>
      <c r="U794" s="2269"/>
      <c r="V794" s="2269"/>
      <c r="W794" s="2269"/>
      <c r="X794" s="2269"/>
      <c r="Y794" s="2269"/>
      <c r="Z794" s="2269"/>
      <c r="AA794" s="2269"/>
    </row>
    <row r="795" spans="1:27" ht="13.5" customHeight="1" x14ac:dyDescent="0.3">
      <c r="A795" s="2269"/>
      <c r="B795" s="2269"/>
      <c r="C795" s="2272"/>
      <c r="D795" s="2358"/>
      <c r="E795" s="2358"/>
      <c r="F795" s="2358"/>
      <c r="G795" s="2283"/>
      <c r="H795" s="2268"/>
      <c r="I795" s="2269"/>
      <c r="J795" s="2269"/>
      <c r="K795" s="2269"/>
      <c r="L795" s="2269"/>
      <c r="M795" s="2270"/>
      <c r="N795" s="2270"/>
      <c r="O795" s="2270"/>
      <c r="P795" s="2269"/>
      <c r="Q795" s="2269"/>
      <c r="R795" s="2269"/>
      <c r="S795" s="2269"/>
      <c r="T795" s="2269"/>
      <c r="U795" s="2269"/>
      <c r="V795" s="2269"/>
      <c r="W795" s="2269"/>
      <c r="X795" s="2269"/>
      <c r="Y795" s="2269"/>
      <c r="Z795" s="2269"/>
      <c r="AA795" s="2269"/>
    </row>
    <row r="796" spans="1:27" ht="13.5" customHeight="1" x14ac:dyDescent="0.3">
      <c r="A796" s="2269"/>
      <c r="B796" s="2269"/>
      <c r="C796" s="2272"/>
      <c r="D796" s="2358"/>
      <c r="E796" s="2358"/>
      <c r="F796" s="2358"/>
      <c r="G796" s="2283"/>
      <c r="H796" s="2268"/>
      <c r="I796" s="2269"/>
      <c r="J796" s="2269"/>
      <c r="K796" s="2269"/>
      <c r="L796" s="2269"/>
      <c r="M796" s="2270"/>
      <c r="N796" s="2270"/>
      <c r="O796" s="2270"/>
      <c r="P796" s="2269"/>
      <c r="Q796" s="2269"/>
      <c r="R796" s="2269"/>
      <c r="S796" s="2269"/>
      <c r="T796" s="2269"/>
      <c r="U796" s="2269"/>
      <c r="V796" s="2269"/>
      <c r="W796" s="2269"/>
      <c r="X796" s="2269"/>
      <c r="Y796" s="2269"/>
      <c r="Z796" s="2269"/>
      <c r="AA796" s="2269"/>
    </row>
    <row r="797" spans="1:27" ht="13.5" customHeight="1" x14ac:dyDescent="0.3">
      <c r="A797" s="2269"/>
      <c r="B797" s="2269"/>
      <c r="C797" s="2272"/>
      <c r="D797" s="2358"/>
      <c r="E797" s="2358"/>
      <c r="F797" s="2358"/>
      <c r="G797" s="2283"/>
      <c r="H797" s="2268"/>
      <c r="I797" s="2269"/>
      <c r="J797" s="2269"/>
      <c r="K797" s="2269"/>
      <c r="L797" s="2269"/>
      <c r="M797" s="2270"/>
      <c r="N797" s="2270"/>
      <c r="O797" s="2270"/>
      <c r="P797" s="2269"/>
      <c r="Q797" s="2269"/>
      <c r="R797" s="2269"/>
      <c r="S797" s="2269"/>
      <c r="T797" s="2269"/>
      <c r="U797" s="2269"/>
      <c r="V797" s="2269"/>
      <c r="W797" s="2269"/>
      <c r="X797" s="2269"/>
      <c r="Y797" s="2269"/>
      <c r="Z797" s="2269"/>
      <c r="AA797" s="2269"/>
    </row>
    <row r="798" spans="1:27" ht="13.5" customHeight="1" x14ac:dyDescent="0.3">
      <c r="A798" s="2269"/>
      <c r="B798" s="2269"/>
      <c r="C798" s="2272"/>
      <c r="D798" s="2358"/>
      <c r="E798" s="2358"/>
      <c r="F798" s="2358"/>
      <c r="G798" s="2283"/>
      <c r="H798" s="2268"/>
      <c r="I798" s="2269"/>
      <c r="J798" s="2269"/>
      <c r="K798" s="2269"/>
      <c r="L798" s="2269"/>
      <c r="M798" s="2270"/>
      <c r="N798" s="2270"/>
      <c r="O798" s="2270"/>
      <c r="P798" s="2269"/>
      <c r="Q798" s="2269"/>
      <c r="R798" s="2269"/>
      <c r="S798" s="2269"/>
      <c r="T798" s="2269"/>
      <c r="U798" s="2269"/>
      <c r="V798" s="2269"/>
      <c r="W798" s="2269"/>
      <c r="X798" s="2269"/>
      <c r="Y798" s="2269"/>
      <c r="Z798" s="2269"/>
      <c r="AA798" s="2269"/>
    </row>
    <row r="799" spans="1:27" ht="13.5" customHeight="1" x14ac:dyDescent="0.3">
      <c r="A799" s="2269"/>
      <c r="B799" s="2269"/>
      <c r="C799" s="2272"/>
      <c r="D799" s="2358"/>
      <c r="E799" s="2358"/>
      <c r="F799" s="2358"/>
      <c r="G799" s="2283"/>
      <c r="H799" s="2268"/>
      <c r="I799" s="2269"/>
      <c r="J799" s="2269"/>
      <c r="K799" s="2269"/>
      <c r="L799" s="2269"/>
      <c r="M799" s="2270"/>
      <c r="N799" s="2270"/>
      <c r="O799" s="2270"/>
      <c r="P799" s="2269"/>
      <c r="Q799" s="2269"/>
      <c r="R799" s="2269"/>
      <c r="S799" s="2269"/>
      <c r="T799" s="2269"/>
      <c r="U799" s="2269"/>
      <c r="V799" s="2269"/>
      <c r="W799" s="2269"/>
      <c r="X799" s="2269"/>
      <c r="Y799" s="2269"/>
      <c r="Z799" s="2269"/>
      <c r="AA799" s="2269"/>
    </row>
    <row r="800" spans="1:27" ht="13.5" customHeight="1" x14ac:dyDescent="0.3">
      <c r="A800" s="2269"/>
      <c r="B800" s="2269"/>
      <c r="C800" s="2272"/>
      <c r="D800" s="2358"/>
      <c r="E800" s="2358"/>
      <c r="F800" s="2358"/>
      <c r="G800" s="2283"/>
      <c r="H800" s="2268"/>
      <c r="I800" s="2269"/>
      <c r="J800" s="2269"/>
      <c r="K800" s="2269"/>
      <c r="L800" s="2269"/>
      <c r="M800" s="2270"/>
      <c r="N800" s="2270"/>
      <c r="O800" s="2270"/>
      <c r="P800" s="2269"/>
      <c r="Q800" s="2269"/>
      <c r="R800" s="2269"/>
      <c r="S800" s="2269"/>
      <c r="T800" s="2269"/>
      <c r="U800" s="2269"/>
      <c r="V800" s="2269"/>
      <c r="W800" s="2269"/>
      <c r="X800" s="2269"/>
      <c r="Y800" s="2269"/>
      <c r="Z800" s="2269"/>
      <c r="AA800" s="2269"/>
    </row>
    <row r="801" spans="1:27" ht="13.5" customHeight="1" x14ac:dyDescent="0.3">
      <c r="A801" s="2269"/>
      <c r="B801" s="2269"/>
      <c r="C801" s="2272"/>
      <c r="D801" s="2358"/>
      <c r="E801" s="2358"/>
      <c r="F801" s="2358"/>
      <c r="G801" s="2283"/>
      <c r="H801" s="2268"/>
      <c r="I801" s="2269"/>
      <c r="J801" s="2269"/>
      <c r="K801" s="2269"/>
      <c r="L801" s="2269"/>
      <c r="M801" s="2270"/>
      <c r="N801" s="2270"/>
      <c r="O801" s="2270"/>
      <c r="P801" s="2269"/>
      <c r="Q801" s="2269"/>
      <c r="R801" s="2269"/>
      <c r="S801" s="2269"/>
      <c r="T801" s="2269"/>
      <c r="U801" s="2269"/>
      <c r="V801" s="2269"/>
      <c r="W801" s="2269"/>
      <c r="X801" s="2269"/>
      <c r="Y801" s="2269"/>
      <c r="Z801" s="2269"/>
      <c r="AA801" s="2269"/>
    </row>
    <row r="802" spans="1:27" ht="13.5" customHeight="1" x14ac:dyDescent="0.3">
      <c r="A802" s="2269"/>
      <c r="B802" s="2269"/>
      <c r="C802" s="2272"/>
      <c r="D802" s="2358"/>
      <c r="E802" s="2358"/>
      <c r="F802" s="2358"/>
      <c r="G802" s="2283"/>
      <c r="H802" s="2268"/>
      <c r="I802" s="2269"/>
      <c r="J802" s="2269"/>
      <c r="K802" s="2269"/>
      <c r="L802" s="2269"/>
      <c r="M802" s="2270"/>
      <c r="N802" s="2270"/>
      <c r="O802" s="2270"/>
      <c r="P802" s="2269"/>
      <c r="Q802" s="2269"/>
      <c r="R802" s="2269"/>
      <c r="S802" s="2269"/>
      <c r="T802" s="2269"/>
      <c r="U802" s="2269"/>
      <c r="V802" s="2269"/>
      <c r="W802" s="2269"/>
      <c r="X802" s="2269"/>
      <c r="Y802" s="2269"/>
      <c r="Z802" s="2269"/>
      <c r="AA802" s="2269"/>
    </row>
    <row r="803" spans="1:27" ht="13.5" customHeight="1" x14ac:dyDescent="0.3">
      <c r="A803" s="2269"/>
      <c r="B803" s="2269"/>
      <c r="C803" s="2272"/>
      <c r="D803" s="2358"/>
      <c r="E803" s="2358"/>
      <c r="F803" s="2358"/>
      <c r="G803" s="2283"/>
      <c r="H803" s="2268"/>
      <c r="I803" s="2269"/>
      <c r="J803" s="2269"/>
      <c r="K803" s="2269"/>
      <c r="L803" s="2269"/>
      <c r="M803" s="2270"/>
      <c r="N803" s="2270"/>
      <c r="O803" s="2270"/>
      <c r="P803" s="2269"/>
      <c r="Q803" s="2269"/>
      <c r="R803" s="2269"/>
      <c r="S803" s="2269"/>
      <c r="T803" s="2269"/>
      <c r="U803" s="2269"/>
      <c r="V803" s="2269"/>
      <c r="W803" s="2269"/>
      <c r="X803" s="2269"/>
      <c r="Y803" s="2269"/>
      <c r="Z803" s="2269"/>
      <c r="AA803" s="2269"/>
    </row>
    <row r="804" spans="1:27" ht="13.5" customHeight="1" x14ac:dyDescent="0.3">
      <c r="A804" s="2269"/>
      <c r="B804" s="2269"/>
      <c r="C804" s="2272"/>
      <c r="D804" s="2358"/>
      <c r="E804" s="2358"/>
      <c r="F804" s="2358"/>
      <c r="G804" s="2283"/>
      <c r="H804" s="2268"/>
      <c r="I804" s="2269"/>
      <c r="J804" s="2269"/>
      <c r="K804" s="2269"/>
      <c r="L804" s="2269"/>
      <c r="M804" s="2270"/>
      <c r="N804" s="2270"/>
      <c r="O804" s="2270"/>
      <c r="P804" s="2269"/>
      <c r="Q804" s="2269"/>
      <c r="R804" s="2269"/>
      <c r="S804" s="2269"/>
      <c r="T804" s="2269"/>
      <c r="U804" s="2269"/>
      <c r="V804" s="2269"/>
      <c r="W804" s="2269"/>
      <c r="X804" s="2269"/>
      <c r="Y804" s="2269"/>
      <c r="Z804" s="2269"/>
      <c r="AA804" s="2269"/>
    </row>
    <row r="805" spans="1:27" ht="13.5" customHeight="1" x14ac:dyDescent="0.3">
      <c r="A805" s="2269"/>
      <c r="B805" s="2269"/>
      <c r="C805" s="2272"/>
      <c r="D805" s="2358"/>
      <c r="E805" s="2358"/>
      <c r="F805" s="2358"/>
      <c r="G805" s="2283"/>
      <c r="H805" s="2268"/>
      <c r="I805" s="2269"/>
      <c r="J805" s="2269"/>
      <c r="K805" s="2269"/>
      <c r="L805" s="2269"/>
      <c r="M805" s="2270"/>
      <c r="N805" s="2270"/>
      <c r="O805" s="2270"/>
      <c r="P805" s="2269"/>
      <c r="Q805" s="2269"/>
      <c r="R805" s="2269"/>
      <c r="S805" s="2269"/>
      <c r="T805" s="2269"/>
      <c r="U805" s="2269"/>
      <c r="V805" s="2269"/>
      <c r="W805" s="2269"/>
      <c r="X805" s="2269"/>
      <c r="Y805" s="2269"/>
      <c r="Z805" s="2269"/>
      <c r="AA805" s="2269"/>
    </row>
    <row r="806" spans="1:27" ht="13.5" customHeight="1" x14ac:dyDescent="0.3">
      <c r="A806" s="2269"/>
      <c r="B806" s="2269"/>
      <c r="C806" s="2272"/>
      <c r="D806" s="2358"/>
      <c r="E806" s="2358"/>
      <c r="F806" s="2358"/>
      <c r="G806" s="2283"/>
      <c r="H806" s="2268"/>
      <c r="I806" s="2269"/>
      <c r="J806" s="2269"/>
      <c r="K806" s="2269"/>
      <c r="L806" s="2269"/>
      <c r="M806" s="2270"/>
      <c r="N806" s="2270"/>
      <c r="O806" s="2270"/>
      <c r="P806" s="2269"/>
      <c r="Q806" s="2269"/>
      <c r="R806" s="2269"/>
      <c r="S806" s="2269"/>
      <c r="T806" s="2269"/>
      <c r="U806" s="2269"/>
      <c r="V806" s="2269"/>
      <c r="W806" s="2269"/>
      <c r="X806" s="2269"/>
      <c r="Y806" s="2269"/>
      <c r="Z806" s="2269"/>
      <c r="AA806" s="2269"/>
    </row>
    <row r="807" spans="1:27" ht="13.5" customHeight="1" x14ac:dyDescent="0.3">
      <c r="A807" s="2269"/>
      <c r="B807" s="2269"/>
      <c r="C807" s="2272"/>
      <c r="D807" s="2358"/>
      <c r="E807" s="2358"/>
      <c r="F807" s="2358"/>
      <c r="G807" s="2283"/>
      <c r="H807" s="2268"/>
      <c r="I807" s="2269"/>
      <c r="J807" s="2269"/>
      <c r="K807" s="2269"/>
      <c r="L807" s="2269"/>
      <c r="M807" s="2270"/>
      <c r="N807" s="2270"/>
      <c r="O807" s="2270"/>
      <c r="P807" s="2269"/>
      <c r="Q807" s="2269"/>
      <c r="R807" s="2269"/>
      <c r="S807" s="2269"/>
      <c r="T807" s="2269"/>
      <c r="U807" s="2269"/>
      <c r="V807" s="2269"/>
      <c r="W807" s="2269"/>
      <c r="X807" s="2269"/>
      <c r="Y807" s="2269"/>
      <c r="Z807" s="2269"/>
      <c r="AA807" s="2269"/>
    </row>
    <row r="808" spans="1:27" ht="13.5" customHeight="1" x14ac:dyDescent="0.3">
      <c r="A808" s="2269"/>
      <c r="B808" s="2269"/>
      <c r="C808" s="2272"/>
      <c r="D808" s="2358"/>
      <c r="E808" s="2358"/>
      <c r="F808" s="2358"/>
      <c r="G808" s="2283"/>
      <c r="H808" s="2268"/>
      <c r="I808" s="2269"/>
      <c r="J808" s="2269"/>
      <c r="K808" s="2269"/>
      <c r="L808" s="2269"/>
      <c r="M808" s="2270"/>
      <c r="N808" s="2270"/>
      <c r="O808" s="2270"/>
      <c r="P808" s="2269"/>
      <c r="Q808" s="2269"/>
      <c r="R808" s="2269"/>
      <c r="S808" s="2269"/>
      <c r="T808" s="2269"/>
      <c r="U808" s="2269"/>
      <c r="V808" s="2269"/>
      <c r="W808" s="2269"/>
      <c r="X808" s="2269"/>
      <c r="Y808" s="2269"/>
      <c r="Z808" s="2269"/>
      <c r="AA808" s="2269"/>
    </row>
    <row r="809" spans="1:27" ht="13.5" customHeight="1" x14ac:dyDescent="0.3">
      <c r="A809" s="2269"/>
      <c r="B809" s="2269"/>
      <c r="C809" s="2272"/>
      <c r="D809" s="2358"/>
      <c r="E809" s="2358"/>
      <c r="F809" s="2358"/>
      <c r="G809" s="2283"/>
      <c r="H809" s="2268"/>
      <c r="I809" s="2269"/>
      <c r="J809" s="2269"/>
      <c r="K809" s="2269"/>
      <c r="L809" s="2269"/>
      <c r="M809" s="2270"/>
      <c r="N809" s="2270"/>
      <c r="O809" s="2270"/>
      <c r="P809" s="2269"/>
      <c r="Q809" s="2269"/>
      <c r="R809" s="2269"/>
      <c r="S809" s="2269"/>
      <c r="T809" s="2269"/>
      <c r="U809" s="2269"/>
      <c r="V809" s="2269"/>
      <c r="W809" s="2269"/>
      <c r="X809" s="2269"/>
      <c r="Y809" s="2269"/>
      <c r="Z809" s="2269"/>
      <c r="AA809" s="2269"/>
    </row>
    <row r="810" spans="1:27" ht="13.5" customHeight="1" x14ac:dyDescent="0.3">
      <c r="A810" s="2269"/>
      <c r="B810" s="2269"/>
      <c r="C810" s="2272"/>
      <c r="D810" s="2358"/>
      <c r="E810" s="2358"/>
      <c r="F810" s="2358"/>
      <c r="G810" s="2283"/>
      <c r="H810" s="2268"/>
      <c r="I810" s="2269"/>
      <c r="J810" s="2269"/>
      <c r="K810" s="2269"/>
      <c r="L810" s="2269"/>
      <c r="M810" s="2270"/>
      <c r="N810" s="2270"/>
      <c r="O810" s="2270"/>
      <c r="P810" s="2269"/>
      <c r="Q810" s="2269"/>
      <c r="R810" s="2269"/>
      <c r="S810" s="2269"/>
      <c r="T810" s="2269"/>
      <c r="U810" s="2269"/>
      <c r="V810" s="2269"/>
      <c r="W810" s="2269"/>
      <c r="X810" s="2269"/>
      <c r="Y810" s="2269"/>
      <c r="Z810" s="2269"/>
      <c r="AA810" s="2269"/>
    </row>
    <row r="811" spans="1:27" ht="13.5" customHeight="1" x14ac:dyDescent="0.3">
      <c r="A811" s="2269"/>
      <c r="B811" s="2269"/>
      <c r="C811" s="2272"/>
      <c r="D811" s="2358"/>
      <c r="E811" s="2358"/>
      <c r="F811" s="2358"/>
      <c r="G811" s="2283"/>
      <c r="H811" s="2268"/>
      <c r="I811" s="2269"/>
      <c r="J811" s="2269"/>
      <c r="K811" s="2269"/>
      <c r="L811" s="2269"/>
      <c r="M811" s="2270"/>
      <c r="N811" s="2270"/>
      <c r="O811" s="2270"/>
      <c r="P811" s="2269"/>
      <c r="Q811" s="2269"/>
      <c r="R811" s="2269"/>
      <c r="S811" s="2269"/>
      <c r="T811" s="2269"/>
      <c r="U811" s="2269"/>
      <c r="V811" s="2269"/>
      <c r="W811" s="2269"/>
      <c r="X811" s="2269"/>
      <c r="Y811" s="2269"/>
      <c r="Z811" s="2269"/>
      <c r="AA811" s="2269"/>
    </row>
    <row r="812" spans="1:27" ht="13.5" customHeight="1" x14ac:dyDescent="0.3">
      <c r="A812" s="2269"/>
      <c r="B812" s="2269"/>
      <c r="C812" s="2272"/>
      <c r="D812" s="2358"/>
      <c r="E812" s="2358"/>
      <c r="F812" s="2358"/>
      <c r="G812" s="2283"/>
      <c r="H812" s="2268"/>
      <c r="I812" s="2269"/>
      <c r="J812" s="2269"/>
      <c r="K812" s="2269"/>
      <c r="L812" s="2269"/>
      <c r="M812" s="2270"/>
      <c r="N812" s="2270"/>
      <c r="O812" s="2270"/>
      <c r="P812" s="2269"/>
      <c r="Q812" s="2269"/>
      <c r="R812" s="2269"/>
      <c r="S812" s="2269"/>
      <c r="T812" s="2269"/>
      <c r="U812" s="2269"/>
      <c r="V812" s="2269"/>
      <c r="W812" s="2269"/>
      <c r="X812" s="2269"/>
      <c r="Y812" s="2269"/>
      <c r="Z812" s="2269"/>
      <c r="AA812" s="2269"/>
    </row>
    <row r="813" spans="1:27" ht="13.5" customHeight="1" x14ac:dyDescent="0.3">
      <c r="A813" s="2269"/>
      <c r="B813" s="2269"/>
      <c r="C813" s="2272"/>
      <c r="D813" s="2358"/>
      <c r="E813" s="2358"/>
      <c r="F813" s="2358"/>
      <c r="G813" s="2283"/>
      <c r="H813" s="2268"/>
      <c r="I813" s="2269"/>
      <c r="J813" s="2269"/>
      <c r="K813" s="2269"/>
      <c r="L813" s="2269"/>
      <c r="M813" s="2270"/>
      <c r="N813" s="2270"/>
      <c r="O813" s="2270"/>
      <c r="P813" s="2269"/>
      <c r="Q813" s="2269"/>
      <c r="R813" s="2269"/>
      <c r="S813" s="2269"/>
      <c r="T813" s="2269"/>
      <c r="U813" s="2269"/>
      <c r="V813" s="2269"/>
      <c r="W813" s="2269"/>
      <c r="X813" s="2269"/>
      <c r="Y813" s="2269"/>
      <c r="Z813" s="2269"/>
      <c r="AA813" s="2269"/>
    </row>
    <row r="814" spans="1:27" ht="13.5" customHeight="1" x14ac:dyDescent="0.3">
      <c r="A814" s="2269"/>
      <c r="B814" s="2269"/>
      <c r="C814" s="2272"/>
      <c r="D814" s="2358"/>
      <c r="E814" s="2358"/>
      <c r="F814" s="2358"/>
      <c r="G814" s="2283"/>
      <c r="H814" s="2268"/>
      <c r="I814" s="2269"/>
      <c r="J814" s="2269"/>
      <c r="K814" s="2269"/>
      <c r="L814" s="2269"/>
      <c r="M814" s="2270"/>
      <c r="N814" s="2270"/>
      <c r="O814" s="2270"/>
      <c r="P814" s="2269"/>
      <c r="Q814" s="2269"/>
      <c r="R814" s="2269"/>
      <c r="S814" s="2269"/>
      <c r="T814" s="2269"/>
      <c r="U814" s="2269"/>
      <c r="V814" s="2269"/>
      <c r="W814" s="2269"/>
      <c r="X814" s="2269"/>
      <c r="Y814" s="2269"/>
      <c r="Z814" s="2269"/>
      <c r="AA814" s="2269"/>
    </row>
    <row r="815" spans="1:27" ht="13.5" customHeight="1" x14ac:dyDescent="0.3">
      <c r="A815" s="2269"/>
      <c r="B815" s="2269"/>
      <c r="C815" s="2272"/>
      <c r="D815" s="2358"/>
      <c r="E815" s="2358"/>
      <c r="F815" s="2358"/>
      <c r="G815" s="2283"/>
      <c r="H815" s="2268"/>
      <c r="I815" s="2269"/>
      <c r="J815" s="2269"/>
      <c r="K815" s="2269"/>
      <c r="L815" s="2269"/>
      <c r="M815" s="2270"/>
      <c r="N815" s="2270"/>
      <c r="O815" s="2270"/>
      <c r="P815" s="2269"/>
      <c r="Q815" s="2269"/>
      <c r="R815" s="2269"/>
      <c r="S815" s="2269"/>
      <c r="T815" s="2269"/>
      <c r="U815" s="2269"/>
      <c r="V815" s="2269"/>
      <c r="W815" s="2269"/>
      <c r="X815" s="2269"/>
      <c r="Y815" s="2269"/>
      <c r="Z815" s="2269"/>
      <c r="AA815" s="2269"/>
    </row>
    <row r="816" spans="1:27" ht="13.5" customHeight="1" x14ac:dyDescent="0.3">
      <c r="A816" s="2269"/>
      <c r="B816" s="2269"/>
      <c r="C816" s="2272"/>
      <c r="D816" s="2358"/>
      <c r="E816" s="2358"/>
      <c r="F816" s="2358"/>
      <c r="G816" s="2283"/>
      <c r="H816" s="2268"/>
      <c r="I816" s="2269"/>
      <c r="J816" s="2269"/>
      <c r="K816" s="2269"/>
      <c r="L816" s="2269"/>
      <c r="M816" s="2270"/>
      <c r="N816" s="2270"/>
      <c r="O816" s="2270"/>
      <c r="P816" s="2269"/>
      <c r="Q816" s="2269"/>
      <c r="R816" s="2269"/>
      <c r="S816" s="2269"/>
      <c r="T816" s="2269"/>
      <c r="U816" s="2269"/>
      <c r="V816" s="2269"/>
      <c r="W816" s="2269"/>
      <c r="X816" s="2269"/>
      <c r="Y816" s="2269"/>
      <c r="Z816" s="2269"/>
      <c r="AA816" s="2269"/>
    </row>
    <row r="817" spans="1:27" ht="13.5" customHeight="1" x14ac:dyDescent="0.3">
      <c r="A817" s="2269"/>
      <c r="B817" s="2269"/>
      <c r="C817" s="2272"/>
      <c r="D817" s="2358"/>
      <c r="E817" s="2358"/>
      <c r="F817" s="2358"/>
      <c r="G817" s="2283"/>
      <c r="H817" s="2268"/>
      <c r="I817" s="2269"/>
      <c r="J817" s="2269"/>
      <c r="K817" s="2269"/>
      <c r="L817" s="2269"/>
      <c r="M817" s="2270"/>
      <c r="N817" s="2270"/>
      <c r="O817" s="2270"/>
      <c r="P817" s="2269"/>
      <c r="Q817" s="2269"/>
      <c r="R817" s="2269"/>
      <c r="S817" s="2269"/>
      <c r="T817" s="2269"/>
      <c r="U817" s="2269"/>
      <c r="V817" s="2269"/>
      <c r="W817" s="2269"/>
      <c r="X817" s="2269"/>
      <c r="Y817" s="2269"/>
      <c r="Z817" s="2269"/>
      <c r="AA817" s="2269"/>
    </row>
    <row r="818" spans="1:27" ht="13.5" customHeight="1" x14ac:dyDescent="0.3">
      <c r="A818" s="2269"/>
      <c r="B818" s="2269"/>
      <c r="C818" s="2272"/>
      <c r="D818" s="2358"/>
      <c r="E818" s="2358"/>
      <c r="F818" s="2358"/>
      <c r="G818" s="2283"/>
      <c r="H818" s="2268"/>
      <c r="I818" s="2269"/>
      <c r="J818" s="2269"/>
      <c r="K818" s="2269"/>
      <c r="L818" s="2269"/>
      <c r="M818" s="2270"/>
      <c r="N818" s="2270"/>
      <c r="O818" s="2270"/>
      <c r="P818" s="2269"/>
      <c r="Q818" s="2269"/>
      <c r="R818" s="2269"/>
      <c r="S818" s="2269"/>
      <c r="T818" s="2269"/>
      <c r="U818" s="2269"/>
      <c r="V818" s="2269"/>
      <c r="W818" s="2269"/>
      <c r="X818" s="2269"/>
      <c r="Y818" s="2269"/>
      <c r="Z818" s="2269"/>
      <c r="AA818" s="2269"/>
    </row>
    <row r="819" spans="1:27" ht="13.5" customHeight="1" x14ac:dyDescent="0.3">
      <c r="A819" s="2269"/>
      <c r="B819" s="2269"/>
      <c r="C819" s="2272"/>
      <c r="D819" s="2358"/>
      <c r="E819" s="2358"/>
      <c r="F819" s="2358"/>
      <c r="G819" s="2283"/>
      <c r="H819" s="2268"/>
      <c r="I819" s="2269"/>
      <c r="J819" s="2269"/>
      <c r="K819" s="2269"/>
      <c r="L819" s="2269"/>
      <c r="M819" s="2270"/>
      <c r="N819" s="2270"/>
      <c r="O819" s="2270"/>
      <c r="P819" s="2269"/>
      <c r="Q819" s="2269"/>
      <c r="R819" s="2269"/>
      <c r="S819" s="2269"/>
      <c r="T819" s="2269"/>
      <c r="U819" s="2269"/>
      <c r="V819" s="2269"/>
      <c r="W819" s="2269"/>
      <c r="X819" s="2269"/>
      <c r="Y819" s="2269"/>
      <c r="Z819" s="2269"/>
      <c r="AA819" s="2269"/>
    </row>
    <row r="820" spans="1:27" ht="13.5" customHeight="1" x14ac:dyDescent="0.3">
      <c r="A820" s="2269"/>
      <c r="B820" s="2269"/>
      <c r="C820" s="2272"/>
      <c r="D820" s="2358"/>
      <c r="E820" s="2358"/>
      <c r="F820" s="2358"/>
      <c r="G820" s="2283"/>
      <c r="H820" s="2268"/>
      <c r="I820" s="2269"/>
      <c r="J820" s="2269"/>
      <c r="K820" s="2269"/>
      <c r="L820" s="2269"/>
      <c r="M820" s="2270"/>
      <c r="N820" s="2270"/>
      <c r="O820" s="2270"/>
      <c r="P820" s="2269"/>
      <c r="Q820" s="2269"/>
      <c r="R820" s="2269"/>
      <c r="S820" s="2269"/>
      <c r="T820" s="2269"/>
      <c r="U820" s="2269"/>
      <c r="V820" s="2269"/>
      <c r="W820" s="2269"/>
      <c r="X820" s="2269"/>
      <c r="Y820" s="2269"/>
      <c r="Z820" s="2269"/>
      <c r="AA820" s="2269"/>
    </row>
    <row r="821" spans="1:27" ht="13.5" customHeight="1" x14ac:dyDescent="0.3">
      <c r="A821" s="2269"/>
      <c r="B821" s="2269"/>
      <c r="C821" s="2272"/>
      <c r="D821" s="2358"/>
      <c r="E821" s="2358"/>
      <c r="F821" s="2358"/>
      <c r="G821" s="2283"/>
      <c r="H821" s="2268"/>
      <c r="I821" s="2269"/>
      <c r="J821" s="2269"/>
      <c r="K821" s="2269"/>
      <c r="L821" s="2269"/>
      <c r="M821" s="2270"/>
      <c r="N821" s="2270"/>
      <c r="O821" s="2270"/>
      <c r="P821" s="2269"/>
      <c r="Q821" s="2269"/>
      <c r="R821" s="2269"/>
      <c r="S821" s="2269"/>
      <c r="T821" s="2269"/>
      <c r="U821" s="2269"/>
      <c r="V821" s="2269"/>
      <c r="W821" s="2269"/>
      <c r="X821" s="2269"/>
      <c r="Y821" s="2269"/>
      <c r="Z821" s="2269"/>
      <c r="AA821" s="2269"/>
    </row>
    <row r="822" spans="1:27" ht="13.5" customHeight="1" x14ac:dyDescent="0.3">
      <c r="A822" s="2269"/>
      <c r="B822" s="2269"/>
      <c r="C822" s="2272"/>
      <c r="D822" s="2358"/>
      <c r="E822" s="2358"/>
      <c r="F822" s="2358"/>
      <c r="G822" s="2283"/>
      <c r="H822" s="2268"/>
      <c r="I822" s="2269"/>
      <c r="J822" s="2269"/>
      <c r="K822" s="2269"/>
      <c r="L822" s="2269"/>
      <c r="M822" s="2270"/>
      <c r="N822" s="2270"/>
      <c r="O822" s="2270"/>
      <c r="P822" s="2269"/>
      <c r="Q822" s="2269"/>
      <c r="R822" s="2269"/>
      <c r="S822" s="2269"/>
      <c r="T822" s="2269"/>
      <c r="U822" s="2269"/>
      <c r="V822" s="2269"/>
      <c r="W822" s="2269"/>
      <c r="X822" s="2269"/>
      <c r="Y822" s="2269"/>
      <c r="Z822" s="2269"/>
      <c r="AA822" s="2269"/>
    </row>
    <row r="823" spans="1:27" ht="13.5" customHeight="1" x14ac:dyDescent="0.3">
      <c r="A823" s="2269"/>
      <c r="B823" s="2269"/>
      <c r="C823" s="2272"/>
      <c r="D823" s="2358"/>
      <c r="E823" s="2358"/>
      <c r="F823" s="2358"/>
      <c r="G823" s="2283"/>
      <c r="H823" s="2268"/>
      <c r="I823" s="2269"/>
      <c r="J823" s="2269"/>
      <c r="K823" s="2269"/>
      <c r="L823" s="2269"/>
      <c r="M823" s="2270"/>
      <c r="N823" s="2270"/>
      <c r="O823" s="2270"/>
      <c r="P823" s="2269"/>
      <c r="Q823" s="2269"/>
      <c r="R823" s="2269"/>
      <c r="S823" s="2269"/>
      <c r="T823" s="2269"/>
      <c r="U823" s="2269"/>
      <c r="V823" s="2269"/>
      <c r="W823" s="2269"/>
      <c r="X823" s="2269"/>
      <c r="Y823" s="2269"/>
      <c r="Z823" s="2269"/>
      <c r="AA823" s="2269"/>
    </row>
    <row r="824" spans="1:27" ht="13.5" customHeight="1" x14ac:dyDescent="0.3">
      <c r="A824" s="2269"/>
      <c r="B824" s="2269"/>
      <c r="C824" s="2272"/>
      <c r="D824" s="2358"/>
      <c r="E824" s="2358"/>
      <c r="F824" s="2358"/>
      <c r="G824" s="2283"/>
      <c r="H824" s="2268"/>
      <c r="I824" s="2269"/>
      <c r="J824" s="2269"/>
      <c r="K824" s="2269"/>
      <c r="L824" s="2269"/>
      <c r="M824" s="2270"/>
      <c r="N824" s="2270"/>
      <c r="O824" s="2270"/>
      <c r="P824" s="2269"/>
      <c r="Q824" s="2269"/>
      <c r="R824" s="2269"/>
      <c r="S824" s="2269"/>
      <c r="T824" s="2269"/>
      <c r="U824" s="2269"/>
      <c r="V824" s="2269"/>
      <c r="W824" s="2269"/>
      <c r="X824" s="2269"/>
      <c r="Y824" s="2269"/>
      <c r="Z824" s="2269"/>
      <c r="AA824" s="2269"/>
    </row>
    <row r="825" spans="1:27" ht="13.5" customHeight="1" x14ac:dyDescent="0.3">
      <c r="A825" s="2269"/>
      <c r="B825" s="2269"/>
      <c r="C825" s="2272"/>
      <c r="D825" s="2358"/>
      <c r="E825" s="2358"/>
      <c r="F825" s="2358"/>
      <c r="G825" s="2283"/>
      <c r="H825" s="2268"/>
      <c r="I825" s="2269"/>
      <c r="J825" s="2269"/>
      <c r="K825" s="2269"/>
      <c r="L825" s="2269"/>
      <c r="M825" s="2270"/>
      <c r="N825" s="2270"/>
      <c r="O825" s="2270"/>
      <c r="P825" s="2269"/>
      <c r="Q825" s="2269"/>
      <c r="R825" s="2269"/>
      <c r="S825" s="2269"/>
      <c r="T825" s="2269"/>
      <c r="U825" s="2269"/>
      <c r="V825" s="2269"/>
      <c r="W825" s="2269"/>
      <c r="X825" s="2269"/>
      <c r="Y825" s="2269"/>
      <c r="Z825" s="2269"/>
      <c r="AA825" s="2269"/>
    </row>
    <row r="826" spans="1:27" ht="13.5" customHeight="1" x14ac:dyDescent="0.3">
      <c r="A826" s="2269"/>
      <c r="B826" s="2269"/>
      <c r="C826" s="2272"/>
      <c r="D826" s="2358"/>
      <c r="E826" s="2358"/>
      <c r="F826" s="2358"/>
      <c r="G826" s="2283"/>
      <c r="H826" s="2268"/>
      <c r="I826" s="2269"/>
      <c r="J826" s="2269"/>
      <c r="K826" s="2269"/>
      <c r="L826" s="2269"/>
      <c r="M826" s="2270"/>
      <c r="N826" s="2270"/>
      <c r="O826" s="2270"/>
      <c r="P826" s="2269"/>
      <c r="Q826" s="2269"/>
      <c r="R826" s="2269"/>
      <c r="S826" s="2269"/>
      <c r="T826" s="2269"/>
      <c r="U826" s="2269"/>
      <c r="V826" s="2269"/>
      <c r="W826" s="2269"/>
      <c r="X826" s="2269"/>
      <c r="Y826" s="2269"/>
      <c r="Z826" s="2269"/>
      <c r="AA826" s="2269"/>
    </row>
    <row r="827" spans="1:27" ht="13.5" customHeight="1" x14ac:dyDescent="0.3">
      <c r="A827" s="2269"/>
      <c r="B827" s="2269"/>
      <c r="C827" s="2272"/>
      <c r="D827" s="2358"/>
      <c r="E827" s="2358"/>
      <c r="F827" s="2358"/>
      <c r="G827" s="2283"/>
      <c r="H827" s="2268"/>
      <c r="I827" s="2269"/>
      <c r="J827" s="2269"/>
      <c r="K827" s="2269"/>
      <c r="L827" s="2269"/>
      <c r="M827" s="2270"/>
      <c r="N827" s="2270"/>
      <c r="O827" s="2270"/>
      <c r="P827" s="2269"/>
      <c r="Q827" s="2269"/>
      <c r="R827" s="2269"/>
      <c r="S827" s="2269"/>
      <c r="T827" s="2269"/>
      <c r="U827" s="2269"/>
      <c r="V827" s="2269"/>
      <c r="W827" s="2269"/>
      <c r="X827" s="2269"/>
      <c r="Y827" s="2269"/>
      <c r="Z827" s="2269"/>
      <c r="AA827" s="2269"/>
    </row>
    <row r="828" spans="1:27" ht="13.5" customHeight="1" x14ac:dyDescent="0.3">
      <c r="A828" s="2269"/>
      <c r="B828" s="2269"/>
      <c r="C828" s="2272"/>
      <c r="D828" s="2358"/>
      <c r="E828" s="2358"/>
      <c r="F828" s="2358"/>
      <c r="G828" s="2283"/>
      <c r="H828" s="2268"/>
      <c r="I828" s="2269"/>
      <c r="J828" s="2269"/>
      <c r="K828" s="2269"/>
      <c r="L828" s="2269"/>
      <c r="M828" s="2270"/>
      <c r="N828" s="2270"/>
      <c r="O828" s="2270"/>
      <c r="P828" s="2269"/>
      <c r="Q828" s="2269"/>
      <c r="R828" s="2269"/>
      <c r="S828" s="2269"/>
      <c r="T828" s="2269"/>
      <c r="U828" s="2269"/>
      <c r="V828" s="2269"/>
      <c r="W828" s="2269"/>
      <c r="X828" s="2269"/>
      <c r="Y828" s="2269"/>
      <c r="Z828" s="2269"/>
      <c r="AA828" s="2269"/>
    </row>
    <row r="829" spans="1:27" ht="13.5" customHeight="1" x14ac:dyDescent="0.3">
      <c r="A829" s="2269"/>
      <c r="B829" s="2269"/>
      <c r="C829" s="2272"/>
      <c r="D829" s="2358"/>
      <c r="E829" s="2358"/>
      <c r="F829" s="2358"/>
      <c r="G829" s="2283"/>
      <c r="H829" s="2268"/>
      <c r="I829" s="2269"/>
      <c r="J829" s="2269"/>
      <c r="K829" s="2269"/>
      <c r="L829" s="2269"/>
      <c r="M829" s="2270"/>
      <c r="N829" s="2270"/>
      <c r="O829" s="2270"/>
      <c r="P829" s="2269"/>
      <c r="Q829" s="2269"/>
      <c r="R829" s="2269"/>
      <c r="S829" s="2269"/>
      <c r="T829" s="2269"/>
      <c r="U829" s="2269"/>
      <c r="V829" s="2269"/>
      <c r="W829" s="2269"/>
      <c r="X829" s="2269"/>
      <c r="Y829" s="2269"/>
      <c r="Z829" s="2269"/>
      <c r="AA829" s="2269"/>
    </row>
    <row r="830" spans="1:27" ht="13.5" customHeight="1" x14ac:dyDescent="0.3">
      <c r="A830" s="2269"/>
      <c r="B830" s="2269"/>
      <c r="C830" s="2272"/>
      <c r="D830" s="2358"/>
      <c r="E830" s="2358"/>
      <c r="F830" s="2358"/>
      <c r="G830" s="2283"/>
      <c r="H830" s="2268"/>
      <c r="I830" s="2269"/>
      <c r="J830" s="2269"/>
      <c r="K830" s="2269"/>
      <c r="L830" s="2269"/>
      <c r="M830" s="2270"/>
      <c r="N830" s="2270"/>
      <c r="O830" s="2270"/>
      <c r="P830" s="2269"/>
      <c r="Q830" s="2269"/>
      <c r="R830" s="2269"/>
      <c r="S830" s="2269"/>
      <c r="T830" s="2269"/>
      <c r="U830" s="2269"/>
      <c r="V830" s="2269"/>
      <c r="W830" s="2269"/>
      <c r="X830" s="2269"/>
      <c r="Y830" s="2269"/>
      <c r="Z830" s="2269"/>
      <c r="AA830" s="2269"/>
    </row>
    <row r="831" spans="1:27" ht="13.5" customHeight="1" x14ac:dyDescent="0.3">
      <c r="A831" s="2269"/>
      <c r="B831" s="2269"/>
      <c r="C831" s="2272"/>
      <c r="D831" s="2358"/>
      <c r="E831" s="2358"/>
      <c r="F831" s="2358"/>
      <c r="G831" s="2283"/>
      <c r="H831" s="2268"/>
      <c r="I831" s="2269"/>
      <c r="J831" s="2269"/>
      <c r="K831" s="2269"/>
      <c r="L831" s="2269"/>
      <c r="M831" s="2270"/>
      <c r="N831" s="2270"/>
      <c r="O831" s="2270"/>
      <c r="P831" s="2269"/>
      <c r="Q831" s="2269"/>
      <c r="R831" s="2269"/>
      <c r="S831" s="2269"/>
      <c r="T831" s="2269"/>
      <c r="U831" s="2269"/>
      <c r="V831" s="2269"/>
      <c r="W831" s="2269"/>
      <c r="X831" s="2269"/>
      <c r="Y831" s="2269"/>
      <c r="Z831" s="2269"/>
      <c r="AA831" s="2269"/>
    </row>
    <row r="832" spans="1:27" ht="13.5" customHeight="1" x14ac:dyDescent="0.3">
      <c r="A832" s="2269"/>
      <c r="B832" s="2269"/>
      <c r="C832" s="2272"/>
      <c r="D832" s="2358"/>
      <c r="E832" s="2358"/>
      <c r="F832" s="2358"/>
      <c r="G832" s="2283"/>
      <c r="H832" s="2268"/>
      <c r="I832" s="2269"/>
      <c r="J832" s="2269"/>
      <c r="K832" s="2269"/>
      <c r="L832" s="2269"/>
      <c r="M832" s="2270"/>
      <c r="N832" s="2270"/>
      <c r="O832" s="2270"/>
      <c r="P832" s="2269"/>
      <c r="Q832" s="2269"/>
      <c r="R832" s="2269"/>
      <c r="S832" s="2269"/>
      <c r="T832" s="2269"/>
      <c r="U832" s="2269"/>
      <c r="V832" s="2269"/>
      <c r="W832" s="2269"/>
      <c r="X832" s="2269"/>
      <c r="Y832" s="2269"/>
      <c r="Z832" s="2269"/>
      <c r="AA832" s="2269"/>
    </row>
    <row r="833" spans="1:27" ht="13.5" customHeight="1" x14ac:dyDescent="0.3">
      <c r="A833" s="2269"/>
      <c r="B833" s="2269"/>
      <c r="C833" s="2272"/>
      <c r="D833" s="2358"/>
      <c r="E833" s="2358"/>
      <c r="F833" s="2358"/>
      <c r="G833" s="2283"/>
      <c r="H833" s="2268"/>
      <c r="I833" s="2269"/>
      <c r="J833" s="2269"/>
      <c r="K833" s="2269"/>
      <c r="L833" s="2269"/>
      <c r="M833" s="2270"/>
      <c r="N833" s="2270"/>
      <c r="O833" s="2270"/>
      <c r="P833" s="2269"/>
      <c r="Q833" s="2269"/>
      <c r="R833" s="2269"/>
      <c r="S833" s="2269"/>
      <c r="T833" s="2269"/>
      <c r="U833" s="2269"/>
      <c r="V833" s="2269"/>
      <c r="W833" s="2269"/>
      <c r="X833" s="2269"/>
      <c r="Y833" s="2269"/>
      <c r="Z833" s="2269"/>
      <c r="AA833" s="2269"/>
    </row>
    <row r="834" spans="1:27" ht="13.5" customHeight="1" x14ac:dyDescent="0.3">
      <c r="A834" s="2269"/>
      <c r="B834" s="2269"/>
      <c r="C834" s="2272"/>
      <c r="D834" s="2358"/>
      <c r="E834" s="2358"/>
      <c r="F834" s="2358"/>
      <c r="G834" s="2283"/>
      <c r="H834" s="2268"/>
      <c r="I834" s="2269"/>
      <c r="J834" s="2269"/>
      <c r="K834" s="2269"/>
      <c r="L834" s="2269"/>
      <c r="M834" s="2270"/>
      <c r="N834" s="2270"/>
      <c r="O834" s="2270"/>
      <c r="P834" s="2269"/>
      <c r="Q834" s="2269"/>
      <c r="R834" s="2269"/>
      <c r="S834" s="2269"/>
      <c r="T834" s="2269"/>
      <c r="U834" s="2269"/>
      <c r="V834" s="2269"/>
      <c r="W834" s="2269"/>
      <c r="X834" s="2269"/>
      <c r="Y834" s="2269"/>
      <c r="Z834" s="2269"/>
      <c r="AA834" s="2269"/>
    </row>
    <row r="835" spans="1:27" ht="13.5" customHeight="1" x14ac:dyDescent="0.3">
      <c r="A835" s="2269"/>
      <c r="B835" s="2269"/>
      <c r="C835" s="2272"/>
      <c r="D835" s="2358"/>
      <c r="E835" s="2358"/>
      <c r="F835" s="2358"/>
      <c r="G835" s="2283"/>
      <c r="H835" s="2268"/>
      <c r="I835" s="2269"/>
      <c r="J835" s="2269"/>
      <c r="K835" s="2269"/>
      <c r="L835" s="2269"/>
      <c r="M835" s="2270"/>
      <c r="N835" s="2270"/>
      <c r="O835" s="2270"/>
      <c r="P835" s="2269"/>
      <c r="Q835" s="2269"/>
      <c r="R835" s="2269"/>
      <c r="S835" s="2269"/>
      <c r="T835" s="2269"/>
      <c r="U835" s="2269"/>
      <c r="V835" s="2269"/>
      <c r="W835" s="2269"/>
      <c r="X835" s="2269"/>
      <c r="Y835" s="2269"/>
      <c r="Z835" s="2269"/>
      <c r="AA835" s="2269"/>
    </row>
    <row r="836" spans="1:27" ht="13.5" customHeight="1" x14ac:dyDescent="0.3">
      <c r="A836" s="2269"/>
      <c r="B836" s="2269"/>
      <c r="C836" s="2272"/>
      <c r="D836" s="2358"/>
      <c r="E836" s="2358"/>
      <c r="F836" s="2358"/>
      <c r="G836" s="2283"/>
      <c r="H836" s="2268"/>
      <c r="I836" s="2269"/>
      <c r="J836" s="2269"/>
      <c r="K836" s="2269"/>
      <c r="L836" s="2269"/>
      <c r="M836" s="2270"/>
      <c r="N836" s="2270"/>
      <c r="O836" s="2270"/>
      <c r="P836" s="2269"/>
      <c r="Q836" s="2269"/>
      <c r="R836" s="2269"/>
      <c r="S836" s="2269"/>
      <c r="T836" s="2269"/>
      <c r="U836" s="2269"/>
      <c r="V836" s="2269"/>
      <c r="W836" s="2269"/>
      <c r="X836" s="2269"/>
      <c r="Y836" s="2269"/>
      <c r="Z836" s="2269"/>
      <c r="AA836" s="2269"/>
    </row>
    <row r="837" spans="1:27" ht="13.5" customHeight="1" x14ac:dyDescent="0.3">
      <c r="A837" s="2269"/>
      <c r="B837" s="2269"/>
      <c r="C837" s="2272"/>
      <c r="D837" s="2358"/>
      <c r="E837" s="2358"/>
      <c r="F837" s="2358"/>
      <c r="G837" s="2283"/>
      <c r="H837" s="2268"/>
      <c r="I837" s="2269"/>
      <c r="J837" s="2269"/>
      <c r="K837" s="2269"/>
      <c r="L837" s="2269"/>
      <c r="M837" s="2270"/>
      <c r="N837" s="2270"/>
      <c r="O837" s="2270"/>
      <c r="P837" s="2269"/>
      <c r="Q837" s="2269"/>
      <c r="R837" s="2269"/>
      <c r="S837" s="2269"/>
      <c r="T837" s="2269"/>
      <c r="U837" s="2269"/>
      <c r="V837" s="2269"/>
      <c r="W837" s="2269"/>
      <c r="X837" s="2269"/>
      <c r="Y837" s="2269"/>
      <c r="Z837" s="2269"/>
      <c r="AA837" s="2269"/>
    </row>
    <row r="838" spans="1:27" ht="13.5" customHeight="1" x14ac:dyDescent="0.3">
      <c r="A838" s="2269"/>
      <c r="B838" s="2269"/>
      <c r="C838" s="2272"/>
      <c r="D838" s="2358"/>
      <c r="E838" s="2358"/>
      <c r="F838" s="2358"/>
      <c r="G838" s="2283"/>
      <c r="H838" s="2268"/>
      <c r="I838" s="2269"/>
      <c r="J838" s="2269"/>
      <c r="K838" s="2269"/>
      <c r="L838" s="2269"/>
      <c r="M838" s="2270"/>
      <c r="N838" s="2270"/>
      <c r="O838" s="2270"/>
      <c r="P838" s="2269"/>
      <c r="Q838" s="2269"/>
      <c r="R838" s="2269"/>
      <c r="S838" s="2269"/>
      <c r="T838" s="2269"/>
      <c r="U838" s="2269"/>
      <c r="V838" s="2269"/>
      <c r="W838" s="2269"/>
      <c r="X838" s="2269"/>
      <c r="Y838" s="2269"/>
      <c r="Z838" s="2269"/>
      <c r="AA838" s="2269"/>
    </row>
    <row r="839" spans="1:27" ht="13.5" customHeight="1" x14ac:dyDescent="0.3">
      <c r="A839" s="2269"/>
      <c r="B839" s="2269"/>
      <c r="C839" s="2272"/>
      <c r="D839" s="2358"/>
      <c r="E839" s="2358"/>
      <c r="F839" s="2358"/>
      <c r="G839" s="2283"/>
      <c r="H839" s="2268"/>
      <c r="I839" s="2269"/>
      <c r="J839" s="2269"/>
      <c r="K839" s="2269"/>
      <c r="L839" s="2269"/>
      <c r="M839" s="2270"/>
      <c r="N839" s="2270"/>
      <c r="O839" s="2270"/>
      <c r="P839" s="2269"/>
      <c r="Q839" s="2269"/>
      <c r="R839" s="2269"/>
      <c r="S839" s="2269"/>
      <c r="T839" s="2269"/>
      <c r="U839" s="2269"/>
      <c r="V839" s="2269"/>
      <c r="W839" s="2269"/>
      <c r="X839" s="2269"/>
      <c r="Y839" s="2269"/>
      <c r="Z839" s="2269"/>
      <c r="AA839" s="2269"/>
    </row>
    <row r="840" spans="1:27" ht="13.5" customHeight="1" x14ac:dyDescent="0.3">
      <c r="A840" s="2269"/>
      <c r="B840" s="2269"/>
      <c r="C840" s="2272"/>
      <c r="D840" s="2358"/>
      <c r="E840" s="2358"/>
      <c r="F840" s="2358"/>
      <c r="G840" s="2283"/>
      <c r="H840" s="2268"/>
      <c r="I840" s="2269"/>
      <c r="J840" s="2269"/>
      <c r="K840" s="2269"/>
      <c r="L840" s="2269"/>
      <c r="M840" s="2270"/>
      <c r="N840" s="2270"/>
      <c r="O840" s="2270"/>
      <c r="P840" s="2269"/>
      <c r="Q840" s="2269"/>
      <c r="R840" s="2269"/>
      <c r="S840" s="2269"/>
      <c r="T840" s="2269"/>
      <c r="U840" s="2269"/>
      <c r="V840" s="2269"/>
      <c r="W840" s="2269"/>
      <c r="X840" s="2269"/>
      <c r="Y840" s="2269"/>
      <c r="Z840" s="2269"/>
      <c r="AA840" s="2269"/>
    </row>
    <row r="841" spans="1:27" ht="13.5" customHeight="1" x14ac:dyDescent="0.3">
      <c r="A841" s="2269"/>
      <c r="B841" s="2269"/>
      <c r="C841" s="2272"/>
      <c r="D841" s="2358"/>
      <c r="E841" s="2358"/>
      <c r="F841" s="2358"/>
      <c r="G841" s="2283"/>
      <c r="H841" s="2268"/>
      <c r="I841" s="2269"/>
      <c r="J841" s="2269"/>
      <c r="K841" s="2269"/>
      <c r="L841" s="2269"/>
      <c r="M841" s="2270"/>
      <c r="N841" s="2270"/>
      <c r="O841" s="2270"/>
      <c r="P841" s="2269"/>
      <c r="Q841" s="2269"/>
      <c r="R841" s="2269"/>
      <c r="S841" s="2269"/>
      <c r="T841" s="2269"/>
      <c r="U841" s="2269"/>
      <c r="V841" s="2269"/>
      <c r="W841" s="2269"/>
      <c r="X841" s="2269"/>
      <c r="Y841" s="2269"/>
      <c r="Z841" s="2269"/>
      <c r="AA841" s="2269"/>
    </row>
    <row r="842" spans="1:27" ht="13.5" customHeight="1" x14ac:dyDescent="0.3">
      <c r="A842" s="2269"/>
      <c r="B842" s="2269"/>
      <c r="C842" s="2272"/>
      <c r="D842" s="2358"/>
      <c r="E842" s="2358"/>
      <c r="F842" s="2358"/>
      <c r="G842" s="2283"/>
      <c r="H842" s="2268"/>
      <c r="I842" s="2269"/>
      <c r="J842" s="2269"/>
      <c r="K842" s="2269"/>
      <c r="L842" s="2269"/>
      <c r="M842" s="2270"/>
      <c r="N842" s="2270"/>
      <c r="O842" s="2270"/>
      <c r="P842" s="2269"/>
      <c r="Q842" s="2269"/>
      <c r="R842" s="2269"/>
      <c r="S842" s="2269"/>
      <c r="T842" s="2269"/>
      <c r="U842" s="2269"/>
      <c r="V842" s="2269"/>
      <c r="W842" s="2269"/>
      <c r="X842" s="2269"/>
      <c r="Y842" s="2269"/>
      <c r="Z842" s="2269"/>
      <c r="AA842" s="2269"/>
    </row>
    <row r="843" spans="1:27" ht="13.5" customHeight="1" x14ac:dyDescent="0.3">
      <c r="A843" s="2269"/>
      <c r="B843" s="2269"/>
      <c r="C843" s="2272"/>
      <c r="D843" s="2358"/>
      <c r="E843" s="2358"/>
      <c r="F843" s="2358"/>
      <c r="G843" s="2283"/>
      <c r="H843" s="2268"/>
      <c r="I843" s="2269"/>
      <c r="J843" s="2269"/>
      <c r="K843" s="2269"/>
      <c r="L843" s="2269"/>
      <c r="M843" s="2270"/>
      <c r="N843" s="2270"/>
      <c r="O843" s="2270"/>
      <c r="P843" s="2269"/>
      <c r="Q843" s="2269"/>
      <c r="R843" s="2269"/>
      <c r="S843" s="2269"/>
      <c r="T843" s="2269"/>
      <c r="U843" s="2269"/>
      <c r="V843" s="2269"/>
      <c r="W843" s="2269"/>
      <c r="X843" s="2269"/>
      <c r="Y843" s="2269"/>
      <c r="Z843" s="2269"/>
      <c r="AA843" s="2269"/>
    </row>
    <row r="844" spans="1:27" ht="13.5" customHeight="1" x14ac:dyDescent="0.3">
      <c r="A844" s="2269"/>
      <c r="B844" s="2269"/>
      <c r="C844" s="2272"/>
      <c r="D844" s="2358"/>
      <c r="E844" s="2358"/>
      <c r="F844" s="2358"/>
      <c r="G844" s="2283"/>
      <c r="H844" s="2268"/>
      <c r="I844" s="2269"/>
      <c r="J844" s="2269"/>
      <c r="K844" s="2269"/>
      <c r="L844" s="2269"/>
      <c r="M844" s="2270"/>
      <c r="N844" s="2270"/>
      <c r="O844" s="2270"/>
      <c r="P844" s="2269"/>
      <c r="Q844" s="2269"/>
      <c r="R844" s="2269"/>
      <c r="S844" s="2269"/>
      <c r="T844" s="2269"/>
      <c r="U844" s="2269"/>
      <c r="V844" s="2269"/>
      <c r="W844" s="2269"/>
      <c r="X844" s="2269"/>
      <c r="Y844" s="2269"/>
      <c r="Z844" s="2269"/>
      <c r="AA844" s="2269"/>
    </row>
    <row r="845" spans="1:27" ht="13.5" customHeight="1" x14ac:dyDescent="0.3">
      <c r="A845" s="2269"/>
      <c r="B845" s="2269"/>
      <c r="C845" s="2272"/>
      <c r="D845" s="2358"/>
      <c r="E845" s="2358"/>
      <c r="F845" s="2358"/>
      <c r="G845" s="2283"/>
      <c r="H845" s="2268"/>
      <c r="I845" s="2269"/>
      <c r="J845" s="2269"/>
      <c r="K845" s="2269"/>
      <c r="L845" s="2269"/>
      <c r="M845" s="2270"/>
      <c r="N845" s="2270"/>
      <c r="O845" s="2270"/>
      <c r="P845" s="2269"/>
      <c r="Q845" s="2269"/>
      <c r="R845" s="2269"/>
      <c r="S845" s="2269"/>
      <c r="T845" s="2269"/>
      <c r="U845" s="2269"/>
      <c r="V845" s="2269"/>
      <c r="W845" s="2269"/>
      <c r="X845" s="2269"/>
      <c r="Y845" s="2269"/>
      <c r="Z845" s="2269"/>
      <c r="AA845" s="2269"/>
    </row>
    <row r="846" spans="1:27" ht="13.5" customHeight="1" x14ac:dyDescent="0.3">
      <c r="A846" s="2269"/>
      <c r="B846" s="2269"/>
      <c r="C846" s="2272"/>
      <c r="D846" s="2358"/>
      <c r="E846" s="2358"/>
      <c r="F846" s="2358"/>
      <c r="G846" s="2283"/>
      <c r="H846" s="2268"/>
      <c r="I846" s="2269"/>
      <c r="J846" s="2269"/>
      <c r="K846" s="2269"/>
      <c r="L846" s="2269"/>
      <c r="M846" s="2270"/>
      <c r="N846" s="2270"/>
      <c r="O846" s="2270"/>
      <c r="P846" s="2269"/>
      <c r="Q846" s="2269"/>
      <c r="R846" s="2269"/>
      <c r="S846" s="2269"/>
      <c r="T846" s="2269"/>
      <c r="U846" s="2269"/>
      <c r="V846" s="2269"/>
      <c r="W846" s="2269"/>
      <c r="X846" s="2269"/>
      <c r="Y846" s="2269"/>
      <c r="Z846" s="2269"/>
      <c r="AA846" s="2269"/>
    </row>
    <row r="847" spans="1:27" ht="13.5" customHeight="1" x14ac:dyDescent="0.3">
      <c r="A847" s="2269"/>
      <c r="B847" s="2269"/>
      <c r="C847" s="2272"/>
      <c r="D847" s="2358"/>
      <c r="E847" s="2358"/>
      <c r="F847" s="2358"/>
      <c r="G847" s="2283"/>
      <c r="H847" s="2268"/>
      <c r="I847" s="2269"/>
      <c r="J847" s="2269"/>
      <c r="K847" s="2269"/>
      <c r="L847" s="2269"/>
      <c r="M847" s="2270"/>
      <c r="N847" s="2270"/>
      <c r="O847" s="2270"/>
      <c r="P847" s="2269"/>
      <c r="Q847" s="2269"/>
      <c r="R847" s="2269"/>
      <c r="S847" s="2269"/>
      <c r="T847" s="2269"/>
      <c r="U847" s="2269"/>
      <c r="V847" s="2269"/>
      <c r="W847" s="2269"/>
      <c r="X847" s="2269"/>
      <c r="Y847" s="2269"/>
      <c r="Z847" s="2269"/>
      <c r="AA847" s="2269"/>
    </row>
    <row r="848" spans="1:27" ht="13.5" customHeight="1" x14ac:dyDescent="0.3">
      <c r="A848" s="2269"/>
      <c r="B848" s="2269"/>
      <c r="C848" s="2272"/>
      <c r="D848" s="2358"/>
      <c r="E848" s="2358"/>
      <c r="F848" s="2358"/>
      <c r="G848" s="2283"/>
      <c r="H848" s="2268"/>
      <c r="I848" s="2269"/>
      <c r="J848" s="2269"/>
      <c r="K848" s="2269"/>
      <c r="L848" s="2269"/>
      <c r="M848" s="2270"/>
      <c r="N848" s="2270"/>
      <c r="O848" s="2270"/>
      <c r="P848" s="2269"/>
      <c r="Q848" s="2269"/>
      <c r="R848" s="2269"/>
      <c r="S848" s="2269"/>
      <c r="T848" s="2269"/>
      <c r="U848" s="2269"/>
      <c r="V848" s="2269"/>
      <c r="W848" s="2269"/>
      <c r="X848" s="2269"/>
      <c r="Y848" s="2269"/>
      <c r="Z848" s="2269"/>
      <c r="AA848" s="2269"/>
    </row>
    <row r="849" spans="1:27" ht="13.5" customHeight="1" x14ac:dyDescent="0.3">
      <c r="A849" s="2269"/>
      <c r="B849" s="2269"/>
      <c r="C849" s="2272"/>
      <c r="D849" s="2358"/>
      <c r="E849" s="2358"/>
      <c r="F849" s="2358"/>
      <c r="G849" s="2283"/>
      <c r="H849" s="2268"/>
      <c r="I849" s="2269"/>
      <c r="J849" s="2269"/>
      <c r="K849" s="2269"/>
      <c r="L849" s="2269"/>
      <c r="M849" s="2270"/>
      <c r="N849" s="2270"/>
      <c r="O849" s="2270"/>
      <c r="P849" s="2269"/>
      <c r="Q849" s="2269"/>
      <c r="R849" s="2269"/>
      <c r="S849" s="2269"/>
      <c r="T849" s="2269"/>
      <c r="U849" s="2269"/>
      <c r="V849" s="2269"/>
      <c r="W849" s="2269"/>
      <c r="X849" s="2269"/>
      <c r="Y849" s="2269"/>
      <c r="Z849" s="2269"/>
      <c r="AA849" s="2269"/>
    </row>
    <row r="850" spans="1:27" ht="13.5" customHeight="1" x14ac:dyDescent="0.3">
      <c r="A850" s="2269"/>
      <c r="B850" s="2269"/>
      <c r="C850" s="2272"/>
      <c r="D850" s="2358"/>
      <c r="E850" s="2358"/>
      <c r="F850" s="2358"/>
      <c r="G850" s="2283"/>
      <c r="H850" s="2268"/>
      <c r="I850" s="2269"/>
      <c r="J850" s="2269"/>
      <c r="K850" s="2269"/>
      <c r="L850" s="2269"/>
      <c r="M850" s="2270"/>
      <c r="N850" s="2270"/>
      <c r="O850" s="2270"/>
      <c r="P850" s="2269"/>
      <c r="Q850" s="2269"/>
      <c r="R850" s="2269"/>
      <c r="S850" s="2269"/>
      <c r="T850" s="2269"/>
      <c r="U850" s="2269"/>
      <c r="V850" s="2269"/>
      <c r="W850" s="2269"/>
      <c r="X850" s="2269"/>
      <c r="Y850" s="2269"/>
      <c r="Z850" s="2269"/>
      <c r="AA850" s="2269"/>
    </row>
    <row r="851" spans="1:27" ht="13.5" customHeight="1" x14ac:dyDescent="0.3">
      <c r="A851" s="2269"/>
      <c r="B851" s="2269"/>
      <c r="C851" s="2272"/>
      <c r="D851" s="2358"/>
      <c r="E851" s="2358"/>
      <c r="F851" s="2358"/>
      <c r="G851" s="2283"/>
      <c r="H851" s="2268"/>
      <c r="I851" s="2269"/>
      <c r="J851" s="2269"/>
      <c r="K851" s="2269"/>
      <c r="L851" s="2269"/>
      <c r="M851" s="2270"/>
      <c r="N851" s="2270"/>
      <c r="O851" s="2270"/>
      <c r="P851" s="2269"/>
      <c r="Q851" s="2269"/>
      <c r="R851" s="2269"/>
      <c r="S851" s="2269"/>
      <c r="T851" s="2269"/>
      <c r="U851" s="2269"/>
      <c r="V851" s="2269"/>
      <c r="W851" s="2269"/>
      <c r="X851" s="2269"/>
      <c r="Y851" s="2269"/>
      <c r="Z851" s="2269"/>
      <c r="AA851" s="2269"/>
    </row>
    <row r="852" spans="1:27" ht="13.5" customHeight="1" x14ac:dyDescent="0.3">
      <c r="A852" s="2269"/>
      <c r="B852" s="2269"/>
      <c r="C852" s="2272"/>
      <c r="D852" s="2358"/>
      <c r="E852" s="2358"/>
      <c r="F852" s="2358"/>
      <c r="G852" s="2283"/>
      <c r="H852" s="2268"/>
      <c r="I852" s="2269"/>
      <c r="J852" s="2269"/>
      <c r="K852" s="2269"/>
      <c r="L852" s="2269"/>
      <c r="M852" s="2270"/>
      <c r="N852" s="2270"/>
      <c r="O852" s="2270"/>
      <c r="P852" s="2269"/>
      <c r="Q852" s="2269"/>
      <c r="R852" s="2269"/>
      <c r="S852" s="2269"/>
      <c r="T852" s="2269"/>
      <c r="U852" s="2269"/>
      <c r="V852" s="2269"/>
      <c r="W852" s="2269"/>
      <c r="X852" s="2269"/>
      <c r="Y852" s="2269"/>
      <c r="Z852" s="2269"/>
      <c r="AA852" s="2269"/>
    </row>
    <row r="853" spans="1:27" ht="13.5" customHeight="1" x14ac:dyDescent="0.3">
      <c r="A853" s="2269"/>
      <c r="B853" s="2269"/>
      <c r="C853" s="2272"/>
      <c r="D853" s="2358"/>
      <c r="E853" s="2358"/>
      <c r="F853" s="2358"/>
      <c r="G853" s="2283"/>
      <c r="H853" s="2268"/>
      <c r="I853" s="2269"/>
      <c r="J853" s="2269"/>
      <c r="K853" s="2269"/>
      <c r="L853" s="2269"/>
      <c r="M853" s="2270"/>
      <c r="N853" s="2270"/>
      <c r="O853" s="2270"/>
      <c r="P853" s="2269"/>
      <c r="Q853" s="2269"/>
      <c r="R853" s="2269"/>
      <c r="S853" s="2269"/>
      <c r="T853" s="2269"/>
      <c r="U853" s="2269"/>
      <c r="V853" s="2269"/>
      <c r="W853" s="2269"/>
      <c r="X853" s="2269"/>
      <c r="Y853" s="2269"/>
      <c r="Z853" s="2269"/>
      <c r="AA853" s="2269"/>
    </row>
    <row r="854" spans="1:27" ht="13.5" customHeight="1" x14ac:dyDescent="0.3">
      <c r="A854" s="2269"/>
      <c r="B854" s="2269"/>
      <c r="C854" s="2272"/>
      <c r="D854" s="2358"/>
      <c r="E854" s="2358"/>
      <c r="F854" s="2358"/>
      <c r="G854" s="2283"/>
      <c r="H854" s="2268"/>
      <c r="I854" s="2269"/>
      <c r="J854" s="2269"/>
      <c r="K854" s="2269"/>
      <c r="L854" s="2269"/>
      <c r="M854" s="2270"/>
      <c r="N854" s="2270"/>
      <c r="O854" s="2270"/>
      <c r="P854" s="2269"/>
      <c r="Q854" s="2269"/>
      <c r="R854" s="2269"/>
      <c r="S854" s="2269"/>
      <c r="T854" s="2269"/>
      <c r="U854" s="2269"/>
      <c r="V854" s="2269"/>
      <c r="W854" s="2269"/>
      <c r="X854" s="2269"/>
      <c r="Y854" s="2269"/>
      <c r="Z854" s="2269"/>
      <c r="AA854" s="2269"/>
    </row>
    <row r="855" spans="1:27" ht="13.5" customHeight="1" x14ac:dyDescent="0.3">
      <c r="A855" s="2269"/>
      <c r="B855" s="2269"/>
      <c r="C855" s="2272"/>
      <c r="D855" s="2358"/>
      <c r="E855" s="2358"/>
      <c r="F855" s="2358"/>
      <c r="G855" s="2283"/>
      <c r="H855" s="2268"/>
      <c r="I855" s="2269"/>
      <c r="J855" s="2269"/>
      <c r="K855" s="2269"/>
      <c r="L855" s="2269"/>
      <c r="M855" s="2270"/>
      <c r="N855" s="2270"/>
      <c r="O855" s="2270"/>
      <c r="P855" s="2269"/>
      <c r="Q855" s="2269"/>
      <c r="R855" s="2269"/>
      <c r="S855" s="2269"/>
      <c r="T855" s="2269"/>
      <c r="U855" s="2269"/>
      <c r="V855" s="2269"/>
      <c r="W855" s="2269"/>
      <c r="X855" s="2269"/>
      <c r="Y855" s="2269"/>
      <c r="Z855" s="2269"/>
      <c r="AA855" s="2269"/>
    </row>
    <row r="856" spans="1:27" ht="13.5" customHeight="1" x14ac:dyDescent="0.3">
      <c r="A856" s="2269"/>
      <c r="B856" s="2269"/>
      <c r="C856" s="2272"/>
      <c r="D856" s="2358"/>
      <c r="E856" s="2358"/>
      <c r="F856" s="2358"/>
      <c r="G856" s="2283"/>
      <c r="H856" s="2268"/>
      <c r="I856" s="2269"/>
      <c r="J856" s="2269"/>
      <c r="K856" s="2269"/>
      <c r="L856" s="2269"/>
      <c r="M856" s="2270"/>
      <c r="N856" s="2270"/>
      <c r="O856" s="2270"/>
      <c r="P856" s="2269"/>
      <c r="Q856" s="2269"/>
      <c r="R856" s="2269"/>
      <c r="S856" s="2269"/>
      <c r="T856" s="2269"/>
      <c r="U856" s="2269"/>
      <c r="V856" s="2269"/>
      <c r="W856" s="2269"/>
      <c r="X856" s="2269"/>
      <c r="Y856" s="2269"/>
      <c r="Z856" s="2269"/>
      <c r="AA856" s="2269"/>
    </row>
    <row r="857" spans="1:27" ht="13.5" customHeight="1" x14ac:dyDescent="0.3">
      <c r="A857" s="2269"/>
      <c r="B857" s="2269"/>
      <c r="C857" s="2272"/>
      <c r="D857" s="2358"/>
      <c r="E857" s="2358"/>
      <c r="F857" s="2358"/>
      <c r="G857" s="2283"/>
      <c r="H857" s="2268"/>
      <c r="I857" s="2269"/>
      <c r="J857" s="2269"/>
      <c r="K857" s="2269"/>
      <c r="L857" s="2269"/>
      <c r="M857" s="2270"/>
      <c r="N857" s="2270"/>
      <c r="O857" s="2270"/>
      <c r="P857" s="2269"/>
      <c r="Q857" s="2269"/>
      <c r="R857" s="2269"/>
      <c r="S857" s="2269"/>
      <c r="T857" s="2269"/>
      <c r="U857" s="2269"/>
      <c r="V857" s="2269"/>
      <c r="W857" s="2269"/>
      <c r="X857" s="2269"/>
      <c r="Y857" s="2269"/>
      <c r="Z857" s="2269"/>
      <c r="AA857" s="2269"/>
    </row>
    <row r="858" spans="1:27" ht="13.5" customHeight="1" x14ac:dyDescent="0.3">
      <c r="A858" s="2269"/>
      <c r="B858" s="2269"/>
      <c r="C858" s="2272"/>
      <c r="D858" s="2358"/>
      <c r="E858" s="2358"/>
      <c r="F858" s="2358"/>
      <c r="G858" s="2283"/>
      <c r="H858" s="2268"/>
      <c r="I858" s="2269"/>
      <c r="J858" s="2269"/>
      <c r="K858" s="2269"/>
      <c r="L858" s="2269"/>
      <c r="M858" s="2270"/>
      <c r="N858" s="2270"/>
      <c r="O858" s="2270"/>
      <c r="P858" s="2269"/>
      <c r="Q858" s="2269"/>
      <c r="R858" s="2269"/>
      <c r="S858" s="2269"/>
      <c r="T858" s="2269"/>
      <c r="U858" s="2269"/>
      <c r="V858" s="2269"/>
      <c r="W858" s="2269"/>
      <c r="X858" s="2269"/>
      <c r="Y858" s="2269"/>
      <c r="Z858" s="2269"/>
      <c r="AA858" s="2269"/>
    </row>
    <row r="859" spans="1:27" ht="13.5" customHeight="1" x14ac:dyDescent="0.3">
      <c r="A859" s="2269"/>
      <c r="B859" s="2269"/>
      <c r="C859" s="2272"/>
      <c r="D859" s="2358"/>
      <c r="E859" s="2358"/>
      <c r="F859" s="2358"/>
      <c r="G859" s="2283"/>
      <c r="H859" s="2268"/>
      <c r="I859" s="2269"/>
      <c r="J859" s="2269"/>
      <c r="K859" s="2269"/>
      <c r="L859" s="2269"/>
      <c r="M859" s="2270"/>
      <c r="N859" s="2270"/>
      <c r="O859" s="2270"/>
      <c r="P859" s="2269"/>
      <c r="Q859" s="2269"/>
      <c r="R859" s="2269"/>
      <c r="S859" s="2269"/>
      <c r="T859" s="2269"/>
      <c r="U859" s="2269"/>
      <c r="V859" s="2269"/>
      <c r="W859" s="2269"/>
      <c r="X859" s="2269"/>
      <c r="Y859" s="2269"/>
      <c r="Z859" s="2269"/>
      <c r="AA859" s="2269"/>
    </row>
    <row r="860" spans="1:27" ht="13.5" customHeight="1" x14ac:dyDescent="0.3">
      <c r="A860" s="2269"/>
      <c r="B860" s="2269"/>
      <c r="C860" s="2272"/>
      <c r="D860" s="2358"/>
      <c r="E860" s="2358"/>
      <c r="F860" s="2358"/>
      <c r="G860" s="2283"/>
      <c r="H860" s="2268"/>
      <c r="I860" s="2269"/>
      <c r="J860" s="2269"/>
      <c r="K860" s="2269"/>
      <c r="L860" s="2269"/>
      <c r="M860" s="2270"/>
      <c r="N860" s="2270"/>
      <c r="O860" s="2270"/>
      <c r="P860" s="2269"/>
      <c r="Q860" s="2269"/>
      <c r="R860" s="2269"/>
      <c r="S860" s="2269"/>
      <c r="T860" s="2269"/>
      <c r="U860" s="2269"/>
      <c r="V860" s="2269"/>
      <c r="W860" s="2269"/>
      <c r="X860" s="2269"/>
      <c r="Y860" s="2269"/>
      <c r="Z860" s="2269"/>
      <c r="AA860" s="2269"/>
    </row>
    <row r="861" spans="1:27" ht="13.5" customHeight="1" x14ac:dyDescent="0.3">
      <c r="A861" s="2269"/>
      <c r="B861" s="2269"/>
      <c r="C861" s="2272"/>
      <c r="D861" s="2358"/>
      <c r="E861" s="2358"/>
      <c r="F861" s="2358"/>
      <c r="G861" s="2283"/>
      <c r="H861" s="2268"/>
      <c r="I861" s="2269"/>
      <c r="J861" s="2269"/>
      <c r="K861" s="2269"/>
      <c r="L861" s="2269"/>
      <c r="M861" s="2270"/>
      <c r="N861" s="2270"/>
      <c r="O861" s="2270"/>
      <c r="P861" s="2269"/>
      <c r="Q861" s="2269"/>
      <c r="R861" s="2269"/>
      <c r="S861" s="2269"/>
      <c r="T861" s="2269"/>
      <c r="U861" s="2269"/>
      <c r="V861" s="2269"/>
      <c r="W861" s="2269"/>
      <c r="X861" s="2269"/>
      <c r="Y861" s="2269"/>
      <c r="Z861" s="2269"/>
      <c r="AA861" s="2269"/>
    </row>
    <row r="862" spans="1:27" ht="13.5" customHeight="1" x14ac:dyDescent="0.3">
      <c r="A862" s="2269"/>
      <c r="B862" s="2269"/>
      <c r="C862" s="2272"/>
      <c r="D862" s="2358"/>
      <c r="E862" s="2358"/>
      <c r="F862" s="2358"/>
      <c r="G862" s="2283"/>
      <c r="H862" s="2268"/>
      <c r="I862" s="2269"/>
      <c r="J862" s="2269"/>
      <c r="K862" s="2269"/>
      <c r="L862" s="2269"/>
      <c r="M862" s="2270"/>
      <c r="N862" s="2270"/>
      <c r="O862" s="2270"/>
      <c r="P862" s="2269"/>
      <c r="Q862" s="2269"/>
      <c r="R862" s="2269"/>
      <c r="S862" s="2269"/>
      <c r="T862" s="2269"/>
      <c r="U862" s="2269"/>
      <c r="V862" s="2269"/>
      <c r="W862" s="2269"/>
      <c r="X862" s="2269"/>
      <c r="Y862" s="2269"/>
      <c r="Z862" s="2269"/>
      <c r="AA862" s="2269"/>
    </row>
    <row r="863" spans="1:27" ht="13.5" customHeight="1" x14ac:dyDescent="0.3">
      <c r="A863" s="2269"/>
      <c r="B863" s="2269"/>
      <c r="C863" s="2272"/>
      <c r="D863" s="2358"/>
      <c r="E863" s="2358"/>
      <c r="F863" s="2358"/>
      <c r="G863" s="2283"/>
      <c r="H863" s="2268"/>
      <c r="I863" s="2269"/>
      <c r="J863" s="2269"/>
      <c r="K863" s="2269"/>
      <c r="L863" s="2269"/>
      <c r="M863" s="2270"/>
      <c r="N863" s="2270"/>
      <c r="O863" s="2270"/>
      <c r="P863" s="2269"/>
      <c r="Q863" s="2269"/>
      <c r="R863" s="2269"/>
      <c r="S863" s="2269"/>
      <c r="T863" s="2269"/>
      <c r="U863" s="2269"/>
      <c r="V863" s="2269"/>
      <c r="W863" s="2269"/>
      <c r="X863" s="2269"/>
      <c r="Y863" s="2269"/>
      <c r="Z863" s="2269"/>
      <c r="AA863" s="2269"/>
    </row>
    <row r="864" spans="1:27" ht="13.5" customHeight="1" x14ac:dyDescent="0.3">
      <c r="A864" s="2269"/>
      <c r="B864" s="2269"/>
      <c r="C864" s="2272"/>
      <c r="D864" s="2358"/>
      <c r="E864" s="2358"/>
      <c r="F864" s="2358"/>
      <c r="G864" s="2283"/>
      <c r="H864" s="2268"/>
      <c r="I864" s="2269"/>
      <c r="J864" s="2269"/>
      <c r="K864" s="2269"/>
      <c r="L864" s="2269"/>
      <c r="M864" s="2270"/>
      <c r="N864" s="2270"/>
      <c r="O864" s="2270"/>
      <c r="P864" s="2269"/>
      <c r="Q864" s="2269"/>
      <c r="R864" s="2269"/>
      <c r="S864" s="2269"/>
      <c r="T864" s="2269"/>
      <c r="U864" s="2269"/>
      <c r="V864" s="2269"/>
      <c r="W864" s="2269"/>
      <c r="X864" s="2269"/>
      <c r="Y864" s="2269"/>
      <c r="Z864" s="2269"/>
      <c r="AA864" s="2269"/>
    </row>
    <row r="865" spans="1:27" ht="13.5" customHeight="1" x14ac:dyDescent="0.3">
      <c r="A865" s="2269"/>
      <c r="B865" s="2269"/>
      <c r="C865" s="2272"/>
      <c r="D865" s="2358"/>
      <c r="E865" s="2358"/>
      <c r="F865" s="2358"/>
      <c r="G865" s="2283"/>
      <c r="H865" s="2268"/>
      <c r="I865" s="2269"/>
      <c r="J865" s="2269"/>
      <c r="K865" s="2269"/>
      <c r="L865" s="2269"/>
      <c r="M865" s="2270"/>
      <c r="N865" s="2270"/>
      <c r="O865" s="2270"/>
      <c r="P865" s="2269"/>
      <c r="Q865" s="2269"/>
      <c r="R865" s="2269"/>
      <c r="S865" s="2269"/>
      <c r="T865" s="2269"/>
      <c r="U865" s="2269"/>
      <c r="V865" s="2269"/>
      <c r="W865" s="2269"/>
      <c r="X865" s="2269"/>
      <c r="Y865" s="2269"/>
      <c r="Z865" s="2269"/>
      <c r="AA865" s="2269"/>
    </row>
    <row r="866" spans="1:27" ht="13.5" customHeight="1" x14ac:dyDescent="0.3">
      <c r="A866" s="2269"/>
      <c r="B866" s="2269"/>
      <c r="C866" s="2272"/>
      <c r="D866" s="2358"/>
      <c r="E866" s="2358"/>
      <c r="F866" s="2358"/>
      <c r="G866" s="2283"/>
      <c r="H866" s="2268"/>
      <c r="I866" s="2269"/>
      <c r="J866" s="2269"/>
      <c r="K866" s="2269"/>
      <c r="L866" s="2269"/>
      <c r="M866" s="2270"/>
      <c r="N866" s="2270"/>
      <c r="O866" s="2270"/>
      <c r="P866" s="2269"/>
      <c r="Q866" s="2269"/>
      <c r="R866" s="2269"/>
      <c r="S866" s="2269"/>
      <c r="T866" s="2269"/>
      <c r="U866" s="2269"/>
      <c r="V866" s="2269"/>
      <c r="W866" s="2269"/>
      <c r="X866" s="2269"/>
      <c r="Y866" s="2269"/>
      <c r="Z866" s="2269"/>
      <c r="AA866" s="2269"/>
    </row>
    <row r="867" spans="1:27" ht="13.5" customHeight="1" x14ac:dyDescent="0.3">
      <c r="A867" s="2269"/>
      <c r="B867" s="2269"/>
      <c r="C867" s="2272"/>
      <c r="D867" s="2358"/>
      <c r="E867" s="2358"/>
      <c r="F867" s="2358"/>
      <c r="G867" s="2283"/>
      <c r="H867" s="2268"/>
      <c r="I867" s="2269"/>
      <c r="J867" s="2269"/>
      <c r="K867" s="2269"/>
      <c r="L867" s="2269"/>
      <c r="M867" s="2270"/>
      <c r="N867" s="2270"/>
      <c r="O867" s="2270"/>
      <c r="P867" s="2269"/>
      <c r="Q867" s="2269"/>
      <c r="R867" s="2269"/>
      <c r="S867" s="2269"/>
      <c r="T867" s="2269"/>
      <c r="U867" s="2269"/>
      <c r="V867" s="2269"/>
      <c r="W867" s="2269"/>
      <c r="X867" s="2269"/>
      <c r="Y867" s="2269"/>
      <c r="Z867" s="2269"/>
      <c r="AA867" s="2269"/>
    </row>
    <row r="868" spans="1:27" ht="13.5" customHeight="1" x14ac:dyDescent="0.3">
      <c r="A868" s="2269"/>
      <c r="B868" s="2269"/>
      <c r="C868" s="2272"/>
      <c r="D868" s="2358"/>
      <c r="E868" s="2358"/>
      <c r="F868" s="2358"/>
      <c r="G868" s="2283"/>
      <c r="H868" s="2268"/>
      <c r="I868" s="2269"/>
      <c r="J868" s="2269"/>
      <c r="K868" s="2269"/>
      <c r="L868" s="2269"/>
      <c r="M868" s="2270"/>
      <c r="N868" s="2270"/>
      <c r="O868" s="2270"/>
      <c r="P868" s="2269"/>
      <c r="Q868" s="2269"/>
      <c r="R868" s="2269"/>
      <c r="S868" s="2269"/>
      <c r="T868" s="2269"/>
      <c r="U868" s="2269"/>
      <c r="V868" s="2269"/>
      <c r="W868" s="2269"/>
      <c r="X868" s="2269"/>
      <c r="Y868" s="2269"/>
      <c r="Z868" s="2269"/>
      <c r="AA868" s="2269"/>
    </row>
    <row r="869" spans="1:27" ht="13.5" customHeight="1" x14ac:dyDescent="0.3">
      <c r="A869" s="2269"/>
      <c r="B869" s="2269"/>
      <c r="C869" s="2272"/>
      <c r="D869" s="2358"/>
      <c r="E869" s="2358"/>
      <c r="F869" s="2358"/>
      <c r="G869" s="2283"/>
      <c r="H869" s="2268"/>
      <c r="I869" s="2269"/>
      <c r="J869" s="2269"/>
      <c r="K869" s="2269"/>
      <c r="L869" s="2269"/>
      <c r="M869" s="2270"/>
      <c r="N869" s="2270"/>
      <c r="O869" s="2270"/>
      <c r="P869" s="2269"/>
      <c r="Q869" s="2269"/>
      <c r="R869" s="2269"/>
      <c r="S869" s="2269"/>
      <c r="T869" s="2269"/>
      <c r="U869" s="2269"/>
      <c r="V869" s="2269"/>
      <c r="W869" s="2269"/>
      <c r="X869" s="2269"/>
      <c r="Y869" s="2269"/>
      <c r="Z869" s="2269"/>
      <c r="AA869" s="2269"/>
    </row>
    <row r="870" spans="1:27" ht="13.5" customHeight="1" x14ac:dyDescent="0.3">
      <c r="A870" s="2269"/>
      <c r="B870" s="2269"/>
      <c r="C870" s="2272"/>
      <c r="D870" s="2358"/>
      <c r="E870" s="2358"/>
      <c r="F870" s="2358"/>
      <c r="G870" s="2283"/>
      <c r="H870" s="2268"/>
      <c r="I870" s="2269"/>
      <c r="J870" s="2269"/>
      <c r="K870" s="2269"/>
      <c r="L870" s="2269"/>
      <c r="M870" s="2270"/>
      <c r="N870" s="2270"/>
      <c r="O870" s="2270"/>
      <c r="P870" s="2269"/>
      <c r="Q870" s="2269"/>
      <c r="R870" s="2269"/>
      <c r="S870" s="2269"/>
      <c r="T870" s="2269"/>
      <c r="U870" s="2269"/>
      <c r="V870" s="2269"/>
      <c r="W870" s="2269"/>
      <c r="X870" s="2269"/>
      <c r="Y870" s="2269"/>
      <c r="Z870" s="2269"/>
      <c r="AA870" s="2269"/>
    </row>
    <row r="871" spans="1:27" ht="13.5" customHeight="1" x14ac:dyDescent="0.3">
      <c r="A871" s="2269"/>
      <c r="B871" s="2269"/>
      <c r="C871" s="2272"/>
      <c r="D871" s="2358"/>
      <c r="E871" s="2358"/>
      <c r="F871" s="2358"/>
      <c r="G871" s="2283"/>
      <c r="H871" s="2268"/>
      <c r="I871" s="2269"/>
      <c r="J871" s="2269"/>
      <c r="K871" s="2269"/>
      <c r="L871" s="2269"/>
      <c r="M871" s="2270"/>
      <c r="N871" s="2270"/>
      <c r="O871" s="2270"/>
      <c r="P871" s="2269"/>
      <c r="Q871" s="2269"/>
      <c r="R871" s="2269"/>
      <c r="S871" s="2269"/>
      <c r="T871" s="2269"/>
      <c r="U871" s="2269"/>
      <c r="V871" s="2269"/>
      <c r="W871" s="2269"/>
      <c r="X871" s="2269"/>
      <c r="Y871" s="2269"/>
      <c r="Z871" s="2269"/>
      <c r="AA871" s="2269"/>
    </row>
    <row r="872" spans="1:27" ht="13.5" customHeight="1" x14ac:dyDescent="0.3">
      <c r="A872" s="2269"/>
      <c r="B872" s="2269"/>
      <c r="C872" s="2272"/>
      <c r="D872" s="2358"/>
      <c r="E872" s="2358"/>
      <c r="F872" s="2358"/>
      <c r="G872" s="2283"/>
      <c r="H872" s="2268"/>
      <c r="I872" s="2269"/>
      <c r="J872" s="2269"/>
      <c r="K872" s="2269"/>
      <c r="L872" s="2269"/>
      <c r="M872" s="2270"/>
      <c r="N872" s="2270"/>
      <c r="O872" s="2270"/>
      <c r="P872" s="2269"/>
      <c r="Q872" s="2269"/>
      <c r="R872" s="2269"/>
      <c r="S872" s="2269"/>
      <c r="T872" s="2269"/>
      <c r="U872" s="2269"/>
      <c r="V872" s="2269"/>
      <c r="W872" s="2269"/>
      <c r="X872" s="2269"/>
      <c r="Y872" s="2269"/>
      <c r="Z872" s="2269"/>
      <c r="AA872" s="2269"/>
    </row>
    <row r="873" spans="1:27" ht="13.5" customHeight="1" x14ac:dyDescent="0.3">
      <c r="A873" s="2269"/>
      <c r="B873" s="2269"/>
      <c r="C873" s="2272"/>
      <c r="D873" s="2358"/>
      <c r="E873" s="2358"/>
      <c r="F873" s="2358"/>
      <c r="G873" s="2283"/>
      <c r="H873" s="2268"/>
      <c r="I873" s="2269"/>
      <c r="J873" s="2269"/>
      <c r="K873" s="2269"/>
      <c r="L873" s="2269"/>
      <c r="M873" s="2270"/>
      <c r="N873" s="2270"/>
      <c r="O873" s="2270"/>
      <c r="P873" s="2269"/>
      <c r="Q873" s="2269"/>
      <c r="R873" s="2269"/>
      <c r="S873" s="2269"/>
      <c r="T873" s="2269"/>
      <c r="U873" s="2269"/>
      <c r="V873" s="2269"/>
      <c r="W873" s="2269"/>
      <c r="X873" s="2269"/>
      <c r="Y873" s="2269"/>
      <c r="Z873" s="2269"/>
      <c r="AA873" s="2269"/>
    </row>
    <row r="874" spans="1:27" ht="13.5" customHeight="1" x14ac:dyDescent="0.3">
      <c r="A874" s="2269"/>
      <c r="B874" s="2269"/>
      <c r="C874" s="2272"/>
      <c r="D874" s="2358"/>
      <c r="E874" s="2358"/>
      <c r="F874" s="2358"/>
      <c r="G874" s="2283"/>
      <c r="H874" s="2268"/>
      <c r="I874" s="2269"/>
      <c r="J874" s="2269"/>
      <c r="K874" s="2269"/>
      <c r="L874" s="2269"/>
      <c r="M874" s="2270"/>
      <c r="N874" s="2270"/>
      <c r="O874" s="2270"/>
      <c r="P874" s="2269"/>
      <c r="Q874" s="2269"/>
      <c r="R874" s="2269"/>
      <c r="S874" s="2269"/>
      <c r="T874" s="2269"/>
      <c r="U874" s="2269"/>
      <c r="V874" s="2269"/>
      <c r="W874" s="2269"/>
      <c r="X874" s="2269"/>
      <c r="Y874" s="2269"/>
      <c r="Z874" s="2269"/>
      <c r="AA874" s="2269"/>
    </row>
    <row r="875" spans="1:27" ht="13.5" customHeight="1" x14ac:dyDescent="0.3">
      <c r="A875" s="2269"/>
      <c r="B875" s="2269"/>
      <c r="C875" s="2272"/>
      <c r="D875" s="2358"/>
      <c r="E875" s="2358"/>
      <c r="F875" s="2358"/>
      <c r="G875" s="2283"/>
      <c r="H875" s="2268"/>
      <c r="I875" s="2269"/>
      <c r="J875" s="2269"/>
      <c r="K875" s="2269"/>
      <c r="L875" s="2269"/>
      <c r="M875" s="2270"/>
      <c r="N875" s="2270"/>
      <c r="O875" s="2270"/>
      <c r="P875" s="2269"/>
      <c r="Q875" s="2269"/>
      <c r="R875" s="2269"/>
      <c r="S875" s="2269"/>
      <c r="T875" s="2269"/>
      <c r="U875" s="2269"/>
      <c r="V875" s="2269"/>
      <c r="W875" s="2269"/>
      <c r="X875" s="2269"/>
      <c r="Y875" s="2269"/>
      <c r="Z875" s="2269"/>
      <c r="AA875" s="2269"/>
    </row>
    <row r="876" spans="1:27" ht="13.5" customHeight="1" x14ac:dyDescent="0.3">
      <c r="A876" s="2269"/>
      <c r="B876" s="2269"/>
      <c r="C876" s="2272"/>
      <c r="D876" s="2358"/>
      <c r="E876" s="2358"/>
      <c r="F876" s="2358"/>
      <c r="G876" s="2283"/>
      <c r="H876" s="2268"/>
      <c r="I876" s="2269"/>
      <c r="J876" s="2269"/>
      <c r="K876" s="2269"/>
      <c r="L876" s="2269"/>
      <c r="M876" s="2270"/>
      <c r="N876" s="2270"/>
      <c r="O876" s="2270"/>
      <c r="P876" s="2269"/>
      <c r="Q876" s="2269"/>
      <c r="R876" s="2269"/>
      <c r="S876" s="2269"/>
      <c r="T876" s="2269"/>
      <c r="U876" s="2269"/>
      <c r="V876" s="2269"/>
      <c r="W876" s="2269"/>
      <c r="X876" s="2269"/>
      <c r="Y876" s="2269"/>
      <c r="Z876" s="2269"/>
      <c r="AA876" s="2269"/>
    </row>
    <row r="877" spans="1:27" ht="13.5" customHeight="1" x14ac:dyDescent="0.3">
      <c r="A877" s="2269"/>
      <c r="B877" s="2269"/>
      <c r="C877" s="2272"/>
      <c r="D877" s="2358"/>
      <c r="E877" s="2358"/>
      <c r="F877" s="2358"/>
      <c r="G877" s="2283"/>
      <c r="H877" s="2268"/>
      <c r="I877" s="2269"/>
      <c r="J877" s="2269"/>
      <c r="K877" s="2269"/>
      <c r="L877" s="2269"/>
      <c r="M877" s="2270"/>
      <c r="N877" s="2270"/>
      <c r="O877" s="2270"/>
      <c r="P877" s="2269"/>
      <c r="Q877" s="2269"/>
      <c r="R877" s="2269"/>
      <c r="S877" s="2269"/>
      <c r="T877" s="2269"/>
      <c r="U877" s="2269"/>
      <c r="V877" s="2269"/>
      <c r="W877" s="2269"/>
      <c r="X877" s="2269"/>
      <c r="Y877" s="2269"/>
      <c r="Z877" s="2269"/>
      <c r="AA877" s="2269"/>
    </row>
    <row r="878" spans="1:27" ht="13.5" customHeight="1" x14ac:dyDescent="0.3">
      <c r="A878" s="2269"/>
      <c r="B878" s="2269"/>
      <c r="C878" s="2272"/>
      <c r="D878" s="2358"/>
      <c r="E878" s="2358"/>
      <c r="F878" s="2358"/>
      <c r="G878" s="2283"/>
      <c r="H878" s="2268"/>
      <c r="I878" s="2269"/>
      <c r="J878" s="2269"/>
      <c r="K878" s="2269"/>
      <c r="L878" s="2269"/>
      <c r="M878" s="2270"/>
      <c r="N878" s="2270"/>
      <c r="O878" s="2270"/>
      <c r="P878" s="2269"/>
      <c r="Q878" s="2269"/>
      <c r="R878" s="2269"/>
      <c r="S878" s="2269"/>
      <c r="T878" s="2269"/>
      <c r="U878" s="2269"/>
      <c r="V878" s="2269"/>
      <c r="W878" s="2269"/>
      <c r="X878" s="2269"/>
      <c r="Y878" s="2269"/>
      <c r="Z878" s="2269"/>
      <c r="AA878" s="2269"/>
    </row>
    <row r="879" spans="1:27" ht="13.5" customHeight="1" x14ac:dyDescent="0.3">
      <c r="A879" s="2269"/>
      <c r="B879" s="2269"/>
      <c r="C879" s="2272"/>
      <c r="D879" s="2358"/>
      <c r="E879" s="2358"/>
      <c r="F879" s="2358"/>
      <c r="G879" s="2283"/>
      <c r="H879" s="2268"/>
      <c r="I879" s="2269"/>
      <c r="J879" s="2269"/>
      <c r="K879" s="2269"/>
      <c r="L879" s="2269"/>
      <c r="M879" s="2270"/>
      <c r="N879" s="2270"/>
      <c r="O879" s="2270"/>
      <c r="P879" s="2269"/>
      <c r="Q879" s="2269"/>
      <c r="R879" s="2269"/>
      <c r="S879" s="2269"/>
      <c r="T879" s="2269"/>
      <c r="U879" s="2269"/>
      <c r="V879" s="2269"/>
      <c r="W879" s="2269"/>
      <c r="X879" s="2269"/>
      <c r="Y879" s="2269"/>
      <c r="Z879" s="2269"/>
      <c r="AA879" s="2269"/>
    </row>
    <row r="880" spans="1:27" ht="13.5" customHeight="1" x14ac:dyDescent="0.3">
      <c r="A880" s="2269"/>
      <c r="B880" s="2269"/>
      <c r="C880" s="2272"/>
      <c r="D880" s="2358"/>
      <c r="E880" s="2358"/>
      <c r="F880" s="2358"/>
      <c r="G880" s="2283"/>
      <c r="H880" s="2268"/>
      <c r="I880" s="2269"/>
      <c r="J880" s="2269"/>
      <c r="K880" s="2269"/>
      <c r="L880" s="2269"/>
      <c r="M880" s="2270"/>
      <c r="N880" s="2270"/>
      <c r="O880" s="2270"/>
      <c r="P880" s="2269"/>
      <c r="Q880" s="2269"/>
      <c r="R880" s="2269"/>
      <c r="S880" s="2269"/>
      <c r="T880" s="2269"/>
      <c r="U880" s="2269"/>
      <c r="V880" s="2269"/>
      <c r="W880" s="2269"/>
      <c r="X880" s="2269"/>
      <c r="Y880" s="2269"/>
      <c r="Z880" s="2269"/>
      <c r="AA880" s="2269"/>
    </row>
    <row r="881" spans="1:27" ht="13.5" customHeight="1" x14ac:dyDescent="0.3">
      <c r="A881" s="2269"/>
      <c r="B881" s="2269"/>
      <c r="C881" s="2272"/>
      <c r="D881" s="2358"/>
      <c r="E881" s="2358"/>
      <c r="F881" s="2358"/>
      <c r="G881" s="2283"/>
      <c r="H881" s="2268"/>
      <c r="I881" s="2269"/>
      <c r="J881" s="2269"/>
      <c r="K881" s="2269"/>
      <c r="L881" s="2269"/>
      <c r="M881" s="2270"/>
      <c r="N881" s="2270"/>
      <c r="O881" s="2270"/>
      <c r="P881" s="2269"/>
      <c r="Q881" s="2269"/>
      <c r="R881" s="2269"/>
      <c r="S881" s="2269"/>
      <c r="T881" s="2269"/>
      <c r="U881" s="2269"/>
      <c r="V881" s="2269"/>
      <c r="W881" s="2269"/>
      <c r="X881" s="2269"/>
      <c r="Y881" s="2269"/>
      <c r="Z881" s="2269"/>
      <c r="AA881" s="2269"/>
    </row>
    <row r="882" spans="1:27" ht="13.5" customHeight="1" x14ac:dyDescent="0.3">
      <c r="A882" s="2269"/>
      <c r="B882" s="2269"/>
      <c r="C882" s="2272"/>
      <c r="D882" s="2358"/>
      <c r="E882" s="2358"/>
      <c r="F882" s="2358"/>
      <c r="G882" s="2283"/>
      <c r="H882" s="2268"/>
      <c r="I882" s="2269"/>
      <c r="J882" s="2269"/>
      <c r="K882" s="2269"/>
      <c r="L882" s="2269"/>
      <c r="M882" s="2270"/>
      <c r="N882" s="2270"/>
      <c r="O882" s="2270"/>
      <c r="P882" s="2269"/>
      <c r="Q882" s="2269"/>
      <c r="R882" s="2269"/>
      <c r="S882" s="2269"/>
      <c r="T882" s="2269"/>
      <c r="U882" s="2269"/>
      <c r="V882" s="2269"/>
      <c r="W882" s="2269"/>
      <c r="X882" s="2269"/>
      <c r="Y882" s="2269"/>
      <c r="Z882" s="2269"/>
      <c r="AA882" s="2269"/>
    </row>
    <row r="883" spans="1:27" ht="13.5" customHeight="1" x14ac:dyDescent="0.3">
      <c r="A883" s="2269"/>
      <c r="B883" s="2269"/>
      <c r="C883" s="2272"/>
      <c r="D883" s="2358"/>
      <c r="E883" s="2358"/>
      <c r="F883" s="2358"/>
      <c r="G883" s="2283"/>
      <c r="H883" s="2268"/>
      <c r="I883" s="2269"/>
      <c r="J883" s="2269"/>
      <c r="K883" s="2269"/>
      <c r="L883" s="2269"/>
      <c r="M883" s="2270"/>
      <c r="N883" s="2270"/>
      <c r="O883" s="2270"/>
      <c r="P883" s="2269"/>
      <c r="Q883" s="2269"/>
      <c r="R883" s="2269"/>
      <c r="S883" s="2269"/>
      <c r="T883" s="2269"/>
      <c r="U883" s="2269"/>
      <c r="V883" s="2269"/>
      <c r="W883" s="2269"/>
      <c r="X883" s="2269"/>
      <c r="Y883" s="2269"/>
      <c r="Z883" s="2269"/>
      <c r="AA883" s="2269"/>
    </row>
    <row r="884" spans="1:27" ht="13.5" customHeight="1" x14ac:dyDescent="0.3">
      <c r="A884" s="2269"/>
      <c r="B884" s="2269"/>
      <c r="C884" s="2272"/>
      <c r="D884" s="2358"/>
      <c r="E884" s="2358"/>
      <c r="F884" s="2358"/>
      <c r="G884" s="2283"/>
      <c r="H884" s="2268"/>
      <c r="I884" s="2269"/>
      <c r="J884" s="2269"/>
      <c r="K884" s="2269"/>
      <c r="L884" s="2269"/>
      <c r="M884" s="2270"/>
      <c r="N884" s="2270"/>
      <c r="O884" s="2270"/>
      <c r="P884" s="2269"/>
      <c r="Q884" s="2269"/>
      <c r="R884" s="2269"/>
      <c r="S884" s="2269"/>
      <c r="T884" s="2269"/>
      <c r="U884" s="2269"/>
      <c r="V884" s="2269"/>
      <c r="W884" s="2269"/>
      <c r="X884" s="2269"/>
      <c r="Y884" s="2269"/>
      <c r="Z884" s="2269"/>
      <c r="AA884" s="2269"/>
    </row>
    <row r="885" spans="1:27" ht="13.5" customHeight="1" x14ac:dyDescent="0.3">
      <c r="A885" s="2269"/>
      <c r="B885" s="2269"/>
      <c r="C885" s="2272"/>
      <c r="D885" s="2358"/>
      <c r="E885" s="2358"/>
      <c r="F885" s="2358"/>
      <c r="G885" s="2283"/>
      <c r="H885" s="2268"/>
      <c r="I885" s="2269"/>
      <c r="J885" s="2269"/>
      <c r="K885" s="2269"/>
      <c r="L885" s="2269"/>
      <c r="M885" s="2270"/>
      <c r="N885" s="2270"/>
      <c r="O885" s="2270"/>
      <c r="P885" s="2269"/>
      <c r="Q885" s="2269"/>
      <c r="R885" s="2269"/>
      <c r="S885" s="2269"/>
      <c r="T885" s="2269"/>
      <c r="U885" s="2269"/>
      <c r="V885" s="2269"/>
      <c r="W885" s="2269"/>
      <c r="X885" s="2269"/>
      <c r="Y885" s="2269"/>
      <c r="Z885" s="2269"/>
      <c r="AA885" s="2269"/>
    </row>
    <row r="886" spans="1:27" ht="13.5" customHeight="1" x14ac:dyDescent="0.3">
      <c r="A886" s="2269"/>
      <c r="B886" s="2269"/>
      <c r="C886" s="2272"/>
      <c r="D886" s="2358"/>
      <c r="E886" s="2358"/>
      <c r="F886" s="2358"/>
      <c r="G886" s="2283"/>
      <c r="H886" s="2268"/>
      <c r="I886" s="2269"/>
      <c r="J886" s="2269"/>
      <c r="K886" s="2269"/>
      <c r="L886" s="2269"/>
      <c r="M886" s="2270"/>
      <c r="N886" s="2270"/>
      <c r="O886" s="2270"/>
      <c r="P886" s="2269"/>
      <c r="Q886" s="2269"/>
      <c r="R886" s="2269"/>
      <c r="S886" s="2269"/>
      <c r="T886" s="2269"/>
      <c r="U886" s="2269"/>
      <c r="V886" s="2269"/>
      <c r="W886" s="2269"/>
      <c r="X886" s="2269"/>
      <c r="Y886" s="2269"/>
      <c r="Z886" s="2269"/>
      <c r="AA886" s="2269"/>
    </row>
    <row r="887" spans="1:27" ht="13.5" customHeight="1" x14ac:dyDescent="0.3">
      <c r="A887" s="2269"/>
      <c r="B887" s="2269"/>
      <c r="C887" s="2272"/>
      <c r="D887" s="2358"/>
      <c r="E887" s="2358"/>
      <c r="F887" s="2358"/>
      <c r="G887" s="2283"/>
      <c r="H887" s="2268"/>
      <c r="I887" s="2269"/>
      <c r="J887" s="2269"/>
      <c r="K887" s="2269"/>
      <c r="L887" s="2269"/>
      <c r="M887" s="2270"/>
      <c r="N887" s="2270"/>
      <c r="O887" s="2270"/>
      <c r="P887" s="2269"/>
      <c r="Q887" s="2269"/>
      <c r="R887" s="2269"/>
      <c r="S887" s="2269"/>
      <c r="T887" s="2269"/>
      <c r="U887" s="2269"/>
      <c r="V887" s="2269"/>
      <c r="W887" s="2269"/>
      <c r="X887" s="2269"/>
      <c r="Y887" s="2269"/>
      <c r="Z887" s="2269"/>
      <c r="AA887" s="2269"/>
    </row>
    <row r="888" spans="1:27" ht="13.5" customHeight="1" x14ac:dyDescent="0.3">
      <c r="A888" s="2269"/>
      <c r="B888" s="2269"/>
      <c r="C888" s="2272"/>
      <c r="D888" s="2358"/>
      <c r="E888" s="2358"/>
      <c r="F888" s="2358"/>
      <c r="G888" s="2283"/>
      <c r="H888" s="2268"/>
      <c r="I888" s="2269"/>
      <c r="J888" s="2269"/>
      <c r="K888" s="2269"/>
      <c r="L888" s="2269"/>
      <c r="M888" s="2270"/>
      <c r="N888" s="2270"/>
      <c r="O888" s="2270"/>
      <c r="P888" s="2269"/>
      <c r="Q888" s="2269"/>
      <c r="R888" s="2269"/>
      <c r="S888" s="2269"/>
      <c r="T888" s="2269"/>
      <c r="U888" s="2269"/>
      <c r="V888" s="2269"/>
      <c r="W888" s="2269"/>
      <c r="X888" s="2269"/>
      <c r="Y888" s="2269"/>
      <c r="Z888" s="2269"/>
      <c r="AA888" s="2269"/>
    </row>
    <row r="889" spans="1:27" ht="13.5" customHeight="1" x14ac:dyDescent="0.3">
      <c r="A889" s="2269"/>
      <c r="B889" s="2269"/>
      <c r="C889" s="2272"/>
      <c r="D889" s="2358"/>
      <c r="E889" s="2358"/>
      <c r="F889" s="2358"/>
      <c r="G889" s="2283"/>
      <c r="H889" s="2268"/>
      <c r="I889" s="2269"/>
      <c r="J889" s="2269"/>
      <c r="K889" s="2269"/>
      <c r="L889" s="2269"/>
      <c r="M889" s="2270"/>
      <c r="N889" s="2270"/>
      <c r="O889" s="2270"/>
      <c r="P889" s="2269"/>
      <c r="Q889" s="2269"/>
      <c r="R889" s="2269"/>
      <c r="S889" s="2269"/>
      <c r="T889" s="2269"/>
      <c r="U889" s="2269"/>
      <c r="V889" s="2269"/>
      <c r="W889" s="2269"/>
      <c r="X889" s="2269"/>
      <c r="Y889" s="2269"/>
      <c r="Z889" s="2269"/>
      <c r="AA889" s="2269"/>
    </row>
    <row r="890" spans="1:27" ht="13.5" customHeight="1" x14ac:dyDescent="0.3">
      <c r="A890" s="2269"/>
      <c r="B890" s="2269"/>
      <c r="C890" s="2272"/>
      <c r="D890" s="2358"/>
      <c r="E890" s="2358"/>
      <c r="F890" s="2358"/>
      <c r="G890" s="2283"/>
      <c r="H890" s="2268"/>
      <c r="I890" s="2269"/>
      <c r="J890" s="2269"/>
      <c r="K890" s="2269"/>
      <c r="L890" s="2269"/>
      <c r="M890" s="2270"/>
      <c r="N890" s="2270"/>
      <c r="O890" s="2270"/>
      <c r="P890" s="2269"/>
      <c r="Q890" s="2269"/>
      <c r="R890" s="2269"/>
      <c r="S890" s="2269"/>
      <c r="T890" s="2269"/>
      <c r="U890" s="2269"/>
      <c r="V890" s="2269"/>
      <c r="W890" s="2269"/>
      <c r="X890" s="2269"/>
      <c r="Y890" s="2269"/>
      <c r="Z890" s="2269"/>
      <c r="AA890" s="2269"/>
    </row>
    <row r="891" spans="1:27" ht="13.5" customHeight="1" x14ac:dyDescent="0.3">
      <c r="A891" s="2269"/>
      <c r="B891" s="2269"/>
      <c r="C891" s="2272"/>
      <c r="D891" s="2358"/>
      <c r="E891" s="2358"/>
      <c r="F891" s="2358"/>
      <c r="G891" s="2283"/>
      <c r="H891" s="2268"/>
      <c r="I891" s="2269"/>
      <c r="J891" s="2269"/>
      <c r="K891" s="2269"/>
      <c r="L891" s="2269"/>
      <c r="M891" s="2270"/>
      <c r="N891" s="2270"/>
      <c r="O891" s="2270"/>
      <c r="P891" s="2269"/>
      <c r="Q891" s="2269"/>
      <c r="R891" s="2269"/>
      <c r="S891" s="2269"/>
      <c r="T891" s="2269"/>
      <c r="U891" s="2269"/>
      <c r="V891" s="2269"/>
      <c r="W891" s="2269"/>
      <c r="X891" s="2269"/>
      <c r="Y891" s="2269"/>
      <c r="Z891" s="2269"/>
      <c r="AA891" s="2269"/>
    </row>
    <row r="892" spans="1:27" ht="13.5" customHeight="1" x14ac:dyDescent="0.3">
      <c r="A892" s="2269"/>
      <c r="B892" s="2269"/>
      <c r="C892" s="2272"/>
      <c r="D892" s="2358"/>
      <c r="E892" s="2358"/>
      <c r="F892" s="2358"/>
      <c r="G892" s="2283"/>
      <c r="H892" s="2268"/>
      <c r="I892" s="2269"/>
      <c r="J892" s="2269"/>
      <c r="K892" s="2269"/>
      <c r="L892" s="2269"/>
      <c r="M892" s="2270"/>
      <c r="N892" s="2270"/>
      <c r="O892" s="2270"/>
      <c r="P892" s="2269"/>
      <c r="Q892" s="2269"/>
      <c r="R892" s="2269"/>
      <c r="S892" s="2269"/>
      <c r="T892" s="2269"/>
      <c r="U892" s="2269"/>
      <c r="V892" s="2269"/>
      <c r="W892" s="2269"/>
      <c r="X892" s="2269"/>
      <c r="Y892" s="2269"/>
      <c r="Z892" s="2269"/>
      <c r="AA892" s="2269"/>
    </row>
    <row r="893" spans="1:27" ht="13.5" customHeight="1" x14ac:dyDescent="0.3">
      <c r="A893" s="2269"/>
      <c r="B893" s="2269"/>
      <c r="C893" s="2272"/>
      <c r="D893" s="2358"/>
      <c r="E893" s="2358"/>
      <c r="F893" s="2358"/>
      <c r="G893" s="2283"/>
      <c r="H893" s="2268"/>
      <c r="I893" s="2269"/>
      <c r="J893" s="2269"/>
      <c r="K893" s="2269"/>
      <c r="L893" s="2269"/>
      <c r="M893" s="2270"/>
      <c r="N893" s="2270"/>
      <c r="O893" s="2270"/>
      <c r="P893" s="2269"/>
      <c r="Q893" s="2269"/>
      <c r="R893" s="2269"/>
      <c r="S893" s="2269"/>
      <c r="T893" s="2269"/>
      <c r="U893" s="2269"/>
      <c r="V893" s="2269"/>
      <c r="W893" s="2269"/>
      <c r="X893" s="2269"/>
      <c r="Y893" s="2269"/>
      <c r="Z893" s="2269"/>
      <c r="AA893" s="2269"/>
    </row>
    <row r="894" spans="1:27" ht="13.5" customHeight="1" x14ac:dyDescent="0.3">
      <c r="A894" s="2269"/>
      <c r="B894" s="2269"/>
      <c r="C894" s="2272"/>
      <c r="D894" s="2358"/>
      <c r="E894" s="2358"/>
      <c r="F894" s="2358"/>
      <c r="G894" s="2283"/>
      <c r="H894" s="2268"/>
      <c r="I894" s="2269"/>
      <c r="J894" s="2269"/>
      <c r="K894" s="2269"/>
      <c r="L894" s="2269"/>
      <c r="M894" s="2270"/>
      <c r="N894" s="2270"/>
      <c r="O894" s="2270"/>
      <c r="P894" s="2269"/>
      <c r="Q894" s="2269"/>
      <c r="R894" s="2269"/>
      <c r="S894" s="2269"/>
      <c r="T894" s="2269"/>
      <c r="U894" s="2269"/>
      <c r="V894" s="2269"/>
      <c r="W894" s="2269"/>
      <c r="X894" s="2269"/>
      <c r="Y894" s="2269"/>
      <c r="Z894" s="2269"/>
      <c r="AA894" s="2269"/>
    </row>
    <row r="895" spans="1:27" ht="13.5" customHeight="1" x14ac:dyDescent="0.3">
      <c r="A895" s="2269"/>
      <c r="B895" s="2269"/>
      <c r="C895" s="2272"/>
      <c r="D895" s="2358"/>
      <c r="E895" s="2358"/>
      <c r="F895" s="2358"/>
      <c r="G895" s="2283"/>
      <c r="H895" s="2268"/>
      <c r="I895" s="2269"/>
      <c r="J895" s="2269"/>
      <c r="K895" s="2269"/>
      <c r="L895" s="2269"/>
      <c r="M895" s="2270"/>
      <c r="N895" s="2270"/>
      <c r="O895" s="2270"/>
      <c r="P895" s="2269"/>
      <c r="Q895" s="2269"/>
      <c r="R895" s="2269"/>
      <c r="S895" s="2269"/>
      <c r="T895" s="2269"/>
      <c r="U895" s="2269"/>
      <c r="V895" s="2269"/>
      <c r="W895" s="2269"/>
      <c r="X895" s="2269"/>
      <c r="Y895" s="2269"/>
      <c r="Z895" s="2269"/>
      <c r="AA895" s="2269"/>
    </row>
    <row r="896" spans="1:27" ht="13.5" customHeight="1" x14ac:dyDescent="0.3">
      <c r="A896" s="2269"/>
      <c r="B896" s="2269"/>
      <c r="C896" s="2272"/>
      <c r="D896" s="2358"/>
      <c r="E896" s="2358"/>
      <c r="F896" s="2358"/>
      <c r="G896" s="2283"/>
      <c r="H896" s="2268"/>
      <c r="I896" s="2269"/>
      <c r="J896" s="2269"/>
      <c r="K896" s="2269"/>
      <c r="L896" s="2269"/>
      <c r="M896" s="2270"/>
      <c r="N896" s="2270"/>
      <c r="O896" s="2270"/>
      <c r="P896" s="2269"/>
      <c r="Q896" s="2269"/>
      <c r="R896" s="2269"/>
      <c r="S896" s="2269"/>
      <c r="T896" s="2269"/>
      <c r="U896" s="2269"/>
      <c r="V896" s="2269"/>
      <c r="W896" s="2269"/>
      <c r="X896" s="2269"/>
      <c r="Y896" s="2269"/>
      <c r="Z896" s="2269"/>
      <c r="AA896" s="2269"/>
    </row>
    <row r="897" spans="1:27" ht="13.5" customHeight="1" x14ac:dyDescent="0.3">
      <c r="A897" s="2269"/>
      <c r="B897" s="2269"/>
      <c r="C897" s="2272"/>
      <c r="D897" s="2358"/>
      <c r="E897" s="2358"/>
      <c r="F897" s="2358"/>
      <c r="G897" s="2283"/>
      <c r="H897" s="2268"/>
      <c r="I897" s="2269"/>
      <c r="J897" s="2269"/>
      <c r="K897" s="2269"/>
      <c r="L897" s="2269"/>
      <c r="M897" s="2270"/>
      <c r="N897" s="2270"/>
      <c r="O897" s="2270"/>
      <c r="P897" s="2269"/>
      <c r="Q897" s="2269"/>
      <c r="R897" s="2269"/>
      <c r="S897" s="2269"/>
      <c r="T897" s="2269"/>
      <c r="U897" s="2269"/>
      <c r="V897" s="2269"/>
      <c r="W897" s="2269"/>
      <c r="X897" s="2269"/>
      <c r="Y897" s="2269"/>
      <c r="Z897" s="2269"/>
      <c r="AA897" s="2269"/>
    </row>
    <row r="898" spans="1:27" ht="13.5" customHeight="1" x14ac:dyDescent="0.3">
      <c r="A898" s="2269"/>
      <c r="B898" s="2269"/>
      <c r="C898" s="2272"/>
      <c r="D898" s="2358"/>
      <c r="E898" s="2358"/>
      <c r="F898" s="2358"/>
      <c r="G898" s="2283"/>
      <c r="H898" s="2268"/>
      <c r="I898" s="2269"/>
      <c r="J898" s="2269"/>
      <c r="K898" s="2269"/>
      <c r="L898" s="2269"/>
      <c r="M898" s="2270"/>
      <c r="N898" s="2270"/>
      <c r="O898" s="2270"/>
      <c r="P898" s="2269"/>
      <c r="Q898" s="2269"/>
      <c r="R898" s="2269"/>
      <c r="S898" s="2269"/>
      <c r="T898" s="2269"/>
      <c r="U898" s="2269"/>
      <c r="V898" s="2269"/>
      <c r="W898" s="2269"/>
      <c r="X898" s="2269"/>
      <c r="Y898" s="2269"/>
      <c r="Z898" s="2269"/>
      <c r="AA898" s="2269"/>
    </row>
    <row r="899" spans="1:27" ht="13.5" customHeight="1" x14ac:dyDescent="0.3">
      <c r="A899" s="2269"/>
      <c r="B899" s="2269"/>
      <c r="C899" s="2272"/>
      <c r="D899" s="2358"/>
      <c r="E899" s="2358"/>
      <c r="F899" s="2358"/>
      <c r="G899" s="2283"/>
      <c r="H899" s="2268"/>
      <c r="I899" s="2269"/>
      <c r="J899" s="2269"/>
      <c r="K899" s="2269"/>
      <c r="L899" s="2269"/>
      <c r="M899" s="2270"/>
      <c r="N899" s="2270"/>
      <c r="O899" s="2270"/>
      <c r="P899" s="2269"/>
      <c r="Q899" s="2269"/>
      <c r="R899" s="2269"/>
      <c r="S899" s="2269"/>
      <c r="T899" s="2269"/>
      <c r="U899" s="2269"/>
      <c r="V899" s="2269"/>
      <c r="W899" s="2269"/>
      <c r="X899" s="2269"/>
      <c r="Y899" s="2269"/>
      <c r="Z899" s="2269"/>
      <c r="AA899" s="2269"/>
    </row>
    <row r="900" spans="1:27" ht="13.5" customHeight="1" x14ac:dyDescent="0.3">
      <c r="A900" s="2269"/>
      <c r="B900" s="2269"/>
      <c r="C900" s="2272"/>
      <c r="D900" s="2358"/>
      <c r="E900" s="2358"/>
      <c r="F900" s="2358"/>
      <c r="G900" s="2283"/>
      <c r="H900" s="2268"/>
      <c r="I900" s="2269"/>
      <c r="J900" s="2269"/>
      <c r="K900" s="2269"/>
      <c r="L900" s="2269"/>
      <c r="M900" s="2270"/>
      <c r="N900" s="2270"/>
      <c r="O900" s="2270"/>
      <c r="P900" s="2269"/>
      <c r="Q900" s="2269"/>
      <c r="R900" s="2269"/>
      <c r="S900" s="2269"/>
      <c r="T900" s="2269"/>
      <c r="U900" s="2269"/>
      <c r="V900" s="2269"/>
      <c r="W900" s="2269"/>
      <c r="X900" s="2269"/>
      <c r="Y900" s="2269"/>
      <c r="Z900" s="2269"/>
      <c r="AA900" s="2269"/>
    </row>
    <row r="901" spans="1:27" ht="13.5" customHeight="1" x14ac:dyDescent="0.3">
      <c r="A901" s="2269"/>
      <c r="B901" s="2269"/>
      <c r="C901" s="2272"/>
      <c r="D901" s="2358"/>
      <c r="E901" s="2358"/>
      <c r="F901" s="2358"/>
      <c r="G901" s="2283"/>
      <c r="H901" s="2268"/>
      <c r="I901" s="2269"/>
      <c r="J901" s="2269"/>
      <c r="K901" s="2269"/>
      <c r="L901" s="2269"/>
      <c r="M901" s="2270"/>
      <c r="N901" s="2270"/>
      <c r="O901" s="2270"/>
      <c r="P901" s="2269"/>
      <c r="Q901" s="2269"/>
      <c r="R901" s="2269"/>
      <c r="S901" s="2269"/>
      <c r="T901" s="2269"/>
      <c r="U901" s="2269"/>
      <c r="V901" s="2269"/>
      <c r="W901" s="2269"/>
      <c r="X901" s="2269"/>
      <c r="Y901" s="2269"/>
      <c r="Z901" s="2269"/>
      <c r="AA901" s="2269"/>
    </row>
    <row r="902" spans="1:27" ht="13.5" customHeight="1" x14ac:dyDescent="0.3">
      <c r="A902" s="2269"/>
      <c r="B902" s="2269"/>
      <c r="C902" s="2272"/>
      <c r="D902" s="2358"/>
      <c r="E902" s="2358"/>
      <c r="F902" s="2358"/>
      <c r="G902" s="2283"/>
      <c r="H902" s="2268"/>
      <c r="I902" s="2269"/>
      <c r="J902" s="2269"/>
      <c r="K902" s="2269"/>
      <c r="L902" s="2269"/>
      <c r="M902" s="2270"/>
      <c r="N902" s="2270"/>
      <c r="O902" s="2270"/>
      <c r="P902" s="2269"/>
      <c r="Q902" s="2269"/>
      <c r="R902" s="2269"/>
      <c r="S902" s="2269"/>
      <c r="T902" s="2269"/>
      <c r="U902" s="2269"/>
      <c r="V902" s="2269"/>
      <c r="W902" s="2269"/>
      <c r="X902" s="2269"/>
      <c r="Y902" s="2269"/>
      <c r="Z902" s="2269"/>
      <c r="AA902" s="2269"/>
    </row>
    <row r="903" spans="1:27" ht="13.5" customHeight="1" x14ac:dyDescent="0.3">
      <c r="A903" s="2269"/>
      <c r="B903" s="2269"/>
      <c r="C903" s="2272"/>
      <c r="D903" s="2358"/>
      <c r="E903" s="2358"/>
      <c r="F903" s="2358"/>
      <c r="G903" s="2283"/>
      <c r="H903" s="2268"/>
      <c r="I903" s="2269"/>
      <c r="J903" s="2269"/>
      <c r="K903" s="2269"/>
      <c r="L903" s="2269"/>
      <c r="M903" s="2270"/>
      <c r="N903" s="2270"/>
      <c r="O903" s="2270"/>
      <c r="P903" s="2269"/>
      <c r="Q903" s="2269"/>
      <c r="R903" s="2269"/>
      <c r="S903" s="2269"/>
      <c r="T903" s="2269"/>
      <c r="U903" s="2269"/>
      <c r="V903" s="2269"/>
      <c r="W903" s="2269"/>
      <c r="X903" s="2269"/>
      <c r="Y903" s="2269"/>
      <c r="Z903" s="2269"/>
      <c r="AA903" s="2269"/>
    </row>
    <row r="904" spans="1:27" ht="13.5" customHeight="1" x14ac:dyDescent="0.3">
      <c r="A904" s="2269"/>
      <c r="B904" s="2269"/>
      <c r="C904" s="2272"/>
      <c r="D904" s="2358"/>
      <c r="E904" s="2358"/>
      <c r="F904" s="2358"/>
      <c r="G904" s="2283"/>
      <c r="H904" s="2268"/>
      <c r="I904" s="2269"/>
      <c r="J904" s="2269"/>
      <c r="K904" s="2269"/>
      <c r="L904" s="2269"/>
      <c r="M904" s="2270"/>
      <c r="N904" s="2270"/>
      <c r="O904" s="2270"/>
      <c r="P904" s="2269"/>
      <c r="Q904" s="2269"/>
      <c r="R904" s="2269"/>
      <c r="S904" s="2269"/>
      <c r="T904" s="2269"/>
      <c r="U904" s="2269"/>
      <c r="V904" s="2269"/>
      <c r="W904" s="2269"/>
      <c r="X904" s="2269"/>
      <c r="Y904" s="2269"/>
      <c r="Z904" s="2269"/>
      <c r="AA904" s="2269"/>
    </row>
    <row r="905" spans="1:27" ht="13.5" customHeight="1" x14ac:dyDescent="0.3">
      <c r="A905" s="2269"/>
      <c r="B905" s="2269"/>
      <c r="C905" s="2272"/>
      <c r="D905" s="2358"/>
      <c r="E905" s="2358"/>
      <c r="F905" s="2358"/>
      <c r="G905" s="2283"/>
      <c r="H905" s="2268"/>
      <c r="I905" s="2269"/>
      <c r="J905" s="2269"/>
      <c r="K905" s="2269"/>
      <c r="L905" s="2269"/>
      <c r="M905" s="2270"/>
      <c r="N905" s="2270"/>
      <c r="O905" s="2270"/>
      <c r="P905" s="2269"/>
      <c r="Q905" s="2269"/>
      <c r="R905" s="2269"/>
      <c r="S905" s="2269"/>
      <c r="T905" s="2269"/>
      <c r="U905" s="2269"/>
      <c r="V905" s="2269"/>
      <c r="W905" s="2269"/>
      <c r="X905" s="2269"/>
      <c r="Y905" s="2269"/>
      <c r="Z905" s="2269"/>
      <c r="AA905" s="2269"/>
    </row>
    <row r="906" spans="1:27" ht="13.5" customHeight="1" x14ac:dyDescent="0.3">
      <c r="A906" s="2269"/>
      <c r="B906" s="2269"/>
      <c r="C906" s="2272"/>
      <c r="D906" s="2358"/>
      <c r="E906" s="2358"/>
      <c r="F906" s="2358"/>
      <c r="G906" s="2283"/>
      <c r="H906" s="2268"/>
      <c r="I906" s="2269"/>
      <c r="J906" s="2269"/>
      <c r="K906" s="2269"/>
      <c r="L906" s="2269"/>
      <c r="M906" s="2270"/>
      <c r="N906" s="2270"/>
      <c r="O906" s="2270"/>
      <c r="P906" s="2269"/>
      <c r="Q906" s="2269"/>
      <c r="R906" s="2269"/>
      <c r="S906" s="2269"/>
      <c r="T906" s="2269"/>
      <c r="U906" s="2269"/>
      <c r="V906" s="2269"/>
      <c r="W906" s="2269"/>
      <c r="X906" s="2269"/>
      <c r="Y906" s="2269"/>
      <c r="Z906" s="2269"/>
      <c r="AA906" s="2269"/>
    </row>
    <row r="907" spans="1:27" ht="13.5" customHeight="1" x14ac:dyDescent="0.3">
      <c r="A907" s="2269"/>
      <c r="B907" s="2269"/>
      <c r="C907" s="2272"/>
      <c r="D907" s="2358"/>
      <c r="E907" s="2358"/>
      <c r="F907" s="2358"/>
      <c r="G907" s="2283"/>
      <c r="H907" s="2268"/>
      <c r="I907" s="2269"/>
      <c r="J907" s="2269"/>
      <c r="K907" s="2269"/>
      <c r="L907" s="2269"/>
      <c r="M907" s="2270"/>
      <c r="N907" s="2270"/>
      <c r="O907" s="2270"/>
      <c r="P907" s="2269"/>
      <c r="Q907" s="2269"/>
      <c r="R907" s="2269"/>
      <c r="S907" s="2269"/>
      <c r="T907" s="2269"/>
      <c r="U907" s="2269"/>
      <c r="V907" s="2269"/>
      <c r="W907" s="2269"/>
      <c r="X907" s="2269"/>
      <c r="Y907" s="2269"/>
      <c r="Z907" s="2269"/>
      <c r="AA907" s="2269"/>
    </row>
    <row r="908" spans="1:27" ht="13.5" customHeight="1" x14ac:dyDescent="0.3">
      <c r="A908" s="2269"/>
      <c r="B908" s="2269"/>
      <c r="C908" s="2272"/>
      <c r="D908" s="2358"/>
      <c r="E908" s="2358"/>
      <c r="F908" s="2358"/>
      <c r="G908" s="2283"/>
      <c r="H908" s="2268"/>
      <c r="I908" s="2269"/>
      <c r="J908" s="2269"/>
      <c r="K908" s="2269"/>
      <c r="L908" s="2269"/>
      <c r="M908" s="2270"/>
      <c r="N908" s="2270"/>
      <c r="O908" s="2270"/>
      <c r="P908" s="2269"/>
      <c r="Q908" s="2269"/>
      <c r="R908" s="2269"/>
      <c r="S908" s="2269"/>
      <c r="T908" s="2269"/>
      <c r="U908" s="2269"/>
      <c r="V908" s="2269"/>
      <c r="W908" s="2269"/>
      <c r="X908" s="2269"/>
      <c r="Y908" s="2269"/>
      <c r="Z908" s="2269"/>
      <c r="AA908" s="2269"/>
    </row>
    <row r="909" spans="1:27" ht="13.5" customHeight="1" x14ac:dyDescent="0.3">
      <c r="A909" s="2269"/>
      <c r="B909" s="2269"/>
      <c r="C909" s="2272"/>
      <c r="D909" s="2358"/>
      <c r="E909" s="2358"/>
      <c r="F909" s="2358"/>
      <c r="G909" s="2283"/>
      <c r="H909" s="2268"/>
      <c r="I909" s="2269"/>
      <c r="J909" s="2269"/>
      <c r="K909" s="2269"/>
      <c r="L909" s="2269"/>
      <c r="M909" s="2270"/>
      <c r="N909" s="2270"/>
      <c r="O909" s="2270"/>
      <c r="P909" s="2269"/>
      <c r="Q909" s="2269"/>
      <c r="R909" s="2269"/>
      <c r="S909" s="2269"/>
      <c r="T909" s="2269"/>
      <c r="U909" s="2269"/>
      <c r="V909" s="2269"/>
      <c r="W909" s="2269"/>
      <c r="X909" s="2269"/>
      <c r="Y909" s="2269"/>
      <c r="Z909" s="2269"/>
      <c r="AA909" s="2269"/>
    </row>
    <row r="910" spans="1:27" ht="13.5" customHeight="1" x14ac:dyDescent="0.3">
      <c r="A910" s="2269"/>
      <c r="B910" s="2269"/>
      <c r="C910" s="2272"/>
      <c r="D910" s="2358"/>
      <c r="E910" s="2358"/>
      <c r="F910" s="2358"/>
      <c r="G910" s="2283"/>
      <c r="H910" s="2268"/>
      <c r="I910" s="2269"/>
      <c r="J910" s="2269"/>
      <c r="K910" s="2269"/>
      <c r="L910" s="2269"/>
      <c r="M910" s="2270"/>
      <c r="N910" s="2270"/>
      <c r="O910" s="2270"/>
      <c r="P910" s="2269"/>
      <c r="Q910" s="2269"/>
      <c r="R910" s="2269"/>
      <c r="S910" s="2269"/>
      <c r="T910" s="2269"/>
      <c r="U910" s="2269"/>
      <c r="V910" s="2269"/>
      <c r="W910" s="2269"/>
      <c r="X910" s="2269"/>
      <c r="Y910" s="2269"/>
      <c r="Z910" s="2269"/>
      <c r="AA910" s="2269"/>
    </row>
    <row r="911" spans="1:27" ht="13.5" customHeight="1" x14ac:dyDescent="0.3">
      <c r="A911" s="2269"/>
      <c r="B911" s="2269"/>
      <c r="C911" s="2272"/>
      <c r="D911" s="2358"/>
      <c r="E911" s="2358"/>
      <c r="F911" s="2358"/>
      <c r="G911" s="2283"/>
      <c r="H911" s="2268"/>
      <c r="I911" s="2269"/>
      <c r="J911" s="2269"/>
      <c r="K911" s="2269"/>
      <c r="L911" s="2269"/>
      <c r="M911" s="2270"/>
      <c r="N911" s="2270"/>
      <c r="O911" s="2270"/>
      <c r="P911" s="2269"/>
      <c r="Q911" s="2269"/>
      <c r="R911" s="2269"/>
      <c r="S911" s="2269"/>
      <c r="T911" s="2269"/>
      <c r="U911" s="2269"/>
      <c r="V911" s="2269"/>
      <c r="W911" s="2269"/>
      <c r="X911" s="2269"/>
      <c r="Y911" s="2269"/>
      <c r="Z911" s="2269"/>
      <c r="AA911" s="2269"/>
    </row>
    <row r="912" spans="1:27" ht="13.5" customHeight="1" x14ac:dyDescent="0.3">
      <c r="A912" s="2269"/>
      <c r="B912" s="2269"/>
      <c r="C912" s="2272"/>
      <c r="D912" s="2358"/>
      <c r="E912" s="2358"/>
      <c r="F912" s="2358"/>
      <c r="G912" s="2283"/>
      <c r="H912" s="2268"/>
      <c r="I912" s="2269"/>
      <c r="J912" s="2269"/>
      <c r="K912" s="2269"/>
      <c r="L912" s="2269"/>
      <c r="M912" s="2270"/>
      <c r="N912" s="2270"/>
      <c r="O912" s="2270"/>
      <c r="P912" s="2269"/>
      <c r="Q912" s="2269"/>
      <c r="R912" s="2269"/>
      <c r="S912" s="2269"/>
      <c r="T912" s="2269"/>
      <c r="U912" s="2269"/>
      <c r="V912" s="2269"/>
      <c r="W912" s="2269"/>
      <c r="X912" s="2269"/>
      <c r="Y912" s="2269"/>
      <c r="Z912" s="2269"/>
      <c r="AA912" s="2269"/>
    </row>
    <row r="913" spans="1:27" ht="13.5" customHeight="1" x14ac:dyDescent="0.3">
      <c r="A913" s="2269"/>
      <c r="B913" s="2269"/>
      <c r="C913" s="2272"/>
      <c r="D913" s="2358"/>
      <c r="E913" s="2358"/>
      <c r="F913" s="2358"/>
      <c r="G913" s="2283"/>
      <c r="H913" s="2268"/>
      <c r="I913" s="2269"/>
      <c r="J913" s="2269"/>
      <c r="K913" s="2269"/>
      <c r="L913" s="2269"/>
      <c r="M913" s="2270"/>
      <c r="N913" s="2270"/>
      <c r="O913" s="2270"/>
      <c r="P913" s="2269"/>
      <c r="Q913" s="2269"/>
      <c r="R913" s="2269"/>
      <c r="S913" s="2269"/>
      <c r="T913" s="2269"/>
      <c r="U913" s="2269"/>
      <c r="V913" s="2269"/>
      <c r="W913" s="2269"/>
      <c r="X913" s="2269"/>
      <c r="Y913" s="2269"/>
      <c r="Z913" s="2269"/>
      <c r="AA913" s="2269"/>
    </row>
    <row r="914" spans="1:27" ht="13.5" customHeight="1" x14ac:dyDescent="0.3">
      <c r="A914" s="2269"/>
      <c r="B914" s="2269"/>
      <c r="C914" s="2272"/>
      <c r="D914" s="2358"/>
      <c r="E914" s="2358"/>
      <c r="F914" s="2358"/>
      <c r="G914" s="2283"/>
      <c r="H914" s="2268"/>
      <c r="I914" s="2269"/>
      <c r="J914" s="2269"/>
      <c r="K914" s="2269"/>
      <c r="L914" s="2269"/>
      <c r="M914" s="2270"/>
      <c r="N914" s="2270"/>
      <c r="O914" s="2270"/>
      <c r="P914" s="2269"/>
      <c r="Q914" s="2269"/>
      <c r="R914" s="2269"/>
      <c r="S914" s="2269"/>
      <c r="T914" s="2269"/>
      <c r="U914" s="2269"/>
      <c r="V914" s="2269"/>
      <c r="W914" s="2269"/>
      <c r="X914" s="2269"/>
      <c r="Y914" s="2269"/>
      <c r="Z914" s="2269"/>
      <c r="AA914" s="2269"/>
    </row>
    <row r="915" spans="1:27" ht="13.5" customHeight="1" x14ac:dyDescent="0.3">
      <c r="A915" s="2269"/>
      <c r="B915" s="2269"/>
      <c r="C915" s="2272"/>
      <c r="D915" s="2358"/>
      <c r="E915" s="2358"/>
      <c r="F915" s="2358"/>
      <c r="G915" s="2283"/>
      <c r="H915" s="2268"/>
      <c r="I915" s="2269"/>
      <c r="J915" s="2269"/>
      <c r="K915" s="2269"/>
      <c r="L915" s="2269"/>
      <c r="M915" s="2270"/>
      <c r="N915" s="2270"/>
      <c r="O915" s="2270"/>
      <c r="P915" s="2269"/>
      <c r="Q915" s="2269"/>
      <c r="R915" s="2269"/>
      <c r="S915" s="2269"/>
      <c r="T915" s="2269"/>
      <c r="U915" s="2269"/>
      <c r="V915" s="2269"/>
      <c r="W915" s="2269"/>
      <c r="X915" s="2269"/>
      <c r="Y915" s="2269"/>
      <c r="Z915" s="2269"/>
      <c r="AA915" s="2269"/>
    </row>
    <row r="916" spans="1:27" ht="13.5" customHeight="1" x14ac:dyDescent="0.3">
      <c r="A916" s="2269"/>
      <c r="B916" s="2269"/>
      <c r="C916" s="2272"/>
      <c r="D916" s="2358"/>
      <c r="E916" s="2358"/>
      <c r="F916" s="2358"/>
      <c r="G916" s="2283"/>
      <c r="H916" s="2268"/>
      <c r="I916" s="2269"/>
      <c r="J916" s="2269"/>
      <c r="K916" s="2269"/>
      <c r="L916" s="2269"/>
      <c r="M916" s="2270"/>
      <c r="N916" s="2270"/>
      <c r="O916" s="2270"/>
      <c r="P916" s="2269"/>
      <c r="Q916" s="2269"/>
      <c r="R916" s="2269"/>
      <c r="S916" s="2269"/>
      <c r="T916" s="2269"/>
      <c r="U916" s="2269"/>
      <c r="V916" s="2269"/>
      <c r="W916" s="2269"/>
      <c r="X916" s="2269"/>
      <c r="Y916" s="2269"/>
      <c r="Z916" s="2269"/>
      <c r="AA916" s="2269"/>
    </row>
    <row r="917" spans="1:27" ht="13.5" customHeight="1" x14ac:dyDescent="0.3">
      <c r="A917" s="2269"/>
      <c r="B917" s="2269"/>
      <c r="C917" s="2272"/>
      <c r="D917" s="2358"/>
      <c r="E917" s="2358"/>
      <c r="F917" s="2358"/>
      <c r="G917" s="2283"/>
      <c r="H917" s="2268"/>
      <c r="I917" s="2269"/>
      <c r="J917" s="2269"/>
      <c r="K917" s="2269"/>
      <c r="L917" s="2269"/>
      <c r="M917" s="2270"/>
      <c r="N917" s="2270"/>
      <c r="O917" s="2270"/>
      <c r="P917" s="2269"/>
      <c r="Q917" s="2269"/>
      <c r="R917" s="2269"/>
      <c r="S917" s="2269"/>
      <c r="T917" s="2269"/>
      <c r="U917" s="2269"/>
      <c r="V917" s="2269"/>
      <c r="W917" s="2269"/>
      <c r="X917" s="2269"/>
      <c r="Y917" s="2269"/>
      <c r="Z917" s="2269"/>
      <c r="AA917" s="2269"/>
    </row>
    <row r="918" spans="1:27" ht="13.5" customHeight="1" x14ac:dyDescent="0.3">
      <c r="A918" s="2269"/>
      <c r="B918" s="2269"/>
      <c r="C918" s="2272"/>
      <c r="D918" s="2358"/>
      <c r="E918" s="2358"/>
      <c r="F918" s="2358"/>
      <c r="G918" s="2283"/>
      <c r="H918" s="2268"/>
      <c r="I918" s="2269"/>
      <c r="J918" s="2269"/>
      <c r="K918" s="2269"/>
      <c r="L918" s="2269"/>
      <c r="M918" s="2270"/>
      <c r="N918" s="2270"/>
      <c r="O918" s="2270"/>
      <c r="P918" s="2269"/>
      <c r="Q918" s="2269"/>
      <c r="R918" s="2269"/>
      <c r="S918" s="2269"/>
      <c r="T918" s="2269"/>
      <c r="U918" s="2269"/>
      <c r="V918" s="2269"/>
      <c r="W918" s="2269"/>
      <c r="X918" s="2269"/>
      <c r="Y918" s="2269"/>
      <c r="Z918" s="2269"/>
      <c r="AA918" s="2269"/>
    </row>
    <row r="919" spans="1:27" ht="13.5" customHeight="1" x14ac:dyDescent="0.3">
      <c r="A919" s="2269"/>
      <c r="B919" s="2269"/>
      <c r="C919" s="2272"/>
      <c r="D919" s="2358"/>
      <c r="E919" s="2358"/>
      <c r="F919" s="2358"/>
      <c r="G919" s="2283"/>
      <c r="H919" s="2268"/>
      <c r="I919" s="2269"/>
      <c r="J919" s="2269"/>
      <c r="K919" s="2269"/>
      <c r="L919" s="2269"/>
      <c r="M919" s="2270"/>
      <c r="N919" s="2270"/>
      <c r="O919" s="2270"/>
      <c r="P919" s="2269"/>
      <c r="Q919" s="2269"/>
      <c r="R919" s="2269"/>
      <c r="S919" s="2269"/>
      <c r="T919" s="2269"/>
      <c r="U919" s="2269"/>
      <c r="V919" s="2269"/>
      <c r="W919" s="2269"/>
      <c r="X919" s="2269"/>
      <c r="Y919" s="2269"/>
      <c r="Z919" s="2269"/>
      <c r="AA919" s="2269"/>
    </row>
    <row r="920" spans="1:27" ht="13.5" customHeight="1" x14ac:dyDescent="0.3">
      <c r="A920" s="2269"/>
      <c r="B920" s="2269"/>
      <c r="C920" s="2272"/>
      <c r="D920" s="2358"/>
      <c r="E920" s="2358"/>
      <c r="F920" s="2358"/>
      <c r="G920" s="2283"/>
      <c r="H920" s="2268"/>
      <c r="I920" s="2269"/>
      <c r="J920" s="2269"/>
      <c r="K920" s="2269"/>
      <c r="L920" s="2269"/>
      <c r="M920" s="2270"/>
      <c r="N920" s="2270"/>
      <c r="O920" s="2270"/>
      <c r="P920" s="2269"/>
      <c r="Q920" s="2269"/>
      <c r="R920" s="2269"/>
      <c r="S920" s="2269"/>
      <c r="T920" s="2269"/>
      <c r="U920" s="2269"/>
      <c r="V920" s="2269"/>
      <c r="W920" s="2269"/>
      <c r="X920" s="2269"/>
      <c r="Y920" s="2269"/>
      <c r="Z920" s="2269"/>
      <c r="AA920" s="2269"/>
    </row>
    <row r="921" spans="1:27" ht="13.5" customHeight="1" x14ac:dyDescent="0.3">
      <c r="A921" s="2269"/>
      <c r="B921" s="2269"/>
      <c r="C921" s="2272"/>
      <c r="D921" s="2358"/>
      <c r="E921" s="2358"/>
      <c r="F921" s="2358"/>
      <c r="G921" s="2283"/>
      <c r="H921" s="2268"/>
      <c r="I921" s="2269"/>
      <c r="J921" s="2269"/>
      <c r="K921" s="2269"/>
      <c r="L921" s="2269"/>
      <c r="M921" s="2270"/>
      <c r="N921" s="2270"/>
      <c r="O921" s="2270"/>
      <c r="P921" s="2269"/>
      <c r="Q921" s="2269"/>
      <c r="R921" s="2269"/>
      <c r="S921" s="2269"/>
      <c r="T921" s="2269"/>
      <c r="U921" s="2269"/>
      <c r="V921" s="2269"/>
      <c r="W921" s="2269"/>
      <c r="X921" s="2269"/>
      <c r="Y921" s="2269"/>
      <c r="Z921" s="2269"/>
      <c r="AA921" s="2269"/>
    </row>
    <row r="922" spans="1:27" ht="13.5" customHeight="1" x14ac:dyDescent="0.3">
      <c r="A922" s="2269"/>
      <c r="B922" s="2269"/>
      <c r="C922" s="2272"/>
      <c r="D922" s="2358"/>
      <c r="E922" s="2358"/>
      <c r="F922" s="2358"/>
      <c r="G922" s="2283"/>
      <c r="H922" s="2268"/>
      <c r="I922" s="2269"/>
      <c r="J922" s="2269"/>
      <c r="K922" s="2269"/>
      <c r="L922" s="2269"/>
      <c r="M922" s="2270"/>
      <c r="N922" s="2270"/>
      <c r="O922" s="2270"/>
      <c r="P922" s="2269"/>
      <c r="Q922" s="2269"/>
      <c r="R922" s="2269"/>
      <c r="S922" s="2269"/>
      <c r="T922" s="2269"/>
      <c r="U922" s="2269"/>
      <c r="V922" s="2269"/>
      <c r="W922" s="2269"/>
      <c r="X922" s="2269"/>
      <c r="Y922" s="2269"/>
      <c r="Z922" s="2269"/>
      <c r="AA922" s="2269"/>
    </row>
    <row r="923" spans="1:27" ht="13.5" customHeight="1" x14ac:dyDescent="0.3">
      <c r="A923" s="2269"/>
      <c r="B923" s="2269"/>
      <c r="C923" s="2272"/>
      <c r="D923" s="2358"/>
      <c r="E923" s="2358"/>
      <c r="F923" s="2358"/>
      <c r="G923" s="2283"/>
      <c r="H923" s="2268"/>
      <c r="I923" s="2269"/>
      <c r="J923" s="2269"/>
      <c r="K923" s="2269"/>
      <c r="L923" s="2269"/>
      <c r="M923" s="2270"/>
      <c r="N923" s="2270"/>
      <c r="O923" s="2270"/>
      <c r="P923" s="2269"/>
      <c r="Q923" s="2269"/>
      <c r="R923" s="2269"/>
      <c r="S923" s="2269"/>
      <c r="T923" s="2269"/>
      <c r="U923" s="2269"/>
      <c r="V923" s="2269"/>
      <c r="W923" s="2269"/>
      <c r="X923" s="2269"/>
      <c r="Y923" s="2269"/>
      <c r="Z923" s="2269"/>
      <c r="AA923" s="2269"/>
    </row>
    <row r="924" spans="1:27" ht="13.5" customHeight="1" x14ac:dyDescent="0.3">
      <c r="A924" s="2269"/>
      <c r="B924" s="2269"/>
      <c r="C924" s="2272"/>
      <c r="D924" s="2358"/>
      <c r="E924" s="2358"/>
      <c r="F924" s="2358"/>
      <c r="G924" s="2283"/>
      <c r="H924" s="2268"/>
      <c r="I924" s="2269"/>
      <c r="J924" s="2269"/>
      <c r="K924" s="2269"/>
      <c r="L924" s="2269"/>
      <c r="M924" s="2270"/>
      <c r="N924" s="2270"/>
      <c r="O924" s="2270"/>
      <c r="P924" s="2269"/>
      <c r="Q924" s="2269"/>
      <c r="R924" s="2269"/>
      <c r="S924" s="2269"/>
      <c r="T924" s="2269"/>
      <c r="U924" s="2269"/>
      <c r="V924" s="2269"/>
      <c r="W924" s="2269"/>
      <c r="X924" s="2269"/>
      <c r="Y924" s="2269"/>
      <c r="Z924" s="2269"/>
      <c r="AA924" s="2269"/>
    </row>
    <row r="925" spans="1:27" ht="13.5" customHeight="1" x14ac:dyDescent="0.3">
      <c r="A925" s="2269"/>
      <c r="B925" s="2269"/>
      <c r="C925" s="2272"/>
      <c r="D925" s="2358"/>
      <c r="E925" s="2358"/>
      <c r="F925" s="2358"/>
      <c r="G925" s="2283"/>
      <c r="H925" s="2268"/>
      <c r="I925" s="2269"/>
      <c r="J925" s="2269"/>
      <c r="K925" s="2269"/>
      <c r="L925" s="2269"/>
      <c r="M925" s="2270"/>
      <c r="N925" s="2270"/>
      <c r="O925" s="2270"/>
      <c r="P925" s="2269"/>
      <c r="Q925" s="2269"/>
      <c r="R925" s="2269"/>
      <c r="S925" s="2269"/>
      <c r="T925" s="2269"/>
      <c r="U925" s="2269"/>
      <c r="V925" s="2269"/>
      <c r="W925" s="2269"/>
      <c r="X925" s="2269"/>
      <c r="Y925" s="2269"/>
      <c r="Z925" s="2269"/>
      <c r="AA925" s="2269"/>
    </row>
    <row r="926" spans="1:27" ht="13.5" customHeight="1" x14ac:dyDescent="0.3">
      <c r="A926" s="2269"/>
      <c r="B926" s="2269"/>
      <c r="C926" s="2272"/>
      <c r="D926" s="2358"/>
      <c r="E926" s="2358"/>
      <c r="F926" s="2358"/>
      <c r="G926" s="2283"/>
      <c r="H926" s="2268"/>
      <c r="I926" s="2269"/>
      <c r="J926" s="2269"/>
      <c r="K926" s="2269"/>
      <c r="L926" s="2269"/>
      <c r="M926" s="2270"/>
      <c r="N926" s="2270"/>
      <c r="O926" s="2270"/>
      <c r="P926" s="2269"/>
      <c r="Q926" s="2269"/>
      <c r="R926" s="2269"/>
      <c r="S926" s="2269"/>
      <c r="T926" s="2269"/>
      <c r="U926" s="2269"/>
      <c r="V926" s="2269"/>
      <c r="W926" s="2269"/>
      <c r="X926" s="2269"/>
      <c r="Y926" s="2269"/>
      <c r="Z926" s="2269"/>
      <c r="AA926" s="2269"/>
    </row>
    <row r="927" spans="1:27" ht="13.5" customHeight="1" x14ac:dyDescent="0.3">
      <c r="A927" s="2269"/>
      <c r="B927" s="2269"/>
      <c r="C927" s="2272"/>
      <c r="D927" s="2358"/>
      <c r="E927" s="2358"/>
      <c r="F927" s="2358"/>
      <c r="G927" s="2283"/>
      <c r="H927" s="2268"/>
      <c r="I927" s="2269"/>
      <c r="J927" s="2269"/>
      <c r="K927" s="2269"/>
      <c r="L927" s="2269"/>
      <c r="M927" s="2270"/>
      <c r="N927" s="2270"/>
      <c r="O927" s="2270"/>
      <c r="P927" s="2269"/>
      <c r="Q927" s="2269"/>
      <c r="R927" s="2269"/>
      <c r="S927" s="2269"/>
      <c r="T927" s="2269"/>
      <c r="U927" s="2269"/>
      <c r="V927" s="2269"/>
      <c r="W927" s="2269"/>
      <c r="X927" s="2269"/>
      <c r="Y927" s="2269"/>
      <c r="Z927" s="2269"/>
      <c r="AA927" s="2269"/>
    </row>
    <row r="928" spans="1:27" ht="13.5" customHeight="1" x14ac:dyDescent="0.3">
      <c r="A928" s="2269"/>
      <c r="B928" s="2269"/>
      <c r="C928" s="2272"/>
      <c r="D928" s="2358"/>
      <c r="E928" s="2358"/>
      <c r="F928" s="2358"/>
      <c r="G928" s="2283"/>
      <c r="H928" s="2268"/>
      <c r="I928" s="2269"/>
      <c r="J928" s="2269"/>
      <c r="K928" s="2269"/>
      <c r="L928" s="2269"/>
      <c r="M928" s="2270"/>
      <c r="N928" s="2270"/>
      <c r="O928" s="2270"/>
      <c r="P928" s="2269"/>
      <c r="Q928" s="2269"/>
      <c r="R928" s="2269"/>
      <c r="S928" s="2269"/>
      <c r="T928" s="2269"/>
      <c r="U928" s="2269"/>
      <c r="V928" s="2269"/>
      <c r="W928" s="2269"/>
      <c r="X928" s="2269"/>
      <c r="Y928" s="2269"/>
      <c r="Z928" s="2269"/>
      <c r="AA928" s="2269"/>
    </row>
    <row r="929" spans="1:27" ht="13.5" customHeight="1" x14ac:dyDescent="0.3">
      <c r="A929" s="2269"/>
      <c r="B929" s="2269"/>
      <c r="C929" s="2272"/>
      <c r="D929" s="2358"/>
      <c r="E929" s="2358"/>
      <c r="F929" s="2358"/>
      <c r="G929" s="2283"/>
      <c r="H929" s="2268"/>
      <c r="I929" s="2269"/>
      <c r="J929" s="2269"/>
      <c r="K929" s="2269"/>
      <c r="L929" s="2269"/>
      <c r="M929" s="2270"/>
      <c r="N929" s="2270"/>
      <c r="O929" s="2270"/>
      <c r="P929" s="2269"/>
      <c r="Q929" s="2269"/>
      <c r="R929" s="2269"/>
      <c r="S929" s="2269"/>
      <c r="T929" s="2269"/>
      <c r="U929" s="2269"/>
      <c r="V929" s="2269"/>
      <c r="W929" s="2269"/>
      <c r="X929" s="2269"/>
      <c r="Y929" s="2269"/>
      <c r="Z929" s="2269"/>
      <c r="AA929" s="2269"/>
    </row>
    <row r="930" spans="1:27" ht="15" customHeight="1" x14ac:dyDescent="0.3">
      <c r="L930" s="2269"/>
      <c r="M930" s="2270"/>
      <c r="N930" s="2270"/>
      <c r="O930" s="2270"/>
      <c r="P930" s="2269"/>
    </row>
  </sheetData>
  <mergeCells count="2">
    <mergeCell ref="A2:F2"/>
    <mergeCell ref="A4:F4"/>
  </mergeCells>
  <printOptions horizontalCentered="1"/>
  <pageMargins left="0.15748031496062992" right="0.15748031496062992" top="0.19685039370078741" bottom="0.19685039370078741" header="0" footer="0"/>
  <pageSetup paperSize="9" scale="96" orientation="portrait" r:id="rId1"/>
  <rowBreaks count="2" manualBreakCount="2">
    <brk id="64" max="5" man="1"/>
    <brk id="130" max="5" man="1"/>
  </rowBreak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86F28-75F7-49EC-9073-1A062987A0EF}">
  <sheetPr>
    <tabColor theme="5" tint="0.39997558519241921"/>
  </sheetPr>
  <dimension ref="A2:AC1445"/>
  <sheetViews>
    <sheetView topLeftCell="A682" zoomScaleNormal="100" workbookViewId="0">
      <selection activeCell="A704" sqref="A679:XFD704"/>
    </sheetView>
  </sheetViews>
  <sheetFormatPr defaultColWidth="9.109375" defaultRowHeight="13.2" x14ac:dyDescent="0.25"/>
  <cols>
    <col min="1" max="1" width="9.109375" style="2106"/>
    <col min="2" max="2" width="39.109375" style="2106" customWidth="1"/>
    <col min="3" max="3" width="9.109375" style="2106"/>
    <col min="4" max="4" width="11.44140625" style="2106" bestFit="1" customWidth="1"/>
    <col min="5" max="5" width="12.88671875" style="2106" customWidth="1"/>
    <col min="6" max="6" width="12.33203125" style="2106" customWidth="1"/>
    <col min="7" max="7" width="14.6640625" style="2106" customWidth="1"/>
    <col min="8" max="8" width="11.44140625" style="2106" bestFit="1" customWidth="1"/>
    <col min="9" max="9" width="11.6640625" style="2106" bestFit="1" customWidth="1"/>
    <col min="10" max="10" width="10.5546875" style="2106" customWidth="1"/>
    <col min="11" max="11" width="11.44140625" style="2143" customWidth="1"/>
    <col min="12" max="13" width="9.109375" style="2143"/>
    <col min="14" max="15" width="10.88671875" style="2143" customWidth="1"/>
    <col min="16" max="16384" width="9.109375" style="2106"/>
  </cols>
  <sheetData>
    <row r="2" spans="1:7" ht="14.4" customHeight="1" x14ac:dyDescent="0.25">
      <c r="A2" s="2895" t="s">
        <v>81</v>
      </c>
      <c r="B2" s="2895"/>
      <c r="C2" s="2895"/>
      <c r="D2" s="2895"/>
      <c r="E2" s="2895"/>
      <c r="F2" s="2895"/>
      <c r="G2" s="2895"/>
    </row>
    <row r="3" spans="1:7" ht="13.8" thickBot="1" x14ac:dyDescent="0.3"/>
    <row r="4" spans="1:7" ht="13.8" x14ac:dyDescent="0.25">
      <c r="A4" s="2888" t="s">
        <v>3343</v>
      </c>
      <c r="B4" s="2889"/>
      <c r="C4" s="2889"/>
      <c r="D4" s="2889"/>
      <c r="E4" s="2889"/>
      <c r="F4" s="2889"/>
      <c r="G4" s="2890"/>
    </row>
    <row r="5" spans="1:7" ht="14.4" thickBot="1" x14ac:dyDescent="0.3">
      <c r="A5" s="2891" t="s">
        <v>3344</v>
      </c>
      <c r="B5" s="2892"/>
      <c r="C5" s="2892"/>
      <c r="D5" s="2892"/>
      <c r="E5" s="2892"/>
      <c r="F5" s="2892"/>
      <c r="G5" s="2893"/>
    </row>
    <row r="6" spans="1:7" ht="14.4" thickBot="1" x14ac:dyDescent="0.3">
      <c r="A6" s="2107"/>
      <c r="B6" s="2108" t="s">
        <v>3345</v>
      </c>
      <c r="C6" s="2108" t="s">
        <v>3346</v>
      </c>
      <c r="D6" s="2108" t="s">
        <v>2</v>
      </c>
      <c r="E6" s="2108" t="s">
        <v>3347</v>
      </c>
      <c r="F6" s="2108" t="s">
        <v>5</v>
      </c>
      <c r="G6" s="2108" t="s">
        <v>3348</v>
      </c>
    </row>
    <row r="7" spans="1:7" ht="13.8" x14ac:dyDescent="0.25">
      <c r="A7" s="2109"/>
      <c r="B7" s="2109"/>
      <c r="C7" s="2110"/>
      <c r="D7" s="2111"/>
      <c r="E7" s="2111"/>
      <c r="F7" s="2111"/>
      <c r="G7" s="2111"/>
    </row>
    <row r="8" spans="1:7" ht="13.8" x14ac:dyDescent="0.25">
      <c r="A8" s="2109"/>
      <c r="B8" s="2112" t="s">
        <v>3349</v>
      </c>
      <c r="C8" s="2110"/>
      <c r="D8" s="2111"/>
      <c r="E8" s="2111"/>
      <c r="F8" s="2111">
        <f t="shared" ref="F8:F9" si="0">D8*E8</f>
        <v>0</v>
      </c>
      <c r="G8" s="2111"/>
    </row>
    <row r="9" spans="1:7" ht="13.8" x14ac:dyDescent="0.25">
      <c r="A9" s="2109"/>
      <c r="B9" s="2109" t="s">
        <v>3350</v>
      </c>
      <c r="C9" s="2111" t="s">
        <v>989</v>
      </c>
      <c r="D9" s="2111">
        <v>10</v>
      </c>
      <c r="E9" s="2111">
        <v>2500</v>
      </c>
      <c r="F9" s="2111">
        <f t="shared" si="0"/>
        <v>25000</v>
      </c>
      <c r="G9" s="2111"/>
    </row>
    <row r="10" spans="1:7" ht="13.8" x14ac:dyDescent="0.25">
      <c r="A10" s="2109"/>
      <c r="B10" s="2109"/>
      <c r="C10" s="2110"/>
      <c r="D10" s="2111"/>
      <c r="E10" s="2111"/>
      <c r="F10" s="2111"/>
      <c r="G10" s="2111"/>
    </row>
    <row r="11" spans="1:7" ht="13.8" x14ac:dyDescent="0.25">
      <c r="A11" s="2113"/>
      <c r="B11" s="2894" t="s">
        <v>3351</v>
      </c>
      <c r="C11" s="2894"/>
      <c r="D11" s="2894"/>
      <c r="E11" s="2894"/>
      <c r="F11" s="2114">
        <f t="shared" ref="F11" si="1">D11*E11</f>
        <v>0</v>
      </c>
      <c r="G11" s="2190">
        <f>SUM(F9:F11)</f>
        <v>25000</v>
      </c>
    </row>
    <row r="12" spans="1:7" ht="13.8" x14ac:dyDescent="0.25">
      <c r="A12" s="2109"/>
      <c r="B12" s="2109"/>
      <c r="C12" s="2110"/>
      <c r="D12" s="2111"/>
      <c r="E12" s="2111"/>
      <c r="F12" s="2111"/>
      <c r="G12" s="2111"/>
    </row>
    <row r="13" spans="1:7" ht="13.8" x14ac:dyDescent="0.25">
      <c r="A13" s="2109"/>
      <c r="B13" s="2115"/>
      <c r="C13" s="2115"/>
      <c r="D13" s="2115"/>
      <c r="E13" s="2115"/>
      <c r="F13" s="2111"/>
      <c r="G13" s="2115"/>
    </row>
    <row r="14" spans="1:7" ht="13.8" x14ac:dyDescent="0.25">
      <c r="A14" s="2109"/>
      <c r="B14" s="2115"/>
      <c r="C14" s="2115"/>
      <c r="D14" s="2115"/>
      <c r="E14" s="2115"/>
      <c r="F14" s="2111"/>
      <c r="G14" s="2115"/>
    </row>
    <row r="15" spans="1:7" ht="13.8" x14ac:dyDescent="0.25">
      <c r="A15" s="2887" t="s">
        <v>3352</v>
      </c>
      <c r="B15" s="2887"/>
      <c r="C15" s="2887"/>
      <c r="D15" s="2887"/>
      <c r="E15" s="2887"/>
      <c r="F15" s="2887"/>
      <c r="G15" s="2189">
        <f>G11</f>
        <v>25000</v>
      </c>
    </row>
    <row r="16" spans="1:7" ht="13.8" x14ac:dyDescent="0.25">
      <c r="A16" s="2887" t="s">
        <v>3353</v>
      </c>
      <c r="B16" s="2887"/>
      <c r="C16" s="2887"/>
      <c r="D16" s="2887"/>
      <c r="E16" s="2887"/>
      <c r="F16" s="2887"/>
      <c r="G16" s="2189">
        <f>G15/10</f>
        <v>2500</v>
      </c>
    </row>
    <row r="17" spans="1:7" ht="14.4" thickBot="1" x14ac:dyDescent="0.3">
      <c r="A17" s="2887" t="s">
        <v>3354</v>
      </c>
      <c r="B17" s="2887"/>
      <c r="C17" s="2887"/>
      <c r="D17" s="2887"/>
      <c r="E17" s="2887"/>
      <c r="F17" s="2887"/>
      <c r="G17" s="2116">
        <f>G16/9.29</f>
        <v>269.1065662002153</v>
      </c>
    </row>
    <row r="18" spans="1:7" ht="13.8" x14ac:dyDescent="0.25">
      <c r="A18" s="2117"/>
      <c r="B18" s="2117"/>
      <c r="C18" s="2117"/>
      <c r="D18" s="2117"/>
      <c r="E18" s="2117"/>
      <c r="F18" s="2117"/>
      <c r="G18" s="2117"/>
    </row>
    <row r="19" spans="1:7" ht="13.8" thickBot="1" x14ac:dyDescent="0.3"/>
    <row r="20" spans="1:7" ht="13.8" x14ac:dyDescent="0.25">
      <c r="A20" s="2888" t="s">
        <v>3355</v>
      </c>
      <c r="B20" s="2889"/>
      <c r="C20" s="2889"/>
      <c r="D20" s="2889"/>
      <c r="E20" s="2889"/>
      <c r="F20" s="2889"/>
      <c r="G20" s="2890"/>
    </row>
    <row r="21" spans="1:7" ht="14.4" thickBot="1" x14ac:dyDescent="0.3">
      <c r="A21" s="2891" t="s">
        <v>3356</v>
      </c>
      <c r="B21" s="2892"/>
      <c r="C21" s="2892"/>
      <c r="D21" s="2892"/>
      <c r="E21" s="2892"/>
      <c r="F21" s="2892"/>
      <c r="G21" s="2893"/>
    </row>
    <row r="22" spans="1:7" ht="14.4" thickBot="1" x14ac:dyDescent="0.3">
      <c r="A22" s="2107"/>
      <c r="B22" s="2108" t="s">
        <v>3345</v>
      </c>
      <c r="C22" s="2108" t="s">
        <v>3346</v>
      </c>
      <c r="D22" s="2108" t="s">
        <v>2</v>
      </c>
      <c r="E22" s="2108" t="s">
        <v>3347</v>
      </c>
      <c r="F22" s="2108" t="s">
        <v>5</v>
      </c>
      <c r="G22" s="2108" t="s">
        <v>3348</v>
      </c>
    </row>
    <row r="23" spans="1:7" ht="13.8" x14ac:dyDescent="0.25">
      <c r="A23" s="2109"/>
      <c r="B23" s="2109"/>
      <c r="C23" s="2110"/>
      <c r="D23" s="2111"/>
      <c r="E23" s="2111"/>
      <c r="F23" s="2111"/>
      <c r="G23" s="2111"/>
    </row>
    <row r="24" spans="1:7" ht="13.8" x14ac:dyDescent="0.25">
      <c r="A24" s="2109"/>
      <c r="B24" s="2112" t="s">
        <v>3349</v>
      </c>
      <c r="C24" s="2110"/>
      <c r="D24" s="2111"/>
      <c r="E24" s="2111"/>
      <c r="F24" s="2111">
        <f t="shared" ref="F24:F25" si="2">D24*E24</f>
        <v>0</v>
      </c>
      <c r="G24" s="2111"/>
    </row>
    <row r="25" spans="1:7" ht="13.8" x14ac:dyDescent="0.25">
      <c r="A25" s="2118"/>
      <c r="B25" s="2118" t="s">
        <v>3357</v>
      </c>
      <c r="C25" s="2119" t="s">
        <v>131</v>
      </c>
      <c r="D25" s="2119">
        <v>1</v>
      </c>
      <c r="E25" s="2119">
        <v>6000</v>
      </c>
      <c r="F25" s="2119">
        <f t="shared" si="2"/>
        <v>6000</v>
      </c>
      <c r="G25" s="2119"/>
    </row>
    <row r="26" spans="1:7" ht="13.8" x14ac:dyDescent="0.25">
      <c r="A26" s="2109"/>
      <c r="B26" s="2109"/>
      <c r="C26" s="2110"/>
      <c r="D26" s="2111"/>
      <c r="E26" s="2111"/>
      <c r="F26" s="2111"/>
      <c r="G26" s="2111"/>
    </row>
    <row r="27" spans="1:7" ht="13.8" x14ac:dyDescent="0.25">
      <c r="A27" s="2113"/>
      <c r="B27" s="2894" t="s">
        <v>3351</v>
      </c>
      <c r="C27" s="2894"/>
      <c r="D27" s="2894"/>
      <c r="E27" s="2894"/>
      <c r="F27" s="2114">
        <f t="shared" ref="F27" si="3">D27*E27</f>
        <v>0</v>
      </c>
      <c r="G27" s="2190">
        <f>SUM(F25:F27)</f>
        <v>6000</v>
      </c>
    </row>
    <row r="28" spans="1:7" ht="13.8" x14ac:dyDescent="0.25">
      <c r="A28" s="2109"/>
      <c r="B28" s="2109"/>
      <c r="C28" s="2110"/>
      <c r="D28" s="2111"/>
      <c r="E28" s="2111"/>
      <c r="F28" s="2111"/>
      <c r="G28" s="2111"/>
    </row>
    <row r="29" spans="1:7" ht="13.8" x14ac:dyDescent="0.25">
      <c r="A29" s="2109"/>
      <c r="B29" s="2115"/>
      <c r="C29" s="2115"/>
      <c r="D29" s="2115"/>
      <c r="E29" s="2115"/>
      <c r="F29" s="2111"/>
      <c r="G29" s="2115"/>
    </row>
    <row r="30" spans="1:7" ht="13.8" x14ac:dyDescent="0.25">
      <c r="A30" s="2109"/>
      <c r="B30" s="2115"/>
      <c r="C30" s="2115"/>
      <c r="D30" s="2115"/>
      <c r="E30" s="2115"/>
      <c r="F30" s="2111"/>
      <c r="G30" s="2115"/>
    </row>
    <row r="31" spans="1:7" ht="13.8" x14ac:dyDescent="0.25">
      <c r="A31" s="2887" t="s">
        <v>3358</v>
      </c>
      <c r="B31" s="2887"/>
      <c r="C31" s="2887"/>
      <c r="D31" s="2887"/>
      <c r="E31" s="2887"/>
      <c r="F31" s="2887"/>
      <c r="G31" s="2189">
        <f>G27</f>
        <v>6000</v>
      </c>
    </row>
    <row r="32" spans="1:7" ht="16.2" x14ac:dyDescent="0.25">
      <c r="A32" s="2887" t="s">
        <v>3359</v>
      </c>
      <c r="B32" s="2887"/>
      <c r="C32" s="2887"/>
      <c r="D32" s="2887"/>
      <c r="E32" s="2887"/>
      <c r="F32" s="2887"/>
      <c r="G32" s="2189">
        <f>G31/2.83</f>
        <v>2120.1413427561838</v>
      </c>
    </row>
    <row r="34" spans="1:7" ht="13.8" thickBot="1" x14ac:dyDescent="0.3"/>
    <row r="35" spans="1:7" ht="13.8" x14ac:dyDescent="0.25">
      <c r="A35" s="2888" t="s">
        <v>3360</v>
      </c>
      <c r="B35" s="2889"/>
      <c r="C35" s="2889"/>
      <c r="D35" s="2889"/>
      <c r="E35" s="2889"/>
      <c r="F35" s="2889"/>
      <c r="G35" s="2890"/>
    </row>
    <row r="36" spans="1:7" ht="14.4" thickBot="1" x14ac:dyDescent="0.3">
      <c r="A36" s="2891" t="s">
        <v>3356</v>
      </c>
      <c r="B36" s="2892"/>
      <c r="C36" s="2892"/>
      <c r="D36" s="2892"/>
      <c r="E36" s="2892"/>
      <c r="F36" s="2892"/>
      <c r="G36" s="2893"/>
    </row>
    <row r="37" spans="1:7" ht="14.4" thickBot="1" x14ac:dyDescent="0.3">
      <c r="A37" s="2107"/>
      <c r="B37" s="2108" t="s">
        <v>3345</v>
      </c>
      <c r="C37" s="2108" t="s">
        <v>3346</v>
      </c>
      <c r="D37" s="2108" t="s">
        <v>2</v>
      </c>
      <c r="E37" s="2108" t="s">
        <v>3347</v>
      </c>
      <c r="F37" s="2108" t="s">
        <v>5</v>
      </c>
      <c r="G37" s="2108" t="s">
        <v>3348</v>
      </c>
    </row>
    <row r="38" spans="1:7" ht="15.6" x14ac:dyDescent="0.4">
      <c r="A38" s="2109"/>
      <c r="B38" s="2120" t="s">
        <v>3361</v>
      </c>
      <c r="C38" s="2110"/>
      <c r="D38" s="2111"/>
      <c r="E38" s="2111"/>
      <c r="F38" s="2111"/>
      <c r="G38" s="2111"/>
    </row>
    <row r="39" spans="1:7" ht="13.8" x14ac:dyDescent="0.25">
      <c r="A39" s="2109"/>
      <c r="B39" s="2109"/>
      <c r="C39" s="2110"/>
      <c r="D39" s="2111"/>
      <c r="E39" s="2111"/>
      <c r="F39" s="2111"/>
      <c r="G39" s="2111"/>
    </row>
    <row r="40" spans="1:7" ht="13.8" x14ac:dyDescent="0.25">
      <c r="A40" s="2109"/>
      <c r="B40" s="2112" t="s">
        <v>3362</v>
      </c>
      <c r="C40" s="2110"/>
      <c r="D40" s="2111"/>
      <c r="E40" s="2111"/>
      <c r="F40" s="2111"/>
      <c r="G40" s="2111"/>
    </row>
    <row r="41" spans="1:7" ht="13.8" x14ac:dyDescent="0.25">
      <c r="A41" s="2121"/>
      <c r="B41" s="2121"/>
      <c r="C41" s="2122"/>
      <c r="D41" s="2122"/>
      <c r="E41" s="2122"/>
      <c r="F41" s="2122">
        <f>D41*E41</f>
        <v>0</v>
      </c>
      <c r="G41" s="2122"/>
    </row>
    <row r="42" spans="1:7" ht="13.8" x14ac:dyDescent="0.25">
      <c r="A42" s="2109"/>
      <c r="B42" s="2109"/>
      <c r="C42" s="2110"/>
      <c r="D42" s="2111"/>
      <c r="E42" s="2111"/>
      <c r="F42" s="2111">
        <f t="shared" ref="F42:F46" si="4">D42*E42</f>
        <v>0</v>
      </c>
      <c r="G42" s="2111"/>
    </row>
    <row r="43" spans="1:7" ht="13.8" x14ac:dyDescent="0.25">
      <c r="A43" s="2113"/>
      <c r="B43" s="2894" t="s">
        <v>3363</v>
      </c>
      <c r="C43" s="2894"/>
      <c r="D43" s="2894"/>
      <c r="E43" s="2894"/>
      <c r="F43" s="2114">
        <f t="shared" si="4"/>
        <v>0</v>
      </c>
      <c r="G43" s="2190">
        <f>SUM(F40:F43)</f>
        <v>0</v>
      </c>
    </row>
    <row r="44" spans="1:7" ht="13.8" x14ac:dyDescent="0.25">
      <c r="A44" s="2109"/>
      <c r="B44" s="2112" t="s">
        <v>3349</v>
      </c>
      <c r="C44" s="2110"/>
      <c r="D44" s="2111"/>
      <c r="E44" s="2111"/>
      <c r="F44" s="2111"/>
      <c r="G44" s="2111"/>
    </row>
    <row r="45" spans="1:7" ht="13.8" x14ac:dyDescent="0.25">
      <c r="A45" s="2109"/>
      <c r="B45" s="2109" t="s">
        <v>3364</v>
      </c>
      <c r="C45" s="2111" t="s">
        <v>3365</v>
      </c>
      <c r="D45" s="2111">
        <v>4</v>
      </c>
      <c r="E45" s="2111">
        <v>2500</v>
      </c>
      <c r="F45" s="2111"/>
      <c r="G45" s="2111"/>
    </row>
    <row r="46" spans="1:7" ht="13.8" x14ac:dyDescent="0.25">
      <c r="A46" s="2109"/>
      <c r="B46" s="2109" t="s">
        <v>3366</v>
      </c>
      <c r="C46" s="2111" t="s">
        <v>131</v>
      </c>
      <c r="D46" s="2111">
        <v>1</v>
      </c>
      <c r="E46" s="2111">
        <v>4500</v>
      </c>
      <c r="F46" s="2111">
        <f t="shared" si="4"/>
        <v>4500</v>
      </c>
      <c r="G46" s="2111"/>
    </row>
    <row r="47" spans="1:7" ht="13.8" x14ac:dyDescent="0.25">
      <c r="A47" s="2109"/>
      <c r="B47" s="2109"/>
      <c r="C47" s="2110"/>
      <c r="D47" s="2111"/>
      <c r="E47" s="2111"/>
      <c r="F47" s="2111"/>
      <c r="G47" s="2111"/>
    </row>
    <row r="48" spans="1:7" ht="13.8" x14ac:dyDescent="0.25">
      <c r="A48" s="2113"/>
      <c r="B48" s="2894" t="s">
        <v>3351</v>
      </c>
      <c r="C48" s="2894"/>
      <c r="D48" s="2894"/>
      <c r="E48" s="2894"/>
      <c r="F48" s="2114">
        <f t="shared" ref="F48" si="5">D48*E48</f>
        <v>0</v>
      </c>
      <c r="G48" s="2190">
        <f>SUM(F45:F48)</f>
        <v>4500</v>
      </c>
    </row>
    <row r="49" spans="1:7" ht="13.8" x14ac:dyDescent="0.25">
      <c r="A49" s="2109"/>
      <c r="B49" s="2112" t="s">
        <v>3367</v>
      </c>
      <c r="C49" s="2110"/>
      <c r="D49" s="2111"/>
      <c r="E49" s="2111"/>
      <c r="F49" s="2111"/>
      <c r="G49" s="2111"/>
    </row>
    <row r="50" spans="1:7" ht="13.8" x14ac:dyDescent="0.25">
      <c r="A50" s="2109"/>
      <c r="B50" s="2109"/>
      <c r="C50" s="2110"/>
      <c r="D50" s="2111"/>
      <c r="E50" s="2111"/>
      <c r="F50" s="2111"/>
      <c r="G50" s="2111"/>
    </row>
    <row r="51" spans="1:7" ht="13.8" x14ac:dyDescent="0.25">
      <c r="A51" s="2109"/>
      <c r="B51" s="2109" t="s">
        <v>3368</v>
      </c>
      <c r="C51" s="2111" t="s">
        <v>3369</v>
      </c>
      <c r="D51" s="2111">
        <v>24</v>
      </c>
      <c r="E51" s="2111">
        <v>625</v>
      </c>
      <c r="F51" s="2111">
        <f>D51*E51</f>
        <v>15000</v>
      </c>
      <c r="G51" s="2111"/>
    </row>
    <row r="52" spans="1:7" ht="13.8" x14ac:dyDescent="0.25">
      <c r="A52" s="2109"/>
      <c r="B52" s="2109"/>
      <c r="C52" s="2110"/>
      <c r="D52" s="2111"/>
      <c r="E52" s="2111"/>
      <c r="F52" s="2111"/>
      <c r="G52" s="2111"/>
    </row>
    <row r="53" spans="1:7" ht="13.8" x14ac:dyDescent="0.25">
      <c r="A53" s="2113"/>
      <c r="B53" s="2894" t="s">
        <v>3370</v>
      </c>
      <c r="C53" s="2894"/>
      <c r="D53" s="2894"/>
      <c r="E53" s="2894"/>
      <c r="F53" s="2114">
        <f t="shared" ref="F53" si="6">D53*E53</f>
        <v>0</v>
      </c>
      <c r="G53" s="2190">
        <f>SUM(F50:F53)</f>
        <v>15000</v>
      </c>
    </row>
    <row r="54" spans="1:7" ht="13.8" x14ac:dyDescent="0.25">
      <c r="A54" s="2109"/>
      <c r="B54" s="2115"/>
      <c r="C54" s="2115"/>
      <c r="D54" s="2115"/>
      <c r="E54" s="2115"/>
      <c r="F54" s="2111"/>
      <c r="G54" s="2115"/>
    </row>
    <row r="55" spans="1:7" ht="13.8" x14ac:dyDescent="0.25">
      <c r="A55" s="2109"/>
      <c r="B55" s="2115"/>
      <c r="C55" s="2115"/>
      <c r="D55" s="2115"/>
      <c r="E55" s="2115"/>
      <c r="F55" s="2111"/>
      <c r="G55" s="2115"/>
    </row>
    <row r="56" spans="1:7" ht="13.8" x14ac:dyDescent="0.25">
      <c r="A56" s="2887" t="s">
        <v>3371</v>
      </c>
      <c r="B56" s="2887"/>
      <c r="C56" s="2887"/>
      <c r="D56" s="2887"/>
      <c r="E56" s="2887"/>
      <c r="F56" s="2887"/>
      <c r="G56" s="2189">
        <f>G43+G48+G53</f>
        <v>19500</v>
      </c>
    </row>
    <row r="57" spans="1:7" ht="13.8" x14ac:dyDescent="0.25">
      <c r="A57" s="2887" t="s">
        <v>3358</v>
      </c>
      <c r="B57" s="2887"/>
      <c r="C57" s="2887"/>
      <c r="D57" s="2887"/>
      <c r="E57" s="2887"/>
      <c r="F57" s="2887"/>
      <c r="G57" s="2189">
        <f>G56/12</f>
        <v>1625</v>
      </c>
    </row>
    <row r="58" spans="1:7" ht="16.2" x14ac:dyDescent="0.25">
      <c r="A58" s="2887" t="s">
        <v>3359</v>
      </c>
      <c r="B58" s="2887"/>
      <c r="C58" s="2887"/>
      <c r="D58" s="2887"/>
      <c r="E58" s="2887"/>
      <c r="F58" s="2887"/>
      <c r="G58" s="2189">
        <f>G57/2.83</f>
        <v>574.20494699646645</v>
      </c>
    </row>
    <row r="63" spans="1:7" ht="13.8" thickBot="1" x14ac:dyDescent="0.3"/>
    <row r="64" spans="1:7" ht="13.8" x14ac:dyDescent="0.25">
      <c r="A64" s="2888" t="s">
        <v>3372</v>
      </c>
      <c r="B64" s="2889"/>
      <c r="C64" s="2889"/>
      <c r="D64" s="2889"/>
      <c r="E64" s="2889"/>
      <c r="F64" s="2889"/>
      <c r="G64" s="2890"/>
    </row>
    <row r="65" spans="1:7" ht="14.4" thickBot="1" x14ac:dyDescent="0.3">
      <c r="A65" s="2891" t="s">
        <v>3356</v>
      </c>
      <c r="B65" s="2892"/>
      <c r="C65" s="2892"/>
      <c r="D65" s="2892"/>
      <c r="E65" s="2892"/>
      <c r="F65" s="2892"/>
      <c r="G65" s="2893"/>
    </row>
    <row r="66" spans="1:7" ht="14.4" thickBot="1" x14ac:dyDescent="0.3">
      <c r="A66" s="2107"/>
      <c r="B66" s="2108" t="s">
        <v>3345</v>
      </c>
      <c r="C66" s="2108" t="s">
        <v>3346</v>
      </c>
      <c r="D66" s="2108" t="s">
        <v>2</v>
      </c>
      <c r="E66" s="2108" t="s">
        <v>3347</v>
      </c>
      <c r="F66" s="2108" t="s">
        <v>5</v>
      </c>
      <c r="G66" s="2108" t="s">
        <v>3348</v>
      </c>
    </row>
    <row r="67" spans="1:7" ht="15.6" x14ac:dyDescent="0.4">
      <c r="A67" s="2109"/>
      <c r="B67" s="2120" t="s">
        <v>3361</v>
      </c>
      <c r="C67" s="2110"/>
      <c r="D67" s="2111"/>
      <c r="E67" s="2111"/>
      <c r="F67" s="2111"/>
      <c r="G67" s="2111"/>
    </row>
    <row r="68" spans="1:7" ht="13.8" x14ac:dyDescent="0.25">
      <c r="A68" s="2109"/>
      <c r="B68" s="2109"/>
      <c r="C68" s="2110"/>
      <c r="D68" s="2111"/>
      <c r="E68" s="2111"/>
      <c r="F68" s="2111"/>
      <c r="G68" s="2111"/>
    </row>
    <row r="69" spans="1:7" ht="13.8" x14ac:dyDescent="0.25">
      <c r="A69" s="2109"/>
      <c r="B69" s="2112" t="s">
        <v>3362</v>
      </c>
      <c r="C69" s="2110"/>
      <c r="D69" s="2111"/>
      <c r="E69" s="2111"/>
      <c r="F69" s="2111"/>
      <c r="G69" s="2111"/>
    </row>
    <row r="70" spans="1:7" ht="13.8" x14ac:dyDescent="0.25">
      <c r="A70" s="2118"/>
      <c r="B70" s="2118" t="s">
        <v>3373</v>
      </c>
      <c r="C70" s="2119" t="s">
        <v>131</v>
      </c>
      <c r="D70" s="2119">
        <v>12</v>
      </c>
      <c r="E70" s="2119">
        <f>Material!E23</f>
        <v>7500</v>
      </c>
      <c r="F70" s="2119">
        <f>D70*E70</f>
        <v>90000</v>
      </c>
      <c r="G70" s="2119"/>
    </row>
    <row r="71" spans="1:7" ht="13.8" x14ac:dyDescent="0.25">
      <c r="A71" s="2109"/>
      <c r="B71" s="2123" t="s">
        <v>3374</v>
      </c>
      <c r="C71" s="2111"/>
      <c r="D71" s="2111"/>
      <c r="E71" s="2111"/>
      <c r="F71" s="2111">
        <f>F70*35%</f>
        <v>31499.999999999996</v>
      </c>
      <c r="G71" s="2111"/>
    </row>
    <row r="72" spans="1:7" ht="13.8" x14ac:dyDescent="0.25">
      <c r="A72" s="2109"/>
      <c r="B72" s="2110"/>
      <c r="C72" s="2111"/>
      <c r="D72" s="2111"/>
      <c r="E72" s="2111"/>
      <c r="F72" s="2111">
        <f t="shared" ref="F72:F78" si="7">D72*E72</f>
        <v>0</v>
      </c>
      <c r="G72" s="2111"/>
    </row>
    <row r="73" spans="1:7" ht="13.8" x14ac:dyDescent="0.25">
      <c r="A73" s="2109"/>
      <c r="B73" s="2109"/>
      <c r="C73" s="2110"/>
      <c r="D73" s="2111"/>
      <c r="E73" s="2111"/>
      <c r="F73" s="2111">
        <f t="shared" si="7"/>
        <v>0</v>
      </c>
      <c r="G73" s="2111"/>
    </row>
    <row r="74" spans="1:7" ht="13.8" x14ac:dyDescent="0.25">
      <c r="A74" s="2113"/>
      <c r="B74" s="2894" t="s">
        <v>3363</v>
      </c>
      <c r="C74" s="2894"/>
      <c r="D74" s="2894"/>
      <c r="E74" s="2894"/>
      <c r="F74" s="2114">
        <f t="shared" si="7"/>
        <v>0</v>
      </c>
      <c r="G74" s="2190">
        <f>SUM(F69:F74)</f>
        <v>121500</v>
      </c>
    </row>
    <row r="75" spans="1:7" ht="13.8" x14ac:dyDescent="0.25">
      <c r="A75" s="2109"/>
      <c r="B75" s="2112" t="s">
        <v>3349</v>
      </c>
      <c r="C75" s="2110"/>
      <c r="D75" s="2111"/>
      <c r="E75" s="2111"/>
      <c r="F75" s="2111">
        <f t="shared" si="7"/>
        <v>0</v>
      </c>
      <c r="G75" s="2111"/>
    </row>
    <row r="76" spans="1:7" ht="13.8" x14ac:dyDescent="0.25">
      <c r="A76" s="2109"/>
      <c r="B76" s="2109" t="s">
        <v>3364</v>
      </c>
      <c r="C76" s="2111" t="s">
        <v>3365</v>
      </c>
      <c r="D76" s="2111">
        <v>3</v>
      </c>
      <c r="E76" s="2111">
        <v>2500</v>
      </c>
      <c r="F76" s="2111"/>
      <c r="G76" s="2111"/>
    </row>
    <row r="77" spans="1:7" ht="13.8" x14ac:dyDescent="0.25">
      <c r="A77" s="2109"/>
      <c r="B77" s="2109"/>
      <c r="C77" s="2111"/>
      <c r="D77" s="2111"/>
      <c r="E77" s="2111"/>
      <c r="F77" s="2111">
        <f t="shared" si="7"/>
        <v>0</v>
      </c>
      <c r="G77" s="2111"/>
    </row>
    <row r="78" spans="1:7" ht="13.8" x14ac:dyDescent="0.25">
      <c r="A78" s="2109"/>
      <c r="B78" s="2109" t="s">
        <v>3366</v>
      </c>
      <c r="C78" s="2111" t="s">
        <v>131</v>
      </c>
      <c r="D78" s="2111">
        <v>1</v>
      </c>
      <c r="E78" s="2111">
        <v>4500</v>
      </c>
      <c r="F78" s="2111">
        <f t="shared" si="7"/>
        <v>4500</v>
      </c>
      <c r="G78" s="2111"/>
    </row>
    <row r="79" spans="1:7" ht="13.8" x14ac:dyDescent="0.25">
      <c r="A79" s="2109"/>
      <c r="B79" s="2109"/>
      <c r="C79" s="2110"/>
      <c r="D79" s="2111"/>
      <c r="E79" s="2111"/>
      <c r="F79" s="2111"/>
      <c r="G79" s="2111"/>
    </row>
    <row r="80" spans="1:7" ht="13.8" x14ac:dyDescent="0.25">
      <c r="A80" s="2113"/>
      <c r="B80" s="2894" t="s">
        <v>3351</v>
      </c>
      <c r="C80" s="2894"/>
      <c r="D80" s="2894"/>
      <c r="E80" s="2894"/>
      <c r="F80" s="2114">
        <f t="shared" ref="F80" si="8">D80*E80</f>
        <v>0</v>
      </c>
      <c r="G80" s="2190">
        <f>SUM(F76:F80)</f>
        <v>4500</v>
      </c>
    </row>
    <row r="81" spans="1:7" ht="13.8" x14ac:dyDescent="0.25">
      <c r="A81" s="2109"/>
      <c r="B81" s="2112" t="s">
        <v>3367</v>
      </c>
      <c r="C81" s="2110"/>
      <c r="D81" s="2111"/>
      <c r="E81" s="2111"/>
      <c r="F81" s="2111"/>
      <c r="G81" s="2111"/>
    </row>
    <row r="82" spans="1:7" ht="13.8" x14ac:dyDescent="0.25">
      <c r="A82" s="2109"/>
      <c r="B82" s="2109"/>
      <c r="C82" s="2110"/>
      <c r="D82" s="2111"/>
      <c r="E82" s="2111"/>
      <c r="F82" s="2111"/>
      <c r="G82" s="2111"/>
    </row>
    <row r="83" spans="1:7" ht="13.8" x14ac:dyDescent="0.25">
      <c r="A83" s="2109"/>
      <c r="B83" s="2109" t="s">
        <v>3375</v>
      </c>
      <c r="C83" s="2111" t="s">
        <v>3369</v>
      </c>
      <c r="D83" s="2111">
        <v>3</v>
      </c>
      <c r="E83" s="2111">
        <v>7000</v>
      </c>
      <c r="F83" s="2111">
        <f>D83*E83</f>
        <v>21000</v>
      </c>
      <c r="G83" s="2111"/>
    </row>
    <row r="84" spans="1:7" ht="13.8" x14ac:dyDescent="0.25">
      <c r="A84" s="2109"/>
      <c r="B84" s="2109" t="s">
        <v>3368</v>
      </c>
      <c r="C84" s="2111" t="s">
        <v>3369</v>
      </c>
      <c r="D84" s="2111">
        <v>24</v>
      </c>
      <c r="E84" s="2111">
        <v>625</v>
      </c>
      <c r="F84" s="2111">
        <f>D84*E84</f>
        <v>15000</v>
      </c>
      <c r="G84" s="2111"/>
    </row>
    <row r="85" spans="1:7" ht="13.8" x14ac:dyDescent="0.25">
      <c r="A85" s="2109"/>
      <c r="B85" s="2109"/>
      <c r="C85" s="2110"/>
      <c r="D85" s="2111"/>
      <c r="E85" s="2111"/>
      <c r="F85" s="2111"/>
      <c r="G85" s="2111"/>
    </row>
    <row r="86" spans="1:7" ht="13.8" x14ac:dyDescent="0.25">
      <c r="A86" s="2113"/>
      <c r="B86" s="2894" t="s">
        <v>3370</v>
      </c>
      <c r="C86" s="2894"/>
      <c r="D86" s="2894"/>
      <c r="E86" s="2894"/>
      <c r="F86" s="2114">
        <f t="shared" ref="F86" si="9">D86*E86</f>
        <v>0</v>
      </c>
      <c r="G86" s="2190">
        <f>SUM(F82:F86)</f>
        <v>36000</v>
      </c>
    </row>
    <row r="87" spans="1:7" ht="13.8" x14ac:dyDescent="0.25">
      <c r="A87" s="2109"/>
      <c r="B87" s="2115"/>
      <c r="C87" s="2115"/>
      <c r="D87" s="2115"/>
      <c r="E87" s="2115"/>
      <c r="F87" s="2111"/>
      <c r="G87" s="2115"/>
    </row>
    <row r="88" spans="1:7" ht="13.8" x14ac:dyDescent="0.25">
      <c r="A88" s="2109"/>
      <c r="B88" s="2115"/>
      <c r="C88" s="2115"/>
      <c r="D88" s="2115"/>
      <c r="E88" s="2115"/>
      <c r="F88" s="2111"/>
      <c r="G88" s="2115"/>
    </row>
    <row r="89" spans="1:7" ht="13.8" x14ac:dyDescent="0.25">
      <c r="A89" s="2887" t="s">
        <v>3371</v>
      </c>
      <c r="B89" s="2887"/>
      <c r="C89" s="2887"/>
      <c r="D89" s="2887"/>
      <c r="E89" s="2887"/>
      <c r="F89" s="2887"/>
      <c r="G89" s="2189">
        <f>G74+G80+G86</f>
        <v>162000</v>
      </c>
    </row>
    <row r="90" spans="1:7" ht="13.8" x14ac:dyDescent="0.25">
      <c r="A90" s="2887" t="s">
        <v>3358</v>
      </c>
      <c r="B90" s="2887"/>
      <c r="C90" s="2887"/>
      <c r="D90" s="2887"/>
      <c r="E90" s="2887"/>
      <c r="F90" s="2887"/>
      <c r="G90" s="2189">
        <f>G89/12</f>
        <v>13500</v>
      </c>
    </row>
    <row r="91" spans="1:7" ht="16.2" x14ac:dyDescent="0.25">
      <c r="A91" s="2887" t="s">
        <v>3359</v>
      </c>
      <c r="B91" s="2887"/>
      <c r="C91" s="2887"/>
      <c r="D91" s="2887"/>
      <c r="E91" s="2887"/>
      <c r="F91" s="2887"/>
      <c r="G91" s="2189">
        <f>G90/2.83</f>
        <v>4770.3180212014131</v>
      </c>
    </row>
    <row r="94" spans="1:7" ht="13.8" thickBot="1" x14ac:dyDescent="0.3"/>
    <row r="95" spans="1:7" ht="13.8" x14ac:dyDescent="0.25">
      <c r="A95" s="2888" t="s">
        <v>3376</v>
      </c>
      <c r="B95" s="2889"/>
      <c r="C95" s="2889"/>
      <c r="D95" s="2889"/>
      <c r="E95" s="2889"/>
      <c r="F95" s="2889"/>
      <c r="G95" s="2890"/>
    </row>
    <row r="96" spans="1:7" ht="14.4" thickBot="1" x14ac:dyDescent="0.3">
      <c r="A96" s="2891" t="s">
        <v>3344</v>
      </c>
      <c r="B96" s="2892"/>
      <c r="C96" s="2892"/>
      <c r="D96" s="2892"/>
      <c r="E96" s="2892"/>
      <c r="F96" s="2892"/>
      <c r="G96" s="2893"/>
    </row>
    <row r="97" spans="1:7" ht="14.4" thickBot="1" x14ac:dyDescent="0.3">
      <c r="A97" s="2107"/>
      <c r="B97" s="2108" t="s">
        <v>3345</v>
      </c>
      <c r="C97" s="2108" t="s">
        <v>3346</v>
      </c>
      <c r="D97" s="2108" t="s">
        <v>2</v>
      </c>
      <c r="E97" s="2108" t="s">
        <v>3347</v>
      </c>
      <c r="F97" s="2108" t="s">
        <v>5</v>
      </c>
      <c r="G97" s="2108" t="s">
        <v>3348</v>
      </c>
    </row>
    <row r="98" spans="1:7" ht="13.8" x14ac:dyDescent="0.25">
      <c r="A98" s="2109"/>
      <c r="B98" s="2109"/>
      <c r="C98" s="2110"/>
      <c r="D98" s="2111"/>
      <c r="E98" s="2111"/>
      <c r="F98" s="2111"/>
      <c r="G98" s="2111"/>
    </row>
    <row r="99" spans="1:7" ht="13.8" x14ac:dyDescent="0.25">
      <c r="A99" s="2109"/>
      <c r="B99" s="2112" t="s">
        <v>3362</v>
      </c>
      <c r="C99" s="2110"/>
      <c r="D99" s="2111"/>
      <c r="E99" s="2111"/>
      <c r="F99" s="2111"/>
      <c r="G99" s="2111"/>
    </row>
    <row r="100" spans="1:7" ht="13.8" x14ac:dyDescent="0.25">
      <c r="A100" s="2121"/>
      <c r="B100" s="2121" t="s">
        <v>3377</v>
      </c>
      <c r="C100" s="2122" t="s">
        <v>134</v>
      </c>
      <c r="D100" s="2122">
        <v>2.5</v>
      </c>
      <c r="E100" s="2122">
        <f>Material!E63</f>
        <v>750</v>
      </c>
      <c r="F100" s="2122">
        <f>D100*E100</f>
        <v>1875</v>
      </c>
      <c r="G100" s="2122"/>
    </row>
    <row r="101" spans="1:7" ht="13.8" x14ac:dyDescent="0.25">
      <c r="A101" s="2109"/>
      <c r="B101" s="2123"/>
      <c r="C101" s="2111"/>
      <c r="D101" s="2111"/>
      <c r="E101" s="2111"/>
      <c r="F101" s="2111"/>
      <c r="G101" s="2111"/>
    </row>
    <row r="102" spans="1:7" ht="13.8" x14ac:dyDescent="0.25">
      <c r="A102" s="2109"/>
      <c r="B102" s="2110"/>
      <c r="C102" s="2111"/>
      <c r="D102" s="2111"/>
      <c r="E102" s="2111"/>
      <c r="F102" s="2111"/>
      <c r="G102" s="2111"/>
    </row>
    <row r="103" spans="1:7" ht="13.8" x14ac:dyDescent="0.25">
      <c r="A103" s="2109"/>
      <c r="B103" s="2109"/>
      <c r="C103" s="2110"/>
      <c r="D103" s="2111"/>
      <c r="E103" s="2111"/>
      <c r="F103" s="2111">
        <f t="shared" ref="F103:F106" si="10">D103*E103</f>
        <v>0</v>
      </c>
      <c r="G103" s="2111"/>
    </row>
    <row r="104" spans="1:7" ht="13.8" x14ac:dyDescent="0.25">
      <c r="A104" s="2113"/>
      <c r="B104" s="2894" t="s">
        <v>3363</v>
      </c>
      <c r="C104" s="2894"/>
      <c r="D104" s="2894"/>
      <c r="E104" s="2894"/>
      <c r="F104" s="2114">
        <f t="shared" si="10"/>
        <v>0</v>
      </c>
      <c r="G104" s="2190">
        <f>SUM(F99:F104)</f>
        <v>1875</v>
      </c>
    </row>
    <row r="105" spans="1:7" ht="13.8" x14ac:dyDescent="0.25">
      <c r="A105" s="2109"/>
      <c r="B105" s="2112" t="s">
        <v>3349</v>
      </c>
      <c r="C105" s="2110"/>
      <c r="D105" s="2111"/>
      <c r="E105" s="2111"/>
      <c r="F105" s="2111">
        <f t="shared" si="10"/>
        <v>0</v>
      </c>
      <c r="G105" s="2111"/>
    </row>
    <row r="106" spans="1:7" ht="13.8" x14ac:dyDescent="0.25">
      <c r="A106" s="2109"/>
      <c r="B106" s="2109" t="s">
        <v>3378</v>
      </c>
      <c r="C106" s="2111" t="s">
        <v>1846</v>
      </c>
      <c r="D106" s="2111">
        <v>100</v>
      </c>
      <c r="E106" s="2111">
        <v>5</v>
      </c>
      <c r="F106" s="2111">
        <f t="shared" si="10"/>
        <v>500</v>
      </c>
      <c r="G106" s="2111"/>
    </row>
    <row r="107" spans="1:7" ht="13.8" x14ac:dyDescent="0.25">
      <c r="A107" s="2109"/>
      <c r="B107" s="2109"/>
      <c r="C107" s="2110"/>
      <c r="D107" s="2111"/>
      <c r="E107" s="2111"/>
      <c r="F107" s="2111"/>
      <c r="G107" s="2111"/>
    </row>
    <row r="108" spans="1:7" ht="13.8" x14ac:dyDescent="0.25">
      <c r="A108" s="2113"/>
      <c r="B108" s="2894" t="s">
        <v>3351</v>
      </c>
      <c r="C108" s="2894"/>
      <c r="D108" s="2894"/>
      <c r="E108" s="2894"/>
      <c r="F108" s="2114">
        <f t="shared" ref="F108" si="11">D108*E108</f>
        <v>0</v>
      </c>
      <c r="G108" s="2190">
        <f>SUM(F106:F108)</f>
        <v>500</v>
      </c>
    </row>
    <row r="109" spans="1:7" ht="13.8" x14ac:dyDescent="0.25">
      <c r="A109" s="2109"/>
      <c r="B109" s="2115"/>
      <c r="C109" s="2115"/>
      <c r="D109" s="2115"/>
      <c r="E109" s="2115"/>
      <c r="F109" s="2111"/>
      <c r="G109" s="2115"/>
    </row>
    <row r="110" spans="1:7" ht="13.8" x14ac:dyDescent="0.25">
      <c r="A110" s="2109"/>
      <c r="B110" s="2115"/>
      <c r="C110" s="2115"/>
      <c r="D110" s="2115"/>
      <c r="E110" s="2115"/>
      <c r="F110" s="2111"/>
      <c r="G110" s="2115"/>
    </row>
    <row r="111" spans="1:7" ht="13.8" x14ac:dyDescent="0.25">
      <c r="A111" s="2887" t="s">
        <v>3379</v>
      </c>
      <c r="B111" s="2887"/>
      <c r="C111" s="2887"/>
      <c r="D111" s="2887"/>
      <c r="E111" s="2887"/>
      <c r="F111" s="2887"/>
      <c r="G111" s="2189">
        <f>G104+G108</f>
        <v>2375</v>
      </c>
    </row>
    <row r="112" spans="1:7" ht="13.8" x14ac:dyDescent="0.25">
      <c r="A112" s="2887" t="s">
        <v>3380</v>
      </c>
      <c r="B112" s="2887"/>
      <c r="C112" s="2887"/>
      <c r="D112" s="2887"/>
      <c r="E112" s="2887"/>
      <c r="F112" s="2887"/>
      <c r="G112" s="2189">
        <f>G111/9.29</f>
        <v>255.65123789020456</v>
      </c>
    </row>
    <row r="113" spans="1:7" ht="14.4" thickBot="1" x14ac:dyDescent="0.3">
      <c r="A113" s="2896" t="s">
        <v>3381</v>
      </c>
      <c r="B113" s="2896"/>
      <c r="C113" s="2896"/>
      <c r="D113" s="2896"/>
      <c r="E113" s="2896"/>
      <c r="F113" s="2896"/>
      <c r="G113" s="2116">
        <f>G112/10.76</f>
        <v>23.759408725855444</v>
      </c>
    </row>
    <row r="117" spans="1:7" x14ac:dyDescent="0.25">
      <c r="A117" s="2895" t="s">
        <v>3382</v>
      </c>
      <c r="B117" s="2895"/>
      <c r="C117" s="2895"/>
      <c r="D117" s="2895"/>
      <c r="E117" s="2895"/>
      <c r="F117" s="2895"/>
      <c r="G117" s="2895"/>
    </row>
    <row r="121" spans="1:7" ht="13.8" x14ac:dyDescent="0.25">
      <c r="A121" s="2897" t="s">
        <v>3383</v>
      </c>
      <c r="B121" s="2897"/>
      <c r="C121" s="2124"/>
      <c r="D121" s="2125"/>
      <c r="E121" s="2125"/>
      <c r="F121" s="2125"/>
    </row>
    <row r="122" spans="1:7" ht="13.8" x14ac:dyDescent="0.25">
      <c r="A122" s="2126"/>
      <c r="B122" s="2127" t="s">
        <v>3345</v>
      </c>
      <c r="C122" s="2127" t="s">
        <v>3346</v>
      </c>
      <c r="D122" s="2127" t="s">
        <v>2</v>
      </c>
      <c r="E122" s="2127" t="s">
        <v>3347</v>
      </c>
      <c r="F122" s="2127" t="s">
        <v>5</v>
      </c>
    </row>
    <row r="123" spans="1:7" ht="13.8" x14ac:dyDescent="0.25">
      <c r="A123" s="2128"/>
      <c r="B123" s="2128"/>
      <c r="C123" s="2129"/>
      <c r="D123" s="2130"/>
      <c r="E123" s="2130"/>
      <c r="F123" s="2130"/>
    </row>
    <row r="124" spans="1:7" ht="13.8" x14ac:dyDescent="0.25">
      <c r="A124" s="2131"/>
      <c r="B124" s="2131" t="s">
        <v>3384</v>
      </c>
      <c r="C124" s="2132" t="s">
        <v>3385</v>
      </c>
      <c r="D124" s="2132">
        <v>50</v>
      </c>
      <c r="E124" s="2132">
        <f>Material!D10</f>
        <v>2170</v>
      </c>
      <c r="F124" s="2132">
        <f>D124*E124</f>
        <v>108500</v>
      </c>
    </row>
    <row r="125" spans="1:7" ht="27.6" x14ac:dyDescent="0.25">
      <c r="A125" s="2128"/>
      <c r="B125" s="2133" t="s">
        <v>3386</v>
      </c>
      <c r="C125" s="2130" t="s">
        <v>3369</v>
      </c>
      <c r="D125" s="2130">
        <v>2.5</v>
      </c>
      <c r="E125" s="2130">
        <v>312.5</v>
      </c>
      <c r="F125" s="2130">
        <f>D125*E125</f>
        <v>781.25</v>
      </c>
    </row>
    <row r="126" spans="1:7" ht="13.8" x14ac:dyDescent="0.25">
      <c r="A126" s="2128"/>
      <c r="B126" s="2129" t="s">
        <v>3387</v>
      </c>
      <c r="C126" s="2130" t="s">
        <v>3388</v>
      </c>
      <c r="D126" s="2130">
        <v>1</v>
      </c>
      <c r="E126" s="2130">
        <v>5000</v>
      </c>
      <c r="F126" s="2130">
        <f t="shared" ref="F126" si="12">D126*E126</f>
        <v>5000</v>
      </c>
    </row>
    <row r="127" spans="1:7" ht="13.8" x14ac:dyDescent="0.25">
      <c r="A127" s="2128"/>
      <c r="B127" s="2128"/>
      <c r="C127" s="2129"/>
      <c r="D127" s="2130"/>
      <c r="E127" s="2130"/>
      <c r="F127" s="2130"/>
    </row>
    <row r="128" spans="1:7" ht="13.8" x14ac:dyDescent="0.25">
      <c r="A128" s="2128"/>
      <c r="B128" s="2128"/>
      <c r="C128" s="2129"/>
      <c r="D128" s="2130"/>
      <c r="E128" s="2130"/>
      <c r="F128" s="2130"/>
    </row>
    <row r="129" spans="1:7" ht="13.8" x14ac:dyDescent="0.25">
      <c r="A129" s="2128"/>
      <c r="B129" s="2128"/>
      <c r="C129" s="2129"/>
      <c r="D129" s="2130"/>
      <c r="E129" s="2130"/>
      <c r="F129" s="2130"/>
    </row>
    <row r="130" spans="1:7" ht="13.8" x14ac:dyDescent="0.25">
      <c r="A130" s="2898" t="s">
        <v>3389</v>
      </c>
      <c r="B130" s="2899"/>
      <c r="C130" s="2899"/>
      <c r="D130" s="2899"/>
      <c r="E130" s="2900"/>
      <c r="F130" s="2134">
        <f>SUM(F124:F129)</f>
        <v>114281.25</v>
      </c>
    </row>
    <row r="131" spans="1:7" ht="13.8" x14ac:dyDescent="0.25">
      <c r="A131" s="2898" t="s">
        <v>3390</v>
      </c>
      <c r="B131" s="2899"/>
      <c r="C131" s="2899"/>
      <c r="D131" s="2899"/>
      <c r="E131" s="2900"/>
      <c r="F131" s="2134">
        <f>F130/50</f>
        <v>2285.625</v>
      </c>
    </row>
    <row r="134" spans="1:7" ht="13.8" thickBot="1" x14ac:dyDescent="0.3"/>
    <row r="135" spans="1:7" ht="13.8" x14ac:dyDescent="0.25">
      <c r="A135" s="2888" t="s">
        <v>3391</v>
      </c>
      <c r="B135" s="2889"/>
      <c r="C135" s="2889"/>
      <c r="D135" s="2889"/>
      <c r="E135" s="2889"/>
      <c r="F135" s="2889"/>
      <c r="G135" s="2890"/>
    </row>
    <row r="136" spans="1:7" ht="14.4" thickBot="1" x14ac:dyDescent="0.3">
      <c r="A136" s="2891" t="s">
        <v>3356</v>
      </c>
      <c r="B136" s="2892"/>
      <c r="C136" s="2892"/>
      <c r="D136" s="2892"/>
      <c r="E136" s="2892"/>
      <c r="F136" s="2892"/>
      <c r="G136" s="2893"/>
    </row>
    <row r="137" spans="1:7" ht="14.4" thickBot="1" x14ac:dyDescent="0.3">
      <c r="A137" s="2107"/>
      <c r="B137" s="2108" t="s">
        <v>3345</v>
      </c>
      <c r="C137" s="2108" t="s">
        <v>3346</v>
      </c>
      <c r="D137" s="2108" t="s">
        <v>2</v>
      </c>
      <c r="E137" s="2108" t="s">
        <v>3347</v>
      </c>
      <c r="F137" s="2108" t="s">
        <v>5</v>
      </c>
      <c r="G137" s="2108" t="s">
        <v>3348</v>
      </c>
    </row>
    <row r="138" spans="1:7" ht="13.8" x14ac:dyDescent="0.25">
      <c r="A138" s="2109"/>
      <c r="B138" s="2109"/>
      <c r="C138" s="2110"/>
      <c r="D138" s="2111"/>
      <c r="E138" s="2111"/>
      <c r="F138" s="2111"/>
      <c r="G138" s="2111"/>
    </row>
    <row r="139" spans="1:7" ht="13.8" x14ac:dyDescent="0.25">
      <c r="A139" s="2109"/>
      <c r="B139" s="2112" t="s">
        <v>3362</v>
      </c>
      <c r="C139" s="2110"/>
      <c r="D139" s="2111"/>
      <c r="E139" s="2111"/>
      <c r="F139" s="2111"/>
      <c r="G139" s="2111"/>
    </row>
    <row r="140" spans="1:7" ht="13.8" x14ac:dyDescent="0.25">
      <c r="A140" s="2118"/>
      <c r="B140" s="2118" t="s">
        <v>3384</v>
      </c>
      <c r="C140" s="2119" t="s">
        <v>3385</v>
      </c>
      <c r="D140" s="2119">
        <v>13</v>
      </c>
      <c r="E140" s="2119">
        <f>F131</f>
        <v>2285.625</v>
      </c>
      <c r="F140" s="2119">
        <f>D140*E140</f>
        <v>29713.125</v>
      </c>
      <c r="G140" s="2119"/>
    </row>
    <row r="141" spans="1:7" ht="13.8" x14ac:dyDescent="0.25">
      <c r="A141" s="2118"/>
      <c r="B141" s="2135" t="s">
        <v>3392</v>
      </c>
      <c r="C141" s="2119" t="s">
        <v>131</v>
      </c>
      <c r="D141" s="2119">
        <v>0.53</v>
      </c>
      <c r="E141" s="2119">
        <f>Material!E13</f>
        <v>23000</v>
      </c>
      <c r="F141" s="2119">
        <f t="shared" ref="F141:F146" si="13">D141*E141</f>
        <v>12190</v>
      </c>
      <c r="G141" s="2119"/>
    </row>
    <row r="142" spans="1:7" ht="13.8" x14ac:dyDescent="0.25">
      <c r="A142" s="2118"/>
      <c r="B142" s="2136" t="s">
        <v>3393</v>
      </c>
      <c r="C142" s="2119" t="s">
        <v>131</v>
      </c>
      <c r="D142" s="2119">
        <v>0.92</v>
      </c>
      <c r="E142" s="2119">
        <f>Material!E17</f>
        <v>13500</v>
      </c>
      <c r="F142" s="2119">
        <f t="shared" si="13"/>
        <v>12420</v>
      </c>
      <c r="G142" s="2119"/>
    </row>
    <row r="143" spans="1:7" ht="13.8" x14ac:dyDescent="0.25">
      <c r="A143" s="2109"/>
      <c r="B143" s="2109"/>
      <c r="C143" s="2110"/>
      <c r="D143" s="2111"/>
      <c r="E143" s="2111"/>
      <c r="F143" s="2111">
        <f t="shared" si="13"/>
        <v>0</v>
      </c>
      <c r="G143" s="2111"/>
    </row>
    <row r="144" spans="1:7" ht="13.8" x14ac:dyDescent="0.25">
      <c r="A144" s="2113"/>
      <c r="B144" s="2894" t="s">
        <v>3363</v>
      </c>
      <c r="C144" s="2894"/>
      <c r="D144" s="2894"/>
      <c r="E144" s="2894"/>
      <c r="F144" s="2114">
        <f t="shared" si="13"/>
        <v>0</v>
      </c>
      <c r="G144" s="2190">
        <f>SUM(F139:F144)</f>
        <v>54323.125</v>
      </c>
    </row>
    <row r="145" spans="1:7" ht="13.8" x14ac:dyDescent="0.25">
      <c r="A145" s="2109"/>
      <c r="B145" s="2112" t="s">
        <v>3349</v>
      </c>
      <c r="C145" s="2110"/>
      <c r="D145" s="2111"/>
      <c r="E145" s="2111"/>
      <c r="F145" s="2111">
        <f t="shared" si="13"/>
        <v>0</v>
      </c>
      <c r="G145" s="2111"/>
    </row>
    <row r="146" spans="1:7" ht="13.8" x14ac:dyDescent="0.25">
      <c r="A146" s="2118"/>
      <c r="B146" s="2118" t="s">
        <v>3357</v>
      </c>
      <c r="C146" s="2119" t="s">
        <v>131</v>
      </c>
      <c r="D146" s="2119">
        <v>1</v>
      </c>
      <c r="E146" s="2119">
        <v>15000</v>
      </c>
      <c r="F146" s="2119">
        <f t="shared" si="13"/>
        <v>15000</v>
      </c>
      <c r="G146" s="2119"/>
    </row>
    <row r="147" spans="1:7" ht="13.8" x14ac:dyDescent="0.25">
      <c r="A147" s="2109"/>
      <c r="B147" s="2109"/>
      <c r="C147" s="2110"/>
      <c r="D147" s="2111"/>
      <c r="E147" s="2111"/>
      <c r="F147" s="2111"/>
      <c r="G147" s="2111"/>
    </row>
    <row r="148" spans="1:7" ht="13.8" x14ac:dyDescent="0.25">
      <c r="A148" s="2113"/>
      <c r="B148" s="2894" t="s">
        <v>3351</v>
      </c>
      <c r="C148" s="2894"/>
      <c r="D148" s="2894"/>
      <c r="E148" s="2894"/>
      <c r="F148" s="2114">
        <f t="shared" ref="F148" si="14">D148*E148</f>
        <v>0</v>
      </c>
      <c r="G148" s="2190">
        <f>SUM(F146:F148)</f>
        <v>15000</v>
      </c>
    </row>
    <row r="149" spans="1:7" ht="13.8" x14ac:dyDescent="0.25">
      <c r="A149" s="2109"/>
      <c r="B149" s="2112" t="s">
        <v>3367</v>
      </c>
      <c r="C149" s="2110"/>
      <c r="D149" s="2111"/>
      <c r="E149" s="2111"/>
      <c r="F149" s="2111"/>
      <c r="G149" s="2111"/>
    </row>
    <row r="150" spans="1:7" ht="13.8" x14ac:dyDescent="0.25">
      <c r="A150" s="2109"/>
      <c r="B150" s="2109"/>
      <c r="C150" s="2110"/>
      <c r="D150" s="2111"/>
      <c r="E150" s="2111"/>
      <c r="F150" s="2111"/>
      <c r="G150" s="2111"/>
    </row>
    <row r="151" spans="1:7" ht="13.8" x14ac:dyDescent="0.25">
      <c r="A151" s="2109"/>
      <c r="B151" s="2109" t="s">
        <v>3394</v>
      </c>
      <c r="C151" s="2111" t="s">
        <v>3365</v>
      </c>
      <c r="D151" s="2111">
        <v>0.33</v>
      </c>
      <c r="E151" s="2111">
        <v>5000</v>
      </c>
      <c r="F151" s="2111">
        <f>D151*E151</f>
        <v>1650</v>
      </c>
      <c r="G151" s="2111"/>
    </row>
    <row r="152" spans="1:7" ht="13.8" x14ac:dyDescent="0.25">
      <c r="A152" s="2109"/>
      <c r="B152" s="2109" t="s">
        <v>3395</v>
      </c>
      <c r="C152" s="2111" t="s">
        <v>3365</v>
      </c>
      <c r="D152" s="2111">
        <v>0.33</v>
      </c>
      <c r="E152" s="2111">
        <v>2000</v>
      </c>
      <c r="F152" s="2111">
        <f>D152*E152</f>
        <v>660</v>
      </c>
      <c r="G152" s="2111"/>
    </row>
    <row r="153" spans="1:7" ht="13.8" x14ac:dyDescent="0.25">
      <c r="A153" s="2109"/>
      <c r="B153" s="2109"/>
      <c r="C153" s="2110"/>
      <c r="D153" s="2111"/>
      <c r="E153" s="2111"/>
      <c r="F153" s="2111"/>
      <c r="G153" s="2111"/>
    </row>
    <row r="154" spans="1:7" ht="13.8" x14ac:dyDescent="0.25">
      <c r="A154" s="2113"/>
      <c r="B154" s="2894" t="s">
        <v>3370</v>
      </c>
      <c r="C154" s="2894"/>
      <c r="D154" s="2894"/>
      <c r="E154" s="2894"/>
      <c r="F154" s="2114">
        <f t="shared" ref="F154" si="15">D154*E154</f>
        <v>0</v>
      </c>
      <c r="G154" s="2190">
        <f>SUM(F150:F154)</f>
        <v>2310</v>
      </c>
    </row>
    <row r="155" spans="1:7" ht="13.8" x14ac:dyDescent="0.25">
      <c r="A155" s="2109"/>
      <c r="B155" s="2115"/>
      <c r="C155" s="2115"/>
      <c r="D155" s="2115"/>
      <c r="E155" s="2115"/>
      <c r="F155" s="2111"/>
      <c r="G155" s="2115"/>
    </row>
    <row r="156" spans="1:7" ht="13.8" x14ac:dyDescent="0.25">
      <c r="A156" s="2109"/>
      <c r="B156" s="2115"/>
      <c r="C156" s="2115"/>
      <c r="D156" s="2115"/>
      <c r="E156" s="2115"/>
      <c r="F156" s="2111"/>
      <c r="G156" s="2115"/>
    </row>
    <row r="157" spans="1:7" ht="13.8" x14ac:dyDescent="0.25">
      <c r="A157" s="2887" t="s">
        <v>3358</v>
      </c>
      <c r="B157" s="2887"/>
      <c r="C157" s="2887"/>
      <c r="D157" s="2887"/>
      <c r="E157" s="2887"/>
      <c r="F157" s="2887"/>
      <c r="G157" s="2189">
        <f>G144+G148+G154</f>
        <v>71633.125</v>
      </c>
    </row>
    <row r="158" spans="1:7" ht="16.2" x14ac:dyDescent="0.25">
      <c r="A158" s="2887" t="s">
        <v>3359</v>
      </c>
      <c r="B158" s="2887"/>
      <c r="C158" s="2887"/>
      <c r="D158" s="2887"/>
      <c r="E158" s="2887"/>
      <c r="F158" s="2887"/>
      <c r="G158" s="2189">
        <f>G157/2.83</f>
        <v>25312.058303886926</v>
      </c>
    </row>
    <row r="159" spans="1:7" ht="13.8" x14ac:dyDescent="0.25">
      <c r="A159" s="2137"/>
      <c r="B159" s="2137"/>
      <c r="C159" s="2137"/>
      <c r="D159" s="2137"/>
      <c r="E159" s="2137"/>
      <c r="F159" s="2125"/>
      <c r="G159" s="2125"/>
    </row>
    <row r="160" spans="1:7" ht="13.8" x14ac:dyDescent="0.25">
      <c r="A160" s="2137"/>
      <c r="B160" s="2137"/>
      <c r="C160" s="2137"/>
      <c r="D160" s="2137"/>
      <c r="E160" s="2137"/>
      <c r="F160" s="2125"/>
      <c r="G160" s="2125"/>
    </row>
    <row r="161" spans="1:7" ht="13.8" x14ac:dyDescent="0.25">
      <c r="A161" s="2137"/>
      <c r="B161" s="2137"/>
      <c r="C161" s="2137"/>
      <c r="D161" s="2137"/>
      <c r="E161" s="2137"/>
      <c r="F161" s="2125"/>
      <c r="G161" s="2125"/>
    </row>
    <row r="162" spans="1:7" ht="14.4" thickBot="1" x14ac:dyDescent="0.3">
      <c r="A162" s="2137"/>
      <c r="B162" s="2137"/>
      <c r="C162" s="2137"/>
      <c r="D162" s="2137"/>
      <c r="E162" s="2137"/>
      <c r="F162" s="2125"/>
      <c r="G162" s="2125"/>
    </row>
    <row r="163" spans="1:7" ht="13.8" x14ac:dyDescent="0.25">
      <c r="A163" s="2888" t="s">
        <v>3396</v>
      </c>
      <c r="B163" s="2889"/>
      <c r="C163" s="2889"/>
      <c r="D163" s="2889"/>
      <c r="E163" s="2889"/>
      <c r="F163" s="2889"/>
      <c r="G163" s="2890"/>
    </row>
    <row r="164" spans="1:7" ht="14.4" thickBot="1" x14ac:dyDescent="0.3">
      <c r="A164" s="2891" t="s">
        <v>3356</v>
      </c>
      <c r="B164" s="2892"/>
      <c r="C164" s="2892"/>
      <c r="D164" s="2892"/>
      <c r="E164" s="2892"/>
      <c r="F164" s="2892"/>
      <c r="G164" s="2893"/>
    </row>
    <row r="165" spans="1:7" ht="14.4" thickBot="1" x14ac:dyDescent="0.3">
      <c r="A165" s="2107"/>
      <c r="B165" s="2108" t="s">
        <v>3345</v>
      </c>
      <c r="C165" s="2108" t="s">
        <v>3346</v>
      </c>
      <c r="D165" s="2108" t="s">
        <v>2</v>
      </c>
      <c r="E165" s="2108" t="s">
        <v>3347</v>
      </c>
      <c r="F165" s="2108" t="s">
        <v>5</v>
      </c>
      <c r="G165" s="2108" t="s">
        <v>3348</v>
      </c>
    </row>
    <row r="166" spans="1:7" ht="13.8" x14ac:dyDescent="0.25">
      <c r="A166" s="2109"/>
      <c r="B166" s="2109"/>
      <c r="C166" s="2110"/>
      <c r="D166" s="2111"/>
      <c r="E166" s="2111"/>
      <c r="F166" s="2111"/>
      <c r="G166" s="2111"/>
    </row>
    <row r="167" spans="1:7" ht="13.8" x14ac:dyDescent="0.25">
      <c r="A167" s="2109"/>
      <c r="B167" s="2112" t="s">
        <v>3362</v>
      </c>
      <c r="C167" s="2110"/>
      <c r="D167" s="2111"/>
      <c r="E167" s="2111"/>
      <c r="F167" s="2111"/>
      <c r="G167" s="2111"/>
    </row>
    <row r="168" spans="1:7" ht="13.8" x14ac:dyDescent="0.25">
      <c r="A168" s="2118"/>
      <c r="B168" s="2118" t="s">
        <v>3384</v>
      </c>
      <c r="C168" s="2119" t="s">
        <v>3385</v>
      </c>
      <c r="D168" s="2119">
        <v>18</v>
      </c>
      <c r="E168" s="2119">
        <f>F131</f>
        <v>2285.625</v>
      </c>
      <c r="F168" s="2119">
        <f>D168*E168</f>
        <v>41141.25</v>
      </c>
      <c r="G168" s="2119"/>
    </row>
    <row r="169" spans="1:7" ht="13.8" x14ac:dyDescent="0.25">
      <c r="A169" s="2118"/>
      <c r="B169" s="2135" t="s">
        <v>3392</v>
      </c>
      <c r="C169" s="2119" t="s">
        <v>131</v>
      </c>
      <c r="D169" s="2119">
        <v>0.5</v>
      </c>
      <c r="E169" s="2119">
        <f>Material!E13</f>
        <v>23000</v>
      </c>
      <c r="F169" s="2119">
        <f t="shared" ref="F169:F170" si="16">D169*E169</f>
        <v>11500</v>
      </c>
      <c r="G169" s="2119"/>
    </row>
    <row r="170" spans="1:7" ht="13.8" x14ac:dyDescent="0.25">
      <c r="A170" s="2118"/>
      <c r="B170" s="2136" t="s">
        <v>3393</v>
      </c>
      <c r="C170" s="2119" t="s">
        <v>131</v>
      </c>
      <c r="D170" s="2119">
        <v>0.88</v>
      </c>
      <c r="E170" s="2119">
        <f>Material!E17</f>
        <v>13500</v>
      </c>
      <c r="F170" s="2119">
        <f t="shared" si="16"/>
        <v>11880</v>
      </c>
      <c r="G170" s="2119"/>
    </row>
    <row r="171" spans="1:7" ht="13.8" x14ac:dyDescent="0.25">
      <c r="A171" s="2109"/>
      <c r="B171" s="2109"/>
      <c r="C171" s="2110"/>
      <c r="D171" s="2111"/>
      <c r="E171" s="2111"/>
      <c r="F171" s="2122"/>
      <c r="G171" s="2111"/>
    </row>
    <row r="172" spans="1:7" ht="13.8" x14ac:dyDescent="0.25">
      <c r="A172" s="2113"/>
      <c r="B172" s="2894" t="s">
        <v>3363</v>
      </c>
      <c r="C172" s="2894"/>
      <c r="D172" s="2894"/>
      <c r="E172" s="2894"/>
      <c r="F172" s="2114"/>
      <c r="G172" s="2190">
        <f>SUM(F167:F172)</f>
        <v>64521.25</v>
      </c>
    </row>
    <row r="173" spans="1:7" ht="13.8" x14ac:dyDescent="0.25">
      <c r="A173" s="2109"/>
      <c r="B173" s="2112" t="s">
        <v>3349</v>
      </c>
      <c r="C173" s="2110"/>
      <c r="D173" s="2111"/>
      <c r="E173" s="2111"/>
      <c r="F173" s="2111"/>
      <c r="G173" s="2111"/>
    </row>
    <row r="174" spans="1:7" ht="13.8" x14ac:dyDescent="0.25">
      <c r="A174" s="2118"/>
      <c r="B174" s="2118" t="s">
        <v>3357</v>
      </c>
      <c r="C174" s="2119" t="s">
        <v>131</v>
      </c>
      <c r="D174" s="2119">
        <v>1</v>
      </c>
      <c r="E174" s="2119">
        <v>15000</v>
      </c>
      <c r="F174" s="2119">
        <f t="shared" ref="F174" si="17">D174*E174</f>
        <v>15000</v>
      </c>
      <c r="G174" s="2119"/>
    </row>
    <row r="175" spans="1:7" ht="13.8" x14ac:dyDescent="0.25">
      <c r="A175" s="2109"/>
      <c r="B175" s="2109"/>
      <c r="C175" s="2110"/>
      <c r="D175" s="2111"/>
      <c r="E175" s="2111"/>
      <c r="F175" s="2111"/>
      <c r="G175" s="2111"/>
    </row>
    <row r="176" spans="1:7" ht="13.8" x14ac:dyDescent="0.25">
      <c r="A176" s="2113"/>
      <c r="B176" s="2894" t="s">
        <v>3351</v>
      </c>
      <c r="C176" s="2894"/>
      <c r="D176" s="2894"/>
      <c r="E176" s="2894"/>
      <c r="F176" s="2114"/>
      <c r="G176" s="2190">
        <f>SUM(F174:F176)</f>
        <v>15000</v>
      </c>
    </row>
    <row r="177" spans="1:7" ht="13.8" x14ac:dyDescent="0.25">
      <c r="A177" s="2109"/>
      <c r="B177" s="2112" t="s">
        <v>3367</v>
      </c>
      <c r="C177" s="2110"/>
      <c r="D177" s="2111"/>
      <c r="E177" s="2111"/>
      <c r="F177" s="2111"/>
      <c r="G177" s="2111"/>
    </row>
    <row r="178" spans="1:7" ht="13.8" x14ac:dyDescent="0.25">
      <c r="A178" s="2109"/>
      <c r="B178" s="2109"/>
      <c r="C178" s="2110"/>
      <c r="D178" s="2111"/>
      <c r="E178" s="2111"/>
      <c r="F178" s="2111"/>
      <c r="G178" s="2111"/>
    </row>
    <row r="179" spans="1:7" ht="13.8" x14ac:dyDescent="0.25">
      <c r="A179" s="2109"/>
      <c r="B179" s="2109" t="s">
        <v>3394</v>
      </c>
      <c r="C179" s="2111" t="s">
        <v>3365</v>
      </c>
      <c r="D179" s="2111">
        <v>0.33</v>
      </c>
      <c r="E179" s="2111">
        <v>5000</v>
      </c>
      <c r="F179" s="2111">
        <f>D179*E179</f>
        <v>1650</v>
      </c>
      <c r="G179" s="2111"/>
    </row>
    <row r="180" spans="1:7" ht="13.8" x14ac:dyDescent="0.25">
      <c r="A180" s="2109"/>
      <c r="B180" s="2109" t="s">
        <v>3395</v>
      </c>
      <c r="C180" s="2111" t="s">
        <v>3365</v>
      </c>
      <c r="D180" s="2111">
        <v>0.33</v>
      </c>
      <c r="E180" s="2111">
        <v>2000</v>
      </c>
      <c r="F180" s="2111">
        <f>D180*E180</f>
        <v>660</v>
      </c>
      <c r="G180" s="2111"/>
    </row>
    <row r="181" spans="1:7" ht="13.8" x14ac:dyDescent="0.25">
      <c r="A181" s="2109"/>
      <c r="B181" s="2109"/>
      <c r="C181" s="2110"/>
      <c r="D181" s="2111"/>
      <c r="E181" s="2111"/>
      <c r="F181" s="2111"/>
      <c r="G181" s="2111"/>
    </row>
    <row r="182" spans="1:7" ht="13.8" x14ac:dyDescent="0.25">
      <c r="A182" s="2113"/>
      <c r="B182" s="2894" t="s">
        <v>3370</v>
      </c>
      <c r="C182" s="2894"/>
      <c r="D182" s="2894"/>
      <c r="E182" s="2894"/>
      <c r="F182" s="2114"/>
      <c r="G182" s="2190">
        <f>SUM(F178:F182)</f>
        <v>2310</v>
      </c>
    </row>
    <row r="183" spans="1:7" ht="13.8" x14ac:dyDescent="0.25">
      <c r="A183" s="2109"/>
      <c r="B183" s="2115"/>
      <c r="C183" s="2115"/>
      <c r="D183" s="2115"/>
      <c r="E183" s="2115"/>
      <c r="F183" s="2111"/>
      <c r="G183" s="2115"/>
    </row>
    <row r="184" spans="1:7" ht="13.8" x14ac:dyDescent="0.25">
      <c r="A184" s="2109"/>
      <c r="B184" s="2115"/>
      <c r="C184" s="2115"/>
      <c r="D184" s="2115"/>
      <c r="E184" s="2115"/>
      <c r="F184" s="2111"/>
      <c r="G184" s="2115"/>
    </row>
    <row r="185" spans="1:7" ht="13.8" x14ac:dyDescent="0.25">
      <c r="A185" s="2903" t="s">
        <v>3397</v>
      </c>
      <c r="B185" s="2904"/>
      <c r="C185" s="2904"/>
      <c r="D185" s="2904"/>
      <c r="E185" s="2904"/>
      <c r="F185" s="2904"/>
      <c r="G185" s="2138">
        <f>G172+G176+G182</f>
        <v>81831.25</v>
      </c>
    </row>
    <row r="186" spans="1:7" ht="16.2" x14ac:dyDescent="0.25">
      <c r="A186" s="2903" t="s">
        <v>3359</v>
      </c>
      <c r="B186" s="2904"/>
      <c r="C186" s="2904"/>
      <c r="D186" s="2904"/>
      <c r="E186" s="2904"/>
      <c r="F186" s="2904"/>
      <c r="G186" s="2138">
        <f>G185/2.83</f>
        <v>28915.636042402824</v>
      </c>
    </row>
    <row r="187" spans="1:7" ht="13.8" x14ac:dyDescent="0.25">
      <c r="A187" s="2903" t="s">
        <v>3398</v>
      </c>
      <c r="B187" s="2904"/>
      <c r="C187" s="2904"/>
      <c r="D187" s="2904"/>
      <c r="E187" s="2904"/>
      <c r="F187" s="2904"/>
      <c r="G187" s="2138">
        <f>G185*1.03</f>
        <v>84286.1875</v>
      </c>
    </row>
    <row r="188" spans="1:7" ht="14.4" thickBot="1" x14ac:dyDescent="0.3">
      <c r="A188" s="2901" t="s">
        <v>3399</v>
      </c>
      <c r="B188" s="2902"/>
      <c r="C188" s="2902"/>
      <c r="D188" s="2902"/>
      <c r="E188" s="2902"/>
      <c r="F188" s="2902"/>
      <c r="G188" s="2139">
        <f>G185*1.05</f>
        <v>85922.8125</v>
      </c>
    </row>
    <row r="189" spans="1:7" ht="13.8" x14ac:dyDescent="0.25">
      <c r="A189" s="2137"/>
      <c r="B189" s="2137"/>
      <c r="C189" s="2137"/>
      <c r="D189" s="2137"/>
      <c r="E189" s="2137"/>
      <c r="F189" s="2125"/>
      <c r="G189" s="2125"/>
    </row>
    <row r="190" spans="1:7" ht="13.8" x14ac:dyDescent="0.25">
      <c r="A190" s="2137"/>
      <c r="B190" s="2137"/>
      <c r="C190" s="2137"/>
      <c r="D190" s="2137"/>
      <c r="E190" s="2137"/>
      <c r="F190" s="2125"/>
      <c r="G190" s="2125"/>
    </row>
    <row r="191" spans="1:7" ht="13.8" x14ac:dyDescent="0.25">
      <c r="A191" s="2137"/>
      <c r="B191" s="2137"/>
      <c r="C191" s="2137"/>
      <c r="D191" s="2137"/>
      <c r="E191" s="2137"/>
      <c r="F191" s="2125"/>
      <c r="G191" s="2125"/>
    </row>
    <row r="192" spans="1:7" ht="14.4" thickBot="1" x14ac:dyDescent="0.3">
      <c r="A192" s="2140"/>
      <c r="B192" s="2140"/>
      <c r="C192" s="2140"/>
      <c r="D192" s="2140"/>
      <c r="E192" s="2140"/>
      <c r="F192" s="2141"/>
      <c r="G192" s="2141"/>
    </row>
    <row r="193" spans="1:7" ht="13.8" x14ac:dyDescent="0.25">
      <c r="A193" s="2888" t="s">
        <v>3400</v>
      </c>
      <c r="B193" s="2889"/>
      <c r="C193" s="2889"/>
      <c r="D193" s="2889"/>
      <c r="E193" s="2889"/>
      <c r="F193" s="2889"/>
      <c r="G193" s="2890"/>
    </row>
    <row r="194" spans="1:7" ht="14.4" thickBot="1" x14ac:dyDescent="0.3">
      <c r="A194" s="2891" t="s">
        <v>3356</v>
      </c>
      <c r="B194" s="2892"/>
      <c r="C194" s="2892"/>
      <c r="D194" s="2892"/>
      <c r="E194" s="2892"/>
      <c r="F194" s="2892"/>
      <c r="G194" s="2893"/>
    </row>
    <row r="195" spans="1:7" ht="14.4" thickBot="1" x14ac:dyDescent="0.3">
      <c r="A195" s="2107"/>
      <c r="B195" s="2108" t="s">
        <v>3345</v>
      </c>
      <c r="C195" s="2108" t="s">
        <v>3346</v>
      </c>
      <c r="D195" s="2108" t="s">
        <v>2</v>
      </c>
      <c r="E195" s="2108" t="s">
        <v>3347</v>
      </c>
      <c r="F195" s="2108" t="s">
        <v>5</v>
      </c>
      <c r="G195" s="2108" t="s">
        <v>3348</v>
      </c>
    </row>
    <row r="196" spans="1:7" ht="13.8" x14ac:dyDescent="0.25">
      <c r="A196" s="2109"/>
      <c r="B196" s="2109"/>
      <c r="C196" s="2110"/>
      <c r="D196" s="2111"/>
      <c r="E196" s="2111"/>
      <c r="F196" s="2111"/>
      <c r="G196" s="2111"/>
    </row>
    <row r="197" spans="1:7" ht="13.8" x14ac:dyDescent="0.25">
      <c r="A197" s="2109"/>
      <c r="B197" s="2112" t="s">
        <v>3362</v>
      </c>
      <c r="C197" s="2110"/>
      <c r="D197" s="2111"/>
      <c r="E197" s="2111"/>
      <c r="F197" s="2111"/>
      <c r="G197" s="2111"/>
    </row>
    <row r="198" spans="1:7" ht="13.8" x14ac:dyDescent="0.25">
      <c r="A198" s="2118"/>
      <c r="B198" s="2118" t="s">
        <v>3384</v>
      </c>
      <c r="C198" s="2119" t="s">
        <v>3385</v>
      </c>
      <c r="D198" s="2119">
        <v>23</v>
      </c>
      <c r="E198" s="2119">
        <f>F131</f>
        <v>2285.625</v>
      </c>
      <c r="F198" s="2119">
        <f>D198*E198</f>
        <v>52569.375</v>
      </c>
      <c r="G198" s="2119"/>
    </row>
    <row r="199" spans="1:7" ht="13.8" x14ac:dyDescent="0.25">
      <c r="A199" s="2118"/>
      <c r="B199" s="2135" t="s">
        <v>3392</v>
      </c>
      <c r="C199" s="2119" t="s">
        <v>131</v>
      </c>
      <c r="D199" s="2119">
        <v>0.42</v>
      </c>
      <c r="E199" s="2119">
        <f>Material!E13</f>
        <v>23000</v>
      </c>
      <c r="F199" s="2119">
        <f t="shared" ref="F199:F204" si="18">D199*E199</f>
        <v>9660</v>
      </c>
      <c r="G199" s="2119"/>
    </row>
    <row r="200" spans="1:7" ht="13.8" x14ac:dyDescent="0.25">
      <c r="A200" s="2118"/>
      <c r="B200" s="2136" t="s">
        <v>3401</v>
      </c>
      <c r="C200" s="2119" t="s">
        <v>131</v>
      </c>
      <c r="D200" s="2119">
        <v>0.82</v>
      </c>
      <c r="E200" s="2119">
        <f>Material!E17</f>
        <v>13500</v>
      </c>
      <c r="F200" s="2119">
        <f t="shared" si="18"/>
        <v>11070</v>
      </c>
      <c r="G200" s="2119"/>
    </row>
    <row r="201" spans="1:7" ht="13.8" x14ac:dyDescent="0.25">
      <c r="A201" s="2109"/>
      <c r="B201" s="2109"/>
      <c r="C201" s="2110"/>
      <c r="D201" s="2111"/>
      <c r="E201" s="2111"/>
      <c r="F201" s="2111">
        <f t="shared" si="18"/>
        <v>0</v>
      </c>
      <c r="G201" s="2111"/>
    </row>
    <row r="202" spans="1:7" ht="13.8" x14ac:dyDescent="0.25">
      <c r="A202" s="2113"/>
      <c r="B202" s="2894" t="s">
        <v>3363</v>
      </c>
      <c r="C202" s="2894"/>
      <c r="D202" s="2894"/>
      <c r="E202" s="2894"/>
      <c r="F202" s="2114">
        <f t="shared" si="18"/>
        <v>0</v>
      </c>
      <c r="G202" s="2190">
        <f>SUM(F197:F202)</f>
        <v>73299.375</v>
      </c>
    </row>
    <row r="203" spans="1:7" ht="13.8" x14ac:dyDescent="0.25">
      <c r="A203" s="2109"/>
      <c r="B203" s="2112" t="s">
        <v>3349</v>
      </c>
      <c r="C203" s="2110"/>
      <c r="D203" s="2111"/>
      <c r="E203" s="2111"/>
      <c r="F203" s="2111">
        <f t="shared" si="18"/>
        <v>0</v>
      </c>
      <c r="G203" s="2111"/>
    </row>
    <row r="204" spans="1:7" ht="13.8" x14ac:dyDescent="0.25">
      <c r="A204" s="2118"/>
      <c r="B204" s="2118" t="s">
        <v>3357</v>
      </c>
      <c r="C204" s="2119" t="s">
        <v>131</v>
      </c>
      <c r="D204" s="2119">
        <v>1</v>
      </c>
      <c r="E204" s="2119">
        <v>15000</v>
      </c>
      <c r="F204" s="2119">
        <f t="shared" si="18"/>
        <v>15000</v>
      </c>
      <c r="G204" s="2119"/>
    </row>
    <row r="205" spans="1:7" ht="13.8" x14ac:dyDescent="0.25">
      <c r="A205" s="2109"/>
      <c r="B205" s="2109"/>
      <c r="C205" s="2110"/>
      <c r="D205" s="2111"/>
      <c r="E205" s="2111"/>
      <c r="F205" s="2111"/>
      <c r="G205" s="2111"/>
    </row>
    <row r="206" spans="1:7" ht="13.8" x14ac:dyDescent="0.25">
      <c r="A206" s="2113"/>
      <c r="B206" s="2894" t="s">
        <v>3351</v>
      </c>
      <c r="C206" s="2894"/>
      <c r="D206" s="2894"/>
      <c r="E206" s="2894"/>
      <c r="F206" s="2114">
        <f t="shared" ref="F206" si="19">D206*E206</f>
        <v>0</v>
      </c>
      <c r="G206" s="2190">
        <f>SUM(F204:F206)</f>
        <v>15000</v>
      </c>
    </row>
    <row r="207" spans="1:7" ht="13.8" x14ac:dyDescent="0.25">
      <c r="A207" s="2109"/>
      <c r="B207" s="2112" t="s">
        <v>3367</v>
      </c>
      <c r="C207" s="2110"/>
      <c r="D207" s="2111"/>
      <c r="E207" s="2111"/>
      <c r="F207" s="2111"/>
      <c r="G207" s="2111"/>
    </row>
    <row r="208" spans="1:7" ht="13.8" x14ac:dyDescent="0.25">
      <c r="A208" s="2109"/>
      <c r="B208" s="2109"/>
      <c r="C208" s="2110"/>
      <c r="D208" s="2111"/>
      <c r="E208" s="2111"/>
      <c r="F208" s="2111"/>
      <c r="G208" s="2111"/>
    </row>
    <row r="209" spans="1:7" ht="13.8" x14ac:dyDescent="0.25">
      <c r="A209" s="2109"/>
      <c r="B209" s="2109" t="s">
        <v>3394</v>
      </c>
      <c r="C209" s="2111" t="s">
        <v>3365</v>
      </c>
      <c r="D209" s="2111">
        <v>0.33</v>
      </c>
      <c r="E209" s="2111">
        <v>5000</v>
      </c>
      <c r="F209" s="2111">
        <f>D209*E209</f>
        <v>1650</v>
      </c>
      <c r="G209" s="2111"/>
    </row>
    <row r="210" spans="1:7" ht="13.8" x14ac:dyDescent="0.25">
      <c r="A210" s="2109"/>
      <c r="B210" s="2109" t="s">
        <v>3395</v>
      </c>
      <c r="C210" s="2111" t="s">
        <v>3365</v>
      </c>
      <c r="D210" s="2111">
        <v>0.33</v>
      </c>
      <c r="E210" s="2111">
        <v>2000</v>
      </c>
      <c r="F210" s="2111">
        <f>D210*E210</f>
        <v>660</v>
      </c>
      <c r="G210" s="2111"/>
    </row>
    <row r="211" spans="1:7" ht="13.8" x14ac:dyDescent="0.25">
      <c r="A211" s="2109"/>
      <c r="B211" s="2109"/>
      <c r="C211" s="2110"/>
      <c r="D211" s="2111"/>
      <c r="E211" s="2111"/>
      <c r="F211" s="2111"/>
      <c r="G211" s="2111"/>
    </row>
    <row r="212" spans="1:7" ht="13.8" x14ac:dyDescent="0.25">
      <c r="A212" s="2113"/>
      <c r="B212" s="2894" t="s">
        <v>3370</v>
      </c>
      <c r="C212" s="2894"/>
      <c r="D212" s="2894"/>
      <c r="E212" s="2894"/>
      <c r="F212" s="2114">
        <f t="shared" ref="F212" si="20">D212*E212</f>
        <v>0</v>
      </c>
      <c r="G212" s="2190">
        <f>SUM(F208:F212)</f>
        <v>2310</v>
      </c>
    </row>
    <row r="213" spans="1:7" ht="13.8" x14ac:dyDescent="0.25">
      <c r="A213" s="2109"/>
      <c r="B213" s="2115"/>
      <c r="C213" s="2115"/>
      <c r="D213" s="2115"/>
      <c r="E213" s="2115"/>
      <c r="F213" s="2111"/>
      <c r="G213" s="2115"/>
    </row>
    <row r="214" spans="1:7" ht="13.8" x14ac:dyDescent="0.25">
      <c r="A214" s="2109"/>
      <c r="B214" s="2115"/>
      <c r="C214" s="2115"/>
      <c r="D214" s="2115"/>
      <c r="E214" s="2115"/>
      <c r="F214" s="2111"/>
      <c r="G214" s="2115"/>
    </row>
    <row r="215" spans="1:7" ht="13.8" x14ac:dyDescent="0.25">
      <c r="A215" s="2887" t="s">
        <v>3358</v>
      </c>
      <c r="B215" s="2887"/>
      <c r="C215" s="2887"/>
      <c r="D215" s="2887"/>
      <c r="E215" s="2887"/>
      <c r="F215" s="2887"/>
      <c r="G215" s="2189">
        <f>G202+G206+G212</f>
        <v>90609.375</v>
      </c>
    </row>
    <row r="216" spans="1:7" ht="16.2" x14ac:dyDescent="0.25">
      <c r="A216" s="2887" t="s">
        <v>3359</v>
      </c>
      <c r="B216" s="2887"/>
      <c r="C216" s="2887"/>
      <c r="D216" s="2887"/>
      <c r="E216" s="2887"/>
      <c r="F216" s="2887"/>
      <c r="G216" s="2189">
        <f>G215/2.83</f>
        <v>32017.446996466431</v>
      </c>
    </row>
    <row r="217" spans="1:7" ht="14.4" thickBot="1" x14ac:dyDescent="0.3">
      <c r="A217" s="2905"/>
      <c r="B217" s="2905"/>
      <c r="C217" s="2905"/>
      <c r="D217" s="2905"/>
      <c r="E217" s="2905"/>
      <c r="F217" s="2905"/>
      <c r="G217" s="2142"/>
    </row>
    <row r="220" spans="1:7" ht="13.8" thickBot="1" x14ac:dyDescent="0.3"/>
    <row r="221" spans="1:7" ht="13.8" x14ac:dyDescent="0.25">
      <c r="A221" s="2888" t="s">
        <v>3402</v>
      </c>
      <c r="B221" s="2889"/>
      <c r="C221" s="2889"/>
      <c r="D221" s="2889"/>
      <c r="E221" s="2889"/>
      <c r="F221" s="2889"/>
      <c r="G221" s="2890"/>
    </row>
    <row r="222" spans="1:7" ht="14.4" thickBot="1" x14ac:dyDescent="0.3">
      <c r="A222" s="2891" t="s">
        <v>3344</v>
      </c>
      <c r="B222" s="2892"/>
      <c r="C222" s="2892"/>
      <c r="D222" s="2892"/>
      <c r="E222" s="2892"/>
      <c r="F222" s="2892"/>
      <c r="G222" s="2893"/>
    </row>
    <row r="223" spans="1:7" ht="14.4" thickBot="1" x14ac:dyDescent="0.3">
      <c r="A223" s="2107"/>
      <c r="B223" s="2108" t="s">
        <v>3345</v>
      </c>
      <c r="C223" s="2108" t="s">
        <v>3346</v>
      </c>
      <c r="D223" s="2108" t="s">
        <v>2</v>
      </c>
      <c r="E223" s="2108" t="s">
        <v>3347</v>
      </c>
      <c r="F223" s="2108" t="s">
        <v>5</v>
      </c>
      <c r="G223" s="2108" t="s">
        <v>3348</v>
      </c>
    </row>
    <row r="224" spans="1:7" ht="13.8" x14ac:dyDescent="0.25">
      <c r="A224" s="2109"/>
      <c r="B224" s="2109"/>
      <c r="C224" s="2110"/>
      <c r="D224" s="2111"/>
      <c r="E224" s="2111"/>
      <c r="F224" s="2111"/>
      <c r="G224" s="2111"/>
    </row>
    <row r="225" spans="1:7" ht="13.8" x14ac:dyDescent="0.25">
      <c r="A225" s="2109"/>
      <c r="B225" s="2112"/>
      <c r="C225" s="2110"/>
      <c r="D225" s="2111"/>
      <c r="E225" s="2111"/>
      <c r="F225" s="2111"/>
      <c r="G225" s="2111"/>
    </row>
    <row r="226" spans="1:7" ht="13.8" x14ac:dyDescent="0.25">
      <c r="A226" s="2109"/>
      <c r="B226" s="2109" t="s">
        <v>3403</v>
      </c>
      <c r="C226" s="2111" t="s">
        <v>131</v>
      </c>
      <c r="D226" s="2111">
        <v>0.17</v>
      </c>
      <c r="E226" s="2111">
        <f>G144</f>
        <v>54323.125</v>
      </c>
      <c r="F226" s="2111">
        <f>D226*E226</f>
        <v>9234.9312500000015</v>
      </c>
      <c r="G226" s="2111"/>
    </row>
    <row r="227" spans="1:7" ht="13.8" x14ac:dyDescent="0.25">
      <c r="A227" s="2109"/>
      <c r="B227" s="2109"/>
      <c r="C227" s="2111"/>
      <c r="D227" s="2111"/>
      <c r="E227" s="2111"/>
      <c r="F227" s="2111"/>
      <c r="G227" s="2111"/>
    </row>
    <row r="228" spans="1:7" ht="13.8" x14ac:dyDescent="0.25">
      <c r="A228" s="2109"/>
      <c r="B228" s="2123" t="s">
        <v>3404</v>
      </c>
      <c r="C228" s="2111"/>
      <c r="D228" s="2111"/>
      <c r="E228" s="2111"/>
      <c r="F228" s="2111">
        <f>F226*5%</f>
        <v>461.7465625000001</v>
      </c>
      <c r="G228" s="2111"/>
    </row>
    <row r="229" spans="1:7" ht="13.8" x14ac:dyDescent="0.25">
      <c r="A229" s="2109"/>
      <c r="B229" s="2110"/>
      <c r="C229" s="2111"/>
      <c r="D229" s="2111"/>
      <c r="E229" s="2111"/>
      <c r="F229" s="2111"/>
      <c r="G229" s="2111"/>
    </row>
    <row r="230" spans="1:7" ht="13.8" x14ac:dyDescent="0.25">
      <c r="A230" s="2109"/>
      <c r="B230" s="2109"/>
      <c r="C230" s="2110"/>
      <c r="D230" s="2111"/>
      <c r="E230" s="2111"/>
      <c r="F230" s="2111"/>
      <c r="G230" s="2111"/>
    </row>
    <row r="231" spans="1:7" ht="13.8" x14ac:dyDescent="0.25">
      <c r="A231" s="2113"/>
      <c r="B231" s="2894" t="s">
        <v>3363</v>
      </c>
      <c r="C231" s="2894"/>
      <c r="D231" s="2894"/>
      <c r="E231" s="2894"/>
      <c r="F231" s="2114">
        <f t="shared" ref="F231:F233" si="21">D231*E231</f>
        <v>0</v>
      </c>
      <c r="G231" s="2190">
        <f>SUM(F225:F231)</f>
        <v>9696.6778125000019</v>
      </c>
    </row>
    <row r="232" spans="1:7" ht="13.8" x14ac:dyDescent="0.25">
      <c r="A232" s="2109"/>
      <c r="B232" s="2112" t="s">
        <v>3349</v>
      </c>
      <c r="C232" s="2110"/>
      <c r="D232" s="2111"/>
      <c r="E232" s="2111"/>
      <c r="F232" s="2111"/>
      <c r="G232" s="2111"/>
    </row>
    <row r="233" spans="1:7" ht="13.8" x14ac:dyDescent="0.25">
      <c r="A233" s="2118"/>
      <c r="B233" s="2118" t="s">
        <v>3405</v>
      </c>
      <c r="C233" s="2119" t="s">
        <v>346</v>
      </c>
      <c r="D233" s="2119">
        <v>100</v>
      </c>
      <c r="E233" s="2119">
        <v>50</v>
      </c>
      <c r="F233" s="2119">
        <f t="shared" si="21"/>
        <v>5000</v>
      </c>
      <c r="G233" s="2119"/>
    </row>
    <row r="234" spans="1:7" ht="13.8" x14ac:dyDescent="0.25">
      <c r="A234" s="2109"/>
      <c r="B234" s="2109"/>
      <c r="C234" s="2110"/>
      <c r="D234" s="2111"/>
      <c r="E234" s="2111"/>
      <c r="F234" s="2111"/>
      <c r="G234" s="2111"/>
    </row>
    <row r="235" spans="1:7" ht="13.8" x14ac:dyDescent="0.25">
      <c r="A235" s="2113"/>
      <c r="B235" s="2894" t="s">
        <v>3351</v>
      </c>
      <c r="C235" s="2894"/>
      <c r="D235" s="2894"/>
      <c r="E235" s="2894"/>
      <c r="F235" s="2114">
        <f t="shared" ref="F235" si="22">D235*E235</f>
        <v>0</v>
      </c>
      <c r="G235" s="2190">
        <f>SUM(F233:F235)</f>
        <v>5000</v>
      </c>
    </row>
    <row r="236" spans="1:7" ht="13.8" x14ac:dyDescent="0.25">
      <c r="A236" s="2109"/>
      <c r="B236" s="2112" t="s">
        <v>3367</v>
      </c>
      <c r="C236" s="2110"/>
      <c r="D236" s="2111"/>
      <c r="E236" s="2111"/>
      <c r="F236" s="2111"/>
      <c r="G236" s="2111"/>
    </row>
    <row r="237" spans="1:7" ht="13.8" x14ac:dyDescent="0.25">
      <c r="A237" s="2109"/>
      <c r="B237" s="2109"/>
      <c r="C237" s="2110"/>
      <c r="D237" s="2111"/>
      <c r="E237" s="2111"/>
      <c r="F237" s="2111"/>
      <c r="G237" s="2111"/>
    </row>
    <row r="238" spans="1:7" ht="13.8" x14ac:dyDescent="0.25">
      <c r="A238" s="2109"/>
      <c r="B238" s="2109" t="s">
        <v>3394</v>
      </c>
      <c r="C238" s="2111" t="s">
        <v>3365</v>
      </c>
      <c r="D238" s="2111">
        <v>0.06</v>
      </c>
      <c r="E238" s="2111">
        <v>5000</v>
      </c>
      <c r="F238" s="2111">
        <f>D238*E238</f>
        <v>300</v>
      </c>
      <c r="G238" s="2111"/>
    </row>
    <row r="239" spans="1:7" ht="13.8" x14ac:dyDescent="0.25">
      <c r="A239" s="2109"/>
      <c r="B239" s="2109"/>
      <c r="C239" s="2111"/>
      <c r="D239" s="2111"/>
      <c r="E239" s="2111"/>
      <c r="F239" s="2111"/>
      <c r="G239" s="2111"/>
    </row>
    <row r="240" spans="1:7" ht="13.8" x14ac:dyDescent="0.25">
      <c r="A240" s="2109"/>
      <c r="B240" s="2109"/>
      <c r="C240" s="2110"/>
      <c r="D240" s="2111"/>
      <c r="E240" s="2111"/>
      <c r="F240" s="2111"/>
      <c r="G240" s="2111"/>
    </row>
    <row r="241" spans="1:10" ht="13.8" x14ac:dyDescent="0.25">
      <c r="A241" s="2113"/>
      <c r="B241" s="2894" t="s">
        <v>3370</v>
      </c>
      <c r="C241" s="2894"/>
      <c r="D241" s="2894"/>
      <c r="E241" s="2894"/>
      <c r="F241" s="2114">
        <f t="shared" ref="F241" si="23">D241*E241</f>
        <v>0</v>
      </c>
      <c r="G241" s="2190">
        <f>SUM(F237:F241)</f>
        <v>300</v>
      </c>
    </row>
    <row r="242" spans="1:10" ht="13.8" x14ac:dyDescent="0.25">
      <c r="A242" s="2109"/>
      <c r="B242" s="2115"/>
      <c r="C242" s="2115"/>
      <c r="D242" s="2115"/>
      <c r="E242" s="2115"/>
      <c r="F242" s="2111"/>
      <c r="G242" s="2115"/>
    </row>
    <row r="243" spans="1:10" ht="13.8" x14ac:dyDescent="0.25">
      <c r="A243" s="2109"/>
      <c r="B243" s="2115"/>
      <c r="C243" s="2115"/>
      <c r="D243" s="2115"/>
      <c r="E243" s="2115"/>
      <c r="F243" s="2111"/>
      <c r="G243" s="2115"/>
    </row>
    <row r="244" spans="1:10" ht="13.8" x14ac:dyDescent="0.25">
      <c r="A244" s="2887" t="s">
        <v>3379</v>
      </c>
      <c r="B244" s="2887"/>
      <c r="C244" s="2887"/>
      <c r="D244" s="2887"/>
      <c r="E244" s="2887"/>
      <c r="F244" s="2887"/>
      <c r="G244" s="2189">
        <f>G231+G235+G241</f>
        <v>14996.677812500002</v>
      </c>
    </row>
    <row r="245" spans="1:10" ht="13.8" x14ac:dyDescent="0.25">
      <c r="A245" s="2887" t="s">
        <v>3380</v>
      </c>
      <c r="B245" s="2887"/>
      <c r="C245" s="2887"/>
      <c r="D245" s="2887"/>
      <c r="E245" s="2887"/>
      <c r="F245" s="2887"/>
      <c r="G245" s="2189">
        <f>G244/9.29</f>
        <v>1614.2817882131328</v>
      </c>
    </row>
    <row r="246" spans="1:10" ht="14.4" thickBot="1" x14ac:dyDescent="0.3">
      <c r="A246" s="2896" t="s">
        <v>3381</v>
      </c>
      <c r="B246" s="2896"/>
      <c r="C246" s="2896"/>
      <c r="D246" s="2896"/>
      <c r="E246" s="2896"/>
      <c r="F246" s="2896"/>
      <c r="G246" s="2144">
        <f>G245/10.76</f>
        <v>150.02618849564431</v>
      </c>
    </row>
    <row r="248" spans="1:10" ht="13.8" thickBot="1" x14ac:dyDescent="0.3"/>
    <row r="249" spans="1:10" ht="13.8" x14ac:dyDescent="0.25">
      <c r="A249" s="2888" t="s">
        <v>3406</v>
      </c>
      <c r="B249" s="2889"/>
      <c r="C249" s="2889"/>
      <c r="D249" s="2889"/>
      <c r="E249" s="2889"/>
      <c r="F249" s="2889"/>
      <c r="G249" s="2890"/>
    </row>
    <row r="250" spans="1:10" ht="14.4" thickBot="1" x14ac:dyDescent="0.3">
      <c r="A250" s="2891" t="s">
        <v>3344</v>
      </c>
      <c r="B250" s="2892"/>
      <c r="C250" s="2892"/>
      <c r="D250" s="2892"/>
      <c r="E250" s="2892"/>
      <c r="F250" s="2892"/>
      <c r="G250" s="2893"/>
    </row>
    <row r="251" spans="1:10" ht="14.4" thickBot="1" x14ac:dyDescent="0.3">
      <c r="A251" s="2107"/>
      <c r="B251" s="2108" t="s">
        <v>3345</v>
      </c>
      <c r="C251" s="2108" t="s">
        <v>3346</v>
      </c>
      <c r="D251" s="2108" t="s">
        <v>2</v>
      </c>
      <c r="E251" s="2108" t="s">
        <v>3347</v>
      </c>
      <c r="F251" s="2108" t="s">
        <v>5</v>
      </c>
      <c r="G251" s="2108" t="s">
        <v>3348</v>
      </c>
    </row>
    <row r="252" spans="1:10" ht="13.8" x14ac:dyDescent="0.25">
      <c r="A252" s="2109"/>
      <c r="B252" s="2109"/>
      <c r="C252" s="2110"/>
      <c r="D252" s="2111"/>
      <c r="E252" s="2111"/>
      <c r="F252" s="2111"/>
      <c r="G252" s="2111"/>
    </row>
    <row r="253" spans="1:10" ht="13.8" x14ac:dyDescent="0.25">
      <c r="A253" s="2109"/>
      <c r="B253" s="2112"/>
      <c r="C253" s="2110"/>
      <c r="D253" s="2111"/>
      <c r="E253" s="2111"/>
      <c r="F253" s="2111"/>
      <c r="G253" s="2111"/>
    </row>
    <row r="254" spans="1:10" ht="13.8" x14ac:dyDescent="0.25">
      <c r="A254" s="2109"/>
      <c r="B254" s="2109" t="s">
        <v>3403</v>
      </c>
      <c r="C254" s="2111" t="s">
        <v>131</v>
      </c>
      <c r="D254" s="2111">
        <v>0.25</v>
      </c>
      <c r="E254" s="2111">
        <f>G172</f>
        <v>64521.25</v>
      </c>
      <c r="F254" s="2111">
        <f>D254*E254</f>
        <v>16130.3125</v>
      </c>
      <c r="G254" s="2111"/>
      <c r="I254" s="2106">
        <f>9.29*0.075</f>
        <v>0.69674999999999987</v>
      </c>
      <c r="J254" s="2106">
        <f>I254/2.83</f>
        <v>0.24620141342756177</v>
      </c>
    </row>
    <row r="255" spans="1:10" ht="13.8" x14ac:dyDescent="0.25">
      <c r="A255" s="2109"/>
      <c r="B255" s="2109"/>
      <c r="C255" s="2111"/>
      <c r="D255" s="2111"/>
      <c r="E255" s="2111"/>
      <c r="F255" s="2111"/>
      <c r="G255" s="2111"/>
    </row>
    <row r="256" spans="1:10" ht="13.8" x14ac:dyDescent="0.25">
      <c r="A256" s="2109"/>
      <c r="B256" s="2123" t="s">
        <v>3404</v>
      </c>
      <c r="C256" s="2111"/>
      <c r="D256" s="2111"/>
      <c r="E256" s="2111"/>
      <c r="F256" s="2111">
        <f>F254*5%</f>
        <v>806.515625</v>
      </c>
      <c r="G256" s="2111"/>
    </row>
    <row r="257" spans="1:7" ht="13.8" x14ac:dyDescent="0.25">
      <c r="A257" s="2109"/>
      <c r="B257" s="2110"/>
      <c r="C257" s="2111"/>
      <c r="D257" s="2111"/>
      <c r="E257" s="2111"/>
      <c r="F257" s="2111"/>
      <c r="G257" s="2111"/>
    </row>
    <row r="258" spans="1:7" ht="13.8" x14ac:dyDescent="0.25">
      <c r="A258" s="2109"/>
      <c r="B258" s="2109"/>
      <c r="C258" s="2110"/>
      <c r="D258" s="2111"/>
      <c r="E258" s="2111"/>
      <c r="F258" s="2111"/>
      <c r="G258" s="2111"/>
    </row>
    <row r="259" spans="1:7" ht="13.8" x14ac:dyDescent="0.25">
      <c r="A259" s="2113"/>
      <c r="B259" s="2894" t="s">
        <v>3363</v>
      </c>
      <c r="C259" s="2894"/>
      <c r="D259" s="2894"/>
      <c r="E259" s="2894"/>
      <c r="F259" s="2114">
        <f t="shared" ref="F259:F261" si="24">D259*E259</f>
        <v>0</v>
      </c>
      <c r="G259" s="2190">
        <f>SUM(F253:F259)</f>
        <v>16936.828125</v>
      </c>
    </row>
    <row r="260" spans="1:7" ht="13.8" x14ac:dyDescent="0.25">
      <c r="A260" s="2109"/>
      <c r="B260" s="2112" t="s">
        <v>3349</v>
      </c>
      <c r="C260" s="2110"/>
      <c r="D260" s="2111"/>
      <c r="E260" s="2111"/>
      <c r="F260" s="2111"/>
      <c r="G260" s="2111"/>
    </row>
    <row r="261" spans="1:7" ht="13.8" x14ac:dyDescent="0.25">
      <c r="A261" s="2118"/>
      <c r="B261" s="2118" t="s">
        <v>3357</v>
      </c>
      <c r="C261" s="2119" t="s">
        <v>346</v>
      </c>
      <c r="D261" s="2119">
        <v>100</v>
      </c>
      <c r="E261" s="2119">
        <v>65</v>
      </c>
      <c r="F261" s="2119">
        <f t="shared" si="24"/>
        <v>6500</v>
      </c>
      <c r="G261" s="2119"/>
    </row>
    <row r="262" spans="1:7" ht="13.8" x14ac:dyDescent="0.25">
      <c r="A262" s="2109"/>
      <c r="B262" s="2109"/>
      <c r="C262" s="2110"/>
      <c r="D262" s="2111"/>
      <c r="E262" s="2111"/>
      <c r="F262" s="2111"/>
      <c r="G262" s="2111"/>
    </row>
    <row r="263" spans="1:7" ht="13.8" x14ac:dyDescent="0.25">
      <c r="A263" s="2113"/>
      <c r="B263" s="2894" t="s">
        <v>3351</v>
      </c>
      <c r="C263" s="2894"/>
      <c r="D263" s="2894"/>
      <c r="E263" s="2894"/>
      <c r="F263" s="2114">
        <f t="shared" ref="F263" si="25">D263*E263</f>
        <v>0</v>
      </c>
      <c r="G263" s="2190">
        <f>SUM(F261:F263)</f>
        <v>6500</v>
      </c>
    </row>
    <row r="264" spans="1:7" ht="13.8" x14ac:dyDescent="0.25">
      <c r="A264" s="2109"/>
      <c r="B264" s="2112" t="s">
        <v>3367</v>
      </c>
      <c r="C264" s="2110"/>
      <c r="D264" s="2111"/>
      <c r="E264" s="2111"/>
      <c r="F264" s="2111"/>
      <c r="G264" s="2111"/>
    </row>
    <row r="265" spans="1:7" ht="13.8" x14ac:dyDescent="0.25">
      <c r="A265" s="2109"/>
      <c r="B265" s="2109"/>
      <c r="C265" s="2110"/>
      <c r="D265" s="2111"/>
      <c r="E265" s="2111"/>
      <c r="F265" s="2111"/>
      <c r="G265" s="2111"/>
    </row>
    <row r="266" spans="1:7" ht="13.8" x14ac:dyDescent="0.25">
      <c r="A266" s="2109"/>
      <c r="B266" s="2109" t="s">
        <v>3394</v>
      </c>
      <c r="C266" s="2111" t="s">
        <v>3365</v>
      </c>
      <c r="D266" s="2111">
        <v>0.08</v>
      </c>
      <c r="E266" s="2111">
        <v>5000</v>
      </c>
      <c r="F266" s="2111">
        <f>D266*E266</f>
        <v>400</v>
      </c>
      <c r="G266" s="2111"/>
    </row>
    <row r="267" spans="1:7" ht="13.8" x14ac:dyDescent="0.25">
      <c r="A267" s="2109"/>
      <c r="B267" s="2109" t="s">
        <v>3395</v>
      </c>
      <c r="C267" s="2111" t="s">
        <v>3365</v>
      </c>
      <c r="D267" s="2111">
        <v>0.08</v>
      </c>
      <c r="E267" s="2111">
        <v>2000</v>
      </c>
      <c r="F267" s="2111">
        <f>D267*E267</f>
        <v>160</v>
      </c>
      <c r="G267" s="2111"/>
    </row>
    <row r="268" spans="1:7" ht="13.8" x14ac:dyDescent="0.25">
      <c r="A268" s="2109"/>
      <c r="B268" s="2109"/>
      <c r="C268" s="2110"/>
      <c r="D268" s="2111"/>
      <c r="E268" s="2111"/>
      <c r="F268" s="2111"/>
      <c r="G268" s="2111"/>
    </row>
    <row r="269" spans="1:7" ht="13.8" x14ac:dyDescent="0.25">
      <c r="A269" s="2113"/>
      <c r="B269" s="2894" t="s">
        <v>3370</v>
      </c>
      <c r="C269" s="2894"/>
      <c r="D269" s="2894"/>
      <c r="E269" s="2894"/>
      <c r="F269" s="2114">
        <f t="shared" ref="F269" si="26">D269*E269</f>
        <v>0</v>
      </c>
      <c r="G269" s="2190">
        <f>SUM(F265:F269)</f>
        <v>560</v>
      </c>
    </row>
    <row r="270" spans="1:7" ht="13.8" x14ac:dyDescent="0.25">
      <c r="A270" s="2109"/>
      <c r="B270" s="2115"/>
      <c r="C270" s="2115"/>
      <c r="D270" s="2115"/>
      <c r="E270" s="2115"/>
      <c r="F270" s="2111"/>
      <c r="G270" s="2115"/>
    </row>
    <row r="271" spans="1:7" ht="13.8" x14ac:dyDescent="0.25">
      <c r="A271" s="2109"/>
      <c r="B271" s="2115"/>
      <c r="C271" s="2115"/>
      <c r="D271" s="2115"/>
      <c r="E271" s="2115"/>
      <c r="F271" s="2111"/>
      <c r="G271" s="2115"/>
    </row>
    <row r="272" spans="1:7" ht="13.8" x14ac:dyDescent="0.25">
      <c r="A272" s="2887" t="s">
        <v>3379</v>
      </c>
      <c r="B272" s="2887"/>
      <c r="C272" s="2887"/>
      <c r="D272" s="2887"/>
      <c r="E272" s="2887"/>
      <c r="F272" s="2887"/>
      <c r="G272" s="2189">
        <f>G259+G263+G269</f>
        <v>23996.828125</v>
      </c>
    </row>
    <row r="273" spans="1:7" ht="13.8" x14ac:dyDescent="0.25">
      <c r="A273" s="2887" t="s">
        <v>3380</v>
      </c>
      <c r="B273" s="2887"/>
      <c r="C273" s="2887"/>
      <c r="D273" s="2887"/>
      <c r="E273" s="2887"/>
      <c r="F273" s="2887"/>
      <c r="G273" s="2189">
        <f>G272/9.29</f>
        <v>2583.0816065662007</v>
      </c>
    </row>
    <row r="274" spans="1:7" ht="14.4" thickBot="1" x14ac:dyDescent="0.3">
      <c r="A274" s="2896" t="s">
        <v>3381</v>
      </c>
      <c r="B274" s="2896"/>
      <c r="C274" s="2896"/>
      <c r="D274" s="2896"/>
      <c r="E274" s="2896"/>
      <c r="F274" s="2896"/>
      <c r="G274" s="2144">
        <f>G273/10.76</f>
        <v>240.06334633514876</v>
      </c>
    </row>
    <row r="276" spans="1:7" ht="13.8" thickBot="1" x14ac:dyDescent="0.3"/>
    <row r="277" spans="1:7" ht="13.8" x14ac:dyDescent="0.25">
      <c r="A277" s="2888" t="s">
        <v>3407</v>
      </c>
      <c r="B277" s="2889"/>
      <c r="C277" s="2889"/>
      <c r="D277" s="2889"/>
      <c r="E277" s="2889"/>
      <c r="F277" s="2889"/>
      <c r="G277" s="2890"/>
    </row>
    <row r="278" spans="1:7" ht="14.4" thickBot="1" x14ac:dyDescent="0.3">
      <c r="A278" s="2891" t="s">
        <v>3344</v>
      </c>
      <c r="B278" s="2892"/>
      <c r="C278" s="2892"/>
      <c r="D278" s="2892"/>
      <c r="E278" s="2892"/>
      <c r="F278" s="2892"/>
      <c r="G278" s="2893"/>
    </row>
    <row r="279" spans="1:7" ht="14.4" thickBot="1" x14ac:dyDescent="0.3">
      <c r="A279" s="2107"/>
      <c r="B279" s="2108" t="s">
        <v>3345</v>
      </c>
      <c r="C279" s="2108" t="s">
        <v>3346</v>
      </c>
      <c r="D279" s="2108" t="s">
        <v>2</v>
      </c>
      <c r="E279" s="2108" t="s">
        <v>3347</v>
      </c>
      <c r="F279" s="2108" t="s">
        <v>5</v>
      </c>
      <c r="G279" s="2108" t="s">
        <v>3348</v>
      </c>
    </row>
    <row r="280" spans="1:7" ht="13.8" x14ac:dyDescent="0.25">
      <c r="A280" s="2109"/>
      <c r="B280" s="2109"/>
      <c r="C280" s="2110"/>
      <c r="D280" s="2111"/>
      <c r="E280" s="2111"/>
      <c r="F280" s="2111"/>
      <c r="G280" s="2111"/>
    </row>
    <row r="281" spans="1:7" ht="13.8" x14ac:dyDescent="0.25">
      <c r="A281" s="2109"/>
      <c r="B281" s="2112"/>
      <c r="C281" s="2110"/>
      <c r="D281" s="2111"/>
      <c r="E281" s="2111"/>
      <c r="F281" s="2111"/>
      <c r="G281" s="2111"/>
    </row>
    <row r="282" spans="1:7" ht="13.8" x14ac:dyDescent="0.25">
      <c r="A282" s="2109"/>
      <c r="B282" s="2109" t="s">
        <v>3403</v>
      </c>
      <c r="C282" s="2111" t="s">
        <v>131</v>
      </c>
      <c r="D282" s="2111">
        <v>0.25</v>
      </c>
      <c r="E282" s="2111">
        <f>G172</f>
        <v>64521.25</v>
      </c>
      <c r="F282" s="2111">
        <f>D282*E282</f>
        <v>16130.3125</v>
      </c>
      <c r="G282" s="2111"/>
    </row>
    <row r="283" spans="1:7" ht="13.8" x14ac:dyDescent="0.25">
      <c r="A283" s="2109"/>
      <c r="B283" s="2109"/>
      <c r="C283" s="2111"/>
      <c r="D283" s="2111"/>
      <c r="E283" s="2111"/>
      <c r="F283" s="2111"/>
      <c r="G283" s="2111"/>
    </row>
    <row r="284" spans="1:7" ht="13.8" x14ac:dyDescent="0.25">
      <c r="A284" s="2109"/>
      <c r="B284" s="2123" t="s">
        <v>3408</v>
      </c>
      <c r="C284" s="2111"/>
      <c r="D284" s="2111"/>
      <c r="E284" s="2111"/>
      <c r="F284" s="2111">
        <f>F282*10%</f>
        <v>1613.03125</v>
      </c>
      <c r="G284" s="2111"/>
    </row>
    <row r="285" spans="1:7" ht="13.8" x14ac:dyDescent="0.25">
      <c r="A285" s="2109"/>
      <c r="B285" s="2123"/>
      <c r="C285" s="2111"/>
      <c r="D285" s="2111"/>
      <c r="E285" s="2111"/>
      <c r="F285" s="2111"/>
      <c r="G285" s="2111"/>
    </row>
    <row r="286" spans="1:7" ht="13.8" x14ac:dyDescent="0.25">
      <c r="A286" s="2109"/>
      <c r="B286" s="2123" t="s">
        <v>3409</v>
      </c>
      <c r="C286" s="2111" t="s">
        <v>1846</v>
      </c>
      <c r="D286" s="2111">
        <v>100</v>
      </c>
      <c r="E286" s="2111">
        <v>100</v>
      </c>
      <c r="F286" s="2111">
        <f>D286*E286</f>
        <v>10000</v>
      </c>
      <c r="G286" s="2111"/>
    </row>
    <row r="287" spans="1:7" ht="13.8" x14ac:dyDescent="0.25">
      <c r="A287" s="2109"/>
      <c r="B287" s="2110"/>
      <c r="C287" s="2111"/>
      <c r="D287" s="2111"/>
      <c r="E287" s="2111"/>
      <c r="F287" s="2111"/>
      <c r="G287" s="2111"/>
    </row>
    <row r="288" spans="1:7" ht="13.8" x14ac:dyDescent="0.25">
      <c r="A288" s="2109"/>
      <c r="B288" s="2109"/>
      <c r="C288" s="2110"/>
      <c r="D288" s="2111"/>
      <c r="E288" s="2111"/>
      <c r="F288" s="2111"/>
      <c r="G288" s="2111"/>
    </row>
    <row r="289" spans="1:7" ht="13.8" x14ac:dyDescent="0.25">
      <c r="A289" s="2113"/>
      <c r="B289" s="2894" t="s">
        <v>3363</v>
      </c>
      <c r="C289" s="2894"/>
      <c r="D289" s="2894"/>
      <c r="E289" s="2894"/>
      <c r="F289" s="2114">
        <f t="shared" ref="F289" si="27">D289*E289</f>
        <v>0</v>
      </c>
      <c r="G289" s="2190">
        <f>SUM(F281:F289)</f>
        <v>27743.34375</v>
      </c>
    </row>
    <row r="290" spans="1:7" ht="13.8" x14ac:dyDescent="0.25">
      <c r="A290" s="2109"/>
      <c r="B290" s="2112" t="s">
        <v>3349</v>
      </c>
      <c r="C290" s="2110"/>
      <c r="D290" s="2111"/>
      <c r="E290" s="2111"/>
      <c r="F290" s="2111"/>
      <c r="G290" s="2111"/>
    </row>
    <row r="291" spans="1:7" ht="13.8" x14ac:dyDescent="0.25">
      <c r="A291" s="2118"/>
      <c r="B291" s="2118" t="s">
        <v>3357</v>
      </c>
      <c r="C291" s="2119" t="s">
        <v>346</v>
      </c>
      <c r="D291" s="2119">
        <v>100</v>
      </c>
      <c r="E291" s="2119">
        <v>65</v>
      </c>
      <c r="F291" s="2119">
        <f t="shared" ref="F291" si="28">D291*E291</f>
        <v>6500</v>
      </c>
      <c r="G291" s="2119"/>
    </row>
    <row r="292" spans="1:7" ht="13.8" x14ac:dyDescent="0.25">
      <c r="A292" s="2109"/>
      <c r="B292" s="2109"/>
      <c r="C292" s="2110"/>
      <c r="D292" s="2111"/>
      <c r="E292" s="2111"/>
      <c r="F292" s="2111"/>
      <c r="G292" s="2111"/>
    </row>
    <row r="293" spans="1:7" ht="13.8" x14ac:dyDescent="0.25">
      <c r="A293" s="2113"/>
      <c r="B293" s="2894" t="s">
        <v>3351</v>
      </c>
      <c r="C293" s="2894"/>
      <c r="D293" s="2894"/>
      <c r="E293" s="2894"/>
      <c r="F293" s="2114">
        <f t="shared" ref="F293" si="29">D293*E293</f>
        <v>0</v>
      </c>
      <c r="G293" s="2190">
        <f>SUM(F291:F293)</f>
        <v>6500</v>
      </c>
    </row>
    <row r="294" spans="1:7" ht="13.8" x14ac:dyDescent="0.25">
      <c r="A294" s="2109"/>
      <c r="B294" s="2112" t="s">
        <v>3367</v>
      </c>
      <c r="C294" s="2110"/>
      <c r="D294" s="2111"/>
      <c r="E294" s="2111"/>
      <c r="F294" s="2111"/>
      <c r="G294" s="2111"/>
    </row>
    <row r="295" spans="1:7" ht="13.8" x14ac:dyDescent="0.25">
      <c r="A295" s="2109"/>
      <c r="B295" s="2109"/>
      <c r="C295" s="2110"/>
      <c r="D295" s="2111"/>
      <c r="E295" s="2111"/>
      <c r="F295" s="2111"/>
      <c r="G295" s="2111"/>
    </row>
    <row r="296" spans="1:7" ht="13.8" x14ac:dyDescent="0.25">
      <c r="A296" s="2109"/>
      <c r="B296" s="2109" t="s">
        <v>3394</v>
      </c>
      <c r="C296" s="2111" t="s">
        <v>3365</v>
      </c>
      <c r="D296" s="2111">
        <v>0.08</v>
      </c>
      <c r="E296" s="2111">
        <v>5000</v>
      </c>
      <c r="F296" s="2111">
        <f>D296*E296</f>
        <v>400</v>
      </c>
      <c r="G296" s="2111"/>
    </row>
    <row r="297" spans="1:7" ht="13.8" x14ac:dyDescent="0.25">
      <c r="A297" s="2109"/>
      <c r="B297" s="2109" t="s">
        <v>3395</v>
      </c>
      <c r="C297" s="2111" t="s">
        <v>3365</v>
      </c>
      <c r="D297" s="2111">
        <v>0.08</v>
      </c>
      <c r="E297" s="2111">
        <v>2000</v>
      </c>
      <c r="F297" s="2111">
        <f>D297*E297</f>
        <v>160</v>
      </c>
      <c r="G297" s="2111"/>
    </row>
    <row r="298" spans="1:7" ht="13.8" x14ac:dyDescent="0.25">
      <c r="A298" s="2109"/>
      <c r="B298" s="2109"/>
      <c r="C298" s="2110"/>
      <c r="D298" s="2111"/>
      <c r="E298" s="2111"/>
      <c r="F298" s="2111"/>
      <c r="G298" s="2111"/>
    </row>
    <row r="299" spans="1:7" ht="13.8" x14ac:dyDescent="0.25">
      <c r="A299" s="2113"/>
      <c r="B299" s="2894" t="s">
        <v>3370</v>
      </c>
      <c r="C299" s="2894"/>
      <c r="D299" s="2894"/>
      <c r="E299" s="2894"/>
      <c r="F299" s="2114">
        <f t="shared" ref="F299" si="30">D299*E299</f>
        <v>0</v>
      </c>
      <c r="G299" s="2190">
        <f>SUM(F295:F299)</f>
        <v>560</v>
      </c>
    </row>
    <row r="300" spans="1:7" ht="13.8" x14ac:dyDescent="0.25">
      <c r="A300" s="2109"/>
      <c r="B300" s="2115"/>
      <c r="C300" s="2115"/>
      <c r="D300" s="2115"/>
      <c r="E300" s="2115"/>
      <c r="F300" s="2111"/>
      <c r="G300" s="2115"/>
    </row>
    <row r="301" spans="1:7" ht="13.8" x14ac:dyDescent="0.25">
      <c r="A301" s="2109"/>
      <c r="B301" s="2115"/>
      <c r="C301" s="2115"/>
      <c r="D301" s="2115"/>
      <c r="E301" s="2115"/>
      <c r="F301" s="2111"/>
      <c r="G301" s="2115"/>
    </row>
    <row r="302" spans="1:7" ht="13.8" x14ac:dyDescent="0.25">
      <c r="A302" s="2887" t="s">
        <v>3379</v>
      </c>
      <c r="B302" s="2887"/>
      <c r="C302" s="2887"/>
      <c r="D302" s="2887"/>
      <c r="E302" s="2887"/>
      <c r="F302" s="2887"/>
      <c r="G302" s="2189">
        <f>G289+G293+G299</f>
        <v>34803.34375</v>
      </c>
    </row>
    <row r="303" spans="1:7" ht="13.8" x14ac:dyDescent="0.25">
      <c r="A303" s="2887" t="s">
        <v>3380</v>
      </c>
      <c r="B303" s="2887"/>
      <c r="C303" s="2887"/>
      <c r="D303" s="2887"/>
      <c r="E303" s="2887"/>
      <c r="F303" s="2887"/>
      <c r="G303" s="2189">
        <f>G302/9.29</f>
        <v>3746.3233315392899</v>
      </c>
    </row>
    <row r="304" spans="1:7" ht="14.4" thickBot="1" x14ac:dyDescent="0.3">
      <c r="A304" s="2896" t="s">
        <v>3381</v>
      </c>
      <c r="B304" s="2896"/>
      <c r="C304" s="2896"/>
      <c r="D304" s="2896"/>
      <c r="E304" s="2896"/>
      <c r="F304" s="2896"/>
      <c r="G304" s="2144">
        <f>G303/10.76</f>
        <v>348.17131334008269</v>
      </c>
    </row>
    <row r="307" spans="1:10" x14ac:dyDescent="0.25">
      <c r="A307" s="2895" t="s">
        <v>3410</v>
      </c>
      <c r="B307" s="2895"/>
      <c r="C307" s="2895"/>
      <c r="D307" s="2895"/>
      <c r="E307" s="2895"/>
      <c r="F307" s="2895"/>
      <c r="G307" s="2895"/>
    </row>
    <row r="309" spans="1:10" ht="13.8" thickBot="1" x14ac:dyDescent="0.3"/>
    <row r="310" spans="1:10" ht="13.8" x14ac:dyDescent="0.25">
      <c r="A310" s="2888" t="s">
        <v>3411</v>
      </c>
      <c r="B310" s="2889"/>
      <c r="C310" s="2889"/>
      <c r="D310" s="2889"/>
      <c r="E310" s="2889"/>
      <c r="F310" s="2889"/>
      <c r="G310" s="2890"/>
    </row>
    <row r="311" spans="1:10" ht="14.4" thickBot="1" x14ac:dyDescent="0.3">
      <c r="A311" s="2891" t="s">
        <v>3412</v>
      </c>
      <c r="B311" s="2892"/>
      <c r="C311" s="2892"/>
      <c r="D311" s="2892"/>
      <c r="E311" s="2892"/>
      <c r="F311" s="2892"/>
      <c r="G311" s="2893"/>
    </row>
    <row r="312" spans="1:10" ht="14.4" thickBot="1" x14ac:dyDescent="0.3">
      <c r="A312" s="2107"/>
      <c r="B312" s="2108" t="s">
        <v>3345</v>
      </c>
      <c r="C312" s="2108" t="s">
        <v>3346</v>
      </c>
      <c r="D312" s="2108" t="s">
        <v>2</v>
      </c>
      <c r="E312" s="2108" t="s">
        <v>3347</v>
      </c>
      <c r="F312" s="2108" t="s">
        <v>5</v>
      </c>
      <c r="G312" s="2108" t="s">
        <v>3348</v>
      </c>
    </row>
    <row r="313" spans="1:10" ht="13.8" x14ac:dyDescent="0.25">
      <c r="A313" s="2109"/>
      <c r="B313" s="2109"/>
      <c r="C313" s="2110"/>
      <c r="D313" s="2111"/>
      <c r="E313" s="2111"/>
      <c r="F313" s="2111"/>
      <c r="G313" s="2111"/>
    </row>
    <row r="314" spans="1:10" ht="13.8" x14ac:dyDescent="0.25">
      <c r="A314" s="2109"/>
      <c r="B314" s="2112"/>
      <c r="C314" s="2110"/>
      <c r="D314" s="2111"/>
      <c r="E314" s="2111"/>
      <c r="F314" s="2111"/>
      <c r="G314" s="2111"/>
    </row>
    <row r="315" spans="1:10" ht="13.8" x14ac:dyDescent="0.25">
      <c r="A315" s="2109"/>
      <c r="B315" s="2109" t="s">
        <v>3403</v>
      </c>
      <c r="C315" s="2111" t="s">
        <v>131</v>
      </c>
      <c r="D315" s="2111">
        <v>0.04</v>
      </c>
      <c r="E315" s="2145"/>
      <c r="F315" s="2111">
        <f t="shared" ref="F315" si="31">F313*10%</f>
        <v>0</v>
      </c>
      <c r="G315" s="2111"/>
      <c r="I315" s="2359">
        <f>0.1*0.1*10</f>
        <v>0.10000000000000002</v>
      </c>
      <c r="J315" s="2359">
        <f>I315/2.83</f>
        <v>3.5335689045936404E-2</v>
      </c>
    </row>
    <row r="316" spans="1:10" ht="13.8" x14ac:dyDescent="0.25">
      <c r="A316" s="2118"/>
      <c r="B316" s="2118" t="s">
        <v>3413</v>
      </c>
      <c r="C316" s="2119" t="s">
        <v>3414</v>
      </c>
      <c r="D316" s="2119">
        <v>2.76</v>
      </c>
      <c r="E316" s="2119">
        <f>F131</f>
        <v>2285.625</v>
      </c>
      <c r="F316" s="2119">
        <f t="shared" ref="F316:F317" si="32">D316*E316</f>
        <v>6308.3249999999998</v>
      </c>
      <c r="G316" s="2119"/>
      <c r="H316" s="2146">
        <f>D315*23</f>
        <v>0.92</v>
      </c>
    </row>
    <row r="317" spans="1:10" ht="13.8" x14ac:dyDescent="0.25">
      <c r="A317" s="2118"/>
      <c r="B317" s="2135" t="s">
        <v>3392</v>
      </c>
      <c r="C317" s="2119" t="s">
        <v>131</v>
      </c>
      <c r="D317" s="2119">
        <v>0.02</v>
      </c>
      <c r="E317" s="2119">
        <f>Material!E13</f>
        <v>23000</v>
      </c>
      <c r="F317" s="2119">
        <f t="shared" si="32"/>
        <v>460</v>
      </c>
      <c r="G317" s="2119"/>
      <c r="H317" s="2146">
        <f>D315*0.42</f>
        <v>1.6799999999999999E-2</v>
      </c>
    </row>
    <row r="318" spans="1:10" ht="13.8" x14ac:dyDescent="0.25">
      <c r="A318" s="2118"/>
      <c r="B318" s="2136" t="s">
        <v>3401</v>
      </c>
      <c r="C318" s="2119" t="s">
        <v>131</v>
      </c>
      <c r="D318" s="2119">
        <v>0.03</v>
      </c>
      <c r="E318" s="2119">
        <f>Material!E17</f>
        <v>13500</v>
      </c>
      <c r="F318" s="2119">
        <f>D318*E318</f>
        <v>405</v>
      </c>
      <c r="G318" s="2119"/>
      <c r="H318" s="2146">
        <f>D315*0.82</f>
        <v>3.2799999999999996E-2</v>
      </c>
    </row>
    <row r="319" spans="1:10" ht="13.8" x14ac:dyDescent="0.25">
      <c r="A319" s="2109"/>
      <c r="B319" s="2110"/>
      <c r="C319" s="2111"/>
      <c r="D319" s="2111"/>
      <c r="E319" s="2111"/>
      <c r="F319" s="2111">
        <f t="shared" ref="F319:F320" si="33">D319*E319</f>
        <v>0</v>
      </c>
      <c r="G319" s="2111"/>
    </row>
    <row r="320" spans="1:10" ht="13.8" x14ac:dyDescent="0.25">
      <c r="A320" s="2118"/>
      <c r="B320" s="2136" t="s">
        <v>3415</v>
      </c>
      <c r="C320" s="2119" t="s">
        <v>134</v>
      </c>
      <c r="D320" s="2119">
        <v>15.06</v>
      </c>
      <c r="E320" s="2119">
        <f>F482</f>
        <v>370.9375</v>
      </c>
      <c r="F320" s="2119">
        <f t="shared" si="33"/>
        <v>5586.3187500000004</v>
      </c>
      <c r="G320" s="2119"/>
      <c r="H320" s="2106">
        <f>11*2*0.617</f>
        <v>13.574</v>
      </c>
    </row>
    <row r="321" spans="1:8" ht="13.8" x14ac:dyDescent="0.25">
      <c r="A321" s="2109"/>
      <c r="B321" s="2110"/>
      <c r="C321" s="2111"/>
      <c r="D321" s="2111"/>
      <c r="E321" s="2111"/>
      <c r="F321" s="2111"/>
      <c r="G321" s="2111"/>
      <c r="H321" s="2106">
        <f>0.1*67*0.222</f>
        <v>1.4874000000000001</v>
      </c>
    </row>
    <row r="322" spans="1:8" ht="13.8" x14ac:dyDescent="0.25">
      <c r="A322" s="2109"/>
      <c r="B322" s="2109"/>
      <c r="C322" s="2110"/>
      <c r="D322" s="2111"/>
      <c r="E322" s="2111"/>
      <c r="F322" s="2111">
        <f t="shared" ref="F322:F325" si="34">D322*E322</f>
        <v>0</v>
      </c>
      <c r="G322" s="2111"/>
    </row>
    <row r="323" spans="1:8" ht="13.8" x14ac:dyDescent="0.25">
      <c r="A323" s="2113"/>
      <c r="B323" s="2894" t="s">
        <v>3363</v>
      </c>
      <c r="C323" s="2894"/>
      <c r="D323" s="2894"/>
      <c r="E323" s="2894"/>
      <c r="F323" s="2114">
        <f t="shared" si="34"/>
        <v>0</v>
      </c>
      <c r="G323" s="2190">
        <f>SUM(F314:F323)</f>
        <v>12759.643749999999</v>
      </c>
    </row>
    <row r="324" spans="1:8" ht="13.8" x14ac:dyDescent="0.25">
      <c r="A324" s="2109"/>
      <c r="B324" s="2112" t="s">
        <v>3349</v>
      </c>
      <c r="C324" s="2110"/>
      <c r="D324" s="2111"/>
      <c r="E324" s="2111"/>
      <c r="F324" s="2111">
        <f t="shared" si="34"/>
        <v>0</v>
      </c>
      <c r="G324" s="2111"/>
    </row>
    <row r="325" spans="1:8" ht="13.8" x14ac:dyDescent="0.25">
      <c r="A325" s="2118"/>
      <c r="B325" s="2118" t="s">
        <v>3416</v>
      </c>
      <c r="C325" s="2119" t="s">
        <v>1476</v>
      </c>
      <c r="D325" s="2119">
        <v>10</v>
      </c>
      <c r="E325" s="2119">
        <v>280</v>
      </c>
      <c r="F325" s="2119">
        <f t="shared" si="34"/>
        <v>2800</v>
      </c>
      <c r="G325" s="2119"/>
    </row>
    <row r="326" spans="1:8" ht="13.8" x14ac:dyDescent="0.25">
      <c r="A326" s="2109"/>
      <c r="B326" s="2109"/>
      <c r="C326" s="2110"/>
      <c r="D326" s="2111"/>
      <c r="E326" s="2111"/>
      <c r="F326" s="2111"/>
      <c r="G326" s="2111"/>
    </row>
    <row r="327" spans="1:8" ht="13.8" x14ac:dyDescent="0.25">
      <c r="A327" s="2113"/>
      <c r="B327" s="2894" t="s">
        <v>3351</v>
      </c>
      <c r="C327" s="2894"/>
      <c r="D327" s="2894"/>
      <c r="E327" s="2894"/>
      <c r="F327" s="2114">
        <f t="shared" ref="F327" si="35">D327*E327</f>
        <v>0</v>
      </c>
      <c r="G327" s="2190">
        <f>SUM(F325:F327)</f>
        <v>2800</v>
      </c>
    </row>
    <row r="328" spans="1:8" ht="13.8" x14ac:dyDescent="0.25">
      <c r="A328" s="2109"/>
      <c r="B328" s="2112" t="s">
        <v>3367</v>
      </c>
      <c r="C328" s="2110"/>
      <c r="D328" s="2111"/>
      <c r="E328" s="2111"/>
      <c r="F328" s="2111"/>
      <c r="G328" s="2111"/>
    </row>
    <row r="329" spans="1:8" ht="13.8" x14ac:dyDescent="0.25">
      <c r="A329" s="2109"/>
      <c r="B329" s="2109"/>
      <c r="C329" s="2110"/>
      <c r="D329" s="2111"/>
      <c r="E329" s="2111"/>
      <c r="F329" s="2111"/>
      <c r="G329" s="2111"/>
    </row>
    <row r="330" spans="1:8" ht="13.8" x14ac:dyDescent="0.25">
      <c r="A330" s="2109"/>
      <c r="B330" s="2109" t="s">
        <v>3394</v>
      </c>
      <c r="C330" s="2111" t="s">
        <v>3365</v>
      </c>
      <c r="D330" s="2111">
        <v>0.08</v>
      </c>
      <c r="E330" s="2111">
        <v>5000</v>
      </c>
      <c r="F330" s="2111">
        <f>D330*E330</f>
        <v>400</v>
      </c>
      <c r="G330" s="2111"/>
    </row>
    <row r="331" spans="1:8" ht="13.8" x14ac:dyDescent="0.25">
      <c r="A331" s="2109"/>
      <c r="B331" s="2109" t="s">
        <v>3395</v>
      </c>
      <c r="C331" s="2111" t="s">
        <v>3365</v>
      </c>
      <c r="D331" s="2111">
        <v>0.08</v>
      </c>
      <c r="E331" s="2111">
        <v>2000</v>
      </c>
      <c r="F331" s="2111">
        <f>D331*E331</f>
        <v>160</v>
      </c>
      <c r="G331" s="2111"/>
    </row>
    <row r="332" spans="1:8" ht="13.8" x14ac:dyDescent="0.25">
      <c r="A332" s="2109"/>
      <c r="B332" s="2109"/>
      <c r="C332" s="2110"/>
      <c r="D332" s="2111"/>
      <c r="E332" s="2111"/>
      <c r="F332" s="2111"/>
      <c r="G332" s="2111"/>
    </row>
    <row r="333" spans="1:8" ht="13.8" x14ac:dyDescent="0.25">
      <c r="A333" s="2113"/>
      <c r="B333" s="2894" t="s">
        <v>3370</v>
      </c>
      <c r="C333" s="2894"/>
      <c r="D333" s="2894"/>
      <c r="E333" s="2894"/>
      <c r="F333" s="2114">
        <f t="shared" ref="F333" si="36">D333*E333</f>
        <v>0</v>
      </c>
      <c r="G333" s="2190">
        <f>SUM(F329:F333)</f>
        <v>560</v>
      </c>
    </row>
    <row r="334" spans="1:8" ht="13.8" x14ac:dyDescent="0.25">
      <c r="A334" s="2109"/>
      <c r="B334" s="2115"/>
      <c r="C334" s="2115"/>
      <c r="D334" s="2115"/>
      <c r="E334" s="2115"/>
      <c r="F334" s="2111"/>
      <c r="G334" s="2115"/>
    </row>
    <row r="335" spans="1:8" ht="13.8" x14ac:dyDescent="0.25">
      <c r="A335" s="2109"/>
      <c r="B335" s="2115"/>
      <c r="C335" s="2115"/>
      <c r="D335" s="2115"/>
      <c r="E335" s="2115"/>
      <c r="F335" s="2111"/>
      <c r="G335" s="2115"/>
    </row>
    <row r="336" spans="1:8" ht="13.8" x14ac:dyDescent="0.25">
      <c r="A336" s="2887" t="s">
        <v>3417</v>
      </c>
      <c r="B336" s="2887"/>
      <c r="C336" s="2887"/>
      <c r="D336" s="2887"/>
      <c r="E336" s="2887"/>
      <c r="F336" s="2887"/>
      <c r="G336" s="2189">
        <f>G323+G327+G333</f>
        <v>16119.643749999999</v>
      </c>
    </row>
    <row r="337" spans="1:10" ht="13.8" x14ac:dyDescent="0.25">
      <c r="A337" s="2887" t="s">
        <v>3418</v>
      </c>
      <c r="B337" s="2887"/>
      <c r="C337" s="2887"/>
      <c r="D337" s="2887"/>
      <c r="E337" s="2887"/>
      <c r="F337" s="2887"/>
      <c r="G337" s="2189">
        <f>G336/10</f>
        <v>1611.964375</v>
      </c>
    </row>
    <row r="338" spans="1:10" ht="14.4" thickBot="1" x14ac:dyDescent="0.3">
      <c r="A338" s="2896" t="s">
        <v>3419</v>
      </c>
      <c r="B338" s="2896"/>
      <c r="C338" s="2896"/>
      <c r="D338" s="2896"/>
      <c r="E338" s="2896"/>
      <c r="F338" s="2896"/>
      <c r="G338" s="2144">
        <f>G337/3.28</f>
        <v>491.45255335365857</v>
      </c>
    </row>
    <row r="340" spans="1:10" ht="13.8" thickBot="1" x14ac:dyDescent="0.3"/>
    <row r="341" spans="1:10" ht="13.8" x14ac:dyDescent="0.25">
      <c r="A341" s="2888" t="s">
        <v>3420</v>
      </c>
      <c r="B341" s="2889"/>
      <c r="C341" s="2889"/>
      <c r="D341" s="2889"/>
      <c r="E341" s="2889"/>
      <c r="F341" s="2889"/>
      <c r="G341" s="2890"/>
    </row>
    <row r="342" spans="1:10" ht="14.4" thickBot="1" x14ac:dyDescent="0.3">
      <c r="A342" s="2891" t="s">
        <v>3412</v>
      </c>
      <c r="B342" s="2892"/>
      <c r="C342" s="2892"/>
      <c r="D342" s="2892"/>
      <c r="E342" s="2892"/>
      <c r="F342" s="2892"/>
      <c r="G342" s="2893"/>
    </row>
    <row r="343" spans="1:10" ht="14.4" thickBot="1" x14ac:dyDescent="0.3">
      <c r="A343" s="2107"/>
      <c r="B343" s="2108" t="s">
        <v>3345</v>
      </c>
      <c r="C343" s="2108" t="s">
        <v>3346</v>
      </c>
      <c r="D343" s="2108" t="s">
        <v>2</v>
      </c>
      <c r="E343" s="2108" t="s">
        <v>3347</v>
      </c>
      <c r="F343" s="2108" t="s">
        <v>5</v>
      </c>
      <c r="G343" s="2108" t="s">
        <v>3348</v>
      </c>
    </row>
    <row r="344" spans="1:10" ht="13.8" x14ac:dyDescent="0.25">
      <c r="A344" s="2109"/>
      <c r="B344" s="2109"/>
      <c r="C344" s="2110"/>
      <c r="D344" s="2111"/>
      <c r="E344" s="2111"/>
      <c r="F344" s="2111"/>
      <c r="G344" s="2111"/>
    </row>
    <row r="345" spans="1:10" ht="13.8" x14ac:dyDescent="0.25">
      <c r="A345" s="2109"/>
      <c r="B345" s="2112"/>
      <c r="C345" s="2110"/>
      <c r="D345" s="2111"/>
      <c r="E345" s="2111"/>
      <c r="F345" s="2111"/>
      <c r="G345" s="2111"/>
    </row>
    <row r="346" spans="1:10" ht="13.8" x14ac:dyDescent="0.25">
      <c r="A346" s="2109"/>
      <c r="B346" s="2109" t="s">
        <v>3403</v>
      </c>
      <c r="C346" s="2111" t="s">
        <v>131</v>
      </c>
      <c r="D346" s="2111">
        <v>0.08</v>
      </c>
      <c r="E346" s="2145"/>
      <c r="F346" s="2111">
        <f t="shared" ref="F346" si="37">F344*10%</f>
        <v>0</v>
      </c>
      <c r="G346" s="2111"/>
      <c r="I346" s="2106">
        <f>0.15*0.15*10</f>
        <v>0.22499999999999998</v>
      </c>
      <c r="J346" s="2359">
        <f>I346/2.83</f>
        <v>7.9505300353356886E-2</v>
      </c>
    </row>
    <row r="347" spans="1:10" ht="13.8" x14ac:dyDescent="0.25">
      <c r="A347" s="2118"/>
      <c r="B347" s="2118" t="s">
        <v>3413</v>
      </c>
      <c r="C347" s="2119" t="s">
        <v>3414</v>
      </c>
      <c r="D347" s="2119">
        <v>2.76</v>
      </c>
      <c r="E347" s="2119">
        <f>F131</f>
        <v>2285.625</v>
      </c>
      <c r="F347" s="2119">
        <f t="shared" ref="F347:F348" si="38">D347*E347</f>
        <v>6308.3249999999998</v>
      </c>
      <c r="G347" s="2119"/>
      <c r="I347" s="2146">
        <f>J346*0.42</f>
        <v>3.3392226148409893E-2</v>
      </c>
    </row>
    <row r="348" spans="1:10" ht="13.8" x14ac:dyDescent="0.25">
      <c r="A348" s="2118"/>
      <c r="B348" s="2135" t="s">
        <v>3392</v>
      </c>
      <c r="C348" s="2119" t="s">
        <v>131</v>
      </c>
      <c r="D348" s="2119">
        <v>0.03</v>
      </c>
      <c r="E348" s="2119">
        <f>Material!E13</f>
        <v>23000</v>
      </c>
      <c r="F348" s="2119">
        <f t="shared" si="38"/>
        <v>690</v>
      </c>
      <c r="G348" s="2119"/>
      <c r="I348" s="2146">
        <f>J346*0.82</f>
        <v>6.5194346289752639E-2</v>
      </c>
    </row>
    <row r="349" spans="1:10" ht="13.8" x14ac:dyDescent="0.25">
      <c r="A349" s="2118"/>
      <c r="B349" s="2136" t="s">
        <v>3401</v>
      </c>
      <c r="C349" s="2119" t="s">
        <v>131</v>
      </c>
      <c r="D349" s="2119">
        <v>7.0000000000000007E-2</v>
      </c>
      <c r="E349" s="2119">
        <f>Material!E17</f>
        <v>13500</v>
      </c>
      <c r="F349" s="2119">
        <f>D349*E349</f>
        <v>945.00000000000011</v>
      </c>
      <c r="G349" s="2119"/>
    </row>
    <row r="350" spans="1:10" ht="13.8" x14ac:dyDescent="0.25">
      <c r="A350" s="2109"/>
      <c r="B350" s="2110"/>
      <c r="C350" s="2111"/>
      <c r="D350" s="2111"/>
      <c r="E350" s="2111"/>
      <c r="F350" s="2111">
        <f t="shared" ref="F350:F351" si="39">D350*E350</f>
        <v>0</v>
      </c>
      <c r="G350" s="2111"/>
    </row>
    <row r="351" spans="1:10" ht="13.8" x14ac:dyDescent="0.25">
      <c r="A351" s="2118"/>
      <c r="B351" s="2136" t="s">
        <v>3415</v>
      </c>
      <c r="C351" s="2119" t="s">
        <v>134</v>
      </c>
      <c r="D351" s="2119">
        <v>34.880000000000003</v>
      </c>
      <c r="E351" s="2119">
        <f>F482</f>
        <v>370.9375</v>
      </c>
      <c r="F351" s="2119">
        <f t="shared" si="39"/>
        <v>12938.300000000001</v>
      </c>
      <c r="G351" s="2119"/>
      <c r="I351" s="2106">
        <f>11*4*0.617</f>
        <v>27.148</v>
      </c>
    </row>
    <row r="352" spans="1:10" ht="13.8" x14ac:dyDescent="0.25">
      <c r="A352" s="2109"/>
      <c r="B352" s="2110"/>
      <c r="C352" s="2111"/>
      <c r="D352" s="2111"/>
      <c r="E352" s="2111"/>
      <c r="F352" s="2111"/>
      <c r="G352" s="2111"/>
      <c r="I352" s="2106">
        <f>0.52*67*0.222</f>
        <v>7.7344800000000005</v>
      </c>
    </row>
    <row r="353" spans="1:7" ht="13.8" x14ac:dyDescent="0.25">
      <c r="A353" s="2109"/>
      <c r="B353" s="2109"/>
      <c r="C353" s="2110"/>
      <c r="D353" s="2111"/>
      <c r="E353" s="2111"/>
      <c r="F353" s="2111">
        <f t="shared" ref="F353:F356" si="40">D353*E353</f>
        <v>0</v>
      </c>
      <c r="G353" s="2111"/>
    </row>
    <row r="354" spans="1:7" ht="13.8" x14ac:dyDescent="0.25">
      <c r="A354" s="2113"/>
      <c r="B354" s="2894" t="s">
        <v>3363</v>
      </c>
      <c r="C354" s="2894"/>
      <c r="D354" s="2894"/>
      <c r="E354" s="2894"/>
      <c r="F354" s="2114">
        <f t="shared" si="40"/>
        <v>0</v>
      </c>
      <c r="G354" s="2190">
        <f>SUM(F345:F354)</f>
        <v>20881.625</v>
      </c>
    </row>
    <row r="355" spans="1:7" ht="13.8" x14ac:dyDescent="0.25">
      <c r="A355" s="2109"/>
      <c r="B355" s="2112" t="s">
        <v>3349</v>
      </c>
      <c r="C355" s="2110"/>
      <c r="D355" s="2111"/>
      <c r="E355" s="2111"/>
      <c r="F355" s="2111">
        <f t="shared" si="40"/>
        <v>0</v>
      </c>
      <c r="G355" s="2111"/>
    </row>
    <row r="356" spans="1:7" ht="13.8" x14ac:dyDescent="0.25">
      <c r="A356" s="2118"/>
      <c r="B356" s="2118" t="s">
        <v>3416</v>
      </c>
      <c r="C356" s="2119" t="s">
        <v>1476</v>
      </c>
      <c r="D356" s="2119">
        <v>10</v>
      </c>
      <c r="E356" s="2119">
        <v>300</v>
      </c>
      <c r="F356" s="2119">
        <f t="shared" si="40"/>
        <v>3000</v>
      </c>
      <c r="G356" s="2119"/>
    </row>
    <row r="357" spans="1:7" ht="13.8" x14ac:dyDescent="0.25">
      <c r="A357" s="2109"/>
      <c r="B357" s="2109"/>
      <c r="C357" s="2110"/>
      <c r="D357" s="2111"/>
      <c r="E357" s="2111"/>
      <c r="F357" s="2111"/>
      <c r="G357" s="2111"/>
    </row>
    <row r="358" spans="1:7" ht="13.8" x14ac:dyDescent="0.25">
      <c r="A358" s="2113"/>
      <c r="B358" s="2894" t="s">
        <v>3351</v>
      </c>
      <c r="C358" s="2894"/>
      <c r="D358" s="2894"/>
      <c r="E358" s="2894"/>
      <c r="F358" s="2114">
        <f t="shared" ref="F358" si="41">D358*E358</f>
        <v>0</v>
      </c>
      <c r="G358" s="2190">
        <f>SUM(F356:F358)</f>
        <v>3000</v>
      </c>
    </row>
    <row r="359" spans="1:7" ht="13.8" x14ac:dyDescent="0.25">
      <c r="A359" s="2109"/>
      <c r="B359" s="2112" t="s">
        <v>3367</v>
      </c>
      <c r="C359" s="2110"/>
      <c r="D359" s="2111"/>
      <c r="E359" s="2111"/>
      <c r="F359" s="2111"/>
      <c r="G359" s="2111"/>
    </row>
    <row r="360" spans="1:7" ht="13.8" x14ac:dyDescent="0.25">
      <c r="A360" s="2109"/>
      <c r="B360" s="2109"/>
      <c r="C360" s="2110"/>
      <c r="D360" s="2111"/>
      <c r="E360" s="2111"/>
      <c r="F360" s="2111"/>
      <c r="G360" s="2111"/>
    </row>
    <row r="361" spans="1:7" ht="13.8" x14ac:dyDescent="0.25">
      <c r="A361" s="2109"/>
      <c r="B361" s="2109" t="s">
        <v>3394</v>
      </c>
      <c r="C361" s="2111" t="s">
        <v>3365</v>
      </c>
      <c r="D361" s="2111">
        <v>0.08</v>
      </c>
      <c r="E361" s="2111">
        <v>5000</v>
      </c>
      <c r="F361" s="2111">
        <f>D361*E361</f>
        <v>400</v>
      </c>
      <c r="G361" s="2111"/>
    </row>
    <row r="362" spans="1:7" ht="13.8" x14ac:dyDescent="0.25">
      <c r="A362" s="2109"/>
      <c r="B362" s="2109" t="s">
        <v>3395</v>
      </c>
      <c r="C362" s="2111" t="s">
        <v>3365</v>
      </c>
      <c r="D362" s="2111">
        <v>0.08</v>
      </c>
      <c r="E362" s="2111">
        <v>2000</v>
      </c>
      <c r="F362" s="2111">
        <f>D362*E362</f>
        <v>160</v>
      </c>
      <c r="G362" s="2111"/>
    </row>
    <row r="363" spans="1:7" ht="13.8" x14ac:dyDescent="0.25">
      <c r="A363" s="2109"/>
      <c r="B363" s="2109"/>
      <c r="C363" s="2110"/>
      <c r="D363" s="2111"/>
      <c r="E363" s="2111"/>
      <c r="F363" s="2111"/>
      <c r="G363" s="2111"/>
    </row>
    <row r="364" spans="1:7" ht="13.8" x14ac:dyDescent="0.25">
      <c r="A364" s="2113"/>
      <c r="B364" s="2894" t="s">
        <v>3370</v>
      </c>
      <c r="C364" s="2894"/>
      <c r="D364" s="2894"/>
      <c r="E364" s="2894"/>
      <c r="F364" s="2114">
        <f t="shared" ref="F364" si="42">D364*E364</f>
        <v>0</v>
      </c>
      <c r="G364" s="2190">
        <f>SUM(F360:F364)</f>
        <v>560</v>
      </c>
    </row>
    <row r="365" spans="1:7" ht="13.8" x14ac:dyDescent="0.25">
      <c r="A365" s="2109"/>
      <c r="B365" s="2115"/>
      <c r="C365" s="2115"/>
      <c r="D365" s="2115"/>
      <c r="E365" s="2115"/>
      <c r="F365" s="2111"/>
      <c r="G365" s="2115"/>
    </row>
    <row r="366" spans="1:7" ht="13.8" x14ac:dyDescent="0.25">
      <c r="A366" s="2109"/>
      <c r="B366" s="2115"/>
      <c r="C366" s="2115"/>
      <c r="D366" s="2115"/>
      <c r="E366" s="2115"/>
      <c r="F366" s="2111"/>
      <c r="G366" s="2115"/>
    </row>
    <row r="367" spans="1:7" ht="13.8" x14ac:dyDescent="0.25">
      <c r="A367" s="2887" t="s">
        <v>3417</v>
      </c>
      <c r="B367" s="2887"/>
      <c r="C367" s="2887"/>
      <c r="D367" s="2887"/>
      <c r="E367" s="2887"/>
      <c r="F367" s="2887"/>
      <c r="G367" s="2189">
        <f>G354+G358+G364</f>
        <v>24441.625</v>
      </c>
    </row>
    <row r="368" spans="1:7" ht="13.8" x14ac:dyDescent="0.25">
      <c r="A368" s="2887" t="s">
        <v>3418</v>
      </c>
      <c r="B368" s="2887"/>
      <c r="C368" s="2887"/>
      <c r="D368" s="2887"/>
      <c r="E368" s="2887"/>
      <c r="F368" s="2887"/>
      <c r="G368" s="2189">
        <f>G367/10</f>
        <v>2444.1624999999999</v>
      </c>
    </row>
    <row r="369" spans="1:15" ht="14.4" thickBot="1" x14ac:dyDescent="0.3">
      <c r="A369" s="2896" t="s">
        <v>3419</v>
      </c>
      <c r="B369" s="2896"/>
      <c r="C369" s="2896"/>
      <c r="D369" s="2896"/>
      <c r="E369" s="2896"/>
      <c r="F369" s="2896"/>
      <c r="G369" s="2144">
        <f>G368/3.28</f>
        <v>745.17149390243901</v>
      </c>
    </row>
    <row r="372" spans="1:15" ht="13.8" thickBot="1" x14ac:dyDescent="0.3"/>
    <row r="373" spans="1:15" ht="13.8" x14ac:dyDescent="0.25">
      <c r="A373" s="2888" t="s">
        <v>3421</v>
      </c>
      <c r="B373" s="2889"/>
      <c r="C373" s="2889"/>
      <c r="D373" s="2889"/>
      <c r="E373" s="2889"/>
      <c r="F373" s="2889"/>
      <c r="G373" s="2890"/>
      <c r="K373" s="2147" t="s">
        <v>0</v>
      </c>
      <c r="L373" s="2147" t="s">
        <v>3422</v>
      </c>
      <c r="M373" s="2147" t="s">
        <v>3423</v>
      </c>
      <c r="N373" s="2147" t="s">
        <v>3424</v>
      </c>
      <c r="O373" s="2147" t="s">
        <v>3348</v>
      </c>
    </row>
    <row r="374" spans="1:15" ht="14.4" thickBot="1" x14ac:dyDescent="0.3">
      <c r="A374" s="2891" t="s">
        <v>3412</v>
      </c>
      <c r="B374" s="2892"/>
      <c r="C374" s="2892"/>
      <c r="D374" s="2892"/>
      <c r="E374" s="2892"/>
      <c r="F374" s="2892"/>
      <c r="G374" s="2893"/>
      <c r="K374" s="2148"/>
      <c r="L374" s="2148"/>
      <c r="M374" s="2148"/>
      <c r="N374" s="2148"/>
      <c r="O374" s="2148"/>
    </row>
    <row r="375" spans="1:15" ht="14.4" thickBot="1" x14ac:dyDescent="0.3">
      <c r="A375" s="2107"/>
      <c r="B375" s="2108" t="s">
        <v>3345</v>
      </c>
      <c r="C375" s="2108" t="s">
        <v>3346</v>
      </c>
      <c r="D375" s="2108" t="s">
        <v>2</v>
      </c>
      <c r="E375" s="2108" t="s">
        <v>3347</v>
      </c>
      <c r="F375" s="2108" t="s">
        <v>5</v>
      </c>
      <c r="G375" s="2108" t="s">
        <v>3348</v>
      </c>
      <c r="K375" s="2148"/>
      <c r="L375" s="2148"/>
      <c r="M375" s="2148"/>
      <c r="N375" s="2148"/>
      <c r="O375" s="2148"/>
    </row>
    <row r="376" spans="1:15" ht="13.8" x14ac:dyDescent="0.25">
      <c r="A376" s="2109"/>
      <c r="B376" s="2109"/>
      <c r="C376" s="2110"/>
      <c r="D376" s="2111"/>
      <c r="E376" s="2111"/>
      <c r="F376" s="2111"/>
      <c r="G376" s="2111"/>
      <c r="K376" s="2148">
        <v>1</v>
      </c>
      <c r="L376" s="2148">
        <v>10</v>
      </c>
      <c r="M376" s="2148">
        <v>0.23</v>
      </c>
      <c r="N376" s="2148">
        <v>0.15</v>
      </c>
      <c r="O376" s="2148">
        <f>PRODUCT(K376,L376,M376,N376)</f>
        <v>0.34500000000000003</v>
      </c>
    </row>
    <row r="377" spans="1:15" ht="14.4" thickBot="1" x14ac:dyDescent="0.3">
      <c r="A377" s="2109"/>
      <c r="B377" s="2112"/>
      <c r="C377" s="2110"/>
      <c r="D377" s="2111"/>
      <c r="E377" s="2111"/>
      <c r="F377" s="2111"/>
      <c r="G377" s="2111"/>
      <c r="K377" s="2148"/>
      <c r="L377" s="2148"/>
      <c r="M377" s="2148"/>
      <c r="N377" s="2148"/>
      <c r="O377" s="2149">
        <f>O376/2.83</f>
        <v>0.12190812720848057</v>
      </c>
    </row>
    <row r="378" spans="1:15" ht="14.4" thickTop="1" x14ac:dyDescent="0.25">
      <c r="A378" s="2109"/>
      <c r="B378" s="2109" t="s">
        <v>3403</v>
      </c>
      <c r="C378" s="2111" t="s">
        <v>131</v>
      </c>
      <c r="D378" s="2111">
        <f>0.12</f>
        <v>0.12</v>
      </c>
      <c r="E378" s="2145"/>
      <c r="F378" s="2111">
        <f t="shared" ref="F378" si="43">F376*10%</f>
        <v>0</v>
      </c>
      <c r="G378" s="2111"/>
      <c r="K378" s="2148"/>
      <c r="L378" s="2148"/>
      <c r="M378" s="2148"/>
      <c r="N378" s="2148"/>
      <c r="O378" s="2150"/>
    </row>
    <row r="379" spans="1:15" ht="13.8" x14ac:dyDescent="0.25">
      <c r="A379" s="2118"/>
      <c r="B379" s="2118" t="s">
        <v>3413</v>
      </c>
      <c r="C379" s="2119" t="s">
        <v>3414</v>
      </c>
      <c r="D379" s="2119">
        <v>2.76</v>
      </c>
      <c r="E379" s="2119">
        <f>F131</f>
        <v>2285.625</v>
      </c>
      <c r="F379" s="2119">
        <f t="shared" ref="F379:F380" si="44">D379*E379</f>
        <v>6308.3249999999998</v>
      </c>
      <c r="G379" s="2119"/>
      <c r="H379" s="2146">
        <f>D378*23</f>
        <v>2.76</v>
      </c>
      <c r="K379" s="2148"/>
      <c r="L379" s="2148"/>
      <c r="M379" s="2148"/>
      <c r="N379" s="2148"/>
      <c r="O379" s="2148"/>
    </row>
    <row r="380" spans="1:15" ht="13.8" x14ac:dyDescent="0.25">
      <c r="A380" s="2118"/>
      <c r="B380" s="2135" t="s">
        <v>3392</v>
      </c>
      <c r="C380" s="2119" t="s">
        <v>131</v>
      </c>
      <c r="D380" s="2119">
        <v>0.06</v>
      </c>
      <c r="E380" s="2119">
        <f>Material!E13</f>
        <v>23000</v>
      </c>
      <c r="F380" s="2119">
        <f t="shared" si="44"/>
        <v>1380</v>
      </c>
      <c r="G380" s="2119"/>
      <c r="H380" s="2146">
        <f>D378*0.42</f>
        <v>5.0399999999999993E-2</v>
      </c>
      <c r="K380" s="2148">
        <v>24</v>
      </c>
      <c r="L380" s="2148">
        <v>0.75</v>
      </c>
      <c r="M380" s="2148"/>
      <c r="N380" s="2148">
        <v>0.62</v>
      </c>
      <c r="O380" s="2148">
        <f>PRODUCT(K380,L380,M380,N380)</f>
        <v>11.16</v>
      </c>
    </row>
    <row r="381" spans="1:15" ht="13.8" x14ac:dyDescent="0.25">
      <c r="A381" s="2118"/>
      <c r="B381" s="2136" t="s">
        <v>3401</v>
      </c>
      <c r="C381" s="2119" t="s">
        <v>131</v>
      </c>
      <c r="D381" s="2119">
        <v>0.11</v>
      </c>
      <c r="E381" s="2119">
        <f>Material!E17</f>
        <v>13500</v>
      </c>
      <c r="F381" s="2119">
        <f>D381*E381</f>
        <v>1485</v>
      </c>
      <c r="G381" s="2119"/>
      <c r="H381" s="2146">
        <f>D378*0.82</f>
        <v>9.8399999999999987E-2</v>
      </c>
      <c r="K381" s="2148">
        <v>4</v>
      </c>
      <c r="L381" s="2148">
        <v>3.5</v>
      </c>
      <c r="M381" s="2148"/>
      <c r="N381" s="2148">
        <v>0.62</v>
      </c>
      <c r="O381" s="2148">
        <f>PRODUCT(K381,L381,M381,N381)</f>
        <v>8.68</v>
      </c>
    </row>
    <row r="382" spans="1:15" ht="13.8" x14ac:dyDescent="0.25">
      <c r="A382" s="2109"/>
      <c r="B382" s="2110"/>
      <c r="C382" s="2111"/>
      <c r="D382" s="2111"/>
      <c r="E382" s="2111"/>
      <c r="F382" s="2111">
        <f t="shared" ref="F382:F383" si="45">D382*E382</f>
        <v>0</v>
      </c>
      <c r="G382" s="2111"/>
      <c r="K382" s="2148"/>
      <c r="L382" s="2148"/>
      <c r="M382" s="2148"/>
      <c r="N382" s="2148"/>
      <c r="O382" s="2148"/>
    </row>
    <row r="383" spans="1:15" ht="13.8" x14ac:dyDescent="0.25">
      <c r="A383" s="2118"/>
      <c r="B383" s="2136" t="s">
        <v>3415</v>
      </c>
      <c r="C383" s="2119" t="s">
        <v>134</v>
      </c>
      <c r="D383" s="2119">
        <v>37.26</v>
      </c>
      <c r="E383" s="2119">
        <f>F482</f>
        <v>370.9375</v>
      </c>
      <c r="F383" s="2119">
        <f t="shared" si="45"/>
        <v>13821.131249999999</v>
      </c>
      <c r="G383" s="2119"/>
      <c r="H383" s="2106">
        <f>11*4*0.617</f>
        <v>27.148</v>
      </c>
      <c r="K383" s="2148"/>
      <c r="L383" s="2148"/>
      <c r="M383" s="2148"/>
      <c r="N383" s="2148"/>
      <c r="O383" s="2151">
        <f>SUM(O380:O381)</f>
        <v>19.84</v>
      </c>
    </row>
    <row r="384" spans="1:15" ht="13.8" x14ac:dyDescent="0.25">
      <c r="A384" s="2109"/>
      <c r="B384" s="2110"/>
      <c r="C384" s="2111"/>
      <c r="D384" s="2111"/>
      <c r="E384" s="2111"/>
      <c r="F384" s="2111"/>
      <c r="G384" s="2111"/>
      <c r="H384" s="2106">
        <f>0.67*68*0.222</f>
        <v>10.114320000000001</v>
      </c>
      <c r="I384" s="2106">
        <f>0.225*0.15*10</f>
        <v>0.33750000000000002</v>
      </c>
      <c r="K384" s="2148"/>
      <c r="L384" s="2148"/>
      <c r="M384" s="2148"/>
      <c r="N384" s="2148"/>
      <c r="O384" s="2148"/>
    </row>
    <row r="385" spans="1:15" ht="13.8" x14ac:dyDescent="0.25">
      <c r="A385" s="2109"/>
      <c r="B385" s="2109"/>
      <c r="C385" s="2110"/>
      <c r="D385" s="2111"/>
      <c r="E385" s="2111"/>
      <c r="F385" s="2111">
        <f t="shared" ref="F385:F388" si="46">D385*E385</f>
        <v>0</v>
      </c>
      <c r="G385" s="2111"/>
      <c r="I385" s="2106">
        <f>I384/2.83</f>
        <v>0.11925795053003534</v>
      </c>
      <c r="K385" s="2148"/>
      <c r="L385" s="2148"/>
      <c r="M385" s="2148"/>
      <c r="N385" s="2148"/>
      <c r="O385" s="2148"/>
    </row>
    <row r="386" spans="1:15" ht="13.8" x14ac:dyDescent="0.25">
      <c r="A386" s="2113"/>
      <c r="B386" s="2894" t="s">
        <v>3363</v>
      </c>
      <c r="C386" s="2894"/>
      <c r="D386" s="2894"/>
      <c r="E386" s="2894"/>
      <c r="F386" s="2114">
        <f t="shared" si="46"/>
        <v>0</v>
      </c>
      <c r="G386" s="2190">
        <f>SUM(F377:F386)</f>
        <v>22994.456249999999</v>
      </c>
      <c r="K386" s="2148"/>
      <c r="L386" s="2148"/>
      <c r="M386" s="2148"/>
      <c r="N386" s="2148"/>
      <c r="O386" s="2148"/>
    </row>
    <row r="387" spans="1:15" ht="13.8" x14ac:dyDescent="0.25">
      <c r="A387" s="2109"/>
      <c r="B387" s="2112" t="s">
        <v>3349</v>
      </c>
      <c r="C387" s="2110"/>
      <c r="D387" s="2111"/>
      <c r="E387" s="2111"/>
      <c r="F387" s="2111">
        <f t="shared" si="46"/>
        <v>0</v>
      </c>
      <c r="G387" s="2111"/>
      <c r="K387" s="2148"/>
      <c r="L387" s="2148"/>
      <c r="M387" s="2148"/>
      <c r="N387" s="2148"/>
      <c r="O387" s="2148"/>
    </row>
    <row r="388" spans="1:15" ht="13.8" x14ac:dyDescent="0.25">
      <c r="A388" s="2118"/>
      <c r="B388" s="2118" t="s">
        <v>3416</v>
      </c>
      <c r="C388" s="2119" t="s">
        <v>1476</v>
      </c>
      <c r="D388" s="2119">
        <v>10</v>
      </c>
      <c r="E388" s="2119">
        <v>325</v>
      </c>
      <c r="F388" s="2119">
        <f t="shared" si="46"/>
        <v>3250</v>
      </c>
      <c r="G388" s="2119"/>
      <c r="K388" s="2148"/>
      <c r="L388" s="2148"/>
      <c r="M388" s="2148"/>
      <c r="N388" s="2148"/>
      <c r="O388" s="2148"/>
    </row>
    <row r="389" spans="1:15" ht="13.8" x14ac:dyDescent="0.25">
      <c r="A389" s="2109"/>
      <c r="B389" s="2109"/>
      <c r="C389" s="2110"/>
      <c r="D389" s="2111"/>
      <c r="E389" s="2111"/>
      <c r="F389" s="2111"/>
      <c r="G389" s="2111"/>
    </row>
    <row r="390" spans="1:15" ht="13.8" x14ac:dyDescent="0.25">
      <c r="A390" s="2113"/>
      <c r="B390" s="2894" t="s">
        <v>3351</v>
      </c>
      <c r="C390" s="2894"/>
      <c r="D390" s="2894"/>
      <c r="E390" s="2894"/>
      <c r="F390" s="2114">
        <f t="shared" ref="F390" si="47">D390*E390</f>
        <v>0</v>
      </c>
      <c r="G390" s="2190">
        <f>SUM(F388:F390)</f>
        <v>3250</v>
      </c>
    </row>
    <row r="391" spans="1:15" ht="13.8" x14ac:dyDescent="0.25">
      <c r="A391" s="2109"/>
      <c r="B391" s="2112" t="s">
        <v>3367</v>
      </c>
      <c r="C391" s="2110"/>
      <c r="D391" s="2111"/>
      <c r="E391" s="2111"/>
      <c r="F391" s="2111"/>
      <c r="G391" s="2111"/>
    </row>
    <row r="392" spans="1:15" ht="13.8" x14ac:dyDescent="0.25">
      <c r="A392" s="2109"/>
      <c r="B392" s="2109"/>
      <c r="C392" s="2110"/>
      <c r="D392" s="2111"/>
      <c r="E392" s="2111"/>
      <c r="F392" s="2111"/>
      <c r="G392" s="2111"/>
    </row>
    <row r="393" spans="1:15" ht="13.8" x14ac:dyDescent="0.25">
      <c r="A393" s="2109"/>
      <c r="B393" s="2109" t="s">
        <v>3394</v>
      </c>
      <c r="C393" s="2111" t="s">
        <v>3365</v>
      </c>
      <c r="D393" s="2111">
        <v>0.08</v>
      </c>
      <c r="E393" s="2111">
        <v>5000</v>
      </c>
      <c r="F393" s="2111">
        <f>D393*E393</f>
        <v>400</v>
      </c>
      <c r="G393" s="2111"/>
    </row>
    <row r="394" spans="1:15" ht="13.8" x14ac:dyDescent="0.25">
      <c r="A394" s="2109"/>
      <c r="B394" s="2109" t="s">
        <v>3395</v>
      </c>
      <c r="C394" s="2111" t="s">
        <v>3365</v>
      </c>
      <c r="D394" s="2111">
        <v>0.08</v>
      </c>
      <c r="E394" s="2111">
        <v>2000</v>
      </c>
      <c r="F394" s="2111">
        <f>D394*E394</f>
        <v>160</v>
      </c>
      <c r="G394" s="2111"/>
    </row>
    <row r="395" spans="1:15" ht="13.8" x14ac:dyDescent="0.25">
      <c r="A395" s="2109"/>
      <c r="B395" s="2109"/>
      <c r="C395" s="2110"/>
      <c r="D395" s="2111"/>
      <c r="E395" s="2111"/>
      <c r="F395" s="2111"/>
      <c r="G395" s="2111"/>
    </row>
    <row r="396" spans="1:15" ht="13.8" x14ac:dyDescent="0.25">
      <c r="A396" s="2113"/>
      <c r="B396" s="2894" t="s">
        <v>3370</v>
      </c>
      <c r="C396" s="2894"/>
      <c r="D396" s="2894"/>
      <c r="E396" s="2894"/>
      <c r="F396" s="2114">
        <f t="shared" ref="F396" si="48">D396*E396</f>
        <v>0</v>
      </c>
      <c r="G396" s="2190">
        <f>SUM(F392:F396)</f>
        <v>560</v>
      </c>
    </row>
    <row r="397" spans="1:15" ht="13.8" x14ac:dyDescent="0.25">
      <c r="A397" s="2109"/>
      <c r="B397" s="2115"/>
      <c r="C397" s="2115"/>
      <c r="D397" s="2115"/>
      <c r="E397" s="2115"/>
      <c r="F397" s="2111"/>
      <c r="G397" s="2115"/>
    </row>
    <row r="398" spans="1:15" ht="13.8" x14ac:dyDescent="0.25">
      <c r="A398" s="2109"/>
      <c r="B398" s="2115"/>
      <c r="C398" s="2115"/>
      <c r="D398" s="2115"/>
      <c r="E398" s="2115"/>
      <c r="F398" s="2111"/>
      <c r="G398" s="2115"/>
    </row>
    <row r="399" spans="1:15" ht="13.8" x14ac:dyDescent="0.25">
      <c r="A399" s="2887" t="s">
        <v>3417</v>
      </c>
      <c r="B399" s="2887"/>
      <c r="C399" s="2887"/>
      <c r="D399" s="2887"/>
      <c r="E399" s="2887"/>
      <c r="F399" s="2887"/>
      <c r="G399" s="2189">
        <f>G386+G390+G396</f>
        <v>26804.456249999999</v>
      </c>
    </row>
    <row r="400" spans="1:15" ht="13.8" x14ac:dyDescent="0.25">
      <c r="A400" s="2887" t="s">
        <v>3418</v>
      </c>
      <c r="B400" s="2887"/>
      <c r="C400" s="2887"/>
      <c r="D400" s="2887"/>
      <c r="E400" s="2887"/>
      <c r="F400" s="2887"/>
      <c r="G400" s="2189">
        <f>G399/10</f>
        <v>2680.4456249999998</v>
      </c>
    </row>
    <row r="401" spans="1:15" ht="14.4" thickBot="1" x14ac:dyDescent="0.3">
      <c r="A401" s="2896" t="s">
        <v>3419</v>
      </c>
      <c r="B401" s="2896"/>
      <c r="C401" s="2896"/>
      <c r="D401" s="2896"/>
      <c r="E401" s="2896"/>
      <c r="F401" s="2896"/>
      <c r="G401" s="2144">
        <f>G400/3.28</f>
        <v>817.20903201219517</v>
      </c>
    </row>
    <row r="403" spans="1:15" ht="13.8" thickBot="1" x14ac:dyDescent="0.3"/>
    <row r="404" spans="1:15" ht="13.8" x14ac:dyDescent="0.25">
      <c r="A404" s="2888" t="s">
        <v>3425</v>
      </c>
      <c r="B404" s="2889"/>
      <c r="C404" s="2889"/>
      <c r="D404" s="2889"/>
      <c r="E404" s="2889"/>
      <c r="F404" s="2889"/>
      <c r="G404" s="2890"/>
      <c r="K404" s="2147" t="s">
        <v>0</v>
      </c>
      <c r="L404" s="2147" t="s">
        <v>3422</v>
      </c>
      <c r="M404" s="2147" t="s">
        <v>3423</v>
      </c>
      <c r="N404" s="2147" t="s">
        <v>3424</v>
      </c>
      <c r="O404" s="2147" t="s">
        <v>3348</v>
      </c>
    </row>
    <row r="405" spans="1:15" ht="14.4" thickBot="1" x14ac:dyDescent="0.3">
      <c r="A405" s="2891" t="s">
        <v>3412</v>
      </c>
      <c r="B405" s="2892"/>
      <c r="C405" s="2892"/>
      <c r="D405" s="2892"/>
      <c r="E405" s="2892"/>
      <c r="F405" s="2892"/>
      <c r="G405" s="2893"/>
      <c r="K405" s="2148"/>
      <c r="L405" s="2148"/>
      <c r="M405" s="2148"/>
      <c r="N405" s="2148"/>
      <c r="O405" s="2148"/>
    </row>
    <row r="406" spans="1:15" ht="14.4" thickBot="1" x14ac:dyDescent="0.3">
      <c r="A406" s="2107"/>
      <c r="B406" s="2108" t="s">
        <v>3345</v>
      </c>
      <c r="C406" s="2108" t="s">
        <v>3346</v>
      </c>
      <c r="D406" s="2108" t="s">
        <v>2</v>
      </c>
      <c r="E406" s="2108" t="s">
        <v>3347</v>
      </c>
      <c r="F406" s="2108" t="s">
        <v>5</v>
      </c>
      <c r="G406" s="2108" t="s">
        <v>3348</v>
      </c>
      <c r="K406" s="2148"/>
      <c r="L406" s="2148"/>
      <c r="M406" s="2148"/>
      <c r="N406" s="2148"/>
      <c r="O406" s="2148"/>
    </row>
    <row r="407" spans="1:15" ht="13.8" x14ac:dyDescent="0.25">
      <c r="A407" s="2109"/>
      <c r="B407" s="2109"/>
      <c r="C407" s="2110"/>
      <c r="D407" s="2111"/>
      <c r="E407" s="2111"/>
      <c r="F407" s="2111"/>
      <c r="G407" s="2111"/>
      <c r="K407" s="2148">
        <v>1</v>
      </c>
      <c r="L407" s="2148">
        <v>10</v>
      </c>
      <c r="M407" s="2148">
        <v>0.23</v>
      </c>
      <c r="N407" s="2148">
        <v>0.15</v>
      </c>
      <c r="O407" s="2148">
        <f>PRODUCT(K407,L407,M407,N407)</f>
        <v>0.34500000000000003</v>
      </c>
    </row>
    <row r="408" spans="1:15" ht="14.4" thickBot="1" x14ac:dyDescent="0.3">
      <c r="A408" s="2109"/>
      <c r="B408" s="2112"/>
      <c r="C408" s="2110"/>
      <c r="D408" s="2111"/>
      <c r="E408" s="2111"/>
      <c r="F408" s="2111"/>
      <c r="G408" s="2111"/>
      <c r="K408" s="2148"/>
      <c r="L408" s="2148"/>
      <c r="M408" s="2148"/>
      <c r="N408" s="2148"/>
      <c r="O408" s="2149">
        <f>O407/2.83</f>
        <v>0.12190812720848057</v>
      </c>
    </row>
    <row r="409" spans="1:15" ht="14.4" thickTop="1" x14ac:dyDescent="0.25">
      <c r="A409" s="2109"/>
      <c r="B409" s="2109" t="s">
        <v>3403</v>
      </c>
      <c r="C409" s="2111" t="s">
        <v>131</v>
      </c>
      <c r="D409" s="2111">
        <v>0.18</v>
      </c>
      <c r="E409" s="2145"/>
      <c r="F409" s="2111">
        <f t="shared" ref="F409" si="49">F407*10%</f>
        <v>0</v>
      </c>
      <c r="G409" s="2111"/>
      <c r="I409" s="2106">
        <f>0.225*0.225*10</f>
        <v>0.50625000000000009</v>
      </c>
      <c r="K409" s="2148"/>
      <c r="L409" s="2148"/>
      <c r="M409" s="2148"/>
      <c r="N409" s="2148"/>
      <c r="O409" s="2150"/>
    </row>
    <row r="410" spans="1:15" ht="13.8" x14ac:dyDescent="0.25">
      <c r="A410" s="2118"/>
      <c r="B410" s="2118" t="s">
        <v>3413</v>
      </c>
      <c r="C410" s="2119" t="s">
        <v>3414</v>
      </c>
      <c r="D410" s="2119">
        <v>4.1399999999999997</v>
      </c>
      <c r="E410" s="2119">
        <f>F131</f>
        <v>2285.625</v>
      </c>
      <c r="F410" s="2119">
        <f t="shared" ref="F410:F411" si="50">D410*E410</f>
        <v>9462.4874999999993</v>
      </c>
      <c r="G410" s="2119"/>
      <c r="H410" s="2146">
        <f>D409*23</f>
        <v>4.1399999999999997</v>
      </c>
      <c r="I410" s="2106">
        <f>I409/2.83</f>
        <v>0.17888692579505303</v>
      </c>
      <c r="K410" s="2148"/>
      <c r="L410" s="2148"/>
      <c r="M410" s="2148"/>
      <c r="N410" s="2148"/>
      <c r="O410" s="2148"/>
    </row>
    <row r="411" spans="1:15" ht="13.8" x14ac:dyDescent="0.25">
      <c r="A411" s="2118"/>
      <c r="B411" s="2135" t="s">
        <v>3392</v>
      </c>
      <c r="C411" s="2119" t="s">
        <v>131</v>
      </c>
      <c r="D411" s="2119">
        <v>0.08</v>
      </c>
      <c r="E411" s="2119">
        <f>Material!E13</f>
        <v>23000</v>
      </c>
      <c r="F411" s="2119">
        <f t="shared" si="50"/>
        <v>1840</v>
      </c>
      <c r="G411" s="2119"/>
      <c r="H411" s="2146">
        <f>D409*0.42</f>
        <v>7.5600000000000001E-2</v>
      </c>
      <c r="K411" s="2148">
        <v>24</v>
      </c>
      <c r="L411" s="2148">
        <v>0.75</v>
      </c>
      <c r="M411" s="2148"/>
      <c r="N411" s="2148">
        <v>0.62</v>
      </c>
      <c r="O411" s="2148">
        <f>PRODUCT(K411,L411,M411,N411)</f>
        <v>11.16</v>
      </c>
    </row>
    <row r="412" spans="1:15" ht="13.8" x14ac:dyDescent="0.25">
      <c r="A412" s="2118"/>
      <c r="B412" s="2136" t="s">
        <v>3401</v>
      </c>
      <c r="C412" s="2119" t="s">
        <v>131</v>
      </c>
      <c r="D412" s="2119">
        <v>0.15</v>
      </c>
      <c r="E412" s="2119">
        <f>Material!E17</f>
        <v>13500</v>
      </c>
      <c r="F412" s="2119">
        <f>D412*E412</f>
        <v>2025</v>
      </c>
      <c r="G412" s="2119"/>
      <c r="H412" s="2146">
        <f>D409*0.82</f>
        <v>0.14759999999999998</v>
      </c>
      <c r="K412" s="2148">
        <v>4</v>
      </c>
      <c r="L412" s="2148">
        <v>3.5</v>
      </c>
      <c r="M412" s="2148"/>
      <c r="N412" s="2148">
        <v>0.62</v>
      </c>
      <c r="O412" s="2148">
        <f>PRODUCT(K412,L412,M412,N412)</f>
        <v>8.68</v>
      </c>
    </row>
    <row r="413" spans="1:15" ht="13.8" x14ac:dyDescent="0.25">
      <c r="A413" s="2109"/>
      <c r="B413" s="2110"/>
      <c r="C413" s="2111"/>
      <c r="D413" s="2111"/>
      <c r="E413" s="2111"/>
      <c r="F413" s="2111">
        <f t="shared" ref="F413:F414" si="51">D413*E413</f>
        <v>0</v>
      </c>
      <c r="G413" s="2111"/>
      <c r="K413" s="2148"/>
      <c r="L413" s="2148"/>
      <c r="M413" s="2148"/>
      <c r="N413" s="2148"/>
      <c r="O413" s="2148"/>
    </row>
    <row r="414" spans="1:15" ht="13.8" x14ac:dyDescent="0.25">
      <c r="A414" s="2118"/>
      <c r="B414" s="2136" t="s">
        <v>3415</v>
      </c>
      <c r="C414" s="2119" t="s">
        <v>134</v>
      </c>
      <c r="D414" s="2119">
        <v>39.53</v>
      </c>
      <c r="E414" s="2119">
        <f>F482</f>
        <v>370.9375</v>
      </c>
      <c r="F414" s="2119">
        <f t="shared" si="51"/>
        <v>14663.159375000001</v>
      </c>
      <c r="G414" s="2119"/>
      <c r="H414" s="2106">
        <f>11*4*0.617</f>
        <v>27.148</v>
      </c>
      <c r="K414" s="2148"/>
      <c r="L414" s="2148"/>
      <c r="M414" s="2148"/>
      <c r="N414" s="2148"/>
      <c r="O414" s="2151">
        <f>SUM(O411:O412)</f>
        <v>19.84</v>
      </c>
    </row>
    <row r="415" spans="1:15" ht="13.8" x14ac:dyDescent="0.25">
      <c r="A415" s="2109"/>
      <c r="B415" s="2110"/>
      <c r="C415" s="2111"/>
      <c r="D415" s="2111"/>
      <c r="E415" s="2111"/>
      <c r="F415" s="2111"/>
      <c r="G415" s="2111"/>
      <c r="H415" s="2106">
        <f>0.82*68*0.222</f>
        <v>12.37872</v>
      </c>
      <c r="I415" s="2106">
        <f>0.225*0.15*10</f>
        <v>0.33750000000000002</v>
      </c>
      <c r="K415" s="2148"/>
      <c r="L415" s="2148"/>
      <c r="M415" s="2148"/>
      <c r="N415" s="2148"/>
      <c r="O415" s="2148"/>
    </row>
    <row r="416" spans="1:15" ht="13.8" x14ac:dyDescent="0.25">
      <c r="A416" s="2109"/>
      <c r="B416" s="2109"/>
      <c r="C416" s="2110"/>
      <c r="D416" s="2111"/>
      <c r="E416" s="2111"/>
      <c r="F416" s="2111">
        <f t="shared" ref="F416:F419" si="52">D416*E416</f>
        <v>0</v>
      </c>
      <c r="G416" s="2111"/>
      <c r="I416" s="2106">
        <f>I415/2.83</f>
        <v>0.11925795053003534</v>
      </c>
      <c r="K416" s="2148"/>
      <c r="L416" s="2148"/>
      <c r="M416" s="2148"/>
      <c r="N416" s="2148"/>
      <c r="O416" s="2148"/>
    </row>
    <row r="417" spans="1:15" ht="13.8" x14ac:dyDescent="0.25">
      <c r="A417" s="2113"/>
      <c r="B417" s="2894" t="s">
        <v>3363</v>
      </c>
      <c r="C417" s="2894"/>
      <c r="D417" s="2894"/>
      <c r="E417" s="2894"/>
      <c r="F417" s="2114">
        <f t="shared" si="52"/>
        <v>0</v>
      </c>
      <c r="G417" s="2190">
        <f>SUM(F408:F417)</f>
        <v>27990.646874999999</v>
      </c>
      <c r="K417" s="2148"/>
      <c r="L417" s="2148"/>
      <c r="M417" s="2148"/>
      <c r="N417" s="2148"/>
      <c r="O417" s="2148"/>
    </row>
    <row r="418" spans="1:15" ht="13.8" x14ac:dyDescent="0.25">
      <c r="A418" s="2109"/>
      <c r="B418" s="2112" t="s">
        <v>3349</v>
      </c>
      <c r="C418" s="2110"/>
      <c r="D418" s="2111"/>
      <c r="E418" s="2111"/>
      <c r="F418" s="2111">
        <f t="shared" si="52"/>
        <v>0</v>
      </c>
      <c r="G418" s="2111"/>
      <c r="K418" s="2148"/>
      <c r="L418" s="2148"/>
      <c r="M418" s="2148"/>
      <c r="N418" s="2148"/>
      <c r="O418" s="2148"/>
    </row>
    <row r="419" spans="1:15" ht="13.8" x14ac:dyDescent="0.25">
      <c r="A419" s="2118"/>
      <c r="B419" s="2118" t="s">
        <v>3416</v>
      </c>
      <c r="C419" s="2119" t="s">
        <v>1476</v>
      </c>
      <c r="D419" s="2119">
        <v>10</v>
      </c>
      <c r="E419" s="2119">
        <v>375</v>
      </c>
      <c r="F419" s="2119">
        <f t="shared" si="52"/>
        <v>3750</v>
      </c>
      <c r="G419" s="2119"/>
      <c r="K419" s="2148"/>
      <c r="L419" s="2148"/>
      <c r="M419" s="2148"/>
      <c r="N419" s="2148"/>
      <c r="O419" s="2148"/>
    </row>
    <row r="420" spans="1:15" ht="13.8" x14ac:dyDescent="0.25">
      <c r="A420" s="2109"/>
      <c r="B420" s="2109"/>
      <c r="C420" s="2110"/>
      <c r="D420" s="2111"/>
      <c r="E420" s="2111"/>
      <c r="F420" s="2111"/>
      <c r="G420" s="2111"/>
    </row>
    <row r="421" spans="1:15" ht="13.8" x14ac:dyDescent="0.25">
      <c r="A421" s="2113"/>
      <c r="B421" s="2894" t="s">
        <v>3351</v>
      </c>
      <c r="C421" s="2894"/>
      <c r="D421" s="2894"/>
      <c r="E421" s="2894"/>
      <c r="F421" s="2114">
        <f t="shared" ref="F421" si="53">D421*E421</f>
        <v>0</v>
      </c>
      <c r="G421" s="2190">
        <f>SUM(F419:F421)</f>
        <v>3750</v>
      </c>
    </row>
    <row r="422" spans="1:15" ht="13.8" x14ac:dyDescent="0.25">
      <c r="A422" s="2109"/>
      <c r="B422" s="2112" t="s">
        <v>3367</v>
      </c>
      <c r="C422" s="2110"/>
      <c r="D422" s="2111"/>
      <c r="E422" s="2111"/>
      <c r="F422" s="2111"/>
      <c r="G422" s="2111"/>
    </row>
    <row r="423" spans="1:15" ht="13.8" x14ac:dyDescent="0.25">
      <c r="A423" s="2109"/>
      <c r="B423" s="2109"/>
      <c r="C423" s="2110"/>
      <c r="D423" s="2111"/>
      <c r="E423" s="2111"/>
      <c r="F423" s="2111"/>
      <c r="G423" s="2111"/>
    </row>
    <row r="424" spans="1:15" ht="13.8" x14ac:dyDescent="0.25">
      <c r="A424" s="2109"/>
      <c r="B424" s="2109" t="s">
        <v>3394</v>
      </c>
      <c r="C424" s="2111" t="s">
        <v>3365</v>
      </c>
      <c r="D424" s="2111">
        <v>0.08</v>
      </c>
      <c r="E424" s="2111">
        <v>5000</v>
      </c>
      <c r="F424" s="2111">
        <f>D424*E424</f>
        <v>400</v>
      </c>
      <c r="G424" s="2111"/>
    </row>
    <row r="425" spans="1:15" ht="13.8" x14ac:dyDescent="0.25">
      <c r="A425" s="2109"/>
      <c r="B425" s="2109" t="s">
        <v>3395</v>
      </c>
      <c r="C425" s="2111" t="s">
        <v>3365</v>
      </c>
      <c r="D425" s="2111">
        <v>0.08</v>
      </c>
      <c r="E425" s="2111">
        <v>2000</v>
      </c>
      <c r="F425" s="2111">
        <f>D425*E425</f>
        <v>160</v>
      </c>
      <c r="G425" s="2111"/>
    </row>
    <row r="426" spans="1:15" ht="13.8" x14ac:dyDescent="0.25">
      <c r="A426" s="2109"/>
      <c r="B426" s="2109"/>
      <c r="C426" s="2110"/>
      <c r="D426" s="2111"/>
      <c r="E426" s="2111"/>
      <c r="F426" s="2111"/>
      <c r="G426" s="2111"/>
    </row>
    <row r="427" spans="1:15" ht="13.8" x14ac:dyDescent="0.25">
      <c r="A427" s="2113"/>
      <c r="B427" s="2894" t="s">
        <v>3370</v>
      </c>
      <c r="C427" s="2894"/>
      <c r="D427" s="2894"/>
      <c r="E427" s="2894"/>
      <c r="F427" s="2114">
        <f t="shared" ref="F427" si="54">D427*E427</f>
        <v>0</v>
      </c>
      <c r="G427" s="2190">
        <f>SUM(F423:F427)</f>
        <v>560</v>
      </c>
    </row>
    <row r="428" spans="1:15" ht="13.8" x14ac:dyDescent="0.25">
      <c r="A428" s="2109"/>
      <c r="B428" s="2115"/>
      <c r="C428" s="2115"/>
      <c r="D428" s="2115"/>
      <c r="E428" s="2115"/>
      <c r="F428" s="2111"/>
      <c r="G428" s="2115"/>
    </row>
    <row r="429" spans="1:15" ht="13.8" x14ac:dyDescent="0.25">
      <c r="A429" s="2109"/>
      <c r="B429" s="2115"/>
      <c r="C429" s="2115"/>
      <c r="D429" s="2115"/>
      <c r="E429" s="2115"/>
      <c r="F429" s="2111"/>
      <c r="G429" s="2115"/>
    </row>
    <row r="430" spans="1:15" ht="13.8" x14ac:dyDescent="0.25">
      <c r="A430" s="2887" t="s">
        <v>3417</v>
      </c>
      <c r="B430" s="2887"/>
      <c r="C430" s="2887"/>
      <c r="D430" s="2887"/>
      <c r="E430" s="2887"/>
      <c r="F430" s="2887"/>
      <c r="G430" s="2189">
        <f>G417+G421+G427</f>
        <v>32300.646874999999</v>
      </c>
    </row>
    <row r="431" spans="1:15" ht="13.8" x14ac:dyDescent="0.25">
      <c r="A431" s="2887" t="s">
        <v>3418</v>
      </c>
      <c r="B431" s="2887"/>
      <c r="C431" s="2887"/>
      <c r="D431" s="2887"/>
      <c r="E431" s="2887"/>
      <c r="F431" s="2887"/>
      <c r="G431" s="2189">
        <f>G430/10</f>
        <v>3230.0646874999998</v>
      </c>
    </row>
    <row r="432" spans="1:15" ht="14.4" thickBot="1" x14ac:dyDescent="0.3">
      <c r="A432" s="2896" t="s">
        <v>3419</v>
      </c>
      <c r="B432" s="2896"/>
      <c r="C432" s="2896"/>
      <c r="D432" s="2896"/>
      <c r="E432" s="2896"/>
      <c r="F432" s="2896"/>
      <c r="G432" s="2144">
        <f>G431/3.28</f>
        <v>984.77581935975604</v>
      </c>
    </row>
    <row r="465" spans="1:7" x14ac:dyDescent="0.25">
      <c r="D465" s="2146"/>
    </row>
    <row r="468" spans="1:7" x14ac:dyDescent="0.25">
      <c r="A468" s="2895" t="s">
        <v>573</v>
      </c>
      <c r="B468" s="2895"/>
      <c r="C468" s="2895"/>
      <c r="D468" s="2895"/>
      <c r="E468" s="2895"/>
      <c r="F468" s="2895"/>
      <c r="G468" s="2895"/>
    </row>
    <row r="471" spans="1:7" ht="13.8" x14ac:dyDescent="0.25">
      <c r="A471" s="2897" t="s">
        <v>3426</v>
      </c>
      <c r="B471" s="2897"/>
      <c r="C471" s="2124"/>
      <c r="D471" s="2125"/>
      <c r="E471" s="2125"/>
      <c r="F471" s="2125"/>
      <c r="G471" s="2137"/>
    </row>
    <row r="472" spans="1:7" ht="13.8" x14ac:dyDescent="0.25">
      <c r="A472" s="2126"/>
      <c r="B472" s="2127" t="s">
        <v>3345</v>
      </c>
      <c r="C472" s="2127" t="s">
        <v>3346</v>
      </c>
      <c r="D472" s="2127" t="s">
        <v>2</v>
      </c>
      <c r="E472" s="2127" t="s">
        <v>3347</v>
      </c>
      <c r="F472" s="2127" t="s">
        <v>5</v>
      </c>
      <c r="G472" s="2137"/>
    </row>
    <row r="473" spans="1:7" ht="13.8" x14ac:dyDescent="0.25">
      <c r="A473" s="2128"/>
      <c r="B473" s="2128"/>
      <c r="C473" s="2129"/>
      <c r="D473" s="2130"/>
      <c r="E473" s="2130"/>
      <c r="F473" s="2130"/>
      <c r="G473" s="2137"/>
    </row>
    <row r="474" spans="1:7" ht="13.8" x14ac:dyDescent="0.25">
      <c r="A474" s="2128"/>
      <c r="B474" s="2128" t="s">
        <v>3427</v>
      </c>
      <c r="C474" s="2130" t="s">
        <v>3428</v>
      </c>
      <c r="D474" s="2130">
        <v>1</v>
      </c>
      <c r="E474" s="2130">
        <f>Material!D30</f>
        <v>365000</v>
      </c>
      <c r="F474" s="2130">
        <f>D474*E474</f>
        <v>365000</v>
      </c>
      <c r="G474" s="2137"/>
    </row>
    <row r="475" spans="1:7" ht="27.6" x14ac:dyDescent="0.25">
      <c r="A475" s="2128"/>
      <c r="B475" s="2133" t="s">
        <v>3386</v>
      </c>
      <c r="C475" s="2130" t="s">
        <v>3369</v>
      </c>
      <c r="D475" s="2130">
        <v>3</v>
      </c>
      <c r="E475" s="2130">
        <v>312.5</v>
      </c>
      <c r="F475" s="2130">
        <f t="shared" ref="F475:F476" si="55">D475*E475</f>
        <v>937.5</v>
      </c>
      <c r="G475" s="2137"/>
    </row>
    <row r="476" spans="1:7" ht="13.8" x14ac:dyDescent="0.25">
      <c r="A476" s="2128"/>
      <c r="B476" s="2129" t="s">
        <v>3387</v>
      </c>
      <c r="C476" s="2130" t="s">
        <v>3388</v>
      </c>
      <c r="D476" s="2130">
        <v>1</v>
      </c>
      <c r="E476" s="2130">
        <v>5000</v>
      </c>
      <c r="F476" s="2130">
        <f t="shared" si="55"/>
        <v>5000</v>
      </c>
      <c r="G476" s="2137"/>
    </row>
    <row r="477" spans="1:7" ht="13.8" x14ac:dyDescent="0.25">
      <c r="A477" s="2128"/>
      <c r="B477" s="2128"/>
      <c r="C477" s="2129"/>
      <c r="D477" s="2130"/>
      <c r="E477" s="2130"/>
      <c r="F477" s="2130"/>
      <c r="G477" s="2137"/>
    </row>
    <row r="478" spans="1:7" ht="13.8" x14ac:dyDescent="0.25">
      <c r="A478" s="2128"/>
      <c r="B478" s="2128"/>
      <c r="C478" s="2129"/>
      <c r="D478" s="2130"/>
      <c r="E478" s="2130"/>
      <c r="F478" s="2130"/>
      <c r="G478" s="2137"/>
    </row>
    <row r="479" spans="1:7" ht="13.8" x14ac:dyDescent="0.25">
      <c r="A479" s="2128"/>
      <c r="B479" s="2128"/>
      <c r="C479" s="2129"/>
      <c r="D479" s="2130"/>
      <c r="E479" s="2130"/>
      <c r="F479" s="2130"/>
      <c r="G479" s="2137"/>
    </row>
    <row r="480" spans="1:7" ht="13.8" x14ac:dyDescent="0.25">
      <c r="A480" s="2898" t="s">
        <v>3429</v>
      </c>
      <c r="B480" s="2899"/>
      <c r="C480" s="2899"/>
      <c r="D480" s="2899"/>
      <c r="E480" s="2900"/>
      <c r="F480" s="2127">
        <f>SUM(F474:F479)</f>
        <v>370937.5</v>
      </c>
      <c r="G480" s="2137"/>
    </row>
    <row r="481" spans="1:7" ht="13.8" x14ac:dyDescent="0.25">
      <c r="A481" s="2898" t="s">
        <v>3430</v>
      </c>
      <c r="B481" s="2899"/>
      <c r="C481" s="2899"/>
      <c r="D481" s="2899"/>
      <c r="E481" s="2900"/>
      <c r="F481" s="2127">
        <f>F480/20</f>
        <v>18546.875</v>
      </c>
      <c r="G481" s="2137"/>
    </row>
    <row r="482" spans="1:7" ht="13.8" x14ac:dyDescent="0.25">
      <c r="A482" s="2898" t="s">
        <v>3431</v>
      </c>
      <c r="B482" s="2899"/>
      <c r="C482" s="2899"/>
      <c r="D482" s="2899"/>
      <c r="E482" s="2900"/>
      <c r="F482" s="2127">
        <f>F480/1000</f>
        <v>370.9375</v>
      </c>
      <c r="G482" s="2137"/>
    </row>
    <row r="483" spans="1:7" ht="13.8" x14ac:dyDescent="0.25">
      <c r="A483" s="2145"/>
      <c r="B483" s="2137"/>
      <c r="C483" s="2137"/>
      <c r="D483" s="2137"/>
      <c r="E483" s="2137"/>
      <c r="F483" s="2125"/>
      <c r="G483" s="2137"/>
    </row>
    <row r="484" spans="1:7" ht="14.4" thickBot="1" x14ac:dyDescent="0.3">
      <c r="A484" s="2145"/>
      <c r="B484" s="2137"/>
      <c r="C484" s="2137"/>
      <c r="D484" s="2137"/>
      <c r="E484" s="2137"/>
      <c r="F484" s="2125"/>
      <c r="G484" s="2137"/>
    </row>
    <row r="485" spans="1:7" ht="13.8" x14ac:dyDescent="0.25">
      <c r="A485" s="2888" t="s">
        <v>3432</v>
      </c>
      <c r="B485" s="2889"/>
      <c r="C485" s="2889"/>
      <c r="D485" s="2889"/>
      <c r="E485" s="2889"/>
      <c r="F485" s="2889"/>
      <c r="G485" s="2890"/>
    </row>
    <row r="486" spans="1:7" ht="14.4" thickBot="1" x14ac:dyDescent="0.3">
      <c r="A486" s="2891" t="s">
        <v>3433</v>
      </c>
      <c r="B486" s="2892"/>
      <c r="C486" s="2892"/>
      <c r="D486" s="2892"/>
      <c r="E486" s="2892"/>
      <c r="F486" s="2892"/>
      <c r="G486" s="2893"/>
    </row>
    <row r="487" spans="1:7" ht="14.4" thickBot="1" x14ac:dyDescent="0.3">
      <c r="A487" s="2107"/>
      <c r="B487" s="2108" t="s">
        <v>3345</v>
      </c>
      <c r="C487" s="2108" t="s">
        <v>3346</v>
      </c>
      <c r="D487" s="2108" t="s">
        <v>2</v>
      </c>
      <c r="E487" s="2108" t="s">
        <v>3347</v>
      </c>
      <c r="F487" s="2108" t="s">
        <v>5</v>
      </c>
      <c r="G487" s="2108" t="s">
        <v>3348</v>
      </c>
    </row>
    <row r="488" spans="1:7" ht="13.8" x14ac:dyDescent="0.25">
      <c r="A488" s="2109"/>
      <c r="B488" s="2109"/>
      <c r="C488" s="2110"/>
      <c r="D488" s="2111"/>
      <c r="E488" s="2111"/>
      <c r="F488" s="2111"/>
      <c r="G488" s="2111"/>
    </row>
    <row r="489" spans="1:7" ht="13.8" x14ac:dyDescent="0.25">
      <c r="A489" s="2109"/>
      <c r="B489" s="2112"/>
      <c r="C489" s="2110"/>
      <c r="D489" s="2111"/>
      <c r="E489" s="2111"/>
      <c r="F489" s="2111"/>
      <c r="G489" s="2111"/>
    </row>
    <row r="490" spans="1:7" ht="13.8" x14ac:dyDescent="0.25">
      <c r="A490" s="2121"/>
      <c r="B490" s="2121" t="s">
        <v>3434</v>
      </c>
      <c r="C490" s="2122" t="s">
        <v>3435</v>
      </c>
      <c r="D490" s="2122">
        <v>1</v>
      </c>
      <c r="E490" s="2122">
        <f>F481</f>
        <v>18546.875</v>
      </c>
      <c r="F490" s="2122">
        <f>D490*E490</f>
        <v>18546.875</v>
      </c>
      <c r="G490" s="2122"/>
    </row>
    <row r="491" spans="1:7" ht="13.8" x14ac:dyDescent="0.25">
      <c r="A491" s="2121"/>
      <c r="B491" s="2152" t="s">
        <v>3436</v>
      </c>
      <c r="C491" s="2122"/>
      <c r="D491" s="2122"/>
      <c r="E491" s="2122"/>
      <c r="F491" s="2122">
        <f>F490*10%</f>
        <v>1854.6875</v>
      </c>
      <c r="G491" s="2122"/>
    </row>
    <row r="492" spans="1:7" ht="13.8" x14ac:dyDescent="0.25">
      <c r="A492" s="2121"/>
      <c r="B492" s="2153" t="s">
        <v>3437</v>
      </c>
      <c r="C492" s="2122" t="s">
        <v>134</v>
      </c>
      <c r="D492" s="2122">
        <v>1.5</v>
      </c>
      <c r="E492" s="2122">
        <v>380</v>
      </c>
      <c r="F492" s="2122">
        <f t="shared" ref="F492" si="56">D492*E492</f>
        <v>570</v>
      </c>
      <c r="G492" s="2122"/>
    </row>
    <row r="493" spans="1:7" ht="13.8" x14ac:dyDescent="0.25">
      <c r="A493" s="2121"/>
      <c r="B493" s="2153" t="s">
        <v>3438</v>
      </c>
      <c r="C493" s="2153"/>
      <c r="D493" s="2122"/>
      <c r="E493" s="2122"/>
      <c r="F493" s="2122">
        <f>(F490+F491)*1.5%</f>
        <v>306.0234375</v>
      </c>
      <c r="G493" s="2122"/>
    </row>
    <row r="494" spans="1:7" ht="13.8" x14ac:dyDescent="0.25">
      <c r="A494" s="2109"/>
      <c r="B494" s="2110" t="s">
        <v>3439</v>
      </c>
      <c r="C494" s="2110"/>
      <c r="D494" s="2111"/>
      <c r="E494" s="2111"/>
      <c r="F494" s="2111">
        <f>(F490+F491)*4%</f>
        <v>816.0625</v>
      </c>
      <c r="G494" s="2111"/>
    </row>
    <row r="495" spans="1:7" ht="13.8" x14ac:dyDescent="0.25">
      <c r="A495" s="2113"/>
      <c r="B495" s="2894" t="s">
        <v>3363</v>
      </c>
      <c r="C495" s="2894"/>
      <c r="D495" s="2894"/>
      <c r="E495" s="2894"/>
      <c r="F495" s="2114"/>
      <c r="G495" s="2190">
        <f>SUM(F489:F495)</f>
        <v>22093.6484375</v>
      </c>
    </row>
    <row r="496" spans="1:7" ht="13.8" x14ac:dyDescent="0.25">
      <c r="A496" s="2109"/>
      <c r="B496" s="2112" t="s">
        <v>3349</v>
      </c>
      <c r="C496" s="2110"/>
      <c r="D496" s="2111"/>
      <c r="E496" s="2111"/>
      <c r="F496" s="2111"/>
      <c r="G496" s="2111"/>
    </row>
    <row r="497" spans="1:15" ht="13.8" x14ac:dyDescent="0.25">
      <c r="A497" s="2109"/>
      <c r="B497" s="2109" t="s">
        <v>3357</v>
      </c>
      <c r="C497" s="2111" t="s">
        <v>134</v>
      </c>
      <c r="D497" s="2111">
        <v>50</v>
      </c>
      <c r="E497" s="2154">
        <v>33</v>
      </c>
      <c r="F497" s="2111">
        <f>D497*E497</f>
        <v>1650</v>
      </c>
      <c r="G497" s="2111"/>
    </row>
    <row r="498" spans="1:15" ht="13.8" x14ac:dyDescent="0.25">
      <c r="A498" s="2109"/>
      <c r="B498" s="2109"/>
      <c r="C498" s="2110"/>
      <c r="D498" s="2111"/>
      <c r="E498" s="2111"/>
      <c r="F498" s="2111"/>
      <c r="G498" s="2111"/>
    </row>
    <row r="499" spans="1:15" ht="13.8" x14ac:dyDescent="0.25">
      <c r="A499" s="2113"/>
      <c r="B499" s="2894" t="s">
        <v>3351</v>
      </c>
      <c r="C499" s="2894"/>
      <c r="D499" s="2894"/>
      <c r="E499" s="2894"/>
      <c r="F499" s="2114">
        <f t="shared" ref="F499" si="57">D499*E499</f>
        <v>0</v>
      </c>
      <c r="G499" s="2190">
        <f>SUM(F497:F499)</f>
        <v>1650</v>
      </c>
    </row>
    <row r="500" spans="1:15" ht="13.8" x14ac:dyDescent="0.25">
      <c r="A500" s="2109"/>
      <c r="B500" s="2112"/>
      <c r="C500" s="2110"/>
      <c r="D500" s="2111"/>
      <c r="E500" s="2111"/>
      <c r="F500" s="2111"/>
      <c r="G500" s="2111"/>
    </row>
    <row r="501" spans="1:15" ht="13.8" x14ac:dyDescent="0.25">
      <c r="A501" s="2109"/>
      <c r="B501" s="2109"/>
      <c r="C501" s="2110"/>
      <c r="D501" s="2111"/>
      <c r="E501" s="2111"/>
      <c r="F501" s="2111"/>
      <c r="G501" s="2111"/>
    </row>
    <row r="502" spans="1:15" ht="13.8" x14ac:dyDescent="0.25">
      <c r="A502" s="2109"/>
      <c r="B502" s="2109"/>
      <c r="C502" s="2110"/>
      <c r="D502" s="2111"/>
      <c r="E502" s="2111"/>
      <c r="F502" s="2111"/>
      <c r="G502" s="2111"/>
    </row>
    <row r="503" spans="1:15" ht="13.8" x14ac:dyDescent="0.25">
      <c r="A503" s="2109"/>
      <c r="B503" s="2115"/>
      <c r="C503" s="2115"/>
      <c r="D503" s="2115"/>
      <c r="E503" s="2115"/>
      <c r="F503" s="2111"/>
      <c r="G503" s="2115"/>
    </row>
    <row r="504" spans="1:15" ht="13.8" x14ac:dyDescent="0.25">
      <c r="A504" s="2887" t="s">
        <v>3440</v>
      </c>
      <c r="B504" s="2887"/>
      <c r="C504" s="2887"/>
      <c r="D504" s="2887"/>
      <c r="E504" s="2887"/>
      <c r="F504" s="2887"/>
      <c r="G504" s="2189">
        <f>G495+G499</f>
        <v>23743.6484375</v>
      </c>
      <c r="H504" s="2155">
        <f>G495</f>
        <v>22093.6484375</v>
      </c>
    </row>
    <row r="505" spans="1:15" ht="13.8" x14ac:dyDescent="0.25">
      <c r="A505" s="2887" t="s">
        <v>3441</v>
      </c>
      <c r="B505" s="2887"/>
      <c r="C505" s="2887"/>
      <c r="D505" s="2887"/>
      <c r="E505" s="2887"/>
      <c r="F505" s="2887"/>
      <c r="G505" s="2189">
        <f>G504*20</f>
        <v>474872.96875</v>
      </c>
      <c r="H505" s="2146">
        <f>H504*20</f>
        <v>441872.96875</v>
      </c>
    </row>
    <row r="506" spans="1:15" ht="14.4" thickBot="1" x14ac:dyDescent="0.3">
      <c r="A506" s="2896" t="s">
        <v>3442</v>
      </c>
      <c r="B506" s="2896"/>
      <c r="C506" s="2896"/>
      <c r="D506" s="2896"/>
      <c r="E506" s="2896"/>
      <c r="F506" s="2896"/>
      <c r="G506" s="2144">
        <f>G505/1000</f>
        <v>474.87296874999998</v>
      </c>
      <c r="H506" s="2146">
        <f>H505/1000</f>
        <v>441.87296874999998</v>
      </c>
    </row>
    <row r="509" spans="1:15" s="2244" customFormat="1" x14ac:dyDescent="0.25">
      <c r="K509" s="2245"/>
      <c r="L509" s="2245"/>
      <c r="M509" s="2245"/>
      <c r="N509" s="2245"/>
      <c r="O509" s="2245"/>
    </row>
    <row r="510" spans="1:15" s="2244" customFormat="1" x14ac:dyDescent="0.25">
      <c r="K510" s="2245"/>
      <c r="L510" s="2245"/>
      <c r="M510" s="2245"/>
      <c r="N510" s="2245"/>
      <c r="O510" s="2245"/>
    </row>
    <row r="511" spans="1:15" s="2244" customFormat="1" x14ac:dyDescent="0.25">
      <c r="K511" s="2245"/>
      <c r="L511" s="2245"/>
      <c r="M511" s="2245"/>
      <c r="N511" s="2245"/>
      <c r="O511" s="2245"/>
    </row>
    <row r="512" spans="1:15" s="2244" customFormat="1" x14ac:dyDescent="0.25">
      <c r="A512" s="2917" t="s">
        <v>3443</v>
      </c>
      <c r="B512" s="2917"/>
      <c r="C512" s="2917"/>
      <c r="D512" s="2917"/>
      <c r="E512" s="2917"/>
      <c r="F512" s="2917"/>
      <c r="G512" s="2917"/>
      <c r="K512" s="2245"/>
      <c r="L512" s="2245"/>
      <c r="M512" s="2245"/>
      <c r="N512" s="2245"/>
      <c r="O512" s="2245"/>
    </row>
    <row r="513" spans="1:15" s="2244" customFormat="1" x14ac:dyDescent="0.25">
      <c r="K513" s="2245"/>
      <c r="L513" s="2245"/>
      <c r="M513" s="2245"/>
      <c r="N513" s="2245"/>
      <c r="O513" s="2245"/>
    </row>
    <row r="514" spans="1:15" s="2244" customFormat="1" x14ac:dyDescent="0.25">
      <c r="K514" s="2245"/>
      <c r="L514" s="2245"/>
      <c r="M514" s="2245"/>
      <c r="N514" s="2245"/>
      <c r="O514" s="2245"/>
    </row>
    <row r="515" spans="1:15" s="2244" customFormat="1" ht="13.8" thickBot="1" x14ac:dyDescent="0.3">
      <c r="K515" s="2245"/>
      <c r="L515" s="2245"/>
      <c r="M515" s="2245"/>
      <c r="N515" s="2245"/>
      <c r="O515" s="2245"/>
    </row>
    <row r="516" spans="1:15" s="2244" customFormat="1" ht="13.8" x14ac:dyDescent="0.25">
      <c r="A516" s="2918" t="s">
        <v>3444</v>
      </c>
      <c r="B516" s="2919"/>
      <c r="C516" s="2919"/>
      <c r="D516" s="2919"/>
      <c r="E516" s="2919"/>
      <c r="F516" s="2919"/>
      <c r="G516" s="2920"/>
      <c r="K516" s="2245"/>
      <c r="L516" s="2245"/>
      <c r="M516" s="2245"/>
      <c r="N516" s="2245"/>
      <c r="O516" s="2245"/>
    </row>
    <row r="517" spans="1:15" s="2244" customFormat="1" ht="14.4" thickBot="1" x14ac:dyDescent="0.3">
      <c r="A517" s="2921" t="s">
        <v>3445</v>
      </c>
      <c r="B517" s="2922"/>
      <c r="C517" s="2922"/>
      <c r="D517" s="2922"/>
      <c r="E517" s="2922"/>
      <c r="F517" s="2922"/>
      <c r="G517" s="2923"/>
      <c r="K517" s="2245"/>
      <c r="L517" s="2245"/>
      <c r="M517" s="2245"/>
      <c r="N517" s="2245"/>
      <c r="O517" s="2245"/>
    </row>
    <row r="518" spans="1:15" s="2244" customFormat="1" ht="14.4" thickBot="1" x14ac:dyDescent="0.3">
      <c r="A518" s="2246"/>
      <c r="B518" s="2247" t="s">
        <v>3345</v>
      </c>
      <c r="C518" s="2377" t="s">
        <v>3346</v>
      </c>
      <c r="D518" s="2247" t="s">
        <v>2</v>
      </c>
      <c r="E518" s="2247" t="s">
        <v>3347</v>
      </c>
      <c r="F518" s="2247" t="s">
        <v>5</v>
      </c>
      <c r="G518" s="2247" t="s">
        <v>3348</v>
      </c>
      <c r="K518" s="2245"/>
      <c r="L518" s="2245"/>
      <c r="M518" s="2245"/>
      <c r="N518" s="2245"/>
      <c r="O518" s="2245"/>
    </row>
    <row r="519" spans="1:15" s="2244" customFormat="1" ht="13.8" x14ac:dyDescent="0.25">
      <c r="A519" s="2248"/>
      <c r="B519" s="2251" t="s">
        <v>3362</v>
      </c>
      <c r="C519" s="2378"/>
      <c r="D519" s="2250"/>
      <c r="E519" s="2250"/>
      <c r="F519" s="2250"/>
      <c r="G519" s="2250"/>
      <c r="K519" s="2245"/>
      <c r="L519" s="2245"/>
      <c r="M519" s="2245"/>
      <c r="N519" s="2245"/>
      <c r="O519" s="2245"/>
    </row>
    <row r="520" spans="1:15" s="2244" customFormat="1" ht="15.6" x14ac:dyDescent="0.4">
      <c r="A520" s="2248"/>
      <c r="B520" s="2379" t="s">
        <v>3446</v>
      </c>
      <c r="C520" s="2378"/>
      <c r="D520" s="2250"/>
      <c r="E520" s="2250"/>
      <c r="F520" s="2250"/>
      <c r="G520" s="2250"/>
      <c r="K520" s="2245"/>
      <c r="L520" s="2245"/>
      <c r="M520" s="2245"/>
      <c r="N520" s="2245"/>
      <c r="O520" s="2245"/>
    </row>
    <row r="521" spans="1:15" s="2244" customFormat="1" ht="13.8" x14ac:dyDescent="0.25">
      <c r="A521" s="2248"/>
      <c r="B521" s="2248" t="s">
        <v>3413</v>
      </c>
      <c r="C521" s="2378" t="s">
        <v>3447</v>
      </c>
      <c r="D521" s="2250">
        <v>0.4</v>
      </c>
      <c r="E521" s="2250">
        <f>F131</f>
        <v>2285.625</v>
      </c>
      <c r="F521" s="2250">
        <f t="shared" ref="F521:F522" si="58">D521*E521</f>
        <v>914.25</v>
      </c>
      <c r="G521" s="2250"/>
      <c r="K521" s="2245"/>
      <c r="L521" s="2245"/>
      <c r="M521" s="2245"/>
      <c r="N521" s="2245"/>
      <c r="O521" s="2245"/>
    </row>
    <row r="522" spans="1:15" s="2244" customFormat="1" ht="13.8" x14ac:dyDescent="0.25">
      <c r="A522" s="2248"/>
      <c r="B522" s="2248" t="s">
        <v>3392</v>
      </c>
      <c r="C522" s="2378" t="s">
        <v>3448</v>
      </c>
      <c r="D522" s="2250">
        <v>2.5000000000000001E-2</v>
      </c>
      <c r="E522" s="2250">
        <f>Material!E13</f>
        <v>23000</v>
      </c>
      <c r="F522" s="2250">
        <f t="shared" si="58"/>
        <v>575</v>
      </c>
      <c r="G522" s="2250"/>
      <c r="K522" s="2245"/>
      <c r="L522" s="2245"/>
      <c r="M522" s="2245"/>
      <c r="N522" s="2245"/>
      <c r="O522" s="2245"/>
    </row>
    <row r="523" spans="1:15" s="2244" customFormat="1" ht="13.8" x14ac:dyDescent="0.25">
      <c r="A523" s="2248"/>
      <c r="B523" s="2248"/>
      <c r="C523" s="2378"/>
      <c r="D523" s="2250"/>
      <c r="E523" s="2250"/>
      <c r="F523" s="2250"/>
      <c r="G523" s="2250"/>
      <c r="K523" s="2245"/>
      <c r="L523" s="2245"/>
      <c r="M523" s="2245"/>
      <c r="N523" s="2245"/>
      <c r="O523" s="2245"/>
    </row>
    <row r="524" spans="1:15" s="2244" customFormat="1" ht="13.8" x14ac:dyDescent="0.25">
      <c r="A524" s="2248"/>
      <c r="B524" s="2248" t="s">
        <v>3449</v>
      </c>
      <c r="C524" s="2378" t="s">
        <v>3447</v>
      </c>
      <c r="D524" s="2250">
        <v>0.15</v>
      </c>
      <c r="E524" s="2250">
        <v>5000</v>
      </c>
      <c r="F524" s="2250">
        <f>D524*E524</f>
        <v>750</v>
      </c>
      <c r="G524" s="2250"/>
      <c r="K524" s="2245"/>
      <c r="L524" s="2245"/>
      <c r="M524" s="2245"/>
      <c r="N524" s="2245"/>
      <c r="O524" s="2245"/>
    </row>
    <row r="525" spans="1:15" s="2244" customFormat="1" ht="13.8" x14ac:dyDescent="0.25">
      <c r="A525" s="2248"/>
      <c r="B525" s="2248" t="s">
        <v>3450</v>
      </c>
      <c r="C525" s="2378" t="s">
        <v>3447</v>
      </c>
      <c r="D525" s="2250">
        <v>0.2</v>
      </c>
      <c r="E525" s="2250">
        <v>43500</v>
      </c>
      <c r="F525" s="2250">
        <f>D525*E525</f>
        <v>8700</v>
      </c>
      <c r="G525" s="2250"/>
      <c r="K525" s="2245"/>
      <c r="L525" s="2245"/>
      <c r="M525" s="2245"/>
      <c r="N525" s="2245"/>
      <c r="O525" s="2245"/>
    </row>
    <row r="526" spans="1:15" s="2244" customFormat="1" ht="13.8" x14ac:dyDescent="0.25">
      <c r="A526" s="2248"/>
      <c r="B526" s="2248"/>
      <c r="C526" s="2378"/>
      <c r="D526" s="2250"/>
      <c r="E526" s="2250"/>
      <c r="F526" s="2380">
        <f>SUM(F521:F525)</f>
        <v>10939.25</v>
      </c>
      <c r="G526" s="2250"/>
      <c r="K526" s="2245"/>
      <c r="L526" s="2245"/>
      <c r="M526" s="2245"/>
      <c r="N526" s="2245"/>
      <c r="O526" s="2245"/>
    </row>
    <row r="527" spans="1:15" s="2244" customFormat="1" ht="13.8" x14ac:dyDescent="0.25">
      <c r="A527" s="2248"/>
      <c r="B527" s="2249" t="s">
        <v>3451</v>
      </c>
      <c r="C527" s="2378"/>
      <c r="D527" s="2250"/>
      <c r="E527" s="2250"/>
      <c r="F527" s="2250">
        <v>500</v>
      </c>
      <c r="G527" s="2250"/>
      <c r="K527" s="2245"/>
      <c r="L527" s="2245"/>
      <c r="M527" s="2245"/>
      <c r="N527" s="2245"/>
      <c r="O527" s="2245"/>
    </row>
    <row r="528" spans="1:15" s="2244" customFormat="1" ht="13.8" x14ac:dyDescent="0.25">
      <c r="A528" s="2248"/>
      <c r="B528" s="2249"/>
      <c r="C528" s="2378"/>
      <c r="D528" s="2250"/>
      <c r="E528" s="2250"/>
      <c r="F528" s="2250"/>
      <c r="G528" s="2250"/>
      <c r="K528" s="2245"/>
      <c r="L528" s="2245"/>
      <c r="M528" s="2245"/>
      <c r="N528" s="2245"/>
      <c r="O528" s="2245"/>
    </row>
    <row r="529" spans="1:15" s="2244" customFormat="1" ht="13.8" x14ac:dyDescent="0.25">
      <c r="A529" s="2257"/>
      <c r="B529" s="2924" t="s">
        <v>3363</v>
      </c>
      <c r="C529" s="2925"/>
      <c r="D529" s="2925"/>
      <c r="E529" s="2926"/>
      <c r="F529" s="2258"/>
      <c r="G529" s="2259">
        <f>SUM(F526:F529)</f>
        <v>11439.25</v>
      </c>
      <c r="K529" s="2245"/>
      <c r="L529" s="2245"/>
      <c r="M529" s="2245"/>
      <c r="N529" s="2245"/>
      <c r="O529" s="2245"/>
    </row>
    <row r="530" spans="1:15" s="2244" customFormat="1" ht="13.8" x14ac:dyDescent="0.25">
      <c r="A530" s="2248"/>
      <c r="B530" s="2251" t="s">
        <v>3349</v>
      </c>
      <c r="C530" s="2378"/>
      <c r="D530" s="2250"/>
      <c r="E530" s="2250"/>
      <c r="F530" s="2250">
        <f t="shared" ref="F530:F531" si="59">D530*E530</f>
        <v>0</v>
      </c>
      <c r="G530" s="2250"/>
      <c r="K530" s="2245"/>
      <c r="L530" s="2245"/>
      <c r="M530" s="2245"/>
      <c r="N530" s="2245"/>
      <c r="O530" s="2245"/>
    </row>
    <row r="531" spans="1:15" s="2244" customFormat="1" ht="13.8" x14ac:dyDescent="0.25">
      <c r="A531" s="2248"/>
      <c r="B531" s="2256" t="s">
        <v>3452</v>
      </c>
      <c r="C531" s="2378" t="s">
        <v>1846</v>
      </c>
      <c r="D531" s="2250">
        <v>38.75</v>
      </c>
      <c r="E531" s="2250">
        <v>25</v>
      </c>
      <c r="F531" s="2250">
        <f t="shared" si="59"/>
        <v>968.75</v>
      </c>
      <c r="G531" s="2250"/>
      <c r="K531" s="2245"/>
      <c r="L531" s="2245"/>
      <c r="M531" s="2245"/>
      <c r="N531" s="2245"/>
      <c r="O531" s="2245"/>
    </row>
    <row r="532" spans="1:15" s="2244" customFormat="1" ht="13.8" x14ac:dyDescent="0.25">
      <c r="A532" s="2248"/>
      <c r="B532" s="2256" t="s">
        <v>3453</v>
      </c>
      <c r="C532" s="2378" t="s">
        <v>3454</v>
      </c>
      <c r="D532" s="2250">
        <v>22.65</v>
      </c>
      <c r="E532" s="2250">
        <v>30</v>
      </c>
      <c r="F532" s="2250">
        <f>D532*E532</f>
        <v>679.5</v>
      </c>
      <c r="G532" s="2250"/>
      <c r="K532" s="2245"/>
      <c r="L532" s="2245"/>
      <c r="M532" s="2245"/>
      <c r="N532" s="2245"/>
      <c r="O532" s="2245"/>
    </row>
    <row r="533" spans="1:15" s="2244" customFormat="1" ht="13.8" x14ac:dyDescent="0.25">
      <c r="A533" s="2248"/>
      <c r="B533" s="2248"/>
      <c r="C533" s="2378"/>
      <c r="D533" s="2250"/>
      <c r="E533" s="2250"/>
      <c r="F533" s="2250"/>
      <c r="G533" s="2250"/>
      <c r="K533" s="2245"/>
      <c r="L533" s="2245"/>
      <c r="M533" s="2245"/>
      <c r="N533" s="2245"/>
      <c r="O533" s="2245"/>
    </row>
    <row r="534" spans="1:15" s="2244" customFormat="1" ht="13.8" x14ac:dyDescent="0.25">
      <c r="A534" s="2257"/>
      <c r="B534" s="2924" t="s">
        <v>3351</v>
      </c>
      <c r="C534" s="2925"/>
      <c r="D534" s="2925"/>
      <c r="E534" s="2926"/>
      <c r="F534" s="2258">
        <f t="shared" ref="F534" si="60">D534*E534</f>
        <v>0</v>
      </c>
      <c r="G534" s="2259">
        <f>SUM(F531:F534)</f>
        <v>1648.25</v>
      </c>
      <c r="K534" s="2245"/>
      <c r="L534" s="2245"/>
      <c r="M534" s="2245"/>
      <c r="N534" s="2245"/>
      <c r="O534" s="2245"/>
    </row>
    <row r="535" spans="1:15" s="2244" customFormat="1" ht="13.8" x14ac:dyDescent="0.25">
      <c r="A535" s="2248"/>
      <c r="B535" s="2260"/>
      <c r="C535" s="2381"/>
      <c r="D535" s="2260"/>
      <c r="E535" s="2260"/>
      <c r="F535" s="2250"/>
      <c r="G535" s="2260"/>
      <c r="K535" s="2245"/>
      <c r="L535" s="2245"/>
      <c r="M535" s="2245"/>
      <c r="N535" s="2245"/>
      <c r="O535" s="2245"/>
    </row>
    <row r="536" spans="1:15" s="2244" customFormat="1" ht="13.8" x14ac:dyDescent="0.25">
      <c r="A536" s="2248"/>
      <c r="B536" s="2260"/>
      <c r="C536" s="2381"/>
      <c r="D536" s="2260"/>
      <c r="E536" s="2260"/>
      <c r="F536" s="2250"/>
      <c r="G536" s="2260"/>
      <c r="K536" s="2245"/>
      <c r="L536" s="2245"/>
      <c r="M536" s="2245"/>
      <c r="N536" s="2245"/>
      <c r="O536" s="2245"/>
    </row>
    <row r="537" spans="1:15" s="2244" customFormat="1" ht="13.8" x14ac:dyDescent="0.25">
      <c r="A537" s="2906" t="s">
        <v>3455</v>
      </c>
      <c r="B537" s="2907"/>
      <c r="C537" s="2907"/>
      <c r="D537" s="2907"/>
      <c r="E537" s="2907"/>
      <c r="F537" s="2908"/>
      <c r="G537" s="2261">
        <f>G529+G534</f>
        <v>13087.5</v>
      </c>
      <c r="K537" s="2245"/>
      <c r="L537" s="2245"/>
      <c r="M537" s="2245"/>
      <c r="N537" s="2245"/>
      <c r="O537" s="2245"/>
    </row>
    <row r="538" spans="1:15" s="2244" customFormat="1" ht="13.8" x14ac:dyDescent="0.25">
      <c r="A538" s="2906" t="s">
        <v>3381</v>
      </c>
      <c r="B538" s="2907"/>
      <c r="C538" s="2907"/>
      <c r="D538" s="2907"/>
      <c r="E538" s="2907"/>
      <c r="F538" s="2908"/>
      <c r="G538" s="2261">
        <f>G537/38.75</f>
        <v>337.74193548387098</v>
      </c>
      <c r="K538" s="2245"/>
      <c r="L538" s="2245"/>
      <c r="M538" s="2245"/>
      <c r="N538" s="2245"/>
      <c r="O538" s="2245"/>
    </row>
    <row r="539" spans="1:15" s="2244" customFormat="1" ht="13.8" x14ac:dyDescent="0.25">
      <c r="A539" s="2906" t="s">
        <v>3380</v>
      </c>
      <c r="B539" s="2907"/>
      <c r="C539" s="2907"/>
      <c r="D539" s="2907"/>
      <c r="E539" s="2907"/>
      <c r="F539" s="2908"/>
      <c r="G539" s="2261">
        <f>G538*10.76</f>
        <v>3634.1032258064515</v>
      </c>
      <c r="K539" s="2245"/>
      <c r="L539" s="2245"/>
      <c r="M539" s="2245"/>
      <c r="N539" s="2245"/>
      <c r="O539" s="2245"/>
    </row>
    <row r="540" spans="1:15" s="2244" customFormat="1" x14ac:dyDescent="0.25">
      <c r="K540" s="2245"/>
      <c r="L540" s="2245"/>
      <c r="M540" s="2245"/>
      <c r="N540" s="2245"/>
      <c r="O540" s="2245"/>
    </row>
    <row r="541" spans="1:15" s="2244" customFormat="1" x14ac:dyDescent="0.25">
      <c r="K541" s="2245"/>
      <c r="L541" s="2245"/>
      <c r="M541" s="2245"/>
      <c r="N541" s="2245"/>
      <c r="O541" s="2245"/>
    </row>
    <row r="542" spans="1:15" s="2385" customFormat="1" x14ac:dyDescent="0.25">
      <c r="K542" s="2386"/>
      <c r="L542" s="2386"/>
      <c r="M542" s="2386"/>
      <c r="N542" s="2386"/>
      <c r="O542" s="2386"/>
    </row>
    <row r="543" spans="1:15" s="2385" customFormat="1" x14ac:dyDescent="0.25">
      <c r="A543" s="2909" t="s">
        <v>3456</v>
      </c>
      <c r="B543" s="2909"/>
      <c r="C543" s="2909"/>
      <c r="D543" s="2909"/>
      <c r="E543" s="2909"/>
      <c r="F543" s="2909"/>
      <c r="G543" s="2909"/>
      <c r="K543" s="2386"/>
      <c r="L543" s="2386"/>
      <c r="M543" s="2386"/>
      <c r="N543" s="2386"/>
      <c r="O543" s="2386"/>
    </row>
    <row r="544" spans="1:15" s="2385" customFormat="1" x14ac:dyDescent="0.25">
      <c r="K544" s="2386"/>
      <c r="L544" s="2386"/>
      <c r="M544" s="2386"/>
      <c r="N544" s="2386"/>
      <c r="O544" s="2386"/>
    </row>
    <row r="545" spans="1:15" s="2385" customFormat="1" x14ac:dyDescent="0.25">
      <c r="K545" s="2386"/>
      <c r="L545" s="2386"/>
      <c r="M545" s="2386"/>
      <c r="N545" s="2386"/>
      <c r="O545" s="2386"/>
    </row>
    <row r="546" spans="1:15" s="2385" customFormat="1" ht="13.8" thickBot="1" x14ac:dyDescent="0.3">
      <c r="K546" s="2386"/>
      <c r="L546" s="2386"/>
      <c r="M546" s="2386"/>
      <c r="N546" s="2386"/>
      <c r="O546" s="2386"/>
    </row>
    <row r="547" spans="1:15" s="2385" customFormat="1" ht="13.8" x14ac:dyDescent="0.25">
      <c r="A547" s="2910" t="s">
        <v>3457</v>
      </c>
      <c r="B547" s="2911"/>
      <c r="C547" s="2911"/>
      <c r="D547" s="2911"/>
      <c r="E547" s="2911"/>
      <c r="F547" s="2911"/>
      <c r="G547" s="2912"/>
      <c r="K547" s="2386"/>
      <c r="L547" s="2386"/>
      <c r="M547" s="2386"/>
      <c r="N547" s="2386"/>
      <c r="O547" s="2386"/>
    </row>
    <row r="548" spans="1:15" s="2385" customFormat="1" ht="14.4" thickBot="1" x14ac:dyDescent="0.3">
      <c r="A548" s="2913" t="s">
        <v>3356</v>
      </c>
      <c r="B548" s="2914"/>
      <c r="C548" s="2914"/>
      <c r="D548" s="2914"/>
      <c r="E548" s="2914"/>
      <c r="F548" s="2914"/>
      <c r="G548" s="2915"/>
      <c r="K548" s="2386"/>
      <c r="L548" s="2386"/>
      <c r="M548" s="2386"/>
      <c r="N548" s="2386"/>
      <c r="O548" s="2386"/>
    </row>
    <row r="549" spans="1:15" s="2385" customFormat="1" ht="14.4" thickBot="1" x14ac:dyDescent="0.3">
      <c r="A549" s="2387"/>
      <c r="B549" s="2388" t="s">
        <v>3345</v>
      </c>
      <c r="C549" s="2388" t="s">
        <v>3346</v>
      </c>
      <c r="D549" s="2388" t="s">
        <v>2</v>
      </c>
      <c r="E549" s="2388" t="s">
        <v>3347</v>
      </c>
      <c r="F549" s="2388" t="s">
        <v>5</v>
      </c>
      <c r="G549" s="2388" t="s">
        <v>3348</v>
      </c>
      <c r="K549" s="2386"/>
      <c r="L549" s="2386"/>
      <c r="M549" s="2386"/>
      <c r="N549" s="2386"/>
      <c r="O549" s="2386"/>
    </row>
    <row r="550" spans="1:15" s="2385" customFormat="1" ht="13.8" x14ac:dyDescent="0.25">
      <c r="A550" s="2389"/>
      <c r="B550" s="2389"/>
      <c r="C550" s="2392"/>
      <c r="D550" s="2391"/>
      <c r="E550" s="2391"/>
      <c r="F550" s="2391"/>
      <c r="G550" s="2391"/>
      <c r="K550" s="2386"/>
      <c r="L550" s="2386"/>
      <c r="M550" s="2386"/>
      <c r="N550" s="2386"/>
      <c r="O550" s="2386"/>
    </row>
    <row r="551" spans="1:15" s="2385" customFormat="1" ht="13.8" x14ac:dyDescent="0.25">
      <c r="A551" s="2399"/>
      <c r="B551" s="2400"/>
      <c r="C551" s="2400"/>
      <c r="D551" s="2401"/>
      <c r="E551" s="2401"/>
      <c r="F551" s="2401"/>
      <c r="G551" s="2401"/>
      <c r="K551" s="2386"/>
      <c r="L551" s="2386"/>
      <c r="M551" s="2386"/>
      <c r="N551" s="2386"/>
      <c r="O551" s="2386"/>
    </row>
    <row r="552" spans="1:15" s="2385" customFormat="1" ht="13.8" x14ac:dyDescent="0.25">
      <c r="A552" s="2399"/>
      <c r="B552" s="2400" t="s">
        <v>3458</v>
      </c>
      <c r="C552" s="2401" t="s">
        <v>131</v>
      </c>
      <c r="D552" s="2401">
        <v>1.4</v>
      </c>
      <c r="E552" s="2401">
        <f>Material!E20</f>
        <v>14500</v>
      </c>
      <c r="F552" s="2401">
        <f>D552*E552</f>
        <v>20300</v>
      </c>
      <c r="G552" s="2401"/>
      <c r="K552" s="2386"/>
      <c r="L552" s="2386"/>
      <c r="M552" s="2386"/>
      <c r="N552" s="2386"/>
      <c r="O552" s="2386"/>
    </row>
    <row r="553" spans="1:15" s="2385" customFormat="1" ht="13.8" x14ac:dyDescent="0.25">
      <c r="A553" s="2399"/>
      <c r="B553" s="2399" t="s">
        <v>3413</v>
      </c>
      <c r="C553" s="2401" t="s">
        <v>3414</v>
      </c>
      <c r="D553" s="2401">
        <v>5</v>
      </c>
      <c r="E553" s="2401">
        <f>F131</f>
        <v>2285.625</v>
      </c>
      <c r="F553" s="2401">
        <f t="shared" ref="F553:F554" si="61">D553*E553</f>
        <v>11428.125</v>
      </c>
      <c r="G553" s="2401"/>
      <c r="K553" s="2386"/>
      <c r="L553" s="2386"/>
      <c r="M553" s="2386"/>
      <c r="N553" s="2386"/>
      <c r="O553" s="2386"/>
    </row>
    <row r="554" spans="1:15" s="2385" customFormat="1" ht="13.8" x14ac:dyDescent="0.25">
      <c r="A554" s="2399"/>
      <c r="B554" s="2399" t="s">
        <v>3392</v>
      </c>
      <c r="C554" s="2401" t="s">
        <v>131</v>
      </c>
      <c r="D554" s="2401">
        <v>0.3</v>
      </c>
      <c r="E554" s="2401">
        <f>Material!E13</f>
        <v>23000</v>
      </c>
      <c r="F554" s="2401">
        <f t="shared" si="61"/>
        <v>6900</v>
      </c>
      <c r="G554" s="2401"/>
      <c r="K554" s="2386"/>
      <c r="L554" s="2386"/>
      <c r="M554" s="2386"/>
      <c r="N554" s="2386"/>
      <c r="O554" s="2386"/>
    </row>
    <row r="555" spans="1:15" s="2385" customFormat="1" ht="13.8" x14ac:dyDescent="0.25">
      <c r="A555" s="2389"/>
      <c r="B555" s="2396"/>
      <c r="C555" s="2391"/>
      <c r="D555" s="2391"/>
      <c r="E555" s="2391">
        <f>[22]Material!D555</f>
        <v>0</v>
      </c>
      <c r="F555" s="2391"/>
      <c r="G555" s="2391"/>
      <c r="K555" s="2386"/>
      <c r="L555" s="2386"/>
      <c r="M555" s="2386"/>
      <c r="N555" s="2386"/>
      <c r="O555" s="2386"/>
    </row>
    <row r="556" spans="1:15" s="2385" customFormat="1" ht="13.8" x14ac:dyDescent="0.25">
      <c r="A556" s="2389"/>
      <c r="B556" s="2389"/>
      <c r="C556" s="2392"/>
      <c r="D556" s="2391"/>
      <c r="E556" s="2391"/>
      <c r="F556" s="2391">
        <f t="shared" ref="F556:F559" si="62">D556*E556</f>
        <v>0</v>
      </c>
      <c r="G556" s="2391"/>
      <c r="K556" s="2386"/>
      <c r="L556" s="2386"/>
      <c r="M556" s="2386"/>
      <c r="N556" s="2386"/>
      <c r="O556" s="2386"/>
    </row>
    <row r="557" spans="1:15" s="2385" customFormat="1" ht="13.8" x14ac:dyDescent="0.25">
      <c r="A557" s="2393"/>
      <c r="B557" s="2916" t="s">
        <v>3363</v>
      </c>
      <c r="C557" s="2916"/>
      <c r="D557" s="2916"/>
      <c r="E557" s="2916"/>
      <c r="F557" s="2394"/>
      <c r="G557" s="2395">
        <f>SUM(F551:F557)</f>
        <v>38628.125</v>
      </c>
      <c r="K557" s="2386"/>
      <c r="L557" s="2386"/>
      <c r="M557" s="2386"/>
      <c r="N557" s="2386"/>
      <c r="O557" s="2386"/>
    </row>
    <row r="558" spans="1:15" s="2385" customFormat="1" ht="13.8" x14ac:dyDescent="0.25">
      <c r="A558" s="2389"/>
      <c r="B558" s="2390" t="s">
        <v>3349</v>
      </c>
      <c r="C558" s="2392"/>
      <c r="D558" s="2391"/>
      <c r="E558" s="2391"/>
      <c r="F558" s="2391">
        <f t="shared" si="62"/>
        <v>0</v>
      </c>
      <c r="G558" s="2391"/>
      <c r="K558" s="2386"/>
      <c r="L558" s="2386"/>
      <c r="M558" s="2386"/>
      <c r="N558" s="2386"/>
      <c r="O558" s="2386"/>
    </row>
    <row r="559" spans="1:15" s="2385" customFormat="1" ht="13.8" x14ac:dyDescent="0.25">
      <c r="A559" s="2399"/>
      <c r="B559" s="2399" t="s">
        <v>3357</v>
      </c>
      <c r="C559" s="2401" t="s">
        <v>3459</v>
      </c>
      <c r="D559" s="2401">
        <v>100</v>
      </c>
      <c r="E559" s="2401">
        <v>100</v>
      </c>
      <c r="F559" s="2401">
        <f t="shared" si="62"/>
        <v>10000</v>
      </c>
      <c r="G559" s="2401"/>
      <c r="K559" s="2386"/>
      <c r="L559" s="2386"/>
      <c r="M559" s="2386"/>
      <c r="N559" s="2386"/>
      <c r="O559" s="2386"/>
    </row>
    <row r="560" spans="1:15" s="2385" customFormat="1" ht="13.8" x14ac:dyDescent="0.25">
      <c r="A560" s="2389"/>
      <c r="B560" s="2389"/>
      <c r="C560" s="2391"/>
      <c r="D560" s="2391"/>
      <c r="E560" s="2391"/>
      <c r="F560" s="2391"/>
      <c r="G560" s="2391"/>
      <c r="K560" s="2386"/>
      <c r="L560" s="2386"/>
      <c r="M560" s="2386"/>
      <c r="N560" s="2386"/>
      <c r="O560" s="2386"/>
    </row>
    <row r="561" spans="1:15" s="2385" customFormat="1" ht="13.8" x14ac:dyDescent="0.25">
      <c r="A561" s="2389"/>
      <c r="B561" s="2389"/>
      <c r="C561" s="2392"/>
      <c r="D561" s="2391"/>
      <c r="E561" s="2391"/>
      <c r="F561" s="2391"/>
      <c r="G561" s="2391"/>
      <c r="K561" s="2386"/>
      <c r="L561" s="2386"/>
      <c r="M561" s="2386"/>
      <c r="N561" s="2386"/>
      <c r="O561" s="2386"/>
    </row>
    <row r="562" spans="1:15" s="2385" customFormat="1" ht="13.8" x14ac:dyDescent="0.25">
      <c r="A562" s="2393"/>
      <c r="B562" s="2916" t="s">
        <v>3351</v>
      </c>
      <c r="C562" s="2916"/>
      <c r="D562" s="2916"/>
      <c r="E562" s="2916"/>
      <c r="F562" s="2394">
        <f t="shared" ref="F562" si="63">D562*E562</f>
        <v>0</v>
      </c>
      <c r="G562" s="2395">
        <f>SUM(F559:F562)</f>
        <v>10000</v>
      </c>
      <c r="K562" s="2386"/>
      <c r="L562" s="2386"/>
      <c r="M562" s="2386"/>
      <c r="N562" s="2386"/>
      <c r="O562" s="2386"/>
    </row>
    <row r="563" spans="1:15" s="2385" customFormat="1" ht="13.8" x14ac:dyDescent="0.25">
      <c r="A563" s="2389"/>
      <c r="B563" s="2397"/>
      <c r="C563" s="2397"/>
      <c r="D563" s="2397"/>
      <c r="E563" s="2397"/>
      <c r="F563" s="2391"/>
      <c r="G563" s="2397"/>
      <c r="K563" s="2386"/>
      <c r="L563" s="2386"/>
      <c r="M563" s="2386"/>
      <c r="N563" s="2386"/>
      <c r="O563" s="2386"/>
    </row>
    <row r="564" spans="1:15" s="2385" customFormat="1" ht="13.8" x14ac:dyDescent="0.25">
      <c r="A564" s="2389"/>
      <c r="B564" s="2397"/>
      <c r="C564" s="2397"/>
      <c r="D564" s="2397"/>
      <c r="E564" s="2397"/>
      <c r="F564" s="2391"/>
      <c r="G564" s="2397"/>
      <c r="K564" s="2386"/>
      <c r="L564" s="2386"/>
      <c r="M564" s="2386"/>
      <c r="N564" s="2386"/>
      <c r="O564" s="2386"/>
    </row>
    <row r="565" spans="1:15" s="2385" customFormat="1" ht="13.8" x14ac:dyDescent="0.25">
      <c r="A565" s="2929" t="s">
        <v>3358</v>
      </c>
      <c r="B565" s="2929"/>
      <c r="C565" s="2929"/>
      <c r="D565" s="2929"/>
      <c r="E565" s="2929"/>
      <c r="F565" s="2929"/>
      <c r="G565" s="2398">
        <f>G557+G562</f>
        <v>48628.125</v>
      </c>
      <c r="K565" s="2386"/>
      <c r="L565" s="2386"/>
      <c r="M565" s="2386"/>
      <c r="N565" s="2386"/>
      <c r="O565" s="2386"/>
    </row>
    <row r="566" spans="1:15" s="2385" customFormat="1" ht="13.8" x14ac:dyDescent="0.25">
      <c r="A566" s="2929" t="s">
        <v>3460</v>
      </c>
      <c r="B566" s="2929"/>
      <c r="C566" s="2929"/>
      <c r="D566" s="2929"/>
      <c r="E566" s="2929"/>
      <c r="F566" s="2929"/>
      <c r="G566" s="2398">
        <f>G565/2.83</f>
        <v>17183.083038869259</v>
      </c>
      <c r="K566" s="2386"/>
      <c r="L566" s="2386"/>
      <c r="M566" s="2386"/>
      <c r="N566" s="2386"/>
      <c r="O566" s="2386"/>
    </row>
    <row r="567" spans="1:15" s="2385" customFormat="1" x14ac:dyDescent="0.25">
      <c r="K567" s="2386"/>
      <c r="L567" s="2386"/>
      <c r="M567" s="2386"/>
      <c r="N567" s="2386"/>
      <c r="O567" s="2386"/>
    </row>
    <row r="568" spans="1:15" s="2385" customFormat="1" x14ac:dyDescent="0.25">
      <c r="K568" s="2386"/>
      <c r="L568" s="2386"/>
      <c r="M568" s="2386"/>
      <c r="N568" s="2386"/>
      <c r="O568" s="2386"/>
    </row>
    <row r="569" spans="1:15" s="2244" customFormat="1" ht="13.8" thickBot="1" x14ac:dyDescent="0.3">
      <c r="K569" s="2245"/>
      <c r="L569" s="2245"/>
      <c r="M569" s="2245"/>
      <c r="N569" s="2245"/>
      <c r="O569" s="2245"/>
    </row>
    <row r="570" spans="1:15" s="2244" customFormat="1" ht="13.8" x14ac:dyDescent="0.25">
      <c r="A570" s="2918" t="s">
        <v>3461</v>
      </c>
      <c r="B570" s="2919"/>
      <c r="C570" s="2919"/>
      <c r="D570" s="2919"/>
      <c r="E570" s="2919"/>
      <c r="F570" s="2919"/>
      <c r="G570" s="2920"/>
      <c r="K570" s="2245"/>
      <c r="L570" s="2245"/>
      <c r="M570" s="2245"/>
      <c r="N570" s="2245"/>
      <c r="O570" s="2245"/>
    </row>
    <row r="571" spans="1:15" s="2244" customFormat="1" ht="14.4" thickBot="1" x14ac:dyDescent="0.3">
      <c r="A571" s="2921" t="s">
        <v>3344</v>
      </c>
      <c r="B571" s="2922"/>
      <c r="C571" s="2922"/>
      <c r="D571" s="2922"/>
      <c r="E571" s="2922"/>
      <c r="F571" s="2922"/>
      <c r="G571" s="2923"/>
      <c r="K571" s="2245"/>
      <c r="L571" s="2245"/>
      <c r="M571" s="2245"/>
      <c r="N571" s="2245"/>
      <c r="O571" s="2245"/>
    </row>
    <row r="572" spans="1:15" s="2244" customFormat="1" ht="14.4" thickBot="1" x14ac:dyDescent="0.3">
      <c r="A572" s="2246"/>
      <c r="B572" s="2247" t="s">
        <v>3345</v>
      </c>
      <c r="C572" s="2247" t="s">
        <v>3346</v>
      </c>
      <c r="D572" s="2247" t="s">
        <v>2</v>
      </c>
      <c r="E572" s="2247" t="s">
        <v>3347</v>
      </c>
      <c r="F572" s="2247" t="s">
        <v>5</v>
      </c>
      <c r="G572" s="2247" t="s">
        <v>3348</v>
      </c>
      <c r="K572" s="2245"/>
      <c r="L572" s="2245"/>
      <c r="M572" s="2245"/>
      <c r="N572" s="2245"/>
      <c r="O572" s="2245"/>
    </row>
    <row r="573" spans="1:15" s="2244" customFormat="1" ht="13.8" x14ac:dyDescent="0.25">
      <c r="A573" s="2248"/>
      <c r="B573" s="2248"/>
      <c r="C573" s="2249"/>
      <c r="D573" s="2250"/>
      <c r="E573" s="2250"/>
      <c r="F573" s="2250"/>
      <c r="G573" s="2250"/>
      <c r="K573" s="2245"/>
      <c r="L573" s="2245"/>
      <c r="M573" s="2245"/>
      <c r="N573" s="2245"/>
      <c r="O573" s="2245"/>
    </row>
    <row r="574" spans="1:15" s="2244" customFormat="1" ht="13.8" x14ac:dyDescent="0.25">
      <c r="A574" s="2248"/>
      <c r="B574" s="2251" t="s">
        <v>3362</v>
      </c>
      <c r="C574" s="2249"/>
      <c r="D574" s="2250"/>
      <c r="E574" s="2250"/>
      <c r="F574" s="2250"/>
      <c r="G574" s="2250"/>
      <c r="K574" s="2245"/>
      <c r="L574" s="2245"/>
      <c r="M574" s="2245"/>
      <c r="N574" s="2245"/>
      <c r="O574" s="2245"/>
    </row>
    <row r="575" spans="1:15" s="2244" customFormat="1" ht="13.8" x14ac:dyDescent="0.25">
      <c r="A575" s="2252"/>
      <c r="B575" s="2252" t="s">
        <v>3462</v>
      </c>
      <c r="C575" s="2253" t="s">
        <v>0</v>
      </c>
      <c r="D575" s="2253">
        <v>1325</v>
      </c>
      <c r="E575" s="2253">
        <f>Material!E107</f>
        <v>18</v>
      </c>
      <c r="F575" s="2253">
        <f>D575*E575</f>
        <v>23850</v>
      </c>
      <c r="G575" s="2253"/>
      <c r="K575" s="2245"/>
      <c r="L575" s="2245"/>
      <c r="M575" s="2245"/>
      <c r="N575" s="2245"/>
      <c r="O575" s="2245"/>
    </row>
    <row r="576" spans="1:15" s="2244" customFormat="1" ht="13.8" x14ac:dyDescent="0.25">
      <c r="A576" s="2252"/>
      <c r="B576" s="2254" t="s">
        <v>3404</v>
      </c>
      <c r="C576" s="2255"/>
      <c r="D576" s="2253"/>
      <c r="E576" s="2253"/>
      <c r="F576" s="2253">
        <f>F575*5%</f>
        <v>1192.5</v>
      </c>
      <c r="G576" s="2253"/>
      <c r="K576" s="2245"/>
      <c r="L576" s="2245"/>
      <c r="M576" s="2245"/>
      <c r="N576" s="2245"/>
      <c r="O576" s="2245"/>
    </row>
    <row r="577" spans="1:15" s="2244" customFormat="1" ht="13.8" x14ac:dyDescent="0.25">
      <c r="A577" s="2252"/>
      <c r="B577" s="2252" t="s">
        <v>3413</v>
      </c>
      <c r="C577" s="2253" t="s">
        <v>3414</v>
      </c>
      <c r="D577" s="2253">
        <v>4.4000000000000004</v>
      </c>
      <c r="E577" s="2253">
        <f>F131</f>
        <v>2285.625</v>
      </c>
      <c r="F577" s="2253">
        <f>D577*E577</f>
        <v>10056.75</v>
      </c>
      <c r="G577" s="2253"/>
      <c r="K577" s="2245"/>
      <c r="L577" s="2245"/>
      <c r="M577" s="2245"/>
      <c r="N577" s="2245"/>
      <c r="O577" s="2245"/>
    </row>
    <row r="578" spans="1:15" s="2244" customFormat="1" ht="13.8" x14ac:dyDescent="0.25">
      <c r="A578" s="2252"/>
      <c r="B578" s="2252" t="s">
        <v>3392</v>
      </c>
      <c r="C578" s="2253" t="s">
        <v>131</v>
      </c>
      <c r="D578" s="2253">
        <v>0.27</v>
      </c>
      <c r="E578" s="2253">
        <f>Material!E13</f>
        <v>23000</v>
      </c>
      <c r="F578" s="2253">
        <f>D578*E578</f>
        <v>6210</v>
      </c>
      <c r="G578" s="2253"/>
      <c r="K578" s="2245"/>
      <c r="L578" s="2245"/>
      <c r="M578" s="2245"/>
      <c r="N578" s="2245"/>
      <c r="O578" s="2245"/>
    </row>
    <row r="579" spans="1:15" s="2244" customFormat="1" ht="13.8" x14ac:dyDescent="0.25">
      <c r="A579" s="2248"/>
      <c r="B579" s="2256"/>
      <c r="C579" s="2250"/>
      <c r="D579" s="2250"/>
      <c r="E579" s="2250"/>
      <c r="F579" s="2250"/>
      <c r="G579" s="2250"/>
      <c r="K579" s="2245"/>
      <c r="L579" s="2245"/>
      <c r="M579" s="2245"/>
      <c r="N579" s="2245"/>
      <c r="O579" s="2245"/>
    </row>
    <row r="580" spans="1:15" s="2244" customFormat="1" ht="13.8" x14ac:dyDescent="0.25">
      <c r="A580" s="2248"/>
      <c r="B580" s="2249"/>
      <c r="C580" s="2250"/>
      <c r="D580" s="2250"/>
      <c r="E580" s="2250">
        <f>[22]Material!D575</f>
        <v>0</v>
      </c>
      <c r="F580" s="2250">
        <f t="shared" ref="F580:F581" si="64">D580*E580</f>
        <v>0</v>
      </c>
      <c r="G580" s="2250"/>
      <c r="K580" s="2245"/>
      <c r="L580" s="2245"/>
      <c r="M580" s="2245"/>
      <c r="N580" s="2245"/>
      <c r="O580" s="2245"/>
    </row>
    <row r="581" spans="1:15" s="2244" customFormat="1" ht="13.8" x14ac:dyDescent="0.25">
      <c r="A581" s="2248"/>
      <c r="B581" s="2248"/>
      <c r="C581" s="2249"/>
      <c r="D581" s="2250"/>
      <c r="E581" s="2250"/>
      <c r="F581" s="2250">
        <f t="shared" si="64"/>
        <v>0</v>
      </c>
      <c r="G581" s="2250"/>
      <c r="K581" s="2245"/>
      <c r="L581" s="2245"/>
      <c r="M581" s="2245"/>
      <c r="N581" s="2245"/>
      <c r="O581" s="2245"/>
    </row>
    <row r="582" spans="1:15" s="2244" customFormat="1" ht="13.8" x14ac:dyDescent="0.25">
      <c r="A582" s="2257"/>
      <c r="B582" s="2927" t="s">
        <v>3363</v>
      </c>
      <c r="C582" s="2927"/>
      <c r="D582" s="2927"/>
      <c r="E582" s="2927"/>
      <c r="F582" s="2258"/>
      <c r="G582" s="2259">
        <f>SUM(F575:F582)</f>
        <v>41309.25</v>
      </c>
      <c r="K582" s="2245"/>
      <c r="L582" s="2245"/>
      <c r="M582" s="2245"/>
      <c r="N582" s="2245"/>
      <c r="O582" s="2245"/>
    </row>
    <row r="583" spans="1:15" s="2244" customFormat="1" ht="13.8" x14ac:dyDescent="0.25">
      <c r="A583" s="2248"/>
      <c r="B583" s="2251" t="s">
        <v>3349</v>
      </c>
      <c r="C583" s="2249"/>
      <c r="D583" s="2250"/>
      <c r="E583" s="2250"/>
      <c r="F583" s="2250">
        <f t="shared" ref="F583:F584" si="65">D583*E583</f>
        <v>0</v>
      </c>
      <c r="G583" s="2250"/>
      <c r="K583" s="2245"/>
      <c r="L583" s="2245"/>
      <c r="M583" s="2245"/>
      <c r="N583" s="2245"/>
      <c r="O583" s="2245"/>
    </row>
    <row r="584" spans="1:15" s="2244" customFormat="1" ht="13.8" x14ac:dyDescent="0.25">
      <c r="A584" s="2252"/>
      <c r="B584" s="2252" t="s">
        <v>3357</v>
      </c>
      <c r="C584" s="2253" t="s">
        <v>1846</v>
      </c>
      <c r="D584" s="2253">
        <v>100</v>
      </c>
      <c r="E584" s="2253">
        <v>120</v>
      </c>
      <c r="F584" s="2253">
        <f t="shared" si="65"/>
        <v>12000</v>
      </c>
      <c r="G584" s="2253"/>
      <c r="K584" s="2245"/>
      <c r="L584" s="2245"/>
      <c r="M584" s="2245"/>
      <c r="N584" s="2245"/>
      <c r="O584" s="2245"/>
    </row>
    <row r="585" spans="1:15" s="2244" customFormat="1" ht="13.8" x14ac:dyDescent="0.25">
      <c r="A585" s="2252"/>
      <c r="B585" s="2252"/>
      <c r="C585" s="2253"/>
      <c r="D585" s="2253"/>
      <c r="E585" s="2253"/>
      <c r="F585" s="2253"/>
      <c r="G585" s="2253"/>
      <c r="K585" s="2245"/>
      <c r="L585" s="2245"/>
      <c r="M585" s="2245"/>
      <c r="N585" s="2245"/>
      <c r="O585" s="2245"/>
    </row>
    <row r="586" spans="1:15" s="2244" customFormat="1" ht="13.8" x14ac:dyDescent="0.25">
      <c r="A586" s="2248"/>
      <c r="B586" s="2248" t="s">
        <v>3463</v>
      </c>
      <c r="C586" s="2250"/>
      <c r="D586" s="2250"/>
      <c r="E586" s="2250"/>
      <c r="F586" s="2250">
        <f>F584*5%</f>
        <v>600</v>
      </c>
      <c r="G586" s="2250"/>
      <c r="K586" s="2245"/>
      <c r="L586" s="2245"/>
      <c r="M586" s="2245"/>
      <c r="N586" s="2245"/>
      <c r="O586" s="2245"/>
    </row>
    <row r="587" spans="1:15" s="2244" customFormat="1" ht="13.8" x14ac:dyDescent="0.25">
      <c r="A587" s="2248"/>
      <c r="B587" s="2248"/>
      <c r="C587" s="2249"/>
      <c r="D587" s="2250"/>
      <c r="E587" s="2250"/>
      <c r="F587" s="2250"/>
      <c r="G587" s="2250"/>
      <c r="K587" s="2245"/>
      <c r="L587" s="2245"/>
      <c r="M587" s="2245"/>
      <c r="N587" s="2245"/>
      <c r="O587" s="2245"/>
    </row>
    <row r="588" spans="1:15" s="2244" customFormat="1" ht="13.8" x14ac:dyDescent="0.25">
      <c r="A588" s="2257"/>
      <c r="B588" s="2927" t="s">
        <v>3351</v>
      </c>
      <c r="C588" s="2927"/>
      <c r="D588" s="2927"/>
      <c r="E588" s="2927"/>
      <c r="F588" s="2258">
        <f t="shared" ref="F588" si="66">D588*E588</f>
        <v>0</v>
      </c>
      <c r="G588" s="2259">
        <f>SUM(F584:F588)</f>
        <v>12600</v>
      </c>
      <c r="K588" s="2245"/>
      <c r="L588" s="2245"/>
      <c r="M588" s="2245"/>
      <c r="N588" s="2245"/>
      <c r="O588" s="2245"/>
    </row>
    <row r="589" spans="1:15" s="2244" customFormat="1" ht="13.8" x14ac:dyDescent="0.25">
      <c r="A589" s="2248"/>
      <c r="B589" s="2260"/>
      <c r="C589" s="2260"/>
      <c r="D589" s="2260"/>
      <c r="E589" s="2260"/>
      <c r="F589" s="2250"/>
      <c r="G589" s="2260"/>
      <c r="K589" s="2245"/>
      <c r="L589" s="2245"/>
      <c r="M589" s="2245"/>
      <c r="N589" s="2245"/>
      <c r="O589" s="2245"/>
    </row>
    <row r="590" spans="1:15" s="2244" customFormat="1" ht="13.8" x14ac:dyDescent="0.25">
      <c r="A590" s="2248"/>
      <c r="B590" s="2260"/>
      <c r="C590" s="2260"/>
      <c r="D590" s="2260"/>
      <c r="E590" s="2260"/>
      <c r="F590" s="2250"/>
      <c r="G590" s="2260"/>
      <c r="K590" s="2245"/>
      <c r="L590" s="2245"/>
      <c r="M590" s="2245"/>
      <c r="N590" s="2245"/>
      <c r="O590" s="2245"/>
    </row>
    <row r="591" spans="1:15" s="2244" customFormat="1" ht="13.8" x14ac:dyDescent="0.25">
      <c r="A591" s="2928" t="s">
        <v>3379</v>
      </c>
      <c r="B591" s="2928"/>
      <c r="C591" s="2928"/>
      <c r="D591" s="2928"/>
      <c r="E591" s="2928"/>
      <c r="F591" s="2928"/>
      <c r="G591" s="2261">
        <f>G582+G588</f>
        <v>53909.25</v>
      </c>
      <c r="K591" s="2245"/>
      <c r="L591" s="2245"/>
      <c r="M591" s="2245"/>
      <c r="N591" s="2245"/>
      <c r="O591" s="2245"/>
    </row>
    <row r="592" spans="1:15" s="2244" customFormat="1" ht="13.8" x14ac:dyDescent="0.25">
      <c r="A592" s="2928" t="s">
        <v>3380</v>
      </c>
      <c r="B592" s="2928"/>
      <c r="C592" s="2928"/>
      <c r="D592" s="2928"/>
      <c r="E592" s="2928"/>
      <c r="F592" s="2928"/>
      <c r="G592" s="2261">
        <f>G591/9.29</f>
        <v>5802.933261571583</v>
      </c>
      <c r="K592" s="2245"/>
      <c r="L592" s="2245"/>
      <c r="M592" s="2245"/>
      <c r="N592" s="2245"/>
      <c r="O592" s="2245"/>
    </row>
    <row r="593" spans="1:15" s="2244" customFormat="1" ht="13.8" x14ac:dyDescent="0.25">
      <c r="A593" s="2928" t="s">
        <v>3381</v>
      </c>
      <c r="B593" s="2928"/>
      <c r="C593" s="2928"/>
      <c r="D593" s="2928"/>
      <c r="E593" s="2928"/>
      <c r="F593" s="2928"/>
      <c r="G593" s="2262">
        <f>G592/10.76</f>
        <v>539.30606520182005</v>
      </c>
      <c r="K593" s="2245"/>
      <c r="L593" s="2245"/>
      <c r="M593" s="2245"/>
      <c r="N593" s="2245"/>
      <c r="O593" s="2245"/>
    </row>
    <row r="594" spans="1:15" s="2244" customFormat="1" x14ac:dyDescent="0.25">
      <c r="K594" s="2245"/>
      <c r="L594" s="2245"/>
      <c r="M594" s="2245"/>
      <c r="N594" s="2245"/>
      <c r="O594" s="2245"/>
    </row>
    <row r="595" spans="1:15" s="2244" customFormat="1" x14ac:dyDescent="0.25">
      <c r="K595" s="2245"/>
      <c r="L595" s="2245"/>
      <c r="M595" s="2245"/>
      <c r="N595" s="2245"/>
      <c r="O595" s="2245"/>
    </row>
    <row r="596" spans="1:15" s="2244" customFormat="1" ht="13.8" thickBot="1" x14ac:dyDescent="0.3">
      <c r="K596" s="2245"/>
      <c r="L596" s="2245"/>
      <c r="M596" s="2245"/>
      <c r="N596" s="2245"/>
      <c r="O596" s="2245"/>
    </row>
    <row r="597" spans="1:15" s="2244" customFormat="1" ht="13.8" x14ac:dyDescent="0.25">
      <c r="A597" s="2918" t="s">
        <v>3464</v>
      </c>
      <c r="B597" s="2919"/>
      <c r="C597" s="2919"/>
      <c r="D597" s="2919"/>
      <c r="E597" s="2919"/>
      <c r="F597" s="2919"/>
      <c r="G597" s="2920"/>
      <c r="K597" s="2245"/>
      <c r="L597" s="2245"/>
      <c r="M597" s="2245"/>
      <c r="N597" s="2245"/>
      <c r="O597" s="2245"/>
    </row>
    <row r="598" spans="1:15" s="2244" customFormat="1" ht="14.4" thickBot="1" x14ac:dyDescent="0.3">
      <c r="A598" s="2921" t="s">
        <v>3344</v>
      </c>
      <c r="B598" s="2922"/>
      <c r="C598" s="2922"/>
      <c r="D598" s="2922"/>
      <c r="E598" s="2922"/>
      <c r="F598" s="2922"/>
      <c r="G598" s="2923"/>
      <c r="K598" s="2245"/>
      <c r="L598" s="2245"/>
      <c r="M598" s="2245"/>
      <c r="N598" s="2245"/>
      <c r="O598" s="2245"/>
    </row>
    <row r="599" spans="1:15" s="2244" customFormat="1" ht="14.4" thickBot="1" x14ac:dyDescent="0.3">
      <c r="A599" s="2246"/>
      <c r="B599" s="2247" t="s">
        <v>3345</v>
      </c>
      <c r="C599" s="2247" t="s">
        <v>3346</v>
      </c>
      <c r="D599" s="2247" t="s">
        <v>2</v>
      </c>
      <c r="E599" s="2247" t="s">
        <v>3347</v>
      </c>
      <c r="F599" s="2247" t="s">
        <v>5</v>
      </c>
      <c r="G599" s="2247" t="s">
        <v>3348</v>
      </c>
      <c r="K599" s="2245"/>
      <c r="L599" s="2245"/>
      <c r="M599" s="2245"/>
      <c r="N599" s="2245"/>
      <c r="O599" s="2245"/>
    </row>
    <row r="600" spans="1:15" s="2244" customFormat="1" ht="13.8" x14ac:dyDescent="0.25">
      <c r="A600" s="2248"/>
      <c r="B600" s="2248"/>
      <c r="C600" s="2249"/>
      <c r="D600" s="2250"/>
      <c r="E600" s="2250"/>
      <c r="F600" s="2250"/>
      <c r="G600" s="2250"/>
      <c r="K600" s="2245"/>
      <c r="L600" s="2245"/>
      <c r="M600" s="2245"/>
      <c r="N600" s="2245"/>
      <c r="O600" s="2245"/>
    </row>
    <row r="601" spans="1:15" s="2244" customFormat="1" ht="13.8" x14ac:dyDescent="0.25">
      <c r="A601" s="2252"/>
      <c r="B601" s="2252" t="s">
        <v>3465</v>
      </c>
      <c r="C601" s="2255"/>
      <c r="D601" s="2253"/>
      <c r="E601" s="2253"/>
      <c r="F601" s="2253"/>
      <c r="G601" s="2253"/>
      <c r="K601" s="2245"/>
      <c r="L601" s="2245"/>
      <c r="M601" s="2245"/>
      <c r="N601" s="2245"/>
      <c r="O601" s="2245"/>
    </row>
    <row r="602" spans="1:15" s="2244" customFormat="1" ht="13.8" x14ac:dyDescent="0.25">
      <c r="A602" s="2252"/>
      <c r="B602" s="2252" t="s">
        <v>3466</v>
      </c>
      <c r="C602" s="2253" t="s">
        <v>0</v>
      </c>
      <c r="D602" s="2253">
        <v>430</v>
      </c>
      <c r="E602" s="2253">
        <f>Material!E108</f>
        <v>30</v>
      </c>
      <c r="F602" s="2253">
        <f t="shared" ref="F602" si="67">D602*E602</f>
        <v>12900</v>
      </c>
      <c r="G602" s="2253"/>
      <c r="K602" s="2245"/>
      <c r="L602" s="2245"/>
      <c r="M602" s="2245"/>
      <c r="N602" s="2245"/>
      <c r="O602" s="2245"/>
    </row>
    <row r="603" spans="1:15" s="2244" customFormat="1" ht="13.8" x14ac:dyDescent="0.25">
      <c r="A603" s="2252"/>
      <c r="B603" s="2254" t="s">
        <v>3404</v>
      </c>
      <c r="C603" s="2255"/>
      <c r="D603" s="2253"/>
      <c r="E603" s="2253"/>
      <c r="F603" s="2253">
        <f>F602*5%</f>
        <v>645</v>
      </c>
      <c r="G603" s="2253"/>
      <c r="K603" s="2245"/>
      <c r="L603" s="2245"/>
      <c r="M603" s="2245"/>
      <c r="N603" s="2245"/>
      <c r="O603" s="2245"/>
    </row>
    <row r="604" spans="1:15" s="2244" customFormat="1" ht="13.8" x14ac:dyDescent="0.25">
      <c r="A604" s="2252"/>
      <c r="B604" s="2252" t="s">
        <v>3413</v>
      </c>
      <c r="C604" s="2253" t="s">
        <v>3414</v>
      </c>
      <c r="D604" s="2253">
        <v>2.2999999999999998</v>
      </c>
      <c r="E604" s="2253">
        <f>F131</f>
        <v>2285.625</v>
      </c>
      <c r="F604" s="2253">
        <f>D604*E604</f>
        <v>5256.9375</v>
      </c>
      <c r="G604" s="2253"/>
      <c r="K604" s="2245"/>
      <c r="L604" s="2245"/>
      <c r="M604" s="2245"/>
      <c r="N604" s="2245"/>
      <c r="O604" s="2245"/>
    </row>
    <row r="605" spans="1:15" s="2244" customFormat="1" ht="13.8" x14ac:dyDescent="0.25">
      <c r="A605" s="2252"/>
      <c r="B605" s="2252" t="s">
        <v>3392</v>
      </c>
      <c r="C605" s="2253" t="s">
        <v>131</v>
      </c>
      <c r="D605" s="2253">
        <v>0.15</v>
      </c>
      <c r="E605" s="2253">
        <f>Material!E13</f>
        <v>23000</v>
      </c>
      <c r="F605" s="2253">
        <f>D605*E605</f>
        <v>3450</v>
      </c>
      <c r="G605" s="2253"/>
      <c r="K605" s="2245"/>
      <c r="L605" s="2245"/>
      <c r="M605" s="2245"/>
      <c r="N605" s="2245"/>
      <c r="O605" s="2245"/>
    </row>
    <row r="606" spans="1:15" s="2244" customFormat="1" ht="13.8" x14ac:dyDescent="0.25">
      <c r="A606" s="2252"/>
      <c r="B606" s="2254"/>
      <c r="C606" s="2253"/>
      <c r="D606" s="2253"/>
      <c r="E606" s="2253"/>
      <c r="F606" s="2253"/>
      <c r="G606" s="2253"/>
      <c r="K606" s="2245"/>
      <c r="L606" s="2245"/>
      <c r="M606" s="2245"/>
      <c r="N606" s="2245"/>
      <c r="O606" s="2245"/>
    </row>
    <row r="607" spans="1:15" s="2244" customFormat="1" ht="13.8" x14ac:dyDescent="0.25">
      <c r="A607" s="2248"/>
      <c r="B607" s="2249"/>
      <c r="C607" s="2250"/>
      <c r="D607" s="2250"/>
      <c r="E607" s="2250"/>
      <c r="F607" s="2250">
        <f t="shared" ref="F607:F608" si="68">D607*E607</f>
        <v>0</v>
      </c>
      <c r="G607" s="2250"/>
      <c r="K607" s="2245"/>
      <c r="L607" s="2245"/>
      <c r="M607" s="2245"/>
      <c r="N607" s="2245"/>
      <c r="O607" s="2245"/>
    </row>
    <row r="608" spans="1:15" s="2244" customFormat="1" ht="13.8" x14ac:dyDescent="0.25">
      <c r="A608" s="2248"/>
      <c r="B608" s="2248"/>
      <c r="C608" s="2249"/>
      <c r="D608" s="2250"/>
      <c r="E608" s="2250"/>
      <c r="F608" s="2250">
        <f t="shared" si="68"/>
        <v>0</v>
      </c>
      <c r="G608" s="2250"/>
      <c r="K608" s="2245"/>
      <c r="L608" s="2245"/>
      <c r="M608" s="2245"/>
      <c r="N608" s="2245"/>
      <c r="O608" s="2245"/>
    </row>
    <row r="609" spans="1:15" s="2244" customFormat="1" ht="13.8" x14ac:dyDescent="0.25">
      <c r="A609" s="2257"/>
      <c r="B609" s="2927" t="s">
        <v>3363</v>
      </c>
      <c r="C609" s="2927"/>
      <c r="D609" s="2927"/>
      <c r="E609" s="2927"/>
      <c r="F609" s="2258"/>
      <c r="G609" s="2259">
        <f>SUM(F601:F609)</f>
        <v>22251.9375</v>
      </c>
      <c r="K609" s="2245"/>
      <c r="L609" s="2245"/>
      <c r="M609" s="2245"/>
      <c r="N609" s="2245"/>
      <c r="O609" s="2245"/>
    </row>
    <row r="610" spans="1:15" s="2244" customFormat="1" ht="13.8" x14ac:dyDescent="0.25">
      <c r="A610" s="2252"/>
      <c r="B610" s="2382" t="s">
        <v>3349</v>
      </c>
      <c r="C610" s="2255"/>
      <c r="D610" s="2253"/>
      <c r="E610" s="2253"/>
      <c r="F610" s="2253">
        <f t="shared" ref="F610:F611" si="69">D610*E610</f>
        <v>0</v>
      </c>
      <c r="G610" s="2253"/>
      <c r="K610" s="2245"/>
      <c r="L610" s="2245"/>
      <c r="M610" s="2245"/>
      <c r="N610" s="2245"/>
      <c r="O610" s="2245"/>
    </row>
    <row r="611" spans="1:15" s="2244" customFormat="1" ht="13.8" x14ac:dyDescent="0.25">
      <c r="A611" s="2252"/>
      <c r="B611" s="2252" t="s">
        <v>3357</v>
      </c>
      <c r="C611" s="2253" t="s">
        <v>1846</v>
      </c>
      <c r="D611" s="2253">
        <v>100</v>
      </c>
      <c r="E611" s="2253">
        <v>90</v>
      </c>
      <c r="F611" s="2253">
        <f t="shared" si="69"/>
        <v>9000</v>
      </c>
      <c r="G611" s="2253"/>
      <c r="K611" s="2245"/>
      <c r="L611" s="2245"/>
      <c r="M611" s="2245"/>
      <c r="N611" s="2245"/>
      <c r="O611" s="2245"/>
    </row>
    <row r="612" spans="1:15" s="2244" customFormat="1" ht="13.8" x14ac:dyDescent="0.25">
      <c r="A612" s="2252"/>
      <c r="B612" s="2252"/>
      <c r="C612" s="2253"/>
      <c r="D612" s="2253"/>
      <c r="E612" s="2253"/>
      <c r="F612" s="2253"/>
      <c r="G612" s="2253"/>
      <c r="K612" s="2245"/>
      <c r="L612" s="2245"/>
      <c r="M612" s="2245"/>
      <c r="N612" s="2245"/>
      <c r="O612" s="2245"/>
    </row>
    <row r="613" spans="1:15" s="2244" customFormat="1" ht="13.8" x14ac:dyDescent="0.25">
      <c r="A613" s="2248"/>
      <c r="B613" s="2248" t="s">
        <v>3463</v>
      </c>
      <c r="C613" s="2250"/>
      <c r="D613" s="2250"/>
      <c r="E613" s="2250"/>
      <c r="F613" s="2250">
        <f>F611*5%</f>
        <v>450</v>
      </c>
      <c r="G613" s="2250"/>
      <c r="K613" s="2245"/>
      <c r="L613" s="2245"/>
      <c r="M613" s="2245"/>
      <c r="N613" s="2245"/>
      <c r="O613" s="2245"/>
    </row>
    <row r="614" spans="1:15" s="2244" customFormat="1" ht="13.8" x14ac:dyDescent="0.25">
      <c r="A614" s="2248"/>
      <c r="B614" s="2248"/>
      <c r="C614" s="2249"/>
      <c r="D614" s="2250"/>
      <c r="E614" s="2250"/>
      <c r="F614" s="2250"/>
      <c r="G614" s="2250"/>
      <c r="K614" s="2245"/>
      <c r="L614" s="2245"/>
      <c r="M614" s="2245"/>
      <c r="N614" s="2245"/>
      <c r="O614" s="2245"/>
    </row>
    <row r="615" spans="1:15" s="2244" customFormat="1" ht="13.8" x14ac:dyDescent="0.25">
      <c r="A615" s="2257"/>
      <c r="B615" s="2927" t="s">
        <v>3351</v>
      </c>
      <c r="C615" s="2927"/>
      <c r="D615" s="2927"/>
      <c r="E615" s="2927"/>
      <c r="F615" s="2258">
        <f t="shared" ref="F615" si="70">D615*E615</f>
        <v>0</v>
      </c>
      <c r="G615" s="2259">
        <f>SUM(F611:F615)</f>
        <v>9450</v>
      </c>
      <c r="K615" s="2245"/>
      <c r="L615" s="2245"/>
      <c r="M615" s="2245"/>
      <c r="N615" s="2245"/>
      <c r="O615" s="2245"/>
    </row>
    <row r="616" spans="1:15" s="2244" customFormat="1" ht="13.8" x14ac:dyDescent="0.25">
      <c r="A616" s="2248"/>
      <c r="B616" s="2260"/>
      <c r="C616" s="2260"/>
      <c r="D616" s="2260"/>
      <c r="E616" s="2260"/>
      <c r="F616" s="2250"/>
      <c r="G616" s="2260"/>
      <c r="K616" s="2245"/>
      <c r="L616" s="2245"/>
      <c r="M616" s="2245"/>
      <c r="N616" s="2245"/>
      <c r="O616" s="2245"/>
    </row>
    <row r="617" spans="1:15" s="2244" customFormat="1" ht="13.8" x14ac:dyDescent="0.25">
      <c r="A617" s="2248"/>
      <c r="B617" s="2260"/>
      <c r="C617" s="2260"/>
      <c r="D617" s="2260"/>
      <c r="E617" s="2260"/>
      <c r="F617" s="2250"/>
      <c r="G617" s="2260"/>
      <c r="K617" s="2245"/>
      <c r="L617" s="2245"/>
      <c r="M617" s="2245"/>
      <c r="N617" s="2245"/>
      <c r="O617" s="2245"/>
    </row>
    <row r="618" spans="1:15" s="2244" customFormat="1" ht="13.8" x14ac:dyDescent="0.25">
      <c r="A618" s="2928" t="s">
        <v>3379</v>
      </c>
      <c r="B618" s="2928"/>
      <c r="C618" s="2928"/>
      <c r="D618" s="2928"/>
      <c r="E618" s="2928"/>
      <c r="F618" s="2928"/>
      <c r="G618" s="2261">
        <f>G609+G615</f>
        <v>31701.9375</v>
      </c>
      <c r="K618" s="2245"/>
      <c r="L618" s="2245"/>
      <c r="M618" s="2245"/>
      <c r="N618" s="2245"/>
      <c r="O618" s="2245"/>
    </row>
    <row r="619" spans="1:15" s="2244" customFormat="1" ht="13.8" x14ac:dyDescent="0.25">
      <c r="A619" s="2928" t="s">
        <v>3380</v>
      </c>
      <c r="B619" s="2928"/>
      <c r="C619" s="2928"/>
      <c r="D619" s="2928"/>
      <c r="E619" s="2928"/>
      <c r="F619" s="2928"/>
      <c r="G619" s="2261">
        <f>G618/9.29</f>
        <v>3412.4798170075351</v>
      </c>
      <c r="K619" s="2245"/>
      <c r="L619" s="2245"/>
      <c r="M619" s="2245"/>
      <c r="N619" s="2245"/>
      <c r="O619" s="2245"/>
    </row>
    <row r="620" spans="1:15" s="2244" customFormat="1" ht="13.8" x14ac:dyDescent="0.25">
      <c r="A620" s="2928" t="s">
        <v>3381</v>
      </c>
      <c r="B620" s="2928"/>
      <c r="C620" s="2928"/>
      <c r="D620" s="2928"/>
      <c r="E620" s="2928"/>
      <c r="F620" s="2928"/>
      <c r="G620" s="2383">
        <f>G619/10.76</f>
        <v>317.14496440590477</v>
      </c>
      <c r="K620" s="2245"/>
      <c r="L620" s="2245"/>
      <c r="M620" s="2245"/>
      <c r="N620" s="2245"/>
      <c r="O620" s="2245"/>
    </row>
    <row r="621" spans="1:15" s="2244" customFormat="1" x14ac:dyDescent="0.25">
      <c r="K621" s="2245"/>
      <c r="L621" s="2245"/>
      <c r="M621" s="2245"/>
      <c r="N621" s="2245"/>
      <c r="O621" s="2245"/>
    </row>
    <row r="623" spans="1:15" s="2244" customFormat="1" ht="13.8" thickBot="1" x14ac:dyDescent="0.3">
      <c r="K623" s="2245"/>
      <c r="L623" s="2245"/>
      <c r="M623" s="2245"/>
      <c r="N623" s="2245"/>
      <c r="O623" s="2245"/>
    </row>
    <row r="624" spans="1:15" s="2244" customFormat="1" ht="13.8" x14ac:dyDescent="0.25">
      <c r="A624" s="2918" t="s">
        <v>3467</v>
      </c>
      <c r="B624" s="2919"/>
      <c r="C624" s="2919"/>
      <c r="D624" s="2919"/>
      <c r="E624" s="2919"/>
      <c r="F624" s="2919"/>
      <c r="G624" s="2920"/>
      <c r="K624" s="2245"/>
      <c r="L624" s="2245"/>
      <c r="M624" s="2245"/>
      <c r="N624" s="2245"/>
      <c r="O624" s="2245"/>
    </row>
    <row r="625" spans="1:15" s="2244" customFormat="1" ht="14.4" thickBot="1" x14ac:dyDescent="0.3">
      <c r="A625" s="2921" t="s">
        <v>3344</v>
      </c>
      <c r="B625" s="2922"/>
      <c r="C625" s="2922"/>
      <c r="D625" s="2922"/>
      <c r="E625" s="2922"/>
      <c r="F625" s="2922"/>
      <c r="G625" s="2923"/>
      <c r="K625" s="2245"/>
      <c r="L625" s="2245"/>
      <c r="M625" s="2245"/>
      <c r="N625" s="2245"/>
      <c r="O625" s="2245"/>
    </row>
    <row r="626" spans="1:15" s="2244" customFormat="1" ht="14.4" thickBot="1" x14ac:dyDescent="0.3">
      <c r="A626" s="2246"/>
      <c r="B626" s="2247" t="s">
        <v>3345</v>
      </c>
      <c r="C626" s="2247" t="s">
        <v>3346</v>
      </c>
      <c r="D626" s="2247" t="s">
        <v>2</v>
      </c>
      <c r="E626" s="2247" t="s">
        <v>3347</v>
      </c>
      <c r="F626" s="2247" t="s">
        <v>5</v>
      </c>
      <c r="G626" s="2247" t="s">
        <v>3348</v>
      </c>
      <c r="K626" s="2245"/>
      <c r="L626" s="2245"/>
      <c r="M626" s="2245"/>
      <c r="N626" s="2245"/>
      <c r="O626" s="2245"/>
    </row>
    <row r="627" spans="1:15" s="2244" customFormat="1" ht="13.8" x14ac:dyDescent="0.25">
      <c r="A627" s="2248"/>
      <c r="B627" s="2248"/>
      <c r="C627" s="2249"/>
      <c r="D627" s="2250"/>
      <c r="E627" s="2250"/>
      <c r="F627" s="2250"/>
      <c r="G627" s="2250"/>
      <c r="K627" s="2245"/>
      <c r="L627" s="2245"/>
      <c r="M627" s="2245"/>
      <c r="N627" s="2245"/>
      <c r="O627" s="2245"/>
    </row>
    <row r="628" spans="1:15" s="2244" customFormat="1" ht="13.8" x14ac:dyDescent="0.25">
      <c r="A628" s="2252"/>
      <c r="B628" s="2252" t="s">
        <v>3462</v>
      </c>
      <c r="C628" s="2253" t="s">
        <v>0</v>
      </c>
      <c r="D628" s="2253">
        <v>650</v>
      </c>
      <c r="E628" s="2253">
        <f>Material!E107</f>
        <v>18</v>
      </c>
      <c r="F628" s="2253">
        <f>D628*E628</f>
        <v>11700</v>
      </c>
      <c r="G628" s="2253"/>
      <c r="K628" s="2245"/>
      <c r="L628" s="2245"/>
      <c r="M628" s="2245"/>
      <c r="N628" s="2245"/>
      <c r="O628" s="2245"/>
    </row>
    <row r="629" spans="1:15" s="2244" customFormat="1" ht="13.8" x14ac:dyDescent="0.25">
      <c r="A629" s="2252"/>
      <c r="B629" s="2254" t="s">
        <v>3404</v>
      </c>
      <c r="C629" s="2255"/>
      <c r="D629" s="2253"/>
      <c r="E629" s="2253"/>
      <c r="F629" s="2253">
        <f>F628*5%</f>
        <v>585</v>
      </c>
      <c r="G629" s="2253"/>
      <c r="K629" s="2245"/>
      <c r="L629" s="2245"/>
      <c r="M629" s="2245"/>
      <c r="N629" s="2245"/>
      <c r="O629" s="2245"/>
    </row>
    <row r="630" spans="1:15" s="2244" customFormat="1" ht="13.8" x14ac:dyDescent="0.25">
      <c r="A630" s="2252"/>
      <c r="B630" s="2252" t="s">
        <v>3413</v>
      </c>
      <c r="C630" s="2253" t="s">
        <v>3414</v>
      </c>
      <c r="D630" s="2253">
        <v>1.53</v>
      </c>
      <c r="E630" s="2253">
        <f>F131</f>
        <v>2285.625</v>
      </c>
      <c r="F630" s="2253">
        <f>D630*E630</f>
        <v>3497.0062499999999</v>
      </c>
      <c r="G630" s="2253"/>
      <c r="K630" s="2245"/>
      <c r="L630" s="2245"/>
      <c r="M630" s="2245"/>
      <c r="N630" s="2245"/>
      <c r="O630" s="2245"/>
    </row>
    <row r="631" spans="1:15" s="2244" customFormat="1" ht="13.8" x14ac:dyDescent="0.25">
      <c r="A631" s="2252"/>
      <c r="B631" s="2252" t="s">
        <v>3392</v>
      </c>
      <c r="C631" s="2253" t="s">
        <v>131</v>
      </c>
      <c r="D631" s="2253">
        <v>0.1</v>
      </c>
      <c r="E631" s="2253">
        <f>Material!E13</f>
        <v>23000</v>
      </c>
      <c r="F631" s="2253">
        <f>D631*E631</f>
        <v>2300</v>
      </c>
      <c r="G631" s="2253"/>
      <c r="K631" s="2245"/>
      <c r="L631" s="2245"/>
      <c r="M631" s="2245"/>
      <c r="N631" s="2245"/>
      <c r="O631" s="2245"/>
    </row>
    <row r="632" spans="1:15" s="2244" customFormat="1" ht="13.8" x14ac:dyDescent="0.25">
      <c r="A632" s="2248"/>
      <c r="B632" s="2256"/>
      <c r="C632" s="2250"/>
      <c r="D632" s="2250"/>
      <c r="E632" s="2250"/>
      <c r="F632" s="2250"/>
      <c r="G632" s="2250"/>
      <c r="K632" s="2245"/>
      <c r="L632" s="2245"/>
      <c r="M632" s="2245"/>
      <c r="N632" s="2245"/>
      <c r="O632" s="2245"/>
    </row>
    <row r="633" spans="1:15" s="2244" customFormat="1" ht="13.8" x14ac:dyDescent="0.25">
      <c r="A633" s="2248"/>
      <c r="B633" s="2249"/>
      <c r="C633" s="2250"/>
      <c r="D633" s="2250"/>
      <c r="E633" s="2250"/>
      <c r="F633" s="2250">
        <f t="shared" ref="F633:F634" si="71">D633*E633</f>
        <v>0</v>
      </c>
      <c r="G633" s="2250"/>
      <c r="K633" s="2245"/>
      <c r="L633" s="2245"/>
      <c r="M633" s="2245"/>
      <c r="N633" s="2245"/>
      <c r="O633" s="2245"/>
    </row>
    <row r="634" spans="1:15" s="2244" customFormat="1" ht="13.8" x14ac:dyDescent="0.25">
      <c r="A634" s="2248"/>
      <c r="B634" s="2248"/>
      <c r="C634" s="2249"/>
      <c r="D634" s="2250"/>
      <c r="E634" s="2250"/>
      <c r="F634" s="2250">
        <f t="shared" si="71"/>
        <v>0</v>
      </c>
      <c r="G634" s="2250"/>
      <c r="K634" s="2245"/>
      <c r="L634" s="2245"/>
      <c r="M634" s="2245"/>
      <c r="N634" s="2245"/>
      <c r="O634" s="2245"/>
    </row>
    <row r="635" spans="1:15" s="2244" customFormat="1" ht="13.8" x14ac:dyDescent="0.25">
      <c r="A635" s="2257"/>
      <c r="B635" s="2927" t="s">
        <v>3363</v>
      </c>
      <c r="C635" s="2927"/>
      <c r="D635" s="2927"/>
      <c r="E635" s="2927"/>
      <c r="F635" s="2258"/>
      <c r="G635" s="2259">
        <f>SUM(F628:F635)</f>
        <v>18082.006249999999</v>
      </c>
      <c r="K635" s="2245"/>
      <c r="L635" s="2245"/>
      <c r="M635" s="2245"/>
      <c r="N635" s="2245"/>
      <c r="O635" s="2245"/>
    </row>
    <row r="636" spans="1:15" s="2244" customFormat="1" ht="13.8" x14ac:dyDescent="0.25">
      <c r="A636" s="2248"/>
      <c r="B636" s="2251" t="s">
        <v>3349</v>
      </c>
      <c r="C636" s="2249"/>
      <c r="D636" s="2250"/>
      <c r="E636" s="2250"/>
      <c r="F636" s="2250">
        <f t="shared" ref="F636:F637" si="72">D636*E636</f>
        <v>0</v>
      </c>
      <c r="G636" s="2250"/>
      <c r="K636" s="2245"/>
      <c r="L636" s="2245"/>
      <c r="M636" s="2245"/>
      <c r="N636" s="2245"/>
      <c r="O636" s="2245"/>
    </row>
    <row r="637" spans="1:15" s="2244" customFormat="1" ht="13.8" x14ac:dyDescent="0.25">
      <c r="A637" s="2252"/>
      <c r="B637" s="2252" t="s">
        <v>3357</v>
      </c>
      <c r="C637" s="2253" t="s">
        <v>1846</v>
      </c>
      <c r="D637" s="2253">
        <v>100</v>
      </c>
      <c r="E637" s="2253">
        <v>90</v>
      </c>
      <c r="F637" s="2253">
        <f t="shared" si="72"/>
        <v>9000</v>
      </c>
      <c r="G637" s="2253"/>
      <c r="K637" s="2245"/>
      <c r="L637" s="2245"/>
      <c r="M637" s="2245"/>
      <c r="N637" s="2245"/>
      <c r="O637" s="2245"/>
    </row>
    <row r="638" spans="1:15" s="2244" customFormat="1" ht="13.8" x14ac:dyDescent="0.25">
      <c r="A638" s="2252"/>
      <c r="B638" s="2252"/>
      <c r="C638" s="2253"/>
      <c r="D638" s="2253"/>
      <c r="E638" s="2253"/>
      <c r="F638" s="2253"/>
      <c r="G638" s="2253"/>
      <c r="K638" s="2245"/>
      <c r="L638" s="2245"/>
      <c r="M638" s="2245"/>
      <c r="N638" s="2245"/>
      <c r="O638" s="2245"/>
    </row>
    <row r="639" spans="1:15" s="2244" customFormat="1" ht="13.8" x14ac:dyDescent="0.25">
      <c r="A639" s="2248"/>
      <c r="B639" s="2248" t="s">
        <v>3463</v>
      </c>
      <c r="C639" s="2250"/>
      <c r="D639" s="2250"/>
      <c r="E639" s="2250"/>
      <c r="F639" s="2250">
        <f>F637*5%</f>
        <v>450</v>
      </c>
      <c r="G639" s="2250"/>
      <c r="K639" s="2245"/>
      <c r="L639" s="2245"/>
      <c r="M639" s="2245"/>
      <c r="N639" s="2245"/>
      <c r="O639" s="2245"/>
    </row>
    <row r="640" spans="1:15" s="2244" customFormat="1" ht="13.8" x14ac:dyDescent="0.25">
      <c r="A640" s="2248"/>
      <c r="B640" s="2248"/>
      <c r="C640" s="2249"/>
      <c r="D640" s="2250"/>
      <c r="E640" s="2250"/>
      <c r="F640" s="2250"/>
      <c r="G640" s="2250"/>
      <c r="K640" s="2245"/>
      <c r="L640" s="2245"/>
      <c r="M640" s="2245"/>
      <c r="N640" s="2245"/>
      <c r="O640" s="2245"/>
    </row>
    <row r="641" spans="1:15" s="2244" customFormat="1" ht="13.8" x14ac:dyDescent="0.25">
      <c r="A641" s="2257"/>
      <c r="B641" s="2927" t="s">
        <v>3351</v>
      </c>
      <c r="C641" s="2927"/>
      <c r="D641" s="2927"/>
      <c r="E641" s="2927"/>
      <c r="F641" s="2258">
        <f t="shared" ref="F641" si="73">D641*E641</f>
        <v>0</v>
      </c>
      <c r="G641" s="2259">
        <f>SUM(F637:F641)</f>
        <v>9450</v>
      </c>
      <c r="K641" s="2245"/>
      <c r="L641" s="2245"/>
      <c r="M641" s="2245"/>
      <c r="N641" s="2245"/>
      <c r="O641" s="2245"/>
    </row>
    <row r="642" spans="1:15" s="2244" customFormat="1" ht="13.8" x14ac:dyDescent="0.25">
      <c r="A642" s="2248"/>
      <c r="B642" s="2260"/>
      <c r="C642" s="2260"/>
      <c r="D642" s="2260"/>
      <c r="E642" s="2260"/>
      <c r="F642" s="2250"/>
      <c r="G642" s="2260"/>
      <c r="K642" s="2245"/>
      <c r="L642" s="2245"/>
      <c r="M642" s="2245"/>
      <c r="N642" s="2245"/>
      <c r="O642" s="2245"/>
    </row>
    <row r="643" spans="1:15" s="2244" customFormat="1" ht="13.8" x14ac:dyDescent="0.25">
      <c r="A643" s="2248"/>
      <c r="B643" s="2260"/>
      <c r="C643" s="2260"/>
      <c r="D643" s="2260"/>
      <c r="E643" s="2260"/>
      <c r="F643" s="2250"/>
      <c r="G643" s="2260"/>
      <c r="K643" s="2245"/>
      <c r="L643" s="2245"/>
      <c r="M643" s="2245"/>
      <c r="N643" s="2245"/>
      <c r="O643" s="2245"/>
    </row>
    <row r="644" spans="1:15" s="2244" customFormat="1" ht="13.8" x14ac:dyDescent="0.25">
      <c r="A644" s="2928" t="s">
        <v>3379</v>
      </c>
      <c r="B644" s="2928"/>
      <c r="C644" s="2928"/>
      <c r="D644" s="2928"/>
      <c r="E644" s="2928"/>
      <c r="F644" s="2928"/>
      <c r="G644" s="2261">
        <f>G635+G641</f>
        <v>27532.006249999999</v>
      </c>
      <c r="K644" s="2245"/>
      <c r="L644" s="2245"/>
      <c r="M644" s="2245"/>
      <c r="N644" s="2245"/>
      <c r="O644" s="2245"/>
    </row>
    <row r="645" spans="1:15" s="2244" customFormat="1" ht="13.8" x14ac:dyDescent="0.25">
      <c r="A645" s="2928" t="s">
        <v>3380</v>
      </c>
      <c r="B645" s="2928"/>
      <c r="C645" s="2928"/>
      <c r="D645" s="2928"/>
      <c r="E645" s="2928"/>
      <c r="F645" s="2928"/>
      <c r="G645" s="2261">
        <f>G644/9.29</f>
        <v>2963.6174650161465</v>
      </c>
      <c r="K645" s="2245"/>
      <c r="L645" s="2245"/>
      <c r="M645" s="2245"/>
      <c r="N645" s="2245"/>
      <c r="O645" s="2245"/>
    </row>
    <row r="646" spans="1:15" s="2244" customFormat="1" ht="13.8" x14ac:dyDescent="0.25">
      <c r="A646" s="2928" t="s">
        <v>3381</v>
      </c>
      <c r="B646" s="2928"/>
      <c r="C646" s="2928"/>
      <c r="D646" s="2928"/>
      <c r="E646" s="2928"/>
      <c r="F646" s="2928"/>
      <c r="G646" s="2384">
        <f>G645/10.76</f>
        <v>275.42913243644483</v>
      </c>
      <c r="K646" s="2245"/>
      <c r="L646" s="2245"/>
      <c r="M646" s="2245"/>
      <c r="N646" s="2245"/>
      <c r="O646" s="2245"/>
    </row>
    <row r="647" spans="1:15" s="2244" customFormat="1" x14ac:dyDescent="0.25">
      <c r="K647" s="2245"/>
      <c r="L647" s="2245"/>
      <c r="M647" s="2245"/>
      <c r="N647" s="2245"/>
      <c r="O647" s="2245"/>
    </row>
    <row r="648" spans="1:15" x14ac:dyDescent="0.25">
      <c r="A648" s="2931" t="s">
        <v>3468</v>
      </c>
      <c r="B648" s="2931"/>
      <c r="C648" s="2931"/>
      <c r="D648" s="2931"/>
      <c r="E648" s="2931"/>
      <c r="F648" s="2931"/>
      <c r="G648" s="2931"/>
    </row>
    <row r="649" spans="1:15" ht="13.8" thickBot="1" x14ac:dyDescent="0.3"/>
    <row r="650" spans="1:15" ht="13.8" x14ac:dyDescent="0.25">
      <c r="A650" s="2888" t="s">
        <v>3469</v>
      </c>
      <c r="B650" s="2889"/>
      <c r="C650" s="2889"/>
      <c r="D650" s="2889"/>
      <c r="E650" s="2889"/>
      <c r="F650" s="2889"/>
      <c r="G650" s="2890"/>
    </row>
    <row r="651" spans="1:15" ht="14.4" thickBot="1" x14ac:dyDescent="0.3">
      <c r="A651" s="2891" t="s">
        <v>3344</v>
      </c>
      <c r="B651" s="2892"/>
      <c r="C651" s="2892"/>
      <c r="D651" s="2892"/>
      <c r="E651" s="2892"/>
      <c r="F651" s="2892"/>
      <c r="G651" s="2893"/>
    </row>
    <row r="652" spans="1:15" ht="14.4" thickBot="1" x14ac:dyDescent="0.3">
      <c r="A652" s="2107"/>
      <c r="B652" s="2108" t="s">
        <v>3345</v>
      </c>
      <c r="C652" s="2108" t="s">
        <v>3346</v>
      </c>
      <c r="D652" s="2108" t="s">
        <v>2</v>
      </c>
      <c r="E652" s="2108" t="s">
        <v>3347</v>
      </c>
      <c r="F652" s="2108" t="s">
        <v>5</v>
      </c>
      <c r="G652" s="2108" t="s">
        <v>3348</v>
      </c>
    </row>
    <row r="653" spans="1:15" ht="13.8" x14ac:dyDescent="0.25">
      <c r="A653" s="2109"/>
      <c r="B653" s="2109"/>
      <c r="C653" s="2110"/>
      <c r="D653" s="2111"/>
      <c r="E653" s="2111"/>
      <c r="F653" s="2111"/>
      <c r="G653" s="2111"/>
    </row>
    <row r="654" spans="1:15" ht="13.8" x14ac:dyDescent="0.25">
      <c r="A654" s="2121"/>
      <c r="B654" s="2121" t="s">
        <v>3470</v>
      </c>
      <c r="C654" s="2122" t="s">
        <v>0</v>
      </c>
      <c r="D654" s="2122">
        <v>112</v>
      </c>
      <c r="E654" s="2122">
        <f>Material!E133</f>
        <v>750</v>
      </c>
      <c r="F654" s="2122">
        <f>D654*E654</f>
        <v>84000</v>
      </c>
      <c r="G654" s="2122"/>
    </row>
    <row r="655" spans="1:15" ht="13.8" x14ac:dyDescent="0.25">
      <c r="A655" s="2121"/>
      <c r="B655" s="2152" t="s">
        <v>3404</v>
      </c>
      <c r="C655" s="2153"/>
      <c r="D655" s="2122"/>
      <c r="E655" s="2122"/>
      <c r="F655" s="2122">
        <f>F654*5%</f>
        <v>4200</v>
      </c>
      <c r="G655" s="2122"/>
    </row>
    <row r="656" spans="1:15" ht="13.8" x14ac:dyDescent="0.25">
      <c r="A656" s="2121"/>
      <c r="B656" s="2121" t="s">
        <v>3413</v>
      </c>
      <c r="C656" s="2122" t="s">
        <v>3414</v>
      </c>
      <c r="D656" s="2122">
        <v>1.53</v>
      </c>
      <c r="E656" s="2122">
        <f>F131</f>
        <v>2285.625</v>
      </c>
      <c r="F656" s="2122">
        <f>D656*E656</f>
        <v>3497.0062499999999</v>
      </c>
      <c r="G656" s="2122"/>
    </row>
    <row r="657" spans="1:7" ht="13.8" x14ac:dyDescent="0.25">
      <c r="A657" s="2121"/>
      <c r="B657" s="2121" t="s">
        <v>3392</v>
      </c>
      <c r="C657" s="2122" t="s">
        <v>131</v>
      </c>
      <c r="D657" s="2122">
        <v>0.1</v>
      </c>
      <c r="E657" s="2122">
        <f>Material!E13</f>
        <v>23000</v>
      </c>
      <c r="F657" s="2122">
        <f>D657*E657</f>
        <v>2300</v>
      </c>
      <c r="G657" s="2122"/>
    </row>
    <row r="658" spans="1:7" ht="13.8" x14ac:dyDescent="0.25">
      <c r="A658" s="2109"/>
      <c r="B658" s="2123"/>
      <c r="C658" s="2111"/>
      <c r="D658" s="2111"/>
      <c r="E658" s="2111"/>
      <c r="F658" s="2111"/>
      <c r="G658" s="2111"/>
    </row>
    <row r="659" spans="1:7" ht="13.8" x14ac:dyDescent="0.25">
      <c r="A659" s="2109"/>
      <c r="B659" s="2110"/>
      <c r="C659" s="2111"/>
      <c r="D659" s="2111"/>
      <c r="E659" s="2111"/>
      <c r="F659" s="2111">
        <f t="shared" ref="F659:F660" si="74">D659*E659</f>
        <v>0</v>
      </c>
      <c r="G659" s="2111"/>
    </row>
    <row r="660" spans="1:7" ht="13.8" x14ac:dyDescent="0.25">
      <c r="A660" s="2109"/>
      <c r="B660" s="2109"/>
      <c r="C660" s="2110"/>
      <c r="D660" s="2111"/>
      <c r="E660" s="2111"/>
      <c r="F660" s="2111">
        <f t="shared" si="74"/>
        <v>0</v>
      </c>
      <c r="G660" s="2111"/>
    </row>
    <row r="661" spans="1:7" ht="13.8" x14ac:dyDescent="0.25">
      <c r="A661" s="2113"/>
      <c r="B661" s="2894" t="s">
        <v>3363</v>
      </c>
      <c r="C661" s="2894"/>
      <c r="D661" s="2894"/>
      <c r="E661" s="2894"/>
      <c r="F661" s="2114"/>
      <c r="G661" s="2190">
        <f>SUM(F654:F661)</f>
        <v>93997.006250000006</v>
      </c>
    </row>
    <row r="662" spans="1:7" ht="13.8" x14ac:dyDescent="0.25">
      <c r="A662" s="2109"/>
      <c r="B662" s="2112" t="s">
        <v>3349</v>
      </c>
      <c r="C662" s="2110"/>
      <c r="D662" s="2111"/>
      <c r="E662" s="2111"/>
      <c r="F662" s="2111">
        <f t="shared" ref="F662:F663" si="75">D662*E662</f>
        <v>0</v>
      </c>
      <c r="G662" s="2111"/>
    </row>
    <row r="663" spans="1:7" ht="13.8" x14ac:dyDescent="0.25">
      <c r="A663" s="2121"/>
      <c r="B663" s="2121" t="s">
        <v>3357</v>
      </c>
      <c r="C663" s="2122" t="s">
        <v>1846</v>
      </c>
      <c r="D663" s="2122">
        <v>100</v>
      </c>
      <c r="E663" s="2122">
        <v>90</v>
      </c>
      <c r="F663" s="2122">
        <f t="shared" si="75"/>
        <v>9000</v>
      </c>
      <c r="G663" s="2122"/>
    </row>
    <row r="664" spans="1:7" ht="13.8" x14ac:dyDescent="0.25">
      <c r="A664" s="2121"/>
      <c r="B664" s="2121"/>
      <c r="C664" s="2122"/>
      <c r="D664" s="2122"/>
      <c r="E664" s="2122"/>
      <c r="F664" s="2122"/>
      <c r="G664" s="2122"/>
    </row>
    <row r="665" spans="1:7" ht="13.8" x14ac:dyDescent="0.25">
      <c r="A665" s="2109"/>
      <c r="B665" s="2109" t="s">
        <v>3463</v>
      </c>
      <c r="C665" s="2111"/>
      <c r="D665" s="2111"/>
      <c r="E665" s="2111"/>
      <c r="F665" s="2111">
        <f>F663*5%</f>
        <v>450</v>
      </c>
      <c r="G665" s="2111"/>
    </row>
    <row r="666" spans="1:7" ht="13.8" x14ac:dyDescent="0.25">
      <c r="A666" s="2109"/>
      <c r="B666" s="2109"/>
      <c r="C666" s="2110"/>
      <c r="D666" s="2111"/>
      <c r="E666" s="2111"/>
      <c r="F666" s="2111"/>
      <c r="G666" s="2111"/>
    </row>
    <row r="667" spans="1:7" ht="13.8" x14ac:dyDescent="0.25">
      <c r="A667" s="2113"/>
      <c r="B667" s="2894" t="s">
        <v>3351</v>
      </c>
      <c r="C667" s="2894"/>
      <c r="D667" s="2894"/>
      <c r="E667" s="2894"/>
      <c r="F667" s="2114">
        <f t="shared" ref="F667" si="76">D667*E667</f>
        <v>0</v>
      </c>
      <c r="G667" s="2190">
        <f>SUM(F663:F667)</f>
        <v>9450</v>
      </c>
    </row>
    <row r="668" spans="1:7" ht="13.8" x14ac:dyDescent="0.25">
      <c r="A668" s="2109"/>
      <c r="B668" s="2115"/>
      <c r="C668" s="2115"/>
      <c r="D668" s="2115"/>
      <c r="E668" s="2115"/>
      <c r="F668" s="2111"/>
      <c r="G668" s="2115"/>
    </row>
    <row r="669" spans="1:7" ht="13.8" x14ac:dyDescent="0.25">
      <c r="A669" s="2109"/>
      <c r="B669" s="2115"/>
      <c r="C669" s="2115"/>
      <c r="D669" s="2115"/>
      <c r="E669" s="2115"/>
      <c r="F669" s="2111"/>
      <c r="G669" s="2115"/>
    </row>
    <row r="670" spans="1:7" ht="13.8" x14ac:dyDescent="0.25">
      <c r="A670" s="2887" t="s">
        <v>3379</v>
      </c>
      <c r="B670" s="2887"/>
      <c r="C670" s="2887"/>
      <c r="D670" s="2887"/>
      <c r="E670" s="2887"/>
      <c r="F670" s="2887"/>
      <c r="G670" s="2189">
        <f>G661+G667</f>
        <v>103447.00625000001</v>
      </c>
    </row>
    <row r="671" spans="1:7" ht="13.8" x14ac:dyDescent="0.25">
      <c r="A671" s="2887" t="s">
        <v>3380</v>
      </c>
      <c r="B671" s="2887"/>
      <c r="C671" s="2887"/>
      <c r="D671" s="2887"/>
      <c r="E671" s="2887"/>
      <c r="F671" s="2887"/>
      <c r="G671" s="2189">
        <f>G670/9.29</f>
        <v>11135.307454251886</v>
      </c>
    </row>
    <row r="672" spans="1:7" ht="13.8" x14ac:dyDescent="0.25">
      <c r="A672" s="2887" t="s">
        <v>3381</v>
      </c>
      <c r="B672" s="2887"/>
      <c r="C672" s="2887"/>
      <c r="D672" s="2887"/>
      <c r="E672" s="2887"/>
      <c r="F672" s="2887"/>
      <c r="G672" s="2157">
        <f>G671/10.76</f>
        <v>1034.8798749304726</v>
      </c>
    </row>
    <row r="678" spans="1:15" x14ac:dyDescent="0.25">
      <c r="A678" s="2895" t="s">
        <v>578</v>
      </c>
      <c r="B678" s="2895"/>
      <c r="C678" s="2895"/>
      <c r="D678" s="2895"/>
      <c r="E678" s="2895"/>
      <c r="F678" s="2895"/>
      <c r="G678" s="2895"/>
    </row>
    <row r="679" spans="1:15" s="2244" customFormat="1" ht="13.8" thickBot="1" x14ac:dyDescent="0.3">
      <c r="K679" s="2245"/>
      <c r="L679" s="2245"/>
      <c r="M679" s="2245"/>
      <c r="N679" s="2245"/>
      <c r="O679" s="2245"/>
    </row>
    <row r="680" spans="1:15" s="2244" customFormat="1" ht="13.8" x14ac:dyDescent="0.25">
      <c r="A680" s="2918" t="s">
        <v>3471</v>
      </c>
      <c r="B680" s="2919"/>
      <c r="C680" s="2919"/>
      <c r="D680" s="2919"/>
      <c r="E680" s="2919"/>
      <c r="F680" s="2919"/>
      <c r="G680" s="2920"/>
      <c r="K680" s="2245"/>
      <c r="L680" s="2245"/>
      <c r="M680" s="2245"/>
      <c r="N680" s="2245"/>
      <c r="O680" s="2245"/>
    </row>
    <row r="681" spans="1:15" s="2244" customFormat="1" ht="14.4" thickBot="1" x14ac:dyDescent="0.3">
      <c r="A681" s="2921" t="s">
        <v>3344</v>
      </c>
      <c r="B681" s="2922"/>
      <c r="C681" s="2922"/>
      <c r="D681" s="2922"/>
      <c r="E681" s="2922"/>
      <c r="F681" s="2922"/>
      <c r="G681" s="2923"/>
      <c r="K681" s="2245"/>
      <c r="L681" s="2245"/>
      <c r="M681" s="2245"/>
      <c r="N681" s="2245"/>
      <c r="O681" s="2245"/>
    </row>
    <row r="682" spans="1:15" s="2244" customFormat="1" ht="14.4" thickBot="1" x14ac:dyDescent="0.3">
      <c r="A682" s="2246"/>
      <c r="B682" s="2247" t="s">
        <v>3345</v>
      </c>
      <c r="C682" s="2247" t="s">
        <v>3346</v>
      </c>
      <c r="D682" s="2247" t="s">
        <v>2</v>
      </c>
      <c r="E682" s="2247" t="s">
        <v>3347</v>
      </c>
      <c r="F682" s="2247" t="s">
        <v>5</v>
      </c>
      <c r="G682" s="2247" t="s">
        <v>3348</v>
      </c>
      <c r="K682" s="2245"/>
      <c r="L682" s="2245"/>
      <c r="M682" s="2245"/>
      <c r="N682" s="2245"/>
      <c r="O682" s="2245"/>
    </row>
    <row r="683" spans="1:15" s="2244" customFormat="1" ht="13.8" x14ac:dyDescent="0.25">
      <c r="A683" s="2248"/>
      <c r="B683" s="2248"/>
      <c r="C683" s="2249"/>
      <c r="D683" s="2250"/>
      <c r="E683" s="2250"/>
      <c r="F683" s="2250"/>
      <c r="G683" s="2250"/>
      <c r="K683" s="2245"/>
      <c r="L683" s="2245"/>
      <c r="M683" s="2245"/>
      <c r="N683" s="2245"/>
      <c r="O683" s="2245"/>
    </row>
    <row r="684" spans="1:15" s="2244" customFormat="1" ht="13.8" x14ac:dyDescent="0.25">
      <c r="A684" s="2248"/>
      <c r="B684" s="2251" t="s">
        <v>3362</v>
      </c>
      <c r="C684" s="2249"/>
      <c r="D684" s="2250"/>
      <c r="E684" s="2250"/>
      <c r="F684" s="2250"/>
      <c r="G684" s="2250"/>
      <c r="K684" s="2245"/>
      <c r="L684" s="2245"/>
      <c r="M684" s="2245"/>
      <c r="N684" s="2245"/>
      <c r="O684" s="2245"/>
    </row>
    <row r="685" spans="1:15" s="2244" customFormat="1" ht="13.8" x14ac:dyDescent="0.25">
      <c r="A685" s="2248"/>
      <c r="B685" s="2248"/>
      <c r="C685" s="2249"/>
      <c r="D685" s="2250"/>
      <c r="E685" s="2250"/>
      <c r="F685" s="2250"/>
      <c r="G685" s="2250"/>
      <c r="K685" s="2245"/>
      <c r="L685" s="2245"/>
      <c r="M685" s="2245"/>
      <c r="N685" s="2245"/>
      <c r="O685" s="2245"/>
    </row>
    <row r="686" spans="1:15" s="2244" customFormat="1" ht="13.8" x14ac:dyDescent="0.25">
      <c r="A686" s="2404"/>
      <c r="B686" s="2404" t="s">
        <v>3413</v>
      </c>
      <c r="C686" s="2405" t="s">
        <v>3414</v>
      </c>
      <c r="D686" s="2405">
        <v>2.2999999999999998</v>
      </c>
      <c r="E686" s="2405">
        <f>F131</f>
        <v>2285.625</v>
      </c>
      <c r="F686" s="2405">
        <f>D686*E686</f>
        <v>5256.9375</v>
      </c>
      <c r="G686" s="2405"/>
      <c r="K686" s="2245"/>
      <c r="L686" s="2245"/>
      <c r="M686" s="2245"/>
      <c r="N686" s="2245"/>
      <c r="O686" s="2245"/>
    </row>
    <row r="687" spans="1:15" s="2244" customFormat="1" ht="13.8" x14ac:dyDescent="0.25">
      <c r="A687" s="2404"/>
      <c r="B687" s="2404" t="s">
        <v>3392</v>
      </c>
      <c r="C687" s="2405" t="s">
        <v>131</v>
      </c>
      <c r="D687" s="2405">
        <v>0.08</v>
      </c>
      <c r="E687" s="2405">
        <f>Material!E13</f>
        <v>23000</v>
      </c>
      <c r="F687" s="2405">
        <f>D687*E687</f>
        <v>1840</v>
      </c>
      <c r="G687" s="2405"/>
      <c r="K687" s="2245"/>
      <c r="L687" s="2245"/>
      <c r="M687" s="2245"/>
      <c r="N687" s="2245"/>
      <c r="O687" s="2245"/>
    </row>
    <row r="688" spans="1:15" s="2244" customFormat="1" ht="13.8" x14ac:dyDescent="0.25">
      <c r="A688" s="2404"/>
      <c r="B688" s="2404" t="s">
        <v>3501</v>
      </c>
      <c r="C688" s="2405" t="s">
        <v>134</v>
      </c>
      <c r="D688" s="2405">
        <v>27</v>
      </c>
      <c r="E688" s="2405">
        <v>52.5</v>
      </c>
      <c r="F688" s="2405">
        <f t="shared" ref="F688:F689" si="77">D688*E688</f>
        <v>1417.5</v>
      </c>
      <c r="G688" s="2405"/>
      <c r="K688" s="2245"/>
      <c r="L688" s="2245"/>
      <c r="M688" s="2245"/>
      <c r="N688" s="2245"/>
      <c r="O688" s="2245"/>
    </row>
    <row r="689" spans="1:15" s="2244" customFormat="1" ht="13.8" x14ac:dyDescent="0.25">
      <c r="A689" s="2404"/>
      <c r="B689" s="2404" t="s">
        <v>3505</v>
      </c>
      <c r="C689" s="2405" t="s">
        <v>1314</v>
      </c>
      <c r="D689" s="2405">
        <v>1</v>
      </c>
      <c r="E689" s="2405">
        <v>260</v>
      </c>
      <c r="F689" s="2405">
        <f t="shared" si="77"/>
        <v>260</v>
      </c>
      <c r="G689" s="2405"/>
      <c r="K689" s="2245"/>
      <c r="L689" s="2245"/>
      <c r="M689" s="2245"/>
      <c r="N689" s="2245"/>
      <c r="O689" s="2245"/>
    </row>
    <row r="690" spans="1:15" s="2244" customFormat="1" ht="13.8" x14ac:dyDescent="0.25">
      <c r="A690" s="2252"/>
      <c r="B690" s="2252"/>
      <c r="C690" s="2253"/>
      <c r="D690" s="2253"/>
      <c r="E690" s="2253"/>
      <c r="F690" s="2253"/>
      <c r="G690" s="2253"/>
      <c r="K690" s="2245"/>
      <c r="L690" s="2245"/>
      <c r="M690" s="2245"/>
      <c r="N690" s="2245"/>
      <c r="O690" s="2245"/>
    </row>
    <row r="691" spans="1:15" s="2244" customFormat="1" ht="13.8" x14ac:dyDescent="0.25">
      <c r="A691" s="2257"/>
      <c r="B691" s="2924" t="s">
        <v>3363</v>
      </c>
      <c r="C691" s="2930"/>
      <c r="D691" s="2930"/>
      <c r="E691" s="2926"/>
      <c r="F691" s="2258"/>
      <c r="G691" s="2259">
        <f>SUM(F685:F690)</f>
        <v>8774.4375</v>
      </c>
      <c r="K691" s="2245"/>
      <c r="L691" s="2245"/>
      <c r="M691" s="2245"/>
      <c r="N691" s="2245"/>
      <c r="O691" s="2245"/>
    </row>
    <row r="692" spans="1:15" s="2244" customFormat="1" ht="13.8" x14ac:dyDescent="0.25">
      <c r="A692" s="2248"/>
      <c r="B692" s="2251" t="s">
        <v>3349</v>
      </c>
      <c r="C692" s="2249"/>
      <c r="D692" s="2250"/>
      <c r="E692" s="2250"/>
      <c r="F692" s="2250">
        <f>D692*E692</f>
        <v>0</v>
      </c>
      <c r="G692" s="2250"/>
      <c r="K692" s="2245"/>
      <c r="L692" s="2245"/>
      <c r="M692" s="2245"/>
      <c r="N692" s="2245"/>
      <c r="O692" s="2245"/>
    </row>
    <row r="693" spans="1:15" s="2244" customFormat="1" ht="13.8" x14ac:dyDescent="0.25">
      <c r="A693" s="2248"/>
      <c r="B693" s="2251"/>
      <c r="C693" s="2249"/>
      <c r="D693" s="2250"/>
      <c r="E693" s="2250"/>
      <c r="F693" s="2250"/>
      <c r="G693" s="2250"/>
      <c r="K693" s="2245"/>
      <c r="L693" s="2245"/>
      <c r="M693" s="2245"/>
      <c r="N693" s="2245"/>
      <c r="O693" s="2245"/>
    </row>
    <row r="694" spans="1:15" s="2244" customFormat="1" ht="13.8" x14ac:dyDescent="0.25">
      <c r="A694" s="2404"/>
      <c r="B694" s="2404" t="s">
        <v>3357</v>
      </c>
      <c r="C694" s="2405" t="s">
        <v>1846</v>
      </c>
      <c r="D694" s="2405">
        <v>100</v>
      </c>
      <c r="E694" s="2405">
        <v>80</v>
      </c>
      <c r="F694" s="2405">
        <f>D694*E694</f>
        <v>8000</v>
      </c>
      <c r="G694" s="2405"/>
      <c r="K694" s="2245"/>
      <c r="L694" s="2245"/>
      <c r="M694" s="2245"/>
      <c r="N694" s="2245"/>
      <c r="O694" s="2245"/>
    </row>
    <row r="695" spans="1:15" s="2244" customFormat="1" ht="13.8" x14ac:dyDescent="0.25">
      <c r="A695" s="2248"/>
      <c r="B695" s="2248"/>
      <c r="C695" s="2250"/>
      <c r="D695" s="2250"/>
      <c r="E695" s="2250"/>
      <c r="F695" s="2250"/>
      <c r="G695" s="2250"/>
      <c r="K695" s="2245"/>
      <c r="L695" s="2245"/>
      <c r="M695" s="2245"/>
      <c r="N695" s="2245"/>
      <c r="O695" s="2245"/>
    </row>
    <row r="696" spans="1:15" s="2244" customFormat="1" ht="13.8" x14ac:dyDescent="0.25">
      <c r="A696" s="2248"/>
      <c r="B696" s="2248" t="s">
        <v>3472</v>
      </c>
      <c r="C696" s="2250"/>
      <c r="D696" s="2250"/>
      <c r="E696" s="2250"/>
      <c r="F696" s="2250">
        <f>F694*3%</f>
        <v>240</v>
      </c>
      <c r="G696" s="2250"/>
      <c r="K696" s="2245"/>
      <c r="L696" s="2245"/>
      <c r="M696" s="2245"/>
      <c r="N696" s="2245"/>
      <c r="O696" s="2245"/>
    </row>
    <row r="697" spans="1:15" s="2244" customFormat="1" ht="13.8" x14ac:dyDescent="0.25">
      <c r="A697" s="2248"/>
      <c r="B697" s="2248" t="s">
        <v>3473</v>
      </c>
      <c r="C697" s="2250"/>
      <c r="D697" s="2250"/>
      <c r="E697" s="2250"/>
      <c r="F697" s="2250">
        <f>F694*5%</f>
        <v>400</v>
      </c>
      <c r="G697" s="2250"/>
      <c r="K697" s="2245"/>
      <c r="L697" s="2245"/>
      <c r="M697" s="2245"/>
      <c r="N697" s="2245"/>
      <c r="O697" s="2245"/>
    </row>
    <row r="698" spans="1:15" s="2244" customFormat="1" ht="13.8" x14ac:dyDescent="0.25">
      <c r="A698" s="2248"/>
      <c r="B698" s="2248"/>
      <c r="C698" s="2249"/>
      <c r="D698" s="2250"/>
      <c r="E698" s="2250"/>
      <c r="F698" s="2250"/>
      <c r="G698" s="2250"/>
      <c r="K698" s="2245"/>
      <c r="L698" s="2245"/>
      <c r="M698" s="2245"/>
      <c r="N698" s="2245"/>
      <c r="O698" s="2245"/>
    </row>
    <row r="699" spans="1:15" s="2244" customFormat="1" ht="13.8" x14ac:dyDescent="0.25">
      <c r="A699" s="2257"/>
      <c r="B699" s="2924" t="s">
        <v>3351</v>
      </c>
      <c r="C699" s="2930"/>
      <c r="D699" s="2930"/>
      <c r="E699" s="2926"/>
      <c r="F699" s="2258">
        <f>D699*E699</f>
        <v>0</v>
      </c>
      <c r="G699" s="2259">
        <f>SUM(F694:F699)</f>
        <v>8640</v>
      </c>
      <c r="K699" s="2245"/>
      <c r="L699" s="2245"/>
      <c r="M699" s="2245"/>
      <c r="N699" s="2245"/>
      <c r="O699" s="2245"/>
    </row>
    <row r="700" spans="1:15" s="2244" customFormat="1" ht="13.8" x14ac:dyDescent="0.25">
      <c r="A700" s="2248"/>
      <c r="B700" s="2260"/>
      <c r="C700" s="2260"/>
      <c r="D700" s="2260"/>
      <c r="E700" s="2260"/>
      <c r="F700" s="2250"/>
      <c r="G700" s="2260"/>
      <c r="K700" s="2245"/>
      <c r="L700" s="2245"/>
      <c r="M700" s="2245"/>
      <c r="N700" s="2245"/>
      <c r="O700" s="2245"/>
    </row>
    <row r="701" spans="1:15" s="2244" customFormat="1" ht="13.8" x14ac:dyDescent="0.25">
      <c r="A701" s="2248"/>
      <c r="B701" s="2260"/>
      <c r="C701" s="2260"/>
      <c r="D701" s="2260"/>
      <c r="E701" s="2260"/>
      <c r="F701" s="2250"/>
      <c r="G701" s="2260"/>
      <c r="K701" s="2245"/>
      <c r="L701" s="2245"/>
      <c r="M701" s="2245"/>
      <c r="N701" s="2245"/>
      <c r="O701" s="2245"/>
    </row>
    <row r="702" spans="1:15" s="2244" customFormat="1" ht="13.8" x14ac:dyDescent="0.25">
      <c r="A702" s="2906" t="s">
        <v>3379</v>
      </c>
      <c r="B702" s="2907"/>
      <c r="C702" s="2907"/>
      <c r="D702" s="2907"/>
      <c r="E702" s="2907"/>
      <c r="F702" s="2908"/>
      <c r="G702" s="2261">
        <f>G691+G699</f>
        <v>17414.4375</v>
      </c>
      <c r="K702" s="2245"/>
      <c r="L702" s="2245"/>
      <c r="M702" s="2245"/>
      <c r="N702" s="2245"/>
      <c r="O702" s="2245"/>
    </row>
    <row r="703" spans="1:15" s="2244" customFormat="1" ht="13.8" x14ac:dyDescent="0.25">
      <c r="A703" s="2906" t="s">
        <v>3380</v>
      </c>
      <c r="B703" s="2907"/>
      <c r="C703" s="2907"/>
      <c r="D703" s="2907"/>
      <c r="E703" s="2907"/>
      <c r="F703" s="2908"/>
      <c r="G703" s="2261">
        <f>G702/9.29</f>
        <v>1874.5357911733047</v>
      </c>
      <c r="K703" s="2245"/>
      <c r="L703" s="2245"/>
      <c r="M703" s="2245"/>
      <c r="N703" s="2245"/>
      <c r="O703" s="2245"/>
    </row>
    <row r="704" spans="1:15" s="2244" customFormat="1" ht="13.8" x14ac:dyDescent="0.25">
      <c r="A704" s="2906" t="s">
        <v>3381</v>
      </c>
      <c r="B704" s="2907"/>
      <c r="C704" s="2907"/>
      <c r="D704" s="2907"/>
      <c r="E704" s="2907"/>
      <c r="F704" s="2908"/>
      <c r="G704" s="2261">
        <f>G703/10.76</f>
        <v>174.21336349194283</v>
      </c>
      <c r="K704" s="2245"/>
      <c r="L704" s="2245"/>
      <c r="M704" s="2245"/>
      <c r="N704" s="2245"/>
      <c r="O704" s="2245"/>
    </row>
    <row r="710" spans="1:15" s="2244" customFormat="1" x14ac:dyDescent="0.25">
      <c r="K710" s="2245"/>
      <c r="L710" s="2245"/>
      <c r="M710" s="2245"/>
      <c r="N710" s="2245"/>
      <c r="O710" s="2245"/>
    </row>
    <row r="711" spans="1:15" s="2244" customFormat="1" x14ac:dyDescent="0.25">
      <c r="K711" s="2245"/>
      <c r="L711" s="2245"/>
      <c r="M711" s="2245"/>
      <c r="N711" s="2245"/>
      <c r="O711" s="2245"/>
    </row>
    <row r="712" spans="1:15" s="2244" customFormat="1" x14ac:dyDescent="0.25">
      <c r="K712" s="2245"/>
      <c r="L712" s="2245"/>
      <c r="M712" s="2245"/>
      <c r="N712" s="2245"/>
      <c r="O712" s="2245"/>
    </row>
    <row r="713" spans="1:15" s="2244" customFormat="1" ht="13.8" thickBot="1" x14ac:dyDescent="0.3">
      <c r="K713" s="2245"/>
      <c r="L713" s="2245"/>
      <c r="M713" s="2245"/>
      <c r="N713" s="2245"/>
      <c r="O713" s="2245"/>
    </row>
    <row r="714" spans="1:15" s="2244" customFormat="1" ht="13.8" x14ac:dyDescent="0.25">
      <c r="A714" s="2918" t="s">
        <v>3474</v>
      </c>
      <c r="B714" s="2919"/>
      <c r="C714" s="2919"/>
      <c r="D714" s="2919"/>
      <c r="E714" s="2919"/>
      <c r="F714" s="2919"/>
      <c r="G714" s="2920"/>
      <c r="K714" s="2245"/>
      <c r="L714" s="2245"/>
      <c r="M714" s="2245"/>
      <c r="N714" s="2245"/>
      <c r="O714" s="2245"/>
    </row>
    <row r="715" spans="1:15" s="2244" customFormat="1" ht="14.4" thickBot="1" x14ac:dyDescent="0.3">
      <c r="A715" s="2921" t="s">
        <v>3344</v>
      </c>
      <c r="B715" s="2922"/>
      <c r="C715" s="2922"/>
      <c r="D715" s="2922"/>
      <c r="E715" s="2922"/>
      <c r="F715" s="2922"/>
      <c r="G715" s="2923"/>
      <c r="K715" s="2245"/>
      <c r="L715" s="2245"/>
      <c r="M715" s="2245"/>
      <c r="N715" s="2245"/>
      <c r="O715" s="2245"/>
    </row>
    <row r="716" spans="1:15" s="2244" customFormat="1" ht="14.4" thickBot="1" x14ac:dyDescent="0.3">
      <c r="A716" s="2246"/>
      <c r="B716" s="2247" t="s">
        <v>3345</v>
      </c>
      <c r="C716" s="2247" t="s">
        <v>3346</v>
      </c>
      <c r="D716" s="2247" t="s">
        <v>2</v>
      </c>
      <c r="E716" s="2247" t="s">
        <v>3347</v>
      </c>
      <c r="F716" s="2247" t="s">
        <v>5</v>
      </c>
      <c r="G716" s="2247" t="s">
        <v>3348</v>
      </c>
      <c r="K716" s="2245"/>
      <c r="L716" s="2245"/>
      <c r="M716" s="2245"/>
      <c r="N716" s="2245"/>
      <c r="O716" s="2245"/>
    </row>
    <row r="717" spans="1:15" s="2244" customFormat="1" ht="13.8" x14ac:dyDescent="0.25">
      <c r="A717" s="2248"/>
      <c r="B717" s="2248"/>
      <c r="C717" s="2249"/>
      <c r="D717" s="2250"/>
      <c r="E717" s="2250"/>
      <c r="F717" s="2250"/>
      <c r="G717" s="2250"/>
      <c r="K717" s="2245"/>
      <c r="L717" s="2245"/>
      <c r="M717" s="2245"/>
      <c r="N717" s="2245"/>
      <c r="O717" s="2245"/>
    </row>
    <row r="718" spans="1:15" s="2244" customFormat="1" ht="13.8" x14ac:dyDescent="0.25">
      <c r="A718" s="2248"/>
      <c r="B718" s="2251" t="s">
        <v>3362</v>
      </c>
      <c r="C718" s="2249"/>
      <c r="D718" s="2250"/>
      <c r="E718" s="2250"/>
      <c r="F718" s="2250"/>
      <c r="G718" s="2250"/>
      <c r="K718" s="2245"/>
      <c r="L718" s="2245"/>
      <c r="M718" s="2245"/>
      <c r="N718" s="2245"/>
      <c r="O718" s="2245"/>
    </row>
    <row r="719" spans="1:15" s="2244" customFormat="1" ht="13.8" x14ac:dyDescent="0.25">
      <c r="A719" s="2248"/>
      <c r="B719" s="2248"/>
      <c r="C719" s="2249"/>
      <c r="D719" s="2250"/>
      <c r="E719" s="2250"/>
      <c r="F719" s="2250"/>
      <c r="G719" s="2250"/>
      <c r="K719" s="2245"/>
      <c r="L719" s="2245"/>
      <c r="M719" s="2245"/>
      <c r="N719" s="2245"/>
      <c r="O719" s="2245"/>
    </row>
    <row r="720" spans="1:15" s="2244" customFormat="1" ht="13.8" x14ac:dyDescent="0.25">
      <c r="A720" s="2404"/>
      <c r="B720" s="2404" t="s">
        <v>3413</v>
      </c>
      <c r="C720" s="2405" t="s">
        <v>3414</v>
      </c>
      <c r="D720" s="2405">
        <v>0.95</v>
      </c>
      <c r="E720" s="2405">
        <f>F131</f>
        <v>2285.625</v>
      </c>
      <c r="F720" s="2405">
        <f>D720*E720</f>
        <v>2171.34375</v>
      </c>
      <c r="G720" s="2405"/>
      <c r="K720" s="2245"/>
      <c r="L720" s="2245"/>
      <c r="M720" s="2245"/>
      <c r="N720" s="2245"/>
      <c r="O720" s="2245"/>
    </row>
    <row r="721" spans="1:15" s="2244" customFormat="1" ht="13.8" x14ac:dyDescent="0.25">
      <c r="A721" s="2404"/>
      <c r="B721" s="2404" t="s">
        <v>3392</v>
      </c>
      <c r="C721" s="2405" t="s">
        <v>131</v>
      </c>
      <c r="D721" s="2405">
        <v>7.0000000000000007E-2</v>
      </c>
      <c r="E721" s="2405">
        <f>Material!E13</f>
        <v>23000</v>
      </c>
      <c r="F721" s="2405">
        <f>D721*E721</f>
        <v>1610.0000000000002</v>
      </c>
      <c r="G721" s="2405"/>
      <c r="K721" s="2245"/>
      <c r="L721" s="2245"/>
      <c r="M721" s="2245"/>
      <c r="N721" s="2245"/>
      <c r="O721" s="2245"/>
    </row>
    <row r="722" spans="1:15" s="2244" customFormat="1" ht="13.8" x14ac:dyDescent="0.25">
      <c r="A722" s="2404"/>
      <c r="B722" s="2422" t="s">
        <v>3475</v>
      </c>
      <c r="C722" s="2405" t="s">
        <v>3476</v>
      </c>
      <c r="D722" s="2405">
        <v>0.2</v>
      </c>
      <c r="E722" s="2405">
        <f>Material!E41</f>
        <v>345</v>
      </c>
      <c r="F722" s="2405">
        <f>D722*E722</f>
        <v>69</v>
      </c>
      <c r="G722" s="2405"/>
      <c r="K722" s="2245"/>
      <c r="L722" s="2245"/>
      <c r="M722" s="2245"/>
      <c r="N722" s="2245"/>
      <c r="O722" s="2245"/>
    </row>
    <row r="723" spans="1:15" s="2423" customFormat="1" ht="13.8" x14ac:dyDescent="0.25">
      <c r="A723" s="2404"/>
      <c r="B723" s="2404" t="s">
        <v>3477</v>
      </c>
      <c r="C723" s="2405" t="s">
        <v>695</v>
      </c>
      <c r="D723" s="2405">
        <v>1.5</v>
      </c>
      <c r="E723" s="2405">
        <v>400</v>
      </c>
      <c r="F723" s="2405">
        <f>D723*E723</f>
        <v>600</v>
      </c>
      <c r="G723" s="2405"/>
      <c r="K723" s="2424"/>
      <c r="L723" s="2424"/>
      <c r="M723" s="2424"/>
      <c r="N723" s="2424"/>
      <c r="O723" s="2424"/>
    </row>
    <row r="724" spans="1:15" s="2423" customFormat="1" ht="13.8" x14ac:dyDescent="0.25">
      <c r="A724" s="2404"/>
      <c r="B724" s="2404" t="s">
        <v>3501</v>
      </c>
      <c r="C724" s="2405" t="s">
        <v>134</v>
      </c>
      <c r="D724" s="2405">
        <v>27</v>
      </c>
      <c r="E724" s="2405">
        <v>52.5</v>
      </c>
      <c r="F724" s="2405">
        <f t="shared" ref="F724:F725" si="78">D724*E724</f>
        <v>1417.5</v>
      </c>
      <c r="G724" s="2405"/>
      <c r="K724" s="2424"/>
      <c r="L724" s="2424"/>
      <c r="M724" s="2424"/>
      <c r="N724" s="2424"/>
      <c r="O724" s="2424"/>
    </row>
    <row r="725" spans="1:15" s="2423" customFormat="1" ht="13.8" x14ac:dyDescent="0.25">
      <c r="A725" s="2404"/>
      <c r="B725" s="2404" t="s">
        <v>3505</v>
      </c>
      <c r="C725" s="2405" t="s">
        <v>1314</v>
      </c>
      <c r="D725" s="2405">
        <v>1</v>
      </c>
      <c r="E725" s="2405">
        <v>260</v>
      </c>
      <c r="F725" s="2405">
        <f t="shared" si="78"/>
        <v>260</v>
      </c>
      <c r="G725" s="2405"/>
      <c r="K725" s="2424"/>
      <c r="L725" s="2424"/>
      <c r="M725" s="2424"/>
      <c r="N725" s="2424"/>
      <c r="O725" s="2424"/>
    </row>
    <row r="726" spans="1:15" s="2244" customFormat="1" ht="13.8" x14ac:dyDescent="0.25">
      <c r="A726" s="2252"/>
      <c r="B726" s="2252"/>
      <c r="C726" s="2253"/>
      <c r="D726" s="2253"/>
      <c r="E726" s="2253"/>
      <c r="F726" s="2253"/>
      <c r="G726" s="2253"/>
      <c r="K726" s="2245"/>
      <c r="L726" s="2245"/>
      <c r="M726" s="2245"/>
      <c r="N726" s="2245"/>
      <c r="O726" s="2245"/>
    </row>
    <row r="727" spans="1:15" s="2244" customFormat="1" ht="13.8" x14ac:dyDescent="0.25">
      <c r="A727" s="2257"/>
      <c r="B727" s="2927" t="s">
        <v>3363</v>
      </c>
      <c r="C727" s="2927"/>
      <c r="D727" s="2927"/>
      <c r="E727" s="2927"/>
      <c r="F727" s="2258"/>
      <c r="G727" s="2259">
        <f>SUM(F719:F726)</f>
        <v>6127.84375</v>
      </c>
      <c r="K727" s="2245"/>
      <c r="L727" s="2245"/>
      <c r="M727" s="2245"/>
      <c r="N727" s="2245"/>
      <c r="O727" s="2245"/>
    </row>
    <row r="728" spans="1:15" s="2244" customFormat="1" ht="13.8" x14ac:dyDescent="0.25">
      <c r="A728" s="2248"/>
      <c r="B728" s="2251" t="s">
        <v>3349</v>
      </c>
      <c r="C728" s="2249"/>
      <c r="D728" s="2250"/>
      <c r="E728" s="2250"/>
      <c r="F728" s="2250">
        <f>D728*E728</f>
        <v>0</v>
      </c>
      <c r="G728" s="2250"/>
      <c r="K728" s="2245"/>
      <c r="L728" s="2245"/>
      <c r="M728" s="2245"/>
      <c r="N728" s="2245"/>
      <c r="O728" s="2245"/>
    </row>
    <row r="729" spans="1:15" s="2244" customFormat="1" ht="13.8" x14ac:dyDescent="0.25">
      <c r="A729" s="2248"/>
      <c r="B729" s="2251"/>
      <c r="C729" s="2249"/>
      <c r="D729" s="2250"/>
      <c r="E729" s="2250"/>
      <c r="F729" s="2250"/>
      <c r="G729" s="2250"/>
      <c r="K729" s="2245"/>
      <c r="L729" s="2245"/>
      <c r="M729" s="2245"/>
      <c r="N729" s="2245"/>
      <c r="O729" s="2245"/>
    </row>
    <row r="730" spans="1:15" s="2244" customFormat="1" ht="13.8" x14ac:dyDescent="0.25">
      <c r="A730" s="2404"/>
      <c r="B730" s="2404" t="s">
        <v>3357</v>
      </c>
      <c r="C730" s="2405" t="s">
        <v>1846</v>
      </c>
      <c r="D730" s="2405">
        <v>100</v>
      </c>
      <c r="E730" s="2405">
        <v>75</v>
      </c>
      <c r="F730" s="2405">
        <f>D730*E730</f>
        <v>7500</v>
      </c>
      <c r="G730" s="2405"/>
      <c r="K730" s="2245"/>
      <c r="L730" s="2245"/>
      <c r="M730" s="2245"/>
      <c r="N730" s="2245"/>
      <c r="O730" s="2245"/>
    </row>
    <row r="731" spans="1:15" s="2244" customFormat="1" ht="13.8" x14ac:dyDescent="0.25">
      <c r="A731" s="2248"/>
      <c r="B731" s="2248"/>
      <c r="C731" s="2250"/>
      <c r="D731" s="2250"/>
      <c r="E731" s="2250"/>
      <c r="F731" s="2250"/>
      <c r="G731" s="2250"/>
      <c r="K731" s="2245"/>
      <c r="L731" s="2245"/>
      <c r="M731" s="2245"/>
      <c r="N731" s="2245"/>
      <c r="O731" s="2245"/>
    </row>
    <row r="732" spans="1:15" s="2244" customFormat="1" ht="13.8" x14ac:dyDescent="0.25">
      <c r="A732" s="2248"/>
      <c r="B732" s="2248" t="s">
        <v>3472</v>
      </c>
      <c r="C732" s="2250"/>
      <c r="D732" s="2250"/>
      <c r="E732" s="2250"/>
      <c r="F732" s="2250">
        <f>F730*3%</f>
        <v>225</v>
      </c>
      <c r="G732" s="2250"/>
      <c r="K732" s="2245"/>
      <c r="L732" s="2245"/>
      <c r="M732" s="2245"/>
      <c r="N732" s="2245"/>
      <c r="O732" s="2245"/>
    </row>
    <row r="733" spans="1:15" s="2244" customFormat="1" ht="13.8" x14ac:dyDescent="0.25">
      <c r="A733" s="2248"/>
      <c r="B733" s="2248" t="s">
        <v>3473</v>
      </c>
      <c r="C733" s="2250"/>
      <c r="D733" s="2250"/>
      <c r="E733" s="2250"/>
      <c r="F733" s="2250">
        <f>F730*5%</f>
        <v>375</v>
      </c>
      <c r="G733" s="2250"/>
      <c r="K733" s="2245"/>
      <c r="L733" s="2245"/>
      <c r="M733" s="2245"/>
      <c r="N733" s="2245"/>
      <c r="O733" s="2245"/>
    </row>
    <row r="734" spans="1:15" s="2244" customFormat="1" ht="13.8" x14ac:dyDescent="0.25">
      <c r="A734" s="2248"/>
      <c r="B734" s="2248"/>
      <c r="C734" s="2249"/>
      <c r="D734" s="2250"/>
      <c r="E734" s="2250"/>
      <c r="F734" s="2250"/>
      <c r="G734" s="2250"/>
      <c r="K734" s="2245"/>
      <c r="L734" s="2245"/>
      <c r="M734" s="2245"/>
      <c r="N734" s="2245"/>
      <c r="O734" s="2245"/>
    </row>
    <row r="735" spans="1:15" s="2244" customFormat="1" ht="13.8" x14ac:dyDescent="0.25">
      <c r="A735" s="2257"/>
      <c r="B735" s="2927" t="s">
        <v>3351</v>
      </c>
      <c r="C735" s="2927"/>
      <c r="D735" s="2927"/>
      <c r="E735" s="2927"/>
      <c r="F735" s="2258">
        <f>D735*E735</f>
        <v>0</v>
      </c>
      <c r="G735" s="2259">
        <f>SUM(F730:F735)</f>
        <v>8100</v>
      </c>
      <c r="K735" s="2245"/>
      <c r="L735" s="2245"/>
      <c r="M735" s="2245"/>
      <c r="N735" s="2245"/>
      <c r="O735" s="2245"/>
    </row>
    <row r="736" spans="1:15" s="2244" customFormat="1" ht="13.8" x14ac:dyDescent="0.25">
      <c r="A736" s="2248"/>
      <c r="B736" s="2260"/>
      <c r="C736" s="2260"/>
      <c r="D736" s="2260"/>
      <c r="E736" s="2260"/>
      <c r="F736" s="2250"/>
      <c r="G736" s="2260"/>
      <c r="K736" s="2245"/>
      <c r="L736" s="2245"/>
      <c r="M736" s="2245"/>
      <c r="N736" s="2245"/>
      <c r="O736" s="2245"/>
    </row>
    <row r="737" spans="1:15" s="2244" customFormat="1" ht="13.8" x14ac:dyDescent="0.25">
      <c r="A737" s="2248"/>
      <c r="B737" s="2260"/>
      <c r="C737" s="2260"/>
      <c r="D737" s="2260"/>
      <c r="E737" s="2260"/>
      <c r="F737" s="2250"/>
      <c r="G737" s="2260"/>
      <c r="K737" s="2245"/>
      <c r="L737" s="2245"/>
      <c r="M737" s="2245"/>
      <c r="N737" s="2245"/>
      <c r="O737" s="2245"/>
    </row>
    <row r="738" spans="1:15" s="2244" customFormat="1" ht="13.8" x14ac:dyDescent="0.25">
      <c r="A738" s="2928" t="s">
        <v>3379</v>
      </c>
      <c r="B738" s="2928"/>
      <c r="C738" s="2928"/>
      <c r="D738" s="2928"/>
      <c r="E738" s="2928"/>
      <c r="F738" s="2928"/>
      <c r="G738" s="2261">
        <f>G727+G735</f>
        <v>14227.84375</v>
      </c>
      <c r="K738" s="2245"/>
      <c r="L738" s="2245"/>
      <c r="M738" s="2245"/>
      <c r="N738" s="2245"/>
      <c r="O738" s="2245"/>
    </row>
    <row r="739" spans="1:15" s="2244" customFormat="1" ht="13.8" x14ac:dyDescent="0.25">
      <c r="A739" s="2928" t="s">
        <v>3380</v>
      </c>
      <c r="B739" s="2928"/>
      <c r="C739" s="2928"/>
      <c r="D739" s="2928"/>
      <c r="E739" s="2928"/>
      <c r="F739" s="2928"/>
      <c r="G739" s="2261">
        <f>G738/9.29</f>
        <v>1531.5224703982778</v>
      </c>
      <c r="K739" s="2245"/>
      <c r="L739" s="2245"/>
      <c r="M739" s="2245"/>
      <c r="N739" s="2245"/>
      <c r="O739" s="2245"/>
    </row>
    <row r="740" spans="1:15" s="2244" customFormat="1" ht="13.8" x14ac:dyDescent="0.25">
      <c r="A740" s="2928" t="s">
        <v>3381</v>
      </c>
      <c r="B740" s="2928"/>
      <c r="C740" s="2928"/>
      <c r="D740" s="2928"/>
      <c r="E740" s="2928"/>
      <c r="F740" s="2928"/>
      <c r="G740" s="2261">
        <f>G739/10.76</f>
        <v>142.33480208162433</v>
      </c>
      <c r="K740" s="2245"/>
      <c r="L740" s="2245"/>
      <c r="M740" s="2245"/>
      <c r="N740" s="2245"/>
      <c r="O740" s="2245"/>
    </row>
    <row r="741" spans="1:15" s="2244" customFormat="1" x14ac:dyDescent="0.25">
      <c r="K741" s="2245"/>
      <c r="L741" s="2245"/>
      <c r="M741" s="2245"/>
      <c r="N741" s="2245"/>
      <c r="O741" s="2245"/>
    </row>
    <row r="742" spans="1:15" s="2244" customFormat="1" x14ac:dyDescent="0.25">
      <c r="K742" s="2245"/>
      <c r="L742" s="2245"/>
      <c r="M742" s="2245"/>
      <c r="N742" s="2245"/>
      <c r="O742" s="2245"/>
    </row>
    <row r="743" spans="1:15" s="2244" customFormat="1" ht="13.8" thickBot="1" x14ac:dyDescent="0.3">
      <c r="K743" s="2245"/>
      <c r="L743" s="2245"/>
      <c r="M743" s="2245"/>
      <c r="N743" s="2245"/>
      <c r="O743" s="2245"/>
    </row>
    <row r="744" spans="1:15" s="2244" customFormat="1" ht="13.8" x14ac:dyDescent="0.25">
      <c r="A744" s="2918" t="s">
        <v>3478</v>
      </c>
      <c r="B744" s="2919"/>
      <c r="C744" s="2919"/>
      <c r="D744" s="2919"/>
      <c r="E744" s="2919"/>
      <c r="F744" s="2919"/>
      <c r="G744" s="2920"/>
      <c r="K744" s="2245"/>
      <c r="L744" s="2245"/>
      <c r="M744" s="2245"/>
      <c r="N744" s="2245"/>
      <c r="O744" s="2245"/>
    </row>
    <row r="745" spans="1:15" s="2244" customFormat="1" ht="14.4" thickBot="1" x14ac:dyDescent="0.3">
      <c r="A745" s="2921" t="s">
        <v>3344</v>
      </c>
      <c r="B745" s="2922"/>
      <c r="C745" s="2922"/>
      <c r="D745" s="2922"/>
      <c r="E745" s="2922"/>
      <c r="F745" s="2922"/>
      <c r="G745" s="2923"/>
      <c r="K745" s="2245"/>
      <c r="L745" s="2245"/>
      <c r="M745" s="2245"/>
      <c r="N745" s="2245"/>
      <c r="O745" s="2245"/>
    </row>
    <row r="746" spans="1:15" s="2244" customFormat="1" ht="14.4" thickBot="1" x14ac:dyDescent="0.3">
      <c r="A746" s="2246"/>
      <c r="B746" s="2247" t="s">
        <v>3345</v>
      </c>
      <c r="C746" s="2247" t="s">
        <v>3346</v>
      </c>
      <c r="D746" s="2247" t="s">
        <v>2</v>
      </c>
      <c r="E746" s="2247" t="s">
        <v>3347</v>
      </c>
      <c r="F746" s="2247" t="s">
        <v>5</v>
      </c>
      <c r="G746" s="2247" t="s">
        <v>3348</v>
      </c>
      <c r="K746" s="2245"/>
      <c r="L746" s="2245"/>
      <c r="M746" s="2245"/>
      <c r="N746" s="2245"/>
      <c r="O746" s="2245"/>
    </row>
    <row r="747" spans="1:15" s="2244" customFormat="1" ht="13.8" x14ac:dyDescent="0.25">
      <c r="A747" s="2248"/>
      <c r="B747" s="2248"/>
      <c r="C747" s="2249"/>
      <c r="D747" s="2250"/>
      <c r="E747" s="2250"/>
      <c r="F747" s="2250"/>
      <c r="G747" s="2250"/>
      <c r="K747" s="2245"/>
      <c r="L747" s="2245"/>
      <c r="M747" s="2245"/>
      <c r="N747" s="2245"/>
      <c r="O747" s="2245"/>
    </row>
    <row r="748" spans="1:15" s="2244" customFormat="1" ht="13.8" x14ac:dyDescent="0.25">
      <c r="A748" s="2248"/>
      <c r="B748" s="2251" t="s">
        <v>3362</v>
      </c>
      <c r="C748" s="2249"/>
      <c r="D748" s="2250"/>
      <c r="E748" s="2250"/>
      <c r="F748" s="2250"/>
      <c r="G748" s="2250"/>
      <c r="K748" s="2245"/>
      <c r="L748" s="2245"/>
      <c r="M748" s="2245"/>
      <c r="N748" s="2245"/>
      <c r="O748" s="2245"/>
    </row>
    <row r="749" spans="1:15" s="2244" customFormat="1" ht="13.8" x14ac:dyDescent="0.25">
      <c r="A749" s="2248"/>
      <c r="B749" s="2248"/>
      <c r="C749" s="2249"/>
      <c r="D749" s="2250"/>
      <c r="E749" s="2250"/>
      <c r="F749" s="2250"/>
      <c r="G749" s="2250"/>
      <c r="K749" s="2245"/>
      <c r="L749" s="2245"/>
      <c r="M749" s="2245"/>
      <c r="N749" s="2245"/>
      <c r="O749" s="2245"/>
    </row>
    <row r="750" spans="1:15" s="2244" customFormat="1" ht="13.8" x14ac:dyDescent="0.25">
      <c r="A750" s="2404"/>
      <c r="B750" s="2404" t="s">
        <v>3413</v>
      </c>
      <c r="C750" s="2405" t="s">
        <v>3414</v>
      </c>
      <c r="D750" s="2405">
        <v>1.21</v>
      </c>
      <c r="E750" s="2405">
        <f>F131</f>
        <v>2285.625</v>
      </c>
      <c r="F750" s="2405">
        <f>D750*E750</f>
        <v>2765.6062499999998</v>
      </c>
      <c r="G750" s="2405"/>
      <c r="K750" s="2245"/>
      <c r="L750" s="2245"/>
      <c r="M750" s="2245"/>
      <c r="N750" s="2245"/>
      <c r="O750" s="2245"/>
    </row>
    <row r="751" spans="1:15" s="2244" customFormat="1" ht="13.8" x14ac:dyDescent="0.25">
      <c r="A751" s="2404"/>
      <c r="B751" s="2404" t="s">
        <v>3392</v>
      </c>
      <c r="C751" s="2405" t="s">
        <v>131</v>
      </c>
      <c r="D751" s="2405">
        <v>0.08</v>
      </c>
      <c r="E751" s="2405">
        <f>Material!E13</f>
        <v>23000</v>
      </c>
      <c r="F751" s="2405">
        <f>D751*E751</f>
        <v>1840</v>
      </c>
      <c r="G751" s="2405"/>
      <c r="K751" s="2245"/>
      <c r="L751" s="2245"/>
      <c r="M751" s="2245"/>
      <c r="N751" s="2245"/>
      <c r="O751" s="2245"/>
    </row>
    <row r="752" spans="1:15" s="2244" customFormat="1" ht="13.8" x14ac:dyDescent="0.25">
      <c r="A752" s="2404"/>
      <c r="B752" s="2404" t="s">
        <v>3477</v>
      </c>
      <c r="C752" s="2405" t="s">
        <v>695</v>
      </c>
      <c r="D752" s="2405">
        <v>1.5</v>
      </c>
      <c r="E752" s="2405">
        <v>400</v>
      </c>
      <c r="F752" s="2405">
        <f>D752*E752</f>
        <v>600</v>
      </c>
      <c r="G752" s="2405"/>
      <c r="K752" s="2245"/>
      <c r="L752" s="2245"/>
      <c r="M752" s="2245"/>
      <c r="N752" s="2245"/>
      <c r="O752" s="2245"/>
    </row>
    <row r="753" spans="1:15" s="2244" customFormat="1" ht="13.8" x14ac:dyDescent="0.25">
      <c r="A753" s="2404"/>
      <c r="B753" s="2404" t="s">
        <v>3501</v>
      </c>
      <c r="C753" s="2405" t="s">
        <v>134</v>
      </c>
      <c r="D753" s="2405">
        <v>27</v>
      </c>
      <c r="E753" s="2405">
        <v>52.5</v>
      </c>
      <c r="F753" s="2405">
        <f t="shared" ref="F753" si="79">D753*E753</f>
        <v>1417.5</v>
      </c>
      <c r="G753" s="2405"/>
      <c r="K753" s="2245"/>
      <c r="L753" s="2245"/>
      <c r="M753" s="2245"/>
      <c r="N753" s="2245"/>
      <c r="O753" s="2245"/>
    </row>
    <row r="754" spans="1:15" s="2244" customFormat="1" ht="13.8" x14ac:dyDescent="0.25">
      <c r="A754" s="2404"/>
      <c r="B754" s="2404" t="s">
        <v>3505</v>
      </c>
      <c r="C754" s="2405" t="s">
        <v>1314</v>
      </c>
      <c r="D754" s="2405">
        <v>1</v>
      </c>
      <c r="E754" s="2405">
        <v>260</v>
      </c>
      <c r="F754" s="2405">
        <f>D754*E754</f>
        <v>260</v>
      </c>
      <c r="G754" s="2405"/>
      <c r="K754" s="2245"/>
      <c r="L754" s="2245"/>
      <c r="M754" s="2245"/>
      <c r="N754" s="2245"/>
      <c r="O754" s="2245"/>
    </row>
    <row r="755" spans="1:15" s="2244" customFormat="1" ht="13.8" x14ac:dyDescent="0.25">
      <c r="A755" s="2248"/>
      <c r="B755" s="2249"/>
      <c r="C755" s="2250"/>
      <c r="D755" s="2250"/>
      <c r="E755" s="2250"/>
      <c r="F755" s="2250"/>
      <c r="G755" s="2250"/>
      <c r="K755" s="2245"/>
      <c r="L755" s="2245"/>
      <c r="M755" s="2245"/>
      <c r="N755" s="2245"/>
      <c r="O755" s="2245"/>
    </row>
    <row r="756" spans="1:15" s="2244" customFormat="1" ht="13.8" x14ac:dyDescent="0.25">
      <c r="A756" s="2248"/>
      <c r="B756" s="2248"/>
      <c r="C756" s="2249"/>
      <c r="D756" s="2250"/>
      <c r="E756" s="2250"/>
      <c r="F756" s="2250"/>
      <c r="G756" s="2250"/>
      <c r="K756" s="2245"/>
      <c r="L756" s="2245"/>
      <c r="M756" s="2245"/>
      <c r="N756" s="2245"/>
      <c r="O756" s="2245"/>
    </row>
    <row r="757" spans="1:15" s="2244" customFormat="1" ht="13.8" x14ac:dyDescent="0.25">
      <c r="A757" s="2257"/>
      <c r="B757" s="2927" t="s">
        <v>3363</v>
      </c>
      <c r="C757" s="2927"/>
      <c r="D757" s="2927"/>
      <c r="E757" s="2927"/>
      <c r="F757" s="2258"/>
      <c r="G757" s="2259">
        <f>SUM(F748:F757)</f>
        <v>6883.1062499999998</v>
      </c>
      <c r="K757" s="2245"/>
      <c r="L757" s="2245"/>
      <c r="M757" s="2245"/>
      <c r="N757" s="2245"/>
      <c r="O757" s="2245"/>
    </row>
    <row r="758" spans="1:15" s="2244" customFormat="1" ht="13.8" x14ac:dyDescent="0.25">
      <c r="A758" s="2248"/>
      <c r="B758" s="2251" t="s">
        <v>3349</v>
      </c>
      <c r="C758" s="2249"/>
      <c r="D758" s="2250"/>
      <c r="E758" s="2250"/>
      <c r="F758" s="2250">
        <f>D758*E758</f>
        <v>0</v>
      </c>
      <c r="G758" s="2250"/>
      <c r="K758" s="2245"/>
      <c r="L758" s="2245"/>
      <c r="M758" s="2245"/>
      <c r="N758" s="2245"/>
      <c r="O758" s="2245"/>
    </row>
    <row r="759" spans="1:15" s="2244" customFormat="1" ht="13.8" x14ac:dyDescent="0.25">
      <c r="A759" s="2404"/>
      <c r="B759" s="2404" t="s">
        <v>3357</v>
      </c>
      <c r="C759" s="2405" t="s">
        <v>1846</v>
      </c>
      <c r="D759" s="2405">
        <v>100</v>
      </c>
      <c r="E759" s="2405">
        <v>100</v>
      </c>
      <c r="F759" s="2405">
        <f>D759*E759</f>
        <v>10000</v>
      </c>
      <c r="G759" s="2405"/>
      <c r="K759" s="2245"/>
      <c r="L759" s="2245"/>
      <c r="M759" s="2245"/>
      <c r="N759" s="2245"/>
      <c r="O759" s="2245"/>
    </row>
    <row r="760" spans="1:15" s="2244" customFormat="1" ht="13.8" x14ac:dyDescent="0.25">
      <c r="A760" s="2248"/>
      <c r="B760" s="2248"/>
      <c r="C760" s="2250"/>
      <c r="D760" s="2250"/>
      <c r="E760" s="2250"/>
      <c r="F760" s="2250"/>
      <c r="G760" s="2250"/>
      <c r="K760" s="2245"/>
      <c r="L760" s="2245"/>
      <c r="M760" s="2245"/>
      <c r="N760" s="2245"/>
      <c r="O760" s="2245"/>
    </row>
    <row r="761" spans="1:15" s="2244" customFormat="1" ht="13.8" x14ac:dyDescent="0.25">
      <c r="A761" s="2248"/>
      <c r="B761" s="2248" t="s">
        <v>3473</v>
      </c>
      <c r="C761" s="2250"/>
      <c r="D761" s="2250"/>
      <c r="E761" s="2250"/>
      <c r="F761" s="2250">
        <f>F759*5%</f>
        <v>500</v>
      </c>
      <c r="G761" s="2250"/>
      <c r="K761" s="2245"/>
      <c r="L761" s="2245"/>
      <c r="M761" s="2245"/>
      <c r="N761" s="2245"/>
      <c r="O761" s="2245"/>
    </row>
    <row r="762" spans="1:15" s="2244" customFormat="1" ht="13.8" x14ac:dyDescent="0.25">
      <c r="A762" s="2248"/>
      <c r="B762" s="2248"/>
      <c r="C762" s="2249"/>
      <c r="D762" s="2250"/>
      <c r="E762" s="2250"/>
      <c r="F762" s="2250"/>
      <c r="G762" s="2250"/>
      <c r="K762" s="2245"/>
      <c r="L762" s="2245"/>
      <c r="M762" s="2245"/>
      <c r="N762" s="2245"/>
      <c r="O762" s="2245"/>
    </row>
    <row r="763" spans="1:15" s="2244" customFormat="1" ht="13.8" x14ac:dyDescent="0.25">
      <c r="A763" s="2257"/>
      <c r="B763" s="2927" t="s">
        <v>3351</v>
      </c>
      <c r="C763" s="2927"/>
      <c r="D763" s="2927"/>
      <c r="E763" s="2927"/>
      <c r="F763" s="2258">
        <f>D763*E763</f>
        <v>0</v>
      </c>
      <c r="G763" s="2259">
        <f>SUM(F759:F763)</f>
        <v>10500</v>
      </c>
      <c r="K763" s="2245"/>
      <c r="L763" s="2245"/>
      <c r="M763" s="2245"/>
      <c r="N763" s="2245"/>
      <c r="O763" s="2245"/>
    </row>
    <row r="764" spans="1:15" s="2244" customFormat="1" ht="13.8" x14ac:dyDescent="0.25">
      <c r="A764" s="2248"/>
      <c r="B764" s="2260"/>
      <c r="C764" s="2260"/>
      <c r="D764" s="2260"/>
      <c r="E764" s="2260"/>
      <c r="F764" s="2250"/>
      <c r="G764" s="2260"/>
      <c r="K764" s="2245"/>
      <c r="L764" s="2245"/>
      <c r="M764" s="2245"/>
      <c r="N764" s="2245"/>
      <c r="O764" s="2245"/>
    </row>
    <row r="765" spans="1:15" s="2244" customFormat="1" ht="13.8" x14ac:dyDescent="0.25">
      <c r="A765" s="2248"/>
      <c r="B765" s="2260"/>
      <c r="C765" s="2260"/>
      <c r="D765" s="2260"/>
      <c r="E765" s="2260"/>
      <c r="F765" s="2250"/>
      <c r="G765" s="2260"/>
      <c r="K765" s="2245"/>
      <c r="L765" s="2245"/>
      <c r="M765" s="2245"/>
      <c r="N765" s="2245"/>
      <c r="O765" s="2245"/>
    </row>
    <row r="766" spans="1:15" s="2244" customFormat="1" ht="13.8" x14ac:dyDescent="0.25">
      <c r="A766" s="2928" t="s">
        <v>3379</v>
      </c>
      <c r="B766" s="2928"/>
      <c r="C766" s="2928"/>
      <c r="D766" s="2928"/>
      <c r="E766" s="2928"/>
      <c r="F766" s="2928"/>
      <c r="G766" s="2261">
        <f>G757+G763</f>
        <v>17383.106250000001</v>
      </c>
      <c r="K766" s="2245"/>
      <c r="L766" s="2245"/>
      <c r="M766" s="2245"/>
      <c r="N766" s="2245"/>
      <c r="O766" s="2245"/>
    </row>
    <row r="767" spans="1:15" s="2244" customFormat="1" ht="13.8" x14ac:dyDescent="0.25">
      <c r="A767" s="2928" t="s">
        <v>3380</v>
      </c>
      <c r="B767" s="2928"/>
      <c r="C767" s="2928"/>
      <c r="D767" s="2928"/>
      <c r="E767" s="2928"/>
      <c r="F767" s="2928"/>
      <c r="G767" s="2261">
        <f>G766/9.29</f>
        <v>1871.1632131324006</v>
      </c>
      <c r="K767" s="2245"/>
      <c r="L767" s="2245"/>
      <c r="M767" s="2245"/>
      <c r="N767" s="2245"/>
      <c r="O767" s="2245"/>
    </row>
    <row r="768" spans="1:15" s="2244" customFormat="1" ht="13.8" x14ac:dyDescent="0.25">
      <c r="A768" s="2928" t="s">
        <v>3381</v>
      </c>
      <c r="B768" s="2928"/>
      <c r="C768" s="2928"/>
      <c r="D768" s="2928"/>
      <c r="E768" s="2928"/>
      <c r="F768" s="2928"/>
      <c r="G768" s="2384">
        <f>G767/10.76</f>
        <v>173.89992687104095</v>
      </c>
      <c r="K768" s="2245"/>
      <c r="L768" s="2245"/>
      <c r="M768" s="2245"/>
      <c r="N768" s="2245"/>
      <c r="O768" s="2245"/>
    </row>
    <row r="770" spans="1:29" ht="13.8" thickBot="1" x14ac:dyDescent="0.3"/>
    <row r="771" spans="1:29" ht="13.8" x14ac:dyDescent="0.25">
      <c r="A771" s="2888" t="s">
        <v>3479</v>
      </c>
      <c r="B771" s="2889"/>
      <c r="C771" s="2889"/>
      <c r="D771" s="2889"/>
      <c r="E771" s="2889"/>
      <c r="F771" s="2889"/>
      <c r="G771" s="2890"/>
    </row>
    <row r="772" spans="1:29" ht="14.4" thickBot="1" x14ac:dyDescent="0.3">
      <c r="A772" s="2891" t="s">
        <v>3344</v>
      </c>
      <c r="B772" s="2892"/>
      <c r="C772" s="2892"/>
      <c r="D772" s="2892"/>
      <c r="E772" s="2892"/>
      <c r="F772" s="2892"/>
      <c r="G772" s="2893"/>
    </row>
    <row r="773" spans="1:29" s="2143" customFormat="1" ht="14.4" thickBot="1" x14ac:dyDescent="0.3">
      <c r="A773" s="2107"/>
      <c r="B773" s="2108" t="s">
        <v>3345</v>
      </c>
      <c r="C773" s="2108" t="s">
        <v>3346</v>
      </c>
      <c r="D773" s="2108" t="s">
        <v>2</v>
      </c>
      <c r="E773" s="2108" t="s">
        <v>3347</v>
      </c>
      <c r="F773" s="2108" t="s">
        <v>5</v>
      </c>
      <c r="G773" s="2108" t="s">
        <v>3348</v>
      </c>
      <c r="H773" s="2106"/>
      <c r="I773" s="2106"/>
      <c r="J773" s="2106"/>
      <c r="P773" s="2106"/>
      <c r="Q773" s="2106"/>
      <c r="R773" s="2106"/>
      <c r="S773" s="2106"/>
      <c r="T773" s="2106"/>
      <c r="U773" s="2106"/>
      <c r="V773" s="2106"/>
      <c r="W773" s="2106"/>
      <c r="X773" s="2106"/>
      <c r="Y773" s="2106"/>
      <c r="Z773" s="2106"/>
      <c r="AA773" s="2106"/>
      <c r="AB773" s="2106"/>
      <c r="AC773" s="2106"/>
    </row>
    <row r="774" spans="1:29" s="2143" customFormat="1" ht="13.8" x14ac:dyDescent="0.25">
      <c r="A774" s="2109"/>
      <c r="B774" s="2109"/>
      <c r="C774" s="2110"/>
      <c r="D774" s="2111"/>
      <c r="E774" s="2111"/>
      <c r="F774" s="2111"/>
      <c r="G774" s="2111"/>
      <c r="H774" s="2106"/>
      <c r="I774" s="2106"/>
      <c r="J774" s="2106"/>
      <c r="P774" s="2106"/>
      <c r="Q774" s="2106"/>
      <c r="R774" s="2106"/>
      <c r="S774" s="2106"/>
      <c r="T774" s="2106"/>
      <c r="U774" s="2106"/>
      <c r="V774" s="2106"/>
      <c r="W774" s="2106"/>
      <c r="X774" s="2106"/>
      <c r="Y774" s="2106"/>
      <c r="Z774" s="2106"/>
      <c r="AA774" s="2106"/>
      <c r="AB774" s="2106"/>
      <c r="AC774" s="2106"/>
    </row>
    <row r="775" spans="1:29" s="2143" customFormat="1" ht="13.8" x14ac:dyDescent="0.25">
      <c r="A775" s="2109"/>
      <c r="B775" s="2112" t="s">
        <v>3362</v>
      </c>
      <c r="C775" s="2110"/>
      <c r="D775" s="2111"/>
      <c r="E775" s="2111"/>
      <c r="F775" s="2111"/>
      <c r="G775" s="2111"/>
      <c r="H775" s="2106"/>
      <c r="I775" s="2106"/>
      <c r="J775" s="2106"/>
      <c r="P775" s="2106"/>
      <c r="Q775" s="2106"/>
      <c r="R775" s="2106"/>
      <c r="S775" s="2106"/>
      <c r="T775" s="2106"/>
      <c r="U775" s="2106"/>
      <c r="V775" s="2106"/>
      <c r="W775" s="2106"/>
      <c r="X775" s="2106"/>
      <c r="Y775" s="2106"/>
      <c r="Z775" s="2106"/>
      <c r="AA775" s="2106"/>
      <c r="AB775" s="2106"/>
      <c r="AC775" s="2106"/>
    </row>
    <row r="776" spans="1:29" s="2143" customFormat="1" ht="13.8" x14ac:dyDescent="0.25">
      <c r="A776" s="2109"/>
      <c r="B776" s="2109"/>
      <c r="C776" s="2110"/>
      <c r="D776" s="2111"/>
      <c r="E776" s="2111"/>
      <c r="F776" s="2111"/>
      <c r="G776" s="2111"/>
      <c r="H776" s="2106"/>
      <c r="I776" s="2106"/>
      <c r="J776" s="2106"/>
      <c r="P776" s="2106"/>
      <c r="Q776" s="2106"/>
      <c r="R776" s="2106"/>
      <c r="S776" s="2106"/>
      <c r="T776" s="2106"/>
      <c r="U776" s="2106"/>
      <c r="V776" s="2106"/>
      <c r="W776" s="2106"/>
      <c r="X776" s="2106"/>
      <c r="Y776" s="2106"/>
      <c r="Z776" s="2106"/>
      <c r="AA776" s="2106"/>
      <c r="AB776" s="2106"/>
      <c r="AC776" s="2106"/>
    </row>
    <row r="777" spans="1:29" s="2143" customFormat="1" ht="13.8" x14ac:dyDescent="0.25">
      <c r="A777" s="2118"/>
      <c r="B777" s="2118" t="s">
        <v>3413</v>
      </c>
      <c r="C777" s="2119" t="s">
        <v>3414</v>
      </c>
      <c r="D777" s="2119">
        <v>1.5</v>
      </c>
      <c r="E777" s="2119">
        <f>F131</f>
        <v>2285.625</v>
      </c>
      <c r="F777" s="2119">
        <f>D777*E777</f>
        <v>3428.4375</v>
      </c>
      <c r="G777" s="2119"/>
      <c r="H777" s="2106"/>
      <c r="I777" s="2106"/>
      <c r="J777" s="2106"/>
      <c r="P777" s="2106"/>
      <c r="Q777" s="2106"/>
      <c r="R777" s="2106"/>
      <c r="S777" s="2106"/>
      <c r="T777" s="2106"/>
      <c r="U777" s="2106"/>
      <c r="V777" s="2106"/>
      <c r="W777" s="2106"/>
      <c r="X777" s="2106"/>
      <c r="Y777" s="2106"/>
      <c r="Z777" s="2106"/>
      <c r="AA777" s="2106"/>
      <c r="AB777" s="2106"/>
      <c r="AC777" s="2106"/>
    </row>
    <row r="778" spans="1:29" s="2143" customFormat="1" ht="13.8" x14ac:dyDescent="0.25">
      <c r="A778" s="2118"/>
      <c r="B778" s="2118" t="s">
        <v>3392</v>
      </c>
      <c r="C778" s="2119" t="s">
        <v>131</v>
      </c>
      <c r="D778" s="2119">
        <v>0.09</v>
      </c>
      <c r="E778" s="2119">
        <f>Material!E13</f>
        <v>23000</v>
      </c>
      <c r="F778" s="2119">
        <f>D778*E778</f>
        <v>2070</v>
      </c>
      <c r="G778" s="2119"/>
      <c r="H778" s="2106"/>
      <c r="I778" s="2106"/>
      <c r="J778" s="2106"/>
      <c r="P778" s="2106"/>
      <c r="Q778" s="2106"/>
      <c r="R778" s="2106"/>
      <c r="S778" s="2106"/>
      <c r="T778" s="2106"/>
      <c r="U778" s="2106"/>
      <c r="V778" s="2106"/>
      <c r="W778" s="2106"/>
      <c r="X778" s="2106"/>
      <c r="Y778" s="2106"/>
      <c r="Z778" s="2106"/>
      <c r="AA778" s="2106"/>
      <c r="AB778" s="2106"/>
      <c r="AC778" s="2106"/>
    </row>
    <row r="779" spans="1:29" s="2143" customFormat="1" ht="13.8" x14ac:dyDescent="0.25">
      <c r="A779" s="2121"/>
      <c r="B779" s="2121"/>
      <c r="C779" s="2122"/>
      <c r="D779" s="2122"/>
      <c r="E779" s="2122"/>
      <c r="F779" s="2122"/>
      <c r="G779" s="2122"/>
      <c r="H779" s="2106"/>
      <c r="I779" s="2106"/>
      <c r="J779" s="2106"/>
      <c r="P779" s="2106"/>
      <c r="Q779" s="2106"/>
      <c r="R779" s="2106"/>
      <c r="S779" s="2106"/>
      <c r="T779" s="2106"/>
      <c r="U779" s="2106"/>
      <c r="V779" s="2106"/>
      <c r="W779" s="2106"/>
      <c r="X779" s="2106"/>
      <c r="Y779" s="2106"/>
      <c r="Z779" s="2106"/>
      <c r="AA779" s="2106"/>
      <c r="AB779" s="2106"/>
      <c r="AC779" s="2106"/>
    </row>
    <row r="780" spans="1:29" s="2143" customFormat="1" ht="13.8" x14ac:dyDescent="0.25">
      <c r="A780" s="2109"/>
      <c r="B780" s="2110"/>
      <c r="C780" s="2111"/>
      <c r="D780" s="2111"/>
      <c r="E780" s="2111"/>
      <c r="F780" s="2111"/>
      <c r="G780" s="2111"/>
      <c r="H780" s="2106"/>
      <c r="I780" s="2106"/>
      <c r="J780" s="2106"/>
      <c r="P780" s="2106"/>
      <c r="Q780" s="2106"/>
      <c r="R780" s="2106"/>
      <c r="S780" s="2106"/>
      <c r="T780" s="2106"/>
      <c r="U780" s="2106"/>
      <c r="V780" s="2106"/>
      <c r="W780" s="2106"/>
      <c r="X780" s="2106"/>
      <c r="Y780" s="2106"/>
      <c r="Z780" s="2106"/>
      <c r="AA780" s="2106"/>
      <c r="AB780" s="2106"/>
      <c r="AC780" s="2106"/>
    </row>
    <row r="781" spans="1:29" s="2143" customFormat="1" ht="13.8" x14ac:dyDescent="0.25">
      <c r="A781" s="2109"/>
      <c r="B781" s="2109"/>
      <c r="C781" s="2110"/>
      <c r="D781" s="2111"/>
      <c r="E781" s="2111"/>
      <c r="F781" s="2111"/>
      <c r="G781" s="2111"/>
      <c r="H781" s="2106"/>
      <c r="I781" s="2106">
        <f>9.29*0.025</f>
        <v>0.23224999999999998</v>
      </c>
      <c r="J781" s="2106">
        <f>I781*1.3333</f>
        <v>0.30965892499999997</v>
      </c>
      <c r="P781" s="2106"/>
      <c r="Q781" s="2106"/>
      <c r="R781" s="2106"/>
      <c r="S781" s="2106"/>
      <c r="T781" s="2106"/>
      <c r="U781" s="2106"/>
      <c r="V781" s="2106"/>
      <c r="W781" s="2106"/>
      <c r="X781" s="2106"/>
      <c r="Y781" s="2106"/>
      <c r="Z781" s="2106"/>
      <c r="AA781" s="2106"/>
      <c r="AB781" s="2106"/>
      <c r="AC781" s="2106"/>
    </row>
    <row r="782" spans="1:29" s="2143" customFormat="1" ht="13.8" x14ac:dyDescent="0.25">
      <c r="A782" s="2113"/>
      <c r="B782" s="2894" t="s">
        <v>3363</v>
      </c>
      <c r="C782" s="2894"/>
      <c r="D782" s="2894"/>
      <c r="E782" s="2894"/>
      <c r="F782" s="2114"/>
      <c r="G782" s="2190">
        <f>SUM(F775:F782)</f>
        <v>5498.4375</v>
      </c>
      <c r="H782" s="2106"/>
      <c r="I782" s="2106"/>
      <c r="J782" s="2106"/>
      <c r="P782" s="2106"/>
      <c r="Q782" s="2106"/>
      <c r="R782" s="2106"/>
      <c r="S782" s="2106"/>
      <c r="T782" s="2106"/>
      <c r="U782" s="2106"/>
      <c r="V782" s="2106"/>
      <c r="W782" s="2106"/>
      <c r="X782" s="2106"/>
      <c r="Y782" s="2106"/>
      <c r="Z782" s="2106"/>
      <c r="AA782" s="2106"/>
      <c r="AB782" s="2106"/>
      <c r="AC782" s="2106"/>
    </row>
    <row r="783" spans="1:29" s="2143" customFormat="1" ht="13.8" x14ac:dyDescent="0.25">
      <c r="A783" s="2109"/>
      <c r="B783" s="2112" t="s">
        <v>3349</v>
      </c>
      <c r="C783" s="2110"/>
      <c r="D783" s="2111"/>
      <c r="E783" s="2111"/>
      <c r="F783" s="2111">
        <f>D783*E783</f>
        <v>0</v>
      </c>
      <c r="G783" s="2111"/>
      <c r="H783" s="2106"/>
      <c r="I783" s="2106"/>
      <c r="J783" s="2106">
        <f>J781/6</f>
        <v>5.1609820833333327E-2</v>
      </c>
      <c r="P783" s="2106"/>
      <c r="Q783" s="2106"/>
      <c r="R783" s="2106"/>
      <c r="S783" s="2106"/>
      <c r="T783" s="2106"/>
      <c r="U783" s="2106"/>
      <c r="V783" s="2106"/>
      <c r="W783" s="2106"/>
      <c r="X783" s="2106"/>
      <c r="Y783" s="2106"/>
      <c r="Z783" s="2106"/>
      <c r="AA783" s="2106"/>
      <c r="AB783" s="2106"/>
      <c r="AC783" s="2106"/>
    </row>
    <row r="784" spans="1:29" s="2143" customFormat="1" ht="13.8" x14ac:dyDescent="0.25">
      <c r="A784" s="2118"/>
      <c r="B784" s="2118" t="s">
        <v>3357</v>
      </c>
      <c r="C784" s="2119" t="s">
        <v>1846</v>
      </c>
      <c r="D784" s="2119">
        <v>100</v>
      </c>
      <c r="E784" s="2119">
        <v>350</v>
      </c>
      <c r="F784" s="2119">
        <f>D784*E784</f>
        <v>35000</v>
      </c>
      <c r="G784" s="2119"/>
      <c r="H784" s="2106"/>
      <c r="I784" s="2106"/>
      <c r="J784" s="2106">
        <f>J783*1440</f>
        <v>74.318141999999995</v>
      </c>
      <c r="K784" s="2143">
        <f>J784/50</f>
        <v>1.48636284</v>
      </c>
      <c r="P784" s="2106"/>
      <c r="Q784" s="2106"/>
      <c r="R784" s="2106"/>
      <c r="S784" s="2106"/>
      <c r="T784" s="2106"/>
      <c r="U784" s="2106"/>
      <c r="V784" s="2106"/>
      <c r="W784" s="2106"/>
      <c r="X784" s="2106"/>
      <c r="Y784" s="2106"/>
      <c r="Z784" s="2106"/>
      <c r="AA784" s="2106"/>
      <c r="AB784" s="2106"/>
      <c r="AC784" s="2106"/>
    </row>
    <row r="785" spans="1:29" s="2143" customFormat="1" ht="13.8" x14ac:dyDescent="0.25">
      <c r="A785" s="2109"/>
      <c r="B785" s="2109"/>
      <c r="C785" s="2111"/>
      <c r="D785" s="2111"/>
      <c r="E785" s="2111"/>
      <c r="F785" s="2111"/>
      <c r="G785" s="2111"/>
      <c r="H785" s="2106"/>
      <c r="I785" s="2106"/>
      <c r="J785" s="2106">
        <f>J783*5</f>
        <v>0.25804910416666665</v>
      </c>
      <c r="K785" s="2143">
        <f>J785/2.83</f>
        <v>9.1183429034157826E-2</v>
      </c>
      <c r="P785" s="2106"/>
      <c r="Q785" s="2106"/>
      <c r="R785" s="2106"/>
      <c r="S785" s="2106"/>
      <c r="T785" s="2106"/>
      <c r="U785" s="2106"/>
      <c r="V785" s="2106"/>
      <c r="W785" s="2106"/>
      <c r="X785" s="2106"/>
      <c r="Y785" s="2106"/>
      <c r="Z785" s="2106"/>
      <c r="AA785" s="2106"/>
      <c r="AB785" s="2106"/>
      <c r="AC785" s="2106"/>
    </row>
    <row r="786" spans="1:29" s="2143" customFormat="1" ht="13.8" x14ac:dyDescent="0.25">
      <c r="A786" s="2109"/>
      <c r="B786" s="2109" t="s">
        <v>3473</v>
      </c>
      <c r="C786" s="2111"/>
      <c r="D786" s="2111"/>
      <c r="E786" s="2111"/>
      <c r="F786" s="2111">
        <f>F784*5%</f>
        <v>1750</v>
      </c>
      <c r="G786" s="2111"/>
      <c r="H786" s="2106"/>
      <c r="I786" s="2106"/>
      <c r="J786" s="2106"/>
      <c r="P786" s="2106"/>
      <c r="Q786" s="2106"/>
      <c r="R786" s="2106"/>
      <c r="S786" s="2106"/>
      <c r="T786" s="2106"/>
      <c r="U786" s="2106"/>
      <c r="V786" s="2106"/>
      <c r="W786" s="2106"/>
      <c r="X786" s="2106"/>
      <c r="Y786" s="2106"/>
      <c r="Z786" s="2106"/>
      <c r="AA786" s="2106"/>
      <c r="AB786" s="2106"/>
      <c r="AC786" s="2106"/>
    </row>
    <row r="787" spans="1:29" s="2143" customFormat="1" ht="13.8" x14ac:dyDescent="0.25">
      <c r="A787" s="2109"/>
      <c r="B787" s="2109"/>
      <c r="C787" s="2110"/>
      <c r="D787" s="2111"/>
      <c r="E787" s="2111"/>
      <c r="F787" s="2111"/>
      <c r="G787" s="2111"/>
      <c r="H787" s="2106"/>
      <c r="I787" s="2106"/>
      <c r="J787" s="2106"/>
      <c r="P787" s="2106"/>
      <c r="Q787" s="2106"/>
      <c r="R787" s="2106"/>
      <c r="S787" s="2106"/>
      <c r="T787" s="2106"/>
      <c r="U787" s="2106"/>
      <c r="V787" s="2106"/>
      <c r="W787" s="2106"/>
      <c r="X787" s="2106"/>
      <c r="Y787" s="2106"/>
      <c r="Z787" s="2106"/>
      <c r="AA787" s="2106"/>
      <c r="AB787" s="2106"/>
      <c r="AC787" s="2106"/>
    </row>
    <row r="788" spans="1:29" s="2143" customFormat="1" ht="13.8" x14ac:dyDescent="0.25">
      <c r="A788" s="2113"/>
      <c r="B788" s="2894" t="s">
        <v>3351</v>
      </c>
      <c r="C788" s="2894"/>
      <c r="D788" s="2894"/>
      <c r="E788" s="2894"/>
      <c r="F788" s="2114">
        <f>D788*E788</f>
        <v>0</v>
      </c>
      <c r="G788" s="2190">
        <f>SUM(F784:F788)</f>
        <v>36750</v>
      </c>
      <c r="H788" s="2106"/>
      <c r="I788" s="2106"/>
      <c r="J788" s="2106"/>
      <c r="P788" s="2106"/>
      <c r="Q788" s="2106"/>
      <c r="R788" s="2106"/>
      <c r="S788" s="2106"/>
      <c r="T788" s="2106"/>
      <c r="U788" s="2106"/>
      <c r="V788" s="2106"/>
      <c r="W788" s="2106"/>
      <c r="X788" s="2106"/>
      <c r="Y788" s="2106"/>
      <c r="Z788" s="2106"/>
      <c r="AA788" s="2106"/>
      <c r="AB788" s="2106"/>
      <c r="AC788" s="2106"/>
    </row>
    <row r="789" spans="1:29" ht="13.8" x14ac:dyDescent="0.25">
      <c r="A789" s="2109"/>
      <c r="B789" s="2115"/>
      <c r="C789" s="2115"/>
      <c r="D789" s="2115"/>
      <c r="E789" s="2115"/>
      <c r="F789" s="2111"/>
      <c r="G789" s="2115"/>
    </row>
    <row r="790" spans="1:29" ht="13.8" x14ac:dyDescent="0.25">
      <c r="A790" s="2109"/>
      <c r="B790" s="2115"/>
      <c r="C790" s="2115"/>
      <c r="D790" s="2115"/>
      <c r="E790" s="2115"/>
      <c r="F790" s="2111"/>
      <c r="G790" s="2115"/>
    </row>
    <row r="791" spans="1:29" ht="13.8" x14ac:dyDescent="0.25">
      <c r="A791" s="2887" t="s">
        <v>3379</v>
      </c>
      <c r="B791" s="2887"/>
      <c r="C791" s="2887"/>
      <c r="D791" s="2887"/>
      <c r="E791" s="2887"/>
      <c r="F791" s="2887"/>
      <c r="G791" s="2189">
        <f>G782+G788</f>
        <v>42248.4375</v>
      </c>
    </row>
    <row r="792" spans="1:29" ht="13.8" x14ac:dyDescent="0.25">
      <c r="A792" s="2887" t="s">
        <v>3380</v>
      </c>
      <c r="B792" s="2887"/>
      <c r="C792" s="2887"/>
      <c r="D792" s="2887"/>
      <c r="E792" s="2887"/>
      <c r="F792" s="2887"/>
      <c r="G792" s="2189">
        <f>G791/9.29</f>
        <v>4547.7327771797636</v>
      </c>
    </row>
    <row r="793" spans="1:29" ht="13.8" x14ac:dyDescent="0.25">
      <c r="A793" s="2887" t="s">
        <v>3381</v>
      </c>
      <c r="B793" s="2887"/>
      <c r="C793" s="2887"/>
      <c r="D793" s="2887"/>
      <c r="E793" s="2887"/>
      <c r="F793" s="2887"/>
      <c r="G793" s="2157">
        <f>G792/10.76</f>
        <v>422.65174509105611</v>
      </c>
    </row>
    <row r="795" spans="1:29" ht="13.8" thickBot="1" x14ac:dyDescent="0.3"/>
    <row r="796" spans="1:29" ht="13.8" x14ac:dyDescent="0.25">
      <c r="A796" s="2888" t="s">
        <v>3480</v>
      </c>
      <c r="B796" s="2889"/>
      <c r="C796" s="2889"/>
      <c r="D796" s="2889"/>
      <c r="E796" s="2889"/>
      <c r="F796" s="2889"/>
      <c r="G796" s="2890"/>
    </row>
    <row r="797" spans="1:29" ht="14.4" thickBot="1" x14ac:dyDescent="0.3">
      <c r="A797" s="2891" t="s">
        <v>3344</v>
      </c>
      <c r="B797" s="2892"/>
      <c r="C797" s="2892"/>
      <c r="D797" s="2892"/>
      <c r="E797" s="2892"/>
      <c r="F797" s="2892"/>
      <c r="G797" s="2893"/>
    </row>
    <row r="798" spans="1:29" ht="14.4" thickBot="1" x14ac:dyDescent="0.3">
      <c r="A798" s="2107"/>
      <c r="B798" s="2108" t="s">
        <v>3345</v>
      </c>
      <c r="C798" s="2108" t="s">
        <v>3346</v>
      </c>
      <c r="D798" s="2108" t="s">
        <v>2</v>
      </c>
      <c r="E798" s="2108" t="s">
        <v>3347</v>
      </c>
      <c r="F798" s="2108" t="s">
        <v>5</v>
      </c>
      <c r="G798" s="2108" t="s">
        <v>3348</v>
      </c>
    </row>
    <row r="799" spans="1:29" ht="13.8" x14ac:dyDescent="0.25">
      <c r="A799" s="2109"/>
      <c r="B799" s="2109"/>
      <c r="C799" s="2110"/>
      <c r="D799" s="2111"/>
      <c r="E799" s="2111"/>
      <c r="F799" s="2111"/>
      <c r="G799" s="2111"/>
    </row>
    <row r="800" spans="1:29" ht="13.8" x14ac:dyDescent="0.25">
      <c r="A800" s="2109"/>
      <c r="B800" s="2112" t="s">
        <v>3362</v>
      </c>
      <c r="C800" s="2110"/>
      <c r="D800" s="2111"/>
      <c r="E800" s="2111"/>
      <c r="F800" s="2111"/>
      <c r="G800" s="2111"/>
    </row>
    <row r="801" spans="1:7" ht="13.8" x14ac:dyDescent="0.25">
      <c r="A801" s="2109"/>
      <c r="B801" s="2109"/>
      <c r="C801" s="2110"/>
      <c r="D801" s="2111"/>
      <c r="E801" s="2111"/>
      <c r="F801" s="2111"/>
      <c r="G801" s="2111"/>
    </row>
    <row r="802" spans="1:7" ht="13.8" x14ac:dyDescent="0.25">
      <c r="A802" s="2118"/>
      <c r="B802" s="2118" t="s">
        <v>3413</v>
      </c>
      <c r="C802" s="2119" t="s">
        <v>3414</v>
      </c>
      <c r="D802" s="2119">
        <v>0.95</v>
      </c>
      <c r="E802" s="2119">
        <f>F131</f>
        <v>2285.625</v>
      </c>
      <c r="F802" s="2119">
        <f>D802*E802</f>
        <v>2171.34375</v>
      </c>
      <c r="G802" s="2119"/>
    </row>
    <row r="803" spans="1:7" ht="13.8" x14ac:dyDescent="0.25">
      <c r="A803" s="2118"/>
      <c r="B803" s="2118" t="s">
        <v>3392</v>
      </c>
      <c r="C803" s="2119" t="s">
        <v>131</v>
      </c>
      <c r="D803" s="2119">
        <v>7.0000000000000007E-2</v>
      </c>
      <c r="E803" s="2119">
        <f>Material!E13</f>
        <v>23000</v>
      </c>
      <c r="F803" s="2119">
        <f>D803*E803</f>
        <v>1610.0000000000002</v>
      </c>
      <c r="G803" s="2119"/>
    </row>
    <row r="804" spans="1:7" ht="13.8" x14ac:dyDescent="0.25">
      <c r="A804" s="2118"/>
      <c r="B804" s="2136" t="s">
        <v>3475</v>
      </c>
      <c r="C804" s="2119" t="s">
        <v>3476</v>
      </c>
      <c r="D804" s="2119">
        <v>0.2</v>
      </c>
      <c r="E804" s="2119">
        <f>Material!E158</f>
        <v>345</v>
      </c>
      <c r="F804" s="2119">
        <f>D804*E804</f>
        <v>69</v>
      </c>
      <c r="G804" s="2119"/>
    </row>
    <row r="805" spans="1:7" ht="13.8" x14ac:dyDescent="0.25">
      <c r="A805" s="2121"/>
      <c r="B805" s="2121"/>
      <c r="C805" s="2122"/>
      <c r="D805" s="2122"/>
      <c r="E805" s="2122"/>
      <c r="F805" s="2122"/>
      <c r="G805" s="2122"/>
    </row>
    <row r="806" spans="1:7" ht="13.8" x14ac:dyDescent="0.25">
      <c r="A806" s="2121"/>
      <c r="B806" s="2121"/>
      <c r="C806" s="2122"/>
      <c r="D806" s="2122"/>
      <c r="E806" s="2122"/>
      <c r="F806" s="2122"/>
      <c r="G806" s="2122"/>
    </row>
    <row r="807" spans="1:7" ht="13.8" x14ac:dyDescent="0.25">
      <c r="A807" s="2113"/>
      <c r="B807" s="2894" t="s">
        <v>3363</v>
      </c>
      <c r="C807" s="2894"/>
      <c r="D807" s="2894"/>
      <c r="E807" s="2894"/>
      <c r="F807" s="2114"/>
      <c r="G807" s="2190">
        <f>SUM(F801:F806)</f>
        <v>3850.34375</v>
      </c>
    </row>
    <row r="808" spans="1:7" ht="13.8" x14ac:dyDescent="0.25">
      <c r="A808" s="2109"/>
      <c r="B808" s="2112" t="s">
        <v>3349</v>
      </c>
      <c r="C808" s="2110"/>
      <c r="D808" s="2111"/>
      <c r="E808" s="2111"/>
      <c r="F808" s="2111">
        <f>D808*E808</f>
        <v>0</v>
      </c>
      <c r="G808" s="2111"/>
    </row>
    <row r="809" spans="1:7" ht="13.8" x14ac:dyDescent="0.25">
      <c r="A809" s="2109"/>
      <c r="B809" s="2112"/>
      <c r="C809" s="2110"/>
      <c r="D809" s="2111"/>
      <c r="E809" s="2111"/>
      <c r="F809" s="2111"/>
      <c r="G809" s="2111"/>
    </row>
    <row r="810" spans="1:7" ht="13.8" x14ac:dyDescent="0.25">
      <c r="A810" s="2118"/>
      <c r="B810" s="2118" t="s">
        <v>3357</v>
      </c>
      <c r="C810" s="2119" t="s">
        <v>1846</v>
      </c>
      <c r="D810" s="2119">
        <v>100</v>
      </c>
      <c r="E810" s="2119">
        <v>170</v>
      </c>
      <c r="F810" s="2119">
        <f>D810*E810</f>
        <v>17000</v>
      </c>
      <c r="G810" s="2119"/>
    </row>
    <row r="811" spans="1:7" ht="13.8" x14ac:dyDescent="0.25">
      <c r="A811" s="2109"/>
      <c r="B811" s="2109"/>
      <c r="C811" s="2111"/>
      <c r="D811" s="2111"/>
      <c r="E811" s="2111"/>
      <c r="F811" s="2111"/>
      <c r="G811" s="2111"/>
    </row>
    <row r="812" spans="1:7" ht="13.8" x14ac:dyDescent="0.25">
      <c r="A812" s="2109"/>
      <c r="B812" s="2109" t="s">
        <v>3472</v>
      </c>
      <c r="C812" s="2111"/>
      <c r="D812" s="2111"/>
      <c r="E812" s="2111"/>
      <c r="F812" s="2111">
        <f>F810*3%</f>
        <v>510</v>
      </c>
      <c r="G812" s="2111"/>
    </row>
    <row r="813" spans="1:7" ht="13.8" x14ac:dyDescent="0.25">
      <c r="A813" s="2109"/>
      <c r="B813" s="2109" t="s">
        <v>3473</v>
      </c>
      <c r="C813" s="2111"/>
      <c r="D813" s="2111"/>
      <c r="E813" s="2111"/>
      <c r="F813" s="2111">
        <f>F810*5%</f>
        <v>850</v>
      </c>
      <c r="G813" s="2111"/>
    </row>
    <row r="814" spans="1:7" ht="13.8" x14ac:dyDescent="0.25">
      <c r="A814" s="2109"/>
      <c r="B814" s="2109"/>
      <c r="C814" s="2110"/>
      <c r="D814" s="2111"/>
      <c r="E814" s="2111"/>
      <c r="F814" s="2111"/>
      <c r="G814" s="2111"/>
    </row>
    <row r="815" spans="1:7" ht="13.8" x14ac:dyDescent="0.25">
      <c r="A815" s="2113"/>
      <c r="B815" s="2894" t="s">
        <v>3351</v>
      </c>
      <c r="C815" s="2894"/>
      <c r="D815" s="2894"/>
      <c r="E815" s="2894"/>
      <c r="F815" s="2114">
        <f>D815*E815</f>
        <v>0</v>
      </c>
      <c r="G815" s="2190">
        <f>SUM(F810:F815)</f>
        <v>18360</v>
      </c>
    </row>
    <row r="816" spans="1:7" ht="13.8" x14ac:dyDescent="0.25">
      <c r="A816" s="2109"/>
      <c r="B816" s="2115"/>
      <c r="C816" s="2115"/>
      <c r="D816" s="2115"/>
      <c r="E816" s="2115"/>
      <c r="F816" s="2111"/>
      <c r="G816" s="2115"/>
    </row>
    <row r="817" spans="1:15" ht="13.8" x14ac:dyDescent="0.25">
      <c r="A817" s="2109"/>
      <c r="B817" s="2115"/>
      <c r="C817" s="2115"/>
      <c r="D817" s="2115"/>
      <c r="E817" s="2115"/>
      <c r="F817" s="2111"/>
      <c r="G817" s="2115"/>
    </row>
    <row r="818" spans="1:15" ht="13.8" x14ac:dyDescent="0.25">
      <c r="A818" s="2887" t="s">
        <v>3379</v>
      </c>
      <c r="B818" s="2887"/>
      <c r="C818" s="2887"/>
      <c r="D818" s="2887"/>
      <c r="E818" s="2887"/>
      <c r="F818" s="2887"/>
      <c r="G818" s="2189">
        <f>G807+G815</f>
        <v>22210.34375</v>
      </c>
    </row>
    <row r="819" spans="1:15" ht="13.8" x14ac:dyDescent="0.25">
      <c r="A819" s="2887" t="s">
        <v>3380</v>
      </c>
      <c r="B819" s="2887"/>
      <c r="C819" s="2887"/>
      <c r="D819" s="2887"/>
      <c r="E819" s="2887"/>
      <c r="F819" s="2887"/>
      <c r="G819" s="2189">
        <f>G818/9.29</f>
        <v>2390.7797362755655</v>
      </c>
    </row>
    <row r="820" spans="1:15" ht="13.8" x14ac:dyDescent="0.25">
      <c r="A820" s="2887" t="s">
        <v>3381</v>
      </c>
      <c r="B820" s="2887"/>
      <c r="C820" s="2887"/>
      <c r="D820" s="2887"/>
      <c r="E820" s="2887"/>
      <c r="F820" s="2887"/>
      <c r="G820" s="2189">
        <f>G819/10.76</f>
        <v>222.19142530442059</v>
      </c>
    </row>
    <row r="830" spans="1:15" s="2244" customFormat="1" x14ac:dyDescent="0.25">
      <c r="A830" s="2917" t="s">
        <v>3481</v>
      </c>
      <c r="B830" s="2917"/>
      <c r="C830" s="2917"/>
      <c r="D830" s="2917"/>
      <c r="E830" s="2917"/>
      <c r="F830" s="2917"/>
      <c r="G830" s="2917"/>
      <c r="K830" s="2245"/>
      <c r="L830" s="2245"/>
      <c r="M830" s="2245"/>
      <c r="N830" s="2245"/>
      <c r="O830" s="2245"/>
    </row>
    <row r="831" spans="1:15" s="2244" customFormat="1" x14ac:dyDescent="0.25">
      <c r="K831" s="2245"/>
      <c r="L831" s="2245"/>
      <c r="M831" s="2245"/>
      <c r="N831" s="2245"/>
      <c r="O831" s="2245"/>
    </row>
    <row r="832" spans="1:15" s="2244" customFormat="1" ht="13.8" thickBot="1" x14ac:dyDescent="0.3">
      <c r="K832" s="2245"/>
      <c r="L832" s="2245"/>
      <c r="M832" s="2245"/>
      <c r="N832" s="2245"/>
      <c r="O832" s="2245"/>
    </row>
    <row r="833" spans="1:15" s="2244" customFormat="1" ht="13.8" x14ac:dyDescent="0.25">
      <c r="A833" s="2918" t="s">
        <v>3482</v>
      </c>
      <c r="B833" s="2919"/>
      <c r="C833" s="2919"/>
      <c r="D833" s="2919"/>
      <c r="E833" s="2919"/>
      <c r="F833" s="2919"/>
      <c r="G833" s="2920"/>
      <c r="K833" s="2245"/>
      <c r="L833" s="2245"/>
      <c r="M833" s="2245"/>
      <c r="N833" s="2245"/>
      <c r="O833" s="2245"/>
    </row>
    <row r="834" spans="1:15" s="2244" customFormat="1" ht="14.4" thickBot="1" x14ac:dyDescent="0.3">
      <c r="A834" s="2921" t="s">
        <v>3344</v>
      </c>
      <c r="B834" s="2922"/>
      <c r="C834" s="2922"/>
      <c r="D834" s="2922"/>
      <c r="E834" s="2922"/>
      <c r="F834" s="2922"/>
      <c r="G834" s="2923"/>
      <c r="K834" s="2245"/>
      <c r="L834" s="2245"/>
      <c r="M834" s="2245"/>
      <c r="N834" s="2245"/>
      <c r="O834" s="2245"/>
    </row>
    <row r="835" spans="1:15" s="2244" customFormat="1" ht="14.4" thickBot="1" x14ac:dyDescent="0.3">
      <c r="A835" s="2246"/>
      <c r="B835" s="2247" t="s">
        <v>3345</v>
      </c>
      <c r="C835" s="2247" t="s">
        <v>3346</v>
      </c>
      <c r="D835" s="2247" t="s">
        <v>2</v>
      </c>
      <c r="E835" s="2247" t="s">
        <v>3347</v>
      </c>
      <c r="F835" s="2247" t="s">
        <v>5</v>
      </c>
      <c r="G835" s="2247" t="s">
        <v>3348</v>
      </c>
      <c r="K835" s="2245"/>
      <c r="L835" s="2245"/>
      <c r="M835" s="2245"/>
      <c r="N835" s="2245"/>
      <c r="O835" s="2245"/>
    </row>
    <row r="836" spans="1:15" s="2244" customFormat="1" ht="13.8" x14ac:dyDescent="0.25">
      <c r="A836" s="2248"/>
      <c r="B836" s="2248"/>
      <c r="C836" s="2249"/>
      <c r="D836" s="2250"/>
      <c r="E836" s="2250"/>
      <c r="F836" s="2250"/>
      <c r="G836" s="2250"/>
      <c r="K836" s="2245"/>
      <c r="L836" s="2245"/>
      <c r="M836" s="2245"/>
      <c r="N836" s="2245"/>
      <c r="O836" s="2245"/>
    </row>
    <row r="837" spans="1:15" s="2244" customFormat="1" ht="13.8" x14ac:dyDescent="0.25">
      <c r="A837" s="2248"/>
      <c r="B837" s="2251" t="s">
        <v>3362</v>
      </c>
      <c r="C837" s="2249"/>
      <c r="D837" s="2250"/>
      <c r="E837" s="2250"/>
      <c r="F837" s="2250"/>
      <c r="G837" s="2250"/>
      <c r="K837" s="2245"/>
      <c r="L837" s="2245"/>
      <c r="M837" s="2245"/>
      <c r="N837" s="2245"/>
      <c r="O837" s="2245"/>
    </row>
    <row r="838" spans="1:15" s="2244" customFormat="1" ht="13.8" x14ac:dyDescent="0.25">
      <c r="A838" s="2248"/>
      <c r="B838" s="2248"/>
      <c r="C838" s="2249"/>
      <c r="D838" s="2250"/>
      <c r="E838" s="2250"/>
      <c r="F838" s="2250"/>
      <c r="G838" s="2250"/>
      <c r="K838" s="2245"/>
      <c r="L838" s="2245"/>
      <c r="M838" s="2245"/>
      <c r="N838" s="2245"/>
      <c r="O838" s="2245"/>
    </row>
    <row r="839" spans="1:15" s="2244" customFormat="1" ht="13.8" x14ac:dyDescent="0.25">
      <c r="A839" s="2404"/>
      <c r="B839" s="2404" t="s">
        <v>3413</v>
      </c>
      <c r="C839" s="2405" t="s">
        <v>3414</v>
      </c>
      <c r="D839" s="2405">
        <v>1.73</v>
      </c>
      <c r="E839" s="2405">
        <f>F131</f>
        <v>2285.625</v>
      </c>
      <c r="F839" s="2405">
        <f>D839*E839</f>
        <v>3954.1312499999999</v>
      </c>
      <c r="G839" s="2405"/>
      <c r="K839" s="2245"/>
      <c r="L839" s="2245"/>
      <c r="M839" s="2245"/>
      <c r="N839" s="2245"/>
      <c r="O839" s="2245"/>
    </row>
    <row r="840" spans="1:15" s="2244" customFormat="1" ht="13.8" x14ac:dyDescent="0.25">
      <c r="A840" s="2404"/>
      <c r="B840" s="2404" t="s">
        <v>3392</v>
      </c>
      <c r="C840" s="2405" t="s">
        <v>131</v>
      </c>
      <c r="D840" s="2405">
        <v>7.0000000000000007E-2</v>
      </c>
      <c r="E840" s="2405">
        <f>Material!E13</f>
        <v>23000</v>
      </c>
      <c r="F840" s="2405">
        <f>D840*E840</f>
        <v>1610.0000000000002</v>
      </c>
      <c r="G840" s="2405"/>
      <c r="K840" s="2245"/>
      <c r="L840" s="2245"/>
      <c r="M840" s="2245"/>
      <c r="N840" s="2245"/>
      <c r="O840" s="2245"/>
    </row>
    <row r="841" spans="1:15" s="2244" customFormat="1" ht="13.8" x14ac:dyDescent="0.25">
      <c r="A841" s="2404"/>
      <c r="B841" s="2404" t="s">
        <v>3709</v>
      </c>
      <c r="C841" s="2405" t="s">
        <v>563</v>
      </c>
      <c r="D841" s="2405">
        <v>4</v>
      </c>
      <c r="E841" s="2405">
        <v>367.5</v>
      </c>
      <c r="F841" s="2405">
        <f>D841*E841</f>
        <v>1470</v>
      </c>
      <c r="G841" s="2405"/>
      <c r="K841" s="2245"/>
      <c r="L841" s="2245"/>
      <c r="M841" s="2245"/>
      <c r="N841" s="2245"/>
      <c r="O841" s="2245"/>
    </row>
    <row r="842" spans="1:15" s="2244" customFormat="1" ht="13.8" x14ac:dyDescent="0.25">
      <c r="A842" s="2248"/>
      <c r="B842" s="2249"/>
      <c r="C842" s="2250"/>
      <c r="D842" s="2250"/>
      <c r="E842" s="2250"/>
      <c r="F842" s="2253"/>
      <c r="G842" s="2250"/>
      <c r="K842" s="2245"/>
      <c r="L842" s="2245"/>
      <c r="M842" s="2245"/>
      <c r="N842" s="2245"/>
      <c r="O842" s="2245"/>
    </row>
    <row r="843" spans="1:15" s="2244" customFormat="1" ht="13.8" x14ac:dyDescent="0.25">
      <c r="A843" s="2248"/>
      <c r="B843" s="2248"/>
      <c r="C843" s="2249"/>
      <c r="D843" s="2250"/>
      <c r="E843" s="2250"/>
      <c r="F843" s="2250"/>
      <c r="G843" s="2250"/>
      <c r="K843" s="2245"/>
      <c r="L843" s="2245"/>
      <c r="M843" s="2245"/>
      <c r="N843" s="2245"/>
      <c r="O843" s="2245"/>
    </row>
    <row r="844" spans="1:15" s="2244" customFormat="1" ht="13.8" x14ac:dyDescent="0.25">
      <c r="A844" s="2257"/>
      <c r="B844" s="2927" t="s">
        <v>3363</v>
      </c>
      <c r="C844" s="2927"/>
      <c r="D844" s="2927"/>
      <c r="E844" s="2927"/>
      <c r="F844" s="2258"/>
      <c r="G844" s="2259">
        <f>SUM(F836:F844)</f>
        <v>7034.1312500000004</v>
      </c>
      <c r="K844" s="2245"/>
      <c r="L844" s="2245"/>
      <c r="M844" s="2245"/>
      <c r="N844" s="2245"/>
      <c r="O844" s="2245"/>
    </row>
    <row r="845" spans="1:15" s="2244" customFormat="1" ht="13.8" x14ac:dyDescent="0.25">
      <c r="A845" s="2248"/>
      <c r="B845" s="2251" t="s">
        <v>3349</v>
      </c>
      <c r="C845" s="2249"/>
      <c r="D845" s="2250"/>
      <c r="E845" s="2250"/>
      <c r="F845" s="2250"/>
      <c r="G845" s="2250"/>
      <c r="K845" s="2245"/>
      <c r="L845" s="2245"/>
      <c r="M845" s="2245"/>
      <c r="N845" s="2245"/>
      <c r="O845" s="2245"/>
    </row>
    <row r="846" spans="1:15" s="2244" customFormat="1" ht="13.8" x14ac:dyDescent="0.25">
      <c r="A846" s="2252"/>
      <c r="B846" s="2252" t="s">
        <v>3483</v>
      </c>
      <c r="C846" s="2253" t="s">
        <v>1846</v>
      </c>
      <c r="D846" s="2253">
        <v>100</v>
      </c>
      <c r="E846" s="2253">
        <v>60</v>
      </c>
      <c r="F846" s="2253">
        <f>D846*E846</f>
        <v>6000</v>
      </c>
      <c r="G846" s="2253"/>
      <c r="K846" s="2245"/>
      <c r="L846" s="2245"/>
      <c r="M846" s="2245"/>
      <c r="N846" s="2245"/>
      <c r="O846" s="2245"/>
    </row>
    <row r="847" spans="1:15" s="2244" customFormat="1" ht="13.8" x14ac:dyDescent="0.25">
      <c r="A847" s="2248"/>
      <c r="B847" s="2248"/>
      <c r="C847" s="2250"/>
      <c r="D847" s="2250"/>
      <c r="E847" s="2250"/>
      <c r="F847" s="2250"/>
      <c r="G847" s="2250"/>
      <c r="K847" s="2245"/>
      <c r="L847" s="2245"/>
      <c r="M847" s="2245"/>
      <c r="N847" s="2245"/>
      <c r="O847" s="2245"/>
    </row>
    <row r="848" spans="1:15" s="2244" customFormat="1" ht="13.8" x14ac:dyDescent="0.25">
      <c r="A848" s="2248"/>
      <c r="B848" s="2248"/>
      <c r="C848" s="2250"/>
      <c r="D848" s="2250"/>
      <c r="E848" s="2250"/>
      <c r="F848" s="2250"/>
      <c r="G848" s="2250"/>
      <c r="K848" s="2245"/>
      <c r="L848" s="2245"/>
      <c r="M848" s="2245"/>
      <c r="N848" s="2245"/>
      <c r="O848" s="2245"/>
    </row>
    <row r="849" spans="1:15" s="2244" customFormat="1" ht="13.8" x14ac:dyDescent="0.25">
      <c r="A849" s="2248"/>
      <c r="B849" s="2248"/>
      <c r="C849" s="2249"/>
      <c r="D849" s="2250"/>
      <c r="E849" s="2250"/>
      <c r="F849" s="2250"/>
      <c r="G849" s="2250"/>
      <c r="K849" s="2245"/>
      <c r="L849" s="2245"/>
      <c r="M849" s="2245"/>
      <c r="N849" s="2245"/>
      <c r="O849" s="2245"/>
    </row>
    <row r="850" spans="1:15" s="2244" customFormat="1" ht="13.8" x14ac:dyDescent="0.25">
      <c r="A850" s="2257"/>
      <c r="B850" s="2927" t="s">
        <v>3351</v>
      </c>
      <c r="C850" s="2927"/>
      <c r="D850" s="2927"/>
      <c r="E850" s="2927"/>
      <c r="F850" s="2258">
        <f>D850*E850</f>
        <v>0</v>
      </c>
      <c r="G850" s="2259">
        <f>SUM(F846:F850)</f>
        <v>6000</v>
      </c>
      <c r="K850" s="2245"/>
      <c r="L850" s="2245"/>
      <c r="M850" s="2245"/>
      <c r="N850" s="2245"/>
      <c r="O850" s="2245"/>
    </row>
    <row r="851" spans="1:15" s="2244" customFormat="1" ht="13.8" x14ac:dyDescent="0.25">
      <c r="A851" s="2248"/>
      <c r="B851" s="2260"/>
      <c r="C851" s="2260"/>
      <c r="D851" s="2260"/>
      <c r="E851" s="2260"/>
      <c r="F851" s="2250"/>
      <c r="G851" s="2260"/>
      <c r="K851" s="2245"/>
      <c r="L851" s="2245"/>
      <c r="M851" s="2245"/>
      <c r="N851" s="2245"/>
      <c r="O851" s="2245"/>
    </row>
    <row r="852" spans="1:15" s="2244" customFormat="1" ht="13.8" x14ac:dyDescent="0.25">
      <c r="A852" s="2248"/>
      <c r="B852" s="2260"/>
      <c r="C852" s="2260"/>
      <c r="D852" s="2260"/>
      <c r="E852" s="2260"/>
      <c r="F852" s="2250"/>
      <c r="G852" s="2260"/>
      <c r="K852" s="2245"/>
      <c r="L852" s="2245"/>
      <c r="M852" s="2245"/>
      <c r="N852" s="2245"/>
      <c r="O852" s="2245"/>
    </row>
    <row r="853" spans="1:15" s="2244" customFormat="1" ht="13.8" x14ac:dyDescent="0.25">
      <c r="A853" s="2928" t="s">
        <v>3379</v>
      </c>
      <c r="B853" s="2928"/>
      <c r="C853" s="2928"/>
      <c r="D853" s="2928"/>
      <c r="E853" s="2928"/>
      <c r="F853" s="2928"/>
      <c r="G853" s="2261">
        <f>G844+G850</f>
        <v>13034.13125</v>
      </c>
      <c r="K853" s="2245"/>
      <c r="L853" s="2245"/>
      <c r="M853" s="2245"/>
      <c r="N853" s="2245"/>
      <c r="O853" s="2245"/>
    </row>
    <row r="854" spans="1:15" s="2244" customFormat="1" ht="13.8" x14ac:dyDescent="0.25">
      <c r="A854" s="2928" t="s">
        <v>3380</v>
      </c>
      <c r="B854" s="2928"/>
      <c r="C854" s="2928"/>
      <c r="D854" s="2928"/>
      <c r="E854" s="2928"/>
      <c r="F854" s="2928"/>
      <c r="G854" s="2261">
        <f>G853/9.29</f>
        <v>1403.0281216361682</v>
      </c>
      <c r="K854" s="2245"/>
      <c r="L854" s="2245"/>
      <c r="M854" s="2245"/>
      <c r="N854" s="2245"/>
      <c r="O854" s="2245"/>
    </row>
    <row r="855" spans="1:15" s="2244" customFormat="1" ht="13.8" x14ac:dyDescent="0.25">
      <c r="A855" s="2928" t="s">
        <v>3381</v>
      </c>
      <c r="B855" s="2928"/>
      <c r="C855" s="2928"/>
      <c r="D855" s="2928"/>
      <c r="E855" s="2928"/>
      <c r="F855" s="2928"/>
      <c r="G855" s="2406">
        <f>G854/10.76</f>
        <v>130.39294810745056</v>
      </c>
      <c r="K855" s="2245"/>
      <c r="L855" s="2245"/>
      <c r="M855" s="2245"/>
      <c r="N855" s="2245"/>
      <c r="O855" s="2245"/>
    </row>
    <row r="857" spans="1:15" ht="13.8" thickBot="1" x14ac:dyDescent="0.3"/>
    <row r="858" spans="1:15" ht="13.8" x14ac:dyDescent="0.25">
      <c r="A858" s="2888" t="s">
        <v>3484</v>
      </c>
      <c r="B858" s="2889"/>
      <c r="C858" s="2889"/>
      <c r="D858" s="2889"/>
      <c r="E858" s="2889"/>
      <c r="F858" s="2889"/>
      <c r="G858" s="2890"/>
    </row>
    <row r="859" spans="1:15" ht="14.4" thickBot="1" x14ac:dyDescent="0.3">
      <c r="A859" s="2891" t="s">
        <v>3344</v>
      </c>
      <c r="B859" s="2892"/>
      <c r="C859" s="2892"/>
      <c r="D859" s="2892"/>
      <c r="E859" s="2892"/>
      <c r="F859" s="2892"/>
      <c r="G859" s="2893"/>
    </row>
    <row r="860" spans="1:15" ht="14.4" thickBot="1" x14ac:dyDescent="0.3">
      <c r="A860" s="2107"/>
      <c r="B860" s="2108" t="s">
        <v>3345</v>
      </c>
      <c r="C860" s="2108" t="s">
        <v>3346</v>
      </c>
      <c r="D860" s="2108" t="s">
        <v>2</v>
      </c>
      <c r="E860" s="2108" t="s">
        <v>3347</v>
      </c>
      <c r="F860" s="2108" t="s">
        <v>5</v>
      </c>
      <c r="G860" s="2108" t="s">
        <v>3348</v>
      </c>
    </row>
    <row r="861" spans="1:15" ht="13.8" x14ac:dyDescent="0.25">
      <c r="A861" s="2109"/>
      <c r="B861" s="2109"/>
      <c r="C861" s="2110"/>
      <c r="D861" s="2111"/>
      <c r="E861" s="2111"/>
      <c r="F861" s="2111"/>
      <c r="G861" s="2111"/>
    </row>
    <row r="862" spans="1:15" ht="13.8" x14ac:dyDescent="0.25">
      <c r="A862" s="2109"/>
      <c r="B862" s="2112" t="s">
        <v>3362</v>
      </c>
      <c r="C862" s="2110"/>
      <c r="D862" s="2111"/>
      <c r="E862" s="2111"/>
      <c r="F862" s="2111"/>
      <c r="G862" s="2111"/>
    </row>
    <row r="863" spans="1:15" ht="13.8" x14ac:dyDescent="0.25">
      <c r="A863" s="2109"/>
      <c r="B863" s="2109"/>
      <c r="C863" s="2110"/>
      <c r="D863" s="2111"/>
      <c r="E863" s="2111"/>
      <c r="F863" s="2111"/>
      <c r="G863" s="2111"/>
    </row>
    <row r="864" spans="1:15" ht="13.8" x14ac:dyDescent="0.25">
      <c r="A864" s="2118"/>
      <c r="B864" s="2118" t="s">
        <v>3413</v>
      </c>
      <c r="C864" s="2119" t="s">
        <v>3414</v>
      </c>
      <c r="D864" s="2119">
        <v>2.2999999999999998</v>
      </c>
      <c r="E864" s="2119">
        <f>F131</f>
        <v>2285.625</v>
      </c>
      <c r="F864" s="2119">
        <f>D864*E864</f>
        <v>5256.9375</v>
      </c>
      <c r="G864" s="2119"/>
    </row>
    <row r="865" spans="1:7" ht="13.8" x14ac:dyDescent="0.25">
      <c r="A865" s="2118"/>
      <c r="B865" s="2118" t="s">
        <v>3392</v>
      </c>
      <c r="C865" s="2119" t="s">
        <v>131</v>
      </c>
      <c r="D865" s="2119">
        <v>0.08</v>
      </c>
      <c r="E865" s="2119">
        <f>Material!E13</f>
        <v>23000</v>
      </c>
      <c r="F865" s="2119">
        <f>D865*E865</f>
        <v>1840</v>
      </c>
      <c r="G865" s="2119"/>
    </row>
    <row r="866" spans="1:7" ht="13.8" x14ac:dyDescent="0.25">
      <c r="A866" s="2121"/>
      <c r="B866" s="2152"/>
      <c r="C866" s="2122"/>
      <c r="D866" s="2122"/>
      <c r="E866" s="2122"/>
      <c r="F866" s="2122">
        <f>D866*E866</f>
        <v>0</v>
      </c>
      <c r="G866" s="2122"/>
    </row>
    <row r="867" spans="1:7" ht="13.8" x14ac:dyDescent="0.25">
      <c r="A867" s="2109"/>
      <c r="B867" s="2110"/>
      <c r="C867" s="2111"/>
      <c r="D867" s="2111"/>
      <c r="E867" s="2111"/>
      <c r="F867" s="2122"/>
      <c r="G867" s="2111"/>
    </row>
    <row r="868" spans="1:7" ht="13.8" x14ac:dyDescent="0.25">
      <c r="A868" s="2109"/>
      <c r="B868" s="2109"/>
      <c r="C868" s="2110"/>
      <c r="D868" s="2111"/>
      <c r="E868" s="2111"/>
      <c r="F868" s="2111"/>
      <c r="G868" s="2111"/>
    </row>
    <row r="869" spans="1:7" ht="13.8" x14ac:dyDescent="0.25">
      <c r="A869" s="2113"/>
      <c r="B869" s="2894" t="s">
        <v>3363</v>
      </c>
      <c r="C869" s="2894"/>
      <c r="D869" s="2894"/>
      <c r="E869" s="2894"/>
      <c r="F869" s="2114"/>
      <c r="G869" s="2190">
        <f>SUM(F861:F869)</f>
        <v>7096.9375</v>
      </c>
    </row>
    <row r="870" spans="1:7" ht="13.8" x14ac:dyDescent="0.25">
      <c r="A870" s="2109"/>
      <c r="B870" s="2112" t="s">
        <v>3349</v>
      </c>
      <c r="C870" s="2110"/>
      <c r="D870" s="2111"/>
      <c r="E870" s="2111"/>
      <c r="F870" s="2111"/>
      <c r="G870" s="2111"/>
    </row>
    <row r="871" spans="1:7" ht="13.8" x14ac:dyDescent="0.25">
      <c r="A871" s="2121"/>
      <c r="B871" s="2121" t="s">
        <v>3483</v>
      </c>
      <c r="C871" s="2122" t="s">
        <v>1846</v>
      </c>
      <c r="D871" s="2122">
        <v>100</v>
      </c>
      <c r="E871" s="2122">
        <v>65</v>
      </c>
      <c r="F871" s="2122">
        <f>D871*E871</f>
        <v>6500</v>
      </c>
      <c r="G871" s="2122"/>
    </row>
    <row r="872" spans="1:7" ht="13.8" x14ac:dyDescent="0.25">
      <c r="A872" s="2109"/>
      <c r="B872" s="2109"/>
      <c r="C872" s="2111"/>
      <c r="D872" s="2111"/>
      <c r="E872" s="2111"/>
      <c r="F872" s="2111"/>
      <c r="G872" s="2111"/>
    </row>
    <row r="873" spans="1:7" ht="13.8" x14ac:dyDescent="0.25">
      <c r="A873" s="2109"/>
      <c r="B873" s="2109"/>
      <c r="C873" s="2111"/>
      <c r="D873" s="2111"/>
      <c r="E873" s="2111"/>
      <c r="F873" s="2111"/>
      <c r="G873" s="2111"/>
    </row>
    <row r="874" spans="1:7" ht="13.8" x14ac:dyDescent="0.25">
      <c r="A874" s="2109"/>
      <c r="B874" s="2109"/>
      <c r="C874" s="2110"/>
      <c r="D874" s="2111"/>
      <c r="E874" s="2111"/>
      <c r="F874" s="2111"/>
      <c r="G874" s="2111"/>
    </row>
    <row r="875" spans="1:7" ht="13.8" x14ac:dyDescent="0.25">
      <c r="A875" s="2113"/>
      <c r="B875" s="2894" t="s">
        <v>3351</v>
      </c>
      <c r="C875" s="2894"/>
      <c r="D875" s="2894"/>
      <c r="E875" s="2894"/>
      <c r="F875" s="2114">
        <f>D875*E875</f>
        <v>0</v>
      </c>
      <c r="G875" s="2190">
        <f>SUM(F871:F875)</f>
        <v>6500</v>
      </c>
    </row>
    <row r="876" spans="1:7" ht="13.8" x14ac:dyDescent="0.25">
      <c r="A876" s="2109"/>
      <c r="B876" s="2115"/>
      <c r="C876" s="2115"/>
      <c r="D876" s="2115"/>
      <c r="E876" s="2115"/>
      <c r="F876" s="2111"/>
      <c r="G876" s="2115"/>
    </row>
    <row r="877" spans="1:7" ht="13.8" x14ac:dyDescent="0.25">
      <c r="A877" s="2109"/>
      <c r="B877" s="2115"/>
      <c r="C877" s="2115"/>
      <c r="D877" s="2115"/>
      <c r="E877" s="2115"/>
      <c r="F877" s="2111"/>
      <c r="G877" s="2115"/>
    </row>
    <row r="878" spans="1:7" ht="13.8" x14ac:dyDescent="0.25">
      <c r="A878" s="2887" t="s">
        <v>3379</v>
      </c>
      <c r="B878" s="2887"/>
      <c r="C878" s="2887"/>
      <c r="D878" s="2887"/>
      <c r="E878" s="2887"/>
      <c r="F878" s="2887"/>
      <c r="G878" s="2189">
        <f>G869+G875</f>
        <v>13596.9375</v>
      </c>
    </row>
    <row r="879" spans="1:7" ht="13.8" x14ac:dyDescent="0.25">
      <c r="A879" s="2887" t="s">
        <v>3380</v>
      </c>
      <c r="B879" s="2887"/>
      <c r="C879" s="2887"/>
      <c r="D879" s="2887"/>
      <c r="E879" s="2887"/>
      <c r="F879" s="2887"/>
      <c r="G879" s="2189">
        <f>G878/9.29</f>
        <v>1463.6100645855761</v>
      </c>
    </row>
    <row r="880" spans="1:7" ht="13.8" x14ac:dyDescent="0.25">
      <c r="A880" s="2887" t="s">
        <v>3381</v>
      </c>
      <c r="B880" s="2887"/>
      <c r="C880" s="2887"/>
      <c r="D880" s="2887"/>
      <c r="E880" s="2887"/>
      <c r="F880" s="2887"/>
      <c r="G880" s="2191">
        <f>G879/10.76</f>
        <v>136.02324020312045</v>
      </c>
    </row>
    <row r="943" spans="1:7" x14ac:dyDescent="0.25">
      <c r="A943" s="2895" t="s">
        <v>579</v>
      </c>
      <c r="B943" s="2895"/>
      <c r="C943" s="2895"/>
      <c r="D943" s="2895"/>
      <c r="E943" s="2895"/>
      <c r="F943" s="2895"/>
      <c r="G943" s="2895"/>
    </row>
    <row r="945" spans="1:9" ht="13.8" thickBot="1" x14ac:dyDescent="0.3"/>
    <row r="946" spans="1:9" ht="13.8" x14ac:dyDescent="0.25">
      <c r="A946" s="2888" t="s">
        <v>3485</v>
      </c>
      <c r="B946" s="2889"/>
      <c r="C946" s="2889"/>
      <c r="D946" s="2889"/>
      <c r="E946" s="2889"/>
      <c r="F946" s="2889"/>
      <c r="G946" s="2890"/>
    </row>
    <row r="947" spans="1:9" ht="14.4" thickBot="1" x14ac:dyDescent="0.3">
      <c r="A947" s="2891" t="s">
        <v>3344</v>
      </c>
      <c r="B947" s="2892"/>
      <c r="C947" s="2892"/>
      <c r="D947" s="2892"/>
      <c r="E947" s="2892"/>
      <c r="F947" s="2892"/>
      <c r="G947" s="2893"/>
    </row>
    <row r="948" spans="1:9" ht="14.4" thickBot="1" x14ac:dyDescent="0.3">
      <c r="A948" s="2107"/>
      <c r="B948" s="2108" t="s">
        <v>3345</v>
      </c>
      <c r="C948" s="2108" t="s">
        <v>3346</v>
      </c>
      <c r="D948" s="2108" t="s">
        <v>2</v>
      </c>
      <c r="E948" s="2108" t="s">
        <v>3347</v>
      </c>
      <c r="F948" s="2108" t="s">
        <v>5</v>
      </c>
      <c r="G948" s="2108" t="s">
        <v>3348</v>
      </c>
    </row>
    <row r="949" spans="1:9" ht="13.8" x14ac:dyDescent="0.25">
      <c r="A949" s="2109"/>
      <c r="B949" s="2109"/>
      <c r="C949" s="2110"/>
      <c r="D949" s="2111"/>
      <c r="E949" s="2111"/>
      <c r="F949" s="2111"/>
      <c r="G949" s="2111"/>
      <c r="I949" s="2106">
        <f>5000/10.76</f>
        <v>464.68401486988847</v>
      </c>
    </row>
    <row r="950" spans="1:9" ht="13.8" x14ac:dyDescent="0.25">
      <c r="A950" s="2109"/>
      <c r="B950" s="2112" t="s">
        <v>3362</v>
      </c>
      <c r="C950" s="2110"/>
      <c r="D950" s="2111"/>
      <c r="E950" s="2111"/>
      <c r="F950" s="2111"/>
      <c r="G950" s="2111"/>
    </row>
    <row r="951" spans="1:9" ht="13.8" x14ac:dyDescent="0.25">
      <c r="A951" s="2158"/>
      <c r="B951" s="2158" t="s">
        <v>3710</v>
      </c>
      <c r="C951" s="2159" t="s">
        <v>1846</v>
      </c>
      <c r="D951" s="2159">
        <v>100</v>
      </c>
      <c r="E951" s="2159">
        <v>600</v>
      </c>
      <c r="F951" s="2159">
        <f t="shared" ref="F951" si="80">D951*E951</f>
        <v>60000</v>
      </c>
      <c r="G951" s="2159"/>
    </row>
    <row r="952" spans="1:9" ht="13.8" x14ac:dyDescent="0.25">
      <c r="A952" s="2109"/>
      <c r="B952" s="2123" t="s">
        <v>3404</v>
      </c>
      <c r="C952" s="2110"/>
      <c r="D952" s="2111"/>
      <c r="E952" s="2111"/>
      <c r="F952" s="2111">
        <f>F951*5%</f>
        <v>3000</v>
      </c>
      <c r="G952" s="2111"/>
    </row>
    <row r="953" spans="1:9" ht="13.8" x14ac:dyDescent="0.25">
      <c r="A953" s="2158"/>
      <c r="B953" s="2158" t="s">
        <v>3413</v>
      </c>
      <c r="C953" s="2159" t="s">
        <v>3414</v>
      </c>
      <c r="D953" s="2159">
        <v>1.75</v>
      </c>
      <c r="E953" s="2159">
        <f>F131</f>
        <v>2285.625</v>
      </c>
      <c r="F953" s="2159">
        <f>D953*E953</f>
        <v>3999.84375</v>
      </c>
      <c r="G953" s="2159"/>
    </row>
    <row r="954" spans="1:9" ht="13.8" x14ac:dyDescent="0.25">
      <c r="A954" s="2158"/>
      <c r="B954" s="2158" t="s">
        <v>3392</v>
      </c>
      <c r="C954" s="2159" t="s">
        <v>131</v>
      </c>
      <c r="D954" s="2159">
        <v>0.08</v>
      </c>
      <c r="E954" s="2159">
        <f>Material!E13</f>
        <v>23000</v>
      </c>
      <c r="F954" s="2159">
        <f>D954*E954</f>
        <v>1840</v>
      </c>
      <c r="G954" s="2159"/>
    </row>
    <row r="955" spans="1:9" ht="13.8" x14ac:dyDescent="0.25">
      <c r="A955" s="2158"/>
      <c r="B955" s="2158" t="s">
        <v>3487</v>
      </c>
      <c r="C955" s="2159" t="s">
        <v>3414</v>
      </c>
      <c r="D955" s="2159">
        <v>2.86</v>
      </c>
      <c r="E955" s="2159">
        <f>Material!E137</f>
        <v>1800</v>
      </c>
      <c r="F955" s="2159">
        <f t="shared" ref="F955:F956" si="81">D955*E955</f>
        <v>5148</v>
      </c>
      <c r="G955" s="2159"/>
    </row>
    <row r="956" spans="1:9" ht="13.8" x14ac:dyDescent="0.25">
      <c r="A956" s="2158"/>
      <c r="B956" s="2158" t="s">
        <v>3488</v>
      </c>
      <c r="C956" s="2159" t="s">
        <v>3414</v>
      </c>
      <c r="D956" s="2159">
        <v>1</v>
      </c>
      <c r="E956" s="2159">
        <f>Material!E138</f>
        <v>280</v>
      </c>
      <c r="F956" s="2159">
        <f t="shared" si="81"/>
        <v>280</v>
      </c>
      <c r="G956" s="2159"/>
    </row>
    <row r="957" spans="1:9" ht="13.8" x14ac:dyDescent="0.25">
      <c r="A957" s="2158"/>
      <c r="B957" s="2160" t="s">
        <v>3489</v>
      </c>
      <c r="C957" s="2159" t="s">
        <v>3490</v>
      </c>
      <c r="D957" s="2159"/>
      <c r="E957" s="2159"/>
      <c r="F957" s="2159">
        <v>500</v>
      </c>
      <c r="G957" s="2159"/>
    </row>
    <row r="958" spans="1:9" ht="13.8" x14ac:dyDescent="0.25">
      <c r="A958" s="2109"/>
      <c r="B958" s="2110"/>
      <c r="C958" s="2111"/>
      <c r="D958" s="2111"/>
      <c r="E958" s="2111"/>
      <c r="F958" s="2111"/>
      <c r="G958" s="2111"/>
    </row>
    <row r="959" spans="1:9" ht="13.8" x14ac:dyDescent="0.25">
      <c r="A959" s="2109"/>
      <c r="B959" s="2110" t="s">
        <v>3491</v>
      </c>
      <c r="C959" s="2111"/>
      <c r="D959" s="2111"/>
      <c r="E959" s="2111"/>
      <c r="F959" s="2111">
        <v>400</v>
      </c>
      <c r="G959" s="2111"/>
    </row>
    <row r="960" spans="1:9" ht="13.8" x14ac:dyDescent="0.25">
      <c r="A960" s="2109"/>
      <c r="B960" s="2110"/>
      <c r="C960" s="2111"/>
      <c r="D960" s="2111"/>
      <c r="E960" s="2111"/>
      <c r="F960" s="2111"/>
      <c r="G960" s="2111"/>
    </row>
    <row r="961" spans="1:7" ht="13.8" x14ac:dyDescent="0.25">
      <c r="A961" s="2109"/>
      <c r="B961" s="2109"/>
      <c r="C961" s="2110"/>
      <c r="D961" s="2111"/>
      <c r="E961" s="2111"/>
      <c r="F961" s="2111">
        <f t="shared" ref="F961" si="82">D961*E961</f>
        <v>0</v>
      </c>
      <c r="G961" s="2111"/>
    </row>
    <row r="962" spans="1:7" ht="13.8" x14ac:dyDescent="0.25">
      <c r="A962" s="2113"/>
      <c r="B962" s="2894" t="s">
        <v>3363</v>
      </c>
      <c r="C962" s="2894"/>
      <c r="D962" s="2894"/>
      <c r="E962" s="2894"/>
      <c r="F962" s="2114"/>
      <c r="G962" s="2190">
        <f>SUM(F951:F962)</f>
        <v>75167.84375</v>
      </c>
    </row>
    <row r="963" spans="1:7" ht="13.8" x14ac:dyDescent="0.25">
      <c r="A963" s="2109"/>
      <c r="B963" s="2112" t="s">
        <v>3349</v>
      </c>
      <c r="C963" s="2110"/>
      <c r="D963" s="2111"/>
      <c r="E963" s="2111"/>
      <c r="F963" s="2111">
        <f t="shared" ref="F963:F964" si="83">D963*E963</f>
        <v>0</v>
      </c>
      <c r="G963" s="2111"/>
    </row>
    <row r="964" spans="1:7" ht="13.8" x14ac:dyDescent="0.25">
      <c r="A964" s="2158"/>
      <c r="B964" s="2158" t="s">
        <v>3357</v>
      </c>
      <c r="C964" s="2159" t="s">
        <v>1846</v>
      </c>
      <c r="D964" s="2159">
        <v>100</v>
      </c>
      <c r="E964" s="2159">
        <v>100</v>
      </c>
      <c r="F964" s="2159">
        <f t="shared" si="83"/>
        <v>10000</v>
      </c>
      <c r="G964" s="2159"/>
    </row>
    <row r="965" spans="1:7" ht="13.8" x14ac:dyDescent="0.25">
      <c r="A965" s="2109"/>
      <c r="B965" s="2109"/>
      <c r="C965" s="2111"/>
      <c r="D965" s="2111"/>
      <c r="E965" s="2111"/>
      <c r="F965" s="2111"/>
      <c r="G965" s="2111"/>
    </row>
    <row r="966" spans="1:7" ht="13.8" x14ac:dyDescent="0.25">
      <c r="A966" s="2109"/>
      <c r="B966" s="2109"/>
      <c r="C966" s="2111"/>
      <c r="D966" s="2111"/>
      <c r="E966" s="2111"/>
      <c r="F966" s="2111"/>
      <c r="G966" s="2111"/>
    </row>
    <row r="967" spans="1:7" ht="13.8" x14ac:dyDescent="0.25">
      <c r="A967" s="2109"/>
      <c r="B967" s="2109"/>
      <c r="C967" s="2110"/>
      <c r="D967" s="2111"/>
      <c r="E967" s="2111"/>
      <c r="F967" s="2111"/>
      <c r="G967" s="2111"/>
    </row>
    <row r="968" spans="1:7" ht="13.8" x14ac:dyDescent="0.25">
      <c r="A968" s="2113"/>
      <c r="B968" s="2894" t="s">
        <v>3351</v>
      </c>
      <c r="C968" s="2894"/>
      <c r="D968" s="2894"/>
      <c r="E968" s="2894"/>
      <c r="F968" s="2114">
        <f t="shared" ref="F968" si="84">D968*E968</f>
        <v>0</v>
      </c>
      <c r="G968" s="2190">
        <f>SUM(F964:F968)</f>
        <v>10000</v>
      </c>
    </row>
    <row r="969" spans="1:7" ht="13.8" x14ac:dyDescent="0.25">
      <c r="A969" s="2109"/>
      <c r="B969" s="2115"/>
      <c r="C969" s="2115"/>
      <c r="D969" s="2115"/>
      <c r="E969" s="2115"/>
      <c r="F969" s="2111"/>
      <c r="G969" s="2115"/>
    </row>
    <row r="970" spans="1:7" ht="13.8" x14ac:dyDescent="0.25">
      <c r="A970" s="2109"/>
      <c r="B970" s="2115"/>
      <c r="C970" s="2115"/>
      <c r="D970" s="2115"/>
      <c r="E970" s="2115"/>
      <c r="F970" s="2111"/>
      <c r="G970" s="2115"/>
    </row>
    <row r="971" spans="1:7" ht="13.8" x14ac:dyDescent="0.25">
      <c r="A971" s="2887" t="s">
        <v>3379</v>
      </c>
      <c r="B971" s="2887"/>
      <c r="C971" s="2887"/>
      <c r="D971" s="2887"/>
      <c r="E971" s="2887"/>
      <c r="F971" s="2887"/>
      <c r="G971" s="2189">
        <f>G962+G968</f>
        <v>85167.84375</v>
      </c>
    </row>
    <row r="972" spans="1:7" ht="13.8" x14ac:dyDescent="0.25">
      <c r="A972" s="2887" t="s">
        <v>3380</v>
      </c>
      <c r="B972" s="2887"/>
      <c r="C972" s="2887"/>
      <c r="D972" s="2887"/>
      <c r="E972" s="2887"/>
      <c r="F972" s="2887"/>
      <c r="G972" s="2189">
        <f>G971/9.29</f>
        <v>9167.6903928955871</v>
      </c>
    </row>
    <row r="973" spans="1:7" ht="13.8" x14ac:dyDescent="0.25">
      <c r="A973" s="2887" t="s">
        <v>3381</v>
      </c>
      <c r="B973" s="2887"/>
      <c r="C973" s="2887"/>
      <c r="D973" s="2887"/>
      <c r="E973" s="2887"/>
      <c r="F973" s="2887"/>
      <c r="G973" s="2192">
        <f>G972/10.76</f>
        <v>852.0158357709654</v>
      </c>
    </row>
    <row r="975" spans="1:7" ht="13.8" thickBot="1" x14ac:dyDescent="0.3"/>
    <row r="976" spans="1:7" ht="13.8" x14ac:dyDescent="0.25">
      <c r="A976" s="2888" t="s">
        <v>3492</v>
      </c>
      <c r="B976" s="2889"/>
      <c r="C976" s="2889"/>
      <c r="D976" s="2889"/>
      <c r="E976" s="2889"/>
      <c r="F976" s="2889"/>
      <c r="G976" s="2890"/>
    </row>
    <row r="977" spans="1:7" ht="14.4" thickBot="1" x14ac:dyDescent="0.3">
      <c r="A977" s="2891" t="s">
        <v>3344</v>
      </c>
      <c r="B977" s="2892"/>
      <c r="C977" s="2892"/>
      <c r="D977" s="2892"/>
      <c r="E977" s="2892"/>
      <c r="F977" s="2892"/>
      <c r="G977" s="2893"/>
    </row>
    <row r="978" spans="1:7" ht="14.4" thickBot="1" x14ac:dyDescent="0.3">
      <c r="A978" s="2107"/>
      <c r="B978" s="2108" t="s">
        <v>3345</v>
      </c>
      <c r="C978" s="2108" t="s">
        <v>3346</v>
      </c>
      <c r="D978" s="2108" t="s">
        <v>2</v>
      </c>
      <c r="E978" s="2108" t="s">
        <v>3347</v>
      </c>
      <c r="F978" s="2108" t="s">
        <v>5</v>
      </c>
      <c r="G978" s="2108" t="s">
        <v>3348</v>
      </c>
    </row>
    <row r="979" spans="1:7" ht="13.8" x14ac:dyDescent="0.25">
      <c r="A979" s="2109"/>
      <c r="B979" s="2109"/>
      <c r="C979" s="2110"/>
      <c r="D979" s="2111"/>
      <c r="E979" s="2111"/>
      <c r="F979" s="2111"/>
      <c r="G979" s="2111"/>
    </row>
    <row r="980" spans="1:7" ht="13.8" x14ac:dyDescent="0.25">
      <c r="A980" s="2109"/>
      <c r="B980" s="2112" t="s">
        <v>3362</v>
      </c>
      <c r="C980" s="2110"/>
      <c r="D980" s="2111"/>
      <c r="E980" s="2111"/>
      <c r="F980" s="2111"/>
      <c r="G980" s="2111"/>
    </row>
    <row r="981" spans="1:7" ht="13.8" x14ac:dyDescent="0.25">
      <c r="A981" s="2158"/>
      <c r="B981" s="2158" t="s">
        <v>3688</v>
      </c>
      <c r="C981" s="2159" t="s">
        <v>1846</v>
      </c>
      <c r="D981" s="2159">
        <v>100</v>
      </c>
      <c r="E981" s="2159">
        <v>600</v>
      </c>
      <c r="F981" s="2159">
        <f t="shared" ref="F981" si="85">D981*E981</f>
        <v>60000</v>
      </c>
      <c r="G981" s="2159"/>
    </row>
    <row r="982" spans="1:7" ht="13.8" x14ac:dyDescent="0.25">
      <c r="A982" s="2109"/>
      <c r="B982" s="2123" t="s">
        <v>3404</v>
      </c>
      <c r="C982" s="2110"/>
      <c r="D982" s="2111"/>
      <c r="E982" s="2111"/>
      <c r="F982" s="2111">
        <f>F981*5%</f>
        <v>3000</v>
      </c>
      <c r="G982" s="2111"/>
    </row>
    <row r="983" spans="1:7" ht="13.8" x14ac:dyDescent="0.25">
      <c r="A983" s="2158"/>
      <c r="B983" s="2158" t="s">
        <v>3413</v>
      </c>
      <c r="C983" s="2159" t="s">
        <v>3414</v>
      </c>
      <c r="D983" s="2159">
        <v>1.75</v>
      </c>
      <c r="E983" s="2159">
        <f>F131</f>
        <v>2285.625</v>
      </c>
      <c r="F983" s="2159">
        <f>D983*E983</f>
        <v>3999.84375</v>
      </c>
      <c r="G983" s="2159"/>
    </row>
    <row r="984" spans="1:7" ht="13.8" x14ac:dyDescent="0.25">
      <c r="A984" s="2158"/>
      <c r="B984" s="2158" t="s">
        <v>3392</v>
      </c>
      <c r="C984" s="2159" t="s">
        <v>131</v>
      </c>
      <c r="D984" s="2159">
        <v>0.08</v>
      </c>
      <c r="E984" s="2159">
        <f>Material!E13</f>
        <v>23000</v>
      </c>
      <c r="F984" s="2159">
        <f>D984*E984</f>
        <v>1840</v>
      </c>
      <c r="G984" s="2159"/>
    </row>
    <row r="985" spans="1:7" ht="13.8" x14ac:dyDescent="0.25">
      <c r="A985" s="2158"/>
      <c r="B985" s="2158" t="s">
        <v>3487</v>
      </c>
      <c r="C985" s="2159" t="s">
        <v>3414</v>
      </c>
      <c r="D985" s="2159">
        <v>2.86</v>
      </c>
      <c r="E985" s="2159">
        <f>Material!E137</f>
        <v>1800</v>
      </c>
      <c r="F985" s="2159">
        <f t="shared" ref="F985:F986" si="86">D985*E985</f>
        <v>5148</v>
      </c>
      <c r="G985" s="2159"/>
    </row>
    <row r="986" spans="1:7" ht="13.8" x14ac:dyDescent="0.25">
      <c r="A986" s="2158"/>
      <c r="B986" s="2158" t="s">
        <v>3488</v>
      </c>
      <c r="C986" s="2159" t="s">
        <v>3414</v>
      </c>
      <c r="D986" s="2159">
        <v>1</v>
      </c>
      <c r="E986" s="2159">
        <f>Material!E138</f>
        <v>280</v>
      </c>
      <c r="F986" s="2159">
        <f t="shared" si="86"/>
        <v>280</v>
      </c>
      <c r="G986" s="2159"/>
    </row>
    <row r="987" spans="1:7" ht="13.8" x14ac:dyDescent="0.25">
      <c r="A987" s="2158"/>
      <c r="B987" s="2160" t="s">
        <v>3489</v>
      </c>
      <c r="C987" s="2159" t="s">
        <v>3490</v>
      </c>
      <c r="D987" s="2159"/>
      <c r="E987" s="2159"/>
      <c r="F987" s="2159">
        <v>500</v>
      </c>
      <c r="G987" s="2159"/>
    </row>
    <row r="988" spans="1:7" ht="13.8" x14ac:dyDescent="0.25">
      <c r="A988" s="2109"/>
      <c r="B988" s="2110"/>
      <c r="C988" s="2111"/>
      <c r="D988" s="2111"/>
      <c r="E988" s="2111"/>
      <c r="F988" s="2111"/>
      <c r="G988" s="2111"/>
    </row>
    <row r="989" spans="1:7" ht="13.8" x14ac:dyDescent="0.25">
      <c r="A989" s="2109"/>
      <c r="B989" s="2110" t="s">
        <v>3491</v>
      </c>
      <c r="C989" s="2111"/>
      <c r="D989" s="2111"/>
      <c r="E989" s="2111"/>
      <c r="F989" s="2111">
        <v>400</v>
      </c>
      <c r="G989" s="2111"/>
    </row>
    <row r="990" spans="1:7" ht="13.8" x14ac:dyDescent="0.25">
      <c r="A990" s="2109"/>
      <c r="B990" s="2110"/>
      <c r="C990" s="2111"/>
      <c r="D990" s="2111"/>
      <c r="E990" s="2111"/>
      <c r="F990" s="2111"/>
      <c r="G990" s="2111"/>
    </row>
    <row r="991" spans="1:7" ht="13.8" x14ac:dyDescent="0.25">
      <c r="A991" s="2109"/>
      <c r="B991" s="2109"/>
      <c r="C991" s="2110"/>
      <c r="D991" s="2111"/>
      <c r="E991" s="2111"/>
      <c r="F991" s="2111">
        <f t="shared" ref="F991" si="87">D991*E991</f>
        <v>0</v>
      </c>
      <c r="G991" s="2111"/>
    </row>
    <row r="992" spans="1:7" ht="13.8" x14ac:dyDescent="0.25">
      <c r="A992" s="2113"/>
      <c r="B992" s="2894" t="s">
        <v>3363</v>
      </c>
      <c r="C992" s="2894"/>
      <c r="D992" s="2894"/>
      <c r="E992" s="2894"/>
      <c r="F992" s="2114"/>
      <c r="G992" s="2190">
        <f>SUM(F981:F992)</f>
        <v>75167.84375</v>
      </c>
    </row>
    <row r="993" spans="1:7" ht="13.8" x14ac:dyDescent="0.25">
      <c r="A993" s="2109"/>
      <c r="B993" s="2112" t="s">
        <v>3349</v>
      </c>
      <c r="C993" s="2110"/>
      <c r="D993" s="2111"/>
      <c r="E993" s="2111"/>
      <c r="F993" s="2111">
        <f t="shared" ref="F993:F994" si="88">D993*E993</f>
        <v>0</v>
      </c>
      <c r="G993" s="2111"/>
    </row>
    <row r="994" spans="1:7" ht="13.8" x14ac:dyDescent="0.25">
      <c r="A994" s="2158"/>
      <c r="B994" s="2158" t="s">
        <v>3357</v>
      </c>
      <c r="C994" s="2159" t="s">
        <v>1846</v>
      </c>
      <c r="D994" s="2159">
        <v>100</v>
      </c>
      <c r="E994" s="2159">
        <v>160</v>
      </c>
      <c r="F994" s="2159">
        <f t="shared" si="88"/>
        <v>16000</v>
      </c>
      <c r="G994" s="2159"/>
    </row>
    <row r="995" spans="1:7" ht="13.8" x14ac:dyDescent="0.25">
      <c r="A995" s="2109"/>
      <c r="B995" s="2109"/>
      <c r="C995" s="2111"/>
      <c r="D995" s="2111"/>
      <c r="E995" s="2111"/>
      <c r="F995" s="2111"/>
      <c r="G995" s="2111"/>
    </row>
    <row r="996" spans="1:7" ht="13.8" x14ac:dyDescent="0.25">
      <c r="A996" s="2109"/>
      <c r="B996" s="2109"/>
      <c r="C996" s="2111"/>
      <c r="D996" s="2111"/>
      <c r="E996" s="2111"/>
      <c r="F996" s="2111"/>
      <c r="G996" s="2111"/>
    </row>
    <row r="997" spans="1:7" ht="13.8" x14ac:dyDescent="0.25">
      <c r="A997" s="2109"/>
      <c r="B997" s="2109"/>
      <c r="C997" s="2110"/>
      <c r="D997" s="2111"/>
      <c r="E997" s="2111"/>
      <c r="F997" s="2111"/>
      <c r="G997" s="2111"/>
    </row>
    <row r="998" spans="1:7" ht="13.8" x14ac:dyDescent="0.25">
      <c r="A998" s="2113"/>
      <c r="B998" s="2894" t="s">
        <v>3351</v>
      </c>
      <c r="C998" s="2894"/>
      <c r="D998" s="2894"/>
      <c r="E998" s="2894"/>
      <c r="F998" s="2114">
        <f t="shared" ref="F998" si="89">D998*E998</f>
        <v>0</v>
      </c>
      <c r="G998" s="2190">
        <f>SUM(F994:F998)</f>
        <v>16000</v>
      </c>
    </row>
    <row r="999" spans="1:7" ht="13.8" x14ac:dyDescent="0.25">
      <c r="A999" s="2109"/>
      <c r="B999" s="2115"/>
      <c r="C999" s="2115"/>
      <c r="D999" s="2115"/>
      <c r="E999" s="2115"/>
      <c r="F999" s="2111"/>
      <c r="G999" s="2115"/>
    </row>
    <row r="1000" spans="1:7" ht="13.8" x14ac:dyDescent="0.25">
      <c r="A1000" s="2109"/>
      <c r="B1000" s="2115"/>
      <c r="C1000" s="2115"/>
      <c r="D1000" s="2115"/>
      <c r="E1000" s="2115"/>
      <c r="F1000" s="2111"/>
      <c r="G1000" s="2115"/>
    </row>
    <row r="1001" spans="1:7" ht="13.8" x14ac:dyDescent="0.25">
      <c r="A1001" s="2887" t="s">
        <v>3379</v>
      </c>
      <c r="B1001" s="2887"/>
      <c r="C1001" s="2887"/>
      <c r="D1001" s="2887"/>
      <c r="E1001" s="2887"/>
      <c r="F1001" s="2887"/>
      <c r="G1001" s="2189">
        <f>G992+G998</f>
        <v>91167.84375</v>
      </c>
    </row>
    <row r="1002" spans="1:7" ht="13.8" x14ac:dyDescent="0.25">
      <c r="A1002" s="2887" t="s">
        <v>3380</v>
      </c>
      <c r="B1002" s="2887"/>
      <c r="C1002" s="2887"/>
      <c r="D1002" s="2887"/>
      <c r="E1002" s="2887"/>
      <c r="F1002" s="2887"/>
      <c r="G1002" s="2189">
        <f>G1001/9.29</f>
        <v>9813.546151776105</v>
      </c>
    </row>
    <row r="1003" spans="1:7" ht="13.8" x14ac:dyDescent="0.25">
      <c r="A1003" s="2887" t="s">
        <v>3381</v>
      </c>
      <c r="B1003" s="2887"/>
      <c r="C1003" s="2887"/>
      <c r="D1003" s="2887"/>
      <c r="E1003" s="2887"/>
      <c r="F1003" s="2887"/>
      <c r="G1003" s="2192">
        <f>G1002/10.76</f>
        <v>912.03960518365295</v>
      </c>
    </row>
    <row r="1004" spans="1:7" ht="13.8" thickBot="1" x14ac:dyDescent="0.3"/>
    <row r="1005" spans="1:7" ht="13.8" x14ac:dyDescent="0.25">
      <c r="A1005" s="2888" t="s">
        <v>3711</v>
      </c>
      <c r="B1005" s="2889"/>
      <c r="C1005" s="2889"/>
      <c r="D1005" s="2889"/>
      <c r="E1005" s="2889"/>
      <c r="F1005" s="2889"/>
      <c r="G1005" s="2890"/>
    </row>
    <row r="1006" spans="1:7" ht="14.4" thickBot="1" x14ac:dyDescent="0.3">
      <c r="A1006" s="2891" t="s">
        <v>3712</v>
      </c>
      <c r="B1006" s="2892"/>
      <c r="C1006" s="2892"/>
      <c r="D1006" s="2892"/>
      <c r="E1006" s="2892"/>
      <c r="F1006" s="2892"/>
      <c r="G1006" s="2893"/>
    </row>
    <row r="1007" spans="1:7" ht="14.4" thickBot="1" x14ac:dyDescent="0.3">
      <c r="A1007" s="2107"/>
      <c r="B1007" s="2108" t="s">
        <v>3345</v>
      </c>
      <c r="C1007" s="2108" t="s">
        <v>3346</v>
      </c>
      <c r="D1007" s="2108" t="s">
        <v>2</v>
      </c>
      <c r="E1007" s="2108" t="s">
        <v>3347</v>
      </c>
      <c r="F1007" s="2108" t="s">
        <v>5</v>
      </c>
      <c r="G1007" s="2108" t="s">
        <v>3348</v>
      </c>
    </row>
    <row r="1008" spans="1:7" ht="13.8" x14ac:dyDescent="0.25">
      <c r="A1008" s="2109"/>
      <c r="B1008" s="2109"/>
      <c r="C1008" s="2110"/>
      <c r="D1008" s="2111"/>
      <c r="E1008" s="2111"/>
      <c r="F1008" s="2111"/>
      <c r="G1008" s="2111"/>
    </row>
    <row r="1009" spans="1:7" ht="13.8" x14ac:dyDescent="0.25">
      <c r="A1009" s="2109"/>
      <c r="B1009" s="2112" t="s">
        <v>3362</v>
      </c>
      <c r="C1009" s="2110"/>
      <c r="D1009" s="2111"/>
      <c r="E1009" s="2111"/>
      <c r="F1009" s="2111"/>
      <c r="G1009" s="2111"/>
    </row>
    <row r="1010" spans="1:7" ht="13.8" x14ac:dyDescent="0.25">
      <c r="A1010" s="2158"/>
      <c r="B1010" s="2158" t="s">
        <v>3688</v>
      </c>
      <c r="C1010" s="2159" t="s">
        <v>1846</v>
      </c>
      <c r="D1010" s="2159">
        <f>0.482*10</f>
        <v>4.82</v>
      </c>
      <c r="E1010" s="2159">
        <v>600</v>
      </c>
      <c r="F1010" s="2159">
        <f t="shared" ref="F1010" si="90">D1010*E1010</f>
        <v>2892</v>
      </c>
      <c r="G1010" s="2159"/>
    </row>
    <row r="1011" spans="1:7" ht="13.8" x14ac:dyDescent="0.25">
      <c r="A1011" s="2109"/>
      <c r="B1011" s="2123" t="s">
        <v>3404</v>
      </c>
      <c r="C1011" s="2110"/>
      <c r="D1011" s="2111"/>
      <c r="E1011" s="2111"/>
      <c r="F1011" s="2111">
        <f>F1010*5%</f>
        <v>144.6</v>
      </c>
      <c r="G1011" s="2111"/>
    </row>
    <row r="1012" spans="1:7" ht="13.8" x14ac:dyDescent="0.25">
      <c r="A1012" s="2158"/>
      <c r="B1012" s="2158" t="s">
        <v>3487</v>
      </c>
      <c r="C1012" s="2159" t="s">
        <v>3414</v>
      </c>
      <c r="D1012" s="2159">
        <v>0.25</v>
      </c>
      <c r="E1012" s="2159">
        <f>+E985:E985</f>
        <v>1800</v>
      </c>
      <c r="F1012" s="2159">
        <f t="shared" ref="F1012:F1013" si="91">D1012*E1012</f>
        <v>450</v>
      </c>
      <c r="G1012" s="2159"/>
    </row>
    <row r="1013" spans="1:7" ht="13.8" x14ac:dyDescent="0.25">
      <c r="A1013" s="2158"/>
      <c r="B1013" s="2158" t="s">
        <v>3488</v>
      </c>
      <c r="C1013" s="2159" t="s">
        <v>3414</v>
      </c>
      <c r="D1013" s="2159">
        <v>0.115</v>
      </c>
      <c r="E1013" s="2159">
        <f>+E986</f>
        <v>280</v>
      </c>
      <c r="F1013" s="2159">
        <f t="shared" si="91"/>
        <v>32.200000000000003</v>
      </c>
      <c r="G1013" s="2159"/>
    </row>
    <row r="1014" spans="1:7" ht="13.8" x14ac:dyDescent="0.25">
      <c r="A1014" s="2158"/>
      <c r="B1014" s="2160" t="s">
        <v>3489</v>
      </c>
      <c r="C1014" s="2159" t="s">
        <v>3490</v>
      </c>
      <c r="D1014" s="2159"/>
      <c r="E1014" s="2159"/>
      <c r="F1014" s="2159">
        <v>50</v>
      </c>
      <c r="G1014" s="2159"/>
    </row>
    <row r="1015" spans="1:7" ht="13.8" x14ac:dyDescent="0.25">
      <c r="A1015" s="2109"/>
      <c r="B1015" s="2110"/>
      <c r="C1015" s="2111"/>
      <c r="D1015" s="2111"/>
      <c r="E1015" s="2111"/>
      <c r="F1015" s="2111"/>
      <c r="G1015" s="2111"/>
    </row>
    <row r="1016" spans="1:7" ht="13.8" x14ac:dyDescent="0.25">
      <c r="A1016" s="2109"/>
      <c r="B1016" s="2110" t="s">
        <v>3491</v>
      </c>
      <c r="C1016" s="2111"/>
      <c r="D1016" s="2111"/>
      <c r="E1016" s="2111"/>
      <c r="F1016" s="2111">
        <v>400</v>
      </c>
      <c r="G1016" s="2111"/>
    </row>
    <row r="1017" spans="1:7" ht="13.8" x14ac:dyDescent="0.25">
      <c r="A1017" s="2109"/>
      <c r="B1017" s="2110"/>
      <c r="C1017" s="2111"/>
      <c r="D1017" s="2111"/>
      <c r="E1017" s="2111"/>
      <c r="F1017" s="2111"/>
      <c r="G1017" s="2111"/>
    </row>
    <row r="1018" spans="1:7" ht="13.8" x14ac:dyDescent="0.25">
      <c r="A1018" s="2109"/>
      <c r="B1018" s="2109"/>
      <c r="C1018" s="2110"/>
      <c r="D1018" s="2111"/>
      <c r="E1018" s="2111"/>
      <c r="F1018" s="2111">
        <f t="shared" ref="F1018" si="92">D1018*E1018</f>
        <v>0</v>
      </c>
      <c r="G1018" s="2111"/>
    </row>
    <row r="1019" spans="1:7" ht="13.8" x14ac:dyDescent="0.25">
      <c r="A1019" s="2113"/>
      <c r="B1019" s="2894" t="s">
        <v>3363</v>
      </c>
      <c r="C1019" s="2894"/>
      <c r="D1019" s="2894"/>
      <c r="E1019" s="2894"/>
      <c r="F1019" s="2114"/>
      <c r="G1019" s="2190">
        <f>SUM(F1010:F1019)</f>
        <v>3968.7999999999997</v>
      </c>
    </row>
    <row r="1020" spans="1:7" ht="13.8" x14ac:dyDescent="0.25">
      <c r="A1020" s="2109"/>
      <c r="B1020" s="2112" t="s">
        <v>3349</v>
      </c>
      <c r="C1020" s="2110"/>
      <c r="D1020" s="2111"/>
      <c r="E1020" s="2111"/>
      <c r="F1020" s="2111">
        <f t="shared" ref="F1020:F1021" si="93">D1020*E1020</f>
        <v>0</v>
      </c>
      <c r="G1020" s="2111"/>
    </row>
    <row r="1021" spans="1:7" ht="13.8" x14ac:dyDescent="0.25">
      <c r="A1021" s="2158"/>
      <c r="B1021" s="2158" t="s">
        <v>3357</v>
      </c>
      <c r="C1021" s="2159" t="s">
        <v>1846</v>
      </c>
      <c r="D1021" s="2159">
        <v>10</v>
      </c>
      <c r="E1021" s="2159">
        <v>115</v>
      </c>
      <c r="F1021" s="2159">
        <f t="shared" si="93"/>
        <v>1150</v>
      </c>
      <c r="G1021" s="2159"/>
    </row>
    <row r="1022" spans="1:7" ht="13.8" x14ac:dyDescent="0.25">
      <c r="A1022" s="2109"/>
      <c r="B1022" s="2109"/>
      <c r="C1022" s="2111"/>
      <c r="D1022" s="2111"/>
      <c r="E1022" s="2111"/>
      <c r="F1022" s="2111"/>
      <c r="G1022" s="2111"/>
    </row>
    <row r="1023" spans="1:7" ht="13.8" x14ac:dyDescent="0.25">
      <c r="A1023" s="2109"/>
      <c r="B1023" s="2109"/>
      <c r="C1023" s="2111"/>
      <c r="D1023" s="2111"/>
      <c r="E1023" s="2111"/>
      <c r="F1023" s="2111"/>
      <c r="G1023" s="2111"/>
    </row>
    <row r="1024" spans="1:7" ht="13.8" x14ac:dyDescent="0.25">
      <c r="A1024" s="2109"/>
      <c r="B1024" s="2109"/>
      <c r="C1024" s="2110"/>
      <c r="D1024" s="2111"/>
      <c r="E1024" s="2111"/>
      <c r="F1024" s="2111"/>
      <c r="G1024" s="2111"/>
    </row>
    <row r="1025" spans="1:29" ht="13.8" x14ac:dyDescent="0.25">
      <c r="A1025" s="2113"/>
      <c r="B1025" s="2894" t="s">
        <v>3351</v>
      </c>
      <c r="C1025" s="2894"/>
      <c r="D1025" s="2894"/>
      <c r="E1025" s="2894"/>
      <c r="F1025" s="2114">
        <f t="shared" ref="F1025" si="94">D1025*E1025</f>
        <v>0</v>
      </c>
      <c r="G1025" s="2190">
        <f>SUM(F1021:F1025)</f>
        <v>1150</v>
      </c>
    </row>
    <row r="1026" spans="1:29" ht="13.8" x14ac:dyDescent="0.25">
      <c r="A1026" s="2109"/>
      <c r="B1026" s="2115"/>
      <c r="C1026" s="2115"/>
      <c r="D1026" s="2115"/>
      <c r="E1026" s="2115"/>
      <c r="F1026" s="2111"/>
      <c r="G1026" s="2115"/>
    </row>
    <row r="1027" spans="1:29" ht="13.8" x14ac:dyDescent="0.25">
      <c r="A1027" s="2109"/>
      <c r="B1027" s="2115"/>
      <c r="C1027" s="2115"/>
      <c r="D1027" s="2115"/>
      <c r="E1027" s="2115"/>
      <c r="F1027" s="2111"/>
      <c r="G1027" s="2115"/>
    </row>
    <row r="1028" spans="1:29" ht="13.8" x14ac:dyDescent="0.25">
      <c r="A1028" s="2887" t="s">
        <v>3714</v>
      </c>
      <c r="B1028" s="2887"/>
      <c r="C1028" s="2887"/>
      <c r="D1028" s="2887"/>
      <c r="E1028" s="2887"/>
      <c r="F1028" s="2887"/>
      <c r="G1028" s="2189">
        <f>G1019+G1025</f>
        <v>5118.7999999999993</v>
      </c>
    </row>
    <row r="1029" spans="1:29" ht="13.8" x14ac:dyDescent="0.25">
      <c r="A1029" s="2887" t="s">
        <v>3713</v>
      </c>
      <c r="B1029" s="2887"/>
      <c r="C1029" s="2887"/>
      <c r="D1029" s="2887"/>
      <c r="E1029" s="2887"/>
      <c r="F1029" s="2887"/>
      <c r="G1029" s="2189">
        <f>G1028/3.28</f>
        <v>1560.6097560975609</v>
      </c>
    </row>
    <row r="1030" spans="1:29" ht="14.4" thickBot="1" x14ac:dyDescent="0.3">
      <c r="A1030" s="2407"/>
      <c r="B1030" s="2117"/>
      <c r="C1030" s="2117"/>
      <c r="D1030" s="2117"/>
      <c r="E1030" s="2117"/>
      <c r="F1030" s="2117"/>
      <c r="G1030" s="2408"/>
    </row>
    <row r="1031" spans="1:29" ht="13.8" x14ac:dyDescent="0.25">
      <c r="A1031" s="2888" t="s">
        <v>3494</v>
      </c>
      <c r="B1031" s="2889"/>
      <c r="C1031" s="2889"/>
      <c r="D1031" s="2889"/>
      <c r="E1031" s="2889"/>
      <c r="F1031" s="2889"/>
      <c r="G1031" s="2890"/>
    </row>
    <row r="1032" spans="1:29" ht="14.4" thickBot="1" x14ac:dyDescent="0.3">
      <c r="A1032" s="2891" t="s">
        <v>3344</v>
      </c>
      <c r="B1032" s="2892"/>
      <c r="C1032" s="2892"/>
      <c r="D1032" s="2892"/>
      <c r="E1032" s="2892"/>
      <c r="F1032" s="2892"/>
      <c r="G1032" s="2893"/>
    </row>
    <row r="1033" spans="1:29" ht="14.4" thickBot="1" x14ac:dyDescent="0.3">
      <c r="A1033" s="2107"/>
      <c r="B1033" s="2108" t="s">
        <v>3345</v>
      </c>
      <c r="C1033" s="2108" t="s">
        <v>3346</v>
      </c>
      <c r="D1033" s="2108" t="s">
        <v>2</v>
      </c>
      <c r="E1033" s="2108" t="s">
        <v>3347</v>
      </c>
      <c r="F1033" s="2108" t="s">
        <v>5</v>
      </c>
      <c r="G1033" s="2108" t="s">
        <v>3348</v>
      </c>
    </row>
    <row r="1034" spans="1:29" ht="14.4" thickBot="1" x14ac:dyDescent="0.3">
      <c r="A1034" s="2109"/>
      <c r="B1034" s="2109"/>
      <c r="C1034" s="2110"/>
      <c r="D1034" s="2111"/>
      <c r="E1034" s="2111"/>
      <c r="F1034" s="2111"/>
      <c r="G1034" s="2111"/>
    </row>
    <row r="1035" spans="1:29" ht="13.8" x14ac:dyDescent="0.25">
      <c r="A1035" s="2109"/>
      <c r="B1035" s="2112" t="s">
        <v>3362</v>
      </c>
      <c r="C1035" s="2110"/>
      <c r="D1035" s="2111"/>
      <c r="E1035" s="2111"/>
      <c r="F1035" s="2111"/>
      <c r="G1035" s="2111"/>
      <c r="K1035" s="2106"/>
      <c r="L1035" s="2106"/>
      <c r="M1035" s="2106"/>
      <c r="N1035" s="2106"/>
      <c r="O1035" s="2888" t="s">
        <v>3485</v>
      </c>
      <c r="P1035" s="2889"/>
      <c r="Q1035" s="2889"/>
      <c r="R1035" s="2889"/>
      <c r="S1035" s="2889"/>
      <c r="T1035" s="2889"/>
      <c r="U1035" s="2890"/>
      <c r="Y1035" s="2143"/>
      <c r="Z1035" s="2143"/>
      <c r="AA1035" s="2143"/>
      <c r="AB1035" s="2143"/>
      <c r="AC1035" s="2143"/>
    </row>
    <row r="1036" spans="1:29" ht="14.4" thickBot="1" x14ac:dyDescent="0.3">
      <c r="A1036" s="2158"/>
      <c r="B1036" s="2158" t="s">
        <v>3493</v>
      </c>
      <c r="C1036" s="2159" t="s">
        <v>1846</v>
      </c>
      <c r="D1036" s="2159">
        <v>100</v>
      </c>
      <c r="E1036" s="2159">
        <v>500</v>
      </c>
      <c r="F1036" s="2159">
        <f t="shared" ref="F1036" si="95">D1036*E1036</f>
        <v>50000</v>
      </c>
      <c r="G1036" s="2159"/>
      <c r="K1036" s="2106"/>
      <c r="L1036" s="2106"/>
      <c r="M1036" s="2106"/>
      <c r="N1036" s="2106"/>
      <c r="O1036" s="2891" t="s">
        <v>3344</v>
      </c>
      <c r="P1036" s="2892"/>
      <c r="Q1036" s="2892"/>
      <c r="R1036" s="2892"/>
      <c r="S1036" s="2892"/>
      <c r="T1036" s="2892"/>
      <c r="U1036" s="2893"/>
      <c r="Y1036" s="2143"/>
      <c r="Z1036" s="2143"/>
      <c r="AA1036" s="2143"/>
      <c r="AB1036" s="2143"/>
      <c r="AC1036" s="2143"/>
    </row>
    <row r="1037" spans="1:29" ht="14.4" thickBot="1" x14ac:dyDescent="0.3">
      <c r="A1037" s="2109"/>
      <c r="B1037" s="2123" t="s">
        <v>3404</v>
      </c>
      <c r="C1037" s="2110"/>
      <c r="D1037" s="2111"/>
      <c r="E1037" s="2111"/>
      <c r="F1037" s="2111">
        <f>F1036*5%</f>
        <v>2500</v>
      </c>
      <c r="G1037" s="2111"/>
      <c r="K1037" s="2106"/>
      <c r="L1037" s="2106"/>
      <c r="M1037" s="2106"/>
      <c r="N1037" s="2106"/>
      <c r="O1037" s="2107"/>
      <c r="P1037" s="2108" t="s">
        <v>3345</v>
      </c>
      <c r="Q1037" s="2108" t="s">
        <v>3346</v>
      </c>
      <c r="R1037" s="2108" t="s">
        <v>2</v>
      </c>
      <c r="S1037" s="2108" t="s">
        <v>3347</v>
      </c>
      <c r="T1037" s="2108" t="s">
        <v>5</v>
      </c>
      <c r="U1037" s="2108" t="s">
        <v>3348</v>
      </c>
      <c r="Y1037" s="2143"/>
      <c r="Z1037" s="2143"/>
      <c r="AA1037" s="2143"/>
      <c r="AB1037" s="2143"/>
      <c r="AC1037" s="2143"/>
    </row>
    <row r="1038" spans="1:29" ht="13.8" x14ac:dyDescent="0.25">
      <c r="A1038" s="2158"/>
      <c r="B1038" s="2158" t="s">
        <v>3413</v>
      </c>
      <c r="C1038" s="2159" t="s">
        <v>3414</v>
      </c>
      <c r="D1038" s="2159">
        <v>1.75</v>
      </c>
      <c r="E1038" s="2159">
        <f>F131</f>
        <v>2285.625</v>
      </c>
      <c r="F1038" s="2159">
        <f>D1038*E1038</f>
        <v>3999.84375</v>
      </c>
      <c r="G1038" s="2159"/>
      <c r="K1038" s="2106"/>
      <c r="L1038" s="2106"/>
      <c r="M1038" s="2106"/>
      <c r="N1038" s="2106"/>
      <c r="O1038" s="2109"/>
      <c r="P1038" s="2109"/>
      <c r="Q1038" s="2110"/>
      <c r="R1038" s="2111"/>
      <c r="S1038" s="2111"/>
      <c r="T1038" s="2111"/>
      <c r="U1038" s="2111"/>
      <c r="Y1038" s="2143"/>
      <c r="Z1038" s="2143"/>
      <c r="AA1038" s="2143"/>
      <c r="AB1038" s="2143"/>
      <c r="AC1038" s="2143"/>
    </row>
    <row r="1039" spans="1:29" ht="13.8" x14ac:dyDescent="0.25">
      <c r="A1039" s="2158"/>
      <c r="B1039" s="2158" t="s">
        <v>3392</v>
      </c>
      <c r="C1039" s="2159" t="s">
        <v>131</v>
      </c>
      <c r="D1039" s="2159">
        <v>0.08</v>
      </c>
      <c r="E1039" s="2159">
        <f>Material!E13</f>
        <v>23000</v>
      </c>
      <c r="F1039" s="2159">
        <f>D1039*E1039</f>
        <v>1840</v>
      </c>
      <c r="G1039" s="2159"/>
      <c r="K1039" s="2106"/>
      <c r="L1039" s="2106"/>
      <c r="M1039" s="2106"/>
      <c r="N1039" s="2106"/>
      <c r="O1039" s="2109"/>
      <c r="P1039" s="2112" t="s">
        <v>3362</v>
      </c>
      <c r="Q1039" s="2110"/>
      <c r="R1039" s="2111"/>
      <c r="S1039" s="2111"/>
      <c r="T1039" s="2111"/>
      <c r="U1039" s="2111"/>
      <c r="Y1039" s="2143"/>
      <c r="Z1039" s="2143"/>
      <c r="AA1039" s="2143"/>
      <c r="AB1039" s="2143"/>
      <c r="AC1039" s="2143"/>
    </row>
    <row r="1040" spans="1:29" ht="13.8" x14ac:dyDescent="0.25">
      <c r="A1040" s="2158"/>
      <c r="B1040" s="2158" t="s">
        <v>3487</v>
      </c>
      <c r="C1040" s="2159" t="s">
        <v>3414</v>
      </c>
      <c r="D1040" s="2159">
        <v>2.86</v>
      </c>
      <c r="E1040" s="2159">
        <f>Material!E137</f>
        <v>1800</v>
      </c>
      <c r="F1040" s="2159">
        <f t="shared" ref="F1040:F1041" si="96">D1040*E1040</f>
        <v>5148</v>
      </c>
      <c r="G1040" s="2159"/>
      <c r="K1040" s="2106"/>
      <c r="L1040" s="2106"/>
      <c r="M1040" s="2106"/>
      <c r="N1040" s="2106"/>
      <c r="O1040" s="2158"/>
      <c r="P1040" s="2158" t="s">
        <v>3486</v>
      </c>
      <c r="Q1040" s="2159" t="s">
        <v>1846</v>
      </c>
      <c r="R1040" s="2159">
        <v>100</v>
      </c>
      <c r="S1040" s="2159">
        <v>500</v>
      </c>
      <c r="T1040" s="2159">
        <f t="shared" ref="T1040" si="97">R1040*S1040</f>
        <v>50000</v>
      </c>
      <c r="U1040" s="2159"/>
      <c r="Y1040" s="2143"/>
      <c r="Z1040" s="2143"/>
      <c r="AA1040" s="2143"/>
      <c r="AB1040" s="2143"/>
      <c r="AC1040" s="2143"/>
    </row>
    <row r="1041" spans="1:29" ht="17.399999999999999" customHeight="1" x14ac:dyDescent="0.25">
      <c r="A1041" s="2158"/>
      <c r="B1041" s="2158" t="s">
        <v>3488</v>
      </c>
      <c r="C1041" s="2159" t="s">
        <v>3414</v>
      </c>
      <c r="D1041" s="2159">
        <v>1</v>
      </c>
      <c r="E1041" s="2159">
        <f>Material!E138</f>
        <v>280</v>
      </c>
      <c r="F1041" s="2159">
        <f t="shared" si="96"/>
        <v>280</v>
      </c>
      <c r="G1041" s="2159"/>
      <c r="K1041" s="2106"/>
      <c r="L1041" s="2106"/>
      <c r="M1041" s="2106"/>
      <c r="N1041" s="2106"/>
      <c r="O1041" s="2109"/>
      <c r="P1041" s="2123" t="s">
        <v>3404</v>
      </c>
      <c r="Q1041" s="2110"/>
      <c r="R1041" s="2111"/>
      <c r="S1041" s="2111"/>
      <c r="T1041" s="2111">
        <f>T1040*5%</f>
        <v>2500</v>
      </c>
      <c r="U1041" s="2111"/>
      <c r="Y1041" s="2143"/>
      <c r="Z1041" s="2143"/>
      <c r="AA1041" s="2143"/>
      <c r="AB1041" s="2143"/>
      <c r="AC1041" s="2143"/>
    </row>
    <row r="1042" spans="1:29" ht="13.8" x14ac:dyDescent="0.25">
      <c r="A1042" s="2158"/>
      <c r="B1042" s="2160" t="s">
        <v>3489</v>
      </c>
      <c r="C1042" s="2159" t="s">
        <v>3490</v>
      </c>
      <c r="D1042" s="2159"/>
      <c r="E1042" s="2159"/>
      <c r="F1042" s="2159">
        <v>500</v>
      </c>
      <c r="G1042" s="2159"/>
      <c r="K1042" s="2106"/>
      <c r="L1042" s="2106"/>
      <c r="M1042" s="2106"/>
      <c r="N1042" s="2106"/>
      <c r="O1042" s="2158"/>
      <c r="P1042" s="2158" t="s">
        <v>3413</v>
      </c>
      <c r="Q1042" s="2159" t="s">
        <v>3414</v>
      </c>
      <c r="R1042" s="2159">
        <v>1.75</v>
      </c>
      <c r="S1042" s="2159">
        <f>F194</f>
        <v>0</v>
      </c>
      <c r="T1042" s="2159">
        <f>R1042*S1042</f>
        <v>0</v>
      </c>
      <c r="U1042" s="2159"/>
      <c r="Y1042" s="2143"/>
      <c r="Z1042" s="2143"/>
      <c r="AA1042" s="2143"/>
      <c r="AB1042" s="2143"/>
      <c r="AC1042" s="2143"/>
    </row>
    <row r="1043" spans="1:29" ht="13.8" x14ac:dyDescent="0.25">
      <c r="A1043" s="2109"/>
      <c r="B1043" s="2110"/>
      <c r="C1043" s="2111"/>
      <c r="D1043" s="2111"/>
      <c r="E1043" s="2111"/>
      <c r="F1043" s="2111"/>
      <c r="G1043" s="2111"/>
      <c r="K1043" s="2106"/>
      <c r="L1043" s="2106"/>
      <c r="M1043" s="2106"/>
      <c r="N1043" s="2106"/>
      <c r="O1043" s="2158"/>
      <c r="P1043" s="2158" t="s">
        <v>3392</v>
      </c>
      <c r="Q1043" s="2159" t="s">
        <v>131</v>
      </c>
      <c r="R1043" s="2159">
        <v>0.08</v>
      </c>
      <c r="S1043" s="2159">
        <f>Material!E76</f>
        <v>0</v>
      </c>
      <c r="T1043" s="2159">
        <f>R1043*S1043</f>
        <v>0</v>
      </c>
      <c r="U1043" s="2159"/>
      <c r="Y1043" s="2143"/>
      <c r="Z1043" s="2143"/>
      <c r="AA1043" s="2143"/>
      <c r="AB1043" s="2143"/>
      <c r="AC1043" s="2143"/>
    </row>
    <row r="1044" spans="1:29" ht="13.8" x14ac:dyDescent="0.25">
      <c r="A1044" s="2109"/>
      <c r="B1044" s="2110" t="s">
        <v>3491</v>
      </c>
      <c r="C1044" s="2111"/>
      <c r="D1044" s="2111"/>
      <c r="E1044" s="2111"/>
      <c r="F1044" s="2111">
        <v>1000</v>
      </c>
      <c r="G1044" s="2111"/>
      <c r="K1044" s="2106"/>
      <c r="L1044" s="2106"/>
      <c r="M1044" s="2106"/>
      <c r="N1044" s="2106"/>
      <c r="O1044" s="2158"/>
      <c r="P1044" s="2158" t="s">
        <v>3487</v>
      </c>
      <c r="Q1044" s="2159" t="s">
        <v>3414</v>
      </c>
      <c r="R1044" s="2159">
        <v>2.86</v>
      </c>
      <c r="S1044" s="2159">
        <f>Material!E200</f>
        <v>0</v>
      </c>
      <c r="T1044" s="2159">
        <f t="shared" ref="T1044:T1045" si="98">R1044*S1044</f>
        <v>0</v>
      </c>
      <c r="U1044" s="2159"/>
      <c r="Y1044" s="2143"/>
      <c r="Z1044" s="2143"/>
      <c r="AA1044" s="2143"/>
      <c r="AB1044" s="2143"/>
      <c r="AC1044" s="2143"/>
    </row>
    <row r="1045" spans="1:29" ht="13.8" x14ac:dyDescent="0.25">
      <c r="A1045" s="2109"/>
      <c r="B1045" s="2110"/>
      <c r="C1045" s="2111"/>
      <c r="D1045" s="2111"/>
      <c r="E1045" s="2111"/>
      <c r="F1045" s="2111"/>
      <c r="G1045" s="2111"/>
      <c r="K1045" s="2106"/>
      <c r="L1045" s="2106"/>
      <c r="M1045" s="2106"/>
      <c r="N1045" s="2106"/>
      <c r="O1045" s="2158"/>
      <c r="P1045" s="2158" t="s">
        <v>3488</v>
      </c>
      <c r="Q1045" s="2159" t="s">
        <v>3414</v>
      </c>
      <c r="R1045" s="2159">
        <v>1</v>
      </c>
      <c r="S1045" s="2159">
        <f>Material!E201</f>
        <v>0</v>
      </c>
      <c r="T1045" s="2159">
        <f t="shared" si="98"/>
        <v>0</v>
      </c>
      <c r="U1045" s="2159"/>
      <c r="Y1045" s="2143"/>
      <c r="Z1045" s="2143"/>
      <c r="AA1045" s="2143"/>
      <c r="AB1045" s="2143"/>
      <c r="AC1045" s="2143"/>
    </row>
    <row r="1046" spans="1:29" ht="27.6" x14ac:dyDescent="0.25">
      <c r="A1046" s="2109"/>
      <c r="B1046" s="2109"/>
      <c r="C1046" s="2110"/>
      <c r="D1046" s="2111"/>
      <c r="E1046" s="2111"/>
      <c r="F1046" s="2111">
        <f t="shared" ref="F1046" si="99">D1046*E1046</f>
        <v>0</v>
      </c>
      <c r="G1046" s="2111"/>
      <c r="K1046" s="2106"/>
      <c r="L1046" s="2106"/>
      <c r="M1046" s="2106"/>
      <c r="N1046" s="2106"/>
      <c r="O1046" s="2158"/>
      <c r="P1046" s="2160" t="s">
        <v>3489</v>
      </c>
      <c r="Q1046" s="2159" t="s">
        <v>3490</v>
      </c>
      <c r="R1046" s="2159"/>
      <c r="S1046" s="2159"/>
      <c r="T1046" s="2159">
        <v>500</v>
      </c>
      <c r="U1046" s="2159"/>
      <c r="Y1046" s="2143"/>
      <c r="Z1046" s="2143"/>
      <c r="AA1046" s="2143"/>
      <c r="AB1046" s="2143"/>
      <c r="AC1046" s="2143"/>
    </row>
    <row r="1047" spans="1:29" ht="13.8" x14ac:dyDescent="0.25">
      <c r="A1047" s="2113"/>
      <c r="B1047" s="2894" t="s">
        <v>3363</v>
      </c>
      <c r="C1047" s="2894"/>
      <c r="D1047" s="2894"/>
      <c r="E1047" s="2894"/>
      <c r="F1047" s="2114"/>
      <c r="G1047" s="2190">
        <f>SUM(F1036:F1047)</f>
        <v>65267.84375</v>
      </c>
      <c r="K1047" s="2106"/>
      <c r="L1047" s="2106"/>
      <c r="M1047" s="2106"/>
      <c r="N1047" s="2106"/>
      <c r="O1047" s="2109"/>
      <c r="P1047" s="2110"/>
      <c r="Q1047" s="2111"/>
      <c r="R1047" s="2111"/>
      <c r="S1047" s="2111"/>
      <c r="T1047" s="2111"/>
      <c r="U1047" s="2111"/>
      <c r="Y1047" s="2143"/>
      <c r="Z1047" s="2143"/>
      <c r="AA1047" s="2143"/>
      <c r="AB1047" s="2143"/>
      <c r="AC1047" s="2143"/>
    </row>
    <row r="1048" spans="1:29" ht="13.8" x14ac:dyDescent="0.25">
      <c r="A1048" s="2109"/>
      <c r="B1048" s="2112" t="s">
        <v>3349</v>
      </c>
      <c r="C1048" s="2110"/>
      <c r="D1048" s="2111"/>
      <c r="E1048" s="2111"/>
      <c r="F1048" s="2111">
        <f t="shared" ref="F1048:F1049" si="100">D1048*E1048</f>
        <v>0</v>
      </c>
      <c r="G1048" s="2111"/>
      <c r="K1048" s="2106"/>
      <c r="L1048" s="2106"/>
      <c r="M1048" s="2106"/>
      <c r="N1048" s="2106"/>
      <c r="O1048" s="2109"/>
      <c r="P1048" s="2110" t="s">
        <v>3491</v>
      </c>
      <c r="Q1048" s="2111"/>
      <c r="R1048" s="2111"/>
      <c r="S1048" s="2111"/>
      <c r="T1048" s="2111">
        <v>1000</v>
      </c>
      <c r="U1048" s="2111"/>
      <c r="Y1048" s="2143"/>
      <c r="Z1048" s="2143"/>
      <c r="AA1048" s="2143"/>
      <c r="AB1048" s="2143"/>
      <c r="AC1048" s="2143"/>
    </row>
    <row r="1049" spans="1:29" ht="13.8" x14ac:dyDescent="0.25">
      <c r="A1049" s="2158"/>
      <c r="B1049" s="2158" t="s">
        <v>3357</v>
      </c>
      <c r="C1049" s="2159" t="s">
        <v>1846</v>
      </c>
      <c r="D1049" s="2159">
        <v>100</v>
      </c>
      <c r="E1049" s="2159">
        <v>250</v>
      </c>
      <c r="F1049" s="2159">
        <f t="shared" si="100"/>
        <v>25000</v>
      </c>
      <c r="G1049" s="2159"/>
      <c r="K1049" s="2106"/>
      <c r="L1049" s="2106"/>
      <c r="M1049" s="2106"/>
      <c r="N1049" s="2106"/>
      <c r="O1049" s="2109"/>
      <c r="P1049" s="2110"/>
      <c r="Q1049" s="2111"/>
      <c r="R1049" s="2111"/>
      <c r="S1049" s="2111"/>
      <c r="T1049" s="2111"/>
      <c r="U1049" s="2111"/>
      <c r="Y1049" s="2143"/>
      <c r="Z1049" s="2143"/>
      <c r="AA1049" s="2143"/>
      <c r="AB1049" s="2143"/>
      <c r="AC1049" s="2143"/>
    </row>
    <row r="1050" spans="1:29" ht="13.8" x14ac:dyDescent="0.25">
      <c r="A1050" s="2109"/>
      <c r="B1050" s="2109"/>
      <c r="C1050" s="2111"/>
      <c r="D1050" s="2111"/>
      <c r="E1050" s="2111"/>
      <c r="F1050" s="2111"/>
      <c r="G1050" s="2111"/>
      <c r="K1050" s="2106"/>
      <c r="L1050" s="2106"/>
      <c r="M1050" s="2106"/>
      <c r="N1050" s="2106"/>
      <c r="O1050" s="2109"/>
      <c r="P1050" s="2109"/>
      <c r="Q1050" s="2110"/>
      <c r="R1050" s="2111"/>
      <c r="S1050" s="2111"/>
      <c r="T1050" s="2111">
        <f t="shared" ref="T1050" si="101">R1050*S1050</f>
        <v>0</v>
      </c>
      <c r="U1050" s="2111"/>
      <c r="Y1050" s="2143"/>
      <c r="Z1050" s="2143"/>
      <c r="AA1050" s="2143"/>
      <c r="AB1050" s="2143"/>
      <c r="AC1050" s="2143"/>
    </row>
    <row r="1051" spans="1:29" ht="13.8" x14ac:dyDescent="0.25">
      <c r="A1051" s="2109"/>
      <c r="B1051" s="2109"/>
      <c r="C1051" s="2111"/>
      <c r="D1051" s="2111"/>
      <c r="E1051" s="2111"/>
      <c r="F1051" s="2111"/>
      <c r="G1051" s="2111"/>
      <c r="K1051" s="2106"/>
      <c r="L1051" s="2106"/>
      <c r="M1051" s="2106"/>
      <c r="N1051" s="2106"/>
      <c r="O1051" s="2113"/>
      <c r="P1051" s="2894" t="s">
        <v>3363</v>
      </c>
      <c r="Q1051" s="2894"/>
      <c r="R1051" s="2894"/>
      <c r="S1051" s="2894"/>
      <c r="T1051" s="2114"/>
      <c r="U1051" s="2190">
        <f>SUM(T1040:T1051)</f>
        <v>54000</v>
      </c>
      <c r="Y1051" s="2143"/>
      <c r="Z1051" s="2143"/>
      <c r="AA1051" s="2143"/>
      <c r="AB1051" s="2143"/>
      <c r="AC1051" s="2143"/>
    </row>
    <row r="1052" spans="1:29" ht="13.8" x14ac:dyDescent="0.25">
      <c r="A1052" s="2109"/>
      <c r="B1052" s="2109"/>
      <c r="C1052" s="2110"/>
      <c r="D1052" s="2111"/>
      <c r="E1052" s="2111"/>
      <c r="F1052" s="2111"/>
      <c r="G1052" s="2111"/>
      <c r="K1052" s="2106"/>
      <c r="L1052" s="2106"/>
      <c r="M1052" s="2106"/>
      <c r="N1052" s="2106"/>
      <c r="O1052" s="2109"/>
      <c r="P1052" s="2112" t="s">
        <v>3349</v>
      </c>
      <c r="Q1052" s="2110"/>
      <c r="R1052" s="2111"/>
      <c r="S1052" s="2111"/>
      <c r="T1052" s="2111">
        <f t="shared" ref="T1052:T1053" si="102">R1052*S1052</f>
        <v>0</v>
      </c>
      <c r="U1052" s="2111"/>
      <c r="Y1052" s="2143"/>
      <c r="Z1052" s="2143"/>
      <c r="AA1052" s="2143"/>
      <c r="AB1052" s="2143"/>
      <c r="AC1052" s="2143"/>
    </row>
    <row r="1053" spans="1:29" ht="13.8" x14ac:dyDescent="0.25">
      <c r="A1053" s="2113"/>
      <c r="B1053" s="2894" t="s">
        <v>3351</v>
      </c>
      <c r="C1053" s="2894"/>
      <c r="D1053" s="2894"/>
      <c r="E1053" s="2894"/>
      <c r="F1053" s="2114">
        <f t="shared" ref="F1053" si="103">D1053*E1053</f>
        <v>0</v>
      </c>
      <c r="G1053" s="2190">
        <f>SUM(F1049:F1053)</f>
        <v>25000</v>
      </c>
      <c r="K1053" s="2106"/>
      <c r="L1053" s="2106"/>
      <c r="M1053" s="2106"/>
      <c r="N1053" s="2106"/>
      <c r="O1053" s="2158"/>
      <c r="P1053" s="2158" t="s">
        <v>3357</v>
      </c>
      <c r="Q1053" s="2159" t="s">
        <v>1846</v>
      </c>
      <c r="R1053" s="2159">
        <v>100</v>
      </c>
      <c r="S1053" s="2159">
        <v>100</v>
      </c>
      <c r="T1053" s="2159">
        <f t="shared" si="102"/>
        <v>10000</v>
      </c>
      <c r="U1053" s="2159"/>
      <c r="Y1053" s="2143"/>
      <c r="Z1053" s="2143"/>
      <c r="AA1053" s="2143"/>
      <c r="AB1053" s="2143"/>
      <c r="AC1053" s="2143"/>
    </row>
    <row r="1054" spans="1:29" ht="13.8" x14ac:dyDescent="0.25">
      <c r="A1054" s="2109"/>
      <c r="B1054" s="2115"/>
      <c r="C1054" s="2115"/>
      <c r="D1054" s="2115"/>
      <c r="E1054" s="2115"/>
      <c r="F1054" s="2111"/>
      <c r="G1054" s="2115"/>
      <c r="K1054" s="2106"/>
      <c r="L1054" s="2106"/>
      <c r="M1054" s="2106"/>
      <c r="N1054" s="2106"/>
      <c r="O1054" s="2109"/>
      <c r="P1054" s="2109"/>
      <c r="Q1054" s="2111"/>
      <c r="R1054" s="2111"/>
      <c r="S1054" s="2111"/>
      <c r="T1054" s="2111"/>
      <c r="U1054" s="2111"/>
      <c r="Y1054" s="2143"/>
      <c r="Z1054" s="2143"/>
      <c r="AA1054" s="2143"/>
      <c r="AB1054" s="2143"/>
      <c r="AC1054" s="2143"/>
    </row>
    <row r="1055" spans="1:29" ht="13.8" x14ac:dyDescent="0.25">
      <c r="A1055" s="2109"/>
      <c r="B1055" s="2115"/>
      <c r="C1055" s="2115"/>
      <c r="D1055" s="2115"/>
      <c r="E1055" s="2115"/>
      <c r="F1055" s="2111"/>
      <c r="G1055" s="2115"/>
      <c r="K1055" s="2106"/>
      <c r="L1055" s="2106"/>
      <c r="M1055" s="2106"/>
      <c r="N1055" s="2106"/>
      <c r="O1055" s="2109"/>
      <c r="P1055" s="2109"/>
      <c r="Q1055" s="2111"/>
      <c r="R1055" s="2111"/>
      <c r="S1055" s="2111"/>
      <c r="T1055" s="2111"/>
      <c r="U1055" s="2111"/>
      <c r="V1055" s="2145"/>
      <c r="Y1055" s="2143"/>
      <c r="Z1055" s="2143"/>
      <c r="AA1055" s="2143"/>
      <c r="AB1055" s="2143"/>
      <c r="AC1055" s="2143"/>
    </row>
    <row r="1056" spans="1:29" ht="13.8" x14ac:dyDescent="0.25">
      <c r="A1056" s="2887" t="s">
        <v>3379</v>
      </c>
      <c r="B1056" s="2887"/>
      <c r="C1056" s="2887"/>
      <c r="D1056" s="2887"/>
      <c r="E1056" s="2887"/>
      <c r="F1056" s="2887"/>
      <c r="G1056" s="2189">
        <f>G1047+G1053</f>
        <v>90267.84375</v>
      </c>
      <c r="K1056" s="2106"/>
      <c r="L1056" s="2106"/>
      <c r="M1056" s="2106"/>
      <c r="N1056" s="2106"/>
      <c r="O1056" s="2109"/>
      <c r="P1056" s="2109"/>
      <c r="Q1056" s="2110"/>
      <c r="R1056" s="2111"/>
      <c r="S1056" s="2111"/>
      <c r="T1056" s="2111"/>
      <c r="U1056" s="2111"/>
      <c r="V1056" s="2145"/>
      <c r="Y1056" s="2143"/>
      <c r="Z1056" s="2143"/>
      <c r="AA1056" s="2143"/>
      <c r="AB1056" s="2143"/>
      <c r="AC1056" s="2143"/>
    </row>
    <row r="1057" spans="1:29" ht="13.8" x14ac:dyDescent="0.25">
      <c r="A1057" s="2887" t="s">
        <v>3380</v>
      </c>
      <c r="B1057" s="2887"/>
      <c r="C1057" s="2887"/>
      <c r="D1057" s="2887"/>
      <c r="E1057" s="2887"/>
      <c r="F1057" s="2887"/>
      <c r="G1057" s="2189">
        <f>G1056/9.29</f>
        <v>9716.6677879440267</v>
      </c>
      <c r="K1057" s="2106"/>
      <c r="L1057" s="2106"/>
      <c r="M1057" s="2106"/>
      <c r="N1057" s="2106"/>
      <c r="O1057" s="2113"/>
      <c r="P1057" s="2894" t="s">
        <v>3351</v>
      </c>
      <c r="Q1057" s="2894"/>
      <c r="R1057" s="2894"/>
      <c r="S1057" s="2894"/>
      <c r="T1057" s="2114">
        <f t="shared" ref="T1057" si="104">R1057*S1057</f>
        <v>0</v>
      </c>
      <c r="U1057" s="2190">
        <f>SUM(T1053:T1057)</f>
        <v>10000</v>
      </c>
      <c r="V1057" s="2145"/>
      <c r="Y1057" s="2143"/>
      <c r="Z1057" s="2143"/>
      <c r="AA1057" s="2143"/>
      <c r="AB1057" s="2143"/>
      <c r="AC1057" s="2143"/>
    </row>
    <row r="1058" spans="1:29" ht="13.8" x14ac:dyDescent="0.25">
      <c r="A1058" s="2887" t="s">
        <v>3381</v>
      </c>
      <c r="B1058" s="2887"/>
      <c r="C1058" s="2887"/>
      <c r="D1058" s="2887"/>
      <c r="E1058" s="2887"/>
      <c r="F1058" s="2887"/>
      <c r="G1058" s="2192">
        <f>G1057/10.76</f>
        <v>903.03603977174976</v>
      </c>
      <c r="K1058" s="2106"/>
      <c r="L1058" s="2106"/>
      <c r="M1058" s="2106"/>
      <c r="N1058" s="2106"/>
      <c r="O1058" s="2109"/>
      <c r="P1058" s="2115"/>
      <c r="Q1058" s="2115"/>
      <c r="R1058" s="2115"/>
      <c r="S1058" s="2115"/>
      <c r="T1058" s="2111"/>
      <c r="U1058" s="2115"/>
      <c r="V1058" s="2145"/>
      <c r="Y1058" s="2143">
        <f>1380/20</f>
        <v>69</v>
      </c>
      <c r="Z1058" s="2143"/>
      <c r="AA1058" s="2143"/>
      <c r="AB1058" s="2143"/>
      <c r="AC1058" s="2143"/>
    </row>
    <row r="1059" spans="1:29" ht="13.8" x14ac:dyDescent="0.25">
      <c r="K1059" s="2106"/>
      <c r="L1059" s="2106"/>
      <c r="M1059" s="2106"/>
      <c r="N1059" s="2106"/>
      <c r="O1059" s="2109"/>
      <c r="P1059" s="2115"/>
      <c r="Q1059" s="2115"/>
      <c r="R1059" s="2115"/>
      <c r="S1059" s="2115"/>
      <c r="T1059" s="2111"/>
      <c r="U1059" s="2115"/>
      <c r="V1059" s="2161" t="s">
        <v>3495</v>
      </c>
      <c r="Y1059" s="2143"/>
      <c r="Z1059" s="2143"/>
      <c r="AA1059" s="2143"/>
      <c r="AB1059" s="2143"/>
      <c r="AC1059" s="2143"/>
    </row>
    <row r="1060" spans="1:29" ht="13.8" x14ac:dyDescent="0.25">
      <c r="K1060" s="2106"/>
      <c r="L1060" s="2106"/>
      <c r="M1060" s="2106"/>
      <c r="N1060" s="2106"/>
      <c r="O1060" s="2887" t="s">
        <v>3379</v>
      </c>
      <c r="P1060" s="2887"/>
      <c r="Q1060" s="2887"/>
      <c r="R1060" s="2887"/>
      <c r="S1060" s="2887"/>
      <c r="T1060" s="2887"/>
      <c r="U1060" s="2189">
        <f>U1051+U1057</f>
        <v>64000</v>
      </c>
      <c r="V1060" s="2161" t="s">
        <v>3496</v>
      </c>
      <c r="Y1060" s="2143">
        <f>12821/20</f>
        <v>641.04999999999995</v>
      </c>
      <c r="Z1060" s="2143"/>
      <c r="AA1060" s="2143"/>
      <c r="AB1060" s="2143"/>
      <c r="AC1060" s="2143"/>
    </row>
    <row r="1061" spans="1:29" ht="13.8" x14ac:dyDescent="0.25">
      <c r="K1061" s="2106"/>
      <c r="L1061" s="2106"/>
      <c r="M1061" s="2106"/>
      <c r="N1061" s="2106"/>
      <c r="O1061" s="2887" t="s">
        <v>3380</v>
      </c>
      <c r="P1061" s="2887"/>
      <c r="Q1061" s="2887"/>
      <c r="R1061" s="2887"/>
      <c r="S1061" s="2887"/>
      <c r="T1061" s="2887"/>
      <c r="U1061" s="2189">
        <f>U1060/9.29</f>
        <v>6889.1280947255118</v>
      </c>
      <c r="V1061" s="2161" t="s">
        <v>3497</v>
      </c>
      <c r="Y1061" s="2143">
        <f>47404/20</f>
        <v>2370.1999999999998</v>
      </c>
      <c r="Z1061" s="2143"/>
      <c r="AA1061" s="2143"/>
      <c r="AB1061" s="2143"/>
      <c r="AC1061" s="2143"/>
    </row>
    <row r="1062" spans="1:29" ht="13.8" x14ac:dyDescent="0.25">
      <c r="K1062" s="2106"/>
      <c r="L1062" s="2106"/>
      <c r="M1062" s="2106"/>
      <c r="N1062" s="2106"/>
      <c r="O1062" s="2887" t="s">
        <v>3381</v>
      </c>
      <c r="P1062" s="2887"/>
      <c r="Q1062" s="2887"/>
      <c r="R1062" s="2887"/>
      <c r="S1062" s="2887"/>
      <c r="T1062" s="2887"/>
      <c r="U1062" s="2192">
        <f>U1061/10.76</f>
        <v>640.2535404019992</v>
      </c>
      <c r="V1062" s="2161" t="s">
        <v>3498</v>
      </c>
      <c r="Y1062" s="2143"/>
      <c r="Z1062" s="2143"/>
      <c r="AA1062" s="2143"/>
      <c r="AB1062" s="2143"/>
      <c r="AC1062" s="2143"/>
    </row>
    <row r="1063" spans="1:29" ht="13.8" x14ac:dyDescent="0.25">
      <c r="H1063" s="2161" t="s">
        <v>3499</v>
      </c>
    </row>
    <row r="1064" spans="1:29" ht="13.8" x14ac:dyDescent="0.25">
      <c r="H1064" s="2145"/>
    </row>
    <row r="1065" spans="1:29" ht="13.8" x14ac:dyDescent="0.25">
      <c r="H1065" s="2145"/>
    </row>
    <row r="1066" spans="1:29" ht="13.8" x14ac:dyDescent="0.25">
      <c r="H1066" s="2145"/>
    </row>
    <row r="1067" spans="1:29" ht="13.8" x14ac:dyDescent="0.25">
      <c r="H1067" s="2145"/>
    </row>
    <row r="1068" spans="1:29" ht="13.8" x14ac:dyDescent="0.25">
      <c r="H1068" s="2145"/>
    </row>
    <row r="1069" spans="1:29" ht="13.8" x14ac:dyDescent="0.25">
      <c r="H1069" s="2161"/>
      <c r="I1069" s="2162"/>
    </row>
    <row r="1070" spans="1:29" ht="13.8" x14ac:dyDescent="0.25">
      <c r="H1070" s="2145"/>
    </row>
    <row r="1071" spans="1:29" ht="13.8" x14ac:dyDescent="0.25">
      <c r="H1071" s="2145"/>
    </row>
    <row r="1072" spans="1:29" ht="13.8" x14ac:dyDescent="0.25">
      <c r="H1072" s="2145"/>
    </row>
    <row r="1073" spans="1:15" ht="13.8" x14ac:dyDescent="0.25">
      <c r="H1073" s="2145"/>
    </row>
    <row r="1074" spans="1:15" ht="13.8" x14ac:dyDescent="0.25">
      <c r="H1074" s="2145"/>
    </row>
    <row r="1075" spans="1:15" ht="13.8" x14ac:dyDescent="0.25">
      <c r="H1075" s="2145"/>
    </row>
    <row r="1076" spans="1:15" ht="13.8" x14ac:dyDescent="0.25">
      <c r="H1076" s="2145"/>
    </row>
    <row r="1077" spans="1:15" ht="13.8" x14ac:dyDescent="0.25">
      <c r="H1077" s="2145"/>
    </row>
    <row r="1080" spans="1:15" x14ac:dyDescent="0.25">
      <c r="A1080" s="2895" t="s">
        <v>3500</v>
      </c>
      <c r="B1080" s="2895"/>
      <c r="C1080" s="2895"/>
      <c r="D1080" s="2895"/>
      <c r="E1080" s="2895"/>
      <c r="F1080" s="2895"/>
      <c r="G1080" s="2895"/>
    </row>
    <row r="1082" spans="1:15" s="2244" customFormat="1" ht="13.8" thickBot="1" x14ac:dyDescent="0.3">
      <c r="K1082" s="2245"/>
      <c r="L1082" s="2245"/>
      <c r="M1082" s="2245"/>
      <c r="N1082" s="2245"/>
      <c r="O1082" s="2245"/>
    </row>
    <row r="1083" spans="1:15" s="2244" customFormat="1" ht="13.8" x14ac:dyDescent="0.25">
      <c r="A1083" s="2918" t="s">
        <v>3715</v>
      </c>
      <c r="B1083" s="2919"/>
      <c r="C1083" s="2919"/>
      <c r="D1083" s="2919"/>
      <c r="E1083" s="2919"/>
      <c r="F1083" s="2919"/>
      <c r="G1083" s="2920"/>
      <c r="K1083" s="2245"/>
      <c r="L1083" s="2245"/>
      <c r="M1083" s="2245"/>
      <c r="N1083" s="2245"/>
      <c r="O1083" s="2245"/>
    </row>
    <row r="1084" spans="1:15" s="2244" customFormat="1" ht="14.4" thickBot="1" x14ac:dyDescent="0.3">
      <c r="A1084" s="2921" t="s">
        <v>3344</v>
      </c>
      <c r="B1084" s="2922"/>
      <c r="C1084" s="2922"/>
      <c r="D1084" s="2922"/>
      <c r="E1084" s="2922"/>
      <c r="F1084" s="2922"/>
      <c r="G1084" s="2923"/>
      <c r="K1084" s="2245"/>
      <c r="L1084" s="2245"/>
      <c r="M1084" s="2245"/>
      <c r="N1084" s="2245"/>
      <c r="O1084" s="2245"/>
    </row>
    <row r="1085" spans="1:15" s="2244" customFormat="1" ht="14.4" thickBot="1" x14ac:dyDescent="0.3">
      <c r="A1085" s="2246"/>
      <c r="B1085" s="2247" t="s">
        <v>3345</v>
      </c>
      <c r="C1085" s="2247" t="s">
        <v>3346</v>
      </c>
      <c r="D1085" s="2247" t="s">
        <v>2</v>
      </c>
      <c r="E1085" s="2247" t="s">
        <v>3347</v>
      </c>
      <c r="F1085" s="2247" t="s">
        <v>5</v>
      </c>
      <c r="G1085" s="2247" t="s">
        <v>3348</v>
      </c>
      <c r="K1085" s="2245"/>
      <c r="L1085" s="2245"/>
      <c r="M1085" s="2245"/>
      <c r="N1085" s="2245"/>
      <c r="O1085" s="2245"/>
    </row>
    <row r="1086" spans="1:15" s="2244" customFormat="1" ht="13.8" x14ac:dyDescent="0.25">
      <c r="A1086" s="2248"/>
      <c r="B1086" s="2248"/>
      <c r="C1086" s="2249"/>
      <c r="D1086" s="2250"/>
      <c r="E1086" s="2250"/>
      <c r="F1086" s="2250"/>
      <c r="G1086" s="2250"/>
      <c r="K1086" s="2245"/>
      <c r="L1086" s="2245"/>
      <c r="M1086" s="2245"/>
      <c r="N1086" s="2245"/>
      <c r="O1086" s="2245"/>
    </row>
    <row r="1087" spans="1:15" s="2244" customFormat="1" ht="13.8" x14ac:dyDescent="0.25">
      <c r="A1087" s="2252"/>
      <c r="B1087" s="2252" t="s">
        <v>3501</v>
      </c>
      <c r="C1087" s="2253" t="s">
        <v>134</v>
      </c>
      <c r="D1087" s="2253">
        <v>27</v>
      </c>
      <c r="E1087" s="2253">
        <f>Material!E147</f>
        <v>52.5</v>
      </c>
      <c r="F1087" s="2253"/>
      <c r="G1087" s="2253"/>
      <c r="K1087" s="2245"/>
      <c r="L1087" s="2245"/>
      <c r="M1087" s="2245"/>
      <c r="N1087" s="2245"/>
      <c r="O1087" s="2245"/>
    </row>
    <row r="1088" spans="1:15" s="2244" customFormat="1" ht="13.8" x14ac:dyDescent="0.25">
      <c r="A1088" s="2252"/>
      <c r="B1088" s="2252" t="s">
        <v>3502</v>
      </c>
      <c r="C1088" s="2253" t="s">
        <v>3476</v>
      </c>
      <c r="D1088" s="2253">
        <v>1</v>
      </c>
      <c r="E1088" s="2253">
        <f>Material!E149</f>
        <v>508.5</v>
      </c>
      <c r="F1088" s="2253">
        <f t="shared" ref="F1088:F1090" si="105">D1088*E1088</f>
        <v>508.5</v>
      </c>
      <c r="G1088" s="2253"/>
      <c r="I1088" s="2244">
        <f>12750/20</f>
        <v>637.5</v>
      </c>
      <c r="K1088" s="2245"/>
      <c r="L1088" s="2245"/>
      <c r="M1088" s="2245"/>
      <c r="N1088" s="2245"/>
      <c r="O1088" s="2245"/>
    </row>
    <row r="1089" spans="1:29" s="2244" customFormat="1" ht="13.8" x14ac:dyDescent="0.25">
      <c r="A1089" s="2252"/>
      <c r="B1089" s="2254" t="s">
        <v>3503</v>
      </c>
      <c r="C1089" s="2253" t="s">
        <v>3476</v>
      </c>
      <c r="D1089" s="2253">
        <v>1.5</v>
      </c>
      <c r="E1089" s="2253">
        <f>Material!E154</f>
        <v>1303</v>
      </c>
      <c r="F1089" s="2253">
        <f t="shared" si="105"/>
        <v>1954.5</v>
      </c>
      <c r="G1089" s="2253"/>
      <c r="I1089" s="2244">
        <f>44400/20</f>
        <v>2220</v>
      </c>
      <c r="K1089" s="2245"/>
      <c r="L1089" s="2245"/>
      <c r="M1089" s="2245"/>
      <c r="N1089" s="2245"/>
      <c r="O1089" s="2245"/>
    </row>
    <row r="1090" spans="1:29" s="2244" customFormat="1" ht="13.8" x14ac:dyDescent="0.25">
      <c r="A1090" s="2252"/>
      <c r="B1090" s="2252" t="s">
        <v>3504</v>
      </c>
      <c r="C1090" s="2253" t="s">
        <v>1314</v>
      </c>
      <c r="D1090" s="2253">
        <v>0.1</v>
      </c>
      <c r="E1090" s="2253">
        <v>1600</v>
      </c>
      <c r="F1090" s="2253">
        <f t="shared" si="105"/>
        <v>160</v>
      </c>
      <c r="G1090" s="2253"/>
      <c r="K1090" s="2245"/>
      <c r="L1090" s="2245"/>
      <c r="M1090" s="2245"/>
      <c r="N1090" s="2245"/>
      <c r="O1090" s="2245"/>
    </row>
    <row r="1091" spans="1:29" s="2244" customFormat="1" ht="13.8" x14ac:dyDescent="0.25">
      <c r="A1091" s="2252"/>
      <c r="B1091" s="2254" t="s">
        <v>3505</v>
      </c>
      <c r="C1091" s="2253" t="s">
        <v>1314</v>
      </c>
      <c r="D1091" s="2253">
        <v>1</v>
      </c>
      <c r="E1091" s="2253">
        <v>260</v>
      </c>
      <c r="F1091" s="2253"/>
      <c r="G1091" s="2253"/>
      <c r="K1091" s="2245"/>
      <c r="L1091" s="2245"/>
      <c r="M1091" s="2245"/>
      <c r="N1091" s="2245"/>
      <c r="O1091" s="2245"/>
    </row>
    <row r="1092" spans="1:29" s="2244" customFormat="1" ht="13.8" x14ac:dyDescent="0.25">
      <c r="A1092" s="2248"/>
      <c r="B1092" s="2256"/>
      <c r="C1092" s="2250"/>
      <c r="D1092" s="2250"/>
      <c r="E1092" s="2250"/>
      <c r="F1092" s="2250"/>
      <c r="G1092" s="2250"/>
      <c r="K1092" s="2245"/>
      <c r="L1092" s="2245"/>
      <c r="M1092" s="2245"/>
      <c r="N1092" s="2245"/>
      <c r="O1092" s="2245"/>
    </row>
    <row r="1093" spans="1:29" s="2244" customFormat="1" ht="13.8" x14ac:dyDescent="0.25">
      <c r="A1093" s="2248"/>
      <c r="B1093" s="2249" t="s">
        <v>3506</v>
      </c>
      <c r="C1093" s="2250"/>
      <c r="D1093" s="2250"/>
      <c r="E1093" s="2250">
        <f>[22]Material!D767</f>
        <v>0</v>
      </c>
      <c r="F1093" s="2250">
        <f>(F1087+F1088+F1089+F1090+F1091)*10%</f>
        <v>262.3</v>
      </c>
      <c r="G1093" s="2250"/>
      <c r="H1093" s="2418"/>
      <c r="K1093" s="2245"/>
      <c r="L1093" s="2245"/>
      <c r="M1093" s="2245"/>
      <c r="N1093" s="2245"/>
      <c r="O1093" s="2245"/>
    </row>
    <row r="1094" spans="1:29" s="2244" customFormat="1" ht="13.8" x14ac:dyDescent="0.25">
      <c r="A1094" s="2248"/>
      <c r="B1094" s="2248"/>
      <c r="C1094" s="2249"/>
      <c r="D1094" s="2250"/>
      <c r="E1094" s="2250"/>
      <c r="F1094" s="2250">
        <f t="shared" ref="F1094" si="106">D1094*E1094</f>
        <v>0</v>
      </c>
      <c r="G1094" s="2250"/>
      <c r="H1094" s="2418"/>
      <c r="K1094" s="2245"/>
      <c r="L1094" s="2245"/>
      <c r="M1094" s="2245"/>
      <c r="N1094" s="2245"/>
      <c r="O1094" s="2245"/>
    </row>
    <row r="1095" spans="1:29" s="2244" customFormat="1" ht="13.8" x14ac:dyDescent="0.25">
      <c r="A1095" s="2257"/>
      <c r="B1095" s="2927" t="s">
        <v>3363</v>
      </c>
      <c r="C1095" s="2927"/>
      <c r="D1095" s="2927"/>
      <c r="E1095" s="2927"/>
      <c r="F1095" s="2258"/>
      <c r="G1095" s="2259">
        <f>SUM(F1087:F1095)</f>
        <v>2885.3</v>
      </c>
      <c r="K1095" s="2245"/>
      <c r="L1095" s="2245"/>
      <c r="M1095" s="2245"/>
      <c r="N1095" s="2245"/>
      <c r="O1095" s="2245"/>
    </row>
    <row r="1096" spans="1:29" s="2244" customFormat="1" ht="13.8" x14ac:dyDescent="0.25">
      <c r="A1096" s="2248"/>
      <c r="B1096" s="2251" t="s">
        <v>3349</v>
      </c>
      <c r="C1096" s="2249"/>
      <c r="D1096" s="2250"/>
      <c r="E1096" s="2250"/>
      <c r="F1096" s="2250">
        <f t="shared" ref="F1096:F1097" si="107">D1096*E1096</f>
        <v>0</v>
      </c>
      <c r="G1096" s="2250"/>
      <c r="K1096" s="2245"/>
      <c r="L1096" s="2245"/>
      <c r="M1096" s="2245"/>
      <c r="N1096" s="2245"/>
      <c r="O1096" s="2245"/>
    </row>
    <row r="1097" spans="1:29" s="2244" customFormat="1" ht="13.8" x14ac:dyDescent="0.25">
      <c r="A1097" s="2252"/>
      <c r="B1097" s="2252" t="s">
        <v>3357</v>
      </c>
      <c r="C1097" s="2253" t="s">
        <v>1846</v>
      </c>
      <c r="D1097" s="2253">
        <v>100</v>
      </c>
      <c r="E1097" s="2253">
        <v>30</v>
      </c>
      <c r="F1097" s="2253">
        <f t="shared" si="107"/>
        <v>3000</v>
      </c>
      <c r="G1097" s="2253"/>
      <c r="K1097" s="2245"/>
      <c r="L1097" s="2245"/>
      <c r="M1097" s="2245"/>
      <c r="N1097" s="2245"/>
      <c r="O1097" s="2245"/>
    </row>
    <row r="1098" spans="1:29" s="2244" customFormat="1" ht="13.8" x14ac:dyDescent="0.25">
      <c r="A1098" s="2248"/>
      <c r="B1098" s="2248"/>
      <c r="C1098" s="2250"/>
      <c r="D1098" s="2250"/>
      <c r="E1098" s="2250"/>
      <c r="F1098" s="2250"/>
      <c r="G1098" s="2250"/>
      <c r="K1098" s="2245"/>
      <c r="L1098" s="2245"/>
      <c r="M1098" s="2245"/>
      <c r="N1098" s="2245"/>
      <c r="O1098" s="2245"/>
    </row>
    <row r="1099" spans="1:29" s="2244" customFormat="1" ht="13.8" x14ac:dyDescent="0.25">
      <c r="A1099" s="2248"/>
      <c r="B1099" s="2248" t="s">
        <v>3507</v>
      </c>
      <c r="C1099" s="2249"/>
      <c r="D1099" s="2250"/>
      <c r="E1099" s="2250"/>
      <c r="F1099" s="2250">
        <f>F1097*5%</f>
        <v>150</v>
      </c>
      <c r="G1099" s="2250"/>
      <c r="K1099" s="2245"/>
      <c r="L1099" s="2245"/>
      <c r="M1099" s="2245"/>
      <c r="N1099" s="2245"/>
      <c r="O1099" s="2245"/>
    </row>
    <row r="1100" spans="1:29" s="2244" customFormat="1" ht="13.8" x14ac:dyDescent="0.25">
      <c r="A1100" s="2257"/>
      <c r="B1100" s="2927" t="s">
        <v>3351</v>
      </c>
      <c r="C1100" s="2927"/>
      <c r="D1100" s="2927"/>
      <c r="E1100" s="2927"/>
      <c r="F1100" s="2258">
        <f t="shared" ref="F1100" si="108">D1100*E1100</f>
        <v>0</v>
      </c>
      <c r="G1100" s="2259">
        <f>SUM(F1097:F1100)</f>
        <v>3150</v>
      </c>
      <c r="K1100" s="2245"/>
      <c r="L1100" s="2245"/>
      <c r="M1100" s="2245"/>
      <c r="N1100" s="2245"/>
      <c r="O1100" s="2245"/>
    </row>
    <row r="1101" spans="1:29" s="2244" customFormat="1" ht="13.8" x14ac:dyDescent="0.25">
      <c r="A1101" s="2248"/>
      <c r="B1101" s="2260"/>
      <c r="C1101" s="2260"/>
      <c r="D1101" s="2260"/>
      <c r="E1101" s="2260"/>
      <c r="F1101" s="2250"/>
      <c r="G1101" s="2260"/>
      <c r="K1101" s="2245"/>
      <c r="L1101" s="2245"/>
      <c r="M1101" s="2245"/>
      <c r="N1101" s="2245"/>
      <c r="O1101" s="2245"/>
    </row>
    <row r="1102" spans="1:29" s="2244" customFormat="1" ht="13.8" x14ac:dyDescent="0.25">
      <c r="A1102" s="2248"/>
      <c r="B1102" s="2260"/>
      <c r="C1102" s="2260"/>
      <c r="D1102" s="2260"/>
      <c r="E1102" s="2260"/>
      <c r="F1102" s="2250"/>
      <c r="G1102" s="2260"/>
      <c r="K1102" s="2245"/>
      <c r="L1102" s="2245"/>
      <c r="M1102" s="2245"/>
      <c r="N1102" s="2245"/>
      <c r="O1102" s="2245"/>
    </row>
    <row r="1103" spans="1:29" s="2245" customFormat="1" ht="13.8" x14ac:dyDescent="0.25">
      <c r="A1103" s="2928" t="s">
        <v>3379</v>
      </c>
      <c r="B1103" s="2928"/>
      <c r="C1103" s="2928"/>
      <c r="D1103" s="2928"/>
      <c r="E1103" s="2928"/>
      <c r="F1103" s="2928"/>
      <c r="G1103" s="2261">
        <f>G1095+G1100</f>
        <v>6035.3</v>
      </c>
      <c r="H1103" s="2244"/>
      <c r="I1103" s="2244"/>
      <c r="J1103" s="2244"/>
      <c r="P1103" s="2244"/>
      <c r="Q1103" s="2244"/>
      <c r="R1103" s="2244"/>
      <c r="S1103" s="2244"/>
      <c r="T1103" s="2244"/>
      <c r="U1103" s="2244"/>
      <c r="V1103" s="2244"/>
      <c r="W1103" s="2244"/>
      <c r="X1103" s="2244"/>
      <c r="Y1103" s="2244"/>
      <c r="Z1103" s="2244"/>
      <c r="AA1103" s="2244"/>
      <c r="AB1103" s="2244"/>
      <c r="AC1103" s="2244"/>
    </row>
    <row r="1104" spans="1:29" s="2245" customFormat="1" ht="13.8" x14ac:dyDescent="0.25">
      <c r="A1104" s="2928" t="s">
        <v>3380</v>
      </c>
      <c r="B1104" s="2928"/>
      <c r="C1104" s="2928"/>
      <c r="D1104" s="2928"/>
      <c r="E1104" s="2928"/>
      <c r="F1104" s="2928"/>
      <c r="G1104" s="2261">
        <f>G1103/9.29</f>
        <v>649.65554359526379</v>
      </c>
      <c r="H1104" s="2244"/>
      <c r="I1104" s="2244"/>
      <c r="J1104" s="2244"/>
      <c r="P1104" s="2244"/>
      <c r="Q1104" s="2244"/>
      <c r="R1104" s="2244"/>
      <c r="S1104" s="2244"/>
      <c r="T1104" s="2244"/>
      <c r="U1104" s="2244"/>
      <c r="V1104" s="2244"/>
      <c r="W1104" s="2244"/>
      <c r="X1104" s="2244"/>
      <c r="Y1104" s="2244"/>
      <c r="Z1104" s="2244"/>
      <c r="AA1104" s="2244"/>
      <c r="AB1104" s="2244"/>
      <c r="AC1104" s="2244"/>
    </row>
    <row r="1105" spans="1:29" s="2245" customFormat="1" ht="13.8" x14ac:dyDescent="0.25">
      <c r="A1105" s="2928" t="s">
        <v>3381</v>
      </c>
      <c r="B1105" s="2928"/>
      <c r="C1105" s="2928"/>
      <c r="D1105" s="2928"/>
      <c r="E1105" s="2928"/>
      <c r="F1105" s="2928"/>
      <c r="G1105" s="2384">
        <f>G1104/10.76</f>
        <v>60.37690925606541</v>
      </c>
      <c r="H1105" s="2244"/>
      <c r="I1105" s="2244"/>
      <c r="J1105" s="2244"/>
      <c r="P1105" s="2244"/>
      <c r="Q1105" s="2244"/>
      <c r="R1105" s="2244"/>
      <c r="S1105" s="2244"/>
      <c r="T1105" s="2244"/>
      <c r="U1105" s="2244"/>
      <c r="V1105" s="2244"/>
      <c r="W1105" s="2244"/>
      <c r="X1105" s="2244"/>
      <c r="Y1105" s="2244"/>
      <c r="Z1105" s="2244"/>
      <c r="AA1105" s="2244"/>
      <c r="AB1105" s="2244"/>
      <c r="AC1105" s="2244"/>
    </row>
    <row r="1106" spans="1:29" s="2244" customFormat="1" x14ac:dyDescent="0.25">
      <c r="K1106" s="2245"/>
      <c r="L1106" s="2245"/>
      <c r="M1106" s="2245"/>
      <c r="N1106" s="2245"/>
      <c r="O1106" s="2245"/>
    </row>
    <row r="1107" spans="1:29" s="2143" customFormat="1" ht="14.4" thickBot="1" x14ac:dyDescent="0.3">
      <c r="A1107" s="2106"/>
      <c r="B1107" s="2106"/>
      <c r="C1107" s="2106"/>
      <c r="D1107" s="2106"/>
      <c r="E1107" s="2106"/>
      <c r="F1107" s="2106"/>
      <c r="G1107" s="2106"/>
      <c r="H1107" s="2145"/>
      <c r="I1107" s="2106"/>
      <c r="J1107" s="2106"/>
      <c r="P1107" s="2106"/>
      <c r="Q1107" s="2106"/>
      <c r="R1107" s="2106"/>
      <c r="S1107" s="2106"/>
      <c r="T1107" s="2106"/>
      <c r="U1107" s="2106"/>
      <c r="V1107" s="2106"/>
      <c r="W1107" s="2106"/>
      <c r="X1107" s="2106"/>
      <c r="Y1107" s="2106"/>
      <c r="Z1107" s="2106"/>
      <c r="AA1107" s="2106"/>
      <c r="AB1107" s="2106"/>
      <c r="AC1107" s="2106"/>
    </row>
    <row r="1108" spans="1:29" s="2143" customFormat="1" ht="13.8" x14ac:dyDescent="0.25">
      <c r="A1108" s="2888" t="s">
        <v>3716</v>
      </c>
      <c r="B1108" s="2889"/>
      <c r="C1108" s="2889"/>
      <c r="D1108" s="2889"/>
      <c r="E1108" s="2889"/>
      <c r="F1108" s="2889"/>
      <c r="G1108" s="2890"/>
      <c r="H1108" s="2145"/>
      <c r="I1108" s="2106"/>
      <c r="J1108" s="2106"/>
      <c r="P1108" s="2106"/>
      <c r="Q1108" s="2106"/>
      <c r="R1108" s="2106"/>
      <c r="S1108" s="2106"/>
      <c r="T1108" s="2106"/>
      <c r="U1108" s="2106"/>
      <c r="V1108" s="2106"/>
      <c r="W1108" s="2106"/>
      <c r="X1108" s="2106"/>
      <c r="Y1108" s="2106"/>
      <c r="Z1108" s="2106"/>
      <c r="AA1108" s="2106"/>
      <c r="AB1108" s="2106"/>
      <c r="AC1108" s="2106"/>
    </row>
    <row r="1109" spans="1:29" s="2143" customFormat="1" ht="14.4" thickBot="1" x14ac:dyDescent="0.3">
      <c r="A1109" s="2891" t="s">
        <v>3344</v>
      </c>
      <c r="B1109" s="2892"/>
      <c r="C1109" s="2892"/>
      <c r="D1109" s="2892"/>
      <c r="E1109" s="2892"/>
      <c r="F1109" s="2892"/>
      <c r="G1109" s="2893"/>
      <c r="H1109" s="2145"/>
      <c r="I1109" s="2106"/>
      <c r="J1109" s="2106"/>
      <c r="P1109" s="2106"/>
      <c r="Q1109" s="2106"/>
      <c r="R1109" s="2106"/>
      <c r="S1109" s="2106"/>
      <c r="T1109" s="2106"/>
      <c r="U1109" s="2106"/>
      <c r="V1109" s="2106"/>
      <c r="W1109" s="2106"/>
      <c r="X1109" s="2106"/>
      <c r="Y1109" s="2106"/>
      <c r="Z1109" s="2106"/>
      <c r="AA1109" s="2106"/>
      <c r="AB1109" s="2106"/>
      <c r="AC1109" s="2106"/>
    </row>
    <row r="1110" spans="1:29" s="2143" customFormat="1" ht="14.4" thickBot="1" x14ac:dyDescent="0.3">
      <c r="A1110" s="2107"/>
      <c r="B1110" s="2108" t="s">
        <v>3345</v>
      </c>
      <c r="C1110" s="2108" t="s">
        <v>3346</v>
      </c>
      <c r="D1110" s="2108" t="s">
        <v>2</v>
      </c>
      <c r="E1110" s="2108" t="s">
        <v>3347</v>
      </c>
      <c r="F1110" s="2108" t="s">
        <v>5</v>
      </c>
      <c r="G1110" s="2108" t="s">
        <v>3348</v>
      </c>
      <c r="H1110" s="2145"/>
      <c r="I1110" s="2106"/>
      <c r="J1110" s="2106"/>
      <c r="P1110" s="2106"/>
      <c r="Q1110" s="2106"/>
      <c r="R1110" s="2106"/>
      <c r="S1110" s="2106"/>
      <c r="T1110" s="2106"/>
      <c r="U1110" s="2106"/>
      <c r="V1110" s="2106"/>
      <c r="W1110" s="2106"/>
      <c r="X1110" s="2106"/>
      <c r="Y1110" s="2106"/>
      <c r="Z1110" s="2106"/>
      <c r="AA1110" s="2106"/>
      <c r="AB1110" s="2106"/>
      <c r="AC1110" s="2106"/>
    </row>
    <row r="1111" spans="1:29" s="2143" customFormat="1" ht="13.8" x14ac:dyDescent="0.25">
      <c r="A1111" s="2109"/>
      <c r="B1111" s="2109"/>
      <c r="C1111" s="2110"/>
      <c r="D1111" s="2111"/>
      <c r="E1111" s="2111"/>
      <c r="F1111" s="2111"/>
      <c r="G1111" s="2111"/>
      <c r="H1111" s="2161"/>
      <c r="I1111" s="2106"/>
      <c r="J1111" s="2106"/>
      <c r="P1111" s="2106"/>
      <c r="Q1111" s="2106"/>
      <c r="R1111" s="2106"/>
      <c r="S1111" s="2106"/>
      <c r="T1111" s="2106"/>
      <c r="U1111" s="2106"/>
      <c r="V1111" s="2106"/>
      <c r="W1111" s="2106"/>
      <c r="X1111" s="2106"/>
      <c r="Y1111" s="2106"/>
      <c r="Z1111" s="2106"/>
      <c r="AA1111" s="2106"/>
      <c r="AB1111" s="2106"/>
      <c r="AC1111" s="2106"/>
    </row>
    <row r="1112" spans="1:29" s="2143" customFormat="1" ht="13.8" x14ac:dyDescent="0.25">
      <c r="A1112" s="2121"/>
      <c r="B1112" s="2121" t="s">
        <v>3501</v>
      </c>
      <c r="C1112" s="2122" t="s">
        <v>134</v>
      </c>
      <c r="D1112" s="2122">
        <v>27</v>
      </c>
      <c r="E1112" s="2122">
        <f>Material!E147</f>
        <v>52.5</v>
      </c>
      <c r="F1112" s="2122"/>
      <c r="G1112" s="2122"/>
      <c r="H1112" s="2121" t="s">
        <v>3508</v>
      </c>
      <c r="I1112" s="2106"/>
      <c r="J1112" s="2106"/>
      <c r="K1112" s="2143">
        <f>58583/20</f>
        <v>2929.15</v>
      </c>
      <c r="P1112" s="2106"/>
      <c r="Q1112" s="2106"/>
      <c r="R1112" s="2106"/>
      <c r="S1112" s="2106"/>
      <c r="T1112" s="2106"/>
      <c r="U1112" s="2106"/>
      <c r="V1112" s="2106"/>
      <c r="W1112" s="2106"/>
      <c r="X1112" s="2106"/>
      <c r="Y1112" s="2106"/>
      <c r="Z1112" s="2106"/>
      <c r="AA1112" s="2106"/>
      <c r="AB1112" s="2106"/>
      <c r="AC1112" s="2106"/>
    </row>
    <row r="1113" spans="1:29" s="2143" customFormat="1" ht="13.8" x14ac:dyDescent="0.25">
      <c r="A1113" s="2121"/>
      <c r="B1113" s="2121" t="s">
        <v>3502</v>
      </c>
      <c r="C1113" s="2122" t="s">
        <v>3476</v>
      </c>
      <c r="D1113" s="2122">
        <v>1</v>
      </c>
      <c r="E1113" s="2122">
        <f>Material!E149</f>
        <v>508.5</v>
      </c>
      <c r="F1113" s="2122">
        <f t="shared" ref="F1113:F1115" si="109">D1113*E1113</f>
        <v>508.5</v>
      </c>
      <c r="G1113" s="2122"/>
      <c r="H1113" s="2161" t="s">
        <v>3509</v>
      </c>
      <c r="I1113" s="2106"/>
      <c r="J1113" s="2106"/>
      <c r="K1113" s="2143">
        <f>58583/20</f>
        <v>2929.15</v>
      </c>
      <c r="P1113" s="2106"/>
      <c r="Q1113" s="2106"/>
      <c r="R1113" s="2106"/>
      <c r="S1113" s="2106"/>
      <c r="T1113" s="2106"/>
      <c r="U1113" s="2106"/>
      <c r="V1113" s="2106"/>
      <c r="W1113" s="2106"/>
      <c r="X1113" s="2106"/>
      <c r="Y1113" s="2106"/>
      <c r="Z1113" s="2106"/>
      <c r="AA1113" s="2106"/>
      <c r="AB1113" s="2106"/>
      <c r="AC1113" s="2106"/>
    </row>
    <row r="1114" spans="1:29" s="2143" customFormat="1" ht="13.8" x14ac:dyDescent="0.25">
      <c r="A1114" s="2121"/>
      <c r="B1114" s="2152" t="s">
        <v>3503</v>
      </c>
      <c r="C1114" s="2122" t="s">
        <v>3476</v>
      </c>
      <c r="D1114" s="2122">
        <v>1.5</v>
      </c>
      <c r="E1114" s="2122">
        <f>Material!E154</f>
        <v>1303</v>
      </c>
      <c r="F1114" s="2122">
        <f t="shared" si="109"/>
        <v>1954.5</v>
      </c>
      <c r="G1114" s="2122"/>
      <c r="H1114" s="2145"/>
      <c r="I1114" s="2106"/>
      <c r="J1114" s="2106"/>
      <c r="P1114" s="2106"/>
      <c r="Q1114" s="2106"/>
      <c r="R1114" s="2106"/>
      <c r="S1114" s="2106"/>
      <c r="T1114" s="2106"/>
      <c r="U1114" s="2106"/>
      <c r="V1114" s="2106"/>
      <c r="W1114" s="2106"/>
      <c r="X1114" s="2106"/>
      <c r="Y1114" s="2106"/>
      <c r="Z1114" s="2106"/>
      <c r="AA1114" s="2106"/>
      <c r="AB1114" s="2106"/>
      <c r="AC1114" s="2106"/>
    </row>
    <row r="1115" spans="1:29" s="2143" customFormat="1" ht="13.8" x14ac:dyDescent="0.25">
      <c r="A1115" s="2121"/>
      <c r="B1115" s="2121" t="s">
        <v>3504</v>
      </c>
      <c r="C1115" s="2122" t="s">
        <v>1314</v>
      </c>
      <c r="D1115" s="2122">
        <v>0.1</v>
      </c>
      <c r="E1115" s="2122">
        <v>1600</v>
      </c>
      <c r="F1115" s="2122">
        <f t="shared" si="109"/>
        <v>160</v>
      </c>
      <c r="G1115" s="2122"/>
      <c r="H1115" s="2145"/>
      <c r="I1115" s="2106"/>
      <c r="J1115" s="2106"/>
      <c r="P1115" s="2106"/>
      <c r="Q1115" s="2106"/>
      <c r="R1115" s="2106"/>
      <c r="S1115" s="2106"/>
      <c r="T1115" s="2106"/>
      <c r="U1115" s="2106"/>
      <c r="V1115" s="2106"/>
      <c r="W1115" s="2106"/>
      <c r="X1115" s="2106"/>
      <c r="Y1115" s="2106"/>
      <c r="Z1115" s="2106"/>
      <c r="AA1115" s="2106"/>
      <c r="AB1115" s="2106"/>
      <c r="AC1115" s="2106"/>
    </row>
    <row r="1116" spans="1:29" s="2143" customFormat="1" ht="13.8" x14ac:dyDescent="0.25">
      <c r="A1116" s="2121"/>
      <c r="B1116" s="2152" t="s">
        <v>3505</v>
      </c>
      <c r="C1116" s="2122" t="s">
        <v>1314</v>
      </c>
      <c r="D1116" s="2122">
        <v>1</v>
      </c>
      <c r="E1116" s="2122">
        <v>260</v>
      </c>
      <c r="F1116" s="2122"/>
      <c r="G1116" s="2122"/>
      <c r="H1116" s="2145"/>
      <c r="I1116" s="2106"/>
      <c r="J1116" s="2106"/>
      <c r="P1116" s="2106"/>
      <c r="Q1116" s="2106"/>
      <c r="R1116" s="2106"/>
      <c r="S1116" s="2106"/>
      <c r="T1116" s="2106"/>
      <c r="U1116" s="2106"/>
      <c r="V1116" s="2106"/>
      <c r="W1116" s="2106"/>
      <c r="X1116" s="2106"/>
      <c r="Y1116" s="2106"/>
      <c r="Z1116" s="2106"/>
      <c r="AA1116" s="2106"/>
      <c r="AB1116" s="2106"/>
      <c r="AC1116" s="2106"/>
    </row>
    <row r="1117" spans="1:29" s="2143" customFormat="1" ht="13.8" x14ac:dyDescent="0.25">
      <c r="A1117" s="2109"/>
      <c r="B1117" s="2123"/>
      <c r="C1117" s="2111"/>
      <c r="D1117" s="2111"/>
      <c r="E1117" s="2111"/>
      <c r="F1117" s="2111"/>
      <c r="G1117" s="2111"/>
      <c r="H1117" s="2145"/>
      <c r="I1117" s="2106"/>
      <c r="J1117" s="2106"/>
      <c r="P1117" s="2106"/>
      <c r="Q1117" s="2106"/>
      <c r="R1117" s="2106"/>
      <c r="S1117" s="2106"/>
      <c r="T1117" s="2106"/>
      <c r="U1117" s="2106"/>
      <c r="V1117" s="2106"/>
      <c r="W1117" s="2106"/>
      <c r="X1117" s="2106"/>
      <c r="Y1117" s="2106"/>
      <c r="Z1117" s="2106"/>
      <c r="AA1117" s="2106"/>
      <c r="AB1117" s="2106"/>
      <c r="AC1117" s="2106"/>
    </row>
    <row r="1118" spans="1:29" s="2143" customFormat="1" ht="13.8" x14ac:dyDescent="0.25">
      <c r="A1118" s="2109"/>
      <c r="B1118" s="2110" t="s">
        <v>3506</v>
      </c>
      <c r="C1118" s="2111"/>
      <c r="D1118" s="2111"/>
      <c r="E1118" s="2111">
        <f>[22]Material!D792</f>
        <v>0</v>
      </c>
      <c r="F1118" s="2111">
        <f>(F1112+F1113+F1114+F1115+F1116)*10%</f>
        <v>262.3</v>
      </c>
      <c r="G1118" s="2111"/>
      <c r="H1118" s="2145"/>
      <c r="I1118" s="2106"/>
      <c r="J1118" s="2106"/>
      <c r="P1118" s="2106"/>
      <c r="Q1118" s="2106"/>
      <c r="R1118" s="2106"/>
      <c r="S1118" s="2106"/>
      <c r="T1118" s="2106"/>
      <c r="U1118" s="2106"/>
      <c r="V1118" s="2106"/>
      <c r="W1118" s="2106"/>
      <c r="X1118" s="2106"/>
      <c r="Y1118" s="2106"/>
      <c r="Z1118" s="2106"/>
      <c r="AA1118" s="2106"/>
      <c r="AB1118" s="2106"/>
      <c r="AC1118" s="2106"/>
    </row>
    <row r="1119" spans="1:29" ht="13.8" x14ac:dyDescent="0.25">
      <c r="A1119" s="2109"/>
      <c r="B1119" s="2109"/>
      <c r="C1119" s="2110"/>
      <c r="D1119" s="2111"/>
      <c r="E1119" s="2111"/>
      <c r="F1119" s="2111">
        <f t="shared" ref="F1119" si="110">D1119*E1119</f>
        <v>0</v>
      </c>
      <c r="G1119" s="2111"/>
      <c r="H1119" s="2145"/>
    </row>
    <row r="1120" spans="1:29" ht="13.8" x14ac:dyDescent="0.25">
      <c r="A1120" s="2113"/>
      <c r="B1120" s="2894" t="s">
        <v>3363</v>
      </c>
      <c r="C1120" s="2894"/>
      <c r="D1120" s="2894"/>
      <c r="E1120" s="2894"/>
      <c r="F1120" s="2114"/>
      <c r="G1120" s="2190">
        <f>SUM(F1112:F1120)</f>
        <v>2885.3</v>
      </c>
      <c r="H1120" s="2163"/>
    </row>
    <row r="1121" spans="1:8" ht="13.8" x14ac:dyDescent="0.25">
      <c r="A1121" s="2121"/>
      <c r="B1121" s="2156" t="s">
        <v>3349</v>
      </c>
      <c r="C1121" s="2153"/>
      <c r="D1121" s="2122"/>
      <c r="E1121" s="2122"/>
      <c r="F1121" s="2122">
        <f t="shared" ref="F1121:F1122" si="111">D1121*E1121</f>
        <v>0</v>
      </c>
      <c r="G1121" s="2122"/>
      <c r="H1121" s="2145"/>
    </row>
    <row r="1122" spans="1:8" ht="13.8" x14ac:dyDescent="0.25">
      <c r="A1122" s="2121"/>
      <c r="B1122" s="2121" t="s">
        <v>3357</v>
      </c>
      <c r="C1122" s="2122" t="s">
        <v>1846</v>
      </c>
      <c r="D1122" s="2122">
        <v>100</v>
      </c>
      <c r="E1122" s="2122">
        <v>40</v>
      </c>
      <c r="F1122" s="2122">
        <f t="shared" si="111"/>
        <v>4000</v>
      </c>
      <c r="G1122" s="2122"/>
      <c r="H1122" s="2145"/>
    </row>
    <row r="1123" spans="1:8" ht="13.8" x14ac:dyDescent="0.25">
      <c r="A1123" s="2109"/>
      <c r="B1123" s="2109"/>
      <c r="C1123" s="2111"/>
      <c r="D1123" s="2111"/>
      <c r="E1123" s="2111"/>
      <c r="F1123" s="2111"/>
      <c r="G1123" s="2111"/>
      <c r="H1123" s="2145"/>
    </row>
    <row r="1124" spans="1:8" ht="13.8" x14ac:dyDescent="0.25">
      <c r="A1124" s="2109"/>
      <c r="B1124" s="2109" t="s">
        <v>3507</v>
      </c>
      <c r="C1124" s="2110"/>
      <c r="D1124" s="2111"/>
      <c r="E1124" s="2111"/>
      <c r="F1124" s="2111">
        <f>F1122*5%</f>
        <v>200</v>
      </c>
      <c r="G1124" s="2111"/>
      <c r="H1124" s="2145"/>
    </row>
    <row r="1125" spans="1:8" ht="13.8" x14ac:dyDescent="0.25">
      <c r="A1125" s="2113"/>
      <c r="B1125" s="2894" t="s">
        <v>3351</v>
      </c>
      <c r="C1125" s="2894"/>
      <c r="D1125" s="2894"/>
      <c r="E1125" s="2894"/>
      <c r="F1125" s="2114">
        <f t="shared" ref="F1125" si="112">D1125*E1125</f>
        <v>0</v>
      </c>
      <c r="G1125" s="2190">
        <f>SUM(F1122:F1125)</f>
        <v>4200</v>
      </c>
      <c r="H1125" s="2145"/>
    </row>
    <row r="1126" spans="1:8" ht="13.8" x14ac:dyDescent="0.25">
      <c r="A1126" s="2109"/>
      <c r="B1126" s="2115"/>
      <c r="C1126" s="2115"/>
      <c r="D1126" s="2115"/>
      <c r="E1126" s="2115"/>
      <c r="F1126" s="2111"/>
      <c r="G1126" s="2115"/>
      <c r="H1126" s="2145"/>
    </row>
    <row r="1127" spans="1:8" ht="13.8" x14ac:dyDescent="0.25">
      <c r="A1127" s="2109"/>
      <c r="B1127" s="2115"/>
      <c r="C1127" s="2115"/>
      <c r="D1127" s="2115"/>
      <c r="E1127" s="2115"/>
      <c r="F1127" s="2111"/>
      <c r="G1127" s="2115"/>
      <c r="H1127" s="2145"/>
    </row>
    <row r="1128" spans="1:8" ht="13.8" x14ac:dyDescent="0.25">
      <c r="A1128" s="2887" t="s">
        <v>3379</v>
      </c>
      <c r="B1128" s="2887"/>
      <c r="C1128" s="2887"/>
      <c r="D1128" s="2887"/>
      <c r="E1128" s="2887"/>
      <c r="F1128" s="2887"/>
      <c r="G1128" s="2189">
        <f>G1120+G1125</f>
        <v>7085.3</v>
      </c>
      <c r="H1128" s="2145"/>
    </row>
    <row r="1129" spans="1:8" ht="13.8" x14ac:dyDescent="0.25">
      <c r="A1129" s="2887" t="s">
        <v>3380</v>
      </c>
      <c r="B1129" s="2887"/>
      <c r="C1129" s="2887"/>
      <c r="D1129" s="2887"/>
      <c r="E1129" s="2887"/>
      <c r="F1129" s="2887"/>
      <c r="G1129" s="2189">
        <f>G1128/9.29</f>
        <v>762.68030139935422</v>
      </c>
    </row>
    <row r="1130" spans="1:8" ht="13.8" x14ac:dyDescent="0.25">
      <c r="A1130" s="2887" t="s">
        <v>3381</v>
      </c>
      <c r="B1130" s="2887"/>
      <c r="C1130" s="2887"/>
      <c r="D1130" s="2887"/>
      <c r="E1130" s="2887"/>
      <c r="F1130" s="2887"/>
      <c r="G1130" s="2157">
        <f>G1129/10.76</f>
        <v>70.881068903285708</v>
      </c>
    </row>
    <row r="1134" spans="1:8" ht="13.8" thickBot="1" x14ac:dyDescent="0.3"/>
    <row r="1135" spans="1:8" ht="13.8" x14ac:dyDescent="0.25">
      <c r="A1135" s="2888" t="s">
        <v>3510</v>
      </c>
      <c r="B1135" s="2889"/>
      <c r="C1135" s="2889"/>
      <c r="D1135" s="2889"/>
      <c r="E1135" s="2889"/>
      <c r="F1135" s="2889"/>
      <c r="G1135" s="2890"/>
    </row>
    <row r="1136" spans="1:8" ht="14.4" thickBot="1" x14ac:dyDescent="0.3">
      <c r="A1136" s="2891" t="s">
        <v>3344</v>
      </c>
      <c r="B1136" s="2892"/>
      <c r="C1136" s="2892"/>
      <c r="D1136" s="2892"/>
      <c r="E1136" s="2892"/>
      <c r="F1136" s="2892"/>
      <c r="G1136" s="2893"/>
    </row>
    <row r="1137" spans="1:29" ht="14.4" thickBot="1" x14ac:dyDescent="0.3">
      <c r="A1137" s="2107"/>
      <c r="B1137" s="2108" t="s">
        <v>3345</v>
      </c>
      <c r="C1137" s="2108" t="s">
        <v>3346</v>
      </c>
      <c r="D1137" s="2108" t="s">
        <v>2</v>
      </c>
      <c r="E1137" s="2108" t="s">
        <v>3347</v>
      </c>
      <c r="F1137" s="2108" t="s">
        <v>5</v>
      </c>
      <c r="G1137" s="2108" t="s">
        <v>3348</v>
      </c>
    </row>
    <row r="1138" spans="1:29" ht="13.8" x14ac:dyDescent="0.25">
      <c r="A1138" s="2109"/>
      <c r="B1138" s="2109"/>
      <c r="C1138" s="2110"/>
      <c r="D1138" s="2111"/>
      <c r="E1138" s="2111"/>
      <c r="F1138" s="2111"/>
      <c r="G1138" s="2111"/>
    </row>
    <row r="1139" spans="1:29" ht="13.8" x14ac:dyDescent="0.25">
      <c r="A1139" s="2121"/>
      <c r="B1139" s="2121" t="s">
        <v>3511</v>
      </c>
      <c r="C1139" s="2122" t="s">
        <v>3476</v>
      </c>
      <c r="D1139" s="2122">
        <v>2</v>
      </c>
      <c r="E1139" s="2122">
        <f>Material!E144</f>
        <v>2890</v>
      </c>
      <c r="F1139" s="2122">
        <f t="shared" ref="F1139:F1140" si="113">D1139*E1139</f>
        <v>5780</v>
      </c>
      <c r="G1139" s="2122"/>
    </row>
    <row r="1140" spans="1:29" ht="13.8" x14ac:dyDescent="0.25">
      <c r="A1140" s="2121"/>
      <c r="B1140" s="2121" t="s">
        <v>3512</v>
      </c>
      <c r="C1140" s="2122" t="s">
        <v>3476</v>
      </c>
      <c r="D1140" s="2122">
        <v>2</v>
      </c>
      <c r="E1140" s="2122">
        <f>Material!E155</f>
        <v>1760</v>
      </c>
      <c r="F1140" s="2122">
        <f t="shared" si="113"/>
        <v>3520</v>
      </c>
      <c r="G1140" s="2122"/>
      <c r="I1140" s="2106">
        <f>36250/20</f>
        <v>1812.5</v>
      </c>
    </row>
    <row r="1141" spans="1:29" ht="13.8" x14ac:dyDescent="0.25">
      <c r="A1141" s="2121"/>
      <c r="B1141" s="2121" t="s">
        <v>3504</v>
      </c>
      <c r="C1141" s="2122" t="s">
        <v>1314</v>
      </c>
      <c r="D1141" s="2122">
        <v>0.1</v>
      </c>
      <c r="E1141" s="2122">
        <v>1600</v>
      </c>
      <c r="F1141" s="2122">
        <f>D1141*E1141</f>
        <v>160</v>
      </c>
      <c r="G1141" s="2122"/>
    </row>
    <row r="1142" spans="1:29" ht="13.8" x14ac:dyDescent="0.25">
      <c r="A1142" s="2109"/>
      <c r="B1142" s="2109"/>
      <c r="C1142" s="2111"/>
      <c r="D1142" s="2111"/>
      <c r="E1142" s="2111"/>
      <c r="F1142" s="2111"/>
      <c r="G1142" s="2111"/>
    </row>
    <row r="1143" spans="1:29" ht="13.8" x14ac:dyDescent="0.25">
      <c r="A1143" s="2109"/>
      <c r="B1143" s="2110" t="s">
        <v>3506</v>
      </c>
      <c r="C1143" s="2111"/>
      <c r="D1143" s="2111"/>
      <c r="E1143" s="2111"/>
      <c r="F1143" s="2111">
        <f>(F1140+F1141+F1142)*10%</f>
        <v>368</v>
      </c>
      <c r="G1143" s="2111"/>
    </row>
    <row r="1144" spans="1:29" ht="13.8" x14ac:dyDescent="0.25">
      <c r="A1144" s="2109"/>
      <c r="B1144" s="2110"/>
      <c r="C1144" s="2111"/>
      <c r="D1144" s="2111"/>
      <c r="E1144" s="2111">
        <f>[22]Material!D792</f>
        <v>0</v>
      </c>
      <c r="F1144" s="2111">
        <f t="shared" ref="F1144:F1145" si="114">D1144*E1144</f>
        <v>0</v>
      </c>
      <c r="G1144" s="2111"/>
    </row>
    <row r="1145" spans="1:29" ht="13.8" x14ac:dyDescent="0.25">
      <c r="A1145" s="2109"/>
      <c r="B1145" s="2109"/>
      <c r="C1145" s="2110"/>
      <c r="D1145" s="2111"/>
      <c r="E1145" s="2111"/>
      <c r="F1145" s="2111">
        <f t="shared" si="114"/>
        <v>0</v>
      </c>
      <c r="G1145" s="2111"/>
    </row>
    <row r="1146" spans="1:29" ht="13.8" x14ac:dyDescent="0.25">
      <c r="A1146" s="2113"/>
      <c r="B1146" s="2894" t="s">
        <v>3363</v>
      </c>
      <c r="C1146" s="2894"/>
      <c r="D1146" s="2894"/>
      <c r="E1146" s="2894"/>
      <c r="F1146" s="2114"/>
      <c r="G1146" s="2190">
        <f>SUM(F1138:F1146)</f>
        <v>9828</v>
      </c>
    </row>
    <row r="1147" spans="1:29" ht="13.8" x14ac:dyDescent="0.25">
      <c r="A1147" s="2109"/>
      <c r="B1147" s="2112" t="s">
        <v>3349</v>
      </c>
      <c r="C1147" s="2110"/>
      <c r="D1147" s="2111"/>
      <c r="E1147" s="2111"/>
      <c r="F1147" s="2111">
        <f t="shared" ref="F1147:F1148" si="115">D1147*E1147</f>
        <v>0</v>
      </c>
      <c r="G1147" s="2111"/>
    </row>
    <row r="1148" spans="1:29" ht="13.8" x14ac:dyDescent="0.25">
      <c r="A1148" s="2118"/>
      <c r="B1148" s="2118" t="s">
        <v>3357</v>
      </c>
      <c r="C1148" s="2119" t="s">
        <v>1846</v>
      </c>
      <c r="D1148" s="2119">
        <v>100</v>
      </c>
      <c r="E1148" s="2119">
        <v>32</v>
      </c>
      <c r="F1148" s="2119">
        <f t="shared" si="115"/>
        <v>3200</v>
      </c>
      <c r="G1148" s="2119"/>
    </row>
    <row r="1149" spans="1:29" ht="13.8" x14ac:dyDescent="0.25">
      <c r="A1149" s="2109"/>
      <c r="B1149" s="2109"/>
      <c r="C1149" s="2111"/>
      <c r="D1149" s="2111"/>
      <c r="E1149" s="2111"/>
      <c r="F1149" s="2111"/>
      <c r="G1149" s="2111"/>
    </row>
    <row r="1150" spans="1:29" ht="13.8" x14ac:dyDescent="0.25">
      <c r="A1150" s="2109"/>
      <c r="B1150" s="2109" t="s">
        <v>3507</v>
      </c>
      <c r="C1150" s="2110"/>
      <c r="D1150" s="2111"/>
      <c r="E1150" s="2111"/>
      <c r="F1150" s="2111">
        <f>F1148*5%</f>
        <v>160</v>
      </c>
      <c r="G1150" s="2111"/>
    </row>
    <row r="1151" spans="1:29" s="2143" customFormat="1" ht="13.8" x14ac:dyDescent="0.25">
      <c r="A1151" s="2113"/>
      <c r="B1151" s="2894" t="s">
        <v>3351</v>
      </c>
      <c r="C1151" s="2894"/>
      <c r="D1151" s="2894"/>
      <c r="E1151" s="2894"/>
      <c r="F1151" s="2114">
        <f t="shared" ref="F1151" si="116">D1151*E1151</f>
        <v>0</v>
      </c>
      <c r="G1151" s="2190">
        <f>SUM(F1148:F1151)</f>
        <v>3360</v>
      </c>
      <c r="H1151" s="2106"/>
      <c r="I1151" s="2106"/>
      <c r="J1151" s="2106"/>
      <c r="P1151" s="2106"/>
      <c r="Q1151" s="2106"/>
      <c r="R1151" s="2106"/>
      <c r="S1151" s="2106"/>
      <c r="T1151" s="2106"/>
      <c r="U1151" s="2106"/>
      <c r="V1151" s="2106"/>
      <c r="W1151" s="2106"/>
      <c r="X1151" s="2106"/>
      <c r="Y1151" s="2106"/>
      <c r="Z1151" s="2106"/>
      <c r="AA1151" s="2106"/>
      <c r="AB1151" s="2106"/>
      <c r="AC1151" s="2106"/>
    </row>
    <row r="1152" spans="1:29" s="2143" customFormat="1" ht="13.8" x14ac:dyDescent="0.25">
      <c r="A1152" s="2109"/>
      <c r="B1152" s="2115"/>
      <c r="C1152" s="2115"/>
      <c r="D1152" s="2115"/>
      <c r="E1152" s="2115"/>
      <c r="F1152" s="2111"/>
      <c r="G1152" s="2115"/>
      <c r="H1152" s="2106"/>
      <c r="I1152" s="2106"/>
      <c r="J1152" s="2106"/>
      <c r="P1152" s="2106"/>
      <c r="Q1152" s="2106"/>
      <c r="R1152" s="2106"/>
      <c r="S1152" s="2106"/>
      <c r="T1152" s="2106"/>
      <c r="U1152" s="2106"/>
      <c r="V1152" s="2106"/>
      <c r="W1152" s="2106"/>
      <c r="X1152" s="2106"/>
      <c r="Y1152" s="2106"/>
      <c r="Z1152" s="2106"/>
      <c r="AA1152" s="2106"/>
      <c r="AB1152" s="2106"/>
      <c r="AC1152" s="2106"/>
    </row>
    <row r="1153" spans="1:29" s="2143" customFormat="1" ht="13.8" x14ac:dyDescent="0.25">
      <c r="A1153" s="2109"/>
      <c r="B1153" s="2115"/>
      <c r="C1153" s="2115"/>
      <c r="D1153" s="2115"/>
      <c r="E1153" s="2115"/>
      <c r="F1153" s="2111"/>
      <c r="G1153" s="2115"/>
      <c r="H1153" s="2106"/>
      <c r="I1153" s="2106"/>
      <c r="J1153" s="2106"/>
      <c r="P1153" s="2106"/>
      <c r="Q1153" s="2106"/>
      <c r="R1153" s="2106"/>
      <c r="S1153" s="2106"/>
      <c r="T1153" s="2106"/>
      <c r="U1153" s="2106"/>
      <c r="V1153" s="2106"/>
      <c r="W1153" s="2106"/>
      <c r="X1153" s="2106"/>
      <c r="Y1153" s="2106"/>
      <c r="Z1153" s="2106"/>
      <c r="AA1153" s="2106"/>
      <c r="AB1153" s="2106"/>
      <c r="AC1153" s="2106"/>
    </row>
    <row r="1154" spans="1:29" s="2143" customFormat="1" ht="13.8" x14ac:dyDescent="0.25">
      <c r="A1154" s="2887" t="s">
        <v>3379</v>
      </c>
      <c r="B1154" s="2887"/>
      <c r="C1154" s="2887"/>
      <c r="D1154" s="2887"/>
      <c r="E1154" s="2887"/>
      <c r="F1154" s="2887"/>
      <c r="G1154" s="2189">
        <f>G1146+G1151</f>
        <v>13188</v>
      </c>
      <c r="H1154" s="2106"/>
      <c r="I1154" s="2106"/>
      <c r="J1154" s="2106"/>
      <c r="P1154" s="2106"/>
      <c r="Q1154" s="2106"/>
      <c r="R1154" s="2106"/>
      <c r="S1154" s="2106"/>
      <c r="T1154" s="2106"/>
      <c r="U1154" s="2106"/>
      <c r="V1154" s="2106"/>
      <c r="W1154" s="2106"/>
      <c r="X1154" s="2106"/>
      <c r="Y1154" s="2106"/>
      <c r="Z1154" s="2106"/>
      <c r="AA1154" s="2106"/>
      <c r="AB1154" s="2106"/>
      <c r="AC1154" s="2106"/>
    </row>
    <row r="1155" spans="1:29" s="2143" customFormat="1" ht="13.8" x14ac:dyDescent="0.25">
      <c r="A1155" s="2887" t="s">
        <v>3380</v>
      </c>
      <c r="B1155" s="2887"/>
      <c r="C1155" s="2887"/>
      <c r="D1155" s="2887"/>
      <c r="E1155" s="2887"/>
      <c r="F1155" s="2887"/>
      <c r="G1155" s="2189">
        <f>G1154/9.29</f>
        <v>1419.5909580193759</v>
      </c>
      <c r="H1155" s="2106"/>
      <c r="I1155" s="2106"/>
      <c r="J1155" s="2106"/>
      <c r="P1155" s="2106"/>
      <c r="Q1155" s="2106"/>
      <c r="R1155" s="2106"/>
      <c r="S1155" s="2106"/>
      <c r="T1155" s="2106"/>
      <c r="U1155" s="2106"/>
      <c r="V1155" s="2106"/>
      <c r="W1155" s="2106"/>
      <c r="X1155" s="2106"/>
      <c r="Y1155" s="2106"/>
      <c r="Z1155" s="2106"/>
      <c r="AA1155" s="2106"/>
      <c r="AB1155" s="2106"/>
      <c r="AC1155" s="2106"/>
    </row>
    <row r="1156" spans="1:29" s="2143" customFormat="1" ht="13.8" x14ac:dyDescent="0.25">
      <c r="A1156" s="2887" t="s">
        <v>3381</v>
      </c>
      <c r="B1156" s="2887"/>
      <c r="C1156" s="2887"/>
      <c r="D1156" s="2887"/>
      <c r="E1156" s="2887"/>
      <c r="F1156" s="2887"/>
      <c r="G1156" s="2157">
        <f>G1155/10.76</f>
        <v>131.93224516908697</v>
      </c>
      <c r="H1156" s="2106"/>
      <c r="I1156" s="2106"/>
      <c r="J1156" s="2106"/>
      <c r="P1156" s="2106"/>
      <c r="Q1156" s="2106"/>
      <c r="R1156" s="2106"/>
      <c r="S1156" s="2106"/>
      <c r="T1156" s="2106"/>
      <c r="U1156" s="2106"/>
      <c r="V1156" s="2106"/>
      <c r="W1156" s="2106"/>
      <c r="X1156" s="2106"/>
      <c r="Y1156" s="2106"/>
      <c r="Z1156" s="2106"/>
      <c r="AA1156" s="2106"/>
      <c r="AB1156" s="2106"/>
      <c r="AC1156" s="2106"/>
    </row>
    <row r="1159" spans="1:29" s="2143" customFormat="1" x14ac:dyDescent="0.25">
      <c r="A1159" s="2106"/>
      <c r="B1159" s="2106"/>
      <c r="C1159" s="2106"/>
      <c r="D1159" s="2106"/>
      <c r="E1159" s="2106"/>
      <c r="F1159" s="2106"/>
      <c r="G1159" s="2106"/>
      <c r="H1159" s="2106"/>
      <c r="I1159" s="2106">
        <f>1.2*2.85</f>
        <v>3.42</v>
      </c>
      <c r="J1159" s="2106">
        <f>I1159*10.76</f>
        <v>36.799199999999999</v>
      </c>
      <c r="K1159" s="2164">
        <f>J1159*8500</f>
        <v>312793.2</v>
      </c>
      <c r="P1159" s="2106"/>
      <c r="Q1159" s="2106"/>
      <c r="R1159" s="2106"/>
      <c r="S1159" s="2106"/>
      <c r="T1159" s="2106"/>
      <c r="U1159" s="2106"/>
      <c r="V1159" s="2106"/>
      <c r="W1159" s="2106"/>
      <c r="X1159" s="2106"/>
      <c r="Y1159" s="2106"/>
      <c r="Z1159" s="2106"/>
      <c r="AA1159" s="2106"/>
      <c r="AB1159" s="2106"/>
      <c r="AC1159" s="2106"/>
    </row>
    <row r="1174" spans="1:29" s="2143" customFormat="1" x14ac:dyDescent="0.25">
      <c r="A1174" s="2106"/>
      <c r="B1174" s="2106"/>
      <c r="C1174" s="2106"/>
      <c r="D1174" s="2106"/>
      <c r="E1174" s="2106"/>
      <c r="F1174" s="2106"/>
      <c r="G1174" s="2106"/>
      <c r="H1174" s="2106"/>
      <c r="I1174" s="2106"/>
      <c r="J1174" s="2106">
        <f>4000/100</f>
        <v>40</v>
      </c>
      <c r="P1174" s="2106"/>
      <c r="Q1174" s="2106"/>
      <c r="R1174" s="2106"/>
      <c r="S1174" s="2106"/>
      <c r="T1174" s="2106"/>
      <c r="U1174" s="2106"/>
      <c r="V1174" s="2106"/>
      <c r="W1174" s="2106"/>
      <c r="X1174" s="2106"/>
      <c r="Y1174" s="2106"/>
      <c r="Z1174" s="2106"/>
      <c r="AA1174" s="2106"/>
      <c r="AB1174" s="2106"/>
      <c r="AC1174" s="2106"/>
    </row>
    <row r="1177" spans="1:29" s="2143" customFormat="1" x14ac:dyDescent="0.25">
      <c r="A1177" s="2932" t="s">
        <v>3513</v>
      </c>
      <c r="B1177" s="2932"/>
      <c r="C1177" s="2932"/>
      <c r="D1177" s="2932"/>
      <c r="E1177" s="2932"/>
      <c r="F1177" s="2932"/>
      <c r="G1177" s="2932"/>
      <c r="H1177" s="2106"/>
      <c r="I1177" s="2106"/>
      <c r="J1177" s="2106"/>
      <c r="P1177" s="2106"/>
      <c r="Q1177" s="2106"/>
      <c r="R1177" s="2106"/>
      <c r="S1177" s="2106"/>
      <c r="T1177" s="2106"/>
      <c r="U1177" s="2106"/>
      <c r="V1177" s="2106"/>
      <c r="W1177" s="2106"/>
      <c r="X1177" s="2106"/>
      <c r="Y1177" s="2106"/>
      <c r="Z1177" s="2106"/>
      <c r="AA1177" s="2106"/>
      <c r="AB1177" s="2106"/>
      <c r="AC1177" s="2106"/>
    </row>
    <row r="1179" spans="1:29" s="2143" customFormat="1" x14ac:dyDescent="0.25">
      <c r="A1179" s="2106"/>
      <c r="B1179" s="2106"/>
      <c r="C1179" s="2106"/>
      <c r="D1179" s="2106"/>
      <c r="E1179" s="2106"/>
      <c r="F1179" s="2106"/>
      <c r="G1179" s="2106"/>
      <c r="H1179" s="2106"/>
      <c r="I1179" s="2106">
        <f>4*3.28</f>
        <v>13.12</v>
      </c>
      <c r="J1179" s="2106">
        <f>I1179*40</f>
        <v>524.79999999999995</v>
      </c>
      <c r="P1179" s="2106"/>
      <c r="Q1179" s="2106"/>
      <c r="R1179" s="2106"/>
      <c r="S1179" s="2106"/>
      <c r="T1179" s="2106"/>
      <c r="U1179" s="2106"/>
      <c r="V1179" s="2106"/>
      <c r="W1179" s="2106"/>
      <c r="X1179" s="2106"/>
      <c r="Y1179" s="2106"/>
      <c r="Z1179" s="2106"/>
      <c r="AA1179" s="2106"/>
      <c r="AB1179" s="2106"/>
      <c r="AC1179" s="2106"/>
    </row>
    <row r="1182" spans="1:29" s="2143" customFormat="1" ht="13.8" thickBot="1" x14ac:dyDescent="0.3">
      <c r="A1182" s="2106"/>
      <c r="B1182" s="2106"/>
      <c r="C1182" s="2106"/>
      <c r="D1182" s="2106"/>
      <c r="E1182" s="2106"/>
      <c r="F1182" s="2106"/>
      <c r="G1182" s="2106"/>
      <c r="H1182" s="2106"/>
      <c r="I1182" s="2106"/>
      <c r="J1182" s="2106">
        <f>6.92*1</f>
        <v>6.92</v>
      </c>
      <c r="K1182" s="2143">
        <f>5000/6.92</f>
        <v>722.54335260115613</v>
      </c>
      <c r="P1182" s="2106"/>
      <c r="Q1182" s="2106"/>
      <c r="R1182" s="2106"/>
      <c r="S1182" s="2106"/>
      <c r="T1182" s="2106"/>
      <c r="U1182" s="2106"/>
      <c r="V1182" s="2106"/>
      <c r="W1182" s="2106"/>
      <c r="X1182" s="2106"/>
      <c r="Y1182" s="2106"/>
      <c r="Z1182" s="2106"/>
      <c r="AA1182" s="2106"/>
      <c r="AB1182" s="2106"/>
      <c r="AC1182" s="2106"/>
    </row>
    <row r="1183" spans="1:29" ht="13.8" x14ac:dyDescent="0.25">
      <c r="A1183" s="2888" t="s">
        <v>3514</v>
      </c>
      <c r="B1183" s="2889"/>
      <c r="C1183" s="2889"/>
      <c r="D1183" s="2889"/>
      <c r="E1183" s="2889"/>
      <c r="F1183" s="2889"/>
      <c r="G1183" s="2890"/>
    </row>
    <row r="1184" spans="1:29" ht="14.4" thickBot="1" x14ac:dyDescent="0.3">
      <c r="A1184" s="2891" t="s">
        <v>3344</v>
      </c>
      <c r="B1184" s="2892"/>
      <c r="C1184" s="2892"/>
      <c r="D1184" s="2892"/>
      <c r="E1184" s="2892"/>
      <c r="F1184" s="2892"/>
      <c r="G1184" s="2893"/>
    </row>
    <row r="1185" spans="1:7" ht="14.4" thickBot="1" x14ac:dyDescent="0.3">
      <c r="A1185" s="2107"/>
      <c r="B1185" s="2108" t="s">
        <v>3345</v>
      </c>
      <c r="C1185" s="2108" t="s">
        <v>3346</v>
      </c>
      <c r="D1185" s="2108" t="s">
        <v>2</v>
      </c>
      <c r="E1185" s="2108" t="s">
        <v>3347</v>
      </c>
      <c r="F1185" s="2108" t="s">
        <v>5</v>
      </c>
      <c r="G1185" s="2108" t="s">
        <v>3348</v>
      </c>
    </row>
    <row r="1186" spans="1:7" ht="13.8" x14ac:dyDescent="0.25">
      <c r="A1186" s="2109"/>
      <c r="B1186" s="2109"/>
      <c r="C1186" s="2110"/>
      <c r="D1186" s="2111"/>
      <c r="E1186" s="2111"/>
      <c r="F1186" s="2111"/>
      <c r="G1186" s="2111"/>
    </row>
    <row r="1187" spans="1:7" ht="27.6" x14ac:dyDescent="0.25">
      <c r="A1187" s="2121"/>
      <c r="B1187" s="2152" t="s">
        <v>3515</v>
      </c>
      <c r="C1187" s="2122" t="s">
        <v>1314</v>
      </c>
      <c r="D1187" s="2122">
        <v>1</v>
      </c>
      <c r="E1187" s="2122">
        <f>339500*1.15</f>
        <v>390424.99999999994</v>
      </c>
      <c r="F1187" s="2122">
        <f>D1187*E1187</f>
        <v>390424.99999999994</v>
      </c>
      <c r="G1187" s="2122"/>
    </row>
    <row r="1188" spans="1:7" ht="13.8" x14ac:dyDescent="0.25">
      <c r="A1188" s="2121"/>
      <c r="B1188" s="2121"/>
      <c r="C1188" s="2122"/>
      <c r="D1188" s="2122"/>
      <c r="E1188" s="2122"/>
      <c r="F1188" s="2122">
        <f t="shared" ref="F1188:F1191" si="117">D1188*E1188</f>
        <v>0</v>
      </c>
      <c r="G1188" s="2122"/>
    </row>
    <row r="1189" spans="1:7" ht="13.8" x14ac:dyDescent="0.25">
      <c r="A1189" s="2121"/>
      <c r="B1189" s="2152"/>
      <c r="C1189" s="2122"/>
      <c r="D1189" s="2122"/>
      <c r="E1189" s="2122"/>
      <c r="F1189" s="2122">
        <f t="shared" si="117"/>
        <v>0</v>
      </c>
      <c r="G1189" s="2122"/>
    </row>
    <row r="1190" spans="1:7" ht="13.8" x14ac:dyDescent="0.25">
      <c r="A1190" s="2121"/>
      <c r="B1190" s="2121"/>
      <c r="C1190" s="2122"/>
      <c r="D1190" s="2122"/>
      <c r="E1190" s="2122"/>
      <c r="F1190" s="2122">
        <f t="shared" si="117"/>
        <v>0</v>
      </c>
      <c r="G1190" s="2122"/>
    </row>
    <row r="1191" spans="1:7" ht="13.8" x14ac:dyDescent="0.25">
      <c r="A1191" s="2121"/>
      <c r="B1191" s="2152"/>
      <c r="C1191" s="2122"/>
      <c r="D1191" s="2122"/>
      <c r="E1191" s="2122"/>
      <c r="F1191" s="2122">
        <f t="shared" si="117"/>
        <v>0</v>
      </c>
      <c r="G1191" s="2122"/>
    </row>
    <row r="1192" spans="1:7" ht="13.8" x14ac:dyDescent="0.25">
      <c r="A1192" s="2109"/>
      <c r="B1192" s="2123"/>
      <c r="C1192" s="2111"/>
      <c r="D1192" s="2111"/>
      <c r="E1192" s="2111"/>
      <c r="F1192" s="2111"/>
      <c r="G1192" s="2111"/>
    </row>
    <row r="1193" spans="1:7" ht="13.8" x14ac:dyDescent="0.25">
      <c r="A1193" s="2109"/>
      <c r="B1193" s="2110"/>
      <c r="C1193" s="2111"/>
      <c r="D1193" s="2111"/>
      <c r="E1193" s="2111"/>
      <c r="F1193" s="2111">
        <f>(F1187+F1188+F1189+F1190+F1191)*10%</f>
        <v>39042.499999999993</v>
      </c>
      <c r="G1193" s="2111"/>
    </row>
    <row r="1194" spans="1:7" ht="13.8" x14ac:dyDescent="0.25">
      <c r="A1194" s="2109"/>
      <c r="B1194" s="2109"/>
      <c r="C1194" s="2110"/>
      <c r="D1194" s="2111"/>
      <c r="E1194" s="2111"/>
      <c r="F1194" s="2111">
        <f t="shared" ref="F1194" si="118">D1194*E1194</f>
        <v>0</v>
      </c>
      <c r="G1194" s="2111"/>
    </row>
    <row r="1195" spans="1:7" ht="13.8" x14ac:dyDescent="0.25">
      <c r="A1195" s="2109"/>
      <c r="B1195" s="2115"/>
      <c r="C1195" s="2115"/>
      <c r="D1195" s="2115"/>
      <c r="E1195" s="2115"/>
      <c r="F1195" s="2111"/>
      <c r="G1195" s="2115"/>
    </row>
    <row r="1196" spans="1:7" ht="13.8" x14ac:dyDescent="0.25">
      <c r="A1196" s="2109"/>
      <c r="B1196" s="2115"/>
      <c r="C1196" s="2115"/>
      <c r="D1196" s="2115"/>
      <c r="E1196" s="2115"/>
      <c r="F1196" s="2111"/>
      <c r="G1196" s="2115"/>
    </row>
    <row r="1197" spans="1:7" ht="13.8" x14ac:dyDescent="0.25">
      <c r="A1197" s="2887" t="s">
        <v>3516</v>
      </c>
      <c r="B1197" s="2887"/>
      <c r="C1197" s="2887"/>
      <c r="D1197" s="2887"/>
      <c r="E1197" s="2887"/>
      <c r="F1197" s="2887"/>
      <c r="G1197" s="2189">
        <f>SUM(G1187:G1196)</f>
        <v>0</v>
      </c>
    </row>
    <row r="1199" spans="1:7" ht="13.8" thickBot="1" x14ac:dyDescent="0.3"/>
    <row r="1200" spans="1:7" ht="13.8" x14ac:dyDescent="0.25">
      <c r="A1200" s="2888" t="s">
        <v>3517</v>
      </c>
      <c r="B1200" s="2889"/>
      <c r="C1200" s="2889"/>
      <c r="D1200" s="2889"/>
      <c r="E1200" s="2889"/>
      <c r="F1200" s="2889"/>
      <c r="G1200" s="2890"/>
    </row>
    <row r="1201" spans="1:29" ht="14.4" thickBot="1" x14ac:dyDescent="0.3">
      <c r="A1201" s="2891" t="s">
        <v>3518</v>
      </c>
      <c r="B1201" s="2892"/>
      <c r="C1201" s="2892"/>
      <c r="D1201" s="2892"/>
      <c r="E1201" s="2892"/>
      <c r="F1201" s="2892"/>
      <c r="G1201" s="2893"/>
    </row>
    <row r="1202" spans="1:29" ht="14.4" thickBot="1" x14ac:dyDescent="0.3">
      <c r="A1202" s="2107"/>
      <c r="B1202" s="2108" t="s">
        <v>3345</v>
      </c>
      <c r="C1202" s="2108" t="s">
        <v>3346</v>
      </c>
      <c r="D1202" s="2108" t="s">
        <v>2</v>
      </c>
      <c r="E1202" s="2108" t="s">
        <v>3347</v>
      </c>
      <c r="F1202" s="2108" t="s">
        <v>5</v>
      </c>
      <c r="G1202" s="2108" t="s">
        <v>3348</v>
      </c>
    </row>
    <row r="1203" spans="1:29" ht="13.8" x14ac:dyDescent="0.25">
      <c r="A1203" s="2109"/>
      <c r="B1203" s="2109"/>
      <c r="C1203" s="2110"/>
      <c r="D1203" s="2111"/>
      <c r="E1203" s="2111"/>
      <c r="F1203" s="2111"/>
      <c r="G1203" s="2111"/>
    </row>
    <row r="1204" spans="1:29" ht="13.8" x14ac:dyDescent="0.25">
      <c r="A1204" s="2109"/>
      <c r="B1204" s="2112" t="s">
        <v>3362</v>
      </c>
      <c r="C1204" s="2110"/>
      <c r="D1204" s="2111"/>
      <c r="E1204" s="2111"/>
      <c r="F1204" s="2111"/>
      <c r="G1204" s="2111"/>
    </row>
    <row r="1205" spans="1:29" ht="13.8" x14ac:dyDescent="0.25">
      <c r="A1205" s="2109"/>
      <c r="B1205" s="2109" t="s">
        <v>3519</v>
      </c>
      <c r="C1205" s="2111" t="s">
        <v>1314</v>
      </c>
      <c r="D1205" s="2111">
        <v>10</v>
      </c>
      <c r="E1205" s="2111">
        <f>2012.5*4</f>
        <v>8050</v>
      </c>
      <c r="F1205" s="2111">
        <f>D1205*E1205</f>
        <v>80500</v>
      </c>
      <c r="G1205" s="2111"/>
    </row>
    <row r="1206" spans="1:29" ht="13.8" x14ac:dyDescent="0.25">
      <c r="A1206" s="2121"/>
      <c r="B1206" s="2121"/>
      <c r="C1206" s="2122"/>
      <c r="D1206" s="2122"/>
      <c r="E1206" s="2122">
        <f>+F1138</f>
        <v>0</v>
      </c>
      <c r="F1206" s="2122">
        <f t="shared" ref="F1206" si="119">D1206*E1206</f>
        <v>0</v>
      </c>
      <c r="G1206" s="2122"/>
    </row>
    <row r="1207" spans="1:29" ht="13.8" x14ac:dyDescent="0.25">
      <c r="A1207" s="2121"/>
      <c r="B1207" s="2121" t="s">
        <v>3520</v>
      </c>
      <c r="C1207" s="2122" t="s">
        <v>3490</v>
      </c>
      <c r="D1207" s="2122"/>
      <c r="E1207" s="2122">
        <v>15000</v>
      </c>
      <c r="F1207" s="2122">
        <f>E1207</f>
        <v>15000</v>
      </c>
      <c r="G1207" s="2122"/>
    </row>
    <row r="1208" spans="1:29" ht="13.8" x14ac:dyDescent="0.25">
      <c r="A1208" s="2121"/>
      <c r="B1208" s="2153"/>
      <c r="C1208" s="2122"/>
      <c r="D1208" s="2122"/>
      <c r="E1208" s="2122">
        <f>+[22]Material!D705</f>
        <v>0</v>
      </c>
      <c r="F1208" s="2122">
        <f t="shared" ref="F1208" si="120">E1208</f>
        <v>0</v>
      </c>
      <c r="G1208" s="2122"/>
    </row>
    <row r="1209" spans="1:29" ht="13.8" x14ac:dyDescent="0.25">
      <c r="A1209" s="2121"/>
      <c r="B1209" s="2121" t="s">
        <v>3521</v>
      </c>
      <c r="C1209" s="2122" t="s">
        <v>1476</v>
      </c>
      <c r="D1209" s="2122">
        <v>525</v>
      </c>
      <c r="E1209" s="2122">
        <v>120</v>
      </c>
      <c r="F1209" s="2122">
        <f>D1209*E1209</f>
        <v>63000</v>
      </c>
      <c r="G1209" s="2122"/>
      <c r="H1209" s="2106">
        <f>475+25+25</f>
        <v>525</v>
      </c>
    </row>
    <row r="1210" spans="1:29" ht="13.8" x14ac:dyDescent="0.25">
      <c r="A1210" s="2121"/>
      <c r="B1210" s="2121"/>
      <c r="C1210" s="2122"/>
      <c r="D1210" s="2122"/>
      <c r="E1210" s="2122"/>
      <c r="F1210" s="2122"/>
      <c r="G1210" s="2122"/>
      <c r="H1210" s="2106">
        <v>2700</v>
      </c>
    </row>
    <row r="1211" spans="1:29" ht="13.8" x14ac:dyDescent="0.25">
      <c r="A1211" s="2121"/>
      <c r="B1211" s="2121" t="s">
        <v>3522</v>
      </c>
      <c r="C1211" s="2122" t="s">
        <v>1846</v>
      </c>
      <c r="D1211" s="2122">
        <f>(16*10.76)</f>
        <v>172.16</v>
      </c>
      <c r="E1211" s="2122">
        <v>725</v>
      </c>
      <c r="F1211" s="2122">
        <f t="shared" ref="F1211" si="121">D1211*E1211</f>
        <v>124816</v>
      </c>
      <c r="G1211" s="2122"/>
      <c r="H1211" s="2106">
        <v>650</v>
      </c>
    </row>
    <row r="1212" spans="1:29" ht="13.8" x14ac:dyDescent="0.25">
      <c r="A1212" s="2121"/>
      <c r="B1212" s="2121"/>
      <c r="C1212" s="2122"/>
      <c r="D1212" s="2122"/>
      <c r="E1212" s="2122"/>
      <c r="F1212" s="2111"/>
      <c r="G1212" s="2122"/>
      <c r="H1212" s="2106">
        <v>150</v>
      </c>
    </row>
    <row r="1213" spans="1:29" ht="13.8" x14ac:dyDescent="0.25">
      <c r="A1213" s="2121"/>
      <c r="B1213" s="2121" t="s">
        <v>1755</v>
      </c>
      <c r="C1213" s="2122"/>
      <c r="D1213" s="2122"/>
      <c r="E1213" s="2122">
        <v>30000</v>
      </c>
      <c r="F1213" s="2111">
        <f t="shared" ref="F1213:F1215" si="122">E1213</f>
        <v>30000</v>
      </c>
      <c r="G1213" s="2122"/>
      <c r="H1213" s="2106">
        <v>700</v>
      </c>
    </row>
    <row r="1214" spans="1:29" ht="13.8" x14ac:dyDescent="0.25">
      <c r="A1214" s="2121"/>
      <c r="B1214" s="2121"/>
      <c r="C1214" s="2122"/>
      <c r="D1214" s="2122"/>
      <c r="E1214" s="2122"/>
      <c r="F1214" s="2111"/>
      <c r="G1214" s="2122"/>
      <c r="H1214" s="2106">
        <v>700</v>
      </c>
    </row>
    <row r="1215" spans="1:29" s="2143" customFormat="1" ht="13.8" x14ac:dyDescent="0.25">
      <c r="A1215" s="2121"/>
      <c r="B1215" s="2121" t="s">
        <v>3523</v>
      </c>
      <c r="C1215" s="2122" t="s">
        <v>1314</v>
      </c>
      <c r="D1215" s="2122">
        <v>4</v>
      </c>
      <c r="E1215" s="2122">
        <v>15000</v>
      </c>
      <c r="F1215" s="2111">
        <f t="shared" si="122"/>
        <v>15000</v>
      </c>
      <c r="G1215" s="2122"/>
      <c r="H1215" s="2106"/>
      <c r="I1215" s="2165" t="s">
        <v>3524</v>
      </c>
      <c r="J1215" s="2106">
        <f>1.2*50</f>
        <v>60</v>
      </c>
      <c r="K1215" s="2143">
        <f>J1215*10.76</f>
        <v>645.6</v>
      </c>
      <c r="L1215" s="2143">
        <f>14500/645.6</f>
        <v>22.459727385377942</v>
      </c>
      <c r="P1215" s="2106"/>
      <c r="Q1215" s="2106"/>
      <c r="R1215" s="2106"/>
      <c r="S1215" s="2106"/>
      <c r="T1215" s="2106"/>
      <c r="U1215" s="2106"/>
      <c r="V1215" s="2106"/>
      <c r="W1215" s="2106"/>
      <c r="X1215" s="2106"/>
      <c r="Y1215" s="2106"/>
      <c r="Z1215" s="2106"/>
      <c r="AA1215" s="2106"/>
      <c r="AB1215" s="2106"/>
      <c r="AC1215" s="2106"/>
    </row>
    <row r="1216" spans="1:29" s="2143" customFormat="1" ht="13.8" x14ac:dyDescent="0.25">
      <c r="A1216" s="2121"/>
      <c r="B1216" s="2121"/>
      <c r="C1216" s="2122"/>
      <c r="D1216" s="2122"/>
      <c r="E1216" s="2122"/>
      <c r="F1216" s="2122"/>
      <c r="G1216" s="2122"/>
      <c r="H1216" s="2106"/>
      <c r="I1216" s="2106"/>
      <c r="J1216" s="2106"/>
      <c r="P1216" s="2106"/>
      <c r="Q1216" s="2106"/>
      <c r="R1216" s="2106"/>
      <c r="S1216" s="2106"/>
      <c r="T1216" s="2106"/>
      <c r="U1216" s="2106"/>
      <c r="V1216" s="2106"/>
      <c r="W1216" s="2106"/>
      <c r="X1216" s="2106"/>
      <c r="Y1216" s="2106"/>
      <c r="Z1216" s="2106"/>
      <c r="AA1216" s="2106"/>
      <c r="AB1216" s="2106"/>
      <c r="AC1216" s="2106"/>
    </row>
    <row r="1217" spans="1:29" s="2143" customFormat="1" ht="13.8" x14ac:dyDescent="0.25">
      <c r="A1217" s="2113"/>
      <c r="B1217" s="2894" t="s">
        <v>3363</v>
      </c>
      <c r="C1217" s="2894"/>
      <c r="D1217" s="2894"/>
      <c r="E1217" s="2894"/>
      <c r="F1217" s="2114"/>
      <c r="G1217" s="2190">
        <f>SUM(F1203:F1216)</f>
        <v>328316</v>
      </c>
      <c r="H1217" s="2106"/>
      <c r="I1217" s="2106"/>
      <c r="J1217" s="2106"/>
      <c r="P1217" s="2106"/>
      <c r="Q1217" s="2106"/>
      <c r="R1217" s="2106"/>
      <c r="S1217" s="2106"/>
      <c r="T1217" s="2106"/>
      <c r="U1217" s="2106"/>
      <c r="V1217" s="2106"/>
      <c r="W1217" s="2106"/>
      <c r="X1217" s="2106"/>
      <c r="Y1217" s="2106"/>
      <c r="Z1217" s="2106"/>
      <c r="AA1217" s="2106"/>
      <c r="AB1217" s="2106"/>
      <c r="AC1217" s="2106"/>
    </row>
    <row r="1218" spans="1:29" s="2143" customFormat="1" ht="13.8" x14ac:dyDescent="0.25">
      <c r="A1218" s="2109"/>
      <c r="B1218" s="2112" t="s">
        <v>3349</v>
      </c>
      <c r="C1218" s="2110"/>
      <c r="D1218" s="2111"/>
      <c r="E1218" s="2111"/>
      <c r="F1218" s="2111">
        <f>D1218*E1218</f>
        <v>0</v>
      </c>
      <c r="G1218" s="2111"/>
      <c r="H1218" s="2106"/>
      <c r="I1218" s="2106"/>
      <c r="J1218" s="2106"/>
      <c r="P1218" s="2106"/>
      <c r="Q1218" s="2106"/>
      <c r="R1218" s="2106"/>
      <c r="S1218" s="2106"/>
      <c r="T1218" s="2106"/>
      <c r="U1218" s="2106"/>
      <c r="V1218" s="2106"/>
      <c r="W1218" s="2106"/>
      <c r="X1218" s="2106"/>
      <c r="Y1218" s="2106"/>
      <c r="Z1218" s="2106"/>
      <c r="AA1218" s="2106"/>
      <c r="AB1218" s="2106"/>
      <c r="AC1218" s="2106"/>
    </row>
    <row r="1219" spans="1:29" s="2143" customFormat="1" ht="13.8" x14ac:dyDescent="0.25">
      <c r="A1219" s="2121"/>
      <c r="B1219" s="2156"/>
      <c r="C1219" s="2153"/>
      <c r="D1219" s="2122"/>
      <c r="E1219" s="2122"/>
      <c r="F1219" s="2122"/>
      <c r="G1219" s="2122"/>
      <c r="H1219" s="2106"/>
      <c r="I1219" s="2106"/>
      <c r="J1219" s="2106"/>
      <c r="P1219" s="2106"/>
      <c r="Q1219" s="2106"/>
      <c r="R1219" s="2106"/>
      <c r="S1219" s="2106"/>
      <c r="T1219" s="2106"/>
      <c r="U1219" s="2106"/>
      <c r="V1219" s="2106"/>
      <c r="W1219" s="2106"/>
      <c r="X1219" s="2106"/>
      <c r="Y1219" s="2106"/>
      <c r="Z1219" s="2106"/>
      <c r="AA1219" s="2106"/>
      <c r="AB1219" s="2106"/>
      <c r="AC1219" s="2106"/>
    </row>
    <row r="1220" spans="1:29" s="2143" customFormat="1" ht="13.8" x14ac:dyDescent="0.25">
      <c r="A1220" s="2121"/>
      <c r="B1220" s="2121" t="s">
        <v>3357</v>
      </c>
      <c r="C1220" s="2122" t="s">
        <v>1314</v>
      </c>
      <c r="D1220" s="2122">
        <v>40</v>
      </c>
      <c r="E1220" s="2122">
        <v>500</v>
      </c>
      <c r="F1220" s="2122">
        <f>D1220*E1220</f>
        <v>20000</v>
      </c>
      <c r="G1220" s="2122"/>
      <c r="H1220" s="2106"/>
      <c r="I1220" s="2106"/>
      <c r="J1220" s="2106"/>
      <c r="P1220" s="2106"/>
      <c r="Q1220" s="2106"/>
      <c r="R1220" s="2106"/>
      <c r="S1220" s="2106"/>
      <c r="T1220" s="2106"/>
      <c r="U1220" s="2106"/>
      <c r="V1220" s="2106"/>
      <c r="W1220" s="2106"/>
      <c r="X1220" s="2106"/>
      <c r="Y1220" s="2106"/>
      <c r="Z1220" s="2106"/>
      <c r="AA1220" s="2106"/>
      <c r="AB1220" s="2106"/>
      <c r="AC1220" s="2106"/>
    </row>
    <row r="1221" spans="1:29" s="2143" customFormat="1" ht="13.8" x14ac:dyDescent="0.25">
      <c r="A1221" s="2121"/>
      <c r="B1221" s="2121"/>
      <c r="C1221" s="2122"/>
      <c r="D1221" s="2122"/>
      <c r="E1221" s="2122"/>
      <c r="F1221" s="2122"/>
      <c r="G1221" s="2122"/>
      <c r="H1221" s="2106"/>
      <c r="I1221" s="2106"/>
      <c r="J1221" s="2106"/>
      <c r="P1221" s="2106"/>
      <c r="Q1221" s="2106"/>
      <c r="R1221" s="2106"/>
      <c r="S1221" s="2106"/>
      <c r="T1221" s="2106"/>
      <c r="U1221" s="2106"/>
      <c r="V1221" s="2106"/>
      <c r="W1221" s="2106"/>
      <c r="X1221" s="2106"/>
      <c r="Y1221" s="2106"/>
      <c r="Z1221" s="2106"/>
      <c r="AA1221" s="2106"/>
      <c r="AB1221" s="2106"/>
      <c r="AC1221" s="2106"/>
    </row>
    <row r="1222" spans="1:29" s="2143" customFormat="1" ht="13.8" x14ac:dyDescent="0.25">
      <c r="A1222" s="2109"/>
      <c r="B1222" s="2109" t="s">
        <v>3472</v>
      </c>
      <c r="C1222" s="2111"/>
      <c r="D1222" s="2111"/>
      <c r="E1222" s="2111"/>
      <c r="F1222" s="2111">
        <f>F1220*3%</f>
        <v>600</v>
      </c>
      <c r="G1222" s="2111"/>
      <c r="H1222" s="2106"/>
      <c r="I1222" s="2106"/>
      <c r="J1222" s="2106"/>
      <c r="P1222" s="2106"/>
      <c r="Q1222" s="2106"/>
      <c r="R1222" s="2106"/>
      <c r="S1222" s="2106"/>
      <c r="T1222" s="2106"/>
      <c r="U1222" s="2106"/>
      <c r="V1222" s="2106"/>
      <c r="W1222" s="2106"/>
      <c r="X1222" s="2106"/>
      <c r="Y1222" s="2106"/>
      <c r="Z1222" s="2106"/>
      <c r="AA1222" s="2106"/>
      <c r="AB1222" s="2106"/>
      <c r="AC1222" s="2106"/>
    </row>
    <row r="1223" spans="1:29" s="2143" customFormat="1" ht="13.8" x14ac:dyDescent="0.25">
      <c r="A1223" s="2109"/>
      <c r="B1223" s="2109" t="s">
        <v>3473</v>
      </c>
      <c r="C1223" s="2111"/>
      <c r="D1223" s="2111"/>
      <c r="E1223" s="2111"/>
      <c r="F1223" s="2111">
        <f>F1220*5%</f>
        <v>1000</v>
      </c>
      <c r="G1223" s="2111"/>
      <c r="H1223" s="2106"/>
      <c r="I1223" s="2106"/>
      <c r="J1223" s="2106"/>
      <c r="P1223" s="2106"/>
      <c r="Q1223" s="2106"/>
      <c r="R1223" s="2106"/>
      <c r="S1223" s="2106"/>
      <c r="T1223" s="2106"/>
      <c r="U1223" s="2106"/>
      <c r="V1223" s="2106"/>
      <c r="W1223" s="2106"/>
      <c r="X1223" s="2106"/>
      <c r="Y1223" s="2106"/>
      <c r="Z1223" s="2106"/>
      <c r="AA1223" s="2106"/>
      <c r="AB1223" s="2106"/>
      <c r="AC1223" s="2106"/>
    </row>
    <row r="1224" spans="1:29" s="2143" customFormat="1" ht="13.8" x14ac:dyDescent="0.25">
      <c r="A1224" s="2109"/>
      <c r="B1224" s="2109"/>
      <c r="C1224" s="2110"/>
      <c r="D1224" s="2111"/>
      <c r="E1224" s="2111"/>
      <c r="F1224" s="2111"/>
      <c r="G1224" s="2111"/>
      <c r="H1224" s="2106"/>
      <c r="I1224" s="2106"/>
      <c r="J1224" s="2106"/>
      <c r="P1224" s="2106"/>
      <c r="Q1224" s="2106"/>
      <c r="R1224" s="2106"/>
      <c r="S1224" s="2106"/>
      <c r="T1224" s="2106"/>
      <c r="U1224" s="2106"/>
      <c r="V1224" s="2106"/>
      <c r="W1224" s="2106"/>
      <c r="X1224" s="2106"/>
      <c r="Y1224" s="2106"/>
      <c r="Z1224" s="2106"/>
      <c r="AA1224" s="2106"/>
      <c r="AB1224" s="2106"/>
      <c r="AC1224" s="2106"/>
    </row>
    <row r="1225" spans="1:29" s="2143" customFormat="1" ht="13.8" x14ac:dyDescent="0.25">
      <c r="A1225" s="2113"/>
      <c r="B1225" s="2894" t="s">
        <v>3351</v>
      </c>
      <c r="C1225" s="2894"/>
      <c r="D1225" s="2894"/>
      <c r="E1225" s="2894"/>
      <c r="F1225" s="2114">
        <f>D1225*E1225</f>
        <v>0</v>
      </c>
      <c r="G1225" s="2190">
        <f>SUM(F1220:F1225)</f>
        <v>21600</v>
      </c>
      <c r="H1225" s="2106"/>
      <c r="I1225" s="2106"/>
      <c r="J1225" s="2106"/>
      <c r="P1225" s="2106"/>
      <c r="Q1225" s="2106"/>
      <c r="R1225" s="2106"/>
      <c r="S1225" s="2106"/>
      <c r="T1225" s="2106"/>
      <c r="U1225" s="2106"/>
      <c r="V1225" s="2106"/>
      <c r="W1225" s="2106"/>
      <c r="X1225" s="2106"/>
      <c r="Y1225" s="2106"/>
      <c r="Z1225" s="2106"/>
      <c r="AA1225" s="2106"/>
      <c r="AB1225" s="2106"/>
      <c r="AC1225" s="2106"/>
    </row>
    <row r="1226" spans="1:29" s="2143" customFormat="1" ht="13.8" x14ac:dyDescent="0.25">
      <c r="A1226" s="2109"/>
      <c r="B1226" s="2115"/>
      <c r="C1226" s="2115"/>
      <c r="D1226" s="2115"/>
      <c r="E1226" s="2115"/>
      <c r="F1226" s="2111"/>
      <c r="G1226" s="2115"/>
      <c r="H1226" s="2106"/>
      <c r="I1226" s="2106"/>
      <c r="J1226" s="2106"/>
      <c r="P1226" s="2106"/>
      <c r="Q1226" s="2106"/>
      <c r="R1226" s="2106"/>
      <c r="S1226" s="2106"/>
      <c r="T1226" s="2106"/>
      <c r="U1226" s="2106"/>
      <c r="V1226" s="2106"/>
      <c r="W1226" s="2106"/>
      <c r="X1226" s="2106"/>
      <c r="Y1226" s="2106"/>
      <c r="Z1226" s="2106"/>
      <c r="AA1226" s="2106"/>
      <c r="AB1226" s="2106"/>
      <c r="AC1226" s="2106"/>
    </row>
    <row r="1227" spans="1:29" s="2143" customFormat="1" ht="13.8" x14ac:dyDescent="0.25">
      <c r="A1227" s="2109"/>
      <c r="B1227" s="2115"/>
      <c r="C1227" s="2115"/>
      <c r="D1227" s="2115"/>
      <c r="E1227" s="2115"/>
      <c r="F1227" s="2111"/>
      <c r="G1227" s="2115"/>
      <c r="H1227" s="2106"/>
      <c r="I1227" s="2106"/>
      <c r="J1227" s="2106"/>
      <c r="P1227" s="2106"/>
      <c r="Q1227" s="2106"/>
      <c r="R1227" s="2106"/>
      <c r="S1227" s="2106"/>
      <c r="T1227" s="2106"/>
      <c r="U1227" s="2106"/>
      <c r="V1227" s="2106"/>
      <c r="W1227" s="2106"/>
      <c r="X1227" s="2106"/>
      <c r="Y1227" s="2106"/>
      <c r="Z1227" s="2106"/>
      <c r="AA1227" s="2106"/>
      <c r="AB1227" s="2106"/>
      <c r="AC1227" s="2106"/>
    </row>
    <row r="1228" spans="1:29" s="2143" customFormat="1" ht="13.8" x14ac:dyDescent="0.25">
      <c r="A1228" s="2887" t="s">
        <v>3525</v>
      </c>
      <c r="B1228" s="2887"/>
      <c r="C1228" s="2887"/>
      <c r="D1228" s="2887"/>
      <c r="E1228" s="2887"/>
      <c r="F1228" s="2887"/>
      <c r="G1228" s="2189">
        <f>G1217+G1225</f>
        <v>349916</v>
      </c>
      <c r="H1228" s="2106"/>
      <c r="I1228" s="2106"/>
      <c r="J1228" s="2106"/>
      <c r="P1228" s="2106"/>
      <c r="Q1228" s="2106"/>
      <c r="R1228" s="2106"/>
      <c r="S1228" s="2106"/>
      <c r="T1228" s="2106"/>
      <c r="U1228" s="2106"/>
      <c r="V1228" s="2106"/>
      <c r="W1228" s="2106"/>
      <c r="X1228" s="2106"/>
      <c r="Y1228" s="2106"/>
      <c r="Z1228" s="2106"/>
      <c r="AA1228" s="2106"/>
      <c r="AB1228" s="2106"/>
      <c r="AC1228" s="2106"/>
    </row>
    <row r="1229" spans="1:29" s="2143" customFormat="1" ht="13.8" x14ac:dyDescent="0.25">
      <c r="A1229" s="2887" t="s">
        <v>3380</v>
      </c>
      <c r="B1229" s="2887"/>
      <c r="C1229" s="2887"/>
      <c r="D1229" s="2887"/>
      <c r="E1229" s="2887"/>
      <c r="F1229" s="2887"/>
      <c r="G1229" s="2189">
        <f>G1228/16</f>
        <v>21869.75</v>
      </c>
      <c r="H1229" s="2106"/>
      <c r="I1229" s="2106"/>
      <c r="J1229" s="2106"/>
      <c r="P1229" s="2106"/>
      <c r="Q1229" s="2106"/>
      <c r="R1229" s="2106"/>
      <c r="S1229" s="2106"/>
      <c r="T1229" s="2106"/>
      <c r="U1229" s="2106"/>
      <c r="V1229" s="2106"/>
      <c r="W1229" s="2106"/>
      <c r="X1229" s="2106"/>
      <c r="Y1229" s="2106"/>
      <c r="Z1229" s="2106"/>
      <c r="AA1229" s="2106"/>
      <c r="AB1229" s="2106"/>
      <c r="AC1229" s="2106"/>
    </row>
    <row r="1230" spans="1:29" s="2143" customFormat="1" ht="13.8" x14ac:dyDescent="0.25">
      <c r="A1230" s="2887" t="s">
        <v>3381</v>
      </c>
      <c r="B1230" s="2887"/>
      <c r="C1230" s="2887"/>
      <c r="D1230" s="2887"/>
      <c r="E1230" s="2887"/>
      <c r="F1230" s="2887"/>
      <c r="G1230" s="2157">
        <f>G1229/10.76</f>
        <v>2032.5046468401488</v>
      </c>
      <c r="H1230" s="2106"/>
      <c r="I1230" s="2106"/>
      <c r="J1230" s="2106"/>
      <c r="P1230" s="2106"/>
      <c r="Q1230" s="2106"/>
      <c r="R1230" s="2106"/>
      <c r="S1230" s="2106"/>
      <c r="T1230" s="2106"/>
      <c r="U1230" s="2106"/>
      <c r="V1230" s="2106"/>
      <c r="W1230" s="2106"/>
      <c r="X1230" s="2106"/>
      <c r="Y1230" s="2106"/>
      <c r="Z1230" s="2106"/>
      <c r="AA1230" s="2106"/>
      <c r="AB1230" s="2106"/>
      <c r="AC1230" s="2106"/>
    </row>
    <row r="1232" spans="1:29" ht="13.8" thickBot="1" x14ac:dyDescent="0.3"/>
    <row r="1233" spans="1:7" ht="13.8" x14ac:dyDescent="0.25">
      <c r="A1233" s="2888" t="s">
        <v>3526</v>
      </c>
      <c r="B1233" s="2889"/>
      <c r="C1233" s="2889"/>
      <c r="D1233" s="2889"/>
      <c r="E1233" s="2889"/>
      <c r="F1233" s="2889"/>
      <c r="G1233" s="2890"/>
    </row>
    <row r="1234" spans="1:7" ht="14.4" thickBot="1" x14ac:dyDescent="0.3">
      <c r="A1234" s="2891" t="s">
        <v>3527</v>
      </c>
      <c r="B1234" s="2892"/>
      <c r="C1234" s="2892"/>
      <c r="D1234" s="2892"/>
      <c r="E1234" s="2892"/>
      <c r="F1234" s="2892"/>
      <c r="G1234" s="2893"/>
    </row>
    <row r="1235" spans="1:7" ht="14.4" thickBot="1" x14ac:dyDescent="0.3">
      <c r="A1235" s="2107"/>
      <c r="B1235" s="2108" t="s">
        <v>3345</v>
      </c>
      <c r="C1235" s="2108" t="s">
        <v>3346</v>
      </c>
      <c r="D1235" s="2108" t="s">
        <v>2</v>
      </c>
      <c r="E1235" s="2108" t="s">
        <v>3347</v>
      </c>
      <c r="F1235" s="2108" t="s">
        <v>5</v>
      </c>
      <c r="G1235" s="2108" t="s">
        <v>3348</v>
      </c>
    </row>
    <row r="1236" spans="1:7" ht="13.8" x14ac:dyDescent="0.25">
      <c r="A1236" s="2109"/>
      <c r="B1236" s="2109"/>
      <c r="C1236" s="2110"/>
      <c r="D1236" s="2111"/>
      <c r="E1236" s="2111"/>
      <c r="F1236" s="2111"/>
      <c r="G1236" s="2111"/>
    </row>
    <row r="1237" spans="1:7" ht="13.8" x14ac:dyDescent="0.25">
      <c r="A1237" s="2121"/>
      <c r="B1237" s="2123" t="s">
        <v>3528</v>
      </c>
      <c r="C1237" s="2122" t="s">
        <v>3454</v>
      </c>
      <c r="D1237" s="2122">
        <v>94</v>
      </c>
      <c r="E1237" s="2122">
        <v>1100</v>
      </c>
      <c r="F1237" s="2122">
        <f>D1237*E1237</f>
        <v>103400</v>
      </c>
      <c r="G1237" s="2122"/>
    </row>
    <row r="1238" spans="1:7" ht="13.8" x14ac:dyDescent="0.25">
      <c r="A1238" s="2109"/>
      <c r="B1238" s="2123" t="s">
        <v>3529</v>
      </c>
      <c r="C1238" s="2111" t="s">
        <v>3454</v>
      </c>
      <c r="D1238" s="2111">
        <v>47</v>
      </c>
      <c r="E1238" s="2111">
        <v>2500</v>
      </c>
      <c r="F1238" s="2122">
        <f t="shared" ref="F1238:F1254" si="123">D1238*E1238</f>
        <v>117500</v>
      </c>
      <c r="G1238" s="2111"/>
    </row>
    <row r="1239" spans="1:7" ht="13.8" x14ac:dyDescent="0.25">
      <c r="A1239" s="2109"/>
      <c r="B1239" s="2123" t="s">
        <v>3530</v>
      </c>
      <c r="C1239" s="2111" t="s">
        <v>3454</v>
      </c>
      <c r="D1239" s="2111">
        <v>665</v>
      </c>
      <c r="E1239" s="2111">
        <v>750</v>
      </c>
      <c r="F1239" s="2122">
        <f t="shared" si="123"/>
        <v>498750</v>
      </c>
      <c r="G1239" s="2111"/>
    </row>
    <row r="1240" spans="1:7" ht="13.8" x14ac:dyDescent="0.25">
      <c r="A1240" s="2109"/>
      <c r="B1240" s="2123" t="s">
        <v>3531</v>
      </c>
      <c r="C1240" s="2111" t="s">
        <v>3454</v>
      </c>
      <c r="D1240" s="2111">
        <v>658</v>
      </c>
      <c r="E1240" s="2111">
        <v>180</v>
      </c>
      <c r="F1240" s="2122">
        <f t="shared" si="123"/>
        <v>118440</v>
      </c>
      <c r="G1240" s="2111"/>
    </row>
    <row r="1241" spans="1:7" ht="13.8" x14ac:dyDescent="0.25">
      <c r="A1241" s="2109"/>
      <c r="B1241" s="2123" t="s">
        <v>3532</v>
      </c>
      <c r="C1241" s="2111" t="s">
        <v>3454</v>
      </c>
      <c r="D1241" s="2111">
        <v>94</v>
      </c>
      <c r="E1241" s="2111">
        <v>750</v>
      </c>
      <c r="F1241" s="2122">
        <f t="shared" si="123"/>
        <v>70500</v>
      </c>
      <c r="G1241" s="2111"/>
    </row>
    <row r="1242" spans="1:7" ht="13.8" x14ac:dyDescent="0.25">
      <c r="A1242" s="2109"/>
      <c r="B1242" s="2123" t="s">
        <v>3533</v>
      </c>
      <c r="C1242" s="2111" t="s">
        <v>3454</v>
      </c>
      <c r="D1242" s="2111">
        <v>54</v>
      </c>
      <c r="E1242" s="2111">
        <v>750</v>
      </c>
      <c r="F1242" s="2122">
        <f t="shared" si="123"/>
        <v>40500</v>
      </c>
      <c r="G1242" s="2111"/>
    </row>
    <row r="1243" spans="1:7" ht="13.8" x14ac:dyDescent="0.25">
      <c r="A1243" s="2109"/>
      <c r="B1243" s="2123" t="s">
        <v>3534</v>
      </c>
      <c r="C1243" s="2111" t="s">
        <v>1846</v>
      </c>
      <c r="D1243" s="2111">
        <v>1248.05</v>
      </c>
      <c r="E1243" s="2122">
        <v>25</v>
      </c>
      <c r="F1243" s="2122">
        <f t="shared" si="123"/>
        <v>31201.25</v>
      </c>
      <c r="G1243" s="2111"/>
    </row>
    <row r="1244" spans="1:7" ht="27.6" x14ac:dyDescent="0.25">
      <c r="A1244" s="2109"/>
      <c r="B1244" s="2123" t="s">
        <v>3535</v>
      </c>
      <c r="C1244" s="2111" t="s">
        <v>1846</v>
      </c>
      <c r="D1244" s="2111">
        <v>1248.05</v>
      </c>
      <c r="E1244" s="2111">
        <f>170*1.25</f>
        <v>212.5</v>
      </c>
      <c r="F1244" s="2122">
        <f t="shared" si="123"/>
        <v>265210.625</v>
      </c>
      <c r="G1244" s="2111"/>
    </row>
    <row r="1245" spans="1:7" ht="13.8" x14ac:dyDescent="0.25">
      <c r="A1245" s="2109"/>
      <c r="B1245" s="2123" t="s">
        <v>3536</v>
      </c>
      <c r="C1245" s="2111" t="s">
        <v>1846</v>
      </c>
      <c r="D1245" s="2111">
        <v>1248.05</v>
      </c>
      <c r="E1245" s="2111">
        <v>215</v>
      </c>
      <c r="F1245" s="2122">
        <f t="shared" si="123"/>
        <v>268330.75</v>
      </c>
      <c r="G1245" s="2111"/>
    </row>
    <row r="1246" spans="1:7" ht="13.8" x14ac:dyDescent="0.25">
      <c r="A1246" s="2109"/>
      <c r="B1246" s="2123" t="s">
        <v>3537</v>
      </c>
      <c r="C1246" s="2111" t="s">
        <v>1846</v>
      </c>
      <c r="D1246" s="2111">
        <f>2995</f>
        <v>2995</v>
      </c>
      <c r="E1246" s="2111">
        <v>45</v>
      </c>
      <c r="F1246" s="2122">
        <f t="shared" si="123"/>
        <v>134775</v>
      </c>
      <c r="G1246" s="2111"/>
    </row>
    <row r="1247" spans="1:7" ht="13.8" x14ac:dyDescent="0.25">
      <c r="A1247" s="2109"/>
      <c r="B1247" s="2123" t="s">
        <v>3538</v>
      </c>
      <c r="C1247" s="2111" t="s">
        <v>3454</v>
      </c>
      <c r="D1247" s="2111">
        <v>57</v>
      </c>
      <c r="E1247" s="2111">
        <v>419</v>
      </c>
      <c r="F1247" s="2122">
        <f t="shared" si="123"/>
        <v>23883</v>
      </c>
      <c r="G1247" s="2111"/>
    </row>
    <row r="1248" spans="1:7" ht="13.8" x14ac:dyDescent="0.25">
      <c r="A1248" s="2109"/>
      <c r="B1248" s="2123"/>
      <c r="C1248" s="2111"/>
      <c r="D1248" s="2111"/>
      <c r="E1248" s="2111"/>
      <c r="F1248" s="2122">
        <f t="shared" si="123"/>
        <v>0</v>
      </c>
      <c r="G1248" s="2111"/>
    </row>
    <row r="1249" spans="1:7" ht="13.8" x14ac:dyDescent="0.25">
      <c r="A1249" s="2109"/>
      <c r="B1249" s="2123"/>
      <c r="C1249" s="2111"/>
      <c r="D1249" s="2111"/>
      <c r="E1249" s="2111"/>
      <c r="F1249" s="2122"/>
      <c r="G1249" s="2111"/>
    </row>
    <row r="1250" spans="1:7" ht="13.8" x14ac:dyDescent="0.25">
      <c r="A1250" s="2109"/>
      <c r="B1250" s="2123"/>
      <c r="C1250" s="2111"/>
      <c r="D1250" s="2111"/>
      <c r="E1250" s="2111"/>
      <c r="F1250" s="2122"/>
      <c r="G1250" s="2111"/>
    </row>
    <row r="1251" spans="1:7" ht="13.8" x14ac:dyDescent="0.25">
      <c r="A1251" s="2109"/>
      <c r="B1251" s="2123"/>
      <c r="C1251" s="2111"/>
      <c r="D1251" s="2111"/>
      <c r="E1251" s="2111"/>
      <c r="F1251" s="2122"/>
      <c r="G1251" s="2111"/>
    </row>
    <row r="1252" spans="1:7" ht="13.8" x14ac:dyDescent="0.25">
      <c r="A1252" s="2109"/>
      <c r="B1252" s="2123" t="s">
        <v>3539</v>
      </c>
      <c r="C1252" s="2111" t="s">
        <v>1846</v>
      </c>
      <c r="D1252" s="2111">
        <v>2451.34</v>
      </c>
      <c r="E1252" s="2111">
        <v>300</v>
      </c>
      <c r="F1252" s="2122">
        <f t="shared" si="123"/>
        <v>735402</v>
      </c>
      <c r="G1252" s="2111"/>
    </row>
    <row r="1253" spans="1:7" ht="13.8" x14ac:dyDescent="0.25">
      <c r="A1253" s="2109"/>
      <c r="B1253" s="2123"/>
      <c r="C1253" s="2111"/>
      <c r="D1253" s="2111"/>
      <c r="E1253" s="2111"/>
      <c r="F1253" s="2122">
        <f t="shared" si="123"/>
        <v>0</v>
      </c>
      <c r="G1253" s="2111"/>
    </row>
    <row r="1254" spans="1:7" ht="13.8" x14ac:dyDescent="0.25">
      <c r="A1254" s="2109"/>
      <c r="B1254" s="2123"/>
      <c r="C1254" s="2111"/>
      <c r="D1254" s="2111"/>
      <c r="E1254" s="2111"/>
      <c r="F1254" s="2122">
        <f t="shared" si="123"/>
        <v>0</v>
      </c>
      <c r="G1254" s="2111"/>
    </row>
    <row r="1255" spans="1:7" ht="13.8" x14ac:dyDescent="0.25">
      <c r="A1255" s="2109"/>
      <c r="B1255" s="2110" t="s">
        <v>3491</v>
      </c>
      <c r="C1255" s="2111"/>
      <c r="D1255" s="2111"/>
      <c r="E1255" s="2111"/>
      <c r="F1255" s="2111">
        <v>35000</v>
      </c>
      <c r="G1255" s="2111"/>
    </row>
    <row r="1256" spans="1:7" ht="13.8" x14ac:dyDescent="0.25">
      <c r="A1256" s="2109"/>
      <c r="B1256" s="2109"/>
      <c r="C1256" s="2110"/>
      <c r="D1256" s="2111"/>
      <c r="E1256" s="2111"/>
      <c r="F1256" s="2111">
        <f t="shared" ref="F1256" si="124">D1256*E1256</f>
        <v>0</v>
      </c>
      <c r="G1256" s="2111"/>
    </row>
    <row r="1257" spans="1:7" ht="13.8" x14ac:dyDescent="0.25">
      <c r="A1257" s="2113"/>
      <c r="B1257" s="2894" t="s">
        <v>3363</v>
      </c>
      <c r="C1257" s="2894"/>
      <c r="D1257" s="2894"/>
      <c r="E1257" s="2894"/>
      <c r="F1257" s="2114"/>
      <c r="G1257" s="2190">
        <f>SUM(F1237:F1257)</f>
        <v>2442892.625</v>
      </c>
    </row>
    <row r="1258" spans="1:7" ht="13.8" x14ac:dyDescent="0.25">
      <c r="A1258" s="2109"/>
      <c r="B1258" s="2112" t="s">
        <v>3349</v>
      </c>
      <c r="C1258" s="2110"/>
      <c r="D1258" s="2111"/>
      <c r="E1258" s="2111"/>
      <c r="F1258" s="2111">
        <f t="shared" ref="F1258:F1259" si="125">D1258*E1258</f>
        <v>0</v>
      </c>
      <c r="G1258" s="2111"/>
    </row>
    <row r="1259" spans="1:7" ht="13.8" x14ac:dyDescent="0.25">
      <c r="A1259" s="2121"/>
      <c r="B1259" s="2121" t="s">
        <v>3357</v>
      </c>
      <c r="C1259" s="2122" t="s">
        <v>1846</v>
      </c>
      <c r="D1259" s="2122">
        <v>1248.05</v>
      </c>
      <c r="E1259" s="2122">
        <v>300</v>
      </c>
      <c r="F1259" s="2122">
        <f t="shared" si="125"/>
        <v>374415</v>
      </c>
      <c r="G1259" s="2122"/>
    </row>
    <row r="1260" spans="1:7" ht="13.8" x14ac:dyDescent="0.25">
      <c r="A1260" s="2121"/>
      <c r="B1260" s="2121"/>
      <c r="C1260" s="2122"/>
      <c r="D1260" s="2122"/>
      <c r="E1260" s="2122"/>
      <c r="F1260" s="2122"/>
      <c r="G1260" s="2122"/>
    </row>
    <row r="1261" spans="1:7" ht="13.8" x14ac:dyDescent="0.25">
      <c r="A1261" s="2109"/>
      <c r="B1261" s="2109"/>
      <c r="C1261" s="2111"/>
      <c r="D1261" s="2111"/>
      <c r="E1261" s="2111"/>
      <c r="F1261" s="2111"/>
      <c r="G1261" s="2111"/>
    </row>
    <row r="1262" spans="1:7" ht="13.8" x14ac:dyDescent="0.25">
      <c r="A1262" s="2109"/>
      <c r="B1262" s="2109" t="s">
        <v>3540</v>
      </c>
      <c r="C1262" s="2111"/>
      <c r="D1262" s="2111"/>
      <c r="E1262" s="2111"/>
      <c r="F1262" s="2111">
        <f>F1259*3%</f>
        <v>11232.449999999999</v>
      </c>
      <c r="G1262" s="2111"/>
    </row>
    <row r="1263" spans="1:7" ht="13.8" x14ac:dyDescent="0.25">
      <c r="A1263" s="2109"/>
      <c r="B1263" s="2109" t="s">
        <v>3507</v>
      </c>
      <c r="C1263" s="2110"/>
      <c r="D1263" s="2111"/>
      <c r="E1263" s="2111"/>
      <c r="F1263" s="2111">
        <f>F1259*5%</f>
        <v>18720.75</v>
      </c>
      <c r="G1263" s="2111"/>
    </row>
    <row r="1264" spans="1:7" ht="13.8" x14ac:dyDescent="0.25">
      <c r="A1264" s="2113"/>
      <c r="B1264" s="2894" t="s">
        <v>3351</v>
      </c>
      <c r="C1264" s="2894"/>
      <c r="D1264" s="2894"/>
      <c r="E1264" s="2894"/>
      <c r="F1264" s="2114">
        <f t="shared" ref="F1264" si="126">D1264*E1264</f>
        <v>0</v>
      </c>
      <c r="G1264" s="2190">
        <f>SUM(F1259:F1264)</f>
        <v>404368.2</v>
      </c>
    </row>
    <row r="1265" spans="1:7" ht="13.8" x14ac:dyDescent="0.25">
      <c r="A1265" s="2109"/>
      <c r="B1265" s="2115"/>
      <c r="C1265" s="2115"/>
      <c r="D1265" s="2115"/>
      <c r="E1265" s="2115"/>
      <c r="F1265" s="2111"/>
      <c r="G1265" s="2115"/>
    </row>
    <row r="1266" spans="1:7" ht="13.8" x14ac:dyDescent="0.25">
      <c r="A1266" s="2109"/>
      <c r="B1266" s="2115"/>
      <c r="C1266" s="2115"/>
      <c r="D1266" s="2115"/>
      <c r="E1266" s="2115"/>
      <c r="F1266" s="2111"/>
      <c r="G1266" s="2115"/>
    </row>
    <row r="1267" spans="1:7" ht="13.8" x14ac:dyDescent="0.25">
      <c r="A1267" s="2887" t="s">
        <v>3541</v>
      </c>
      <c r="B1267" s="2887"/>
      <c r="C1267" s="2887"/>
      <c r="D1267" s="2887"/>
      <c r="E1267" s="2887"/>
      <c r="F1267" s="2887"/>
      <c r="G1267" s="2194">
        <f>G1257+G1264</f>
        <v>2847260.8250000002</v>
      </c>
    </row>
    <row r="1268" spans="1:7" ht="13.8" x14ac:dyDescent="0.25">
      <c r="A1268" s="2887" t="s">
        <v>3379</v>
      </c>
      <c r="B1268" s="2887"/>
      <c r="C1268" s="2887"/>
      <c r="D1268" s="2887"/>
      <c r="E1268" s="2887"/>
      <c r="F1268" s="2887"/>
      <c r="G1268" s="2194">
        <f>G1267/12.48</f>
        <v>228145.89943910256</v>
      </c>
    </row>
    <row r="1269" spans="1:7" ht="13.8" x14ac:dyDescent="0.25">
      <c r="A1269" s="2887" t="s">
        <v>3380</v>
      </c>
      <c r="B1269" s="2887"/>
      <c r="C1269" s="2887"/>
      <c r="D1269" s="2887"/>
      <c r="E1269" s="2887"/>
      <c r="F1269" s="2887"/>
      <c r="G1269" s="2166">
        <f>G1268/9.29</f>
        <v>24558.223836286608</v>
      </c>
    </row>
    <row r="1270" spans="1:7" ht="13.8" x14ac:dyDescent="0.25">
      <c r="A1270" s="2887" t="s">
        <v>3381</v>
      </c>
      <c r="B1270" s="2887"/>
      <c r="C1270" s="2887"/>
      <c r="D1270" s="2887"/>
      <c r="E1270" s="2887"/>
      <c r="F1270" s="2887"/>
      <c r="G1270" s="2167">
        <f>G1269/10.76</f>
        <v>2282.3628100638111</v>
      </c>
    </row>
    <row r="1273" spans="1:7" ht="13.8" thickBot="1" x14ac:dyDescent="0.3"/>
    <row r="1274" spans="1:7" ht="13.8" x14ac:dyDescent="0.25">
      <c r="A1274" s="2888" t="s">
        <v>3542</v>
      </c>
      <c r="B1274" s="2889"/>
      <c r="C1274" s="2889"/>
      <c r="D1274" s="2889"/>
      <c r="E1274" s="2889"/>
      <c r="F1274" s="2889"/>
      <c r="G1274" s="2890"/>
    </row>
    <row r="1275" spans="1:7" ht="14.4" thickBot="1" x14ac:dyDescent="0.3">
      <c r="A1275" s="2891" t="s">
        <v>3518</v>
      </c>
      <c r="B1275" s="2892"/>
      <c r="C1275" s="2892"/>
      <c r="D1275" s="2892"/>
      <c r="E1275" s="2892"/>
      <c r="F1275" s="2892"/>
      <c r="G1275" s="2893"/>
    </row>
    <row r="1276" spans="1:7" ht="14.4" thickBot="1" x14ac:dyDescent="0.3">
      <c r="A1276" s="2107"/>
      <c r="B1276" s="2108" t="s">
        <v>3345</v>
      </c>
      <c r="C1276" s="2108" t="s">
        <v>3346</v>
      </c>
      <c r="D1276" s="2108" t="s">
        <v>2</v>
      </c>
      <c r="E1276" s="2108" t="s">
        <v>3347</v>
      </c>
      <c r="F1276" s="2108" t="s">
        <v>5</v>
      </c>
      <c r="G1276" s="2108" t="s">
        <v>3348</v>
      </c>
    </row>
    <row r="1277" spans="1:7" ht="13.8" x14ac:dyDescent="0.25">
      <c r="A1277" s="2109"/>
      <c r="B1277" s="2109"/>
      <c r="C1277" s="2110"/>
      <c r="D1277" s="2111"/>
      <c r="E1277" s="2111"/>
      <c r="F1277" s="2111"/>
      <c r="G1277" s="2111"/>
    </row>
    <row r="1278" spans="1:7" ht="13.8" x14ac:dyDescent="0.25">
      <c r="A1278" s="2109"/>
      <c r="B1278" s="2112" t="s">
        <v>3362</v>
      </c>
      <c r="C1278" s="2110"/>
      <c r="D1278" s="2111"/>
      <c r="E1278" s="2111"/>
      <c r="F1278" s="2111"/>
      <c r="G1278" s="2111"/>
    </row>
    <row r="1279" spans="1:7" ht="13.8" x14ac:dyDescent="0.25">
      <c r="A1279" s="2109"/>
      <c r="B1279" s="2109" t="s">
        <v>3519</v>
      </c>
      <c r="C1279" s="2111" t="s">
        <v>1314</v>
      </c>
      <c r="D1279" s="2111">
        <v>40</v>
      </c>
      <c r="E1279" s="2111">
        <f>2012.5*4</f>
        <v>8050</v>
      </c>
      <c r="F1279" s="2111">
        <f>D1279*E1279</f>
        <v>322000</v>
      </c>
      <c r="G1279" s="2111"/>
    </row>
    <row r="1280" spans="1:7" ht="13.8" x14ac:dyDescent="0.25">
      <c r="A1280" s="2121"/>
      <c r="B1280" s="2121"/>
      <c r="C1280" s="2122"/>
      <c r="D1280" s="2122"/>
      <c r="E1280" s="2122">
        <f>+F1212</f>
        <v>0</v>
      </c>
      <c r="F1280" s="2122">
        <f t="shared" ref="F1280" si="127">D1280*E1280</f>
        <v>0</v>
      </c>
      <c r="G1280" s="2122"/>
    </row>
    <row r="1281" spans="1:7" ht="13.8" x14ac:dyDescent="0.25">
      <c r="A1281" s="2121"/>
      <c r="B1281" s="2121" t="s">
        <v>3520</v>
      </c>
      <c r="C1281" s="2122" t="s">
        <v>3490</v>
      </c>
      <c r="D1281" s="2122"/>
      <c r="E1281" s="2122">
        <v>15000</v>
      </c>
      <c r="F1281" s="2122">
        <f>E1281</f>
        <v>15000</v>
      </c>
      <c r="G1281" s="2122"/>
    </row>
    <row r="1282" spans="1:7" ht="13.8" x14ac:dyDescent="0.25">
      <c r="A1282" s="2121"/>
      <c r="B1282" s="2153"/>
      <c r="C1282" s="2122"/>
      <c r="D1282" s="2122"/>
      <c r="E1282" s="2122">
        <f>+[22]Material!D779</f>
        <v>0</v>
      </c>
      <c r="F1282" s="2122">
        <f t="shared" ref="F1282" si="128">E1282</f>
        <v>0</v>
      </c>
      <c r="G1282" s="2122"/>
    </row>
    <row r="1283" spans="1:7" ht="13.8" x14ac:dyDescent="0.25">
      <c r="A1283" s="2121"/>
      <c r="B1283" s="2121" t="s">
        <v>3521</v>
      </c>
      <c r="C1283" s="2122" t="s">
        <v>1476</v>
      </c>
      <c r="D1283" s="2122">
        <v>525</v>
      </c>
      <c r="E1283" s="2122">
        <v>450</v>
      </c>
      <c r="F1283" s="2122">
        <f>D1283*E1283</f>
        <v>236250</v>
      </c>
      <c r="G1283" s="2122"/>
    </row>
    <row r="1284" spans="1:7" ht="13.8" x14ac:dyDescent="0.25">
      <c r="A1284" s="2121"/>
      <c r="B1284" s="2121"/>
      <c r="C1284" s="2122"/>
      <c r="D1284" s="2122"/>
      <c r="E1284" s="2122"/>
      <c r="F1284" s="2122"/>
      <c r="G1284" s="2122"/>
    </row>
    <row r="1285" spans="1:7" ht="13.8" x14ac:dyDescent="0.25">
      <c r="A1285" s="2121"/>
      <c r="B1285" s="2121" t="s">
        <v>1755</v>
      </c>
      <c r="C1285" s="2122"/>
      <c r="D1285" s="2122"/>
      <c r="E1285" s="2122">
        <v>30000</v>
      </c>
      <c r="F1285" s="2111">
        <f t="shared" ref="F1285:F1287" si="129">E1285</f>
        <v>30000</v>
      </c>
      <c r="G1285" s="2122"/>
    </row>
    <row r="1286" spans="1:7" ht="13.8" x14ac:dyDescent="0.25">
      <c r="A1286" s="2121"/>
      <c r="B1286" s="2121"/>
      <c r="C1286" s="2122"/>
      <c r="D1286" s="2122"/>
      <c r="E1286" s="2122"/>
      <c r="F1286" s="2111"/>
      <c r="G1286" s="2122"/>
    </row>
    <row r="1287" spans="1:7" ht="13.8" x14ac:dyDescent="0.25">
      <c r="A1287" s="2121"/>
      <c r="B1287" s="2121" t="s">
        <v>3523</v>
      </c>
      <c r="C1287" s="2122" t="s">
        <v>1314</v>
      </c>
      <c r="D1287" s="2122">
        <v>4</v>
      </c>
      <c r="E1287" s="2122">
        <v>15000</v>
      </c>
      <c r="F1287" s="2111">
        <f t="shared" si="129"/>
        <v>15000</v>
      </c>
      <c r="G1287" s="2122"/>
    </row>
    <row r="1288" spans="1:7" ht="13.8" x14ac:dyDescent="0.25">
      <c r="A1288" s="2121"/>
      <c r="B1288" s="2121"/>
      <c r="C1288" s="2122"/>
      <c r="D1288" s="2122"/>
      <c r="E1288" s="2122"/>
      <c r="F1288" s="2122"/>
      <c r="G1288" s="2122"/>
    </row>
    <row r="1289" spans="1:7" ht="13.8" x14ac:dyDescent="0.25">
      <c r="A1289" s="2113"/>
      <c r="B1289" s="2894" t="s">
        <v>3363</v>
      </c>
      <c r="C1289" s="2894"/>
      <c r="D1289" s="2894"/>
      <c r="E1289" s="2894"/>
      <c r="F1289" s="2114"/>
      <c r="G1289" s="2190">
        <f>SUM(F1277:F1288)</f>
        <v>618250</v>
      </c>
    </row>
    <row r="1290" spans="1:7" ht="13.8" x14ac:dyDescent="0.25">
      <c r="A1290" s="2109"/>
      <c r="B1290" s="2112" t="s">
        <v>3349</v>
      </c>
      <c r="C1290" s="2110"/>
      <c r="D1290" s="2111"/>
      <c r="E1290" s="2111"/>
      <c r="F1290" s="2111">
        <f>D1290*E1290</f>
        <v>0</v>
      </c>
      <c r="G1290" s="2111"/>
    </row>
    <row r="1291" spans="1:7" ht="13.8" x14ac:dyDescent="0.25">
      <c r="A1291" s="2121"/>
      <c r="B1291" s="2156"/>
      <c r="C1291" s="2153"/>
      <c r="D1291" s="2122"/>
      <c r="E1291" s="2122"/>
      <c r="F1291" s="2122"/>
      <c r="G1291" s="2122"/>
    </row>
    <row r="1292" spans="1:7" ht="13.8" x14ac:dyDescent="0.25">
      <c r="A1292" s="2121"/>
      <c r="B1292" s="2121" t="s">
        <v>3357</v>
      </c>
      <c r="C1292" s="2122" t="s">
        <v>1314</v>
      </c>
      <c r="D1292" s="2122">
        <v>40</v>
      </c>
      <c r="E1292" s="2122">
        <v>500</v>
      </c>
      <c r="F1292" s="2122">
        <f>D1292*E1292</f>
        <v>20000</v>
      </c>
      <c r="G1292" s="2122"/>
    </row>
    <row r="1293" spans="1:7" ht="13.8" x14ac:dyDescent="0.25">
      <c r="A1293" s="2121"/>
      <c r="B1293" s="2121"/>
      <c r="C1293" s="2122"/>
      <c r="D1293" s="2122"/>
      <c r="E1293" s="2122"/>
      <c r="F1293" s="2122"/>
      <c r="G1293" s="2122"/>
    </row>
    <row r="1294" spans="1:7" ht="13.8" x14ac:dyDescent="0.25">
      <c r="A1294" s="2109"/>
      <c r="B1294" s="2109" t="s">
        <v>3472</v>
      </c>
      <c r="C1294" s="2111"/>
      <c r="D1294" s="2111"/>
      <c r="E1294" s="2111"/>
      <c r="F1294" s="2111">
        <f>F1292*3%</f>
        <v>600</v>
      </c>
      <c r="G1294" s="2111"/>
    </row>
    <row r="1295" spans="1:7" ht="13.8" x14ac:dyDescent="0.25">
      <c r="A1295" s="2109"/>
      <c r="B1295" s="2109" t="s">
        <v>3473</v>
      </c>
      <c r="C1295" s="2111"/>
      <c r="D1295" s="2111"/>
      <c r="E1295" s="2111"/>
      <c r="F1295" s="2111">
        <f>F1292*5%</f>
        <v>1000</v>
      </c>
      <c r="G1295" s="2111"/>
    </row>
    <row r="1296" spans="1:7" ht="13.8" x14ac:dyDescent="0.25">
      <c r="A1296" s="2109"/>
      <c r="B1296" s="2109"/>
      <c r="C1296" s="2110"/>
      <c r="D1296" s="2111"/>
      <c r="E1296" s="2111"/>
      <c r="F1296" s="2111"/>
      <c r="G1296" s="2111"/>
    </row>
    <row r="1297" spans="1:7" ht="13.8" x14ac:dyDescent="0.25">
      <c r="A1297" s="2113"/>
      <c r="B1297" s="2894" t="s">
        <v>3351</v>
      </c>
      <c r="C1297" s="2894"/>
      <c r="D1297" s="2894"/>
      <c r="E1297" s="2894"/>
      <c r="F1297" s="2114">
        <f>D1297*E1297</f>
        <v>0</v>
      </c>
      <c r="G1297" s="2190">
        <f>SUM(F1292:F1297)</f>
        <v>21600</v>
      </c>
    </row>
    <row r="1298" spans="1:7" ht="13.8" x14ac:dyDescent="0.25">
      <c r="A1298" s="2109"/>
      <c r="B1298" s="2115"/>
      <c r="C1298" s="2115"/>
      <c r="D1298" s="2115"/>
      <c r="E1298" s="2115"/>
      <c r="F1298" s="2111"/>
      <c r="G1298" s="2115"/>
    </row>
    <row r="1299" spans="1:7" ht="13.8" x14ac:dyDescent="0.25">
      <c r="A1299" s="2109"/>
      <c r="B1299" s="2115"/>
      <c r="C1299" s="2115"/>
      <c r="D1299" s="2115"/>
      <c r="E1299" s="2115"/>
      <c r="F1299" s="2111"/>
      <c r="G1299" s="2115"/>
    </row>
    <row r="1300" spans="1:7" ht="13.8" x14ac:dyDescent="0.25">
      <c r="A1300" s="2887" t="s">
        <v>3525</v>
      </c>
      <c r="B1300" s="2887"/>
      <c r="C1300" s="2887"/>
      <c r="D1300" s="2887"/>
      <c r="E1300" s="2887"/>
      <c r="F1300" s="2887"/>
      <c r="G1300" s="2189">
        <f>G1289+G1297</f>
        <v>639850</v>
      </c>
    </row>
    <row r="1301" spans="1:7" ht="13.8" x14ac:dyDescent="0.25">
      <c r="A1301" s="2887" t="s">
        <v>3380</v>
      </c>
      <c r="B1301" s="2887"/>
      <c r="C1301" s="2887"/>
      <c r="D1301" s="2887"/>
      <c r="E1301" s="2887"/>
      <c r="F1301" s="2887"/>
      <c r="G1301" s="2189">
        <f>G1300/16</f>
        <v>39990.625</v>
      </c>
    </row>
    <row r="1302" spans="1:7" ht="13.8" x14ac:dyDescent="0.25">
      <c r="A1302" s="2887" t="s">
        <v>3381</v>
      </c>
      <c r="B1302" s="2887"/>
      <c r="C1302" s="2887"/>
      <c r="D1302" s="2887"/>
      <c r="E1302" s="2887"/>
      <c r="F1302" s="2887"/>
      <c r="G1302" s="2157">
        <f>G1301/10.76</f>
        <v>3716.600836431227</v>
      </c>
    </row>
    <row r="1305" spans="1:7" ht="13.8" thickBot="1" x14ac:dyDescent="0.3"/>
    <row r="1306" spans="1:7" ht="13.8" x14ac:dyDescent="0.25">
      <c r="A1306" s="2888" t="s">
        <v>3542</v>
      </c>
      <c r="B1306" s="2889"/>
      <c r="C1306" s="2889"/>
      <c r="D1306" s="2889"/>
      <c r="E1306" s="2889"/>
      <c r="F1306" s="2889"/>
      <c r="G1306" s="2890"/>
    </row>
    <row r="1307" spans="1:7" ht="14.4" thickBot="1" x14ac:dyDescent="0.3">
      <c r="A1307" s="2891" t="s">
        <v>3518</v>
      </c>
      <c r="B1307" s="2892"/>
      <c r="C1307" s="2892"/>
      <c r="D1307" s="2892"/>
      <c r="E1307" s="2892"/>
      <c r="F1307" s="2892"/>
      <c r="G1307" s="2893"/>
    </row>
    <row r="1308" spans="1:7" ht="14.4" thickBot="1" x14ac:dyDescent="0.3">
      <c r="A1308" s="2107"/>
      <c r="B1308" s="2108" t="s">
        <v>3345</v>
      </c>
      <c r="C1308" s="2108" t="s">
        <v>3346</v>
      </c>
      <c r="D1308" s="2108" t="s">
        <v>2</v>
      </c>
      <c r="E1308" s="2108" t="s">
        <v>3347</v>
      </c>
      <c r="F1308" s="2108" t="s">
        <v>5</v>
      </c>
      <c r="G1308" s="2108" t="s">
        <v>3348</v>
      </c>
    </row>
    <row r="1309" spans="1:7" ht="13.8" x14ac:dyDescent="0.25">
      <c r="A1309" s="2109"/>
      <c r="B1309" s="2109"/>
      <c r="C1309" s="2110"/>
      <c r="D1309" s="2111"/>
      <c r="E1309" s="2111"/>
      <c r="F1309" s="2111"/>
      <c r="G1309" s="2111"/>
    </row>
    <row r="1310" spans="1:7" ht="13.8" x14ac:dyDescent="0.25">
      <c r="A1310" s="2109"/>
      <c r="B1310" s="2112" t="s">
        <v>3362</v>
      </c>
      <c r="C1310" s="2110"/>
      <c r="D1310" s="2111"/>
      <c r="E1310" s="2111"/>
      <c r="F1310" s="2111"/>
      <c r="G1310" s="2111"/>
    </row>
    <row r="1311" spans="1:7" ht="13.8" x14ac:dyDescent="0.25">
      <c r="A1311" s="2109"/>
      <c r="B1311" s="2109" t="s">
        <v>3519</v>
      </c>
      <c r="C1311" s="2111" t="s">
        <v>1314</v>
      </c>
      <c r="D1311" s="2111">
        <v>40</v>
      </c>
      <c r="E1311" s="2111">
        <f>2012.5*4</f>
        <v>8050</v>
      </c>
      <c r="F1311" s="2111">
        <f>D1311*E1311</f>
        <v>322000</v>
      </c>
      <c r="G1311" s="2111"/>
    </row>
    <row r="1312" spans="1:7" ht="13.8" x14ac:dyDescent="0.25">
      <c r="A1312" s="2121"/>
      <c r="B1312" s="2121"/>
      <c r="C1312" s="2122"/>
      <c r="D1312" s="2122"/>
      <c r="E1312" s="2122"/>
      <c r="F1312" s="2122">
        <f t="shared" ref="F1312" si="130">D1312*E1312</f>
        <v>0</v>
      </c>
      <c r="G1312" s="2122"/>
    </row>
    <row r="1313" spans="1:7" ht="13.8" x14ac:dyDescent="0.25">
      <c r="A1313" s="2121"/>
      <c r="B1313" s="2121" t="s">
        <v>3520</v>
      </c>
      <c r="C1313" s="2122" t="s">
        <v>3490</v>
      </c>
      <c r="D1313" s="2122"/>
      <c r="E1313" s="2122">
        <v>15000</v>
      </c>
      <c r="F1313" s="2122">
        <f>E1313</f>
        <v>15000</v>
      </c>
      <c r="G1313" s="2122"/>
    </row>
    <row r="1314" spans="1:7" ht="13.8" x14ac:dyDescent="0.25">
      <c r="A1314" s="2121"/>
      <c r="B1314" s="2153"/>
      <c r="C1314" s="2122"/>
      <c r="D1314" s="2122"/>
      <c r="E1314" s="2122"/>
      <c r="F1314" s="2122"/>
      <c r="G1314" s="2122"/>
    </row>
    <row r="1315" spans="1:7" ht="13.8" x14ac:dyDescent="0.25">
      <c r="A1315" s="2121"/>
      <c r="B1315" s="2121" t="s">
        <v>3521</v>
      </c>
      <c r="C1315" s="2122" t="s">
        <v>1476</v>
      </c>
      <c r="D1315" s="2122">
        <v>525</v>
      </c>
      <c r="E1315" s="2122">
        <f>G1156</f>
        <v>131.93224516908697</v>
      </c>
      <c r="F1315" s="2122">
        <f>D1315*E1315</f>
        <v>69264.428713770656</v>
      </c>
      <c r="G1315" s="2122"/>
    </row>
    <row r="1316" spans="1:7" ht="13.8" x14ac:dyDescent="0.25">
      <c r="A1316" s="2121"/>
      <c r="B1316" s="2121"/>
      <c r="C1316" s="2122"/>
      <c r="D1316" s="2122"/>
      <c r="E1316" s="2122"/>
      <c r="F1316" s="2122"/>
      <c r="G1316" s="2122"/>
    </row>
    <row r="1317" spans="1:7" ht="13.8" x14ac:dyDescent="0.25">
      <c r="A1317" s="2121"/>
      <c r="B1317" s="2121" t="s">
        <v>1755</v>
      </c>
      <c r="C1317" s="2122"/>
      <c r="D1317" s="2122"/>
      <c r="E1317" s="2122">
        <v>30000</v>
      </c>
      <c r="F1317" s="2111">
        <f t="shared" ref="F1317:F1319" si="131">E1317</f>
        <v>30000</v>
      </c>
      <c r="G1317" s="2122"/>
    </row>
    <row r="1318" spans="1:7" ht="13.8" x14ac:dyDescent="0.25">
      <c r="A1318" s="2121"/>
      <c r="B1318" s="2121"/>
      <c r="C1318" s="2122"/>
      <c r="D1318" s="2122"/>
      <c r="E1318" s="2122"/>
      <c r="F1318" s="2111"/>
      <c r="G1318" s="2122"/>
    </row>
    <row r="1319" spans="1:7" ht="13.8" x14ac:dyDescent="0.25">
      <c r="A1319" s="2121"/>
      <c r="B1319" s="2121" t="s">
        <v>3523</v>
      </c>
      <c r="C1319" s="2122" t="s">
        <v>1314</v>
      </c>
      <c r="D1319" s="2122">
        <v>4</v>
      </c>
      <c r="E1319" s="2122">
        <v>15000</v>
      </c>
      <c r="F1319" s="2111">
        <f t="shared" si="131"/>
        <v>15000</v>
      </c>
      <c r="G1319" s="2122"/>
    </row>
    <row r="1320" spans="1:7" ht="13.8" x14ac:dyDescent="0.25">
      <c r="A1320" s="2121"/>
      <c r="B1320" s="2121"/>
      <c r="C1320" s="2122"/>
      <c r="D1320" s="2122"/>
      <c r="E1320" s="2122"/>
      <c r="F1320" s="2122"/>
      <c r="G1320" s="2122"/>
    </row>
    <row r="1321" spans="1:7" ht="13.8" x14ac:dyDescent="0.25">
      <c r="A1321" s="2113"/>
      <c r="B1321" s="2894" t="s">
        <v>3363</v>
      </c>
      <c r="C1321" s="2894"/>
      <c r="D1321" s="2894"/>
      <c r="E1321" s="2894"/>
      <c r="F1321" s="2114"/>
      <c r="G1321" s="2190">
        <f>SUM(F1309:F1320)</f>
        <v>451264.42871377064</v>
      </c>
    </row>
    <row r="1322" spans="1:7" ht="13.8" x14ac:dyDescent="0.25">
      <c r="A1322" s="2109"/>
      <c r="B1322" s="2112" t="s">
        <v>3349</v>
      </c>
      <c r="C1322" s="2110"/>
      <c r="D1322" s="2111"/>
      <c r="E1322" s="2111"/>
      <c r="F1322" s="2111">
        <f>D1322*E1322</f>
        <v>0</v>
      </c>
      <c r="G1322" s="2111"/>
    </row>
    <row r="1323" spans="1:7" ht="13.8" x14ac:dyDescent="0.25">
      <c r="A1323" s="2121"/>
      <c r="B1323" s="2156"/>
      <c r="C1323" s="2153"/>
      <c r="D1323" s="2122"/>
      <c r="E1323" s="2122"/>
      <c r="F1323" s="2122"/>
      <c r="G1323" s="2122"/>
    </row>
    <row r="1324" spans="1:7" ht="13.8" x14ac:dyDescent="0.25">
      <c r="A1324" s="2121"/>
      <c r="B1324" s="2121" t="s">
        <v>3357</v>
      </c>
      <c r="C1324" s="2122" t="s">
        <v>1314</v>
      </c>
      <c r="D1324" s="2122">
        <v>40</v>
      </c>
      <c r="E1324" s="2122">
        <v>500</v>
      </c>
      <c r="F1324" s="2122">
        <f>D1324*E1324</f>
        <v>20000</v>
      </c>
      <c r="G1324" s="2122"/>
    </row>
    <row r="1325" spans="1:7" ht="13.8" x14ac:dyDescent="0.25">
      <c r="A1325" s="2121"/>
      <c r="B1325" s="2121"/>
      <c r="C1325" s="2122"/>
      <c r="D1325" s="2122"/>
      <c r="E1325" s="2122"/>
      <c r="F1325" s="2122"/>
      <c r="G1325" s="2122"/>
    </row>
    <row r="1326" spans="1:7" ht="13.8" x14ac:dyDescent="0.25">
      <c r="A1326" s="2109"/>
      <c r="B1326" s="2109" t="s">
        <v>3472</v>
      </c>
      <c r="C1326" s="2111"/>
      <c r="D1326" s="2111"/>
      <c r="E1326" s="2111"/>
      <c r="F1326" s="2111">
        <f>F1324*3%</f>
        <v>600</v>
      </c>
      <c r="G1326" s="2111"/>
    </row>
    <row r="1327" spans="1:7" ht="13.8" x14ac:dyDescent="0.25">
      <c r="A1327" s="2109"/>
      <c r="B1327" s="2109" t="s">
        <v>3473</v>
      </c>
      <c r="C1327" s="2111"/>
      <c r="D1327" s="2111"/>
      <c r="E1327" s="2111"/>
      <c r="F1327" s="2111">
        <f>F1324*5%</f>
        <v>1000</v>
      </c>
      <c r="G1327" s="2111"/>
    </row>
    <row r="1328" spans="1:7" ht="13.8" x14ac:dyDescent="0.25">
      <c r="A1328" s="2109"/>
      <c r="B1328" s="2109"/>
      <c r="C1328" s="2110"/>
      <c r="D1328" s="2111"/>
      <c r="E1328" s="2111"/>
      <c r="F1328" s="2111"/>
      <c r="G1328" s="2111"/>
    </row>
    <row r="1329" spans="1:18" ht="13.8" x14ac:dyDescent="0.25">
      <c r="A1329" s="2113"/>
      <c r="B1329" s="2894" t="s">
        <v>3351</v>
      </c>
      <c r="C1329" s="2894"/>
      <c r="D1329" s="2894"/>
      <c r="E1329" s="2894"/>
      <c r="F1329" s="2114">
        <f>D1329*E1329</f>
        <v>0</v>
      </c>
      <c r="G1329" s="2190">
        <f>SUM(F1324:F1329)</f>
        <v>21600</v>
      </c>
    </row>
    <row r="1330" spans="1:18" ht="13.8" x14ac:dyDescent="0.25">
      <c r="A1330" s="2109"/>
      <c r="B1330" s="2115"/>
      <c r="C1330" s="2115"/>
      <c r="D1330" s="2115"/>
      <c r="E1330" s="2115"/>
      <c r="F1330" s="2111"/>
      <c r="G1330" s="2115"/>
    </row>
    <row r="1331" spans="1:18" ht="13.8" x14ac:dyDescent="0.25">
      <c r="A1331" s="2109"/>
      <c r="B1331" s="2115"/>
      <c r="C1331" s="2115"/>
      <c r="D1331" s="2115"/>
      <c r="E1331" s="2115"/>
      <c r="F1331" s="2111"/>
      <c r="G1331" s="2115"/>
    </row>
    <row r="1332" spans="1:18" ht="13.8" x14ac:dyDescent="0.25">
      <c r="A1332" s="2887" t="s">
        <v>3525</v>
      </c>
      <c r="B1332" s="2887"/>
      <c r="C1332" s="2887"/>
      <c r="D1332" s="2887"/>
      <c r="E1332" s="2887"/>
      <c r="F1332" s="2887"/>
      <c r="G1332" s="2189">
        <f>G1321+G1329</f>
        <v>472864.42871377064</v>
      </c>
    </row>
    <row r="1333" spans="1:18" ht="13.8" x14ac:dyDescent="0.25">
      <c r="A1333" s="2887" t="s">
        <v>3380</v>
      </c>
      <c r="B1333" s="2887"/>
      <c r="C1333" s="2887"/>
      <c r="D1333" s="2887"/>
      <c r="E1333" s="2887"/>
      <c r="F1333" s="2887"/>
      <c r="G1333" s="2189">
        <f>G1332/16</f>
        <v>29554.026794610665</v>
      </c>
    </row>
    <row r="1334" spans="1:18" ht="13.8" x14ac:dyDescent="0.25">
      <c r="A1334" s="2887" t="s">
        <v>3381</v>
      </c>
      <c r="B1334" s="2887"/>
      <c r="C1334" s="2887"/>
      <c r="D1334" s="2887"/>
      <c r="E1334" s="2887"/>
      <c r="F1334" s="2887"/>
      <c r="G1334" s="2157">
        <f>G1333/10.76</f>
        <v>2746.656765298389</v>
      </c>
    </row>
    <row r="1337" spans="1:18" ht="13.8" thickBot="1" x14ac:dyDescent="0.3"/>
    <row r="1338" spans="1:18" ht="14.4" x14ac:dyDescent="0.3">
      <c r="A1338" s="2888" t="s">
        <v>3543</v>
      </c>
      <c r="B1338" s="2889"/>
      <c r="C1338" s="2889"/>
      <c r="D1338" s="2889"/>
      <c r="E1338" s="2889"/>
      <c r="F1338" s="2889"/>
      <c r="G1338" s="2890"/>
      <c r="H1338" s="2168"/>
      <c r="I1338" s="2168"/>
      <c r="J1338" s="2134"/>
      <c r="K1338" s="2169" t="s">
        <v>0</v>
      </c>
      <c r="L1338" s="2327" t="s">
        <v>3422</v>
      </c>
      <c r="M1338" s="2327" t="s">
        <v>3544</v>
      </c>
      <c r="N1338" s="2327" t="s">
        <v>3545</v>
      </c>
      <c r="O1338" s="2127" t="s">
        <v>3348</v>
      </c>
      <c r="P1338" s="2193"/>
      <c r="Q1338" s="2145"/>
      <c r="R1338" s="2168"/>
    </row>
    <row r="1339" spans="1:18" ht="15" thickBot="1" x14ac:dyDescent="0.35">
      <c r="A1339" s="2891" t="s">
        <v>3546</v>
      </c>
      <c r="B1339" s="2892"/>
      <c r="C1339" s="2892"/>
      <c r="D1339" s="2892"/>
      <c r="E1339" s="2892"/>
      <c r="F1339" s="2892"/>
      <c r="G1339" s="2893"/>
      <c r="H1339" s="2168"/>
      <c r="I1339" s="2168"/>
      <c r="J1339" s="2170"/>
      <c r="K1339" s="2171"/>
      <c r="L1339" s="2360"/>
      <c r="M1339" s="2360"/>
      <c r="N1339" s="2360"/>
      <c r="O1339" s="2170"/>
      <c r="P1339" s="2145"/>
      <c r="Q1339" s="2145"/>
      <c r="R1339" s="2168"/>
    </row>
    <row r="1340" spans="1:18" ht="15" thickBot="1" x14ac:dyDescent="0.35">
      <c r="A1340" s="2107"/>
      <c r="B1340" s="2108" t="s">
        <v>3345</v>
      </c>
      <c r="C1340" s="2108" t="s">
        <v>3346</v>
      </c>
      <c r="D1340" s="2108" t="s">
        <v>2</v>
      </c>
      <c r="E1340" s="2108" t="s">
        <v>3347</v>
      </c>
      <c r="F1340" s="2108" t="s">
        <v>5</v>
      </c>
      <c r="G1340" s="2108" t="s">
        <v>3348</v>
      </c>
      <c r="H1340" s="2168"/>
      <c r="I1340" s="2168"/>
      <c r="J1340" s="2172" t="s">
        <v>3547</v>
      </c>
      <c r="K1340" s="2173"/>
      <c r="L1340" s="2361">
        <v>0.9</v>
      </c>
      <c r="M1340" s="2361">
        <v>0.6</v>
      </c>
      <c r="N1340" s="2362">
        <v>0.1</v>
      </c>
      <c r="O1340" s="2174">
        <f>PRODUCT(K1340:N1340)</f>
        <v>5.4000000000000006E-2</v>
      </c>
      <c r="P1340" s="2145">
        <f>+O1340</f>
        <v>5.4000000000000006E-2</v>
      </c>
      <c r="Q1340" s="2145" t="s">
        <v>696</v>
      </c>
      <c r="R1340" s="2168"/>
    </row>
    <row r="1341" spans="1:18" ht="14.4" x14ac:dyDescent="0.3">
      <c r="A1341" s="2109"/>
      <c r="B1341" s="2109"/>
      <c r="C1341" s="2110"/>
      <c r="D1341" s="2111"/>
      <c r="E1341" s="2111"/>
      <c r="F1341" s="2111"/>
      <c r="G1341" s="2111"/>
      <c r="H1341" s="2168"/>
      <c r="I1341" s="2168"/>
      <c r="J1341" s="2172"/>
      <c r="K1341" s="2173"/>
      <c r="L1341" s="2362"/>
      <c r="M1341" s="2362"/>
      <c r="N1341" s="2362"/>
      <c r="O1341" s="2172">
        <f>PRODUCT(K1341:N1341)</f>
        <v>0</v>
      </c>
      <c r="P1341" s="2145">
        <f>P1340/2.83</f>
        <v>1.9081272084805655E-2</v>
      </c>
      <c r="Q1341" s="2145" t="s">
        <v>131</v>
      </c>
      <c r="R1341" s="2168"/>
    </row>
    <row r="1342" spans="1:18" ht="14.4" x14ac:dyDescent="0.3">
      <c r="A1342" s="2109"/>
      <c r="B1342" s="2109" t="s">
        <v>3548</v>
      </c>
      <c r="C1342" s="2111" t="s">
        <v>131</v>
      </c>
      <c r="D1342" s="2111">
        <f>P1341</f>
        <v>1.9081272084805655E-2</v>
      </c>
      <c r="E1342" s="2111">
        <f>G172</f>
        <v>64521.25</v>
      </c>
      <c r="F1342" s="2111">
        <f t="shared" ref="F1342" si="132">D1342*E1342</f>
        <v>1231.1475265017668</v>
      </c>
      <c r="G1342" s="2111"/>
      <c r="H1342" s="2168"/>
      <c r="I1342" s="2168"/>
      <c r="J1342" s="2172" t="s">
        <v>3549</v>
      </c>
      <c r="K1342" s="2173"/>
      <c r="L1342" s="2363">
        <f>+L1340</f>
        <v>0.9</v>
      </c>
      <c r="M1342" s="2363">
        <f>+M1340</f>
        <v>0.6</v>
      </c>
      <c r="N1342" s="2364"/>
      <c r="O1342" s="2172">
        <f>PRODUCT(K1342:N1342)</f>
        <v>0.54</v>
      </c>
      <c r="P1342" s="2145"/>
      <c r="Q1342" s="2145">
        <f>+O1342*10.76</f>
        <v>5.8104000000000005</v>
      </c>
      <c r="R1342" s="2168"/>
    </row>
    <row r="1343" spans="1:18" ht="14.4" x14ac:dyDescent="0.3">
      <c r="A1343" s="2109"/>
      <c r="B1343" s="2123" t="s">
        <v>3436</v>
      </c>
      <c r="C1343" s="2110"/>
      <c r="D1343" s="2111"/>
      <c r="E1343" s="2111"/>
      <c r="F1343" s="2111">
        <f>F1342*10%</f>
        <v>123.11475265017668</v>
      </c>
      <c r="G1343" s="2111"/>
      <c r="H1343" s="2168"/>
      <c r="I1343" s="2168"/>
      <c r="J1343" s="2172"/>
      <c r="K1343" s="2173"/>
      <c r="L1343" s="2363">
        <f>+L1342+M1342</f>
        <v>1.5</v>
      </c>
      <c r="M1343" s="2364"/>
      <c r="N1343" s="2364">
        <v>0.1</v>
      </c>
      <c r="O1343" s="2175">
        <f>PRODUCT(K1343:N1343)</f>
        <v>0.15000000000000002</v>
      </c>
      <c r="P1343" s="2145"/>
      <c r="Q1343" s="2145"/>
      <c r="R1343" s="2168"/>
    </row>
    <row r="1344" spans="1:18" ht="14.4" x14ac:dyDescent="0.3">
      <c r="A1344" s="2109"/>
      <c r="B1344" s="2109" t="s">
        <v>3415</v>
      </c>
      <c r="C1344" s="2111" t="s">
        <v>3550</v>
      </c>
      <c r="D1344" s="2111">
        <f>+P1349</f>
        <v>4.9950049950049946</v>
      </c>
      <c r="E1344" s="2111">
        <f>H506</f>
        <v>441.87296874999998</v>
      </c>
      <c r="F1344" s="2111">
        <f t="shared" ref="F1344" si="133">D1344*E1344</f>
        <v>2207.1576860639357</v>
      </c>
      <c r="G1344" s="2111"/>
      <c r="H1344" s="2168"/>
      <c r="I1344" s="2168"/>
      <c r="J1344" s="2172"/>
      <c r="K1344" s="2173"/>
      <c r="L1344" s="2364"/>
      <c r="M1344" s="2364"/>
      <c r="N1344" s="2364"/>
      <c r="O1344" s="2176">
        <f>SUM(O1342:O1343)</f>
        <v>0.69000000000000006</v>
      </c>
      <c r="P1344" s="2145">
        <f>SUM(O1344)</f>
        <v>0.69000000000000006</v>
      </c>
      <c r="Q1344" s="2145" t="s">
        <v>695</v>
      </c>
      <c r="R1344" s="2168"/>
    </row>
    <row r="1345" spans="1:18" ht="14.4" x14ac:dyDescent="0.3">
      <c r="A1345" s="2109"/>
      <c r="B1345" s="2109" t="s">
        <v>3551</v>
      </c>
      <c r="C1345" s="2111" t="s">
        <v>695</v>
      </c>
      <c r="D1345" s="2111">
        <f>+P1343</f>
        <v>0</v>
      </c>
      <c r="E1345" s="2111"/>
      <c r="F1345" s="2111">
        <f>D1345*E1345</f>
        <v>0</v>
      </c>
      <c r="G1345" s="2111"/>
      <c r="H1345" s="2168"/>
      <c r="I1345" s="2168"/>
      <c r="J1345" s="2172"/>
      <c r="K1345" s="2173"/>
      <c r="L1345" s="2364"/>
      <c r="M1345" s="2364"/>
      <c r="N1345" s="2364"/>
      <c r="O1345" s="2177"/>
      <c r="P1345" s="2145"/>
      <c r="Q1345" s="2145"/>
      <c r="R1345" s="2168"/>
    </row>
    <row r="1346" spans="1:18" ht="14.4" x14ac:dyDescent="0.3">
      <c r="A1346" s="2109"/>
      <c r="B1346" s="2123" t="s">
        <v>3552</v>
      </c>
      <c r="C1346" s="2111" t="s">
        <v>695</v>
      </c>
      <c r="D1346" s="2111">
        <f>+P1354</f>
        <v>0.89999999999999991</v>
      </c>
      <c r="E1346" s="2111"/>
      <c r="F1346" s="2111">
        <f>D1346*E1346</f>
        <v>0</v>
      </c>
      <c r="G1346" s="2111"/>
      <c r="H1346" s="2168"/>
      <c r="I1346" s="2168"/>
      <c r="J1346" s="2172" t="s">
        <v>3415</v>
      </c>
      <c r="K1346" s="2173"/>
      <c r="L1346" s="2364"/>
      <c r="M1346" s="2364"/>
      <c r="N1346" s="2364"/>
      <c r="O1346" s="2364">
        <f>PRODUCT(K1346:N1346)</f>
        <v>0</v>
      </c>
      <c r="P1346" s="2145"/>
      <c r="Q1346" s="2145"/>
      <c r="R1346" s="2168"/>
    </row>
    <row r="1347" spans="1:18" ht="14.4" x14ac:dyDescent="0.3">
      <c r="A1347" s="2109"/>
      <c r="B1347" s="2123" t="s">
        <v>3553</v>
      </c>
      <c r="C1347" s="2111" t="s">
        <v>695</v>
      </c>
      <c r="D1347" s="2111">
        <f>+O1353</f>
        <v>0.69000000000000006</v>
      </c>
      <c r="E1347" s="2111">
        <f>G739</f>
        <v>1531.5224703982778</v>
      </c>
      <c r="F1347" s="2111">
        <f t="shared" ref="F1347:F1348" si="134">D1347*E1347</f>
        <v>1056.7505045748119</v>
      </c>
      <c r="G1347" s="2111"/>
      <c r="H1347" s="2168">
        <f>4000*10.76</f>
        <v>43040</v>
      </c>
      <c r="I1347" s="2168"/>
      <c r="J1347" s="2172" t="s">
        <v>1685</v>
      </c>
      <c r="K1347" s="2173">
        <v>7</v>
      </c>
      <c r="L1347" s="2364">
        <v>0.55000000000000004</v>
      </c>
      <c r="M1347" s="2364"/>
      <c r="N1347" s="2364">
        <f>+(10*10)/(162.162)</f>
        <v>0.61666728333394993</v>
      </c>
      <c r="O1347" s="2364">
        <f>PRODUCT(K1347:N1347)</f>
        <v>2.3741690408357075</v>
      </c>
      <c r="P1347" s="2145"/>
      <c r="Q1347" s="2145">
        <f>0.9/0.15+1</f>
        <v>7</v>
      </c>
      <c r="R1347" s="2168"/>
    </row>
    <row r="1348" spans="1:18" ht="14.4" x14ac:dyDescent="0.3">
      <c r="A1348" s="2109"/>
      <c r="B1348" s="2110" t="s">
        <v>1469</v>
      </c>
      <c r="C1348" s="2111" t="s">
        <v>1846</v>
      </c>
      <c r="D1348" s="2111">
        <f>+O1342*10.76</f>
        <v>5.8104000000000005</v>
      </c>
      <c r="E1348" s="2111">
        <v>4000</v>
      </c>
      <c r="F1348" s="2111">
        <f t="shared" si="134"/>
        <v>23241.600000000002</v>
      </c>
      <c r="G1348" s="2111"/>
      <c r="H1348" s="2168"/>
      <c r="I1348" s="2168"/>
      <c r="J1348" s="2175" t="s">
        <v>1685</v>
      </c>
      <c r="K1348" s="2178">
        <v>5</v>
      </c>
      <c r="L1348" s="2365">
        <v>0.85</v>
      </c>
      <c r="M1348" s="2365"/>
      <c r="N1348" s="2364">
        <f>+(10*10)/(162.162)</f>
        <v>0.61666728333394993</v>
      </c>
      <c r="O1348" s="2364">
        <f>PRODUCT(K1348:N1348)</f>
        <v>2.6208359541692872</v>
      </c>
      <c r="P1348" s="2145"/>
      <c r="Q1348" s="2145">
        <f>0.55/0.15+1</f>
        <v>4.666666666666667</v>
      </c>
      <c r="R1348" s="2168"/>
    </row>
    <row r="1349" spans="1:18" ht="14.4" x14ac:dyDescent="0.3">
      <c r="A1349" s="2109"/>
      <c r="B1349" s="2109" t="s">
        <v>3554</v>
      </c>
      <c r="C1349" s="2110"/>
      <c r="D1349" s="2111"/>
      <c r="E1349" s="2111"/>
      <c r="F1349" s="2111">
        <f>+H1348*3%</f>
        <v>0</v>
      </c>
      <c r="G1349" s="2111"/>
      <c r="H1349" s="2168"/>
      <c r="I1349" s="2168"/>
      <c r="J1349" s="2179"/>
      <c r="K1349" s="2180"/>
      <c r="L1349" s="2366"/>
      <c r="M1349" s="2366"/>
      <c r="N1349" s="2366"/>
      <c r="O1349" s="2181">
        <f>SUM(O1347:O1348)</f>
        <v>4.9950049950049946</v>
      </c>
      <c r="P1349" s="2145">
        <f>+O1349</f>
        <v>4.9950049950049946</v>
      </c>
      <c r="Q1349" s="2145" t="s">
        <v>134</v>
      </c>
      <c r="R1349" s="2168"/>
    </row>
    <row r="1350" spans="1:18" ht="14.4" x14ac:dyDescent="0.3">
      <c r="A1350" s="2113"/>
      <c r="B1350" s="2894" t="s">
        <v>3363</v>
      </c>
      <c r="C1350" s="2894"/>
      <c r="D1350" s="2894"/>
      <c r="E1350" s="2894"/>
      <c r="F1350" s="2114"/>
      <c r="G1350" s="2190">
        <f>SUM(F1342:F1349)</f>
        <v>27859.770469790692</v>
      </c>
      <c r="H1350" s="2168"/>
      <c r="I1350" s="2168"/>
      <c r="J1350" s="2145"/>
      <c r="K1350" s="2182"/>
      <c r="L1350" s="2367"/>
      <c r="M1350" s="2367"/>
      <c r="N1350" s="2367"/>
      <c r="O1350" s="2145"/>
      <c r="P1350" s="2145"/>
      <c r="Q1350" s="2145"/>
      <c r="R1350" s="2168"/>
    </row>
    <row r="1351" spans="1:18" ht="14.4" x14ac:dyDescent="0.3">
      <c r="A1351" s="2109"/>
      <c r="B1351" s="2112" t="s">
        <v>3349</v>
      </c>
      <c r="C1351" s="2110"/>
      <c r="D1351" s="2111"/>
      <c r="E1351" s="2111"/>
      <c r="F1351" s="2111">
        <f t="shared" ref="F1351" si="135">D1351*E1351</f>
        <v>0</v>
      </c>
      <c r="G1351" s="2111"/>
      <c r="H1351" s="2168"/>
      <c r="I1351" s="2168"/>
      <c r="J1351" s="2174" t="s">
        <v>3555</v>
      </c>
      <c r="K1351" s="2173"/>
      <c r="L1351" s="2364">
        <f>+L1340</f>
        <v>0.9</v>
      </c>
      <c r="M1351" s="2364">
        <f>+M1340</f>
        <v>0.6</v>
      </c>
      <c r="N1351" s="2364"/>
      <c r="O1351" s="2364">
        <f>PRODUCT(K1351:N1351)</f>
        <v>0.54</v>
      </c>
      <c r="P1351" s="2168"/>
      <c r="Q1351" s="2168"/>
      <c r="R1351" s="2168"/>
    </row>
    <row r="1352" spans="1:18" ht="28.2" x14ac:dyDescent="0.3">
      <c r="A1352" s="2109"/>
      <c r="B1352" s="2123" t="s">
        <v>3556</v>
      </c>
      <c r="C1352" s="2111" t="s">
        <v>3557</v>
      </c>
      <c r="D1352" s="2111">
        <v>1</v>
      </c>
      <c r="E1352" s="2111">
        <v>10000</v>
      </c>
      <c r="F1352" s="2111">
        <f>+E1352</f>
        <v>10000</v>
      </c>
      <c r="G1352" s="2111"/>
      <c r="H1352" s="2168" t="s">
        <v>3558</v>
      </c>
      <c r="I1352" s="2168"/>
      <c r="J1352" s="2172"/>
      <c r="K1352" s="2173"/>
      <c r="L1352" s="2364"/>
      <c r="M1352" s="2364">
        <f>+L1351+M1351</f>
        <v>1.5</v>
      </c>
      <c r="N1352" s="2364">
        <v>0.1</v>
      </c>
      <c r="O1352" s="2365">
        <f>PRODUCT(K1352:N1352)</f>
        <v>0.15000000000000002</v>
      </c>
      <c r="P1352" s="2183">
        <f>+O1352+O1351</f>
        <v>0.69000000000000006</v>
      </c>
      <c r="Q1352" s="2168" t="s">
        <v>695</v>
      </c>
      <c r="R1352" s="2168"/>
    </row>
    <row r="1353" spans="1:18" ht="14.4" x14ac:dyDescent="0.3">
      <c r="A1353" s="2109"/>
      <c r="B1353" s="2109"/>
      <c r="C1353" s="2111"/>
      <c r="D1353" s="2111"/>
      <c r="E1353" s="2111"/>
      <c r="F1353" s="2111"/>
      <c r="G1353" s="2111"/>
      <c r="H1353" s="2168"/>
      <c r="I1353" s="2168"/>
      <c r="J1353" s="2172"/>
      <c r="K1353" s="2173"/>
      <c r="L1353" s="2364"/>
      <c r="M1353" s="2364"/>
      <c r="N1353" s="2364"/>
      <c r="O1353" s="2368">
        <f>SUM(O1351:O1352)</f>
        <v>0.69000000000000006</v>
      </c>
      <c r="P1353" s="2183"/>
      <c r="Q1353" s="2168"/>
      <c r="R1353" s="2168"/>
    </row>
    <row r="1354" spans="1:18" ht="14.4" x14ac:dyDescent="0.3">
      <c r="A1354" s="2113"/>
      <c r="B1354" s="2894" t="s">
        <v>3351</v>
      </c>
      <c r="C1354" s="2894"/>
      <c r="D1354" s="2894"/>
      <c r="E1354" s="2894"/>
      <c r="F1354" s="2114">
        <f t="shared" ref="F1354" si="136">D1354*E1354</f>
        <v>0</v>
      </c>
      <c r="G1354" s="2190">
        <f>SUM(F1352:F1354)</f>
        <v>10000</v>
      </c>
      <c r="H1354" s="2168"/>
      <c r="I1354" s="2168"/>
      <c r="J1354" s="2174" t="s">
        <v>3559</v>
      </c>
      <c r="K1354" s="2173"/>
      <c r="L1354" s="2364"/>
      <c r="M1354" s="2364">
        <f>+L1343</f>
        <v>1.5</v>
      </c>
      <c r="N1354" s="2364">
        <v>0.6</v>
      </c>
      <c r="O1354" s="2364">
        <f>PRODUCT(K1354:N1354)</f>
        <v>0.89999999999999991</v>
      </c>
      <c r="P1354" s="2183">
        <f>+O1354</f>
        <v>0.89999999999999991</v>
      </c>
      <c r="Q1354" s="2168" t="s">
        <v>695</v>
      </c>
      <c r="R1354" s="2168"/>
    </row>
    <row r="1355" spans="1:18" ht="14.4" x14ac:dyDescent="0.3">
      <c r="A1355" s="2109"/>
      <c r="B1355" s="2184"/>
      <c r="C1355" s="2115"/>
      <c r="D1355" s="2115"/>
      <c r="E1355" s="2115"/>
      <c r="F1355" s="2111"/>
      <c r="G1355" s="2115"/>
      <c r="H1355" s="2168"/>
      <c r="I1355" s="2168"/>
      <c r="J1355" s="2168"/>
      <c r="K1355" s="2168"/>
      <c r="L1355" s="2168"/>
      <c r="M1355" s="2168"/>
      <c r="N1355" s="2168"/>
      <c r="O1355" s="2168"/>
      <c r="P1355" s="2168"/>
      <c r="Q1355" s="2168"/>
      <c r="R1355" s="2168"/>
    </row>
    <row r="1356" spans="1:18" ht="14.4" x14ac:dyDescent="0.3">
      <c r="A1356" s="2109"/>
      <c r="B1356" s="2115"/>
      <c r="C1356" s="2115"/>
      <c r="D1356" s="2115"/>
      <c r="E1356" s="2115"/>
      <c r="F1356" s="2111"/>
      <c r="G1356" s="2115"/>
      <c r="H1356" s="2168"/>
      <c r="I1356" s="2168"/>
      <c r="J1356" s="2168"/>
      <c r="K1356" s="2168"/>
      <c r="L1356" s="2168"/>
      <c r="M1356" s="2168"/>
      <c r="N1356" s="2168"/>
      <c r="O1356" s="2168"/>
      <c r="P1356" s="2168"/>
      <c r="Q1356" s="2168"/>
      <c r="R1356" s="2168"/>
    </row>
    <row r="1357" spans="1:18" ht="14.4" x14ac:dyDescent="0.3">
      <c r="A1357" s="2887" t="s">
        <v>3560</v>
      </c>
      <c r="B1357" s="2887"/>
      <c r="C1357" s="2887"/>
      <c r="D1357" s="2887"/>
      <c r="E1357" s="2887"/>
      <c r="F1357" s="2887"/>
      <c r="G1357" s="2189">
        <f>G1350+G1354</f>
        <v>37859.770469790688</v>
      </c>
      <c r="H1357" s="2168"/>
      <c r="I1357" s="2168"/>
      <c r="J1357" s="2168"/>
      <c r="K1357" s="2168"/>
      <c r="L1357" s="2168"/>
      <c r="M1357" s="2168"/>
      <c r="N1357" s="2168"/>
      <c r="O1357" s="2168"/>
      <c r="P1357" s="2168"/>
      <c r="Q1357" s="2168"/>
      <c r="R1357" s="2168"/>
    </row>
    <row r="1358" spans="1:18" ht="15" thickBot="1" x14ac:dyDescent="0.35">
      <c r="A1358" s="2887" t="s">
        <v>3380</v>
      </c>
      <c r="B1358" s="2887"/>
      <c r="C1358" s="2887"/>
      <c r="D1358" s="2887"/>
      <c r="E1358" s="2887"/>
      <c r="F1358" s="2887"/>
      <c r="G1358" s="2185">
        <f>G1357/9.29</f>
        <v>4075.3251313014739</v>
      </c>
      <c r="H1358" s="2168"/>
      <c r="I1358" s="2168"/>
      <c r="J1358" s="2168"/>
      <c r="K1358" s="2168"/>
      <c r="L1358" s="2168"/>
      <c r="M1358" s="2168"/>
      <c r="N1358" s="2168"/>
      <c r="O1358" s="2168"/>
      <c r="P1358" s="2168"/>
      <c r="Q1358" s="2168"/>
      <c r="R1358" s="2168"/>
    </row>
    <row r="1359" spans="1:18" ht="15" thickBot="1" x14ac:dyDescent="0.35">
      <c r="A1359" s="2887" t="s">
        <v>3381</v>
      </c>
      <c r="B1359" s="2887"/>
      <c r="C1359" s="2887"/>
      <c r="D1359" s="2887"/>
      <c r="E1359" s="2887"/>
      <c r="F1359" s="2887"/>
      <c r="G1359" s="2186">
        <f>G1358/10.76</f>
        <v>378.74768878266485</v>
      </c>
      <c r="H1359" s="2168"/>
      <c r="I1359" s="2168"/>
      <c r="J1359" s="2168"/>
      <c r="K1359" s="2168"/>
      <c r="L1359" s="2168"/>
      <c r="M1359" s="2168"/>
      <c r="N1359" s="2168"/>
      <c r="O1359" s="2168"/>
      <c r="P1359" s="2168"/>
      <c r="Q1359" s="2168"/>
      <c r="R1359" s="2168"/>
    </row>
    <row r="1360" spans="1:18" ht="14.4" x14ac:dyDescent="0.3">
      <c r="A1360" s="2168"/>
      <c r="B1360" s="2168"/>
      <c r="C1360" s="2168"/>
      <c r="D1360" s="2168"/>
      <c r="E1360" s="2168"/>
      <c r="F1360" s="2168"/>
      <c r="G1360" s="2168"/>
      <c r="H1360" s="2168"/>
      <c r="I1360" s="2168"/>
      <c r="J1360" s="2168"/>
      <c r="K1360" s="2168"/>
      <c r="L1360" s="2168"/>
      <c r="M1360" s="2168"/>
      <c r="N1360" s="2168"/>
      <c r="O1360" s="2168"/>
      <c r="P1360" s="2168"/>
      <c r="Q1360" s="2168"/>
      <c r="R1360" s="2168"/>
    </row>
    <row r="1361" spans="1:18" ht="14.4" x14ac:dyDescent="0.3">
      <c r="A1361" s="2168"/>
      <c r="B1361" s="2168"/>
      <c r="C1361" s="2168"/>
      <c r="D1361" s="2168"/>
      <c r="E1361" s="2168"/>
      <c r="F1361" s="2168"/>
      <c r="G1361" s="2168"/>
      <c r="H1361" s="2168"/>
      <c r="I1361" s="2168"/>
      <c r="J1361" s="2168"/>
      <c r="K1361" s="2168"/>
      <c r="L1361" s="2168"/>
      <c r="M1361" s="2168"/>
      <c r="N1361" s="2168"/>
      <c r="O1361" s="2168"/>
      <c r="P1361" s="2168"/>
      <c r="Q1361" s="2168"/>
      <c r="R1361" s="2168"/>
    </row>
    <row r="1362" spans="1:18" ht="15" thickBot="1" x14ac:dyDescent="0.35">
      <c r="A1362" s="2168"/>
      <c r="B1362" s="2168"/>
      <c r="C1362" s="2168"/>
      <c r="D1362" s="2168"/>
      <c r="E1362" s="2168"/>
      <c r="F1362" s="2168"/>
      <c r="G1362" s="2168"/>
      <c r="H1362" s="2168"/>
      <c r="I1362" s="2168"/>
      <c r="J1362" s="2134"/>
      <c r="K1362" s="2169" t="s">
        <v>0</v>
      </c>
      <c r="L1362" s="2327" t="s">
        <v>3422</v>
      </c>
      <c r="M1362" s="2327" t="s">
        <v>3544</v>
      </c>
      <c r="N1362" s="2327" t="s">
        <v>3545</v>
      </c>
      <c r="O1362" s="2127" t="s">
        <v>3348</v>
      </c>
      <c r="P1362" s="2193"/>
      <c r="Q1362" s="2145"/>
      <c r="R1362" s="2168"/>
    </row>
    <row r="1363" spans="1:18" ht="14.4" x14ac:dyDescent="0.3">
      <c r="A1363" s="2888" t="s">
        <v>3561</v>
      </c>
      <c r="B1363" s="2889"/>
      <c r="C1363" s="2889"/>
      <c r="D1363" s="2889"/>
      <c r="E1363" s="2889"/>
      <c r="F1363" s="2889"/>
      <c r="G1363" s="2890"/>
      <c r="H1363" s="2168"/>
      <c r="I1363" s="2168"/>
      <c r="J1363" s="2170"/>
      <c r="K1363" s="2171"/>
      <c r="L1363" s="2360"/>
      <c r="M1363" s="2360"/>
      <c r="N1363" s="2360"/>
      <c r="O1363" s="2170"/>
      <c r="P1363" s="2145"/>
      <c r="Q1363" s="2145"/>
      <c r="R1363" s="2168"/>
    </row>
    <row r="1364" spans="1:18" ht="15" thickBot="1" x14ac:dyDescent="0.35">
      <c r="A1364" s="2891" t="s">
        <v>3546</v>
      </c>
      <c r="B1364" s="2892"/>
      <c r="C1364" s="2892"/>
      <c r="D1364" s="2892"/>
      <c r="E1364" s="2892"/>
      <c r="F1364" s="2892"/>
      <c r="G1364" s="2893"/>
      <c r="H1364" s="2168"/>
      <c r="I1364" s="2168"/>
      <c r="J1364" s="2172" t="s">
        <v>3547</v>
      </c>
      <c r="K1364" s="2173"/>
      <c r="L1364" s="2361">
        <v>2.85</v>
      </c>
      <c r="M1364" s="2361">
        <v>0.6</v>
      </c>
      <c r="N1364" s="2362">
        <v>0.1</v>
      </c>
      <c r="O1364" s="2172">
        <f>PRODUCT(K1364:N1364)</f>
        <v>0.17100000000000001</v>
      </c>
      <c r="P1364" s="2145">
        <f>+O1364</f>
        <v>0.17100000000000001</v>
      </c>
      <c r="Q1364" s="2145" t="s">
        <v>696</v>
      </c>
      <c r="R1364" s="2168"/>
    </row>
    <row r="1365" spans="1:18" ht="15" thickBot="1" x14ac:dyDescent="0.35">
      <c r="A1365" s="2107"/>
      <c r="B1365" s="2108" t="s">
        <v>3345</v>
      </c>
      <c r="C1365" s="2108" t="s">
        <v>3346</v>
      </c>
      <c r="D1365" s="2108" t="s">
        <v>2</v>
      </c>
      <c r="E1365" s="2108" t="s">
        <v>3347</v>
      </c>
      <c r="F1365" s="2108" t="s">
        <v>5</v>
      </c>
      <c r="G1365" s="2108" t="s">
        <v>3348</v>
      </c>
      <c r="H1365" s="2168"/>
      <c r="I1365" s="2168"/>
      <c r="J1365" s="2172"/>
      <c r="K1365" s="2173"/>
      <c r="L1365" s="2361">
        <v>1.35</v>
      </c>
      <c r="M1365" s="2361">
        <v>0.6</v>
      </c>
      <c r="N1365" s="2362">
        <v>0.1</v>
      </c>
      <c r="O1365" s="2175">
        <f>PRODUCT(K1365:N1365)</f>
        <v>8.1000000000000016E-2</v>
      </c>
      <c r="P1365" s="2145">
        <f>P1364/2.83</f>
        <v>6.0424028268551241E-2</v>
      </c>
      <c r="Q1365" s="2145" t="s">
        <v>131</v>
      </c>
      <c r="R1365" s="2168"/>
    </row>
    <row r="1366" spans="1:18" ht="14.4" x14ac:dyDescent="0.3">
      <c r="A1366" s="2109"/>
      <c r="B1366" s="2109"/>
      <c r="C1366" s="2110"/>
      <c r="D1366" s="2111"/>
      <c r="E1366" s="2111"/>
      <c r="F1366" s="2111"/>
      <c r="G1366" s="2111"/>
      <c r="H1366" s="2168"/>
      <c r="I1366" s="2168"/>
      <c r="J1366" s="2172"/>
      <c r="K1366" s="2173"/>
      <c r="L1366" s="2361"/>
      <c r="M1366" s="2361"/>
      <c r="N1366" s="2362"/>
      <c r="O1366" s="2181">
        <f>SUM(O1364:O1365)</f>
        <v>0.252</v>
      </c>
      <c r="P1366" s="2145"/>
      <c r="Q1366" s="2145"/>
      <c r="R1366" s="2168"/>
    </row>
    <row r="1367" spans="1:18" ht="14.4" x14ac:dyDescent="0.3">
      <c r="A1367" s="2109"/>
      <c r="B1367" s="2109" t="s">
        <v>3548</v>
      </c>
      <c r="C1367" s="2111" t="s">
        <v>696</v>
      </c>
      <c r="D1367" s="2111">
        <f>P1365</f>
        <v>6.0424028268551241E-2</v>
      </c>
      <c r="E1367" s="2111">
        <f>E1342</f>
        <v>64521.25</v>
      </c>
      <c r="F1367" s="2111">
        <f t="shared" ref="F1367" si="137">D1367*E1367</f>
        <v>3898.6338339222616</v>
      </c>
      <c r="G1367" s="2111"/>
      <c r="H1367" s="2168"/>
      <c r="I1367" s="2168"/>
      <c r="J1367" s="2172"/>
      <c r="K1367" s="2173"/>
      <c r="L1367" s="2362"/>
      <c r="M1367" s="2362"/>
      <c r="N1367" s="2362"/>
      <c r="O1367" s="2172">
        <f>PRODUCT(K1367:N1367)</f>
        <v>0</v>
      </c>
      <c r="P1367" s="2145"/>
      <c r="Q1367" s="2145">
        <f>+O1368*10.76</f>
        <v>18.3996</v>
      </c>
      <c r="R1367" s="2168"/>
    </row>
    <row r="1368" spans="1:18" ht="14.4" x14ac:dyDescent="0.3">
      <c r="A1368" s="2109"/>
      <c r="B1368" s="2123" t="s">
        <v>3436</v>
      </c>
      <c r="C1368" s="2110"/>
      <c r="D1368" s="2111"/>
      <c r="E1368" s="2111"/>
      <c r="F1368" s="2111">
        <f>F1367*10%</f>
        <v>389.86338339222618</v>
      </c>
      <c r="G1368" s="2111"/>
      <c r="H1368" s="2168"/>
      <c r="I1368" s="2168"/>
      <c r="J1368" s="2172" t="s">
        <v>3549</v>
      </c>
      <c r="K1368" s="2173"/>
      <c r="L1368" s="2363">
        <f>+L1364</f>
        <v>2.85</v>
      </c>
      <c r="M1368" s="2363">
        <f>+M1364</f>
        <v>0.6</v>
      </c>
      <c r="N1368" s="2364"/>
      <c r="O1368" s="2172">
        <f>PRODUCT(K1368:N1368)</f>
        <v>1.71</v>
      </c>
      <c r="P1368" s="2145"/>
      <c r="Q1368" s="2145"/>
      <c r="R1368" s="2168"/>
    </row>
    <row r="1369" spans="1:18" ht="14.4" x14ac:dyDescent="0.3">
      <c r="A1369" s="2109"/>
      <c r="B1369" s="2109" t="s">
        <v>3415</v>
      </c>
      <c r="C1369" s="2111" t="s">
        <v>3550</v>
      </c>
      <c r="D1369" s="2111">
        <f>+P1377</f>
        <v>25.730853251686582</v>
      </c>
      <c r="E1369" s="2111">
        <f>E1344</f>
        <v>441.87296874999998</v>
      </c>
      <c r="F1369" s="2111">
        <f t="shared" ref="F1369" si="138">D1369*E1369</f>
        <v>11369.768514793341</v>
      </c>
      <c r="G1369" s="2111"/>
      <c r="H1369" s="2168"/>
      <c r="I1369" s="2168"/>
      <c r="J1369" s="2172"/>
      <c r="K1369" s="2173"/>
      <c r="L1369" s="2363">
        <f>+L1365</f>
        <v>1.35</v>
      </c>
      <c r="M1369" s="2363">
        <f>+M1365</f>
        <v>0.6</v>
      </c>
      <c r="N1369" s="2364"/>
      <c r="O1369" s="2172">
        <f>PRODUCT(K1369:N1369)</f>
        <v>0.81</v>
      </c>
      <c r="P1369" s="2145"/>
      <c r="Q1369" s="2145"/>
      <c r="R1369" s="2168"/>
    </row>
    <row r="1370" spans="1:18" ht="14.4" x14ac:dyDescent="0.3">
      <c r="A1370" s="2109"/>
      <c r="B1370" s="2109" t="s">
        <v>3551</v>
      </c>
      <c r="C1370" s="2111" t="s">
        <v>695</v>
      </c>
      <c r="D1370" s="2111">
        <f>+O1371</f>
        <v>2.9975000000000001</v>
      </c>
      <c r="E1370" s="2111"/>
      <c r="F1370" s="2111">
        <f>D1370*E1370</f>
        <v>0</v>
      </c>
      <c r="G1370" s="2111"/>
      <c r="H1370" s="2168"/>
      <c r="I1370" s="2168"/>
      <c r="J1370" s="2172"/>
      <c r="K1370" s="2173"/>
      <c r="L1370" s="2363">
        <f>4.5+0.275</f>
        <v>4.7750000000000004</v>
      </c>
      <c r="M1370" s="2364"/>
      <c r="N1370" s="2364">
        <v>0.1</v>
      </c>
      <c r="O1370" s="2175">
        <f>PRODUCT(K1370:N1370)</f>
        <v>0.47750000000000004</v>
      </c>
      <c r="P1370" s="2145"/>
      <c r="Q1370" s="2145"/>
      <c r="R1370" s="2168"/>
    </row>
    <row r="1371" spans="1:18" ht="14.4" x14ac:dyDescent="0.3">
      <c r="A1371" s="2109"/>
      <c r="B1371" s="2187" t="s">
        <v>3552</v>
      </c>
      <c r="C1371" s="2111" t="s">
        <v>695</v>
      </c>
      <c r="D1371" s="2111">
        <f>+P1383</f>
        <v>2.88</v>
      </c>
      <c r="E1371" s="2111"/>
      <c r="F1371" s="2111">
        <f>D1371*E1371</f>
        <v>0</v>
      </c>
      <c r="G1371" s="2111"/>
      <c r="H1371" s="2168"/>
      <c r="I1371" s="2168"/>
      <c r="J1371" s="2172"/>
      <c r="K1371" s="2173"/>
      <c r="L1371" s="2364"/>
      <c r="M1371" s="2364"/>
      <c r="N1371" s="2364"/>
      <c r="O1371" s="2176">
        <f>SUM(O1368:O1370)</f>
        <v>2.9975000000000001</v>
      </c>
      <c r="P1371" s="2145">
        <f>SUM(O1371)</f>
        <v>2.9975000000000001</v>
      </c>
      <c r="Q1371" s="2145" t="s">
        <v>695</v>
      </c>
      <c r="R1371" s="2168"/>
    </row>
    <row r="1372" spans="1:18" ht="14.4" x14ac:dyDescent="0.3">
      <c r="A1372" s="2109"/>
      <c r="B1372" s="2123" t="s">
        <v>3553</v>
      </c>
      <c r="C1372" s="2111" t="s">
        <v>695</v>
      </c>
      <c r="D1372" s="2111">
        <f>+O1382</f>
        <v>2.9975000000000001</v>
      </c>
      <c r="E1372" s="2111">
        <f>E1347</f>
        <v>1531.5224703982778</v>
      </c>
      <c r="F1372" s="2111">
        <f>D1372*E1372</f>
        <v>4590.7386050188379</v>
      </c>
      <c r="G1372" s="2111"/>
      <c r="H1372" s="2168"/>
      <c r="I1372" s="2168"/>
      <c r="J1372" s="2172"/>
      <c r="K1372" s="2173"/>
      <c r="L1372" s="2364"/>
      <c r="M1372" s="2364"/>
      <c r="N1372" s="2364"/>
      <c r="O1372" s="2177"/>
      <c r="P1372" s="2145"/>
      <c r="Q1372" s="2145"/>
      <c r="R1372" s="2168"/>
    </row>
    <row r="1373" spans="1:18" ht="14.4" x14ac:dyDescent="0.3">
      <c r="A1373" s="2109"/>
      <c r="B1373" s="2110" t="s">
        <v>1469</v>
      </c>
      <c r="C1373" s="2111" t="s">
        <v>1846</v>
      </c>
      <c r="D1373" s="2111">
        <f>(+O1368+O1369)*10.76</f>
        <v>27.115199999999998</v>
      </c>
      <c r="E1373" s="2111">
        <v>4000</v>
      </c>
      <c r="F1373" s="2111">
        <f>D1373*E1373</f>
        <v>108460.79999999999</v>
      </c>
      <c r="G1373" s="2111"/>
      <c r="H1373" s="2168"/>
      <c r="I1373" s="2168"/>
      <c r="J1373" s="2172" t="s">
        <v>3415</v>
      </c>
      <c r="K1373" s="2173"/>
      <c r="L1373" s="2364"/>
      <c r="M1373" s="2364"/>
      <c r="N1373" s="2364"/>
      <c r="O1373" s="2364">
        <f>PRODUCT(K1373:N1373)</f>
        <v>0</v>
      </c>
      <c r="P1373" s="2145"/>
      <c r="Q1373" s="2145"/>
      <c r="R1373" s="2168"/>
    </row>
    <row r="1374" spans="1:18" ht="14.4" x14ac:dyDescent="0.3">
      <c r="A1374" s="2109"/>
      <c r="B1374" s="2109" t="s">
        <v>3554</v>
      </c>
      <c r="C1374" s="2110"/>
      <c r="D1374" s="2111"/>
      <c r="E1374" s="2111"/>
      <c r="F1374" s="2111">
        <f>+H1372*3%</f>
        <v>0</v>
      </c>
      <c r="G1374" s="2111"/>
      <c r="H1374" s="2168"/>
      <c r="I1374" s="2168"/>
      <c r="J1374" s="2172" t="s">
        <v>1685</v>
      </c>
      <c r="K1374" s="2173">
        <v>5</v>
      </c>
      <c r="L1374" s="2364">
        <v>3.6</v>
      </c>
      <c r="M1374" s="2364"/>
      <c r="N1374" s="2364">
        <f>+(10*10)/(162.162)</f>
        <v>0.61666728333394993</v>
      </c>
      <c r="O1374" s="2364">
        <f>PRODUCT(K1374:N1374)</f>
        <v>11.100011100011098</v>
      </c>
      <c r="P1374" s="2145"/>
      <c r="Q1374" s="2145">
        <f>0.6/0.15+1</f>
        <v>5</v>
      </c>
      <c r="R1374" s="2168">
        <f>1.35/0.15+1</f>
        <v>10.000000000000002</v>
      </c>
    </row>
    <row r="1375" spans="1:18" ht="14.4" x14ac:dyDescent="0.3">
      <c r="A1375" s="2113"/>
      <c r="B1375" s="2894" t="s">
        <v>3363</v>
      </c>
      <c r="C1375" s="2894"/>
      <c r="D1375" s="2894"/>
      <c r="E1375" s="2894"/>
      <c r="F1375" s="2114"/>
      <c r="G1375" s="2190">
        <f>SUM(F1367:F1374)</f>
        <v>128709.80433712665</v>
      </c>
      <c r="H1375" s="2168"/>
      <c r="I1375" s="2168"/>
      <c r="J1375" s="2175" t="s">
        <v>1685</v>
      </c>
      <c r="K1375" s="2178">
        <v>5</v>
      </c>
      <c r="L1375" s="2365">
        <v>1.875</v>
      </c>
      <c r="M1375" s="2365"/>
      <c r="N1375" s="2364">
        <v>0.62</v>
      </c>
      <c r="O1375" s="2364">
        <f>PRODUCT(K1375:N1375)</f>
        <v>5.8125</v>
      </c>
      <c r="P1375" s="2145"/>
      <c r="Q1375" s="2145">
        <f>+Q1374</f>
        <v>5</v>
      </c>
      <c r="R1375" s="2168">
        <f>2.25/0.15+1</f>
        <v>16</v>
      </c>
    </row>
    <row r="1376" spans="1:18" ht="14.4" x14ac:dyDescent="0.3">
      <c r="A1376" s="2109"/>
      <c r="B1376" s="2112" t="s">
        <v>3349</v>
      </c>
      <c r="C1376" s="2110"/>
      <c r="D1376" s="2111"/>
      <c r="E1376" s="2111"/>
      <c r="F1376" s="2111">
        <f t="shared" ref="F1376" si="139">D1376*E1376</f>
        <v>0</v>
      </c>
      <c r="G1376" s="2111"/>
      <c r="H1376" s="2168"/>
      <c r="I1376" s="2168"/>
      <c r="J1376" s="2175" t="s">
        <v>1685</v>
      </c>
      <c r="K1376" s="2178">
        <v>26</v>
      </c>
      <c r="L1376" s="2365">
        <v>0.55000000000000004</v>
      </c>
      <c r="M1376" s="2365"/>
      <c r="N1376" s="2364">
        <f>+(10*10)/(162.162)</f>
        <v>0.61666728333394993</v>
      </c>
      <c r="O1376" s="2364">
        <f>PRODUCT(K1376:N1376)</f>
        <v>8.8183421516754841</v>
      </c>
      <c r="P1376" s="2145"/>
      <c r="Q1376" s="2145"/>
      <c r="R1376" s="2168"/>
    </row>
    <row r="1377" spans="1:18" ht="28.2" x14ac:dyDescent="0.3">
      <c r="A1377" s="2109"/>
      <c r="B1377" s="2123" t="s">
        <v>3556</v>
      </c>
      <c r="C1377" s="2111" t="s">
        <v>3557</v>
      </c>
      <c r="D1377" s="2111">
        <v>1</v>
      </c>
      <c r="E1377" s="2111">
        <v>25000</v>
      </c>
      <c r="F1377" s="2111">
        <f>+E1377</f>
        <v>25000</v>
      </c>
      <c r="G1377" s="2111"/>
      <c r="H1377" s="2168" t="s">
        <v>3558</v>
      </c>
      <c r="I1377" s="2168"/>
      <c r="J1377" s="2179"/>
      <c r="K1377" s="2180"/>
      <c r="L1377" s="2366"/>
      <c r="M1377" s="2366"/>
      <c r="N1377" s="2366"/>
      <c r="O1377" s="2181">
        <f>SUM(O1374:O1376)</f>
        <v>25.730853251686582</v>
      </c>
      <c r="P1377" s="2145">
        <f>+O1377</f>
        <v>25.730853251686582</v>
      </c>
      <c r="Q1377" s="2145" t="s">
        <v>134</v>
      </c>
      <c r="R1377" s="2168"/>
    </row>
    <row r="1378" spans="1:18" ht="14.4" x14ac:dyDescent="0.3">
      <c r="A1378" s="2109"/>
      <c r="B1378" s="2109"/>
      <c r="C1378" s="2111"/>
      <c r="D1378" s="2111"/>
      <c r="E1378" s="2111"/>
      <c r="F1378" s="2111"/>
      <c r="G1378" s="2111"/>
      <c r="H1378" s="2168"/>
      <c r="I1378" s="2168"/>
      <c r="J1378" s="2145"/>
      <c r="K1378" s="2182"/>
      <c r="L1378" s="2367"/>
      <c r="M1378" s="2367"/>
      <c r="N1378" s="2367"/>
      <c r="O1378" s="2145"/>
      <c r="P1378" s="2145"/>
      <c r="Q1378" s="2145"/>
      <c r="R1378" s="2168"/>
    </row>
    <row r="1379" spans="1:18" ht="14.4" x14ac:dyDescent="0.3">
      <c r="A1379" s="2113"/>
      <c r="B1379" s="2894" t="s">
        <v>3351</v>
      </c>
      <c r="C1379" s="2894"/>
      <c r="D1379" s="2894"/>
      <c r="E1379" s="2894"/>
      <c r="F1379" s="2114">
        <f t="shared" ref="F1379" si="140">D1379*E1379</f>
        <v>0</v>
      </c>
      <c r="G1379" s="2190">
        <f>SUM(F1377:F1379)</f>
        <v>25000</v>
      </c>
      <c r="H1379" s="2168"/>
      <c r="I1379" s="2168"/>
      <c r="J1379" s="2172" t="s">
        <v>3555</v>
      </c>
      <c r="K1379" s="2173"/>
      <c r="L1379" s="2364">
        <f>+L1368</f>
        <v>2.85</v>
      </c>
      <c r="M1379" s="2364">
        <f>+M1364</f>
        <v>0.6</v>
      </c>
      <c r="N1379" s="2364"/>
      <c r="O1379" s="2364">
        <f>PRODUCT(K1379:N1379)</f>
        <v>1.71</v>
      </c>
      <c r="P1379" s="2168"/>
      <c r="Q1379" s="2168"/>
      <c r="R1379" s="2168"/>
    </row>
    <row r="1380" spans="1:18" ht="14.4" x14ac:dyDescent="0.3">
      <c r="A1380" s="2109"/>
      <c r="B1380" s="2184"/>
      <c r="C1380" s="2115"/>
      <c r="D1380" s="2115"/>
      <c r="E1380" s="2115"/>
      <c r="F1380" s="2111"/>
      <c r="G1380" s="2115"/>
      <c r="H1380" s="2168"/>
      <c r="I1380" s="2168"/>
      <c r="J1380" s="2172"/>
      <c r="K1380" s="2173"/>
      <c r="L1380" s="2364">
        <f>+L1369</f>
        <v>1.35</v>
      </c>
      <c r="M1380" s="2364">
        <f>+M1365</f>
        <v>0.6</v>
      </c>
      <c r="N1380" s="2364"/>
      <c r="O1380" s="2364">
        <f>PRODUCT(K1380:N1380)</f>
        <v>0.81</v>
      </c>
      <c r="P1380" s="2168"/>
      <c r="Q1380" s="2168"/>
      <c r="R1380" s="2168"/>
    </row>
    <row r="1381" spans="1:18" ht="14.4" x14ac:dyDescent="0.3">
      <c r="A1381" s="2109"/>
      <c r="B1381" s="2115"/>
      <c r="C1381" s="2115"/>
      <c r="D1381" s="2115"/>
      <c r="E1381" s="2115"/>
      <c r="F1381" s="2111"/>
      <c r="G1381" s="2115"/>
      <c r="H1381" s="2168"/>
      <c r="I1381" s="2168"/>
      <c r="J1381" s="2172"/>
      <c r="K1381" s="2173"/>
      <c r="L1381" s="2364"/>
      <c r="M1381" s="2364">
        <f>+L1370</f>
        <v>4.7750000000000004</v>
      </c>
      <c r="N1381" s="2364">
        <v>0.1</v>
      </c>
      <c r="O1381" s="2365">
        <f>PRODUCT(K1381:N1381)</f>
        <v>0.47750000000000004</v>
      </c>
      <c r="P1381" s="2183">
        <f>+O1381+O1379</f>
        <v>2.1875</v>
      </c>
      <c r="Q1381" s="2168" t="s">
        <v>695</v>
      </c>
      <c r="R1381" s="2168"/>
    </row>
    <row r="1382" spans="1:18" ht="15" thickBot="1" x14ac:dyDescent="0.35">
      <c r="A1382" s="2887" t="s">
        <v>3560</v>
      </c>
      <c r="B1382" s="2887"/>
      <c r="C1382" s="2887"/>
      <c r="D1382" s="2887"/>
      <c r="E1382" s="2887"/>
      <c r="F1382" s="2887"/>
      <c r="G1382" s="2189">
        <f>G1375+G1379</f>
        <v>153709.80433712667</v>
      </c>
      <c r="H1382" s="2168"/>
      <c r="I1382" s="2168"/>
      <c r="J1382" s="2172"/>
      <c r="K1382" s="2173"/>
      <c r="L1382" s="2364"/>
      <c r="M1382" s="2364"/>
      <c r="N1382" s="2364"/>
      <c r="O1382" s="2369">
        <f>SUM(O1379:O1381)</f>
        <v>2.9975000000000001</v>
      </c>
      <c r="P1382" s="2183"/>
      <c r="Q1382" s="2168"/>
      <c r="R1382" s="2168"/>
    </row>
    <row r="1383" spans="1:18" ht="15.6" thickTop="1" thickBot="1" x14ac:dyDescent="0.35">
      <c r="A1383" s="2887" t="s">
        <v>3380</v>
      </c>
      <c r="B1383" s="2887"/>
      <c r="C1383" s="2887"/>
      <c r="D1383" s="2887"/>
      <c r="E1383" s="2887"/>
      <c r="F1383" s="2887"/>
      <c r="G1383" s="2185">
        <f>G1382/9.29</f>
        <v>16545.727054588449</v>
      </c>
      <c r="H1383" s="2168"/>
      <c r="I1383" s="2168"/>
      <c r="J1383" s="2174" t="s">
        <v>3559</v>
      </c>
      <c r="K1383" s="2173"/>
      <c r="L1383" s="2364"/>
      <c r="M1383" s="2364">
        <f>16*0.3</f>
        <v>4.8</v>
      </c>
      <c r="N1383" s="2364">
        <v>0.6</v>
      </c>
      <c r="O1383" s="2370">
        <f>PRODUCT(K1383:N1383)</f>
        <v>2.88</v>
      </c>
      <c r="P1383" s="2183">
        <f>+O1383</f>
        <v>2.88</v>
      </c>
      <c r="Q1383" s="2168" t="s">
        <v>695</v>
      </c>
      <c r="R1383" s="2168"/>
    </row>
    <row r="1384" spans="1:18" ht="15" thickBot="1" x14ac:dyDescent="0.35">
      <c r="A1384" s="2887" t="s">
        <v>3381</v>
      </c>
      <c r="B1384" s="2887"/>
      <c r="C1384" s="2887"/>
      <c r="D1384" s="2887"/>
      <c r="E1384" s="2887"/>
      <c r="F1384" s="2887"/>
      <c r="G1384" s="2186">
        <f>G1383/10.76</f>
        <v>1537.706975333499</v>
      </c>
      <c r="H1384" s="2168"/>
      <c r="I1384" s="2168"/>
      <c r="J1384" s="2168"/>
      <c r="K1384" s="2168"/>
      <c r="L1384" s="2168"/>
      <c r="M1384" s="2168"/>
      <c r="N1384" s="2168"/>
      <c r="O1384" s="2188">
        <f>+O1383</f>
        <v>2.88</v>
      </c>
      <c r="P1384" s="2168"/>
      <c r="Q1384" s="2168"/>
      <c r="R1384" s="2168"/>
    </row>
    <row r="1385" spans="1:18" ht="14.4" x14ac:dyDescent="0.3">
      <c r="A1385" s="2168"/>
      <c r="B1385" s="2168"/>
      <c r="C1385" s="2168"/>
      <c r="D1385" s="2168"/>
      <c r="E1385" s="2168"/>
      <c r="F1385" s="2168"/>
      <c r="G1385" s="2168"/>
      <c r="H1385" s="2168"/>
      <c r="I1385" s="2168"/>
      <c r="J1385" s="2168"/>
      <c r="K1385" s="2168"/>
      <c r="L1385" s="2168"/>
      <c r="M1385" s="2168"/>
      <c r="N1385" s="2168"/>
      <c r="O1385" s="2168"/>
      <c r="P1385" s="2168"/>
      <c r="Q1385" s="2168"/>
      <c r="R1385" s="2168"/>
    </row>
    <row r="1386" spans="1:18" ht="14.4" x14ac:dyDescent="0.3">
      <c r="A1386" s="2168"/>
      <c r="B1386" s="2168"/>
      <c r="C1386" s="2168"/>
      <c r="D1386" s="2168"/>
      <c r="E1386" s="2168"/>
      <c r="F1386" s="2168"/>
      <c r="G1386" s="2168"/>
      <c r="H1386" s="2168"/>
      <c r="I1386" s="2168"/>
      <c r="J1386" s="2168"/>
      <c r="K1386" s="2168">
        <f>15*0.3</f>
        <v>4.5</v>
      </c>
      <c r="L1386" s="2168"/>
      <c r="M1386" s="2168"/>
      <c r="N1386" s="2168"/>
      <c r="O1386" s="2168"/>
      <c r="P1386" s="2168"/>
      <c r="Q1386" s="2168"/>
      <c r="R1386" s="2168"/>
    </row>
    <row r="1387" spans="1:18" ht="15" thickBot="1" x14ac:dyDescent="0.35">
      <c r="A1387" s="2168"/>
      <c r="B1387" s="2168"/>
      <c r="C1387" s="2168"/>
      <c r="D1387" s="2168"/>
      <c r="E1387" s="2168"/>
      <c r="F1387" s="2168"/>
      <c r="G1387" s="2168"/>
      <c r="H1387" s="2168">
        <f>7*0.3</f>
        <v>2.1</v>
      </c>
      <c r="I1387" s="2168"/>
      <c r="J1387" s="2168"/>
      <c r="K1387" s="2168">
        <f>11*25</f>
        <v>275</v>
      </c>
      <c r="L1387" s="2168"/>
      <c r="M1387" s="2168"/>
      <c r="N1387" s="2168"/>
      <c r="O1387" s="2168"/>
      <c r="P1387" s="2168"/>
      <c r="Q1387" s="2168"/>
      <c r="R1387" s="2168"/>
    </row>
    <row r="1388" spans="1:18" ht="14.4" x14ac:dyDescent="0.3">
      <c r="A1388" s="2888" t="s">
        <v>3562</v>
      </c>
      <c r="B1388" s="2889"/>
      <c r="C1388" s="2889"/>
      <c r="D1388" s="2889"/>
      <c r="E1388" s="2889"/>
      <c r="F1388" s="2889"/>
      <c r="G1388" s="2890"/>
      <c r="H1388" s="2168">
        <f>9*25</f>
        <v>225</v>
      </c>
      <c r="I1388" s="2168"/>
      <c r="J1388" s="2134"/>
      <c r="K1388" s="2169" t="s">
        <v>0</v>
      </c>
      <c r="L1388" s="2327" t="s">
        <v>3422</v>
      </c>
      <c r="M1388" s="2327" t="s">
        <v>3544</v>
      </c>
      <c r="N1388" s="2327" t="s">
        <v>3545</v>
      </c>
      <c r="O1388" s="2127" t="s">
        <v>3348</v>
      </c>
      <c r="P1388" s="2193"/>
      <c r="Q1388" s="2145"/>
      <c r="R1388" s="2168"/>
    </row>
    <row r="1389" spans="1:18" ht="15" thickBot="1" x14ac:dyDescent="0.35">
      <c r="A1389" s="2891" t="s">
        <v>3546</v>
      </c>
      <c r="B1389" s="2892"/>
      <c r="C1389" s="2892"/>
      <c r="D1389" s="2892"/>
      <c r="E1389" s="2892"/>
      <c r="F1389" s="2892"/>
      <c r="G1389" s="2893"/>
      <c r="H1389" s="2168"/>
      <c r="I1389" s="2168"/>
      <c r="J1389" s="2170"/>
      <c r="K1389" s="2171"/>
      <c r="L1389" s="2360"/>
      <c r="M1389" s="2360"/>
      <c r="N1389" s="2360"/>
      <c r="O1389" s="2170"/>
      <c r="P1389" s="2145"/>
      <c r="Q1389" s="2145"/>
      <c r="R1389" s="2168"/>
    </row>
    <row r="1390" spans="1:18" ht="15" thickBot="1" x14ac:dyDescent="0.35">
      <c r="A1390" s="2107"/>
      <c r="B1390" s="2108" t="s">
        <v>3345</v>
      </c>
      <c r="C1390" s="2108" t="s">
        <v>3346</v>
      </c>
      <c r="D1390" s="2108" t="s">
        <v>2</v>
      </c>
      <c r="E1390" s="2108" t="s">
        <v>3347</v>
      </c>
      <c r="F1390" s="2108" t="s">
        <v>5</v>
      </c>
      <c r="G1390" s="2108" t="s">
        <v>3348</v>
      </c>
      <c r="H1390" s="2168"/>
      <c r="I1390" s="2168"/>
      <c r="J1390" s="2172" t="s">
        <v>3547</v>
      </c>
      <c r="K1390" s="2173"/>
      <c r="L1390" s="2361">
        <v>2.3250000000000002</v>
      </c>
      <c r="M1390" s="2361">
        <v>0.6</v>
      </c>
      <c r="N1390" s="2362">
        <v>0.1</v>
      </c>
      <c r="O1390" s="2174">
        <f>PRODUCT(K1390:N1390)</f>
        <v>0.13950000000000001</v>
      </c>
      <c r="P1390" s="2145">
        <f>+O1390</f>
        <v>0.13950000000000001</v>
      </c>
      <c r="Q1390" s="2145" t="s">
        <v>696</v>
      </c>
      <c r="R1390" s="2168"/>
    </row>
    <row r="1391" spans="1:18" ht="14.4" x14ac:dyDescent="0.3">
      <c r="A1391" s="2109"/>
      <c r="B1391" s="2109"/>
      <c r="C1391" s="2110"/>
      <c r="D1391" s="2111"/>
      <c r="E1391" s="2111"/>
      <c r="F1391" s="2111"/>
      <c r="G1391" s="2111"/>
      <c r="H1391" s="2168"/>
      <c r="I1391" s="2168"/>
      <c r="J1391" s="2172"/>
      <c r="K1391" s="2173"/>
      <c r="L1391" s="2362"/>
      <c r="M1391" s="2362"/>
      <c r="N1391" s="2362"/>
      <c r="O1391" s="2172">
        <f>PRODUCT(K1391:N1391)</f>
        <v>0</v>
      </c>
      <c r="P1391" s="2145">
        <f>P1390/2.83</f>
        <v>4.9293286219081273E-2</v>
      </c>
      <c r="Q1391" s="2145" t="s">
        <v>131</v>
      </c>
      <c r="R1391" s="2168"/>
    </row>
    <row r="1392" spans="1:18" ht="14.4" x14ac:dyDescent="0.3">
      <c r="A1392" s="2109"/>
      <c r="B1392" s="2109" t="s">
        <v>3548</v>
      </c>
      <c r="C1392" s="2111" t="s">
        <v>696</v>
      </c>
      <c r="D1392" s="2111">
        <f>P1391</f>
        <v>4.9293286219081273E-2</v>
      </c>
      <c r="E1392" s="2111">
        <f>E1367</f>
        <v>64521.25</v>
      </c>
      <c r="F1392" s="2111">
        <f t="shared" ref="F1392" si="141">D1392*E1392</f>
        <v>3180.4644434628976</v>
      </c>
      <c r="G1392" s="2111"/>
      <c r="H1392" s="2168"/>
      <c r="I1392" s="2168"/>
      <c r="J1392" s="2172" t="s">
        <v>3549</v>
      </c>
      <c r="K1392" s="2173"/>
      <c r="L1392" s="2363">
        <f>+L1390</f>
        <v>2.3250000000000002</v>
      </c>
      <c r="M1392" s="2363">
        <f>+M1390</f>
        <v>0.6</v>
      </c>
      <c r="N1392" s="2364"/>
      <c r="O1392" s="2172">
        <f>PRODUCT(K1392:N1392)</f>
        <v>1.395</v>
      </c>
      <c r="P1392" s="2145"/>
      <c r="Q1392" s="2145">
        <f>+O1392*10.76</f>
        <v>15.010199999999999</v>
      </c>
      <c r="R1392" s="2168"/>
    </row>
    <row r="1393" spans="1:18" ht="14.4" x14ac:dyDescent="0.3">
      <c r="A1393" s="2109"/>
      <c r="B1393" s="2123" t="s">
        <v>3436</v>
      </c>
      <c r="C1393" s="2110"/>
      <c r="D1393" s="2111"/>
      <c r="E1393" s="2111"/>
      <c r="F1393" s="2111">
        <f>F1392*10%</f>
        <v>318.04644434628977</v>
      </c>
      <c r="G1393" s="2111"/>
      <c r="H1393" s="2168"/>
      <c r="I1393" s="2168"/>
      <c r="J1393" s="2172"/>
      <c r="K1393" s="2173"/>
      <c r="L1393" s="2363">
        <f>+L1392</f>
        <v>2.3250000000000002</v>
      </c>
      <c r="M1393" s="2364"/>
      <c r="N1393" s="2364">
        <v>0.1</v>
      </c>
      <c r="O1393" s="2175">
        <f>PRODUCT(K1393:N1393)</f>
        <v>0.23250000000000004</v>
      </c>
      <c r="P1393" s="2145"/>
      <c r="Q1393" s="2145"/>
      <c r="R1393" s="2168"/>
    </row>
    <row r="1394" spans="1:18" ht="14.4" x14ac:dyDescent="0.3">
      <c r="A1394" s="2109"/>
      <c r="B1394" s="2109" t="s">
        <v>3415</v>
      </c>
      <c r="C1394" s="2111" t="s">
        <v>3550</v>
      </c>
      <c r="D1394" s="2111">
        <f>+P1399</f>
        <v>12.780429447096113</v>
      </c>
      <c r="E1394" s="2111">
        <f>E1369</f>
        <v>441.87296874999998</v>
      </c>
      <c r="F1394" s="2111">
        <f t="shared" ref="F1394:F1398" si="142">D1394*E1394</f>
        <v>5647.3263016882802</v>
      </c>
      <c r="G1394" s="2111"/>
      <c r="H1394" s="2168"/>
      <c r="I1394" s="2168"/>
      <c r="J1394" s="2172"/>
      <c r="K1394" s="2173"/>
      <c r="L1394" s="2364"/>
      <c r="M1394" s="2364"/>
      <c r="N1394" s="2364"/>
      <c r="O1394" s="2176">
        <f>SUM(O1392:O1393)</f>
        <v>1.6274999999999999</v>
      </c>
      <c r="P1394" s="2145">
        <f>SUM(O1394)</f>
        <v>1.6274999999999999</v>
      </c>
      <c r="Q1394" s="2145" t="s">
        <v>695</v>
      </c>
      <c r="R1394" s="2168"/>
    </row>
    <row r="1395" spans="1:18" ht="14.4" x14ac:dyDescent="0.3">
      <c r="A1395" s="2109"/>
      <c r="B1395" s="2109" t="s">
        <v>3551</v>
      </c>
      <c r="C1395" s="2111" t="s">
        <v>695</v>
      </c>
      <c r="D1395" s="2111">
        <f>+O1394</f>
        <v>1.6274999999999999</v>
      </c>
      <c r="E1395" s="2111"/>
      <c r="F1395" s="2111">
        <f t="shared" si="142"/>
        <v>0</v>
      </c>
      <c r="G1395" s="2111"/>
      <c r="H1395" s="2168"/>
      <c r="I1395" s="2168"/>
      <c r="J1395" s="2172"/>
      <c r="K1395" s="2173"/>
      <c r="L1395" s="2364"/>
      <c r="M1395" s="2364"/>
      <c r="N1395" s="2364"/>
      <c r="O1395" s="2177"/>
      <c r="P1395" s="2145"/>
      <c r="Q1395" s="2145"/>
      <c r="R1395" s="2168"/>
    </row>
    <row r="1396" spans="1:18" ht="14.4" x14ac:dyDescent="0.3">
      <c r="A1396" s="2109"/>
      <c r="B1396" s="2123" t="s">
        <v>3552</v>
      </c>
      <c r="C1396" s="2111" t="s">
        <v>695</v>
      </c>
      <c r="D1396" s="2111">
        <f>+P1404</f>
        <v>2.1150000000000002</v>
      </c>
      <c r="E1396" s="2111"/>
      <c r="F1396" s="2111">
        <f t="shared" si="142"/>
        <v>0</v>
      </c>
      <c r="G1396" s="2111"/>
      <c r="H1396" s="2168"/>
      <c r="I1396" s="2168"/>
      <c r="J1396" s="2172" t="s">
        <v>3415</v>
      </c>
      <c r="K1396" s="2173"/>
      <c r="L1396" s="2364"/>
      <c r="M1396" s="2364"/>
      <c r="N1396" s="2364"/>
      <c r="O1396" s="2364">
        <f>PRODUCT(K1396:N1396)</f>
        <v>0</v>
      </c>
      <c r="P1396" s="2145"/>
      <c r="Q1396" s="2145"/>
      <c r="R1396" s="2168"/>
    </row>
    <row r="1397" spans="1:18" ht="14.4" x14ac:dyDescent="0.3">
      <c r="A1397" s="2109"/>
      <c r="B1397" s="2123" t="s">
        <v>3553</v>
      </c>
      <c r="C1397" s="2111" t="s">
        <v>695</v>
      </c>
      <c r="D1397" s="2111">
        <f>+O1403</f>
        <v>1.6274999999999999</v>
      </c>
      <c r="E1397" s="2111">
        <f>E1372</f>
        <v>1531.5224703982778</v>
      </c>
      <c r="F1397" s="2111">
        <f t="shared" si="142"/>
        <v>2492.5528205731971</v>
      </c>
      <c r="G1397" s="2111"/>
      <c r="H1397" s="2168"/>
      <c r="I1397" s="2168"/>
      <c r="J1397" s="2172" t="s">
        <v>1685</v>
      </c>
      <c r="K1397" s="2173">
        <v>5</v>
      </c>
      <c r="L1397" s="2364">
        <v>2.2749999999999999</v>
      </c>
      <c r="M1397" s="2364"/>
      <c r="N1397" s="2364">
        <f>+(10*10)/(162.162)</f>
        <v>0.61666728333394993</v>
      </c>
      <c r="O1397" s="2364">
        <f>PRODUCT(K1397:N1397)</f>
        <v>7.0145903479236802</v>
      </c>
      <c r="P1397" s="2145"/>
      <c r="Q1397" s="2145">
        <f>0.6/0.15+1</f>
        <v>5</v>
      </c>
      <c r="R1397" s="2168"/>
    </row>
    <row r="1398" spans="1:18" ht="14.4" x14ac:dyDescent="0.3">
      <c r="A1398" s="2109"/>
      <c r="B1398" s="2110" t="s">
        <v>1469</v>
      </c>
      <c r="C1398" s="2111" t="s">
        <v>1846</v>
      </c>
      <c r="D1398" s="2111">
        <f>+O1392*10.76</f>
        <v>15.010199999999999</v>
      </c>
      <c r="E1398" s="2111">
        <v>4000</v>
      </c>
      <c r="F1398" s="2111">
        <f t="shared" si="142"/>
        <v>60040.799999999996</v>
      </c>
      <c r="G1398" s="2111"/>
      <c r="H1398" s="2168"/>
      <c r="I1398" s="2168"/>
      <c r="J1398" s="2175" t="s">
        <v>1685</v>
      </c>
      <c r="K1398" s="2178">
        <v>17</v>
      </c>
      <c r="L1398" s="2365">
        <v>0.55000000000000004</v>
      </c>
      <c r="M1398" s="2365"/>
      <c r="N1398" s="2364">
        <f>+(10*10)/(162.162)</f>
        <v>0.61666728333394993</v>
      </c>
      <c r="O1398" s="2364">
        <f>PRODUCT(K1398:N1398)</f>
        <v>5.7658390991724326</v>
      </c>
      <c r="P1398" s="2145"/>
      <c r="Q1398" s="2145">
        <f>2.325/0.15+1</f>
        <v>16.5</v>
      </c>
      <c r="R1398" s="2168"/>
    </row>
    <row r="1399" spans="1:18" ht="14.4" x14ac:dyDescent="0.3">
      <c r="A1399" s="2109"/>
      <c r="B1399" s="2109" t="s">
        <v>3554</v>
      </c>
      <c r="C1399" s="2110"/>
      <c r="D1399" s="2111"/>
      <c r="E1399" s="2111"/>
      <c r="F1399" s="2111">
        <f>+H1398*3%</f>
        <v>0</v>
      </c>
      <c r="G1399" s="2111"/>
      <c r="H1399" s="2168"/>
      <c r="I1399" s="2168"/>
      <c r="J1399" s="2179"/>
      <c r="K1399" s="2180"/>
      <c r="L1399" s="2366"/>
      <c r="M1399" s="2366"/>
      <c r="N1399" s="2366"/>
      <c r="O1399" s="2181">
        <f>SUM(O1397:O1398)</f>
        <v>12.780429447096113</v>
      </c>
      <c r="P1399" s="2145">
        <f>+O1399</f>
        <v>12.780429447096113</v>
      </c>
      <c r="Q1399" s="2145" t="s">
        <v>134</v>
      </c>
      <c r="R1399" s="2168"/>
    </row>
    <row r="1400" spans="1:18" ht="14.4" x14ac:dyDescent="0.3">
      <c r="A1400" s="2113"/>
      <c r="B1400" s="2894" t="s">
        <v>3363</v>
      </c>
      <c r="C1400" s="2894"/>
      <c r="D1400" s="2894"/>
      <c r="E1400" s="2894"/>
      <c r="F1400" s="2114"/>
      <c r="G1400" s="2190">
        <f>SUM(F1392:F1399)</f>
        <v>71679.190010070655</v>
      </c>
      <c r="H1400" s="2168"/>
      <c r="I1400" s="2168"/>
      <c r="J1400" s="2145"/>
      <c r="K1400" s="2182"/>
      <c r="L1400" s="2367"/>
      <c r="M1400" s="2367"/>
      <c r="N1400" s="2367"/>
      <c r="O1400" s="2145"/>
      <c r="P1400" s="2145"/>
      <c r="Q1400" s="2145"/>
      <c r="R1400" s="2168"/>
    </row>
    <row r="1401" spans="1:18" ht="14.4" x14ac:dyDescent="0.3">
      <c r="A1401" s="2109"/>
      <c r="B1401" s="2112" t="s">
        <v>3349</v>
      </c>
      <c r="C1401" s="2110"/>
      <c r="D1401" s="2111"/>
      <c r="E1401" s="2111"/>
      <c r="F1401" s="2111">
        <f t="shared" ref="F1401" si="143">D1401*E1401</f>
        <v>0</v>
      </c>
      <c r="G1401" s="2111"/>
      <c r="H1401" s="2168"/>
      <c r="I1401" s="2168"/>
      <c r="J1401" s="2174" t="s">
        <v>3555</v>
      </c>
      <c r="K1401" s="2173"/>
      <c r="L1401" s="2364">
        <f>+L1390</f>
        <v>2.3250000000000002</v>
      </c>
      <c r="M1401" s="2364">
        <f>+M1390</f>
        <v>0.6</v>
      </c>
      <c r="N1401" s="2364"/>
      <c r="O1401" s="2364">
        <f>PRODUCT(K1401:N1401)</f>
        <v>1.395</v>
      </c>
      <c r="P1401" s="2168"/>
      <c r="Q1401" s="2168"/>
      <c r="R1401" s="2168"/>
    </row>
    <row r="1402" spans="1:18" ht="28.2" x14ac:dyDescent="0.3">
      <c r="A1402" s="2109"/>
      <c r="B1402" s="2123" t="s">
        <v>3556</v>
      </c>
      <c r="C1402" s="2111" t="s">
        <v>3557</v>
      </c>
      <c r="D1402" s="2111">
        <v>1</v>
      </c>
      <c r="E1402" s="2111">
        <v>15000</v>
      </c>
      <c r="F1402" s="2111">
        <f>+E1402</f>
        <v>15000</v>
      </c>
      <c r="G1402" s="2111"/>
      <c r="H1402" s="2168" t="s">
        <v>3558</v>
      </c>
      <c r="I1402" s="2168"/>
      <c r="J1402" s="2172"/>
      <c r="K1402" s="2173"/>
      <c r="L1402" s="2364"/>
      <c r="M1402" s="2364">
        <f>+L1401</f>
        <v>2.3250000000000002</v>
      </c>
      <c r="N1402" s="2364">
        <v>0.1</v>
      </c>
      <c r="O1402" s="2365">
        <f>PRODUCT(K1402:N1402)</f>
        <v>0.23250000000000004</v>
      </c>
      <c r="P1402" s="2183">
        <f>+O1402+O1401</f>
        <v>1.6274999999999999</v>
      </c>
      <c r="Q1402" s="2168" t="s">
        <v>695</v>
      </c>
      <c r="R1402" s="2168"/>
    </row>
    <row r="1403" spans="1:18" ht="14.4" x14ac:dyDescent="0.3">
      <c r="A1403" s="2109"/>
      <c r="B1403" s="2109"/>
      <c r="C1403" s="2111"/>
      <c r="D1403" s="2111"/>
      <c r="E1403" s="2111"/>
      <c r="F1403" s="2111"/>
      <c r="G1403" s="2111"/>
      <c r="H1403" s="2168"/>
      <c r="I1403" s="2168"/>
      <c r="J1403" s="2172"/>
      <c r="K1403" s="2173"/>
      <c r="L1403" s="2364"/>
      <c r="M1403" s="2364"/>
      <c r="N1403" s="2364"/>
      <c r="O1403" s="2368">
        <f>SUM(O1401:O1402)</f>
        <v>1.6274999999999999</v>
      </c>
      <c r="P1403" s="2183"/>
      <c r="Q1403" s="2168"/>
      <c r="R1403" s="2168"/>
    </row>
    <row r="1404" spans="1:18" ht="14.4" x14ac:dyDescent="0.3">
      <c r="A1404" s="2113"/>
      <c r="B1404" s="2894" t="s">
        <v>3351</v>
      </c>
      <c r="C1404" s="2894"/>
      <c r="D1404" s="2894"/>
      <c r="E1404" s="2894"/>
      <c r="F1404" s="2114">
        <f t="shared" ref="F1404" si="144">D1404*E1404</f>
        <v>0</v>
      </c>
      <c r="G1404" s="2190">
        <f>SUM(F1402:F1404)</f>
        <v>15000</v>
      </c>
      <c r="H1404" s="2168"/>
      <c r="I1404" s="2168"/>
      <c r="J1404" s="2174" t="s">
        <v>3559</v>
      </c>
      <c r="K1404" s="2173"/>
      <c r="L1404" s="2364"/>
      <c r="M1404" s="2364">
        <f>+L1393+0.6+0.6</f>
        <v>3.5250000000000004</v>
      </c>
      <c r="N1404" s="2364">
        <v>0.6</v>
      </c>
      <c r="O1404" s="2364">
        <f t="shared" ref="O1404" si="145">PRODUCT(K1404:N1404)</f>
        <v>2.1150000000000002</v>
      </c>
      <c r="P1404" s="2183">
        <f>+O1404</f>
        <v>2.1150000000000002</v>
      </c>
      <c r="Q1404" s="2168" t="s">
        <v>695</v>
      </c>
      <c r="R1404" s="2168"/>
    </row>
    <row r="1405" spans="1:18" ht="14.4" x14ac:dyDescent="0.3">
      <c r="A1405" s="2109"/>
      <c r="B1405" s="2184"/>
      <c r="C1405" s="2115"/>
      <c r="D1405" s="2115"/>
      <c r="E1405" s="2115"/>
      <c r="F1405" s="2111"/>
      <c r="G1405" s="2115"/>
      <c r="H1405" s="2168"/>
      <c r="I1405" s="2168"/>
      <c r="J1405" s="2168"/>
      <c r="K1405" s="2168"/>
      <c r="L1405" s="2168"/>
      <c r="M1405" s="2168"/>
      <c r="N1405" s="2168"/>
      <c r="O1405" s="2168"/>
      <c r="P1405" s="2168"/>
      <c r="Q1405" s="2168"/>
      <c r="R1405" s="2168"/>
    </row>
    <row r="1406" spans="1:18" ht="14.4" x14ac:dyDescent="0.3">
      <c r="A1406" s="2109"/>
      <c r="B1406" s="2115"/>
      <c r="C1406" s="2115"/>
      <c r="D1406" s="2115"/>
      <c r="E1406" s="2115"/>
      <c r="F1406" s="2111"/>
      <c r="G1406" s="2115"/>
      <c r="H1406" s="2168"/>
      <c r="I1406" s="2168"/>
      <c r="J1406" s="2168"/>
      <c r="K1406" s="2168"/>
      <c r="L1406" s="2168"/>
      <c r="M1406" s="2168"/>
      <c r="N1406" s="2168"/>
      <c r="O1406" s="2168"/>
      <c r="P1406" s="2168"/>
      <c r="Q1406" s="2168"/>
      <c r="R1406" s="2168"/>
    </row>
    <row r="1407" spans="1:18" ht="14.4" x14ac:dyDescent="0.3">
      <c r="A1407" s="2887" t="s">
        <v>3560</v>
      </c>
      <c r="B1407" s="2887"/>
      <c r="C1407" s="2887"/>
      <c r="D1407" s="2887"/>
      <c r="E1407" s="2887"/>
      <c r="F1407" s="2887"/>
      <c r="G1407" s="2189">
        <f>G1400+G1404</f>
        <v>86679.190010070655</v>
      </c>
      <c r="H1407" s="2168"/>
      <c r="I1407" s="2168"/>
      <c r="J1407" s="2168"/>
      <c r="K1407" s="2168"/>
      <c r="L1407" s="2168"/>
      <c r="M1407" s="2168"/>
      <c r="N1407" s="2168"/>
      <c r="O1407" s="2168"/>
      <c r="P1407" s="2168"/>
      <c r="Q1407" s="2168"/>
      <c r="R1407" s="2168"/>
    </row>
    <row r="1408" spans="1:18" ht="15" thickBot="1" x14ac:dyDescent="0.35">
      <c r="A1408" s="2887" t="s">
        <v>3380</v>
      </c>
      <c r="B1408" s="2887"/>
      <c r="C1408" s="2887"/>
      <c r="D1408" s="2887"/>
      <c r="E1408" s="2887"/>
      <c r="F1408" s="2887"/>
      <c r="G1408" s="2185">
        <f>G1407/9.29</f>
        <v>9330.3756738504489</v>
      </c>
      <c r="H1408" s="2168"/>
      <c r="I1408" s="2168"/>
      <c r="J1408" s="2168"/>
      <c r="K1408" s="2168"/>
      <c r="L1408" s="2168"/>
      <c r="M1408" s="2168"/>
      <c r="N1408" s="2168"/>
      <c r="O1408" s="2168"/>
      <c r="P1408" s="2168"/>
      <c r="Q1408" s="2168"/>
      <c r="R1408" s="2168"/>
    </row>
    <row r="1409" spans="1:18" ht="15" thickBot="1" x14ac:dyDescent="0.35">
      <c r="A1409" s="2887" t="s">
        <v>3381</v>
      </c>
      <c r="B1409" s="2887"/>
      <c r="C1409" s="2887"/>
      <c r="D1409" s="2887"/>
      <c r="E1409" s="2887"/>
      <c r="F1409" s="2887"/>
      <c r="G1409" s="2186">
        <f>G1408/10.76</f>
        <v>867.13528567383355</v>
      </c>
      <c r="H1409" s="2168"/>
      <c r="I1409" s="2168"/>
      <c r="J1409" s="2168"/>
      <c r="K1409" s="2168"/>
      <c r="L1409" s="2168"/>
      <c r="M1409" s="2168"/>
      <c r="N1409" s="2168"/>
      <c r="O1409" s="2168"/>
      <c r="P1409" s="2168"/>
      <c r="Q1409" s="2168"/>
      <c r="R1409" s="2168"/>
    </row>
    <row r="1420" spans="1:18" ht="13.8" thickBot="1" x14ac:dyDescent="0.3"/>
    <row r="1421" spans="1:18" ht="13.8" x14ac:dyDescent="0.25">
      <c r="A1421" s="2888" t="s">
        <v>3563</v>
      </c>
      <c r="B1421" s="2889"/>
      <c r="C1421" s="2889"/>
      <c r="D1421" s="2889"/>
      <c r="E1421" s="2889"/>
      <c r="F1421" s="2889"/>
      <c r="G1421" s="2890"/>
    </row>
    <row r="1422" spans="1:18" ht="14.4" thickBot="1" x14ac:dyDescent="0.3">
      <c r="A1422" s="2891"/>
      <c r="B1422" s="2892"/>
      <c r="C1422" s="2892"/>
      <c r="D1422" s="2892"/>
      <c r="E1422" s="2892"/>
      <c r="F1422" s="2892"/>
      <c r="G1422" s="2893"/>
    </row>
    <row r="1423" spans="1:18" ht="14.4" thickBot="1" x14ac:dyDescent="0.3">
      <c r="A1423" s="2107"/>
      <c r="B1423" s="2108" t="s">
        <v>3345</v>
      </c>
      <c r="C1423" s="2108" t="s">
        <v>3346</v>
      </c>
      <c r="D1423" s="2108" t="s">
        <v>2</v>
      </c>
      <c r="E1423" s="2108" t="s">
        <v>3347</v>
      </c>
      <c r="F1423" s="2108" t="s">
        <v>5</v>
      </c>
      <c r="G1423" s="2108" t="s">
        <v>3348</v>
      </c>
    </row>
    <row r="1424" spans="1:18" ht="13.8" x14ac:dyDescent="0.25">
      <c r="A1424" s="2109"/>
      <c r="B1424" s="2109"/>
      <c r="C1424" s="2110"/>
      <c r="D1424" s="2111"/>
      <c r="E1424" s="2111"/>
      <c r="F1424" s="2111"/>
      <c r="G1424" s="2111"/>
    </row>
    <row r="1425" spans="1:7" ht="13.8" x14ac:dyDescent="0.25">
      <c r="A1425" s="2109"/>
      <c r="B1425" s="2109" t="s">
        <v>3548</v>
      </c>
      <c r="C1425" s="2111" t="s">
        <v>696</v>
      </c>
      <c r="D1425" s="2111"/>
      <c r="E1425" s="2111"/>
      <c r="F1425" s="2111"/>
      <c r="G1425" s="2111"/>
    </row>
    <row r="1426" spans="1:7" ht="13.8" x14ac:dyDescent="0.25">
      <c r="A1426" s="2109"/>
      <c r="B1426" s="2123" t="s">
        <v>3564</v>
      </c>
      <c r="C1426" s="2110"/>
      <c r="D1426" s="2111">
        <f>1.5+1</f>
        <v>2.5</v>
      </c>
      <c r="E1426" s="2111">
        <v>2125</v>
      </c>
      <c r="F1426" s="2111">
        <f t="shared" ref="F1426:F1429" si="146">D1426*E1426</f>
        <v>5312.5</v>
      </c>
      <c r="G1426" s="2111"/>
    </row>
    <row r="1427" spans="1:7" ht="13.8" x14ac:dyDescent="0.25">
      <c r="A1427" s="2109"/>
      <c r="B1427" s="2123" t="s">
        <v>3392</v>
      </c>
      <c r="C1427" s="2110"/>
      <c r="D1427" s="2111">
        <f>(0.08*0.5)*2</f>
        <v>0.08</v>
      </c>
      <c r="E1427" s="2111">
        <v>27000</v>
      </c>
      <c r="F1427" s="2111">
        <f t="shared" si="146"/>
        <v>2160</v>
      </c>
      <c r="G1427" s="2111"/>
    </row>
    <row r="1428" spans="1:7" ht="13.8" x14ac:dyDescent="0.25">
      <c r="A1428" s="2109"/>
      <c r="B1428" s="2123" t="s">
        <v>3401</v>
      </c>
      <c r="C1428" s="2110"/>
      <c r="D1428" s="2111">
        <f>0.08*0.88</f>
        <v>7.0400000000000004E-2</v>
      </c>
      <c r="E1428" s="2111">
        <v>13500</v>
      </c>
      <c r="F1428" s="2111">
        <f t="shared" si="146"/>
        <v>950.40000000000009</v>
      </c>
      <c r="G1428" s="2111"/>
    </row>
    <row r="1429" spans="1:7" ht="13.8" x14ac:dyDescent="0.25">
      <c r="A1429" s="2109"/>
      <c r="B1429" s="2123"/>
      <c r="C1429" s="2110"/>
      <c r="D1429" s="2111"/>
      <c r="E1429" s="2111"/>
      <c r="F1429" s="2111">
        <f t="shared" si="146"/>
        <v>0</v>
      </c>
      <c r="G1429" s="2111"/>
    </row>
    <row r="1430" spans="1:7" ht="13.8" x14ac:dyDescent="0.25">
      <c r="A1430" s="2109"/>
      <c r="B1430" s="2109" t="s">
        <v>3415</v>
      </c>
      <c r="C1430" s="2111" t="s">
        <v>3550</v>
      </c>
      <c r="D1430" s="2111">
        <v>21.6</v>
      </c>
      <c r="E1430" s="2111">
        <v>450</v>
      </c>
      <c r="F1430" s="2111">
        <f>D1430*E1430</f>
        <v>9720</v>
      </c>
      <c r="G1430" s="2111"/>
    </row>
    <row r="1431" spans="1:7" ht="13.8" x14ac:dyDescent="0.25">
      <c r="A1431" s="2109"/>
      <c r="B1431" s="2109" t="s">
        <v>3551</v>
      </c>
      <c r="C1431" s="2111" t="s">
        <v>695</v>
      </c>
      <c r="D1431" s="2111">
        <v>2</v>
      </c>
      <c r="E1431" s="2111">
        <f>3500/4</f>
        <v>875</v>
      </c>
      <c r="F1431" s="2111">
        <f>D1431*E1431</f>
        <v>1750</v>
      </c>
      <c r="G1431" s="2111"/>
    </row>
    <row r="1432" spans="1:7" ht="13.8" x14ac:dyDescent="0.25">
      <c r="A1432" s="2109"/>
      <c r="B1432" s="2187" t="s">
        <v>3552</v>
      </c>
      <c r="C1432" s="2111" t="s">
        <v>695</v>
      </c>
      <c r="D1432" s="2111"/>
      <c r="E1432" s="2111"/>
      <c r="F1432" s="2111">
        <f>D1432*E1432</f>
        <v>0</v>
      </c>
      <c r="G1432" s="2111"/>
    </row>
    <row r="1433" spans="1:7" ht="13.8" x14ac:dyDescent="0.25">
      <c r="A1433" s="2109"/>
      <c r="B1433" s="2123" t="s">
        <v>3553</v>
      </c>
      <c r="C1433" s="2111" t="s">
        <v>695</v>
      </c>
      <c r="D1433" s="2111"/>
      <c r="E1433" s="2111"/>
      <c r="F1433" s="2111">
        <f>D1433*E1433</f>
        <v>0</v>
      </c>
      <c r="G1433" s="2111"/>
    </row>
    <row r="1434" spans="1:7" ht="13.8" x14ac:dyDescent="0.25">
      <c r="A1434" s="2109"/>
      <c r="B1434" s="2110"/>
      <c r="C1434" s="2111" t="s">
        <v>1846</v>
      </c>
      <c r="D1434" s="2111"/>
      <c r="E1434" s="2111"/>
      <c r="F1434" s="2111">
        <f>D1434*E1434</f>
        <v>0</v>
      </c>
      <c r="G1434" s="2111"/>
    </row>
    <row r="1435" spans="1:7" ht="13.8" x14ac:dyDescent="0.25">
      <c r="A1435" s="2109"/>
      <c r="B1435" s="2109"/>
      <c r="C1435" s="2110"/>
      <c r="D1435" s="2111"/>
      <c r="E1435" s="2111"/>
      <c r="F1435" s="2111">
        <f>+H1433*3%</f>
        <v>0</v>
      </c>
      <c r="G1435" s="2111"/>
    </row>
    <row r="1436" spans="1:7" ht="13.8" x14ac:dyDescent="0.25">
      <c r="A1436" s="2113"/>
      <c r="B1436" s="2894" t="s">
        <v>3363</v>
      </c>
      <c r="C1436" s="2894"/>
      <c r="D1436" s="2894"/>
      <c r="E1436" s="2894"/>
      <c r="F1436" s="2114"/>
      <c r="G1436" s="2190">
        <f>SUM(F1425:F1435)</f>
        <v>19892.900000000001</v>
      </c>
    </row>
    <row r="1437" spans="1:7" ht="13.8" x14ac:dyDescent="0.25">
      <c r="A1437" s="2109"/>
      <c r="B1437" s="2112" t="s">
        <v>3349</v>
      </c>
      <c r="C1437" s="2110"/>
      <c r="D1437" s="2111"/>
      <c r="E1437" s="2111"/>
      <c r="F1437" s="2111">
        <f t="shared" ref="F1437" si="147">D1437*E1437</f>
        <v>0</v>
      </c>
      <c r="G1437" s="2111"/>
    </row>
    <row r="1438" spans="1:7" ht="27.6" x14ac:dyDescent="0.25">
      <c r="A1438" s="2109"/>
      <c r="B1438" s="2123" t="s">
        <v>3556</v>
      </c>
      <c r="C1438" s="2111" t="s">
        <v>3557</v>
      </c>
      <c r="D1438" s="2111"/>
      <c r="E1438" s="2111">
        <v>15000</v>
      </c>
      <c r="F1438" s="2111">
        <f>+E1438</f>
        <v>15000</v>
      </c>
      <c r="G1438" s="2111"/>
    </row>
    <row r="1439" spans="1:7" ht="13.8" x14ac:dyDescent="0.25">
      <c r="A1439" s="2109"/>
      <c r="B1439" s="2109"/>
      <c r="C1439" s="2111"/>
      <c r="D1439" s="2111"/>
      <c r="E1439" s="2111"/>
      <c r="F1439" s="2111"/>
      <c r="G1439" s="2111"/>
    </row>
    <row r="1440" spans="1:7" ht="13.8" x14ac:dyDescent="0.25">
      <c r="A1440" s="2113"/>
      <c r="B1440" s="2894" t="s">
        <v>3351</v>
      </c>
      <c r="C1440" s="2894"/>
      <c r="D1440" s="2894"/>
      <c r="E1440" s="2894"/>
      <c r="F1440" s="2114">
        <f t="shared" ref="F1440" si="148">D1440*E1440</f>
        <v>0</v>
      </c>
      <c r="G1440" s="2190">
        <f>SUM(F1438:F1440)</f>
        <v>15000</v>
      </c>
    </row>
    <row r="1441" spans="1:7" ht="13.8" x14ac:dyDescent="0.25">
      <c r="A1441" s="2109"/>
      <c r="B1441" s="2184"/>
      <c r="C1441" s="2115"/>
      <c r="D1441" s="2115"/>
      <c r="E1441" s="2115"/>
      <c r="F1441" s="2111"/>
      <c r="G1441" s="2115"/>
    </row>
    <row r="1442" spans="1:7" ht="13.8" x14ac:dyDescent="0.25">
      <c r="A1442" s="2109"/>
      <c r="B1442" s="2115"/>
      <c r="C1442" s="2115"/>
      <c r="D1442" s="2115"/>
      <c r="E1442" s="2115"/>
      <c r="F1442" s="2111"/>
      <c r="G1442" s="2115"/>
    </row>
    <row r="1443" spans="1:7" ht="13.8" x14ac:dyDescent="0.25">
      <c r="A1443" s="2887" t="s">
        <v>3560</v>
      </c>
      <c r="B1443" s="2887"/>
      <c r="C1443" s="2887"/>
      <c r="D1443" s="2887"/>
      <c r="E1443" s="2887"/>
      <c r="F1443" s="2887"/>
      <c r="G1443" s="2189">
        <f>G1436+G1440</f>
        <v>34892.9</v>
      </c>
    </row>
    <row r="1444" spans="1:7" ht="14.4" thickBot="1" x14ac:dyDescent="0.3">
      <c r="A1444" s="2887" t="s">
        <v>3380</v>
      </c>
      <c r="B1444" s="2887"/>
      <c r="C1444" s="2887"/>
      <c r="D1444" s="2887"/>
      <c r="E1444" s="2887"/>
      <c r="F1444" s="2887"/>
      <c r="G1444" s="2185">
        <f>G1443/9.29</f>
        <v>3755.9634015069973</v>
      </c>
    </row>
    <row r="1445" spans="1:7" ht="14.4" thickBot="1" x14ac:dyDescent="0.3">
      <c r="A1445" s="2887" t="s">
        <v>3381</v>
      </c>
      <c r="B1445" s="2887"/>
      <c r="C1445" s="2887"/>
      <c r="D1445" s="2887"/>
      <c r="E1445" s="2887"/>
      <c r="F1445" s="2887"/>
      <c r="G1445" s="2186">
        <f>G1444/10.76</f>
        <v>349.06723062332691</v>
      </c>
    </row>
  </sheetData>
  <mergeCells count="345">
    <mergeCell ref="A1443:F1443"/>
    <mergeCell ref="A1444:F1444"/>
    <mergeCell ref="A1445:F1445"/>
    <mergeCell ref="A1005:G1005"/>
    <mergeCell ref="A1006:G1006"/>
    <mergeCell ref="B1019:E1019"/>
    <mergeCell ref="B1025:E1025"/>
    <mergeCell ref="A1028:F1028"/>
    <mergeCell ref="A1029:F1029"/>
    <mergeCell ref="A1408:F1408"/>
    <mergeCell ref="A1409:F1409"/>
    <mergeCell ref="A1421:G1421"/>
    <mergeCell ref="A1422:G1422"/>
    <mergeCell ref="B1436:E1436"/>
    <mergeCell ref="B1440:E1440"/>
    <mergeCell ref="A1384:F1384"/>
    <mergeCell ref="A1388:G1388"/>
    <mergeCell ref="A1389:G1389"/>
    <mergeCell ref="B1400:E1400"/>
    <mergeCell ref="B1404:E1404"/>
    <mergeCell ref="A1407:F1407"/>
    <mergeCell ref="A1363:G1363"/>
    <mergeCell ref="A1364:G1364"/>
    <mergeCell ref="B1375:E1375"/>
    <mergeCell ref="B1379:E1379"/>
    <mergeCell ref="A1382:F1382"/>
    <mergeCell ref="A1383:F1383"/>
    <mergeCell ref="A1339:G1339"/>
    <mergeCell ref="B1350:E1350"/>
    <mergeCell ref="B1354:E1354"/>
    <mergeCell ref="A1357:F1357"/>
    <mergeCell ref="A1358:F1358"/>
    <mergeCell ref="A1359:F1359"/>
    <mergeCell ref="B1321:E1321"/>
    <mergeCell ref="B1329:E1329"/>
    <mergeCell ref="A1332:F1332"/>
    <mergeCell ref="A1333:F1333"/>
    <mergeCell ref="A1334:F1334"/>
    <mergeCell ref="A1338:G1338"/>
    <mergeCell ref="B1297:E1297"/>
    <mergeCell ref="A1300:F1300"/>
    <mergeCell ref="A1301:F1301"/>
    <mergeCell ref="A1302:F1302"/>
    <mergeCell ref="A1306:G1306"/>
    <mergeCell ref="A1307:G1307"/>
    <mergeCell ref="A1268:F1268"/>
    <mergeCell ref="A1269:F1269"/>
    <mergeCell ref="A1270:F1270"/>
    <mergeCell ref="A1274:G1274"/>
    <mergeCell ref="A1275:G1275"/>
    <mergeCell ref="B1289:E1289"/>
    <mergeCell ref="A1230:F1230"/>
    <mergeCell ref="A1233:G1233"/>
    <mergeCell ref="A1234:G1234"/>
    <mergeCell ref="B1257:E1257"/>
    <mergeCell ref="B1264:E1264"/>
    <mergeCell ref="A1267:F1267"/>
    <mergeCell ref="A1200:G1200"/>
    <mergeCell ref="A1201:G1201"/>
    <mergeCell ref="B1217:E1217"/>
    <mergeCell ref="B1225:E1225"/>
    <mergeCell ref="A1228:F1228"/>
    <mergeCell ref="A1229:F1229"/>
    <mergeCell ref="A1155:F1155"/>
    <mergeCell ref="A1156:F1156"/>
    <mergeCell ref="A1177:G1177"/>
    <mergeCell ref="A1183:G1183"/>
    <mergeCell ref="A1184:G1184"/>
    <mergeCell ref="A1197:F1197"/>
    <mergeCell ref="A1130:F1130"/>
    <mergeCell ref="A1135:G1135"/>
    <mergeCell ref="A1136:G1136"/>
    <mergeCell ref="B1146:E1146"/>
    <mergeCell ref="B1151:E1151"/>
    <mergeCell ref="A1154:F1154"/>
    <mergeCell ref="A1108:G1108"/>
    <mergeCell ref="A1109:G1109"/>
    <mergeCell ref="B1120:E1120"/>
    <mergeCell ref="B1125:E1125"/>
    <mergeCell ref="A1128:F1128"/>
    <mergeCell ref="A1129:F1129"/>
    <mergeCell ref="A1084:G1084"/>
    <mergeCell ref="B1095:E1095"/>
    <mergeCell ref="B1100:E1100"/>
    <mergeCell ref="A1103:F1103"/>
    <mergeCell ref="A1104:F1104"/>
    <mergeCell ref="A1105:F1105"/>
    <mergeCell ref="A1058:F1058"/>
    <mergeCell ref="O1060:T1060"/>
    <mergeCell ref="O1061:T1061"/>
    <mergeCell ref="O1062:T1062"/>
    <mergeCell ref="A1080:G1080"/>
    <mergeCell ref="A1083:G1083"/>
    <mergeCell ref="B1047:E1047"/>
    <mergeCell ref="P1051:S1051"/>
    <mergeCell ref="B1053:E1053"/>
    <mergeCell ref="A1056:F1056"/>
    <mergeCell ref="A1057:F1057"/>
    <mergeCell ref="P1057:S1057"/>
    <mergeCell ref="A1002:F1002"/>
    <mergeCell ref="A1003:F1003"/>
    <mergeCell ref="A1031:G1031"/>
    <mergeCell ref="A1032:G1032"/>
    <mergeCell ref="O1035:U1035"/>
    <mergeCell ref="O1036:U1036"/>
    <mergeCell ref="A973:F973"/>
    <mergeCell ref="A976:G976"/>
    <mergeCell ref="A977:G977"/>
    <mergeCell ref="B992:E992"/>
    <mergeCell ref="B998:E998"/>
    <mergeCell ref="A1001:F1001"/>
    <mergeCell ref="A946:G946"/>
    <mergeCell ref="A947:G947"/>
    <mergeCell ref="B962:E962"/>
    <mergeCell ref="B968:E968"/>
    <mergeCell ref="A971:F971"/>
    <mergeCell ref="A972:F972"/>
    <mergeCell ref="B869:E869"/>
    <mergeCell ref="B875:E875"/>
    <mergeCell ref="A878:F878"/>
    <mergeCell ref="A879:F879"/>
    <mergeCell ref="A880:F880"/>
    <mergeCell ref="A943:G943"/>
    <mergeCell ref="B850:E850"/>
    <mergeCell ref="A853:F853"/>
    <mergeCell ref="A854:F854"/>
    <mergeCell ref="A855:F855"/>
    <mergeCell ref="A858:G858"/>
    <mergeCell ref="A859:G859"/>
    <mergeCell ref="A819:F819"/>
    <mergeCell ref="A820:F820"/>
    <mergeCell ref="A830:G830"/>
    <mergeCell ref="A833:G833"/>
    <mergeCell ref="A834:G834"/>
    <mergeCell ref="B844:E844"/>
    <mergeCell ref="A793:F793"/>
    <mergeCell ref="A796:G796"/>
    <mergeCell ref="A797:G797"/>
    <mergeCell ref="B807:E807"/>
    <mergeCell ref="B815:E815"/>
    <mergeCell ref="A818:F818"/>
    <mergeCell ref="A771:G771"/>
    <mergeCell ref="A772:G772"/>
    <mergeCell ref="B782:E782"/>
    <mergeCell ref="B788:E788"/>
    <mergeCell ref="A791:F791"/>
    <mergeCell ref="A792:F792"/>
    <mergeCell ref="A745:G745"/>
    <mergeCell ref="B757:E757"/>
    <mergeCell ref="B763:E763"/>
    <mergeCell ref="A766:F766"/>
    <mergeCell ref="A767:F767"/>
    <mergeCell ref="A768:F768"/>
    <mergeCell ref="B727:E727"/>
    <mergeCell ref="B735:E735"/>
    <mergeCell ref="A738:F738"/>
    <mergeCell ref="A739:F739"/>
    <mergeCell ref="A740:F740"/>
    <mergeCell ref="A744:G744"/>
    <mergeCell ref="B699:E699"/>
    <mergeCell ref="A702:F702"/>
    <mergeCell ref="A703:F703"/>
    <mergeCell ref="A704:F704"/>
    <mergeCell ref="A714:G714"/>
    <mergeCell ref="A715:G715"/>
    <mergeCell ref="A671:F671"/>
    <mergeCell ref="A672:F672"/>
    <mergeCell ref="A678:G678"/>
    <mergeCell ref="A680:G680"/>
    <mergeCell ref="A681:G681"/>
    <mergeCell ref="B691:E691"/>
    <mergeCell ref="A648:G648"/>
    <mergeCell ref="A650:G650"/>
    <mergeCell ref="A651:G651"/>
    <mergeCell ref="B661:E661"/>
    <mergeCell ref="B667:E667"/>
    <mergeCell ref="A670:F670"/>
    <mergeCell ref="A625:G625"/>
    <mergeCell ref="B635:E635"/>
    <mergeCell ref="B641:E641"/>
    <mergeCell ref="A644:F644"/>
    <mergeCell ref="A645:F645"/>
    <mergeCell ref="A646:F646"/>
    <mergeCell ref="B609:E609"/>
    <mergeCell ref="B615:E615"/>
    <mergeCell ref="A618:F618"/>
    <mergeCell ref="A619:F619"/>
    <mergeCell ref="A620:F620"/>
    <mergeCell ref="A624:G624"/>
    <mergeCell ref="B588:E588"/>
    <mergeCell ref="A591:F591"/>
    <mergeCell ref="A592:F592"/>
    <mergeCell ref="A593:F593"/>
    <mergeCell ref="A597:G597"/>
    <mergeCell ref="A598:G598"/>
    <mergeCell ref="B562:E562"/>
    <mergeCell ref="A565:F565"/>
    <mergeCell ref="A566:F566"/>
    <mergeCell ref="A570:G570"/>
    <mergeCell ref="A571:G571"/>
    <mergeCell ref="B582:E582"/>
    <mergeCell ref="A538:F538"/>
    <mergeCell ref="A539:F539"/>
    <mergeCell ref="A543:G543"/>
    <mergeCell ref="A547:G547"/>
    <mergeCell ref="A548:G548"/>
    <mergeCell ref="B557:E557"/>
    <mergeCell ref="A512:G512"/>
    <mergeCell ref="A516:G516"/>
    <mergeCell ref="A517:G517"/>
    <mergeCell ref="B529:E529"/>
    <mergeCell ref="B534:E534"/>
    <mergeCell ref="A537:F537"/>
    <mergeCell ref="A486:G486"/>
    <mergeCell ref="B495:E495"/>
    <mergeCell ref="B499:E499"/>
    <mergeCell ref="A504:F504"/>
    <mergeCell ref="A505:F505"/>
    <mergeCell ref="A506:F506"/>
    <mergeCell ref="A468:G468"/>
    <mergeCell ref="A471:B471"/>
    <mergeCell ref="A480:E480"/>
    <mergeCell ref="A481:E481"/>
    <mergeCell ref="A482:E482"/>
    <mergeCell ref="A485:G485"/>
    <mergeCell ref="B417:E417"/>
    <mergeCell ref="B421:E421"/>
    <mergeCell ref="B427:E427"/>
    <mergeCell ref="A430:F430"/>
    <mergeCell ref="A431:F431"/>
    <mergeCell ref="A432:F432"/>
    <mergeCell ref="B396:E396"/>
    <mergeCell ref="A399:F399"/>
    <mergeCell ref="A400:F400"/>
    <mergeCell ref="A401:F401"/>
    <mergeCell ref="A404:G404"/>
    <mergeCell ref="A405:G405"/>
    <mergeCell ref="A368:F368"/>
    <mergeCell ref="A369:F369"/>
    <mergeCell ref="A373:G373"/>
    <mergeCell ref="A374:G374"/>
    <mergeCell ref="B386:E386"/>
    <mergeCell ref="B390:E390"/>
    <mergeCell ref="A341:G341"/>
    <mergeCell ref="A342:G342"/>
    <mergeCell ref="B354:E354"/>
    <mergeCell ref="B358:E358"/>
    <mergeCell ref="B364:E364"/>
    <mergeCell ref="A367:F367"/>
    <mergeCell ref="B323:E323"/>
    <mergeCell ref="B327:E327"/>
    <mergeCell ref="B333:E333"/>
    <mergeCell ref="A336:F336"/>
    <mergeCell ref="A337:F337"/>
    <mergeCell ref="A338:F338"/>
    <mergeCell ref="A302:F302"/>
    <mergeCell ref="A303:F303"/>
    <mergeCell ref="A304:F304"/>
    <mergeCell ref="A307:G307"/>
    <mergeCell ref="A310:G310"/>
    <mergeCell ref="A311:G311"/>
    <mergeCell ref="A274:F274"/>
    <mergeCell ref="A277:G277"/>
    <mergeCell ref="A278:G278"/>
    <mergeCell ref="B289:E289"/>
    <mergeCell ref="B293:E293"/>
    <mergeCell ref="B299:E299"/>
    <mergeCell ref="A250:G250"/>
    <mergeCell ref="B259:E259"/>
    <mergeCell ref="B263:E263"/>
    <mergeCell ref="B269:E269"/>
    <mergeCell ref="A272:F272"/>
    <mergeCell ref="A273:F273"/>
    <mergeCell ref="B235:E235"/>
    <mergeCell ref="B241:E241"/>
    <mergeCell ref="A244:F244"/>
    <mergeCell ref="A245:F245"/>
    <mergeCell ref="A246:F246"/>
    <mergeCell ref="A249:G249"/>
    <mergeCell ref="A215:F215"/>
    <mergeCell ref="A216:F216"/>
    <mergeCell ref="A217:F217"/>
    <mergeCell ref="A221:G221"/>
    <mergeCell ref="A222:G222"/>
    <mergeCell ref="B231:E231"/>
    <mergeCell ref="A188:F188"/>
    <mergeCell ref="A193:G193"/>
    <mergeCell ref="A194:G194"/>
    <mergeCell ref="B202:E202"/>
    <mergeCell ref="B206:E206"/>
    <mergeCell ref="B212:E212"/>
    <mergeCell ref="B172:E172"/>
    <mergeCell ref="B176:E176"/>
    <mergeCell ref="B182:E182"/>
    <mergeCell ref="A185:F185"/>
    <mergeCell ref="A186:F186"/>
    <mergeCell ref="A187:F187"/>
    <mergeCell ref="B148:E148"/>
    <mergeCell ref="B154:E154"/>
    <mergeCell ref="A157:F157"/>
    <mergeCell ref="A158:F158"/>
    <mergeCell ref="A163:G163"/>
    <mergeCell ref="A164:G164"/>
    <mergeCell ref="A121:B121"/>
    <mergeCell ref="A130:E130"/>
    <mergeCell ref="A131:E131"/>
    <mergeCell ref="A135:G135"/>
    <mergeCell ref="A136:G136"/>
    <mergeCell ref="B144:E144"/>
    <mergeCell ref="B104:E104"/>
    <mergeCell ref="B108:E108"/>
    <mergeCell ref="A111:F111"/>
    <mergeCell ref="A112:F112"/>
    <mergeCell ref="A113:F113"/>
    <mergeCell ref="A117:G117"/>
    <mergeCell ref="B86:E86"/>
    <mergeCell ref="A89:F89"/>
    <mergeCell ref="A90:F90"/>
    <mergeCell ref="A91:F91"/>
    <mergeCell ref="A95:G95"/>
    <mergeCell ref="A96:G96"/>
    <mergeCell ref="A57:F57"/>
    <mergeCell ref="A58:F58"/>
    <mergeCell ref="A64:G64"/>
    <mergeCell ref="A65:G65"/>
    <mergeCell ref="B74:E74"/>
    <mergeCell ref="B80:E80"/>
    <mergeCell ref="A35:G35"/>
    <mergeCell ref="A36:G36"/>
    <mergeCell ref="B43:E43"/>
    <mergeCell ref="B48:E48"/>
    <mergeCell ref="B53:E53"/>
    <mergeCell ref="A56:F56"/>
    <mergeCell ref="A17:F17"/>
    <mergeCell ref="A20:G20"/>
    <mergeCell ref="A21:G21"/>
    <mergeCell ref="B27:E27"/>
    <mergeCell ref="A31:F31"/>
    <mergeCell ref="A32:F32"/>
    <mergeCell ref="A2:G2"/>
    <mergeCell ref="A4:G4"/>
    <mergeCell ref="A5:G5"/>
    <mergeCell ref="B11:E11"/>
    <mergeCell ref="A15:F15"/>
    <mergeCell ref="A16:F16"/>
  </mergeCells>
  <pageMargins left="0.7" right="0.7" top="0.75" bottom="0.75" header="0.3" footer="0.3"/>
  <pageSetup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8"/>
  <sheetViews>
    <sheetView view="pageBreakPreview" zoomScaleNormal="85" zoomScaleSheetLayoutView="100" workbookViewId="0">
      <selection activeCell="G26" sqref="G26"/>
    </sheetView>
  </sheetViews>
  <sheetFormatPr defaultColWidth="9.21875" defaultRowHeight="15.6" x14ac:dyDescent="0.25"/>
  <cols>
    <col min="1" max="1" width="11" style="335" customWidth="1"/>
    <col min="2" max="2" width="55.21875" style="336" customWidth="1"/>
    <col min="3" max="3" width="22.44140625" style="337" customWidth="1"/>
    <col min="4" max="6" width="15" style="316" bestFit="1" customWidth="1"/>
    <col min="7" max="7" width="13.88671875" style="316" bestFit="1" customWidth="1"/>
    <col min="8" max="8" width="15" style="316" bestFit="1" customWidth="1"/>
    <col min="9" max="10" width="13.88671875" style="316" bestFit="1" customWidth="1"/>
    <col min="11" max="11" width="11" style="316" bestFit="1" customWidth="1"/>
    <col min="12" max="16384" width="9.21875" style="316"/>
  </cols>
  <sheetData>
    <row r="1" spans="1:8" ht="72.599999999999994" customHeight="1" thickBot="1" x14ac:dyDescent="0.35">
      <c r="A1" s="2944" t="s">
        <v>2010</v>
      </c>
      <c r="B1" s="2945"/>
      <c r="C1" s="2946"/>
    </row>
    <row r="2" spans="1:8" ht="16.2" thickBot="1" x14ac:dyDescent="0.3">
      <c r="A2" s="2868" t="s">
        <v>1588</v>
      </c>
      <c r="B2" s="2869"/>
      <c r="C2" s="2870"/>
    </row>
    <row r="3" spans="1:8" ht="18.600000000000001" customHeight="1" thickBot="1" x14ac:dyDescent="0.35">
      <c r="A3" s="313" t="s">
        <v>927</v>
      </c>
      <c r="B3" s="314" t="s">
        <v>684</v>
      </c>
      <c r="C3" s="315" t="s">
        <v>926</v>
      </c>
      <c r="D3" s="316">
        <f>C7+C9</f>
        <v>47150143.25</v>
      </c>
    </row>
    <row r="4" spans="1:8" x14ac:dyDescent="0.3">
      <c r="A4" s="317"/>
      <c r="B4" s="318"/>
      <c r="C4" s="319"/>
    </row>
    <row r="5" spans="1:8" hidden="1" x14ac:dyDescent="0.25">
      <c r="A5" s="320" t="s">
        <v>1029</v>
      </c>
      <c r="B5" s="321" t="s">
        <v>8</v>
      </c>
      <c r="C5" s="322">
        <f>prelims!I135</f>
        <v>318750</v>
      </c>
      <c r="D5" s="316" t="e">
        <f>C7+#REF!+#REF!</f>
        <v>#REF!</v>
      </c>
      <c r="E5" s="316" t="e">
        <f>C5/D5*100</f>
        <v>#REF!</v>
      </c>
      <c r="F5" s="316">
        <f>C5/D3*100</f>
        <v>0.6760318803485289</v>
      </c>
    </row>
    <row r="6" spans="1:8" hidden="1" x14ac:dyDescent="0.25">
      <c r="A6" s="320"/>
      <c r="B6" s="323"/>
      <c r="C6" s="322"/>
    </row>
    <row r="7" spans="1:8" hidden="1" x14ac:dyDescent="0.25">
      <c r="A7" s="320" t="s">
        <v>1030</v>
      </c>
      <c r="B7" s="321" t="s">
        <v>89</v>
      </c>
      <c r="C7" s="322">
        <f>summary!C19</f>
        <v>47150143.25</v>
      </c>
      <c r="D7" s="316">
        <f>60000000-C5</f>
        <v>59681250</v>
      </c>
      <c r="E7" s="316">
        <f>SUM(C7:C15)</f>
        <v>145087929.75</v>
      </c>
    </row>
    <row r="8" spans="1:8" hidden="1" x14ac:dyDescent="0.25">
      <c r="A8" s="320"/>
      <c r="B8" s="323"/>
      <c r="C8" s="322"/>
      <c r="G8" s="316" t="e">
        <f>#REF!*8500</f>
        <v>#REF!</v>
      </c>
    </row>
    <row r="9" spans="1:8" hidden="1" x14ac:dyDescent="0.25">
      <c r="A9" s="320" t="s">
        <v>1031</v>
      </c>
      <c r="B9" s="323" t="s">
        <v>1499</v>
      </c>
      <c r="C9" s="322">
        <f>L.toilet!F236</f>
        <v>0</v>
      </c>
      <c r="D9" s="316" t="e">
        <f>C7-summary!#REF!</f>
        <v>#REF!</v>
      </c>
      <c r="E9" s="316" t="e">
        <f>D9+C5</f>
        <v>#REF!</v>
      </c>
    </row>
    <row r="10" spans="1:8" x14ac:dyDescent="0.25">
      <c r="A10" s="320"/>
      <c r="B10" s="327" t="s">
        <v>1999</v>
      </c>
      <c r="C10" s="758">
        <f>'grnd summry- tender'!C17</f>
        <v>48968893.25</v>
      </c>
      <c r="E10" s="316" t="e">
        <f>C10-summary!#REF!-'grnd summry- sign'!C9</f>
        <v>#REF!</v>
      </c>
      <c r="G10" s="316">
        <f>C10*0.95</f>
        <v>46520448.587499999</v>
      </c>
      <c r="H10" s="316">
        <f>C10/9000</f>
        <v>5440.9881388888889</v>
      </c>
    </row>
    <row r="11" spans="1:8" hidden="1" x14ac:dyDescent="0.25">
      <c r="A11" s="320"/>
      <c r="B11" s="323"/>
      <c r="C11" s="322"/>
    </row>
    <row r="12" spans="1:8" hidden="1" x14ac:dyDescent="0.25">
      <c r="A12" s="320"/>
      <c r="B12" s="326" t="s">
        <v>91</v>
      </c>
      <c r="C12" s="322"/>
    </row>
    <row r="13" spans="1:8" x14ac:dyDescent="0.25">
      <c r="A13" s="320"/>
      <c r="B13" s="326"/>
      <c r="C13" s="322"/>
    </row>
    <row r="14" spans="1:8" hidden="1" x14ac:dyDescent="0.25">
      <c r="A14" s="320"/>
      <c r="B14" s="327" t="s">
        <v>1601</v>
      </c>
      <c r="C14" s="758">
        <f>C10-C12</f>
        <v>48968893.25</v>
      </c>
    </row>
    <row r="15" spans="1:8" hidden="1" x14ac:dyDescent="0.25">
      <c r="A15" s="320"/>
      <c r="B15" s="323"/>
      <c r="C15" s="322"/>
    </row>
    <row r="16" spans="1:8" x14ac:dyDescent="0.25">
      <c r="A16" s="320"/>
      <c r="B16" s="326" t="s">
        <v>1792</v>
      </c>
      <c r="C16" s="322">
        <f>'grnd summry- tender'!C19</f>
        <v>0</v>
      </c>
      <c r="D16" s="316">
        <f>SUM(C7:C9)</f>
        <v>47150143.25</v>
      </c>
      <c r="E16" s="316">
        <f>SUM(C10:C16)</f>
        <v>97937786.5</v>
      </c>
      <c r="F16" s="316" t="e">
        <f>#REF!/9000</f>
        <v>#REF!</v>
      </c>
      <c r="G16" s="316">
        <f>9000*9100</f>
        <v>81900000</v>
      </c>
    </row>
    <row r="17" spans="1:10" hidden="1" x14ac:dyDescent="0.25">
      <c r="A17" s="324"/>
      <c r="B17" s="327" t="s">
        <v>2000</v>
      </c>
      <c r="C17" s="328" t="e">
        <f>#REF!+C10</f>
        <v>#REF!</v>
      </c>
      <c r="E17" s="316">
        <f>C5/C7*100</f>
        <v>0.6760318803485289</v>
      </c>
      <c r="F17" s="316">
        <f>D7*3%</f>
        <v>1790437.5</v>
      </c>
      <c r="G17" s="316">
        <f>C5/D7*100</f>
        <v>0.53408733898837579</v>
      </c>
      <c r="I17" s="316">
        <f>D7*0.0486</f>
        <v>2900508.75</v>
      </c>
      <c r="J17" s="316" t="e">
        <f>C17-#REF!</f>
        <v>#REF!</v>
      </c>
    </row>
    <row r="18" spans="1:10" x14ac:dyDescent="0.25">
      <c r="A18" s="324"/>
      <c r="B18" s="326"/>
      <c r="C18" s="325"/>
    </row>
    <row r="19" spans="1:10" x14ac:dyDescent="0.3">
      <c r="A19" s="329"/>
      <c r="B19" s="414" t="s">
        <v>925</v>
      </c>
      <c r="C19" s="331">
        <f>'grnd summry- tender'!C25</f>
        <v>7345333.9874999998</v>
      </c>
      <c r="H19" s="316">
        <f>10000*2*12</f>
        <v>240000</v>
      </c>
    </row>
    <row r="20" spans="1:10" x14ac:dyDescent="0.3">
      <c r="A20" s="329"/>
      <c r="B20" s="330"/>
      <c r="C20" s="331"/>
      <c r="E20" s="316">
        <f>C7+C5</f>
        <v>47468893.25</v>
      </c>
      <c r="J20" s="316" t="e">
        <f>#REF!/187</f>
        <v>#REF!</v>
      </c>
    </row>
    <row r="21" spans="1:10" x14ac:dyDescent="0.3">
      <c r="A21" s="329"/>
      <c r="B21" s="1103" t="str">
        <f>'grnd summry- tender'!B27</f>
        <v>TOTAL PROJECT COST WITH VAT</v>
      </c>
      <c r="C21" s="1104">
        <f>'grnd summry- tender'!C27</f>
        <v>56314227.237499997</v>
      </c>
      <c r="H21" s="316">
        <f>SUM(H19:H20)</f>
        <v>240000</v>
      </c>
    </row>
    <row r="22" spans="1:10" x14ac:dyDescent="0.25">
      <c r="A22" s="2947"/>
      <c r="B22" s="2948"/>
      <c r="C22" s="2949"/>
      <c r="E22" s="316">
        <f>E20/9000</f>
        <v>5274.3214722222219</v>
      </c>
    </row>
    <row r="23" spans="1:10" x14ac:dyDescent="0.25">
      <c r="A23" s="1105"/>
      <c r="B23" s="927"/>
      <c r="C23" s="1106"/>
    </row>
    <row r="24" spans="1:10" x14ac:dyDescent="0.25">
      <c r="A24" s="1105"/>
      <c r="B24" s="927"/>
      <c r="C24" s="1106"/>
      <c r="D24" s="316" t="e">
        <f>C10+#REF!+C16+C19</f>
        <v>#REF!</v>
      </c>
    </row>
    <row r="25" spans="1:10" x14ac:dyDescent="0.25">
      <c r="A25" s="1105"/>
      <c r="B25" s="927"/>
      <c r="C25" s="1106"/>
    </row>
    <row r="26" spans="1:10" x14ac:dyDescent="0.25">
      <c r="A26" s="1105"/>
      <c r="B26" s="927"/>
      <c r="C26" s="1106"/>
    </row>
    <row r="27" spans="1:10" x14ac:dyDescent="0.25">
      <c r="A27" s="1105"/>
      <c r="B27" s="927"/>
      <c r="C27" s="1106"/>
    </row>
    <row r="28" spans="1:10" s="24" customFormat="1" ht="13.8" x14ac:dyDescent="0.25">
      <c r="A28" s="2935" t="s">
        <v>1816</v>
      </c>
      <c r="B28" s="2861"/>
      <c r="C28" s="2936"/>
    </row>
    <row r="29" spans="1:10" s="24" customFormat="1" ht="13.8" x14ac:dyDescent="0.25">
      <c r="A29" s="2950" t="s">
        <v>1820</v>
      </c>
      <c r="B29" s="2863"/>
      <c r="C29" s="2951"/>
    </row>
    <row r="30" spans="1:10" s="24" customFormat="1" ht="13.8" x14ac:dyDescent="0.25">
      <c r="A30" s="2933" t="s">
        <v>1817</v>
      </c>
      <c r="B30" s="2867"/>
      <c r="C30" s="2934"/>
      <c r="E30" s="24">
        <f>C10*3%</f>
        <v>1469066.7974999999</v>
      </c>
    </row>
    <row r="31" spans="1:10" s="24" customFormat="1" ht="13.8" x14ac:dyDescent="0.25">
      <c r="A31" s="1107"/>
      <c r="B31" s="754"/>
      <c r="C31" s="1108"/>
    </row>
    <row r="32" spans="1:10" s="24" customFormat="1" ht="13.8" x14ac:dyDescent="0.25">
      <c r="A32" s="1107"/>
      <c r="B32" s="754"/>
      <c r="C32" s="1108"/>
    </row>
    <row r="33" spans="1:3" s="24" customFormat="1" ht="13.8" x14ac:dyDescent="0.25">
      <c r="A33" s="1107"/>
      <c r="B33" s="754"/>
      <c r="C33" s="1108"/>
    </row>
    <row r="34" spans="1:3" s="24" customFormat="1" ht="13.8" x14ac:dyDescent="0.25">
      <c r="A34" s="1107"/>
      <c r="B34" s="754"/>
      <c r="C34" s="1108"/>
    </row>
    <row r="35" spans="1:3" s="24" customFormat="1" ht="13.8" x14ac:dyDescent="0.25">
      <c r="A35" s="1107"/>
      <c r="B35" s="754"/>
      <c r="C35" s="1108"/>
    </row>
    <row r="36" spans="1:3" s="24" customFormat="1" ht="13.8" x14ac:dyDescent="0.25">
      <c r="A36" s="1107"/>
      <c r="B36" s="754"/>
      <c r="C36" s="1108"/>
    </row>
    <row r="37" spans="1:3" s="24" customFormat="1" ht="13.8" x14ac:dyDescent="0.25">
      <c r="A37" s="2937"/>
      <c r="B37" s="2865"/>
      <c r="C37" s="2938"/>
    </row>
    <row r="38" spans="1:3" s="24" customFormat="1" ht="13.8" x14ac:dyDescent="0.25">
      <c r="A38" s="1109"/>
      <c r="B38" s="1092"/>
      <c r="C38" s="1110"/>
    </row>
    <row r="39" spans="1:3" s="24" customFormat="1" ht="13.8" x14ac:dyDescent="0.25">
      <c r="A39" s="2935" t="s">
        <v>1816</v>
      </c>
      <c r="B39" s="2861"/>
      <c r="C39" s="2936"/>
    </row>
    <row r="40" spans="1:3" s="24" customFormat="1" ht="13.8" x14ac:dyDescent="0.25">
      <c r="A40" s="2937" t="s">
        <v>1818</v>
      </c>
      <c r="B40" s="2865"/>
      <c r="C40" s="2938"/>
    </row>
    <row r="41" spans="1:3" s="24" customFormat="1" ht="13.8" x14ac:dyDescent="0.25">
      <c r="A41" s="2937" t="s">
        <v>1968</v>
      </c>
      <c r="B41" s="2865"/>
      <c r="C41" s="2938"/>
    </row>
    <row r="42" spans="1:3" s="24" customFormat="1" ht="13.8" x14ac:dyDescent="0.25">
      <c r="A42" s="1109"/>
      <c r="B42" s="1092"/>
      <c r="C42" s="1110"/>
    </row>
    <row r="43" spans="1:3" s="24" customFormat="1" ht="13.8" x14ac:dyDescent="0.25">
      <c r="A43" s="1109"/>
      <c r="B43" s="1092"/>
      <c r="C43" s="1110"/>
    </row>
    <row r="44" spans="1:3" s="24" customFormat="1" ht="13.8" x14ac:dyDescent="0.25">
      <c r="A44" s="2937"/>
      <c r="B44" s="2865"/>
      <c r="C44" s="2938"/>
    </row>
    <row r="45" spans="1:3" s="24" customFormat="1" ht="13.8" x14ac:dyDescent="0.25">
      <c r="A45" s="1109"/>
      <c r="B45" s="1092"/>
      <c r="C45" s="1110"/>
    </row>
    <row r="46" spans="1:3" s="24" customFormat="1" ht="13.8" x14ac:dyDescent="0.25">
      <c r="A46" s="2933"/>
      <c r="B46" s="2867"/>
      <c r="C46" s="2934"/>
    </row>
    <row r="47" spans="1:3" s="24" customFormat="1" ht="13.8" x14ac:dyDescent="0.25">
      <c r="A47" s="2942"/>
      <c r="B47" s="2866"/>
      <c r="C47" s="2943"/>
    </row>
    <row r="48" spans="1:3" s="24" customFormat="1" ht="13.8" x14ac:dyDescent="0.25">
      <c r="A48" s="2942"/>
      <c r="B48" s="2866"/>
      <c r="C48" s="2943"/>
    </row>
    <row r="49" spans="1:5" s="24" customFormat="1" ht="13.8" x14ac:dyDescent="0.25">
      <c r="A49" s="2935" t="s">
        <v>1816</v>
      </c>
      <c r="B49" s="2861"/>
      <c r="C49" s="2936"/>
    </row>
    <row r="50" spans="1:5" s="24" customFormat="1" ht="13.8" x14ac:dyDescent="0.25">
      <c r="A50" s="2937" t="s">
        <v>1821</v>
      </c>
      <c r="B50" s="2865"/>
      <c r="C50" s="2938"/>
    </row>
    <row r="51" spans="1:5" s="24" customFormat="1" ht="13.8" customHeight="1" x14ac:dyDescent="0.25">
      <c r="A51" s="2937" t="s">
        <v>1968</v>
      </c>
      <c r="B51" s="2865"/>
      <c r="C51" s="2938"/>
    </row>
    <row r="52" spans="1:5" s="24" customFormat="1" ht="13.8" x14ac:dyDescent="0.25">
      <c r="A52" s="2937"/>
      <c r="B52" s="2865"/>
      <c r="C52" s="2938"/>
    </row>
    <row r="53" spans="1:5" s="24" customFormat="1" ht="13.8" x14ac:dyDescent="0.25">
      <c r="A53" s="1109"/>
      <c r="B53" s="1092"/>
      <c r="C53" s="1110"/>
    </row>
    <row r="54" spans="1:5" s="24" customFormat="1" ht="13.8" x14ac:dyDescent="0.25">
      <c r="A54" s="1109"/>
      <c r="B54" s="1092"/>
      <c r="C54" s="1110"/>
    </row>
    <row r="55" spans="1:5" s="24" customFormat="1" ht="13.8" x14ac:dyDescent="0.25">
      <c r="A55" s="1109"/>
      <c r="B55" s="1092"/>
      <c r="C55" s="1110"/>
    </row>
    <row r="56" spans="1:5" s="24" customFormat="1" ht="13.8" x14ac:dyDescent="0.25">
      <c r="A56" s="1109"/>
      <c r="B56" s="1092"/>
      <c r="C56" s="1110"/>
    </row>
    <row r="57" spans="1:5" s="24" customFormat="1" ht="13.8" x14ac:dyDescent="0.25">
      <c r="A57" s="1109"/>
      <c r="B57" s="1092"/>
      <c r="C57" s="1110"/>
    </row>
    <row r="58" spans="1:5" s="24" customFormat="1" ht="13.8" x14ac:dyDescent="0.25">
      <c r="A58" s="1109"/>
      <c r="B58" s="1092"/>
      <c r="C58" s="1110"/>
    </row>
    <row r="59" spans="1:5" s="24" customFormat="1" ht="13.8" x14ac:dyDescent="0.25">
      <c r="A59" s="1109"/>
      <c r="B59" s="1092"/>
      <c r="C59" s="1110"/>
    </row>
    <row r="60" spans="1:5" s="24" customFormat="1" ht="13.8" x14ac:dyDescent="0.25">
      <c r="A60" s="2935" t="s">
        <v>1819</v>
      </c>
      <c r="B60" s="2861"/>
      <c r="C60" s="2936"/>
    </row>
    <row r="61" spans="1:5" s="24" customFormat="1" ht="13.8" x14ac:dyDescent="0.25">
      <c r="A61" s="2939" t="s">
        <v>1980</v>
      </c>
      <c r="B61" s="2940"/>
      <c r="C61" s="2941"/>
    </row>
    <row r="62" spans="1:5" x14ac:dyDescent="0.3">
      <c r="A62" s="1087">
        <v>60000000</v>
      </c>
      <c r="B62" s="1087">
        <v>60000000</v>
      </c>
      <c r="C62" s="1087">
        <v>60000000</v>
      </c>
      <c r="D62" s="316" t="e">
        <f>#REF!-A62</f>
        <v>#REF!</v>
      </c>
    </row>
    <row r="63" spans="1:5" x14ac:dyDescent="0.25">
      <c r="B63" s="336" t="s">
        <v>1586</v>
      </c>
      <c r="C63" s="337">
        <f>A62*0.0144</f>
        <v>864000</v>
      </c>
      <c r="E63" s="316" t="e">
        <f>D62*1.44%</f>
        <v>#REF!</v>
      </c>
    </row>
    <row r="64" spans="1:5" x14ac:dyDescent="0.25">
      <c r="C64" s="337">
        <f>C10*1.44%</f>
        <v>705152.06279999996</v>
      </c>
    </row>
    <row r="67" spans="2:9" x14ac:dyDescent="0.25">
      <c r="B67" s="726" t="s">
        <v>1553</v>
      </c>
      <c r="C67" s="727">
        <v>0.23</v>
      </c>
      <c r="D67" s="316">
        <f>C67*C64</f>
        <v>162184.97444399999</v>
      </c>
      <c r="E67" s="316">
        <f>C67*C63</f>
        <v>198720</v>
      </c>
      <c r="G67" s="316" t="e">
        <f>#REF!/9000</f>
        <v>#REF!</v>
      </c>
    </row>
    <row r="68" spans="2:9" x14ac:dyDescent="0.25">
      <c r="B68" s="726" t="s">
        <v>1554</v>
      </c>
      <c r="C68" s="727">
        <v>0.18</v>
      </c>
      <c r="D68" s="316">
        <f>C68*C64</f>
        <v>126927.37130399999</v>
      </c>
      <c r="E68" s="316">
        <f>C68*C63</f>
        <v>155520</v>
      </c>
    </row>
    <row r="69" spans="2:9" x14ac:dyDescent="0.25">
      <c r="B69" s="726" t="s">
        <v>1555</v>
      </c>
      <c r="C69" s="727">
        <v>0.22</v>
      </c>
      <c r="D69" s="316">
        <f>C69*C64</f>
        <v>155133.45381599999</v>
      </c>
      <c r="E69" s="316">
        <f>C69*C63</f>
        <v>190080</v>
      </c>
    </row>
    <row r="70" spans="2:9" x14ac:dyDescent="0.25">
      <c r="B70" s="726" t="s">
        <v>1556</v>
      </c>
      <c r="C70" s="727">
        <v>0.1</v>
      </c>
      <c r="D70" s="316">
        <f>C70*C64</f>
        <v>70515.206279999999</v>
      </c>
      <c r="E70" s="316">
        <f>C70*C63</f>
        <v>86400</v>
      </c>
      <c r="F70" s="316">
        <f>SUM(D67:D70)</f>
        <v>514761.00584399997</v>
      </c>
      <c r="G70" s="316">
        <f>SUM(E67:E70)</f>
        <v>630720</v>
      </c>
      <c r="H70" s="316">
        <f>F70-175000</f>
        <v>339761.00584399997</v>
      </c>
      <c r="I70" s="316">
        <f>G70-175000</f>
        <v>455720</v>
      </c>
    </row>
    <row r="71" spans="2:9" x14ac:dyDescent="0.25">
      <c r="B71" s="726" t="s">
        <v>1557</v>
      </c>
      <c r="C71" s="727">
        <v>0.12</v>
      </c>
      <c r="D71" s="316">
        <f>C71*C64</f>
        <v>84618.247535999995</v>
      </c>
      <c r="E71" s="316">
        <f>C71*C63</f>
        <v>103680</v>
      </c>
    </row>
    <row r="72" spans="2:9" x14ac:dyDescent="0.25">
      <c r="B72" s="726" t="s">
        <v>1558</v>
      </c>
      <c r="C72" s="727">
        <v>0.15</v>
      </c>
      <c r="D72" s="316">
        <f>C72*C64</f>
        <v>105772.80941999999</v>
      </c>
      <c r="E72" s="316">
        <f>C72*C63</f>
        <v>129600</v>
      </c>
    </row>
    <row r="75" spans="2:9" x14ac:dyDescent="0.25">
      <c r="B75" s="336" t="s">
        <v>1564</v>
      </c>
      <c r="D75" s="316">
        <f>12*80500</f>
        <v>966000</v>
      </c>
      <c r="E75" s="316">
        <f>D75</f>
        <v>966000</v>
      </c>
    </row>
    <row r="76" spans="2:9" x14ac:dyDescent="0.25">
      <c r="B76" s="336" t="s">
        <v>1565</v>
      </c>
      <c r="D76" s="316">
        <f>24*10000</f>
        <v>240000</v>
      </c>
      <c r="E76" s="316">
        <f>D76</f>
        <v>240000</v>
      </c>
    </row>
    <row r="78" spans="2:9" x14ac:dyDescent="0.25">
      <c r="D78" s="316">
        <f>SUM(D67:D76)</f>
        <v>1911152.0628</v>
      </c>
      <c r="E78" s="316">
        <f>SUM(E67:E76)</f>
        <v>2070000</v>
      </c>
    </row>
  </sheetData>
  <mergeCells count="20">
    <mergeCell ref="A1:C1"/>
    <mergeCell ref="A2:C2"/>
    <mergeCell ref="A22:C22"/>
    <mergeCell ref="A28:C28"/>
    <mergeCell ref="A29:C29"/>
    <mergeCell ref="A30:C30"/>
    <mergeCell ref="A39:C39"/>
    <mergeCell ref="A49:C49"/>
    <mergeCell ref="A50:C50"/>
    <mergeCell ref="A61:C61"/>
    <mergeCell ref="A60:C60"/>
    <mergeCell ref="A51:C51"/>
    <mergeCell ref="A52:C52"/>
    <mergeCell ref="A40:C40"/>
    <mergeCell ref="A41:C41"/>
    <mergeCell ref="A44:C44"/>
    <mergeCell ref="A46:C46"/>
    <mergeCell ref="A47:C47"/>
    <mergeCell ref="A48:C48"/>
    <mergeCell ref="A37:C37"/>
  </mergeCells>
  <pageMargins left="1.1417322834645669" right="0.9" top="0.98425196850393704" bottom="0.23622047244094491" header="0.35433070866141736" footer="2.5590551181102366"/>
  <pageSetup paperSize="9" scale="87"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0"/>
  <sheetViews>
    <sheetView view="pageBreakPreview" zoomScaleNormal="85" zoomScaleSheetLayoutView="100" workbookViewId="0">
      <pane ySplit="1" topLeftCell="A2" activePane="bottomLeft" state="frozen"/>
      <selection pane="bottomLeft" activeCell="B11" sqref="B11"/>
    </sheetView>
  </sheetViews>
  <sheetFormatPr defaultColWidth="9.21875" defaultRowHeight="13.8" x14ac:dyDescent="0.25"/>
  <cols>
    <col min="1" max="1" width="4.88671875" style="38" bestFit="1" customWidth="1"/>
    <col min="2" max="2" width="53.77734375" style="36" bestFit="1" customWidth="1"/>
    <col min="3" max="3" width="9.109375" style="39" bestFit="1" customWidth="1"/>
    <col min="4" max="4" width="5.77734375" style="38" bestFit="1" customWidth="1"/>
    <col min="5" max="5" width="11.44140625" style="202" bestFit="1" customWidth="1"/>
    <col min="6" max="6" width="11.6640625" style="39" bestFit="1" customWidth="1"/>
    <col min="7" max="7" width="9.44140625" style="39" customWidth="1"/>
    <col min="8" max="8" width="9.21875" style="24"/>
    <col min="9" max="9" width="12.44140625" style="24" bestFit="1" customWidth="1"/>
    <col min="10" max="10" width="10" style="24" bestFit="1" customWidth="1"/>
    <col min="11" max="11" width="11" style="24" bestFit="1" customWidth="1"/>
    <col min="12" max="13" width="12.88671875" style="24" bestFit="1" customWidth="1"/>
    <col min="14" max="14" width="10.33203125" style="24" bestFit="1" customWidth="1"/>
    <col min="15" max="16384" width="9.21875" style="24"/>
  </cols>
  <sheetData>
    <row r="1" spans="1:7" s="31" customFormat="1" ht="14.4" thickBot="1" x14ac:dyDescent="0.3">
      <c r="A1" s="734" t="s">
        <v>0</v>
      </c>
      <c r="B1" s="734" t="s">
        <v>1</v>
      </c>
      <c r="C1" s="734" t="s">
        <v>2</v>
      </c>
      <c r="D1" s="938" t="s">
        <v>3</v>
      </c>
      <c r="E1" s="932" t="s">
        <v>4</v>
      </c>
      <c r="F1" s="934" t="s">
        <v>5</v>
      </c>
      <c r="G1" s="305" t="s">
        <v>874</v>
      </c>
    </row>
    <row r="2" spans="1:7" s="12" customFormat="1" ht="28.05" customHeight="1" x14ac:dyDescent="0.25">
      <c r="A2" s="360"/>
      <c r="B2" s="361" t="s">
        <v>2534</v>
      </c>
      <c r="C2" s="362"/>
      <c r="D2" s="251"/>
      <c r="E2" s="350"/>
      <c r="F2" s="363"/>
      <c r="G2" s="306"/>
    </row>
    <row r="3" spans="1:7" s="12" customFormat="1" ht="15.6" x14ac:dyDescent="0.25">
      <c r="A3" s="360"/>
      <c r="B3" s="361"/>
      <c r="C3" s="362"/>
      <c r="D3" s="251"/>
      <c r="E3" s="350"/>
      <c r="F3" s="363"/>
      <c r="G3" s="306"/>
    </row>
    <row r="4" spans="1:7" s="12" customFormat="1" ht="62.4" x14ac:dyDescent="0.25">
      <c r="A4" s="360"/>
      <c r="B4" s="1169" t="s">
        <v>2535</v>
      </c>
      <c r="C4" s="1170" t="s">
        <v>2538</v>
      </c>
      <c r="D4" s="251"/>
      <c r="E4" s="350"/>
      <c r="F4" s="363"/>
      <c r="G4" s="306"/>
    </row>
    <row r="5" spans="1:7" s="12" customFormat="1" ht="15.6" x14ac:dyDescent="0.25">
      <c r="A5" s="360"/>
      <c r="B5" s="361"/>
      <c r="C5" s="1170"/>
      <c r="D5" s="251"/>
      <c r="E5" s="350"/>
      <c r="F5" s="363"/>
      <c r="G5" s="306"/>
    </row>
    <row r="6" spans="1:7" s="12" customFormat="1" ht="46.8" x14ac:dyDescent="0.25">
      <c r="A6" s="360"/>
      <c r="B6" s="1169" t="s">
        <v>2536</v>
      </c>
      <c r="C6" s="1170" t="s">
        <v>2538</v>
      </c>
      <c r="D6" s="251"/>
      <c r="E6" s="350"/>
      <c r="F6" s="363"/>
      <c r="G6" s="306"/>
    </row>
    <row r="7" spans="1:7" s="12" customFormat="1" ht="15.6" x14ac:dyDescent="0.25">
      <c r="A7" s="360"/>
      <c r="B7" s="361"/>
      <c r="C7" s="1170"/>
      <c r="D7" s="251"/>
      <c r="E7" s="350"/>
      <c r="F7" s="363"/>
      <c r="G7" s="306"/>
    </row>
    <row r="8" spans="1:7" s="12" customFormat="1" ht="31.2" x14ac:dyDescent="0.25">
      <c r="A8" s="360"/>
      <c r="B8" s="1169" t="s">
        <v>2537</v>
      </c>
      <c r="C8" s="1170" t="s">
        <v>2538</v>
      </c>
      <c r="D8" s="251"/>
      <c r="E8" s="350"/>
      <c r="F8" s="363"/>
      <c r="G8" s="306"/>
    </row>
    <row r="9" spans="1:7" s="12" customFormat="1" ht="15.6" x14ac:dyDescent="0.25">
      <c r="A9" s="360"/>
      <c r="B9" s="361"/>
      <c r="C9" s="1170"/>
      <c r="D9" s="251"/>
      <c r="E9" s="350"/>
      <c r="F9" s="363"/>
      <c r="G9" s="306"/>
    </row>
    <row r="10" spans="1:7" s="12" customFormat="1" ht="31.2" x14ac:dyDescent="0.25">
      <c r="A10" s="360" t="s">
        <v>2539</v>
      </c>
      <c r="B10" s="1169" t="s">
        <v>2540</v>
      </c>
      <c r="C10" s="1170">
        <v>1</v>
      </c>
      <c r="D10" s="251" t="s">
        <v>13</v>
      </c>
      <c r="E10" s="350">
        <v>200000</v>
      </c>
      <c r="F10" s="363">
        <f>E10*C10</f>
        <v>200000</v>
      </c>
      <c r="G10" s="306"/>
    </row>
    <row r="11" spans="1:7" ht="14.4" thickBot="1" x14ac:dyDescent="0.3">
      <c r="A11" s="226"/>
      <c r="B11" s="368"/>
      <c r="C11" s="369"/>
      <c r="D11" s="251"/>
      <c r="E11" s="350"/>
      <c r="F11" s="363"/>
      <c r="G11" s="306"/>
    </row>
    <row r="12" spans="1:7" s="12" customFormat="1" x14ac:dyDescent="0.25">
      <c r="A12" s="949"/>
      <c r="B12" s="950" t="s">
        <v>2541</v>
      </c>
      <c r="C12" s="951"/>
      <c r="D12" s="952"/>
      <c r="E12" s="953"/>
      <c r="F12" s="954">
        <f>SUM(F4:F11)</f>
        <v>200000</v>
      </c>
      <c r="G12" s="307"/>
    </row>
    <row r="44" spans="3:9" x14ac:dyDescent="0.25">
      <c r="D44" s="38">
        <f>600/10.76</f>
        <v>55.762081784386616</v>
      </c>
      <c r="G44" s="39">
        <f>1000/50</f>
        <v>20</v>
      </c>
    </row>
    <row r="45" spans="3:9" x14ac:dyDescent="0.25">
      <c r="D45" s="38">
        <f>D44*0.05</f>
        <v>2.7881040892193312</v>
      </c>
      <c r="G45" s="39">
        <f>50/1000</f>
        <v>0.05</v>
      </c>
      <c r="I45" s="24">
        <f>D45/2.83</f>
        <v>0.98519579124357992</v>
      </c>
    </row>
    <row r="48" spans="3:9" x14ac:dyDescent="0.25">
      <c r="C48" s="39" t="s">
        <v>1045</v>
      </c>
      <c r="D48" s="38">
        <f>13*I45</f>
        <v>12.807545286166539</v>
      </c>
    </row>
    <row r="49" spans="3:4" x14ac:dyDescent="0.25">
      <c r="C49" s="39" t="s">
        <v>1046</v>
      </c>
      <c r="D49" s="38">
        <f>0.53*I45</f>
        <v>0.52215376935909741</v>
      </c>
    </row>
    <row r="50" spans="3:4" x14ac:dyDescent="0.25">
      <c r="C50" s="39" t="s">
        <v>1047</v>
      </c>
      <c r="D50" s="38">
        <f>0.92*I45</f>
        <v>0.90638012794409362</v>
      </c>
    </row>
  </sheetData>
  <pageMargins left="0.51181102362204722" right="0.51181102362204722" top="0.23622047244094491" bottom="0.23622047244094491" header="0.51181102362204722" footer="0.51181102362204722"/>
  <pageSetup orientation="portrait" r:id="rId1"/>
  <headerFooter alignWithMargins="0">
    <oddFooter>&amp;C&amp;P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85"/>
  <sheetViews>
    <sheetView view="pageBreakPreview" topLeftCell="A262" zoomScaleNormal="85" zoomScaleSheetLayoutView="100" workbookViewId="0">
      <selection activeCell="B42" sqref="B42"/>
    </sheetView>
  </sheetViews>
  <sheetFormatPr defaultColWidth="9.21875" defaultRowHeight="13.8" x14ac:dyDescent="0.25"/>
  <cols>
    <col min="1" max="1" width="5.88671875" style="2094" bestFit="1" customWidth="1"/>
    <col min="2" max="2" width="46.6640625" style="2037" customWidth="1"/>
    <col min="3" max="3" width="8.88671875" style="2032" customWidth="1"/>
    <col min="4" max="4" width="5.77734375" style="2094" bestFit="1" customWidth="1"/>
    <col min="5" max="5" width="10.44140625" style="2095" bestFit="1" customWidth="1"/>
    <col min="6" max="6" width="12.6640625" style="2032" bestFit="1" customWidth="1"/>
    <col min="7" max="7" width="10.109375" style="2037" bestFit="1" customWidth="1"/>
    <col min="8" max="10" width="10.109375" style="2037" customWidth="1"/>
    <col min="11" max="11" width="12.44140625" style="2037" bestFit="1" customWidth="1"/>
    <col min="12" max="12" width="10" style="2037" bestFit="1" customWidth="1"/>
    <col min="13" max="13" width="11" style="2037" bestFit="1" customWidth="1"/>
    <col min="14" max="15" width="12.88671875" style="2037" bestFit="1" customWidth="1"/>
    <col min="16" max="16" width="10.33203125" style="2037" bestFit="1" customWidth="1"/>
    <col min="17" max="16384" width="9.21875" style="2037"/>
  </cols>
  <sheetData>
    <row r="1" spans="1:15" s="1188" customFormat="1" ht="14.4" thickBot="1" x14ac:dyDescent="0.3">
      <c r="A1" s="2039" t="s">
        <v>0</v>
      </c>
      <c r="B1" s="2040" t="s">
        <v>1</v>
      </c>
      <c r="C1" s="2041" t="s">
        <v>2</v>
      </c>
      <c r="D1" s="2042" t="s">
        <v>3</v>
      </c>
      <c r="E1" s="2043" t="s">
        <v>4</v>
      </c>
      <c r="F1" s="2044" t="s">
        <v>5</v>
      </c>
    </row>
    <row r="2" spans="1:15" s="1188" customFormat="1" x14ac:dyDescent="0.25">
      <c r="A2" s="1928"/>
      <c r="B2" s="2045" t="s">
        <v>923</v>
      </c>
      <c r="C2" s="2046"/>
      <c r="D2" s="2005"/>
      <c r="E2" s="2006"/>
      <c r="F2" s="2007"/>
    </row>
    <row r="3" spans="1:15" s="1188" customFormat="1" ht="20.100000000000001" customHeight="1" x14ac:dyDescent="0.25">
      <c r="A3" s="1928"/>
      <c r="B3" s="2045" t="s">
        <v>161</v>
      </c>
      <c r="C3" s="2046"/>
      <c r="D3" s="2005"/>
      <c r="E3" s="2006"/>
      <c r="F3" s="2007"/>
    </row>
    <row r="4" spans="1:15" s="1188" customFormat="1" x14ac:dyDescent="0.25">
      <c r="A4" s="1928"/>
      <c r="B4" s="2047" t="s">
        <v>935</v>
      </c>
      <c r="C4" s="2046"/>
      <c r="D4" s="2005"/>
      <c r="E4" s="2006"/>
      <c r="F4" s="2007"/>
    </row>
    <row r="5" spans="1:15" s="1188" customFormat="1" x14ac:dyDescent="0.25">
      <c r="A5" s="1928"/>
      <c r="B5" s="2047"/>
      <c r="C5" s="2046"/>
      <c r="D5" s="2005"/>
      <c r="E5" s="2006"/>
      <c r="F5" s="2007"/>
    </row>
    <row r="6" spans="1:15" s="1188" customFormat="1" ht="27.6" x14ac:dyDescent="0.25">
      <c r="A6" s="1928"/>
      <c r="B6" s="2048" t="s">
        <v>1038</v>
      </c>
      <c r="C6" s="2046"/>
      <c r="D6" s="2005"/>
      <c r="E6" s="2006"/>
      <c r="F6" s="2007"/>
    </row>
    <row r="7" spans="1:15" s="1188" customFormat="1" x14ac:dyDescent="0.25">
      <c r="A7" s="1928"/>
      <c r="B7" s="2045"/>
      <c r="C7" s="2046"/>
      <c r="D7" s="2005"/>
      <c r="E7" s="2006"/>
      <c r="F7" s="2007"/>
    </row>
    <row r="8" spans="1:15" s="1188" customFormat="1" ht="27.6" x14ac:dyDescent="0.25">
      <c r="A8" s="1928"/>
      <c r="B8" s="2048" t="s">
        <v>2550</v>
      </c>
      <c r="C8" s="2046"/>
      <c r="D8" s="2005"/>
      <c r="E8" s="2006"/>
      <c r="F8" s="2007"/>
    </row>
    <row r="9" spans="1:15" s="1188" customFormat="1" x14ac:dyDescent="0.25">
      <c r="A9" s="1928"/>
      <c r="B9" s="2045"/>
      <c r="C9" s="2046"/>
      <c r="D9" s="2005"/>
      <c r="E9" s="2006"/>
      <c r="F9" s="2007"/>
    </row>
    <row r="10" spans="1:15" s="1188" customFormat="1" ht="55.2" x14ac:dyDescent="0.25">
      <c r="A10" s="1928"/>
      <c r="B10" s="2048" t="s">
        <v>936</v>
      </c>
      <c r="C10" s="2046"/>
      <c r="D10" s="2005"/>
      <c r="E10" s="2006"/>
      <c r="F10" s="2007"/>
      <c r="O10" s="1188" t="e">
        <f>F76+F246</f>
        <v>#REF!</v>
      </c>
    </row>
    <row r="11" spans="1:15" s="1188" customFormat="1" x14ac:dyDescent="0.25">
      <c r="A11" s="1928"/>
      <c r="B11" s="2045"/>
      <c r="C11" s="2046"/>
      <c r="D11" s="2005"/>
      <c r="E11" s="2006"/>
      <c r="F11" s="2007"/>
    </row>
    <row r="12" spans="1:15" s="1188" customFormat="1" ht="27.6" x14ac:dyDescent="0.25">
      <c r="A12" s="1928"/>
      <c r="B12" s="2048" t="s">
        <v>937</v>
      </c>
      <c r="C12" s="2046"/>
      <c r="D12" s="2005"/>
      <c r="E12" s="2006"/>
      <c r="F12" s="2007"/>
    </row>
    <row r="13" spans="1:15" s="1188" customFormat="1" x14ac:dyDescent="0.25">
      <c r="A13" s="1928"/>
      <c r="B13" s="2048"/>
      <c r="C13" s="2046"/>
      <c r="D13" s="2005"/>
      <c r="E13" s="2006"/>
      <c r="F13" s="2007"/>
    </row>
    <row r="14" spans="1:15" s="1188" customFormat="1" ht="27.6" x14ac:dyDescent="0.25">
      <c r="A14" s="1928"/>
      <c r="B14" s="2048" t="s">
        <v>1039</v>
      </c>
      <c r="C14" s="2046"/>
      <c r="D14" s="2005"/>
      <c r="E14" s="2006"/>
      <c r="F14" s="2007"/>
    </row>
    <row r="15" spans="1:15" s="1188" customFormat="1" x14ac:dyDescent="0.25">
      <c r="A15" s="1928"/>
      <c r="B15" s="2048"/>
      <c r="C15" s="2046"/>
      <c r="D15" s="2005"/>
      <c r="E15" s="2006"/>
      <c r="F15" s="2007"/>
    </row>
    <row r="16" spans="1:15" s="1188" customFormat="1" ht="27.6" x14ac:dyDescent="0.25">
      <c r="A16" s="1928"/>
      <c r="B16" s="2048" t="s">
        <v>1040</v>
      </c>
      <c r="C16" s="2046"/>
      <c r="D16" s="2005"/>
      <c r="E16" s="2006"/>
      <c r="F16" s="2007"/>
    </row>
    <row r="17" spans="1:11" s="1188" customFormat="1" x14ac:dyDescent="0.25">
      <c r="A17" s="1928"/>
      <c r="B17" s="2048"/>
      <c r="C17" s="2046"/>
      <c r="D17" s="2005"/>
      <c r="E17" s="2006"/>
      <c r="F17" s="2007"/>
    </row>
    <row r="18" spans="1:11" s="1188" customFormat="1" ht="41.4" x14ac:dyDescent="0.25">
      <c r="A18" s="1928"/>
      <c r="B18" s="2048" t="s">
        <v>1041</v>
      </c>
      <c r="C18" s="2046"/>
      <c r="D18" s="2005"/>
      <c r="E18" s="2006"/>
      <c r="F18" s="2007"/>
    </row>
    <row r="19" spans="1:11" s="1188" customFormat="1" x14ac:dyDescent="0.25">
      <c r="A19" s="1928"/>
      <c r="B19" s="2048"/>
      <c r="C19" s="2046"/>
      <c r="D19" s="2005"/>
      <c r="E19" s="2006"/>
      <c r="F19" s="2007"/>
    </row>
    <row r="20" spans="1:11" s="1188" customFormat="1" ht="27.6" x14ac:dyDescent="0.25">
      <c r="A20" s="1928"/>
      <c r="B20" s="2048" t="s">
        <v>1042</v>
      </c>
      <c r="C20" s="2046"/>
      <c r="D20" s="2005"/>
      <c r="E20" s="2006"/>
      <c r="F20" s="2007"/>
    </row>
    <row r="21" spans="1:11" s="1188" customFormat="1" ht="55.05" customHeight="1" x14ac:dyDescent="0.25">
      <c r="A21" s="1928"/>
      <c r="B21" s="2049" t="s">
        <v>162</v>
      </c>
      <c r="C21" s="2036"/>
      <c r="D21" s="2005"/>
      <c r="E21" s="2006"/>
      <c r="F21" s="2007"/>
    </row>
    <row r="22" spans="1:11" s="1188" customFormat="1" x14ac:dyDescent="0.25">
      <c r="A22" s="1928"/>
      <c r="B22" s="2045" t="s">
        <v>340</v>
      </c>
      <c r="C22" s="2036"/>
      <c r="D22" s="2005"/>
      <c r="E22" s="2006"/>
      <c r="F22" s="2007"/>
    </row>
    <row r="23" spans="1:11" s="1188" customFormat="1" ht="27.6" x14ac:dyDescent="0.25">
      <c r="A23" s="1928"/>
      <c r="B23" s="2045" t="s">
        <v>1042</v>
      </c>
      <c r="C23" s="2046"/>
      <c r="D23" s="2005"/>
      <c r="E23" s="2006"/>
      <c r="F23" s="2007"/>
    </row>
    <row r="24" spans="1:11" s="1188" customFormat="1" x14ac:dyDescent="0.25">
      <c r="A24" s="1928"/>
      <c r="B24" s="2045"/>
      <c r="C24" s="2046"/>
      <c r="D24" s="2005"/>
      <c r="E24" s="2006"/>
      <c r="F24" s="2007"/>
    </row>
    <row r="25" spans="1:11" ht="69" x14ac:dyDescent="0.25">
      <c r="A25" s="2003" t="s">
        <v>411</v>
      </c>
      <c r="B25" s="2050" t="s">
        <v>2094</v>
      </c>
      <c r="C25" s="2004"/>
      <c r="D25" s="2005" t="s">
        <v>2423</v>
      </c>
      <c r="E25" s="2006" t="e">
        <f>#REF!</f>
        <v>#REF!</v>
      </c>
      <c r="F25" s="2007" t="e">
        <f t="shared" ref="F25" si="0">+C25*E25</f>
        <v>#REF!</v>
      </c>
      <c r="K25" s="1188"/>
    </row>
    <row r="26" spans="1:11" x14ac:dyDescent="0.25">
      <c r="A26" s="2003"/>
      <c r="B26" s="2050"/>
      <c r="C26" s="2004"/>
      <c r="D26" s="2005"/>
      <c r="E26" s="2006"/>
      <c r="F26" s="2007"/>
      <c r="K26" s="1188"/>
    </row>
    <row r="27" spans="1:11" s="1188" customFormat="1" x14ac:dyDescent="0.25">
      <c r="A27" s="1928"/>
      <c r="B27" s="2045" t="s">
        <v>166</v>
      </c>
      <c r="C27" s="2046"/>
      <c r="D27" s="2005"/>
      <c r="E27" s="2006"/>
      <c r="F27" s="2007"/>
    </row>
    <row r="28" spans="1:11" s="1188" customFormat="1" x14ac:dyDescent="0.25">
      <c r="A28" s="1928"/>
      <c r="B28" s="2045"/>
      <c r="C28" s="2046"/>
      <c r="D28" s="2005"/>
      <c r="E28" s="2006"/>
      <c r="F28" s="2007"/>
    </row>
    <row r="29" spans="1:11" s="1188" customFormat="1" ht="27.6" x14ac:dyDescent="0.25">
      <c r="A29" s="1928"/>
      <c r="B29" s="2048" t="s">
        <v>1064</v>
      </c>
      <c r="C29" s="2046"/>
      <c r="D29" s="2005"/>
      <c r="E29" s="2006"/>
      <c r="F29" s="2007"/>
    </row>
    <row r="30" spans="1:11" s="1188" customFormat="1" x14ac:dyDescent="0.25">
      <c r="A30" s="1928"/>
      <c r="B30" s="2045"/>
      <c r="C30" s="2046"/>
      <c r="D30" s="2005"/>
      <c r="E30" s="2006"/>
      <c r="F30" s="2007"/>
    </row>
    <row r="31" spans="1:11" s="1188" customFormat="1" ht="103.2" customHeight="1" thickBot="1" x14ac:dyDescent="0.3">
      <c r="A31" s="2051"/>
      <c r="B31" s="2052" t="s">
        <v>938</v>
      </c>
      <c r="C31" s="2053"/>
      <c r="D31" s="2054"/>
      <c r="E31" s="2055"/>
      <c r="F31" s="2056"/>
    </row>
    <row r="32" spans="1:11" s="1188" customFormat="1" x14ac:dyDescent="0.25">
      <c r="A32" s="2057"/>
      <c r="B32" s="2058" t="s">
        <v>939</v>
      </c>
      <c r="C32" s="2059"/>
      <c r="D32" s="2060"/>
      <c r="E32" s="2061"/>
      <c r="F32" s="2062"/>
    </row>
    <row r="33" spans="1:6" s="1188" customFormat="1" x14ac:dyDescent="0.25">
      <c r="A33" s="1928"/>
      <c r="B33" s="2047"/>
      <c r="C33" s="2046"/>
      <c r="D33" s="2005"/>
      <c r="E33" s="2006"/>
      <c r="F33" s="2007"/>
    </row>
    <row r="34" spans="1:6" s="1188" customFormat="1" ht="69" x14ac:dyDescent="0.25">
      <c r="A34" s="1928"/>
      <c r="B34" s="2048" t="s">
        <v>969</v>
      </c>
      <c r="C34" s="2046"/>
      <c r="D34" s="2005"/>
      <c r="E34" s="2006"/>
      <c r="F34" s="2007"/>
    </row>
    <row r="35" spans="1:6" s="1188" customFormat="1" x14ac:dyDescent="0.25">
      <c r="A35" s="1928"/>
      <c r="B35" s="2045"/>
      <c r="C35" s="2046"/>
      <c r="D35" s="2005"/>
      <c r="E35" s="2006"/>
      <c r="F35" s="2007"/>
    </row>
    <row r="36" spans="1:6" s="1188" customFormat="1" ht="41.4" x14ac:dyDescent="0.25">
      <c r="A36" s="1928"/>
      <c r="B36" s="2048" t="s">
        <v>970</v>
      </c>
      <c r="C36" s="2046"/>
      <c r="D36" s="2005"/>
      <c r="E36" s="2006"/>
      <c r="F36" s="2007"/>
    </row>
    <row r="37" spans="1:6" s="1188" customFormat="1" x14ac:dyDescent="0.25">
      <c r="A37" s="1928"/>
      <c r="B37" s="2045"/>
      <c r="C37" s="2046"/>
      <c r="D37" s="2005"/>
      <c r="E37" s="2006"/>
      <c r="F37" s="2007"/>
    </row>
    <row r="38" spans="1:6" s="1188" customFormat="1" ht="55.2" x14ac:dyDescent="0.25">
      <c r="A38" s="1928"/>
      <c r="B38" s="2050" t="s">
        <v>971</v>
      </c>
      <c r="C38" s="2046"/>
      <c r="D38" s="2005"/>
      <c r="E38" s="2006"/>
      <c r="F38" s="2007"/>
    </row>
    <row r="39" spans="1:6" s="1188" customFormat="1" x14ac:dyDescent="0.25">
      <c r="A39" s="1928"/>
      <c r="B39" s="2048"/>
      <c r="C39" s="2046"/>
      <c r="D39" s="2005"/>
      <c r="E39" s="2006"/>
      <c r="F39" s="2007"/>
    </row>
    <row r="40" spans="1:6" s="1188" customFormat="1" x14ac:dyDescent="0.25">
      <c r="A40" s="1928"/>
      <c r="B40" s="2048" t="s">
        <v>940</v>
      </c>
      <c r="C40" s="2046"/>
      <c r="D40" s="2005"/>
      <c r="E40" s="2006"/>
      <c r="F40" s="2007"/>
    </row>
    <row r="41" spans="1:6" s="1188" customFormat="1" x14ac:dyDescent="0.25">
      <c r="A41" s="1928"/>
      <c r="B41" s="2048"/>
      <c r="C41" s="2046"/>
      <c r="D41" s="2005"/>
      <c r="E41" s="2006"/>
      <c r="F41" s="2007"/>
    </row>
    <row r="42" spans="1:6" s="1188" customFormat="1" ht="88.2" customHeight="1" x14ac:dyDescent="0.25">
      <c r="A42" s="1928"/>
      <c r="B42" s="2048" t="s">
        <v>972</v>
      </c>
      <c r="C42" s="2046"/>
      <c r="D42" s="2005"/>
      <c r="E42" s="2006"/>
      <c r="F42" s="2007"/>
    </row>
    <row r="43" spans="1:6" s="1188" customFormat="1" x14ac:dyDescent="0.25">
      <c r="A43" s="1928"/>
      <c r="B43" s="2048"/>
      <c r="C43" s="2046"/>
      <c r="D43" s="2005"/>
      <c r="E43" s="2006"/>
      <c r="F43" s="2007"/>
    </row>
    <row r="44" spans="1:6" s="1188" customFormat="1" ht="151.80000000000001" x14ac:dyDescent="0.25">
      <c r="A44" s="1928"/>
      <c r="B44" s="2048" t="s">
        <v>973</v>
      </c>
      <c r="C44" s="2046"/>
      <c r="D44" s="2005"/>
      <c r="E44" s="2006"/>
      <c r="F44" s="2007"/>
    </row>
    <row r="45" spans="1:6" s="1188" customFormat="1" x14ac:dyDescent="0.25">
      <c r="A45" s="1928"/>
      <c r="B45" s="2048"/>
      <c r="C45" s="2046"/>
      <c r="D45" s="2005"/>
      <c r="E45" s="2006"/>
      <c r="F45" s="2007"/>
    </row>
    <row r="46" spans="1:6" s="1188" customFormat="1" ht="96.6" x14ac:dyDescent="0.25">
      <c r="A46" s="1928"/>
      <c r="B46" s="2048" t="s">
        <v>974</v>
      </c>
      <c r="C46" s="2046"/>
      <c r="D46" s="2005"/>
      <c r="E46" s="2006"/>
      <c r="F46" s="2007"/>
    </row>
    <row r="47" spans="1:6" s="1188" customFormat="1" x14ac:dyDescent="0.25">
      <c r="A47" s="1928"/>
      <c r="B47" s="2048"/>
      <c r="C47" s="2046"/>
      <c r="D47" s="2005"/>
      <c r="E47" s="2006"/>
      <c r="F47" s="2007"/>
    </row>
    <row r="48" spans="1:6" s="1188" customFormat="1" x14ac:dyDescent="0.25">
      <c r="A48" s="1928"/>
      <c r="B48" s="2048" t="s">
        <v>941</v>
      </c>
      <c r="C48" s="2046"/>
      <c r="D48" s="2005"/>
      <c r="E48" s="2006"/>
      <c r="F48" s="2007"/>
    </row>
    <row r="49" spans="1:6" s="1188" customFormat="1" x14ac:dyDescent="0.25">
      <c r="A49" s="1928"/>
      <c r="B49" s="2048"/>
      <c r="C49" s="2046"/>
      <c r="D49" s="2005"/>
      <c r="E49" s="2006"/>
      <c r="F49" s="2007"/>
    </row>
    <row r="50" spans="1:6" s="1188" customFormat="1" ht="27.6" x14ac:dyDescent="0.25">
      <c r="A50" s="1928"/>
      <c r="B50" s="2048" t="s">
        <v>975</v>
      </c>
      <c r="C50" s="2046"/>
      <c r="D50" s="2005"/>
      <c r="E50" s="2006"/>
      <c r="F50" s="2007"/>
    </row>
    <row r="51" spans="1:6" s="1188" customFormat="1" ht="14.4" thickBot="1" x14ac:dyDescent="0.3">
      <c r="A51" s="2051"/>
      <c r="B51" s="2063"/>
      <c r="C51" s="2053"/>
      <c r="D51" s="2054"/>
      <c r="E51" s="2055"/>
      <c r="F51" s="2056"/>
    </row>
    <row r="52" spans="1:6" s="1188" customFormat="1" ht="110.4" x14ac:dyDescent="0.25">
      <c r="A52" s="2057"/>
      <c r="B52" s="2064" t="s">
        <v>976</v>
      </c>
      <c r="C52" s="2059"/>
      <c r="D52" s="2060"/>
      <c r="E52" s="2061"/>
      <c r="F52" s="2062"/>
    </row>
    <row r="53" spans="1:6" s="1188" customFormat="1" x14ac:dyDescent="0.25">
      <c r="A53" s="1928"/>
      <c r="B53" s="2048"/>
      <c r="C53" s="2046"/>
      <c r="D53" s="2005"/>
      <c r="E53" s="2006"/>
      <c r="F53" s="2007"/>
    </row>
    <row r="54" spans="1:6" s="1188" customFormat="1" ht="41.4" x14ac:dyDescent="0.25">
      <c r="A54" s="1928"/>
      <c r="B54" s="2048" t="s">
        <v>942</v>
      </c>
      <c r="C54" s="2046"/>
      <c r="D54" s="2005"/>
      <c r="E54" s="2006"/>
      <c r="F54" s="2007"/>
    </row>
    <row r="55" spans="1:6" s="1188" customFormat="1" x14ac:dyDescent="0.25">
      <c r="A55" s="1928"/>
      <c r="B55" s="2048" t="s">
        <v>943</v>
      </c>
      <c r="C55" s="2046"/>
      <c r="D55" s="2005"/>
      <c r="E55" s="2006"/>
      <c r="F55" s="2007"/>
    </row>
    <row r="56" spans="1:6" s="1188" customFormat="1" x14ac:dyDescent="0.25">
      <c r="A56" s="1928"/>
      <c r="B56" s="2048" t="s">
        <v>944</v>
      </c>
      <c r="C56" s="2046"/>
      <c r="D56" s="2005"/>
      <c r="E56" s="2006"/>
      <c r="F56" s="2007"/>
    </row>
    <row r="57" spans="1:6" s="1188" customFormat="1" ht="41.4" x14ac:dyDescent="0.25">
      <c r="A57" s="1928"/>
      <c r="B57" s="2048" t="s">
        <v>945</v>
      </c>
      <c r="C57" s="2046"/>
      <c r="D57" s="2005"/>
      <c r="E57" s="2006"/>
      <c r="F57" s="2007"/>
    </row>
    <row r="58" spans="1:6" s="1188" customFormat="1" ht="41.4" x14ac:dyDescent="0.25">
      <c r="A58" s="1928"/>
      <c r="B58" s="2048" t="s">
        <v>1062</v>
      </c>
      <c r="C58" s="2046"/>
      <c r="D58" s="2005"/>
      <c r="E58" s="2006"/>
      <c r="F58" s="2007"/>
    </row>
    <row r="59" spans="1:6" s="1188" customFormat="1" ht="55.2" x14ac:dyDescent="0.25">
      <c r="A59" s="1928"/>
      <c r="B59" s="2048" t="s">
        <v>1063</v>
      </c>
      <c r="C59" s="2046"/>
      <c r="D59" s="2005"/>
      <c r="E59" s="2006"/>
      <c r="F59" s="2007"/>
    </row>
    <row r="60" spans="1:6" s="1188" customFormat="1" x14ac:dyDescent="0.25">
      <c r="A60" s="1928"/>
      <c r="B60" s="2048" t="s">
        <v>946</v>
      </c>
      <c r="C60" s="2046"/>
      <c r="D60" s="2005"/>
      <c r="E60" s="2006"/>
      <c r="F60" s="2007"/>
    </row>
    <row r="61" spans="1:6" s="1188" customFormat="1" x14ac:dyDescent="0.25">
      <c r="A61" s="1928"/>
      <c r="B61" s="2048" t="s">
        <v>947</v>
      </c>
      <c r="C61" s="2046"/>
      <c r="D61" s="2005"/>
      <c r="E61" s="2006"/>
      <c r="F61" s="2007"/>
    </row>
    <row r="62" spans="1:6" s="1188" customFormat="1" x14ac:dyDescent="0.25">
      <c r="A62" s="1928"/>
      <c r="B62" s="2048" t="s">
        <v>948</v>
      </c>
      <c r="C62" s="2046"/>
      <c r="D62" s="2005"/>
      <c r="E62" s="2006"/>
      <c r="F62" s="2007"/>
    </row>
    <row r="63" spans="1:6" s="1188" customFormat="1" ht="41.4" x14ac:dyDescent="0.25">
      <c r="A63" s="1928"/>
      <c r="B63" s="2048" t="s">
        <v>949</v>
      </c>
      <c r="C63" s="2046"/>
      <c r="D63" s="2005"/>
      <c r="E63" s="2006"/>
      <c r="F63" s="2007"/>
    </row>
    <row r="64" spans="1:6" s="1188" customFormat="1" x14ac:dyDescent="0.25">
      <c r="A64" s="1928"/>
      <c r="B64" s="2048" t="s">
        <v>950</v>
      </c>
      <c r="C64" s="2046"/>
      <c r="D64" s="2005"/>
      <c r="E64" s="2006"/>
      <c r="F64" s="2007"/>
    </row>
    <row r="65" spans="1:12" s="1188" customFormat="1" ht="41.4" x14ac:dyDescent="0.25">
      <c r="A65" s="1928"/>
      <c r="B65" s="2048" t="s">
        <v>977</v>
      </c>
      <c r="C65" s="2046"/>
      <c r="D65" s="2005"/>
      <c r="E65" s="2006"/>
      <c r="F65" s="2007"/>
    </row>
    <row r="66" spans="1:12" s="1188" customFormat="1" ht="41.4" x14ac:dyDescent="0.25">
      <c r="A66" s="1928"/>
      <c r="B66" s="2048" t="s">
        <v>978</v>
      </c>
      <c r="C66" s="2046"/>
      <c r="D66" s="2005"/>
      <c r="E66" s="2006"/>
      <c r="F66" s="2007"/>
    </row>
    <row r="67" spans="1:12" s="1188" customFormat="1" ht="55.2" x14ac:dyDescent="0.25">
      <c r="A67" s="1928"/>
      <c r="B67" s="2048" t="s">
        <v>979</v>
      </c>
      <c r="C67" s="2046"/>
      <c r="D67" s="2005"/>
      <c r="E67" s="2006"/>
      <c r="F67" s="2007"/>
    </row>
    <row r="68" spans="1:12" s="1188" customFormat="1" x14ac:dyDescent="0.25">
      <c r="A68" s="1928"/>
      <c r="B68" s="2048"/>
      <c r="C68" s="2046"/>
      <c r="D68" s="2005"/>
      <c r="E68" s="2006"/>
      <c r="F68" s="2007"/>
    </row>
    <row r="69" spans="1:12" s="1188" customFormat="1" ht="27.6" x14ac:dyDescent="0.25">
      <c r="A69" s="1928"/>
      <c r="B69" s="2048" t="s">
        <v>951</v>
      </c>
      <c r="C69" s="2046"/>
      <c r="D69" s="2005"/>
      <c r="E69" s="2006"/>
      <c r="F69" s="2007"/>
    </row>
    <row r="70" spans="1:12" s="1188" customFormat="1" ht="27.6" x14ac:dyDescent="0.25">
      <c r="A70" s="1928"/>
      <c r="B70" s="2048" t="s">
        <v>980</v>
      </c>
      <c r="C70" s="2046"/>
      <c r="D70" s="2005"/>
      <c r="E70" s="2006"/>
      <c r="F70" s="2007"/>
    </row>
    <row r="71" spans="1:12" s="1188" customFormat="1" ht="69" x14ac:dyDescent="0.25">
      <c r="A71" s="1928"/>
      <c r="B71" s="2048" t="s">
        <v>981</v>
      </c>
      <c r="C71" s="2046"/>
      <c r="D71" s="2005"/>
      <c r="E71" s="2006"/>
      <c r="F71" s="2007"/>
    </row>
    <row r="72" spans="1:12" s="1188" customFormat="1" x14ac:dyDescent="0.25">
      <c r="A72" s="1928"/>
      <c r="B72" s="2048"/>
      <c r="C72" s="2046"/>
      <c r="D72" s="2005"/>
      <c r="E72" s="2006"/>
      <c r="F72" s="2007"/>
    </row>
    <row r="73" spans="1:12" s="1188" customFormat="1" x14ac:dyDescent="0.25">
      <c r="A73" s="1928"/>
      <c r="B73" s="2048"/>
      <c r="C73" s="2046"/>
      <c r="D73" s="2005"/>
      <c r="E73" s="2006"/>
      <c r="F73" s="2007"/>
    </row>
    <row r="74" spans="1:12" s="1188" customFormat="1" ht="14.4" thickBot="1" x14ac:dyDescent="0.3">
      <c r="A74" s="2051"/>
      <c r="B74" s="2065"/>
      <c r="C74" s="2053"/>
      <c r="D74" s="2054"/>
      <c r="E74" s="2055"/>
      <c r="F74" s="2056"/>
    </row>
    <row r="75" spans="1:12" s="1188" customFormat="1" ht="69" x14ac:dyDescent="0.25">
      <c r="A75" s="2066" t="s">
        <v>164</v>
      </c>
      <c r="B75" s="2067" t="s">
        <v>1822</v>
      </c>
      <c r="C75" s="2059"/>
      <c r="D75" s="2060"/>
      <c r="E75" s="2061"/>
      <c r="F75" s="2062"/>
    </row>
    <row r="76" spans="1:12" s="1188" customFormat="1" ht="16.8" x14ac:dyDescent="0.25">
      <c r="A76" s="1928" t="s">
        <v>412</v>
      </c>
      <c r="B76" s="2048" t="s">
        <v>2617</v>
      </c>
      <c r="C76" s="2031"/>
      <c r="D76" s="2005" t="s">
        <v>2508</v>
      </c>
      <c r="E76" s="2006" t="e">
        <f>#REF!</f>
        <v>#REF!</v>
      </c>
      <c r="F76" s="2007" t="e">
        <f>C76*E76</f>
        <v>#REF!</v>
      </c>
      <c r="K76" s="1188">
        <f>+C76/2.83</f>
        <v>0</v>
      </c>
      <c r="L76" s="1188">
        <v>4.8975265017667837</v>
      </c>
    </row>
    <row r="77" spans="1:12" s="1188" customFormat="1" ht="16.8" x14ac:dyDescent="0.25">
      <c r="A77" s="1928" t="s">
        <v>413</v>
      </c>
      <c r="B77" s="2048" t="s">
        <v>98</v>
      </c>
      <c r="C77" s="2031"/>
      <c r="D77" s="2005" t="s">
        <v>2508</v>
      </c>
      <c r="E77" s="2006" t="e">
        <f>E76</f>
        <v>#REF!</v>
      </c>
      <c r="F77" s="2007" t="e">
        <f>C77*E77</f>
        <v>#REF!</v>
      </c>
      <c r="K77" s="1188">
        <f t="shared" ref="K77:K79" si="1">+C77/2.83</f>
        <v>0</v>
      </c>
      <c r="L77" s="1188">
        <v>0.62544169611307421</v>
      </c>
    </row>
    <row r="78" spans="1:12" s="1188" customFormat="1" ht="16.8" x14ac:dyDescent="0.25">
      <c r="A78" s="1928" t="s">
        <v>414</v>
      </c>
      <c r="B78" s="2048" t="s">
        <v>2082</v>
      </c>
      <c r="C78" s="2031"/>
      <c r="D78" s="2005" t="s">
        <v>2508</v>
      </c>
      <c r="E78" s="2006" t="e">
        <f>E77</f>
        <v>#REF!</v>
      </c>
      <c r="F78" s="2007" t="e">
        <f>C78*E78</f>
        <v>#REF!</v>
      </c>
      <c r="K78" s="1188">
        <f t="shared" si="1"/>
        <v>0</v>
      </c>
      <c r="L78" s="1188">
        <v>6.2296819787985864</v>
      </c>
    </row>
    <row r="79" spans="1:12" s="1188" customFormat="1" ht="16.8" x14ac:dyDescent="0.25">
      <c r="A79" s="1928" t="s">
        <v>415</v>
      </c>
      <c r="B79" s="2048" t="s">
        <v>1084</v>
      </c>
      <c r="C79" s="2031"/>
      <c r="D79" s="2005" t="s">
        <v>2508</v>
      </c>
      <c r="E79" s="2006" t="e">
        <f>E78</f>
        <v>#REF!</v>
      </c>
      <c r="F79" s="2007" t="e">
        <f>C79*E79</f>
        <v>#REF!</v>
      </c>
      <c r="K79" s="1188">
        <f t="shared" si="1"/>
        <v>0</v>
      </c>
      <c r="L79" s="1188">
        <v>0.37809187279151946</v>
      </c>
    </row>
    <row r="80" spans="1:12" s="1188" customFormat="1" ht="16.8" hidden="1" x14ac:dyDescent="0.25">
      <c r="A80" s="1928" t="s">
        <v>714</v>
      </c>
      <c r="B80" s="2048" t="s">
        <v>1081</v>
      </c>
      <c r="C80" s="2031"/>
      <c r="D80" s="2005" t="s">
        <v>2508</v>
      </c>
      <c r="E80" s="2006" t="e">
        <f>E79</f>
        <v>#REF!</v>
      </c>
      <c r="F80" s="2007" t="e">
        <f>C80*E80</f>
        <v>#REF!</v>
      </c>
    </row>
    <row r="81" spans="1:14" s="1188" customFormat="1" x14ac:dyDescent="0.25">
      <c r="A81" s="1928"/>
      <c r="B81" s="2048"/>
      <c r="C81" s="2031"/>
      <c r="D81" s="2005"/>
      <c r="E81" s="2006"/>
      <c r="F81" s="2007"/>
    </row>
    <row r="82" spans="1:14" s="1188" customFormat="1" ht="110.4" x14ac:dyDescent="0.25">
      <c r="A82" s="2003" t="s">
        <v>416</v>
      </c>
      <c r="B82" s="2048" t="s">
        <v>2551</v>
      </c>
      <c r="C82" s="2004"/>
      <c r="D82" s="2005"/>
      <c r="E82" s="2006"/>
      <c r="F82" s="2007"/>
      <c r="K82" s="1188">
        <f>18.76/2.83</f>
        <v>6.6289752650176679</v>
      </c>
    </row>
    <row r="83" spans="1:14" s="1188" customFormat="1" ht="16.8" x14ac:dyDescent="0.25">
      <c r="A83" s="1928" t="s">
        <v>417</v>
      </c>
      <c r="B83" s="2068" t="s">
        <v>1629</v>
      </c>
      <c r="C83" s="2004"/>
      <c r="D83" s="2005" t="s">
        <v>2508</v>
      </c>
      <c r="E83" s="2006" t="e">
        <f>#REF!</f>
        <v>#REF!</v>
      </c>
      <c r="F83" s="2007" t="e">
        <f t="shared" ref="F83" si="2">+C83*E83</f>
        <v>#REF!</v>
      </c>
      <c r="K83" s="2069">
        <v>2.5</v>
      </c>
      <c r="L83" s="1188">
        <f>+K83/2.83</f>
        <v>0.88339222614840984</v>
      </c>
      <c r="M83" s="1188" t="e">
        <f>E83/2.83</f>
        <v>#REF!</v>
      </c>
      <c r="N83" s="1188">
        <f>17435*2.83+1100+384</f>
        <v>50825.05</v>
      </c>
    </row>
    <row r="84" spans="1:14" s="1188" customFormat="1" x14ac:dyDescent="0.25">
      <c r="A84" s="1928"/>
      <c r="B84" s="2048"/>
      <c r="C84" s="2004"/>
      <c r="D84" s="2005"/>
      <c r="E84" s="2006"/>
      <c r="F84" s="2007"/>
    </row>
    <row r="85" spans="1:14" s="1188" customFormat="1" x14ac:dyDescent="0.25">
      <c r="A85" s="2003"/>
      <c r="B85" s="2070" t="s">
        <v>47</v>
      </c>
      <c r="C85" s="2004"/>
      <c r="D85" s="2005"/>
      <c r="E85" s="2006"/>
      <c r="F85" s="2007"/>
    </row>
    <row r="86" spans="1:14" s="1188" customFormat="1" x14ac:dyDescent="0.25">
      <c r="A86" s="2003"/>
      <c r="B86" s="2070"/>
      <c r="C86" s="2004"/>
      <c r="D86" s="2005"/>
      <c r="E86" s="2006"/>
      <c r="F86" s="2007"/>
    </row>
    <row r="87" spans="1:14" s="1188" customFormat="1" ht="55.2" hidden="1" customHeight="1" x14ac:dyDescent="0.25">
      <c r="A87" s="1928" t="s">
        <v>1069</v>
      </c>
      <c r="B87" s="2071" t="s">
        <v>1754</v>
      </c>
      <c r="C87" s="2004"/>
      <c r="D87" s="2005"/>
      <c r="E87" s="2006"/>
      <c r="F87" s="2007"/>
    </row>
    <row r="88" spans="1:14" s="1188" customFormat="1" ht="16.8" hidden="1" x14ac:dyDescent="0.25">
      <c r="A88" s="1928" t="s">
        <v>1070</v>
      </c>
      <c r="B88" s="2068" t="s">
        <v>884</v>
      </c>
      <c r="C88" s="2004"/>
      <c r="D88" s="2005" t="s">
        <v>2508</v>
      </c>
      <c r="E88" s="2006" t="e">
        <f>E83</f>
        <v>#REF!</v>
      </c>
      <c r="F88" s="2007" t="e">
        <f>E88*C88</f>
        <v>#REF!</v>
      </c>
    </row>
    <row r="89" spans="1:14" s="1188" customFormat="1" ht="16.8" hidden="1" x14ac:dyDescent="0.25">
      <c r="A89" s="1928" t="s">
        <v>1071</v>
      </c>
      <c r="B89" s="2068" t="s">
        <v>885</v>
      </c>
      <c r="C89" s="2004"/>
      <c r="D89" s="2005" t="s">
        <v>2508</v>
      </c>
      <c r="E89" s="2006" t="e">
        <f>E88*1.05</f>
        <v>#REF!</v>
      </c>
      <c r="F89" s="2007" t="e">
        <f t="shared" ref="F89:F90" si="3">E89*C89</f>
        <v>#REF!</v>
      </c>
    </row>
    <row r="90" spans="1:14" s="1188" customFormat="1" ht="16.8" hidden="1" x14ac:dyDescent="0.25">
      <c r="A90" s="1928" t="s">
        <v>1072</v>
      </c>
      <c r="B90" s="2068" t="s">
        <v>878</v>
      </c>
      <c r="C90" s="2004"/>
      <c r="D90" s="2005" t="s">
        <v>2508</v>
      </c>
      <c r="E90" s="2006" t="e">
        <f>E89*1.05</f>
        <v>#REF!</v>
      </c>
      <c r="F90" s="2007" t="e">
        <f t="shared" si="3"/>
        <v>#REF!</v>
      </c>
    </row>
    <row r="91" spans="1:14" s="1188" customFormat="1" ht="16.8" hidden="1" x14ac:dyDescent="0.25">
      <c r="A91" s="1928" t="s">
        <v>2623</v>
      </c>
      <c r="B91" s="2068" t="s">
        <v>2584</v>
      </c>
      <c r="C91" s="2004"/>
      <c r="D91" s="2005" t="s">
        <v>2508</v>
      </c>
      <c r="E91" s="2006" t="e">
        <f t="shared" ref="E91:E92" si="4">E90*1.05</f>
        <v>#REF!</v>
      </c>
      <c r="F91" s="2007" t="e">
        <f t="shared" ref="F91:F92" si="5">E91*C91</f>
        <v>#REF!</v>
      </c>
    </row>
    <row r="92" spans="1:14" s="1188" customFormat="1" ht="16.8" hidden="1" x14ac:dyDescent="0.25">
      <c r="A92" s="1928" t="s">
        <v>2624</v>
      </c>
      <c r="B92" s="2068" t="s">
        <v>2622</v>
      </c>
      <c r="C92" s="2004"/>
      <c r="D92" s="2005" t="s">
        <v>2508</v>
      </c>
      <c r="E92" s="2006" t="e">
        <f t="shared" si="4"/>
        <v>#REF!</v>
      </c>
      <c r="F92" s="2007" t="e">
        <f t="shared" si="5"/>
        <v>#REF!</v>
      </c>
    </row>
    <row r="93" spans="1:14" s="1188" customFormat="1" hidden="1" x14ac:dyDescent="0.25">
      <c r="A93" s="2003"/>
      <c r="B93" s="2048"/>
      <c r="C93" s="2004"/>
      <c r="D93" s="2005"/>
      <c r="E93" s="2006"/>
      <c r="F93" s="2007"/>
    </row>
    <row r="94" spans="1:14" s="1188" customFormat="1" ht="110.4" x14ac:dyDescent="0.25">
      <c r="A94" s="2003" t="s">
        <v>165</v>
      </c>
      <c r="B94" s="2048" t="s">
        <v>2135</v>
      </c>
      <c r="C94" s="2004"/>
      <c r="D94" s="2005"/>
      <c r="E94" s="2006"/>
      <c r="F94" s="2007"/>
    </row>
    <row r="95" spans="1:14" s="1188" customFormat="1" ht="28.8" customHeight="1" x14ac:dyDescent="0.25">
      <c r="A95" s="1928" t="s">
        <v>420</v>
      </c>
      <c r="B95" s="2050" t="s">
        <v>48</v>
      </c>
      <c r="C95" s="2031"/>
      <c r="D95" s="2005" t="s">
        <v>2508</v>
      </c>
      <c r="E95" s="2006" t="e">
        <f>E80</f>
        <v>#REF!</v>
      </c>
      <c r="F95" s="2007" t="e">
        <f>C95*E95</f>
        <v>#REF!</v>
      </c>
      <c r="K95" s="1188" t="e">
        <f>E97-E95</f>
        <v>#REF!</v>
      </c>
      <c r="M95" s="1188">
        <f>6*1.1*0.3</f>
        <v>1.98</v>
      </c>
    </row>
    <row r="96" spans="1:14" s="1188" customFormat="1" x14ac:dyDescent="0.25">
      <c r="A96" s="1928"/>
      <c r="B96" s="2050"/>
      <c r="C96" s="2031"/>
      <c r="D96" s="2005"/>
      <c r="E96" s="2006"/>
      <c r="F96" s="2007"/>
    </row>
    <row r="97" spans="1:17" s="1188" customFormat="1" ht="28.8" customHeight="1" x14ac:dyDescent="0.25">
      <c r="A97" s="1928" t="s">
        <v>422</v>
      </c>
      <c r="B97" s="2048" t="s">
        <v>2168</v>
      </c>
      <c r="C97" s="2031"/>
      <c r="D97" s="2005" t="s">
        <v>2508</v>
      </c>
      <c r="E97" s="2006" t="e">
        <f>E95*1.05</f>
        <v>#REF!</v>
      </c>
      <c r="F97" s="2007" t="e">
        <f t="shared" ref="F97:F99" si="6">C97*E97</f>
        <v>#REF!</v>
      </c>
      <c r="K97" s="1188" t="e">
        <f>E99-E97</f>
        <v>#REF!</v>
      </c>
    </row>
    <row r="98" spans="1:17" s="1188" customFormat="1" x14ac:dyDescent="0.25">
      <c r="A98" s="1928"/>
      <c r="B98" s="2048"/>
      <c r="C98" s="2031"/>
      <c r="D98" s="2005"/>
      <c r="E98" s="2006"/>
      <c r="F98" s="2007"/>
    </row>
    <row r="99" spans="1:17" s="1188" customFormat="1" ht="27.6" x14ac:dyDescent="0.25">
      <c r="A99" s="1928" t="s">
        <v>421</v>
      </c>
      <c r="B99" s="2048" t="s">
        <v>2618</v>
      </c>
      <c r="C99" s="2031"/>
      <c r="D99" s="2005" t="s">
        <v>2508</v>
      </c>
      <c r="E99" s="2006" t="e">
        <f>E97*1.05</f>
        <v>#REF!</v>
      </c>
      <c r="F99" s="2007" t="e">
        <f t="shared" si="6"/>
        <v>#REF!</v>
      </c>
      <c r="Q99" s="1188">
        <f>24*0.225*0.225*3</f>
        <v>3.6450000000000005</v>
      </c>
    </row>
    <row r="100" spans="1:17" s="1188" customFormat="1" ht="27.6" hidden="1" x14ac:dyDescent="0.25">
      <c r="A100" s="1928" t="s">
        <v>421</v>
      </c>
      <c r="B100" s="2048" t="s">
        <v>2619</v>
      </c>
      <c r="C100" s="2031"/>
      <c r="D100" s="2005" t="s">
        <v>2508</v>
      </c>
      <c r="E100" s="2006" t="e">
        <f>E99*1.05</f>
        <v>#REF!</v>
      </c>
      <c r="F100" s="2007" t="e">
        <f t="shared" ref="F100" si="7">C100*E100</f>
        <v>#REF!</v>
      </c>
    </row>
    <row r="101" spans="1:17" s="1188" customFormat="1" hidden="1" x14ac:dyDescent="0.25">
      <c r="A101" s="1928"/>
      <c r="B101" s="2048"/>
      <c r="C101" s="2031"/>
      <c r="D101" s="2005"/>
      <c r="E101" s="2006"/>
      <c r="F101" s="2007"/>
    </row>
    <row r="102" spans="1:17" s="1188" customFormat="1" ht="15.6" hidden="1" customHeight="1" x14ac:dyDescent="0.25">
      <c r="A102" s="1928" t="s">
        <v>423</v>
      </c>
      <c r="B102" s="2048" t="s">
        <v>54</v>
      </c>
      <c r="C102" s="2031"/>
      <c r="D102" s="2005" t="s">
        <v>2508</v>
      </c>
      <c r="E102" s="2006" t="e">
        <f>E95</f>
        <v>#REF!</v>
      </c>
      <c r="F102" s="2007"/>
    </row>
    <row r="103" spans="1:17" s="1188" customFormat="1" ht="15.6" hidden="1" customHeight="1" x14ac:dyDescent="0.25">
      <c r="A103" s="1928" t="s">
        <v>2167</v>
      </c>
      <c r="B103" s="2072" t="s">
        <v>2166</v>
      </c>
      <c r="C103" s="2031"/>
      <c r="D103" s="2005" t="s">
        <v>2508</v>
      </c>
      <c r="E103" s="2006" t="e">
        <f>E97</f>
        <v>#REF!</v>
      </c>
      <c r="F103" s="2007"/>
    </row>
    <row r="104" spans="1:17" s="1188" customFormat="1" ht="16.8" hidden="1" x14ac:dyDescent="0.25">
      <c r="A104" s="1928" t="s">
        <v>2167</v>
      </c>
      <c r="B104" s="2072" t="s">
        <v>2620</v>
      </c>
      <c r="C104" s="2031"/>
      <c r="D104" s="2005" t="s">
        <v>2508</v>
      </c>
      <c r="E104" s="2006" t="e">
        <f>E99</f>
        <v>#REF!</v>
      </c>
      <c r="F104" s="2007"/>
    </row>
    <row r="105" spans="1:17" s="1188" customFormat="1" ht="16.8" hidden="1" x14ac:dyDescent="0.25">
      <c r="A105" s="1928" t="s">
        <v>2167</v>
      </c>
      <c r="B105" s="2072" t="s">
        <v>2621</v>
      </c>
      <c r="C105" s="2031"/>
      <c r="D105" s="2005" t="s">
        <v>2508</v>
      </c>
      <c r="E105" s="2006" t="e">
        <f>#REF!</f>
        <v>#REF!</v>
      </c>
      <c r="F105" s="2007"/>
    </row>
    <row r="106" spans="1:17" s="1188" customFormat="1" hidden="1" x14ac:dyDescent="0.25">
      <c r="A106" s="1928"/>
      <c r="B106" s="2072"/>
      <c r="C106" s="2031"/>
      <c r="D106" s="2005"/>
      <c r="E106" s="2006"/>
      <c r="F106" s="2007"/>
    </row>
    <row r="107" spans="1:17" s="1188" customFormat="1" hidden="1" x14ac:dyDescent="0.25">
      <c r="A107" s="1928"/>
      <c r="B107" s="2072"/>
      <c r="C107" s="2031"/>
      <c r="D107" s="2005"/>
      <c r="E107" s="2006"/>
      <c r="F107" s="2007"/>
    </row>
    <row r="108" spans="1:17" s="1188" customFormat="1" ht="16.8" hidden="1" x14ac:dyDescent="0.25">
      <c r="A108" s="1928" t="s">
        <v>2184</v>
      </c>
      <c r="B108" s="2048" t="s">
        <v>2183</v>
      </c>
      <c r="C108" s="2031"/>
      <c r="D108" s="2005" t="s">
        <v>2508</v>
      </c>
      <c r="E108" s="2006" t="e">
        <f>E95</f>
        <v>#REF!</v>
      </c>
      <c r="F108" s="2007"/>
    </row>
    <row r="109" spans="1:17" s="1188" customFormat="1" ht="16.8" hidden="1" x14ac:dyDescent="0.25">
      <c r="A109" s="1928" t="s">
        <v>2187</v>
      </c>
      <c r="B109" s="2048" t="s">
        <v>2185</v>
      </c>
      <c r="C109" s="2031"/>
      <c r="D109" s="2005" t="s">
        <v>2508</v>
      </c>
      <c r="E109" s="2006" t="e">
        <f>E97</f>
        <v>#REF!</v>
      </c>
      <c r="F109" s="2007"/>
    </row>
    <row r="110" spans="1:17" s="1188" customFormat="1" ht="16.8" hidden="1" x14ac:dyDescent="0.25">
      <c r="A110" s="1928" t="s">
        <v>2188</v>
      </c>
      <c r="B110" s="2048" t="s">
        <v>2186</v>
      </c>
      <c r="C110" s="2031"/>
      <c r="D110" s="2005" t="s">
        <v>2508</v>
      </c>
      <c r="E110" s="2006" t="e">
        <f>E99</f>
        <v>#REF!</v>
      </c>
      <c r="F110" s="2007"/>
    </row>
    <row r="111" spans="1:17" s="1188" customFormat="1" x14ac:dyDescent="0.25">
      <c r="A111" s="1928"/>
      <c r="B111" s="2048"/>
      <c r="C111" s="2031"/>
      <c r="D111" s="2005"/>
      <c r="E111" s="2006"/>
      <c r="F111" s="2007"/>
    </row>
    <row r="112" spans="1:17" s="1188" customFormat="1" x14ac:dyDescent="0.25">
      <c r="A112" s="1928"/>
      <c r="B112" s="2045" t="s">
        <v>169</v>
      </c>
      <c r="C112" s="2046"/>
      <c r="D112" s="2005"/>
      <c r="E112" s="2006"/>
      <c r="F112" s="2007"/>
    </row>
    <row r="113" spans="1:6" s="1188" customFormat="1" x14ac:dyDescent="0.25">
      <c r="A113" s="1928"/>
      <c r="B113" s="2048" t="s">
        <v>952</v>
      </c>
      <c r="C113" s="2046"/>
      <c r="D113" s="2005"/>
      <c r="E113" s="2006"/>
      <c r="F113" s="2007"/>
    </row>
    <row r="114" spans="1:6" s="1188" customFormat="1" ht="27.6" x14ac:dyDescent="0.25">
      <c r="A114" s="1928"/>
      <c r="B114" s="2050" t="s">
        <v>953</v>
      </c>
      <c r="C114" s="2046"/>
      <c r="D114" s="2005"/>
      <c r="E114" s="2006"/>
      <c r="F114" s="2007"/>
    </row>
    <row r="115" spans="1:6" s="1188" customFormat="1" ht="16.8" x14ac:dyDescent="0.25">
      <c r="A115" s="1928"/>
      <c r="B115" s="2048" t="s">
        <v>1033</v>
      </c>
      <c r="C115" s="2046"/>
      <c r="D115" s="2005"/>
      <c r="E115" s="2073"/>
      <c r="F115" s="2007"/>
    </row>
    <row r="116" spans="1:6" s="1188" customFormat="1" ht="27.6" x14ac:dyDescent="0.25">
      <c r="A116" s="1928"/>
      <c r="B116" s="2048" t="s">
        <v>954</v>
      </c>
      <c r="C116" s="2046"/>
      <c r="D116" s="2005"/>
      <c r="E116" s="2006"/>
      <c r="F116" s="2007"/>
    </row>
    <row r="117" spans="1:6" s="1188" customFormat="1" x14ac:dyDescent="0.25">
      <c r="A117" s="1928"/>
      <c r="B117" s="2048" t="s">
        <v>955</v>
      </c>
      <c r="C117" s="2046"/>
      <c r="D117" s="2005"/>
      <c r="E117" s="2006"/>
      <c r="F117" s="2007"/>
    </row>
    <row r="118" spans="1:6" s="1188" customFormat="1" ht="27.6" x14ac:dyDescent="0.25">
      <c r="A118" s="1928"/>
      <c r="B118" s="2048" t="s">
        <v>957</v>
      </c>
      <c r="C118" s="2046"/>
      <c r="D118" s="2005"/>
      <c r="E118" s="2006"/>
      <c r="F118" s="2007"/>
    </row>
    <row r="119" spans="1:6" s="1188" customFormat="1" x14ac:dyDescent="0.25">
      <c r="A119" s="1928"/>
      <c r="B119" s="2048" t="s">
        <v>956</v>
      </c>
      <c r="C119" s="2046"/>
      <c r="D119" s="2005"/>
      <c r="E119" s="2006"/>
      <c r="F119" s="2007"/>
    </row>
    <row r="120" spans="1:6" s="1188" customFormat="1" ht="41.4" x14ac:dyDescent="0.25">
      <c r="A120" s="1928"/>
      <c r="B120" s="2048" t="s">
        <v>982</v>
      </c>
      <c r="C120" s="2046"/>
      <c r="D120" s="2005"/>
      <c r="E120" s="2006"/>
      <c r="F120" s="2007"/>
    </row>
    <row r="121" spans="1:6" s="1188" customFormat="1" x14ac:dyDescent="0.25">
      <c r="A121" s="1928"/>
      <c r="B121" s="2048" t="s">
        <v>958</v>
      </c>
      <c r="C121" s="2046"/>
      <c r="D121" s="2005"/>
      <c r="E121" s="2006"/>
      <c r="F121" s="2007"/>
    </row>
    <row r="122" spans="1:6" s="1188" customFormat="1" ht="27.6" x14ac:dyDescent="0.25">
      <c r="A122" s="1928"/>
      <c r="B122" s="2048" t="s">
        <v>959</v>
      </c>
      <c r="C122" s="2046"/>
      <c r="D122" s="2005"/>
      <c r="E122" s="2006"/>
      <c r="F122" s="2007"/>
    </row>
    <row r="123" spans="1:6" s="1188" customFormat="1" ht="27.6" x14ac:dyDescent="0.25">
      <c r="A123" s="1928"/>
      <c r="B123" s="2048" t="s">
        <v>983</v>
      </c>
      <c r="C123" s="2046"/>
      <c r="D123" s="2005"/>
      <c r="E123" s="2006"/>
      <c r="F123" s="2007"/>
    </row>
    <row r="124" spans="1:6" s="1188" customFormat="1" ht="41.4" x14ac:dyDescent="0.25">
      <c r="A124" s="1928"/>
      <c r="B124" s="2048" t="s">
        <v>984</v>
      </c>
      <c r="C124" s="2046"/>
      <c r="D124" s="2005"/>
      <c r="E124" s="2006"/>
      <c r="F124" s="2007"/>
    </row>
    <row r="125" spans="1:6" s="1188" customFormat="1" x14ac:dyDescent="0.25">
      <c r="A125" s="1928"/>
      <c r="B125" s="2048" t="s">
        <v>960</v>
      </c>
      <c r="C125" s="2046"/>
      <c r="D125" s="2005"/>
      <c r="E125" s="2006"/>
      <c r="F125" s="2007"/>
    </row>
    <row r="126" spans="1:6" s="1188" customFormat="1" ht="30.6" x14ac:dyDescent="0.25">
      <c r="A126" s="1928"/>
      <c r="B126" s="2048" t="s">
        <v>985</v>
      </c>
      <c r="C126" s="2046"/>
      <c r="D126" s="2005"/>
      <c r="E126" s="2006"/>
      <c r="F126" s="2007"/>
    </row>
    <row r="127" spans="1:6" s="1188" customFormat="1" x14ac:dyDescent="0.25">
      <c r="A127" s="1928"/>
      <c r="B127" s="2048" t="s">
        <v>1740</v>
      </c>
      <c r="C127" s="2046"/>
      <c r="D127" s="2005"/>
      <c r="E127" s="2006"/>
      <c r="F127" s="2007"/>
    </row>
    <row r="128" spans="1:6" s="1188" customFormat="1" x14ac:dyDescent="0.25">
      <c r="A128" s="1928"/>
      <c r="B128" s="2048"/>
      <c r="C128" s="2046"/>
      <c r="D128" s="2005"/>
      <c r="E128" s="2006"/>
      <c r="F128" s="2007"/>
    </row>
    <row r="129" spans="1:17" ht="69" x14ac:dyDescent="0.25">
      <c r="A129" s="2003" t="s">
        <v>424</v>
      </c>
      <c r="B129" s="2050" t="s">
        <v>1739</v>
      </c>
      <c r="C129" s="2004"/>
      <c r="D129" s="2005"/>
      <c r="E129" s="2006"/>
      <c r="F129" s="2007"/>
      <c r="K129" s="2037">
        <v>15675</v>
      </c>
      <c r="L129" s="2037">
        <v>346</v>
      </c>
      <c r="M129" s="2037">
        <v>898</v>
      </c>
      <c r="O129" s="2037">
        <f>32294/30</f>
        <v>1076.4666666666667</v>
      </c>
    </row>
    <row r="130" spans="1:17" s="1188" customFormat="1" x14ac:dyDescent="0.25">
      <c r="A130" s="1928" t="s">
        <v>427</v>
      </c>
      <c r="B130" s="2048" t="s">
        <v>50</v>
      </c>
      <c r="C130" s="2031"/>
      <c r="D130" s="2005" t="s">
        <v>170</v>
      </c>
      <c r="E130" s="2006" t="e">
        <f>#REF!</f>
        <v>#REF!</v>
      </c>
      <c r="F130" s="2007" t="e">
        <f>C130*E130</f>
        <v>#REF!</v>
      </c>
      <c r="K130" s="1188" t="e">
        <f>+C130+C136+#REF!</f>
        <v>#REF!</v>
      </c>
      <c r="L130" s="1188" t="e">
        <f>+K130*E129+K130*500+21750+725*20.44</f>
        <v>#REF!</v>
      </c>
      <c r="M130" s="1188">
        <f>236.65*5.25</f>
        <v>1242.4125000000001</v>
      </c>
      <c r="N130" s="1188" t="e">
        <f>SUM(L130:M130)</f>
        <v>#REF!</v>
      </c>
      <c r="O130" s="1188" t="e">
        <f>+N130/K130</f>
        <v>#REF!</v>
      </c>
    </row>
    <row r="131" spans="1:17" s="1188" customFormat="1" x14ac:dyDescent="0.25">
      <c r="A131" s="1928" t="s">
        <v>428</v>
      </c>
      <c r="B131" s="2048" t="s">
        <v>51</v>
      </c>
      <c r="C131" s="2031"/>
      <c r="D131" s="2005" t="s">
        <v>170</v>
      </c>
      <c r="E131" s="2006" t="e">
        <f>E130*1.03</f>
        <v>#REF!</v>
      </c>
      <c r="F131" s="2007" t="e">
        <f t="shared" ref="F131:F133" si="8">C131*E131</f>
        <v>#REF!</v>
      </c>
      <c r="K131" s="1188" t="e">
        <f>+C131+C137+#REF!</f>
        <v>#REF!</v>
      </c>
      <c r="L131" s="1188" t="e">
        <f>+K131*E129+K131*500+21750+725*18.94</f>
        <v>#REF!</v>
      </c>
      <c r="M131" s="1188">
        <f>236.65*5.25</f>
        <v>1242.4125000000001</v>
      </c>
      <c r="N131" s="1188" t="e">
        <f>SUM(L131:M131)</f>
        <v>#REF!</v>
      </c>
      <c r="O131" s="1188" t="e">
        <f>+N131/K131</f>
        <v>#REF!</v>
      </c>
      <c r="P131" s="1188">
        <f>10.7+5.9</f>
        <v>16.600000000000001</v>
      </c>
      <c r="Q131" s="1188">
        <f>P131*0.55*0.3</f>
        <v>2.7390000000000003</v>
      </c>
    </row>
    <row r="132" spans="1:17" s="1188" customFormat="1" x14ac:dyDescent="0.25">
      <c r="A132" s="1928" t="s">
        <v>429</v>
      </c>
      <c r="B132" s="2048" t="s">
        <v>2625</v>
      </c>
      <c r="C132" s="2031"/>
      <c r="D132" s="2005" t="s">
        <v>170</v>
      </c>
      <c r="E132" s="2006" t="e">
        <f t="shared" ref="E132:E133" si="9">E131*1.03</f>
        <v>#REF!</v>
      </c>
      <c r="F132" s="2007" t="e">
        <f t="shared" si="8"/>
        <v>#REF!</v>
      </c>
      <c r="G132" s="1188">
        <f>'m shet rolf'!F1022</f>
        <v>158</v>
      </c>
    </row>
    <row r="133" spans="1:17" s="1188" customFormat="1" hidden="1" x14ac:dyDescent="0.25">
      <c r="A133" s="1928" t="s">
        <v>430</v>
      </c>
      <c r="B133" s="2048" t="s">
        <v>3147</v>
      </c>
      <c r="C133" s="2031"/>
      <c r="D133" s="2005" t="s">
        <v>170</v>
      </c>
      <c r="E133" s="2006" t="e">
        <f t="shared" si="9"/>
        <v>#REF!</v>
      </c>
      <c r="F133" s="2007" t="e">
        <f t="shared" si="8"/>
        <v>#REF!</v>
      </c>
      <c r="G133" s="1188">
        <f>C130/G132*60</f>
        <v>0</v>
      </c>
    </row>
    <row r="134" spans="1:17" s="1188" customFormat="1" hidden="1" x14ac:dyDescent="0.25">
      <c r="A134" s="1928" t="s">
        <v>432</v>
      </c>
      <c r="B134" s="2048" t="s">
        <v>112</v>
      </c>
      <c r="C134" s="2031"/>
      <c r="D134" s="2005" t="s">
        <v>170</v>
      </c>
      <c r="E134" s="2006" t="e">
        <f>#REF!*1.03</f>
        <v>#REF!</v>
      </c>
      <c r="F134" s="2007"/>
    </row>
    <row r="135" spans="1:17" s="1188" customFormat="1" x14ac:dyDescent="0.25">
      <c r="A135" s="1928"/>
      <c r="B135" s="2048"/>
      <c r="C135" s="2031"/>
      <c r="D135" s="2005"/>
      <c r="E135" s="2006"/>
      <c r="F135" s="2007"/>
    </row>
    <row r="136" spans="1:17" s="1188" customFormat="1" x14ac:dyDescent="0.25">
      <c r="A136" s="1928" t="s">
        <v>430</v>
      </c>
      <c r="B136" s="2048" t="s">
        <v>52</v>
      </c>
      <c r="C136" s="2031"/>
      <c r="D136" s="2005" t="s">
        <v>170</v>
      </c>
      <c r="E136" s="2006" t="e">
        <f>E130</f>
        <v>#REF!</v>
      </c>
      <c r="F136" s="2007" t="e">
        <f>C136*E136</f>
        <v>#REF!</v>
      </c>
      <c r="K136" s="1188" t="e">
        <f>SUM(K130:K131)</f>
        <v>#REF!</v>
      </c>
    </row>
    <row r="137" spans="1:17" s="1188" customFormat="1" x14ac:dyDescent="0.25">
      <c r="A137" s="1928" t="s">
        <v>431</v>
      </c>
      <c r="B137" s="2048" t="s">
        <v>53</v>
      </c>
      <c r="C137" s="2031"/>
      <c r="D137" s="2005" t="s">
        <v>170</v>
      </c>
      <c r="E137" s="2006" t="e">
        <f>E131</f>
        <v>#REF!</v>
      </c>
      <c r="F137" s="2007" t="e">
        <f t="shared" ref="F137:F139" si="10">C137*E137</f>
        <v>#REF!</v>
      </c>
    </row>
    <row r="138" spans="1:17" s="1188" customFormat="1" x14ac:dyDescent="0.25">
      <c r="A138" s="1928" t="s">
        <v>432</v>
      </c>
      <c r="B138" s="2048" t="s">
        <v>2626</v>
      </c>
      <c r="C138" s="2031"/>
      <c r="D138" s="2005" t="s">
        <v>170</v>
      </c>
      <c r="E138" s="2006" t="e">
        <f>E132</f>
        <v>#REF!</v>
      </c>
      <c r="F138" s="2007" t="e">
        <f t="shared" si="10"/>
        <v>#REF!</v>
      </c>
      <c r="M138" s="1188">
        <f>C136/170*92</f>
        <v>0</v>
      </c>
    </row>
    <row r="139" spans="1:17" s="1188" customFormat="1" hidden="1" x14ac:dyDescent="0.25">
      <c r="A139" s="1928" t="s">
        <v>433</v>
      </c>
      <c r="B139" s="2048" t="s">
        <v>3168</v>
      </c>
      <c r="C139" s="2031"/>
      <c r="D139" s="2005" t="s">
        <v>170</v>
      </c>
      <c r="E139" s="2006" t="e">
        <f>E133</f>
        <v>#REF!</v>
      </c>
      <c r="F139" s="2007" t="e">
        <f t="shared" si="10"/>
        <v>#REF!</v>
      </c>
    </row>
    <row r="140" spans="1:17" s="1188" customFormat="1" hidden="1" x14ac:dyDescent="0.25">
      <c r="A140" s="1928" t="s">
        <v>435</v>
      </c>
      <c r="B140" s="2048" t="s">
        <v>2627</v>
      </c>
      <c r="C140" s="2031"/>
      <c r="D140" s="2005" t="s">
        <v>170</v>
      </c>
      <c r="E140" s="2006" t="e">
        <f>E134</f>
        <v>#REF!</v>
      </c>
      <c r="F140" s="2007"/>
      <c r="L140" s="1188">
        <f>SUM(C130:C140)</f>
        <v>0</v>
      </c>
    </row>
    <row r="141" spans="1:17" s="1188" customFormat="1" x14ac:dyDescent="0.25">
      <c r="A141" s="1928"/>
      <c r="B141" s="2048"/>
      <c r="C141" s="2031"/>
      <c r="D141" s="2005"/>
      <c r="E141" s="2006"/>
      <c r="F141" s="2007"/>
      <c r="L141" s="1188">
        <f>L140/5</f>
        <v>0</v>
      </c>
    </row>
    <row r="142" spans="1:17" ht="41.4" hidden="1" customHeight="1" x14ac:dyDescent="0.25">
      <c r="A142" s="1928" t="s">
        <v>433</v>
      </c>
      <c r="B142" s="2074" t="s">
        <v>2342</v>
      </c>
      <c r="C142" s="2004"/>
      <c r="D142" s="2005"/>
      <c r="E142" s="2006"/>
      <c r="F142" s="2007"/>
      <c r="G142" s="1188"/>
      <c r="H142" s="1188"/>
      <c r="I142" s="1188"/>
      <c r="J142" s="1188"/>
      <c r="K142" s="1188"/>
    </row>
    <row r="143" spans="1:17" hidden="1" x14ac:dyDescent="0.25">
      <c r="A143" s="1928"/>
      <c r="B143" s="2074" t="s">
        <v>2343</v>
      </c>
      <c r="C143" s="2004"/>
      <c r="D143" s="2005" t="s">
        <v>346</v>
      </c>
      <c r="E143" s="2006"/>
      <c r="F143" s="2007">
        <f t="shared" ref="F143:F145" si="11">C143*E143</f>
        <v>0</v>
      </c>
      <c r="G143" s="1188"/>
      <c r="H143" s="1188"/>
      <c r="I143" s="1188"/>
      <c r="J143" s="1188"/>
      <c r="K143" s="1188"/>
    </row>
    <row r="144" spans="1:17" hidden="1" x14ac:dyDescent="0.25">
      <c r="A144" s="1928"/>
      <c r="B144" s="2074" t="s">
        <v>2344</v>
      </c>
      <c r="C144" s="2004"/>
      <c r="D144" s="2005" t="s">
        <v>346</v>
      </c>
      <c r="E144" s="2006"/>
      <c r="F144" s="2007">
        <f t="shared" si="11"/>
        <v>0</v>
      </c>
      <c r="G144" s="1188"/>
      <c r="H144" s="1188"/>
      <c r="I144" s="1188"/>
      <c r="J144" s="1188"/>
      <c r="K144" s="1188"/>
    </row>
    <row r="145" spans="1:11" hidden="1" x14ac:dyDescent="0.25">
      <c r="A145" s="1928"/>
      <c r="B145" s="2074" t="s">
        <v>2345</v>
      </c>
      <c r="C145" s="2004"/>
      <c r="D145" s="2005" t="s">
        <v>346</v>
      </c>
      <c r="E145" s="2006"/>
      <c r="F145" s="2007">
        <f t="shared" si="11"/>
        <v>0</v>
      </c>
      <c r="G145" s="1188"/>
      <c r="H145" s="1188"/>
      <c r="I145" s="1188"/>
      <c r="J145" s="1188"/>
      <c r="K145" s="1188"/>
    </row>
    <row r="146" spans="1:11" hidden="1" x14ac:dyDescent="0.25">
      <c r="A146" s="1928"/>
      <c r="B146" s="2074"/>
      <c r="C146" s="2004"/>
      <c r="D146" s="2005"/>
      <c r="E146" s="2006"/>
      <c r="F146" s="2007"/>
      <c r="G146" s="1188"/>
      <c r="H146" s="1188"/>
      <c r="I146" s="1188"/>
      <c r="J146" s="1188"/>
      <c r="K146" s="1188"/>
    </row>
    <row r="147" spans="1:11" hidden="1" x14ac:dyDescent="0.25">
      <c r="A147" s="2034" t="s">
        <v>1475</v>
      </c>
      <c r="B147" s="2075" t="s">
        <v>1487</v>
      </c>
      <c r="C147" s="2004"/>
      <c r="D147" s="2005"/>
      <c r="E147" s="2006"/>
      <c r="F147" s="2007"/>
      <c r="G147" s="1188"/>
      <c r="H147" s="1188"/>
      <c r="I147" s="1188"/>
      <c r="J147" s="1188"/>
      <c r="K147" s="1188"/>
    </row>
    <row r="148" spans="1:11" hidden="1" x14ac:dyDescent="0.25">
      <c r="A148" s="1928"/>
      <c r="B148" s="2075"/>
      <c r="C148" s="2004"/>
      <c r="D148" s="2005"/>
      <c r="E148" s="2006"/>
      <c r="F148" s="2007"/>
      <c r="G148" s="1188"/>
      <c r="H148" s="1188"/>
      <c r="I148" s="1188"/>
      <c r="J148" s="1188"/>
      <c r="K148" s="1188"/>
    </row>
    <row r="149" spans="1:11" hidden="1" x14ac:dyDescent="0.25">
      <c r="A149" s="1928"/>
      <c r="B149" s="2075" t="s">
        <v>1486</v>
      </c>
      <c r="C149" s="2004"/>
      <c r="D149" s="2005"/>
      <c r="E149" s="2006"/>
      <c r="F149" s="2007"/>
      <c r="G149" s="1188"/>
      <c r="H149" s="1188"/>
      <c r="I149" s="1188"/>
      <c r="J149" s="1188"/>
      <c r="K149" s="1188"/>
    </row>
    <row r="150" spans="1:11" ht="55.2" hidden="1" customHeight="1" x14ac:dyDescent="0.25">
      <c r="A150" s="1928" t="s">
        <v>1477</v>
      </c>
      <c r="B150" s="2050" t="s">
        <v>1480</v>
      </c>
      <c r="C150" s="2004"/>
      <c r="D150" s="2005" t="s">
        <v>1476</v>
      </c>
      <c r="E150" s="2006"/>
      <c r="F150" s="2007">
        <f>E150*C150</f>
        <v>0</v>
      </c>
      <c r="G150" s="1188"/>
      <c r="H150" s="1188"/>
      <c r="I150" s="1188"/>
      <c r="J150" s="1188"/>
      <c r="K150" s="1188"/>
    </row>
    <row r="151" spans="1:11" hidden="1" x14ac:dyDescent="0.25">
      <c r="A151" s="1928"/>
      <c r="B151" s="2050"/>
      <c r="C151" s="2004"/>
      <c r="D151" s="2005"/>
      <c r="E151" s="2006"/>
      <c r="F151" s="2007"/>
      <c r="G151" s="1188"/>
      <c r="H151" s="1188"/>
      <c r="I151" s="1188"/>
      <c r="J151" s="1188"/>
      <c r="K151" s="1188"/>
    </row>
    <row r="152" spans="1:11" ht="55.2" hidden="1" customHeight="1" x14ac:dyDescent="0.25">
      <c r="A152" s="1928" t="s">
        <v>1479</v>
      </c>
      <c r="B152" s="2050" t="s">
        <v>1478</v>
      </c>
      <c r="C152" s="2004"/>
      <c r="D152" s="2005" t="s">
        <v>1476</v>
      </c>
      <c r="E152" s="2006"/>
      <c r="F152" s="2007">
        <f>E152*C152</f>
        <v>0</v>
      </c>
      <c r="G152" s="1188"/>
      <c r="H152" s="1188"/>
      <c r="I152" s="1188"/>
      <c r="J152" s="1188"/>
      <c r="K152" s="1188"/>
    </row>
    <row r="153" spans="1:11" hidden="1" x14ac:dyDescent="0.25">
      <c r="A153" s="1928"/>
      <c r="B153" s="2050"/>
      <c r="C153" s="2004"/>
      <c r="D153" s="2005"/>
      <c r="E153" s="2006"/>
      <c r="F153" s="2007"/>
      <c r="G153" s="1188"/>
      <c r="H153" s="1188"/>
      <c r="I153" s="1188"/>
      <c r="J153" s="1188"/>
      <c r="K153" s="1188"/>
    </row>
    <row r="154" spans="1:11" ht="55.2" hidden="1" customHeight="1" x14ac:dyDescent="0.25">
      <c r="A154" s="1928" t="s">
        <v>1481</v>
      </c>
      <c r="B154" s="2050" t="s">
        <v>1482</v>
      </c>
      <c r="C154" s="2004"/>
      <c r="D154" s="2005" t="s">
        <v>1476</v>
      </c>
      <c r="E154" s="2006"/>
      <c r="F154" s="2007">
        <f>E154*C154</f>
        <v>0</v>
      </c>
      <c r="G154" s="1188"/>
      <c r="H154" s="1188"/>
      <c r="I154" s="1188"/>
      <c r="J154" s="1188"/>
      <c r="K154" s="1188"/>
    </row>
    <row r="155" spans="1:11" hidden="1" x14ac:dyDescent="0.25">
      <c r="A155" s="1928"/>
      <c r="B155" s="2050"/>
      <c r="C155" s="2004"/>
      <c r="D155" s="2005"/>
      <c r="E155" s="2006"/>
      <c r="F155" s="2007"/>
      <c r="G155" s="1188"/>
      <c r="H155" s="1188"/>
      <c r="I155" s="1188"/>
      <c r="J155" s="1188"/>
      <c r="K155" s="1188"/>
    </row>
    <row r="156" spans="1:11" hidden="1" x14ac:dyDescent="0.25">
      <c r="A156" s="1928"/>
      <c r="B156" s="2075" t="s">
        <v>1619</v>
      </c>
      <c r="C156" s="2004"/>
      <c r="D156" s="2005"/>
      <c r="E156" s="2006"/>
      <c r="F156" s="2007"/>
      <c r="G156" s="1188"/>
      <c r="H156" s="1188"/>
      <c r="I156" s="1188"/>
      <c r="J156" s="1188"/>
      <c r="K156" s="1188"/>
    </row>
    <row r="157" spans="1:11" ht="55.2" hidden="1" customHeight="1" x14ac:dyDescent="0.25">
      <c r="A157" s="1928" t="s">
        <v>1488</v>
      </c>
      <c r="B157" s="2050" t="s">
        <v>1492</v>
      </c>
      <c r="C157" s="2004"/>
      <c r="D157" s="2005" t="s">
        <v>1476</v>
      </c>
      <c r="E157" s="2006"/>
      <c r="F157" s="2007">
        <f>E157*C157</f>
        <v>0</v>
      </c>
      <c r="G157" s="1188"/>
      <c r="H157" s="1188"/>
      <c r="I157" s="1188"/>
      <c r="J157" s="1188"/>
      <c r="K157" s="1188"/>
    </row>
    <row r="158" spans="1:11" hidden="1" x14ac:dyDescent="0.25">
      <c r="A158" s="1928"/>
      <c r="B158" s="2050"/>
      <c r="C158" s="2004"/>
      <c r="D158" s="2005"/>
      <c r="E158" s="2006"/>
      <c r="F158" s="2007"/>
      <c r="G158" s="1188"/>
      <c r="H158" s="1188"/>
      <c r="I158" s="1188"/>
      <c r="J158" s="1188"/>
      <c r="K158" s="1188"/>
    </row>
    <row r="159" spans="1:11" ht="55.2" hidden="1" customHeight="1" x14ac:dyDescent="0.25">
      <c r="A159" s="1928" t="s">
        <v>1490</v>
      </c>
      <c r="B159" s="2050" t="s">
        <v>1493</v>
      </c>
      <c r="C159" s="2004"/>
      <c r="D159" s="2005" t="s">
        <v>167</v>
      </c>
      <c r="E159" s="2006"/>
      <c r="F159" s="2007">
        <f>E159*C159</f>
        <v>0</v>
      </c>
      <c r="G159" s="1188"/>
      <c r="H159" s="1188"/>
      <c r="I159" s="1188"/>
      <c r="J159" s="1188"/>
      <c r="K159" s="1188"/>
    </row>
    <row r="160" spans="1:11" hidden="1" x14ac:dyDescent="0.25">
      <c r="A160" s="1928"/>
      <c r="B160" s="2050"/>
      <c r="C160" s="2004"/>
      <c r="D160" s="2005"/>
      <c r="E160" s="2006"/>
      <c r="F160" s="2007"/>
      <c r="G160" s="1188"/>
      <c r="H160" s="1188"/>
      <c r="I160" s="1188"/>
      <c r="J160" s="1188"/>
      <c r="K160" s="1188"/>
    </row>
    <row r="161" spans="1:11" ht="55.2" hidden="1" customHeight="1" x14ac:dyDescent="0.25">
      <c r="A161" s="1928" t="s">
        <v>1491</v>
      </c>
      <c r="B161" s="2050" t="s">
        <v>1494</v>
      </c>
      <c r="C161" s="2004"/>
      <c r="D161" s="2005" t="s">
        <v>1476</v>
      </c>
      <c r="E161" s="2006"/>
      <c r="F161" s="2007">
        <f>E161*C161</f>
        <v>0</v>
      </c>
      <c r="G161" s="1188"/>
      <c r="H161" s="1188"/>
      <c r="I161" s="1188"/>
      <c r="J161" s="1188"/>
      <c r="K161" s="1188"/>
    </row>
    <row r="162" spans="1:11" hidden="1" x14ac:dyDescent="0.25">
      <c r="A162" s="1928"/>
      <c r="B162" s="2050"/>
      <c r="C162" s="2004"/>
      <c r="D162" s="2005"/>
      <c r="E162" s="2006"/>
      <c r="F162" s="2007"/>
      <c r="G162" s="1188"/>
      <c r="H162" s="1188"/>
      <c r="I162" s="1188"/>
      <c r="J162" s="1188"/>
      <c r="K162" s="1188"/>
    </row>
    <row r="163" spans="1:11" hidden="1" x14ac:dyDescent="0.25">
      <c r="A163" s="2034" t="s">
        <v>1578</v>
      </c>
      <c r="B163" s="2075" t="s">
        <v>1576</v>
      </c>
      <c r="C163" s="2004"/>
      <c r="D163" s="2005"/>
      <c r="E163" s="2006"/>
      <c r="F163" s="2007"/>
      <c r="G163" s="1188"/>
      <c r="H163" s="1188"/>
      <c r="I163" s="1188"/>
      <c r="J163" s="1188"/>
      <c r="K163" s="1188"/>
    </row>
    <row r="164" spans="1:11" hidden="1" x14ac:dyDescent="0.25">
      <c r="A164" s="2034"/>
      <c r="B164" s="2075"/>
      <c r="C164" s="2004"/>
      <c r="D164" s="2005"/>
      <c r="E164" s="2006"/>
      <c r="F164" s="2007"/>
      <c r="G164" s="1188"/>
      <c r="H164" s="1188"/>
      <c r="I164" s="1188"/>
      <c r="J164" s="1188"/>
      <c r="K164" s="1188"/>
    </row>
    <row r="165" spans="1:11" hidden="1" x14ac:dyDescent="0.25">
      <c r="A165" s="2034"/>
      <c r="B165" s="2075" t="s">
        <v>1579</v>
      </c>
      <c r="C165" s="2004"/>
      <c r="D165" s="2005"/>
      <c r="E165" s="2006"/>
      <c r="F165" s="2007"/>
      <c r="G165" s="1188"/>
      <c r="H165" s="1188"/>
      <c r="I165" s="1188"/>
      <c r="J165" s="1188"/>
      <c r="K165" s="1188"/>
    </row>
    <row r="166" spans="1:11" ht="55.2" hidden="1" customHeight="1" x14ac:dyDescent="0.25">
      <c r="A166" s="1928" t="s">
        <v>1580</v>
      </c>
      <c r="B166" s="2050" t="s">
        <v>1577</v>
      </c>
      <c r="C166" s="2004"/>
      <c r="D166" s="2005" t="s">
        <v>1476</v>
      </c>
      <c r="E166" s="2006"/>
      <c r="F166" s="2007">
        <f>E166*C166</f>
        <v>0</v>
      </c>
      <c r="G166" s="1188"/>
      <c r="H166" s="1188"/>
      <c r="I166" s="1188"/>
      <c r="J166" s="1188"/>
      <c r="K166" s="1188"/>
    </row>
    <row r="167" spans="1:11" hidden="1" x14ac:dyDescent="0.25">
      <c r="A167" s="1928"/>
      <c r="B167" s="2050"/>
      <c r="C167" s="2004"/>
      <c r="D167" s="2005"/>
      <c r="E167" s="2006"/>
      <c r="F167" s="2007"/>
      <c r="G167" s="1188"/>
      <c r="H167" s="1188"/>
      <c r="I167" s="1188"/>
      <c r="J167" s="1188"/>
      <c r="K167" s="1188"/>
    </row>
    <row r="168" spans="1:11" ht="55.2" hidden="1" customHeight="1" x14ac:dyDescent="0.25">
      <c r="A168" s="1928" t="s">
        <v>1582</v>
      </c>
      <c r="B168" s="2050" t="s">
        <v>1581</v>
      </c>
      <c r="C168" s="2004"/>
      <c r="D168" s="2005" t="s">
        <v>1476</v>
      </c>
      <c r="E168" s="2006"/>
      <c r="F168" s="2007">
        <f>E168*C168</f>
        <v>0</v>
      </c>
      <c r="G168" s="1188"/>
      <c r="H168" s="1188"/>
      <c r="I168" s="1188"/>
      <c r="J168" s="1188"/>
      <c r="K168" s="1188"/>
    </row>
    <row r="169" spans="1:11" hidden="1" x14ac:dyDescent="0.25">
      <c r="A169" s="1928"/>
      <c r="B169" s="2050"/>
      <c r="C169" s="2004"/>
      <c r="D169" s="2005"/>
      <c r="E169" s="2006"/>
      <c r="F169" s="2007"/>
      <c r="G169" s="1188"/>
      <c r="H169" s="1188"/>
      <c r="I169" s="1188"/>
      <c r="J169" s="1188"/>
      <c r="K169" s="1188"/>
    </row>
    <row r="170" spans="1:11" ht="55.2" hidden="1" customHeight="1" x14ac:dyDescent="0.25">
      <c r="A170" s="1928" t="s">
        <v>1583</v>
      </c>
      <c r="B170" s="2050" t="s">
        <v>1620</v>
      </c>
      <c r="C170" s="2004"/>
      <c r="D170" s="2005" t="s">
        <v>1476</v>
      </c>
      <c r="E170" s="2006"/>
      <c r="F170" s="2007">
        <f>E170*C170</f>
        <v>0</v>
      </c>
      <c r="G170" s="1188"/>
      <c r="H170" s="1188"/>
      <c r="I170" s="1188"/>
      <c r="J170" s="1188"/>
      <c r="K170" s="1188"/>
    </row>
    <row r="171" spans="1:11" hidden="1" x14ac:dyDescent="0.25">
      <c r="A171" s="1928"/>
      <c r="B171" s="2050"/>
      <c r="C171" s="2004"/>
      <c r="D171" s="2005"/>
      <c r="E171" s="2006"/>
      <c r="F171" s="2007"/>
      <c r="G171" s="1188"/>
      <c r="H171" s="1188"/>
      <c r="I171" s="1188"/>
      <c r="J171" s="1188"/>
      <c r="K171" s="1188"/>
    </row>
    <row r="172" spans="1:11" hidden="1" x14ac:dyDescent="0.25">
      <c r="A172" s="1928"/>
      <c r="B172" s="2050"/>
      <c r="C172" s="2004"/>
      <c r="D172" s="2005"/>
      <c r="E172" s="2006"/>
      <c r="F172" s="2007"/>
      <c r="G172" s="1188"/>
      <c r="H172" s="1188"/>
      <c r="I172" s="1188"/>
      <c r="J172" s="1188"/>
      <c r="K172" s="1188"/>
    </row>
    <row r="173" spans="1:11" hidden="1" x14ac:dyDescent="0.25">
      <c r="A173" s="1928"/>
      <c r="B173" s="2050"/>
      <c r="C173" s="2004"/>
      <c r="D173" s="2005"/>
      <c r="E173" s="2006"/>
      <c r="F173" s="2007"/>
      <c r="G173" s="1188"/>
      <c r="H173" s="1188"/>
      <c r="I173" s="1188"/>
      <c r="J173" s="1188"/>
      <c r="K173" s="1188"/>
    </row>
    <row r="174" spans="1:11" s="2079" customFormat="1" x14ac:dyDescent="0.25">
      <c r="A174" s="2034"/>
      <c r="B174" s="2045" t="s">
        <v>174</v>
      </c>
      <c r="C174" s="2046"/>
      <c r="D174" s="2076"/>
      <c r="E174" s="2077"/>
      <c r="F174" s="2078"/>
    </row>
    <row r="175" spans="1:11" s="2079" customFormat="1" ht="20.100000000000001" customHeight="1" x14ac:dyDescent="0.25">
      <c r="A175" s="2034"/>
      <c r="B175" s="2045" t="s">
        <v>175</v>
      </c>
      <c r="C175" s="2046"/>
      <c r="D175" s="2076"/>
      <c r="E175" s="2077"/>
      <c r="F175" s="2078"/>
    </row>
    <row r="176" spans="1:11" s="2079" customFormat="1" ht="69" x14ac:dyDescent="0.25">
      <c r="A176" s="2034"/>
      <c r="B176" s="2048" t="s">
        <v>961</v>
      </c>
      <c r="C176" s="2046"/>
      <c r="D176" s="2076"/>
      <c r="E176" s="2077"/>
      <c r="F176" s="2078"/>
    </row>
    <row r="177" spans="1:11" s="2079" customFormat="1" ht="82.8" x14ac:dyDescent="0.25">
      <c r="A177" s="2034"/>
      <c r="B177" s="2048" t="s">
        <v>965</v>
      </c>
      <c r="C177" s="2046"/>
      <c r="D177" s="2076"/>
      <c r="E177" s="2077"/>
      <c r="F177" s="2078"/>
    </row>
    <row r="178" spans="1:11" s="2079" customFormat="1" ht="41.4" x14ac:dyDescent="0.25">
      <c r="A178" s="2034"/>
      <c r="B178" s="2048" t="s">
        <v>964</v>
      </c>
      <c r="C178" s="2046"/>
      <c r="D178" s="2076"/>
      <c r="E178" s="2077"/>
      <c r="F178" s="2078"/>
    </row>
    <row r="179" spans="1:11" s="2079" customFormat="1" ht="55.2" x14ac:dyDescent="0.25">
      <c r="A179" s="2034"/>
      <c r="B179" s="2048" t="s">
        <v>962</v>
      </c>
      <c r="C179" s="2046"/>
      <c r="D179" s="2076"/>
      <c r="E179" s="2077"/>
      <c r="F179" s="2078"/>
    </row>
    <row r="180" spans="1:11" s="2079" customFormat="1" ht="27.6" x14ac:dyDescent="0.25">
      <c r="A180" s="2034"/>
      <c r="B180" s="2048" t="s">
        <v>963</v>
      </c>
      <c r="C180" s="2046"/>
      <c r="D180" s="2076"/>
      <c r="E180" s="2077"/>
      <c r="F180" s="2078"/>
    </row>
    <row r="181" spans="1:11" s="2079" customFormat="1" ht="55.2" x14ac:dyDescent="0.25">
      <c r="A181" s="2034"/>
      <c r="B181" s="2048" t="s">
        <v>966</v>
      </c>
      <c r="C181" s="2046"/>
      <c r="D181" s="2076"/>
      <c r="E181" s="2077"/>
      <c r="F181" s="2078"/>
    </row>
    <row r="182" spans="1:11" s="2079" customFormat="1" ht="28.2" thickBot="1" x14ac:dyDescent="0.3">
      <c r="A182" s="2080"/>
      <c r="B182" s="2063" t="s">
        <v>967</v>
      </c>
      <c r="C182" s="2053"/>
      <c r="D182" s="2081"/>
      <c r="E182" s="2082"/>
      <c r="F182" s="2083"/>
    </row>
    <row r="183" spans="1:11" s="2079" customFormat="1" ht="106.8" customHeight="1" x14ac:dyDescent="0.25">
      <c r="A183" s="2084"/>
      <c r="B183" s="2067" t="s">
        <v>968</v>
      </c>
      <c r="C183" s="2059"/>
      <c r="D183" s="2085"/>
      <c r="E183" s="2086"/>
      <c r="F183" s="2087"/>
    </row>
    <row r="184" spans="1:11" s="2079" customFormat="1" x14ac:dyDescent="0.25">
      <c r="A184" s="2034"/>
      <c r="B184" s="2045"/>
      <c r="C184" s="2046"/>
      <c r="D184" s="2076"/>
      <c r="E184" s="2077"/>
      <c r="F184" s="2078"/>
    </row>
    <row r="185" spans="1:11" s="2079" customFormat="1" ht="69" x14ac:dyDescent="0.25">
      <c r="A185" s="2034" t="s">
        <v>176</v>
      </c>
      <c r="B185" s="2049" t="s">
        <v>1759</v>
      </c>
      <c r="C185" s="2036"/>
      <c r="D185" s="2076"/>
      <c r="E185" s="2077"/>
      <c r="F185" s="2078"/>
    </row>
    <row r="186" spans="1:11" s="2079" customFormat="1" x14ac:dyDescent="0.25">
      <c r="A186" s="2034"/>
      <c r="B186" s="2049"/>
      <c r="C186" s="2036"/>
      <c r="D186" s="2076"/>
      <c r="E186" s="2077"/>
      <c r="F186" s="2078"/>
    </row>
    <row r="187" spans="1:11" s="2079" customFormat="1" ht="82.8" x14ac:dyDescent="0.25">
      <c r="A187" s="2034" t="s">
        <v>178</v>
      </c>
      <c r="B187" s="2049" t="s">
        <v>179</v>
      </c>
      <c r="C187" s="2036"/>
      <c r="D187" s="2076"/>
      <c r="E187" s="2077"/>
      <c r="F187" s="2078"/>
    </row>
    <row r="188" spans="1:11" s="2079" customFormat="1" x14ac:dyDescent="0.25">
      <c r="A188" s="2034"/>
      <c r="B188" s="2049"/>
      <c r="C188" s="2036"/>
      <c r="D188" s="2076"/>
      <c r="E188" s="2077"/>
      <c r="F188" s="2078"/>
    </row>
    <row r="189" spans="1:11" s="2079" customFormat="1" ht="41.4" x14ac:dyDescent="0.25">
      <c r="A189" s="2034" t="s">
        <v>180</v>
      </c>
      <c r="B189" s="2049" t="s">
        <v>181</v>
      </c>
      <c r="C189" s="2036"/>
      <c r="D189" s="2076"/>
      <c r="E189" s="2077"/>
      <c r="F189" s="2078"/>
    </row>
    <row r="190" spans="1:11" s="2079" customFormat="1" x14ac:dyDescent="0.25">
      <c r="A190" s="2034"/>
      <c r="B190" s="2049"/>
      <c r="C190" s="2036"/>
      <c r="D190" s="2076"/>
      <c r="E190" s="2077"/>
      <c r="F190" s="2078"/>
    </row>
    <row r="191" spans="1:11" s="2079" customFormat="1" x14ac:dyDescent="0.25">
      <c r="A191" s="2034"/>
      <c r="B191" s="2049" t="s">
        <v>348</v>
      </c>
      <c r="C191" s="2036"/>
      <c r="D191" s="2076"/>
      <c r="E191" s="2077"/>
      <c r="F191" s="2078"/>
    </row>
    <row r="192" spans="1:11" ht="30.6" customHeight="1" x14ac:dyDescent="0.25">
      <c r="A192" s="2003" t="s">
        <v>182</v>
      </c>
      <c r="B192" s="2050" t="s">
        <v>986</v>
      </c>
      <c r="C192" s="2004"/>
      <c r="D192" s="2005"/>
      <c r="E192" s="2006"/>
      <c r="F192" s="2007"/>
      <c r="G192" s="1188"/>
      <c r="H192" s="1188"/>
      <c r="I192" s="1188"/>
      <c r="J192" s="1188"/>
      <c r="K192" s="1188">
        <f>35.04*10.76</f>
        <v>377.03039999999999</v>
      </c>
    </row>
    <row r="193" spans="1:12" x14ac:dyDescent="0.25">
      <c r="A193" s="2003"/>
      <c r="B193" s="2050"/>
      <c r="C193" s="2004"/>
      <c r="D193" s="2005"/>
      <c r="E193" s="2006"/>
      <c r="F193" s="2007"/>
      <c r="G193" s="1188"/>
      <c r="H193" s="1188"/>
      <c r="I193" s="1188"/>
      <c r="J193" s="1188"/>
      <c r="K193" s="1188"/>
    </row>
    <row r="194" spans="1:12" ht="14.4" customHeight="1" x14ac:dyDescent="0.25">
      <c r="A194" s="2003" t="s">
        <v>441</v>
      </c>
      <c r="B194" s="2050" t="s">
        <v>2324</v>
      </c>
      <c r="C194" s="2004"/>
      <c r="D194" s="2005" t="s">
        <v>2423</v>
      </c>
      <c r="E194" s="2006" t="e">
        <f>#REF!</f>
        <v>#REF!</v>
      </c>
      <c r="F194" s="2007" t="e">
        <f t="shared" ref="F194" si="12">C194*E194</f>
        <v>#REF!</v>
      </c>
      <c r="G194" s="1188"/>
      <c r="H194" s="1188"/>
      <c r="I194" s="1188"/>
      <c r="J194" s="1188"/>
      <c r="K194" s="1188"/>
    </row>
    <row r="195" spans="1:12" x14ac:dyDescent="0.25">
      <c r="A195" s="2003"/>
      <c r="B195" s="2050"/>
      <c r="C195" s="2004"/>
      <c r="D195" s="2005"/>
      <c r="E195" s="2006"/>
      <c r="F195" s="2007"/>
      <c r="G195" s="1188"/>
      <c r="H195" s="1188"/>
      <c r="I195" s="1188"/>
      <c r="J195" s="1188"/>
      <c r="K195" s="1188"/>
    </row>
    <row r="196" spans="1:12" ht="43.8" customHeight="1" x14ac:dyDescent="0.25">
      <c r="A196" s="2003" t="s">
        <v>184</v>
      </c>
      <c r="B196" s="2050" t="s">
        <v>185</v>
      </c>
      <c r="C196" s="2004"/>
      <c r="D196" s="2005"/>
      <c r="E196" s="2006"/>
      <c r="F196" s="2007"/>
      <c r="K196" s="2037">
        <f>105.5*10.76</f>
        <v>1135.18</v>
      </c>
    </row>
    <row r="197" spans="1:12" x14ac:dyDescent="0.25">
      <c r="A197" s="2003"/>
      <c r="B197" s="2050" t="s">
        <v>2628</v>
      </c>
      <c r="C197" s="2004"/>
      <c r="D197" s="2005" t="s">
        <v>2423</v>
      </c>
      <c r="E197" s="2006" t="e">
        <f>#REF!</f>
        <v>#REF!</v>
      </c>
      <c r="F197" s="2007" t="e">
        <f t="shared" ref="F197:F199" si="13">C197*E197</f>
        <v>#REF!</v>
      </c>
    </row>
    <row r="198" spans="1:12" x14ac:dyDescent="0.25">
      <c r="A198" s="2003"/>
      <c r="B198" s="2050" t="s">
        <v>2629</v>
      </c>
      <c r="C198" s="2004"/>
      <c r="D198" s="2005" t="s">
        <v>2423</v>
      </c>
      <c r="E198" s="2006" t="e">
        <f>#REF!</f>
        <v>#REF!</v>
      </c>
      <c r="F198" s="2007" t="e">
        <f t="shared" si="13"/>
        <v>#REF!</v>
      </c>
    </row>
    <row r="199" spans="1:12" x14ac:dyDescent="0.25">
      <c r="A199" s="2003"/>
      <c r="B199" s="2050" t="s">
        <v>3258</v>
      </c>
      <c r="C199" s="2004"/>
      <c r="D199" s="2005" t="s">
        <v>2423</v>
      </c>
      <c r="E199" s="2006" t="e">
        <f>#REF!</f>
        <v>#REF!</v>
      </c>
      <c r="F199" s="2007" t="e">
        <f t="shared" si="13"/>
        <v>#REF!</v>
      </c>
    </row>
    <row r="200" spans="1:12" x14ac:dyDescent="0.25">
      <c r="A200" s="2003"/>
      <c r="B200" s="2050"/>
      <c r="C200" s="2004"/>
      <c r="D200" s="2005"/>
      <c r="E200" s="2006"/>
      <c r="F200" s="2007"/>
    </row>
    <row r="201" spans="1:12" ht="28.8" customHeight="1" x14ac:dyDescent="0.25">
      <c r="A201" s="2003" t="s">
        <v>186</v>
      </c>
      <c r="B201" s="2050" t="s">
        <v>1574</v>
      </c>
      <c r="C201" s="2004"/>
      <c r="D201" s="2005"/>
      <c r="E201" s="2006"/>
      <c r="F201" s="2007"/>
    </row>
    <row r="202" spans="1:12" x14ac:dyDescent="0.25">
      <c r="A202" s="2003"/>
      <c r="B202" s="2050"/>
      <c r="C202" s="2004"/>
      <c r="D202" s="2005"/>
      <c r="E202" s="2006"/>
      <c r="F202" s="2007"/>
    </row>
    <row r="203" spans="1:12" ht="29.4" customHeight="1" x14ac:dyDescent="0.25">
      <c r="A203" s="2003" t="s">
        <v>445</v>
      </c>
      <c r="B203" s="2050" t="s">
        <v>2494</v>
      </c>
      <c r="C203" s="2004"/>
      <c r="D203" s="2005" t="s">
        <v>2423</v>
      </c>
      <c r="E203" s="2006" t="e">
        <f>E197</f>
        <v>#REF!</v>
      </c>
      <c r="F203" s="2007" t="e">
        <f t="shared" ref="F203:F207" si="14">C203*E203</f>
        <v>#REF!</v>
      </c>
      <c r="K203" s="2037">
        <f>+C203*10.76</f>
        <v>0</v>
      </c>
      <c r="L203" s="2037">
        <v>1005.522</v>
      </c>
    </row>
    <row r="204" spans="1:12" x14ac:dyDescent="0.25">
      <c r="A204" s="2003"/>
      <c r="B204" s="2050"/>
      <c r="C204" s="2004"/>
      <c r="D204" s="2005"/>
      <c r="E204" s="2006"/>
      <c r="F204" s="2007"/>
    </row>
    <row r="205" spans="1:12" ht="27.6" x14ac:dyDescent="0.25">
      <c r="A205" s="2003" t="s">
        <v>446</v>
      </c>
      <c r="B205" s="2050" t="s">
        <v>49</v>
      </c>
      <c r="C205" s="2004"/>
      <c r="D205" s="2005" t="s">
        <v>2423</v>
      </c>
      <c r="E205" s="2006" t="e">
        <f>E203*1.05</f>
        <v>#REF!</v>
      </c>
      <c r="F205" s="2007" t="e">
        <f t="shared" si="14"/>
        <v>#REF!</v>
      </c>
      <c r="K205" s="2037">
        <f t="shared" ref="K205:K207" si="15">+C205*10.76</f>
        <v>0</v>
      </c>
      <c r="L205" s="2037">
        <v>741.14880000000005</v>
      </c>
    </row>
    <row r="206" spans="1:12" x14ac:dyDescent="0.25">
      <c r="A206" s="2003"/>
      <c r="B206" s="2050"/>
      <c r="C206" s="2004"/>
      <c r="D206" s="2005"/>
      <c r="E206" s="2006"/>
      <c r="F206" s="2007"/>
    </row>
    <row r="207" spans="1:12" ht="27.6" x14ac:dyDescent="0.25">
      <c r="A207" s="2003" t="s">
        <v>447</v>
      </c>
      <c r="B207" s="2050" t="s">
        <v>2630</v>
      </c>
      <c r="C207" s="2004"/>
      <c r="D207" s="2005" t="s">
        <v>2423</v>
      </c>
      <c r="E207" s="2006" t="e">
        <f>E205*1.05</f>
        <v>#REF!</v>
      </c>
      <c r="F207" s="2007" t="e">
        <f t="shared" si="14"/>
        <v>#REF!</v>
      </c>
      <c r="K207" s="2037">
        <f t="shared" si="15"/>
        <v>0</v>
      </c>
      <c r="L207" s="2037">
        <v>529.39200000000005</v>
      </c>
    </row>
    <row r="208" spans="1:12" x14ac:dyDescent="0.25">
      <c r="A208" s="2003"/>
      <c r="B208" s="2050"/>
      <c r="C208" s="2004"/>
      <c r="D208" s="2005"/>
      <c r="E208" s="2006"/>
      <c r="F208" s="2007"/>
    </row>
    <row r="209" spans="1:14" ht="27.6" hidden="1" x14ac:dyDescent="0.25">
      <c r="A209" s="2003" t="s">
        <v>447</v>
      </c>
      <c r="B209" s="2050" t="s">
        <v>2631</v>
      </c>
      <c r="C209" s="2004"/>
      <c r="D209" s="2005" t="s">
        <v>2423</v>
      </c>
      <c r="E209" s="2006" t="e">
        <f>E207*1.05</f>
        <v>#REF!</v>
      </c>
      <c r="F209" s="2007" t="e">
        <f t="shared" ref="F209" si="16">C209*E209</f>
        <v>#REF!</v>
      </c>
      <c r="L209" s="2037">
        <f>C209/170*92</f>
        <v>0</v>
      </c>
    </row>
    <row r="210" spans="1:14" hidden="1" x14ac:dyDescent="0.25">
      <c r="A210" s="2003"/>
      <c r="B210" s="2050"/>
      <c r="C210" s="2004"/>
      <c r="D210" s="2005"/>
      <c r="E210" s="2006"/>
      <c r="F210" s="2007"/>
    </row>
    <row r="211" spans="1:14" hidden="1" x14ac:dyDescent="0.25">
      <c r="A211" s="2003" t="s">
        <v>448</v>
      </c>
      <c r="B211" s="2050" t="s">
        <v>54</v>
      </c>
      <c r="C211" s="2004"/>
      <c r="D211" s="2005" t="s">
        <v>2423</v>
      </c>
      <c r="E211" s="2006" t="e">
        <f>#REF!</f>
        <v>#REF!</v>
      </c>
      <c r="F211" s="2007"/>
    </row>
    <row r="212" spans="1:14" hidden="1" x14ac:dyDescent="0.25">
      <c r="A212" s="2003" t="s">
        <v>2177</v>
      </c>
      <c r="B212" s="2050" t="s">
        <v>2176</v>
      </c>
      <c r="C212" s="2004"/>
      <c r="D212" s="2005" t="s">
        <v>2423</v>
      </c>
      <c r="E212" s="2006" t="e">
        <f>E211*1.05</f>
        <v>#REF!</v>
      </c>
      <c r="F212" s="2007"/>
    </row>
    <row r="213" spans="1:14" hidden="1" x14ac:dyDescent="0.25">
      <c r="A213" s="2003"/>
      <c r="B213" s="2050"/>
      <c r="C213" s="2004"/>
      <c r="D213" s="2005"/>
      <c r="E213" s="2006"/>
      <c r="F213" s="2007"/>
    </row>
    <row r="214" spans="1:14" ht="27.6" hidden="1" x14ac:dyDescent="0.25">
      <c r="A214" s="2003" t="s">
        <v>2177</v>
      </c>
      <c r="B214" s="2050" t="s">
        <v>2632</v>
      </c>
      <c r="C214" s="2004"/>
      <c r="D214" s="2005" t="s">
        <v>2423</v>
      </c>
      <c r="E214" s="2006" t="e">
        <f>E212*1.05</f>
        <v>#REF!</v>
      </c>
      <c r="F214" s="2007"/>
    </row>
    <row r="215" spans="1:14" hidden="1" x14ac:dyDescent="0.25">
      <c r="A215" s="2003"/>
      <c r="B215" s="2050"/>
      <c r="C215" s="2004"/>
      <c r="D215" s="2005"/>
      <c r="E215" s="2006"/>
      <c r="F215" s="2007"/>
    </row>
    <row r="216" spans="1:14" hidden="1" x14ac:dyDescent="0.25">
      <c r="A216" s="2003"/>
      <c r="B216" s="2050"/>
      <c r="C216" s="2004"/>
      <c r="D216" s="2005"/>
      <c r="E216" s="2006"/>
      <c r="F216" s="2007"/>
    </row>
    <row r="217" spans="1:14" ht="41.4" x14ac:dyDescent="0.25">
      <c r="A217" s="2003" t="s">
        <v>444</v>
      </c>
      <c r="B217" s="2050" t="s">
        <v>2233</v>
      </c>
      <c r="C217" s="2004"/>
      <c r="D217" s="2005"/>
      <c r="E217" s="2006"/>
      <c r="F217" s="2007"/>
    </row>
    <row r="218" spans="1:14" x14ac:dyDescent="0.25">
      <c r="A218" s="2003" t="s">
        <v>449</v>
      </c>
      <c r="B218" s="2050" t="s">
        <v>2235</v>
      </c>
      <c r="C218" s="2004"/>
      <c r="D218" s="2005" t="s">
        <v>2423</v>
      </c>
      <c r="E218" s="2006" t="e">
        <f>#REF!</f>
        <v>#REF!</v>
      </c>
      <c r="F218" s="2007" t="e">
        <f t="shared" ref="F218:F221" si="17">C218*E218</f>
        <v>#REF!</v>
      </c>
      <c r="K218" s="2037">
        <f>+C218*10.76</f>
        <v>0</v>
      </c>
      <c r="L218" s="2037">
        <v>25.46</v>
      </c>
    </row>
    <row r="219" spans="1:14" x14ac:dyDescent="0.25">
      <c r="A219" s="2003" t="s">
        <v>450</v>
      </c>
      <c r="B219" s="2050" t="s">
        <v>2236</v>
      </c>
      <c r="C219" s="2004"/>
      <c r="D219" s="2005" t="s">
        <v>2423</v>
      </c>
      <c r="E219" s="2006" t="e">
        <f>#REF!</f>
        <v>#REF!</v>
      </c>
      <c r="F219" s="2007" t="e">
        <f t="shared" si="17"/>
        <v>#REF!</v>
      </c>
      <c r="K219" s="2037">
        <f t="shared" ref="K219" si="18">+C219*10.76</f>
        <v>0</v>
      </c>
      <c r="L219" s="2037">
        <v>25.46</v>
      </c>
    </row>
    <row r="220" spans="1:14" x14ac:dyDescent="0.25">
      <c r="A220" s="2003" t="s">
        <v>451</v>
      </c>
      <c r="B220" s="2050" t="s">
        <v>2633</v>
      </c>
      <c r="C220" s="2004"/>
      <c r="D220" s="2005" t="s">
        <v>2423</v>
      </c>
      <c r="E220" s="2006" t="e">
        <f>E219*1.05</f>
        <v>#REF!</v>
      </c>
      <c r="F220" s="2007" t="e">
        <f t="shared" si="17"/>
        <v>#REF!</v>
      </c>
    </row>
    <row r="221" spans="1:14" hidden="1" x14ac:dyDescent="0.25">
      <c r="A221" s="2003" t="s">
        <v>452</v>
      </c>
      <c r="B221" s="2050" t="s">
        <v>2634</v>
      </c>
      <c r="C221" s="2004"/>
      <c r="D221" s="2005" t="s">
        <v>2423</v>
      </c>
      <c r="E221" s="2006" t="e">
        <f>E220*1.05</f>
        <v>#REF!</v>
      </c>
      <c r="F221" s="2007" t="e">
        <f t="shared" si="17"/>
        <v>#REF!</v>
      </c>
    </row>
    <row r="222" spans="1:14" x14ac:dyDescent="0.25">
      <c r="A222" s="2003"/>
      <c r="B222" s="2050"/>
      <c r="C222" s="2004"/>
      <c r="D222" s="2005"/>
      <c r="E222" s="2006"/>
      <c r="F222" s="2007"/>
    </row>
    <row r="223" spans="1:14" ht="43.8" customHeight="1" x14ac:dyDescent="0.25">
      <c r="A223" s="2003" t="s">
        <v>187</v>
      </c>
      <c r="B223" s="2050" t="s">
        <v>2234</v>
      </c>
      <c r="C223" s="2004"/>
      <c r="D223" s="2005"/>
      <c r="E223" s="2006"/>
      <c r="F223" s="2007"/>
    </row>
    <row r="224" spans="1:14" x14ac:dyDescent="0.25">
      <c r="A224" s="2003" t="s">
        <v>454</v>
      </c>
      <c r="B224" s="2050" t="s">
        <v>2237</v>
      </c>
      <c r="C224" s="2004"/>
      <c r="D224" s="2005" t="s">
        <v>2423</v>
      </c>
      <c r="E224" s="2006" t="e">
        <f>#REF!</f>
        <v>#REF!</v>
      </c>
      <c r="F224" s="2007" t="e">
        <f t="shared" ref="F224:F227" si="19">C224*E224</f>
        <v>#REF!</v>
      </c>
      <c r="K224" s="2037">
        <f>+C224*10.76</f>
        <v>0</v>
      </c>
      <c r="L224" s="2037">
        <v>1535.5596</v>
      </c>
      <c r="N224" s="2037">
        <f>C224/170*92</f>
        <v>0</v>
      </c>
    </row>
    <row r="225" spans="1:17" x14ac:dyDescent="0.25">
      <c r="A225" s="2003" t="s">
        <v>455</v>
      </c>
      <c r="B225" s="2050" t="s">
        <v>2238</v>
      </c>
      <c r="C225" s="2004"/>
      <c r="D225" s="2005" t="s">
        <v>2423</v>
      </c>
      <c r="E225" s="2006" t="e">
        <f>#REF!</f>
        <v>#REF!</v>
      </c>
      <c r="F225" s="2007" t="e">
        <f t="shared" si="19"/>
        <v>#REF!</v>
      </c>
      <c r="K225" s="2037" t="e">
        <f>C218/C224*C220</f>
        <v>#DIV/0!</v>
      </c>
      <c r="L225" s="2037">
        <v>1321.328</v>
      </c>
      <c r="N225" s="2037">
        <f>C225*1.1</f>
        <v>0</v>
      </c>
      <c r="O225" s="2037">
        <f>11+0.9</f>
        <v>11.9</v>
      </c>
      <c r="P225" s="2037">
        <f>0.55+0.55+0.3</f>
        <v>1.4000000000000001</v>
      </c>
      <c r="Q225" s="2037">
        <f>P225*O225</f>
        <v>16.660000000000004</v>
      </c>
    </row>
    <row r="226" spans="1:17" x14ac:dyDescent="0.25">
      <c r="A226" s="2003" t="s">
        <v>456</v>
      </c>
      <c r="B226" s="2050" t="s">
        <v>2635</v>
      </c>
      <c r="C226" s="2004"/>
      <c r="D226" s="2005" t="s">
        <v>2423</v>
      </c>
      <c r="E226" s="2006" t="e">
        <f>#REF!</f>
        <v>#REF!</v>
      </c>
      <c r="F226" s="2007" t="e">
        <f t="shared" si="19"/>
        <v>#REF!</v>
      </c>
      <c r="G226" s="2037">
        <f>C225/158*60</f>
        <v>0</v>
      </c>
    </row>
    <row r="227" spans="1:17" hidden="1" x14ac:dyDescent="0.25">
      <c r="A227" s="2003" t="s">
        <v>457</v>
      </c>
      <c r="B227" s="2050" t="s">
        <v>2636</v>
      </c>
      <c r="C227" s="2004"/>
      <c r="D227" s="2005" t="s">
        <v>2423</v>
      </c>
      <c r="E227" s="2006" t="e">
        <f>E226*1.05</f>
        <v>#REF!</v>
      </c>
      <c r="F227" s="2007" t="e">
        <f t="shared" si="19"/>
        <v>#REF!</v>
      </c>
    </row>
    <row r="228" spans="1:17" x14ac:dyDescent="0.25">
      <c r="A228" s="2003"/>
      <c r="B228" s="2050"/>
      <c r="C228" s="2004"/>
      <c r="D228" s="2005"/>
      <c r="E228" s="2006"/>
      <c r="F228" s="2007"/>
    </row>
    <row r="229" spans="1:17" ht="27.6" hidden="1" customHeight="1" x14ac:dyDescent="0.25">
      <c r="A229" s="2003" t="s">
        <v>453</v>
      </c>
      <c r="B229" s="2050" t="s">
        <v>2325</v>
      </c>
      <c r="C229" s="2004"/>
      <c r="D229" s="2005"/>
      <c r="E229" s="2006"/>
      <c r="F229" s="2007"/>
    </row>
    <row r="230" spans="1:17" hidden="1" x14ac:dyDescent="0.25">
      <c r="A230" s="2003" t="s">
        <v>458</v>
      </c>
      <c r="B230" s="2050" t="s">
        <v>2326</v>
      </c>
      <c r="C230" s="2004"/>
      <c r="D230" s="2005" t="s">
        <v>2423</v>
      </c>
      <c r="E230" s="2006"/>
      <c r="F230" s="2007">
        <f>C230*E230</f>
        <v>0</v>
      </c>
    </row>
    <row r="231" spans="1:17" hidden="1" x14ac:dyDescent="0.25">
      <c r="A231" s="2003" t="s">
        <v>459</v>
      </c>
      <c r="B231" s="2050" t="s">
        <v>2327</v>
      </c>
      <c r="C231" s="2004"/>
      <c r="D231" s="2005" t="s">
        <v>2423</v>
      </c>
      <c r="E231" s="2006"/>
      <c r="F231" s="2007">
        <f t="shared" ref="F231:F232" si="20">C231*E231</f>
        <v>0</v>
      </c>
      <c r="K231" s="2037" t="e">
        <f>+#REF!*10.76</f>
        <v>#REF!</v>
      </c>
      <c r="L231" s="2037">
        <v>399.5188</v>
      </c>
      <c r="N231" s="2037">
        <f>6*1.1</f>
        <v>6.6000000000000005</v>
      </c>
      <c r="O231" s="2037">
        <f>N231*10.76</f>
        <v>71.016000000000005</v>
      </c>
      <c r="P231" s="2037">
        <f>1.2*1</f>
        <v>1.2</v>
      </c>
      <c r="Q231" s="2037">
        <f>P231+O231</f>
        <v>72.216000000000008</v>
      </c>
    </row>
    <row r="232" spans="1:17" hidden="1" x14ac:dyDescent="0.25">
      <c r="A232" s="2003" t="s">
        <v>460</v>
      </c>
      <c r="B232" s="2050" t="s">
        <v>2328</v>
      </c>
      <c r="C232" s="2004"/>
      <c r="D232" s="2005" t="s">
        <v>2423</v>
      </c>
      <c r="E232" s="2006"/>
      <c r="F232" s="2007">
        <f t="shared" si="20"/>
        <v>0</v>
      </c>
      <c r="K232" s="2037" t="e">
        <f>+#REF!*10.76</f>
        <v>#REF!</v>
      </c>
      <c r="L232" s="2037">
        <v>399.5188</v>
      </c>
      <c r="O232" s="2037">
        <f>O231/100</f>
        <v>0.71016000000000001</v>
      </c>
      <c r="Q232" s="2037">
        <f>Q231/100</f>
        <v>0.72216000000000014</v>
      </c>
    </row>
    <row r="233" spans="1:17" hidden="1" x14ac:dyDescent="0.25">
      <c r="A233" s="2003"/>
      <c r="B233" s="2050"/>
      <c r="C233" s="2004"/>
      <c r="D233" s="2005"/>
      <c r="E233" s="2006"/>
      <c r="F233" s="2007"/>
    </row>
    <row r="234" spans="1:17" ht="41.4" hidden="1" x14ac:dyDescent="0.25">
      <c r="A234" s="2003" t="s">
        <v>2346</v>
      </c>
      <c r="B234" s="2050" t="s">
        <v>2347</v>
      </c>
      <c r="C234" s="2004"/>
      <c r="D234" s="2005"/>
      <c r="E234" s="2006"/>
      <c r="F234" s="2007"/>
    </row>
    <row r="235" spans="1:17" hidden="1" x14ac:dyDescent="0.25">
      <c r="A235" s="2003" t="s">
        <v>2348</v>
      </c>
      <c r="B235" s="2050" t="s">
        <v>2349</v>
      </c>
      <c r="C235" s="2004"/>
      <c r="D235" s="2005" t="s">
        <v>2423</v>
      </c>
      <c r="E235" s="2006"/>
      <c r="F235" s="2007">
        <f>C235*E235</f>
        <v>0</v>
      </c>
    </row>
    <row r="236" spans="1:17" hidden="1" x14ac:dyDescent="0.25">
      <c r="A236" s="2003" t="s">
        <v>2351</v>
      </c>
      <c r="B236" s="2050" t="s">
        <v>1786</v>
      </c>
      <c r="C236" s="2004"/>
      <c r="D236" s="2005" t="s">
        <v>2423</v>
      </c>
      <c r="E236" s="2006"/>
      <c r="F236" s="2007">
        <f t="shared" ref="F236:F237" si="21">C236*E236</f>
        <v>0</v>
      </c>
    </row>
    <row r="237" spans="1:17" hidden="1" x14ac:dyDescent="0.25">
      <c r="A237" s="2003" t="s">
        <v>2352</v>
      </c>
      <c r="B237" s="2050" t="s">
        <v>2350</v>
      </c>
      <c r="C237" s="2004"/>
      <c r="D237" s="2005" t="s">
        <v>2423</v>
      </c>
      <c r="E237" s="2006"/>
      <c r="F237" s="2007">
        <f t="shared" si="21"/>
        <v>0</v>
      </c>
    </row>
    <row r="238" spans="1:17" s="1188" customFormat="1" x14ac:dyDescent="0.25">
      <c r="A238" s="1928"/>
      <c r="B238" s="2045" t="s">
        <v>191</v>
      </c>
      <c r="C238" s="2046"/>
      <c r="D238" s="2005"/>
      <c r="E238" s="2006"/>
      <c r="F238" s="2007"/>
    </row>
    <row r="239" spans="1:17" s="1188" customFormat="1" ht="109.2" customHeight="1" x14ac:dyDescent="0.25">
      <c r="A239" s="1928"/>
      <c r="B239" s="2049" t="s">
        <v>2498</v>
      </c>
      <c r="C239" s="2046"/>
      <c r="D239" s="2005"/>
      <c r="E239" s="2006"/>
      <c r="F239" s="2007"/>
    </row>
    <row r="240" spans="1:17" s="1188" customFormat="1" x14ac:dyDescent="0.25">
      <c r="A240" s="1928"/>
      <c r="B240" s="2049"/>
      <c r="C240" s="2046"/>
      <c r="D240" s="2005"/>
      <c r="E240" s="2006"/>
      <c r="F240" s="2007"/>
    </row>
    <row r="241" spans="1:14" ht="55.2" x14ac:dyDescent="0.25">
      <c r="A241" s="2003" t="s">
        <v>192</v>
      </c>
      <c r="B241" s="2050" t="s">
        <v>2509</v>
      </c>
      <c r="C241" s="2004"/>
      <c r="D241" s="2005"/>
      <c r="E241" s="2006"/>
      <c r="F241" s="2007"/>
    </row>
    <row r="242" spans="1:14" hidden="1" x14ac:dyDescent="0.25">
      <c r="A242" s="2003" t="s">
        <v>461</v>
      </c>
      <c r="B242" s="2050" t="s">
        <v>98</v>
      </c>
      <c r="C242" s="2004"/>
      <c r="D242" s="2005" t="s">
        <v>134</v>
      </c>
      <c r="E242" s="2006" t="e">
        <f>#REF!</f>
        <v>#REF!</v>
      </c>
      <c r="F242" s="2007" t="e">
        <f>+C242*E242</f>
        <v>#REF!</v>
      </c>
    </row>
    <row r="243" spans="1:14" x14ac:dyDescent="0.25">
      <c r="A243" s="2003" t="s">
        <v>462</v>
      </c>
      <c r="B243" s="2050" t="s">
        <v>99</v>
      </c>
      <c r="C243" s="2004"/>
      <c r="D243" s="2005" t="s">
        <v>134</v>
      </c>
      <c r="E243" s="2006" t="e">
        <f>E242</f>
        <v>#REF!</v>
      </c>
      <c r="F243" s="2007" t="e">
        <f>+C243*E243</f>
        <v>#REF!</v>
      </c>
      <c r="G243" s="2037">
        <f>1*0.225*0.225</f>
        <v>5.0625000000000003E-2</v>
      </c>
      <c r="K243" s="2037">
        <f>0.89*4</f>
        <v>3.56</v>
      </c>
      <c r="L243" s="2037">
        <f>K243/G243</f>
        <v>70.320987654320987</v>
      </c>
    </row>
    <row r="244" spans="1:14" x14ac:dyDescent="0.25">
      <c r="A244" s="2003" t="s">
        <v>2511</v>
      </c>
      <c r="B244" s="2050" t="s">
        <v>2512</v>
      </c>
      <c r="C244" s="2004"/>
      <c r="D244" s="2005" t="s">
        <v>134</v>
      </c>
      <c r="E244" s="2006" t="e">
        <f>E243</f>
        <v>#REF!</v>
      </c>
      <c r="F244" s="2007" t="e">
        <f>+C244*E244</f>
        <v>#REF!</v>
      </c>
    </row>
    <row r="245" spans="1:14" x14ac:dyDescent="0.25">
      <c r="A245" s="2003" t="s">
        <v>2514</v>
      </c>
      <c r="B245" s="2050" t="s">
        <v>2515</v>
      </c>
      <c r="C245" s="2004"/>
      <c r="D245" s="2005" t="s">
        <v>134</v>
      </c>
      <c r="E245" s="2006" t="e">
        <f>E244</f>
        <v>#REF!</v>
      </c>
      <c r="F245" s="2007" t="e">
        <f>+C245*E245</f>
        <v>#REF!</v>
      </c>
    </row>
    <row r="246" spans="1:14" x14ac:dyDescent="0.25">
      <c r="A246" s="2003" t="s">
        <v>2637</v>
      </c>
      <c r="B246" s="2050" t="s">
        <v>3267</v>
      </c>
      <c r="C246" s="2004"/>
      <c r="D246" s="2005" t="s">
        <v>134</v>
      </c>
      <c r="E246" s="2006" t="e">
        <f>E245</f>
        <v>#REF!</v>
      </c>
      <c r="F246" s="2007" t="e">
        <f>+C246*E246</f>
        <v>#REF!</v>
      </c>
    </row>
    <row r="247" spans="1:14" x14ac:dyDescent="0.25">
      <c r="A247" s="2003" t="s">
        <v>2638</v>
      </c>
      <c r="B247" s="2050" t="s">
        <v>2640</v>
      </c>
      <c r="C247" s="2004"/>
      <c r="D247" s="2005" t="s">
        <v>134</v>
      </c>
      <c r="E247" s="2006" t="e">
        <f t="shared" ref="E247:E248" si="22">E246</f>
        <v>#REF!</v>
      </c>
      <c r="F247" s="2007" t="e">
        <f t="shared" ref="F247:F248" si="23">+C247*E247</f>
        <v>#REF!</v>
      </c>
    </row>
    <row r="248" spans="1:14" hidden="1" x14ac:dyDescent="0.25">
      <c r="A248" s="2003" t="s">
        <v>2639</v>
      </c>
      <c r="B248" s="2050" t="s">
        <v>2641</v>
      </c>
      <c r="C248" s="2004"/>
      <c r="D248" s="2005" t="s">
        <v>134</v>
      </c>
      <c r="E248" s="2006" t="e">
        <f t="shared" si="22"/>
        <v>#REF!</v>
      </c>
      <c r="F248" s="2007" t="e">
        <f t="shared" si="23"/>
        <v>#REF!</v>
      </c>
    </row>
    <row r="249" spans="1:14" x14ac:dyDescent="0.25">
      <c r="A249" s="2003"/>
      <c r="B249" s="2050"/>
      <c r="C249" s="2004"/>
      <c r="D249" s="2005"/>
      <c r="E249" s="2006"/>
      <c r="F249" s="2007"/>
    </row>
    <row r="250" spans="1:14" ht="55.2" x14ac:dyDescent="0.25">
      <c r="A250" s="2003" t="s">
        <v>193</v>
      </c>
      <c r="B250" s="2050" t="s">
        <v>2644</v>
      </c>
      <c r="C250" s="2004"/>
      <c r="D250" s="2005"/>
      <c r="E250" s="2006"/>
      <c r="F250" s="2007"/>
      <c r="N250" s="2037">
        <f>30000/100</f>
        <v>300</v>
      </c>
    </row>
    <row r="251" spans="1:14" x14ac:dyDescent="0.25">
      <c r="A251" s="2003" t="s">
        <v>463</v>
      </c>
      <c r="B251" s="2050" t="s">
        <v>98</v>
      </c>
      <c r="C251" s="2004"/>
      <c r="D251" s="2005" t="s">
        <v>134</v>
      </c>
      <c r="E251" s="2006" t="e">
        <f>E242</f>
        <v>#REF!</v>
      </c>
      <c r="F251" s="2007" t="e">
        <f>+C251*E251</f>
        <v>#REF!</v>
      </c>
      <c r="N251" s="2037">
        <f>N250*10.76</f>
        <v>3228</v>
      </c>
    </row>
    <row r="252" spans="1:14" x14ac:dyDescent="0.25">
      <c r="A252" s="2003" t="s">
        <v>464</v>
      </c>
      <c r="B252" s="2050" t="s">
        <v>354</v>
      </c>
      <c r="C252" s="2004"/>
      <c r="D252" s="2005" t="s">
        <v>134</v>
      </c>
      <c r="E252" s="2006" t="e">
        <f>E251</f>
        <v>#REF!</v>
      </c>
      <c r="F252" s="2007" t="e">
        <f>+C252*E252</f>
        <v>#REF!</v>
      </c>
    </row>
    <row r="253" spans="1:14" x14ac:dyDescent="0.25">
      <c r="A253" s="2003" t="s">
        <v>2513</v>
      </c>
      <c r="B253" s="2050" t="s">
        <v>2648</v>
      </c>
      <c r="C253" s="2004"/>
      <c r="D253" s="2005" t="s">
        <v>134</v>
      </c>
      <c r="E253" s="2006" t="e">
        <f>E252</f>
        <v>#REF!</v>
      </c>
      <c r="F253" s="2007" t="e">
        <f>+C253*E253</f>
        <v>#REF!</v>
      </c>
    </row>
    <row r="254" spans="1:14" hidden="1" x14ac:dyDescent="0.25">
      <c r="A254" s="2003" t="s">
        <v>2642</v>
      </c>
      <c r="B254" s="2050" t="s">
        <v>356</v>
      </c>
      <c r="C254" s="2004"/>
      <c r="D254" s="2005" t="s">
        <v>134</v>
      </c>
      <c r="E254" s="2006" t="e">
        <f>E253</f>
        <v>#REF!</v>
      </c>
      <c r="F254" s="2007"/>
    </row>
    <row r="255" spans="1:14" x14ac:dyDescent="0.25">
      <c r="A255" s="2003"/>
      <c r="B255" s="2050"/>
      <c r="C255" s="2004"/>
      <c r="D255" s="2005"/>
      <c r="E255" s="2006"/>
      <c r="F255" s="2007"/>
    </row>
    <row r="256" spans="1:14" ht="55.2" x14ac:dyDescent="0.25">
      <c r="A256" s="2003" t="s">
        <v>195</v>
      </c>
      <c r="B256" s="2050" t="s">
        <v>2510</v>
      </c>
      <c r="C256" s="2004"/>
      <c r="D256" s="2005"/>
      <c r="E256" s="2006"/>
      <c r="F256" s="2007"/>
    </row>
    <row r="257" spans="1:13" x14ac:dyDescent="0.25">
      <c r="A257" s="2003" t="s">
        <v>465</v>
      </c>
      <c r="B257" s="2050" t="s">
        <v>98</v>
      </c>
      <c r="C257" s="2004"/>
      <c r="D257" s="2005" t="s">
        <v>134</v>
      </c>
      <c r="E257" s="2006" t="e">
        <f>E252*1.03</f>
        <v>#REF!</v>
      </c>
      <c r="F257" s="2007" t="e">
        <f>+C257*E257</f>
        <v>#REF!</v>
      </c>
      <c r="G257" s="2037" t="e">
        <f>C252/C251*C257</f>
        <v>#DIV/0!</v>
      </c>
      <c r="K257" s="2037">
        <f>C131</f>
        <v>0</v>
      </c>
      <c r="L257" s="2037" t="e">
        <f>C258/K257</f>
        <v>#DIV/0!</v>
      </c>
      <c r="M257" s="2037">
        <f>150*3</f>
        <v>450</v>
      </c>
    </row>
    <row r="258" spans="1:13" x14ac:dyDescent="0.25">
      <c r="A258" s="2003" t="s">
        <v>466</v>
      </c>
      <c r="B258" s="2050" t="s">
        <v>354</v>
      </c>
      <c r="C258" s="2004"/>
      <c r="D258" s="2005" t="s">
        <v>134</v>
      </c>
      <c r="E258" s="2006" t="e">
        <f>E257</f>
        <v>#REF!</v>
      </c>
      <c r="F258" s="2007" t="e">
        <f>+C258*E258</f>
        <v>#REF!</v>
      </c>
    </row>
    <row r="259" spans="1:13" x14ac:dyDescent="0.25">
      <c r="A259" s="2003" t="s">
        <v>2516</v>
      </c>
      <c r="B259" s="2050" t="s">
        <v>2515</v>
      </c>
      <c r="C259" s="2004"/>
      <c r="D259" s="2005" t="s">
        <v>134</v>
      </c>
      <c r="E259" s="2006" t="e">
        <f>E258</f>
        <v>#REF!</v>
      </c>
      <c r="F259" s="2007" t="e">
        <f>+C259*E259</f>
        <v>#REF!</v>
      </c>
    </row>
    <row r="260" spans="1:13" hidden="1" x14ac:dyDescent="0.25">
      <c r="A260" s="2003" t="s">
        <v>2643</v>
      </c>
      <c r="B260" s="2050" t="s">
        <v>356</v>
      </c>
      <c r="C260" s="2004"/>
      <c r="D260" s="2005" t="s">
        <v>134</v>
      </c>
      <c r="E260" s="2006" t="e">
        <f>E259</f>
        <v>#REF!</v>
      </c>
      <c r="F260" s="2007"/>
    </row>
    <row r="261" spans="1:13" x14ac:dyDescent="0.25">
      <c r="A261" s="2003"/>
      <c r="B261" s="2050"/>
      <c r="C261" s="2004"/>
      <c r="D261" s="2005"/>
      <c r="E261" s="2006"/>
      <c r="F261" s="2007"/>
    </row>
    <row r="262" spans="1:13" ht="55.2" x14ac:dyDescent="0.25">
      <c r="A262" s="2003" t="s">
        <v>195</v>
      </c>
      <c r="B262" s="2050" t="s">
        <v>2645</v>
      </c>
      <c r="C262" s="2004"/>
      <c r="D262" s="2005"/>
      <c r="E262" s="2006"/>
      <c r="F262" s="2007"/>
    </row>
    <row r="263" spans="1:13" x14ac:dyDescent="0.25">
      <c r="A263" s="2003" t="s">
        <v>465</v>
      </c>
      <c r="B263" s="2050" t="s">
        <v>98</v>
      </c>
      <c r="C263" s="2004"/>
      <c r="D263" s="2005" t="s">
        <v>134</v>
      </c>
      <c r="E263" s="2006" t="e">
        <f>E258*1.03</f>
        <v>#REF!</v>
      </c>
      <c r="F263" s="2007" t="e">
        <f>+C263*E263</f>
        <v>#REF!</v>
      </c>
      <c r="G263" s="2037">
        <f>C257/158*60</f>
        <v>0</v>
      </c>
    </row>
    <row r="264" spans="1:13" x14ac:dyDescent="0.25">
      <c r="A264" s="2003" t="s">
        <v>466</v>
      </c>
      <c r="B264" s="2050" t="s">
        <v>354</v>
      </c>
      <c r="C264" s="2004"/>
      <c r="D264" s="2005" t="s">
        <v>134</v>
      </c>
      <c r="E264" s="2006" t="e">
        <f>E263</f>
        <v>#REF!</v>
      </c>
      <c r="F264" s="2007" t="e">
        <f>+C264*E264</f>
        <v>#REF!</v>
      </c>
    </row>
    <row r="265" spans="1:13" x14ac:dyDescent="0.25">
      <c r="A265" s="2003" t="s">
        <v>2516</v>
      </c>
      <c r="B265" s="2050" t="s">
        <v>2648</v>
      </c>
      <c r="C265" s="2004"/>
      <c r="D265" s="2005" t="s">
        <v>134</v>
      </c>
      <c r="E265" s="2006" t="e">
        <f>E264</f>
        <v>#REF!</v>
      </c>
      <c r="F265" s="2007" t="e">
        <f>+C265*E265</f>
        <v>#REF!</v>
      </c>
    </row>
    <row r="266" spans="1:13" hidden="1" x14ac:dyDescent="0.25">
      <c r="A266" s="2003" t="s">
        <v>2643</v>
      </c>
      <c r="B266" s="2050" t="s">
        <v>356</v>
      </c>
      <c r="C266" s="2004"/>
      <c r="D266" s="2005" t="s">
        <v>134</v>
      </c>
      <c r="E266" s="2006" t="e">
        <f>E265</f>
        <v>#REF!</v>
      </c>
      <c r="F266" s="2007"/>
    </row>
    <row r="267" spans="1:13" ht="55.2" hidden="1" x14ac:dyDescent="0.25">
      <c r="A267" s="2003" t="s">
        <v>195</v>
      </c>
      <c r="B267" s="2050" t="s">
        <v>2646</v>
      </c>
      <c r="C267" s="2004"/>
      <c r="D267" s="2005"/>
      <c r="E267" s="2006"/>
      <c r="F267" s="2007"/>
    </row>
    <row r="268" spans="1:13" hidden="1" x14ac:dyDescent="0.25">
      <c r="A268" s="2003" t="s">
        <v>465</v>
      </c>
      <c r="B268" s="2050" t="s">
        <v>98</v>
      </c>
      <c r="C268" s="2004"/>
      <c r="D268" s="2005" t="s">
        <v>134</v>
      </c>
      <c r="E268" s="2006" t="e">
        <f>E264*1.03</f>
        <v>#REF!</v>
      </c>
      <c r="F268" s="2007" t="e">
        <f>+C268*E268</f>
        <v>#REF!</v>
      </c>
    </row>
    <row r="269" spans="1:13" hidden="1" x14ac:dyDescent="0.25">
      <c r="A269" s="2003" t="s">
        <v>466</v>
      </c>
      <c r="B269" s="2050" t="s">
        <v>354</v>
      </c>
      <c r="C269" s="2004"/>
      <c r="D269" s="2005" t="s">
        <v>134</v>
      </c>
      <c r="E269" s="2006" t="e">
        <f>E268</f>
        <v>#REF!</v>
      </c>
      <c r="F269" s="2007" t="e">
        <f>+C269*E269</f>
        <v>#REF!</v>
      </c>
      <c r="G269" s="2037">
        <v>460000</v>
      </c>
      <c r="K269" s="2037">
        <f>G269*1.12</f>
        <v>515200.00000000006</v>
      </c>
    </row>
    <row r="270" spans="1:13" hidden="1" x14ac:dyDescent="0.25">
      <c r="A270" s="2003" t="s">
        <v>2516</v>
      </c>
      <c r="B270" s="2050" t="s">
        <v>2648</v>
      </c>
      <c r="C270" s="2004"/>
      <c r="D270" s="2005" t="s">
        <v>134</v>
      </c>
      <c r="E270" s="2006" t="e">
        <f>E269</f>
        <v>#REF!</v>
      </c>
      <c r="F270" s="2007" t="e">
        <f>+C270*E270</f>
        <v>#REF!</v>
      </c>
    </row>
    <row r="271" spans="1:13" ht="14.4" thickBot="1" x14ac:dyDescent="0.3">
      <c r="A271" s="2003"/>
      <c r="B271" s="2050"/>
      <c r="C271" s="2004"/>
      <c r="D271" s="2005"/>
      <c r="E271" s="2006"/>
      <c r="F271" s="2007"/>
    </row>
    <row r="272" spans="1:13" ht="55.8" hidden="1" thickBot="1" x14ac:dyDescent="0.3">
      <c r="A272" s="2003" t="s">
        <v>195</v>
      </c>
      <c r="B272" s="2050" t="s">
        <v>2647</v>
      </c>
      <c r="C272" s="2004"/>
      <c r="D272" s="2005"/>
      <c r="E272" s="2006"/>
      <c r="F272" s="2007"/>
    </row>
    <row r="273" spans="1:11" ht="14.4" hidden="1" thickBot="1" x14ac:dyDescent="0.3">
      <c r="A273" s="2003" t="s">
        <v>465</v>
      </c>
      <c r="B273" s="2050" t="s">
        <v>98</v>
      </c>
      <c r="C273" s="2004"/>
      <c r="D273" s="2005" t="s">
        <v>134</v>
      </c>
      <c r="E273" s="2006" t="e">
        <f>E269*1.03</f>
        <v>#REF!</v>
      </c>
      <c r="F273" s="2007" t="e">
        <f>+C273*E273</f>
        <v>#REF!</v>
      </c>
      <c r="K273" s="2037">
        <f>C268/170*92</f>
        <v>0</v>
      </c>
    </row>
    <row r="274" spans="1:11" ht="14.4" hidden="1" thickBot="1" x14ac:dyDescent="0.3">
      <c r="A274" s="2003" t="s">
        <v>466</v>
      </c>
      <c r="B274" s="2050" t="s">
        <v>354</v>
      </c>
      <c r="C274" s="2004"/>
      <c r="D274" s="2005" t="s">
        <v>134</v>
      </c>
      <c r="E274" s="2006" t="e">
        <f>E273</f>
        <v>#REF!</v>
      </c>
      <c r="F274" s="2007" t="e">
        <f>+C274*E274</f>
        <v>#REF!</v>
      </c>
      <c r="K274" s="2037">
        <f>C269/170*92</f>
        <v>0</v>
      </c>
    </row>
    <row r="275" spans="1:11" ht="14.4" hidden="1" thickBot="1" x14ac:dyDescent="0.3">
      <c r="A275" s="2003" t="s">
        <v>2516</v>
      </c>
      <c r="B275" s="2050" t="s">
        <v>2648</v>
      </c>
      <c r="C275" s="2004"/>
      <c r="D275" s="2005" t="s">
        <v>134</v>
      </c>
      <c r="E275" s="2006" t="e">
        <f>E274</f>
        <v>#REF!</v>
      </c>
      <c r="F275" s="2007" t="e">
        <f>+C275*E275</f>
        <v>#REF!</v>
      </c>
      <c r="K275" s="2037">
        <f>C270/170*92</f>
        <v>0</v>
      </c>
    </row>
    <row r="276" spans="1:11" ht="14.4" hidden="1" thickBot="1" x14ac:dyDescent="0.3">
      <c r="A276" s="2003" t="s">
        <v>2643</v>
      </c>
      <c r="B276" s="2050" t="s">
        <v>356</v>
      </c>
      <c r="C276" s="2004"/>
      <c r="D276" s="2005" t="s">
        <v>134</v>
      </c>
      <c r="E276" s="2006" t="e">
        <f>E275</f>
        <v>#REF!</v>
      </c>
      <c r="F276" s="2007" t="e">
        <f>+C276*E276</f>
        <v>#REF!</v>
      </c>
    </row>
    <row r="277" spans="1:11" s="1188" customFormat="1" ht="28.2" thickBot="1" x14ac:dyDescent="0.3">
      <c r="A277" s="2088"/>
      <c r="B277" s="2089" t="s">
        <v>906</v>
      </c>
      <c r="C277" s="2090"/>
      <c r="D277" s="2091"/>
      <c r="E277" s="2092"/>
      <c r="F277" s="2093" t="e">
        <f>SUM(F3:F276)</f>
        <v>#REF!</v>
      </c>
    </row>
    <row r="282" spans="1:11" x14ac:dyDescent="0.25">
      <c r="E282" s="2095">
        <f>2790+2000</f>
        <v>4790</v>
      </c>
    </row>
    <row r="283" spans="1:11" x14ac:dyDescent="0.25">
      <c r="E283" s="2095">
        <f>E282/338</f>
        <v>14.171597633136095</v>
      </c>
    </row>
    <row r="284" spans="1:11" x14ac:dyDescent="0.25">
      <c r="E284" s="2095">
        <f>E283*45</f>
        <v>637.72189349112432</v>
      </c>
    </row>
    <row r="285" spans="1:11" x14ac:dyDescent="0.25">
      <c r="F285" s="2032" t="e">
        <f>F110+#REF!+F140+F145+F154+F161+F170+F207+#REF!+#REF!+F232+F237+#REF!+#REF!+#REF!+#REF!</f>
        <v>#REF!</v>
      </c>
    </row>
  </sheetData>
  <pageMargins left="0.85" right="0.5" top="0.25" bottom="0.25" header="0.5" footer="0.5"/>
  <pageSetup orientation="portrait" r:id="rId1"/>
  <headerFooter alignWithMargins="0">
    <oddFooter>&amp;C&amp;P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
  <sheetViews>
    <sheetView topLeftCell="A25" zoomScale="85" zoomScaleNormal="85" workbookViewId="0">
      <selection activeCell="B18" sqref="B18"/>
    </sheetView>
  </sheetViews>
  <sheetFormatPr defaultColWidth="9.21875" defaultRowHeight="13.8" x14ac:dyDescent="0.25"/>
  <cols>
    <col min="1" max="1" width="8.21875" style="38" customWidth="1"/>
    <col min="2" max="2" width="64.21875" style="36" customWidth="1"/>
    <col min="3" max="3" width="10.77734375" style="39" customWidth="1"/>
    <col min="4" max="4" width="9" style="38" customWidth="1"/>
    <col min="5" max="5" width="12.77734375" style="202" bestFit="1" customWidth="1"/>
    <col min="6" max="6" width="15.77734375" style="39" bestFit="1" customWidth="1"/>
    <col min="7" max="7" width="9.21875" style="24"/>
    <col min="8" max="8" width="12.44140625" style="24" bestFit="1" customWidth="1"/>
    <col min="9" max="9" width="10" style="24" bestFit="1" customWidth="1"/>
    <col min="10" max="10" width="11" style="24" bestFit="1" customWidth="1"/>
    <col min="11" max="12" width="12.88671875" style="24" bestFit="1" customWidth="1"/>
    <col min="13" max="13" width="10.33203125" style="24" bestFit="1" customWidth="1"/>
    <col min="14" max="16384" width="9.21875" style="24"/>
  </cols>
  <sheetData>
    <row r="1" spans="1:8" s="31" customFormat="1" x14ac:dyDescent="0.25">
      <c r="A1" s="2952" t="s">
        <v>126</v>
      </c>
      <c r="B1" s="2953"/>
      <c r="C1" s="2953"/>
      <c r="D1" s="2953"/>
      <c r="E1" s="2953"/>
      <c r="F1" s="2954"/>
    </row>
    <row r="2" spans="1:8" s="31" customFormat="1" ht="14.4" thickBot="1" x14ac:dyDescent="0.3">
      <c r="A2" s="2955"/>
      <c r="B2" s="2956"/>
      <c r="C2" s="2956"/>
      <c r="D2" s="2956"/>
      <c r="E2" s="2956"/>
      <c r="F2" s="2957"/>
    </row>
    <row r="3" spans="1:8" s="31" customFormat="1" ht="14.4" thickBot="1" x14ac:dyDescent="0.3">
      <c r="A3" s="45" t="s">
        <v>0</v>
      </c>
      <c r="B3" s="46" t="s">
        <v>1</v>
      </c>
      <c r="C3" s="47" t="s">
        <v>2</v>
      </c>
      <c r="D3" s="48" t="s">
        <v>3</v>
      </c>
      <c r="E3" s="188" t="s">
        <v>4</v>
      </c>
      <c r="F3" s="49" t="s">
        <v>5</v>
      </c>
    </row>
    <row r="4" spans="1:8" s="35" customFormat="1" ht="28.05" customHeight="1" x14ac:dyDescent="0.25">
      <c r="A4" s="29"/>
      <c r="B4" s="32" t="s">
        <v>174</v>
      </c>
      <c r="C4" s="33"/>
      <c r="D4" s="34"/>
      <c r="E4" s="201"/>
      <c r="F4" s="42"/>
    </row>
    <row r="5" spans="1:8" s="35" customFormat="1" ht="20.100000000000001" customHeight="1" x14ac:dyDescent="0.25">
      <c r="A5" s="29"/>
      <c r="B5" s="19" t="s">
        <v>175</v>
      </c>
      <c r="C5" s="20"/>
      <c r="D5" s="34"/>
      <c r="E5" s="201"/>
      <c r="F5" s="42"/>
    </row>
    <row r="6" spans="1:8" s="35" customFormat="1" ht="88.05" customHeight="1" x14ac:dyDescent="0.25">
      <c r="A6" s="29" t="s">
        <v>176</v>
      </c>
      <c r="B6" s="25" t="s">
        <v>177</v>
      </c>
      <c r="C6" s="26"/>
      <c r="D6" s="34"/>
      <c r="E6" s="201"/>
      <c r="F6" s="42"/>
    </row>
    <row r="7" spans="1:8" s="35" customFormat="1" ht="88.05" customHeight="1" x14ac:dyDescent="0.25">
      <c r="A7" s="29" t="s">
        <v>178</v>
      </c>
      <c r="B7" s="25" t="s">
        <v>179</v>
      </c>
      <c r="C7" s="26"/>
      <c r="D7" s="34"/>
      <c r="E7" s="201"/>
      <c r="F7" s="42"/>
    </row>
    <row r="8" spans="1:8" s="35" customFormat="1" ht="58.5" customHeight="1" x14ac:dyDescent="0.25">
      <c r="A8" s="29" t="s">
        <v>180</v>
      </c>
      <c r="B8" s="25" t="s">
        <v>181</v>
      </c>
      <c r="C8" s="26"/>
      <c r="D8" s="34"/>
      <c r="E8" s="201"/>
      <c r="F8" s="42"/>
    </row>
    <row r="9" spans="1:8" ht="27.6" x14ac:dyDescent="0.25">
      <c r="A9" s="21" t="s">
        <v>182</v>
      </c>
      <c r="B9" s="22" t="s">
        <v>183</v>
      </c>
      <c r="C9" s="23"/>
      <c r="D9" s="18"/>
      <c r="E9" s="197"/>
      <c r="F9" s="41"/>
      <c r="G9" s="12"/>
      <c r="H9" s="12">
        <f>35.04*10.76</f>
        <v>377.03039999999999</v>
      </c>
    </row>
    <row r="10" spans="1:8" x14ac:dyDescent="0.25">
      <c r="A10" s="21" t="s">
        <v>441</v>
      </c>
      <c r="B10" s="22" t="s">
        <v>108</v>
      </c>
      <c r="C10" s="23"/>
      <c r="D10" s="18" t="s">
        <v>129</v>
      </c>
      <c r="E10" s="197">
        <v>3725</v>
      </c>
      <c r="F10" s="41">
        <f t="shared" ref="F10:F12" si="0">C10*E10</f>
        <v>0</v>
      </c>
      <c r="G10" s="12"/>
      <c r="H10" s="12"/>
    </row>
    <row r="11" spans="1:8" x14ac:dyDescent="0.25">
      <c r="A11" s="21" t="s">
        <v>442</v>
      </c>
      <c r="B11" s="22" t="s">
        <v>102</v>
      </c>
      <c r="C11" s="23"/>
      <c r="D11" s="18" t="s">
        <v>129</v>
      </c>
      <c r="E11" s="197">
        <v>3725</v>
      </c>
      <c r="F11" s="41">
        <f t="shared" si="0"/>
        <v>0</v>
      </c>
      <c r="G11" s="12"/>
      <c r="H11" s="12">
        <f>+C11*10.76</f>
        <v>0</v>
      </c>
    </row>
    <row r="12" spans="1:8" x14ac:dyDescent="0.25">
      <c r="A12" s="21" t="s">
        <v>443</v>
      </c>
      <c r="B12" s="22" t="s">
        <v>113</v>
      </c>
      <c r="C12" s="23"/>
      <c r="D12" s="18" t="s">
        <v>129</v>
      </c>
      <c r="E12" s="197">
        <v>3725</v>
      </c>
      <c r="F12" s="41">
        <f t="shared" si="0"/>
        <v>0</v>
      </c>
      <c r="G12" s="12"/>
      <c r="H12" s="12">
        <f>+C12*10.76</f>
        <v>0</v>
      </c>
    </row>
    <row r="13" spans="1:8" x14ac:dyDescent="0.25">
      <c r="A13" s="21"/>
      <c r="B13" s="22"/>
      <c r="C13" s="23"/>
      <c r="D13" s="18"/>
      <c r="E13" s="197"/>
      <c r="F13" s="41"/>
      <c r="G13" s="12"/>
      <c r="H13" s="12"/>
    </row>
    <row r="14" spans="1:8" ht="38.1" customHeight="1" x14ac:dyDescent="0.25">
      <c r="A14" s="21" t="s">
        <v>184</v>
      </c>
      <c r="B14" s="22" t="s">
        <v>185</v>
      </c>
      <c r="C14" s="23"/>
      <c r="D14" s="18" t="s">
        <v>129</v>
      </c>
      <c r="E14" s="197">
        <v>13385</v>
      </c>
      <c r="F14" s="41">
        <f t="shared" ref="F14" si="1">C14*E14</f>
        <v>0</v>
      </c>
      <c r="H14" s="24">
        <f>105.5*10.76</f>
        <v>1135.18</v>
      </c>
    </row>
    <row r="15" spans="1:8" x14ac:dyDescent="0.25">
      <c r="A15" s="21"/>
      <c r="B15" s="22"/>
      <c r="C15" s="23"/>
      <c r="D15" s="18"/>
      <c r="E15" s="197"/>
      <c r="F15" s="41"/>
    </row>
    <row r="16" spans="1:8" ht="22.5" customHeight="1" x14ac:dyDescent="0.25">
      <c r="A16" s="21" t="s">
        <v>186</v>
      </c>
      <c r="B16" s="22" t="s">
        <v>132</v>
      </c>
      <c r="C16" s="23"/>
      <c r="D16" s="18"/>
      <c r="E16" s="197"/>
      <c r="F16" s="41"/>
    </row>
    <row r="17" spans="1:9" x14ac:dyDescent="0.25">
      <c r="A17" s="21"/>
      <c r="B17" s="22" t="s">
        <v>348</v>
      </c>
      <c r="C17" s="23"/>
      <c r="D17" s="18" t="s">
        <v>129</v>
      </c>
      <c r="E17" s="197">
        <v>15850</v>
      </c>
      <c r="F17" s="41">
        <f t="shared" ref="F17:F21" si="2">C17*E17</f>
        <v>0</v>
      </c>
      <c r="H17" s="24">
        <f>24.47*10.76</f>
        <v>263.29719999999998</v>
      </c>
    </row>
    <row r="18" spans="1:9" x14ac:dyDescent="0.25">
      <c r="A18" s="21" t="s">
        <v>445</v>
      </c>
      <c r="B18" s="22" t="s">
        <v>48</v>
      </c>
      <c r="C18" s="23"/>
      <c r="D18" s="18" t="s">
        <v>129</v>
      </c>
      <c r="E18" s="197">
        <f>+E17*1.03</f>
        <v>16325.5</v>
      </c>
      <c r="F18" s="41">
        <f t="shared" si="2"/>
        <v>0</v>
      </c>
      <c r="H18" s="24">
        <f>+C18*10.76</f>
        <v>0</v>
      </c>
      <c r="I18" s="24">
        <v>1005.522</v>
      </c>
    </row>
    <row r="19" spans="1:9" x14ac:dyDescent="0.25">
      <c r="A19" s="21" t="s">
        <v>446</v>
      </c>
      <c r="B19" s="22" t="s">
        <v>49</v>
      </c>
      <c r="C19" s="23"/>
      <c r="D19" s="18" t="s">
        <v>129</v>
      </c>
      <c r="E19" s="197">
        <f>+E17*1.05</f>
        <v>16642.5</v>
      </c>
      <c r="F19" s="41">
        <f t="shared" si="2"/>
        <v>0</v>
      </c>
      <c r="H19" s="24">
        <f t="shared" ref="H19:H21" si="3">+C19*10.76</f>
        <v>0</v>
      </c>
      <c r="I19" s="24">
        <v>741.14879999999994</v>
      </c>
    </row>
    <row r="20" spans="1:9" x14ac:dyDescent="0.25">
      <c r="A20" s="21" t="s">
        <v>447</v>
      </c>
      <c r="B20" s="22" t="s">
        <v>109</v>
      </c>
      <c r="C20" s="23"/>
      <c r="D20" s="18" t="s">
        <v>129</v>
      </c>
      <c r="E20" s="197">
        <f>+E17*1.07</f>
        <v>16959.5</v>
      </c>
      <c r="F20" s="41">
        <f t="shared" si="2"/>
        <v>0</v>
      </c>
      <c r="H20" s="24">
        <f t="shared" si="3"/>
        <v>0</v>
      </c>
      <c r="I20" s="24">
        <v>529.39200000000005</v>
      </c>
    </row>
    <row r="21" spans="1:9" x14ac:dyDescent="0.25">
      <c r="A21" s="21" t="s">
        <v>448</v>
      </c>
      <c r="B21" s="22" t="s">
        <v>110</v>
      </c>
      <c r="C21" s="23"/>
      <c r="D21" s="18" t="s">
        <v>129</v>
      </c>
      <c r="E21" s="197">
        <f>+E17*1.1</f>
        <v>17435</v>
      </c>
      <c r="F21" s="41">
        <f t="shared" si="2"/>
        <v>0</v>
      </c>
      <c r="H21" s="24">
        <f t="shared" si="3"/>
        <v>0</v>
      </c>
      <c r="I21" s="24">
        <v>324.09120000000001</v>
      </c>
    </row>
    <row r="22" spans="1:9" x14ac:dyDescent="0.25">
      <c r="A22" s="21"/>
      <c r="B22" s="22"/>
      <c r="C22" s="23"/>
      <c r="D22" s="18"/>
      <c r="E22" s="197"/>
      <c r="F22" s="41"/>
    </row>
    <row r="23" spans="1:9" ht="38.1" customHeight="1" x14ac:dyDescent="0.25">
      <c r="A23" s="21" t="s">
        <v>444</v>
      </c>
      <c r="B23" s="22" t="s">
        <v>349</v>
      </c>
      <c r="C23" s="23"/>
      <c r="D23" s="18" t="s">
        <v>129</v>
      </c>
      <c r="E23" s="197"/>
      <c r="F23" s="41"/>
    </row>
    <row r="24" spans="1:9" x14ac:dyDescent="0.25">
      <c r="A24" s="21" t="s">
        <v>449</v>
      </c>
      <c r="B24" s="22" t="s">
        <v>52</v>
      </c>
      <c r="C24" s="23"/>
      <c r="D24" s="18" t="s">
        <v>129</v>
      </c>
      <c r="E24" s="197">
        <v>13600</v>
      </c>
      <c r="F24" s="41">
        <f t="shared" ref="F24:F27" si="4">C24*E24</f>
        <v>0</v>
      </c>
      <c r="H24" s="24">
        <f>+C24*10.76</f>
        <v>0</v>
      </c>
      <c r="I24" s="24">
        <v>25.46</v>
      </c>
    </row>
    <row r="25" spans="1:9" x14ac:dyDescent="0.25">
      <c r="A25" s="21" t="s">
        <v>450</v>
      </c>
      <c r="B25" s="22" t="s">
        <v>53</v>
      </c>
      <c r="C25" s="23"/>
      <c r="D25" s="18" t="s">
        <v>129</v>
      </c>
      <c r="E25" s="197">
        <f>+E24*1.03</f>
        <v>14008</v>
      </c>
      <c r="F25" s="41">
        <f t="shared" si="4"/>
        <v>0</v>
      </c>
      <c r="H25" s="24">
        <f t="shared" ref="H25:H27" si="5">+C25*10.76</f>
        <v>0</v>
      </c>
      <c r="I25" s="24">
        <v>25.46</v>
      </c>
    </row>
    <row r="26" spans="1:9" x14ac:dyDescent="0.25">
      <c r="A26" s="21" t="s">
        <v>451</v>
      </c>
      <c r="B26" s="22" t="s">
        <v>114</v>
      </c>
      <c r="C26" s="23"/>
      <c r="D26" s="18" t="s">
        <v>129</v>
      </c>
      <c r="E26" s="197">
        <f>+E24*1.05</f>
        <v>14280</v>
      </c>
      <c r="F26" s="41">
        <f t="shared" si="4"/>
        <v>0</v>
      </c>
      <c r="H26" s="24">
        <f t="shared" si="5"/>
        <v>0</v>
      </c>
      <c r="I26" s="24">
        <v>3.13</v>
      </c>
    </row>
    <row r="27" spans="1:9" x14ac:dyDescent="0.25">
      <c r="A27" s="21" t="s">
        <v>452</v>
      </c>
      <c r="B27" s="22" t="s">
        <v>115</v>
      </c>
      <c r="C27" s="23"/>
      <c r="D27" s="18" t="s">
        <v>129</v>
      </c>
      <c r="E27" s="197">
        <f>+E24*1.07</f>
        <v>14552</v>
      </c>
      <c r="F27" s="41">
        <f t="shared" si="4"/>
        <v>0</v>
      </c>
      <c r="H27" s="24">
        <f t="shared" si="5"/>
        <v>0</v>
      </c>
      <c r="I27" s="24">
        <v>3.13</v>
      </c>
    </row>
    <row r="28" spans="1:9" x14ac:dyDescent="0.25">
      <c r="A28" s="21"/>
      <c r="B28" s="22"/>
      <c r="C28" s="23"/>
      <c r="D28" s="18"/>
      <c r="E28" s="197"/>
      <c r="F28" s="41"/>
    </row>
    <row r="29" spans="1:9" x14ac:dyDescent="0.25">
      <c r="A29" s="21"/>
      <c r="B29" s="22"/>
      <c r="C29" s="23"/>
      <c r="D29" s="18"/>
      <c r="E29" s="197"/>
      <c r="F29" s="41"/>
    </row>
    <row r="30" spans="1:9" ht="55.2" x14ac:dyDescent="0.25">
      <c r="A30" s="21" t="s">
        <v>187</v>
      </c>
      <c r="B30" s="22" t="s">
        <v>350</v>
      </c>
      <c r="C30" s="23"/>
      <c r="D30" s="18"/>
      <c r="E30" s="197"/>
      <c r="F30" s="41"/>
    </row>
    <row r="31" spans="1:9" x14ac:dyDescent="0.25">
      <c r="A31" s="21" t="s">
        <v>454</v>
      </c>
      <c r="B31" s="22" t="s">
        <v>50</v>
      </c>
      <c r="C31" s="23"/>
      <c r="D31" s="18" t="s">
        <v>129</v>
      </c>
      <c r="E31" s="197">
        <v>18735</v>
      </c>
      <c r="F31" s="41">
        <f t="shared" ref="F31:F34" si="6">C31*E31</f>
        <v>0</v>
      </c>
      <c r="H31" s="24">
        <f>+C31*10.76</f>
        <v>0</v>
      </c>
      <c r="I31" s="24">
        <v>1535.5596</v>
      </c>
    </row>
    <row r="32" spans="1:9" x14ac:dyDescent="0.25">
      <c r="A32" s="21" t="s">
        <v>455</v>
      </c>
      <c r="B32" s="22" t="s">
        <v>51</v>
      </c>
      <c r="C32" s="23"/>
      <c r="D32" s="18" t="s">
        <v>129</v>
      </c>
      <c r="E32" s="197">
        <f>+E31*1.03</f>
        <v>19297.05</v>
      </c>
      <c r="F32" s="41">
        <f t="shared" si="6"/>
        <v>0</v>
      </c>
      <c r="H32" s="24">
        <f t="shared" ref="H32:H34" si="7">+C32*10.76</f>
        <v>0</v>
      </c>
      <c r="I32" s="24">
        <v>1321.328</v>
      </c>
    </row>
    <row r="33" spans="1:9" x14ac:dyDescent="0.25">
      <c r="A33" s="21" t="s">
        <v>456</v>
      </c>
      <c r="B33" s="22" t="s">
        <v>111</v>
      </c>
      <c r="C33" s="23"/>
      <c r="D33" s="18" t="s">
        <v>129</v>
      </c>
      <c r="E33" s="197">
        <f>+E31*1.05</f>
        <v>19671.75</v>
      </c>
      <c r="F33" s="41">
        <f t="shared" si="6"/>
        <v>0</v>
      </c>
      <c r="H33" s="24">
        <f t="shared" si="7"/>
        <v>0</v>
      </c>
      <c r="I33" s="24">
        <v>724.79359999999997</v>
      </c>
    </row>
    <row r="34" spans="1:9" x14ac:dyDescent="0.25">
      <c r="A34" s="21" t="s">
        <v>457</v>
      </c>
      <c r="B34" s="22" t="s">
        <v>112</v>
      </c>
      <c r="C34" s="23"/>
      <c r="D34" s="18" t="s">
        <v>129</v>
      </c>
      <c r="E34" s="197">
        <f>+E31*1.07</f>
        <v>20046.45</v>
      </c>
      <c r="F34" s="41">
        <f t="shared" si="6"/>
        <v>0</v>
      </c>
      <c r="H34" s="24">
        <f t="shared" si="7"/>
        <v>0</v>
      </c>
      <c r="I34" s="24">
        <v>262.9744</v>
      </c>
    </row>
    <row r="35" spans="1:9" x14ac:dyDescent="0.25">
      <c r="A35" s="21"/>
      <c r="B35" s="22"/>
      <c r="C35" s="23"/>
      <c r="D35" s="18"/>
      <c r="E35" s="197"/>
      <c r="F35" s="41"/>
    </row>
    <row r="36" spans="1:9" s="12" customFormat="1" ht="28.05" customHeight="1" x14ac:dyDescent="0.25">
      <c r="A36" s="15"/>
      <c r="B36" s="25" t="s">
        <v>188</v>
      </c>
      <c r="C36" s="26"/>
      <c r="D36" s="18"/>
      <c r="E36" s="197"/>
      <c r="F36" s="41"/>
    </row>
    <row r="37" spans="1:9" s="12" customFormat="1" ht="71.25" customHeight="1" x14ac:dyDescent="0.25">
      <c r="A37" s="15"/>
      <c r="B37" s="25" t="s">
        <v>189</v>
      </c>
      <c r="C37" s="26"/>
      <c r="D37" s="18"/>
      <c r="E37" s="197"/>
      <c r="F37" s="41"/>
    </row>
    <row r="38" spans="1:9" ht="38.1" customHeight="1" x14ac:dyDescent="0.25">
      <c r="A38" s="21" t="s">
        <v>453</v>
      </c>
      <c r="B38" s="22" t="s">
        <v>190</v>
      </c>
      <c r="C38" s="23"/>
      <c r="D38" s="18"/>
      <c r="E38" s="197"/>
      <c r="F38" s="41"/>
    </row>
    <row r="39" spans="1:9" x14ac:dyDescent="0.25">
      <c r="A39" s="21" t="s">
        <v>458</v>
      </c>
      <c r="B39" s="22" t="s">
        <v>351</v>
      </c>
      <c r="C39" s="23"/>
      <c r="D39" s="18" t="s">
        <v>129</v>
      </c>
      <c r="E39" s="197">
        <v>3700</v>
      </c>
      <c r="F39" s="41">
        <f>C39*E39</f>
        <v>0</v>
      </c>
    </row>
    <row r="40" spans="1:9" x14ac:dyDescent="0.25">
      <c r="A40" s="21" t="s">
        <v>459</v>
      </c>
      <c r="B40" s="22" t="s">
        <v>54</v>
      </c>
      <c r="C40" s="23"/>
      <c r="D40" s="18" t="s">
        <v>129</v>
      </c>
      <c r="E40" s="197">
        <f>+E39*1.03</f>
        <v>3811</v>
      </c>
      <c r="F40" s="41">
        <f t="shared" ref="F40:F41" si="8">C40*E40</f>
        <v>0</v>
      </c>
      <c r="H40" s="24" t="e">
        <f>+#REF!*10.76</f>
        <v>#REF!</v>
      </c>
      <c r="I40" s="24">
        <v>399.5188</v>
      </c>
    </row>
    <row r="41" spans="1:9" x14ac:dyDescent="0.25">
      <c r="A41" s="21" t="s">
        <v>460</v>
      </c>
      <c r="B41" s="22" t="s">
        <v>55</v>
      </c>
      <c r="C41" s="23"/>
      <c r="D41" s="18" t="s">
        <v>129</v>
      </c>
      <c r="E41" s="197">
        <f>+E39*1.05</f>
        <v>3885</v>
      </c>
      <c r="F41" s="41">
        <f t="shared" si="8"/>
        <v>0</v>
      </c>
      <c r="H41" s="24" t="e">
        <f>+#REF!*10.76</f>
        <v>#REF!</v>
      </c>
      <c r="I41" s="24">
        <v>399.5188</v>
      </c>
    </row>
    <row r="42" spans="1:9" x14ac:dyDescent="0.25">
      <c r="A42" s="18"/>
      <c r="B42" s="22"/>
      <c r="C42" s="23"/>
      <c r="D42" s="18"/>
      <c r="E42" s="197"/>
      <c r="F42" s="41"/>
    </row>
    <row r="43" spans="1:9" x14ac:dyDescent="0.25">
      <c r="A43" s="18"/>
      <c r="B43" s="22"/>
      <c r="C43" s="23"/>
      <c r="D43" s="18"/>
      <c r="E43" s="197"/>
      <c r="F43" s="41"/>
    </row>
    <row r="44" spans="1:9" x14ac:dyDescent="0.25">
      <c r="A44" s="18"/>
      <c r="B44" s="22"/>
      <c r="C44" s="23"/>
      <c r="D44" s="18"/>
      <c r="E44" s="197"/>
      <c r="F44" s="41"/>
    </row>
    <row r="45" spans="1:9" x14ac:dyDescent="0.25">
      <c r="A45" s="18"/>
      <c r="B45" s="22"/>
      <c r="C45" s="23"/>
      <c r="D45" s="18"/>
      <c r="E45" s="197"/>
      <c r="F45" s="41"/>
    </row>
    <row r="46" spans="1:9" s="12" customFormat="1" x14ac:dyDescent="0.25">
      <c r="A46" s="102"/>
      <c r="B46" s="103" t="s">
        <v>46</v>
      </c>
      <c r="C46" s="104"/>
      <c r="D46" s="105"/>
      <c r="E46" s="199"/>
      <c r="F46" s="106">
        <f>SUM(F9:F44)</f>
        <v>0</v>
      </c>
    </row>
  </sheetData>
  <mergeCells count="2">
    <mergeCell ref="A1:F1"/>
    <mergeCell ref="A2:F2"/>
  </mergeCells>
  <pageMargins left="0.5" right="0.5" top="0.25" bottom="0.25" header="0.5" footer="0.5"/>
  <pageSetup orientation="portrait" verticalDpi="0" r:id="rId1"/>
  <headerFooter alignWithMargins="0">
    <oddFooter>&amp;C&amp;P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3.2"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3.2"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topLeftCell="A38" zoomScale="85" zoomScaleNormal="85" workbookViewId="0">
      <selection activeCell="C68" sqref="C68"/>
    </sheetView>
  </sheetViews>
  <sheetFormatPr defaultColWidth="9.21875" defaultRowHeight="13.8" x14ac:dyDescent="0.25"/>
  <cols>
    <col min="1" max="1" width="8.21875" style="38" customWidth="1"/>
    <col min="2" max="2" width="64.21875" style="36" customWidth="1"/>
    <col min="3" max="3" width="10.77734375" style="39" customWidth="1"/>
    <col min="4" max="4" width="9" style="38" customWidth="1"/>
    <col min="5" max="5" width="12.77734375" style="202" bestFit="1" customWidth="1"/>
    <col min="6" max="6" width="15.77734375" style="39" bestFit="1" customWidth="1"/>
    <col min="7" max="7" width="9.21875" style="24"/>
    <col min="8" max="8" width="12.44140625" style="24" bestFit="1" customWidth="1"/>
    <col min="9" max="9" width="10" style="24" bestFit="1" customWidth="1"/>
    <col min="10" max="10" width="11" style="24" bestFit="1" customWidth="1"/>
    <col min="11" max="12" width="12.88671875" style="24" bestFit="1" customWidth="1"/>
    <col min="13" max="13" width="10.33203125" style="24" bestFit="1" customWidth="1"/>
    <col min="14" max="16384" width="9.21875" style="24"/>
  </cols>
  <sheetData>
    <row r="1" spans="1:6" s="31" customFormat="1" x14ac:dyDescent="0.25">
      <c r="A1" s="2952" t="s">
        <v>126</v>
      </c>
      <c r="B1" s="2953"/>
      <c r="C1" s="2953"/>
      <c r="D1" s="2953"/>
      <c r="E1" s="2953"/>
      <c r="F1" s="2954"/>
    </row>
    <row r="2" spans="1:6" s="31" customFormat="1" ht="14.4" thickBot="1" x14ac:dyDescent="0.3">
      <c r="A2" s="2955"/>
      <c r="B2" s="2956"/>
      <c r="C2" s="2956"/>
      <c r="D2" s="2956"/>
      <c r="E2" s="2956"/>
      <c r="F2" s="2957"/>
    </row>
    <row r="3" spans="1:6" s="31" customFormat="1" ht="14.4" thickBot="1" x14ac:dyDescent="0.3">
      <c r="A3" s="45" t="s">
        <v>0</v>
      </c>
      <c r="B3" s="46" t="s">
        <v>1</v>
      </c>
      <c r="C3" s="47" t="s">
        <v>2</v>
      </c>
      <c r="D3" s="48" t="s">
        <v>3</v>
      </c>
      <c r="E3" s="188" t="s">
        <v>4</v>
      </c>
      <c r="F3" s="49" t="s">
        <v>5</v>
      </c>
    </row>
    <row r="4" spans="1:6" s="12" customFormat="1" ht="28.05" customHeight="1" x14ac:dyDescent="0.25">
      <c r="A4" s="15"/>
      <c r="B4" s="32" t="s">
        <v>191</v>
      </c>
      <c r="C4" s="33"/>
      <c r="D4" s="18"/>
      <c r="E4" s="197"/>
      <c r="F4" s="41"/>
    </row>
    <row r="5" spans="1:6" ht="55.05" customHeight="1" x14ac:dyDescent="0.25">
      <c r="A5" s="21" t="s">
        <v>192</v>
      </c>
      <c r="B5" s="22" t="s">
        <v>352</v>
      </c>
      <c r="C5" s="23"/>
      <c r="D5" s="18"/>
      <c r="E5" s="197"/>
      <c r="F5" s="41"/>
    </row>
    <row r="6" spans="1:6" x14ac:dyDescent="0.25">
      <c r="A6" s="18" t="s">
        <v>461</v>
      </c>
      <c r="B6" s="22" t="s">
        <v>98</v>
      </c>
      <c r="C6" s="23"/>
      <c r="D6" s="18" t="s">
        <v>134</v>
      </c>
      <c r="E6" s="197">
        <v>192</v>
      </c>
      <c r="F6" s="41">
        <f>+C6*E6</f>
        <v>0</v>
      </c>
    </row>
    <row r="7" spans="1:6" x14ac:dyDescent="0.25">
      <c r="A7" s="18" t="s">
        <v>462</v>
      </c>
      <c r="B7" s="22" t="s">
        <v>99</v>
      </c>
      <c r="C7" s="23"/>
      <c r="D7" s="18" t="s">
        <v>134</v>
      </c>
      <c r="E7" s="197">
        <v>192</v>
      </c>
      <c r="F7" s="41">
        <f>+C7*E7</f>
        <v>0</v>
      </c>
    </row>
    <row r="8" spans="1:6" x14ac:dyDescent="0.25">
      <c r="A8" s="21"/>
      <c r="B8" s="22"/>
      <c r="C8" s="23"/>
      <c r="D8" s="18"/>
      <c r="E8" s="197"/>
      <c r="F8" s="41"/>
    </row>
    <row r="9" spans="1:6" ht="41.4" x14ac:dyDescent="0.25">
      <c r="A9" s="21" t="s">
        <v>193</v>
      </c>
      <c r="B9" s="22" t="s">
        <v>133</v>
      </c>
      <c r="C9" s="23"/>
      <c r="D9" s="18"/>
      <c r="E9" s="197"/>
      <c r="F9" s="41"/>
    </row>
    <row r="10" spans="1:6" x14ac:dyDescent="0.25">
      <c r="A10" s="18" t="s">
        <v>463</v>
      </c>
      <c r="B10" s="22" t="s">
        <v>98</v>
      </c>
      <c r="C10" s="23"/>
      <c r="D10" s="18" t="s">
        <v>134</v>
      </c>
      <c r="E10" s="197">
        <v>192</v>
      </c>
      <c r="F10" s="41">
        <f>+C10*E10</f>
        <v>0</v>
      </c>
    </row>
    <row r="11" spans="1:6" x14ac:dyDescent="0.25">
      <c r="A11" s="18" t="s">
        <v>464</v>
      </c>
      <c r="B11" s="22" t="s">
        <v>354</v>
      </c>
      <c r="C11" s="23"/>
      <c r="D11" s="18" t="s">
        <v>134</v>
      </c>
      <c r="E11" s="197">
        <v>192</v>
      </c>
      <c r="F11" s="41">
        <f>+C11*E11</f>
        <v>0</v>
      </c>
    </row>
    <row r="12" spans="1:6" x14ac:dyDescent="0.25">
      <c r="A12" s="21"/>
      <c r="B12" s="22"/>
      <c r="C12" s="23"/>
      <c r="D12" s="18"/>
      <c r="E12" s="197"/>
      <c r="F12" s="41"/>
    </row>
    <row r="13" spans="1:6" ht="55.05" customHeight="1" x14ac:dyDescent="0.25">
      <c r="A13" s="21" t="s">
        <v>195</v>
      </c>
      <c r="B13" s="22" t="s">
        <v>194</v>
      </c>
      <c r="C13" s="23"/>
      <c r="D13" s="18"/>
      <c r="E13" s="197"/>
      <c r="F13" s="41"/>
    </row>
    <row r="14" spans="1:6" x14ac:dyDescent="0.25">
      <c r="A14" s="21" t="s">
        <v>465</v>
      </c>
      <c r="B14" s="22" t="s">
        <v>98</v>
      </c>
      <c r="C14" s="23"/>
      <c r="D14" s="18" t="s">
        <v>134</v>
      </c>
      <c r="E14" s="197">
        <v>198</v>
      </c>
      <c r="F14" s="41">
        <f>+C14*E14</f>
        <v>0</v>
      </c>
    </row>
    <row r="15" spans="1:6" x14ac:dyDescent="0.25">
      <c r="A15" s="21" t="s">
        <v>466</v>
      </c>
      <c r="B15" s="22" t="s">
        <v>354</v>
      </c>
      <c r="C15" s="23"/>
      <c r="D15" s="18" t="s">
        <v>134</v>
      </c>
      <c r="E15" s="197">
        <v>198</v>
      </c>
      <c r="F15" s="41">
        <f>+C15*E15</f>
        <v>0</v>
      </c>
    </row>
    <row r="16" spans="1:6" x14ac:dyDescent="0.25">
      <c r="A16" s="21"/>
      <c r="B16" s="22"/>
      <c r="C16" s="23"/>
      <c r="D16" s="18"/>
      <c r="E16" s="197"/>
      <c r="F16" s="41"/>
    </row>
    <row r="17" spans="1:6" ht="55.05" customHeight="1" x14ac:dyDescent="0.25">
      <c r="A17" s="21" t="s">
        <v>197</v>
      </c>
      <c r="B17" s="22" t="s">
        <v>196</v>
      </c>
      <c r="C17" s="23"/>
      <c r="D17" s="18"/>
      <c r="E17" s="197"/>
      <c r="F17" s="41"/>
    </row>
    <row r="18" spans="1:6" x14ac:dyDescent="0.25">
      <c r="A18" s="21" t="s">
        <v>467</v>
      </c>
      <c r="B18" s="22" t="s">
        <v>98</v>
      </c>
      <c r="C18" s="23"/>
      <c r="D18" s="18" t="s">
        <v>134</v>
      </c>
      <c r="E18" s="197">
        <v>202</v>
      </c>
      <c r="F18" s="41">
        <f>+C18*E18</f>
        <v>0</v>
      </c>
    </row>
    <row r="19" spans="1:6" x14ac:dyDescent="0.25">
      <c r="A19" s="21" t="s">
        <v>468</v>
      </c>
      <c r="B19" s="22" t="s">
        <v>354</v>
      </c>
      <c r="C19" s="23"/>
      <c r="D19" s="18" t="s">
        <v>134</v>
      </c>
      <c r="E19" s="197">
        <v>202</v>
      </c>
      <c r="F19" s="41">
        <f>+C19*E19</f>
        <v>0</v>
      </c>
    </row>
    <row r="20" spans="1:6" x14ac:dyDescent="0.25">
      <c r="A20" s="21"/>
      <c r="B20" s="22"/>
      <c r="C20" s="23"/>
      <c r="D20" s="18"/>
      <c r="E20" s="197"/>
      <c r="F20" s="41"/>
    </row>
    <row r="21" spans="1:6" ht="41.4" x14ac:dyDescent="0.25">
      <c r="A21" s="21" t="s">
        <v>198</v>
      </c>
      <c r="B21" s="22" t="s">
        <v>357</v>
      </c>
      <c r="C21" s="23"/>
      <c r="D21" s="18"/>
      <c r="E21" s="197"/>
      <c r="F21" s="41"/>
    </row>
    <row r="22" spans="1:6" x14ac:dyDescent="0.25">
      <c r="A22" s="21" t="s">
        <v>469</v>
      </c>
      <c r="B22" s="22" t="s">
        <v>98</v>
      </c>
      <c r="C22" s="23"/>
      <c r="D22" s="18" t="s">
        <v>134</v>
      </c>
      <c r="E22" s="197">
        <v>208</v>
      </c>
      <c r="F22" s="41">
        <f>+C22*E22</f>
        <v>0</v>
      </c>
    </row>
    <row r="23" spans="1:6" x14ac:dyDescent="0.25">
      <c r="A23" s="21" t="s">
        <v>470</v>
      </c>
      <c r="B23" s="22" t="s">
        <v>354</v>
      </c>
      <c r="C23" s="23"/>
      <c r="D23" s="18" t="s">
        <v>134</v>
      </c>
      <c r="E23" s="197">
        <v>208</v>
      </c>
      <c r="F23" s="41">
        <f>+C23*E23</f>
        <v>0</v>
      </c>
    </row>
    <row r="24" spans="1:6" x14ac:dyDescent="0.25">
      <c r="A24" s="21"/>
      <c r="B24" s="22"/>
      <c r="C24" s="23"/>
      <c r="D24" s="18"/>
      <c r="E24" s="197"/>
      <c r="F24" s="41"/>
    </row>
    <row r="25" spans="1:6" ht="55.05" customHeight="1" x14ac:dyDescent="0.25">
      <c r="A25" s="21" t="s">
        <v>200</v>
      </c>
      <c r="B25" s="22" t="s">
        <v>353</v>
      </c>
      <c r="C25" s="23"/>
      <c r="D25" s="18" t="s">
        <v>134</v>
      </c>
      <c r="E25" s="197">
        <v>164</v>
      </c>
      <c r="F25" s="41"/>
    </row>
    <row r="26" spans="1:6" x14ac:dyDescent="0.25">
      <c r="A26" s="18" t="s">
        <v>471</v>
      </c>
      <c r="B26" s="22" t="s">
        <v>108</v>
      </c>
      <c r="C26" s="23"/>
      <c r="D26" s="18" t="s">
        <v>134</v>
      </c>
      <c r="E26" s="197">
        <v>204</v>
      </c>
      <c r="F26" s="41">
        <f>+C26*E26</f>
        <v>0</v>
      </c>
    </row>
    <row r="27" spans="1:6" x14ac:dyDescent="0.25">
      <c r="A27" s="18" t="s">
        <v>472</v>
      </c>
      <c r="B27" s="22" t="s">
        <v>98</v>
      </c>
      <c r="C27" s="23"/>
      <c r="D27" s="18" t="s">
        <v>134</v>
      </c>
      <c r="E27" s="197">
        <v>204</v>
      </c>
      <c r="F27" s="41">
        <f>+C27*E27</f>
        <v>0</v>
      </c>
    </row>
    <row r="28" spans="1:6" x14ac:dyDescent="0.25">
      <c r="A28" s="18" t="s">
        <v>473</v>
      </c>
      <c r="B28" s="22" t="s">
        <v>99</v>
      </c>
      <c r="C28" s="23"/>
      <c r="D28" s="18" t="s">
        <v>134</v>
      </c>
      <c r="E28" s="197">
        <v>204</v>
      </c>
      <c r="F28" s="41">
        <f t="shared" ref="F28:F29" si="0">+C28*E28</f>
        <v>0</v>
      </c>
    </row>
    <row r="29" spans="1:6" x14ac:dyDescent="0.25">
      <c r="A29" s="18" t="s">
        <v>474</v>
      </c>
      <c r="B29" s="22" t="s">
        <v>100</v>
      </c>
      <c r="C29" s="23"/>
      <c r="D29" s="18" t="s">
        <v>134</v>
      </c>
      <c r="E29" s="197">
        <v>204</v>
      </c>
      <c r="F29" s="41">
        <f t="shared" si="0"/>
        <v>0</v>
      </c>
    </row>
    <row r="30" spans="1:6" x14ac:dyDescent="0.25">
      <c r="A30" s="21"/>
      <c r="B30" s="22"/>
      <c r="C30" s="23"/>
      <c r="D30" s="18"/>
      <c r="E30" s="197"/>
      <c r="F30" s="41"/>
    </row>
    <row r="31" spans="1:6" ht="41.4" x14ac:dyDescent="0.25">
      <c r="A31" s="21" t="s">
        <v>475</v>
      </c>
      <c r="B31" s="22" t="s">
        <v>135</v>
      </c>
      <c r="C31" s="23"/>
      <c r="D31" s="18"/>
      <c r="E31" s="197"/>
      <c r="F31" s="41"/>
    </row>
    <row r="32" spans="1:6" x14ac:dyDescent="0.25">
      <c r="A32" s="21" t="s">
        <v>476</v>
      </c>
      <c r="B32" s="22" t="s">
        <v>98</v>
      </c>
      <c r="C32" s="23"/>
      <c r="D32" s="18" t="s">
        <v>134</v>
      </c>
      <c r="E32" s="197">
        <v>204</v>
      </c>
      <c r="F32" s="41">
        <f>+C32*E32</f>
        <v>0</v>
      </c>
    </row>
    <row r="33" spans="1:6" x14ac:dyDescent="0.25">
      <c r="A33" s="21" t="s">
        <v>478</v>
      </c>
      <c r="B33" s="22" t="s">
        <v>354</v>
      </c>
      <c r="C33" s="23"/>
      <c r="D33" s="18" t="s">
        <v>134</v>
      </c>
      <c r="E33" s="197">
        <v>204</v>
      </c>
      <c r="F33" s="41">
        <f>+C33*E33</f>
        <v>0</v>
      </c>
    </row>
    <row r="34" spans="1:6" x14ac:dyDescent="0.25">
      <c r="A34" s="21" t="s">
        <v>477</v>
      </c>
      <c r="B34" s="22" t="s">
        <v>355</v>
      </c>
      <c r="C34" s="23"/>
      <c r="D34" s="18" t="s">
        <v>134</v>
      </c>
      <c r="E34" s="197">
        <v>204</v>
      </c>
      <c r="F34" s="41">
        <f t="shared" ref="F34:F35" si="1">+C34*E34</f>
        <v>0</v>
      </c>
    </row>
    <row r="35" spans="1:6" x14ac:dyDescent="0.25">
      <c r="A35" s="21" t="s">
        <v>479</v>
      </c>
      <c r="B35" s="22" t="s">
        <v>356</v>
      </c>
      <c r="C35" s="23"/>
      <c r="D35" s="18" t="s">
        <v>134</v>
      </c>
      <c r="E35" s="197">
        <v>204</v>
      </c>
      <c r="F35" s="41">
        <f t="shared" si="1"/>
        <v>0</v>
      </c>
    </row>
    <row r="36" spans="1:6" x14ac:dyDescent="0.25">
      <c r="A36" s="21"/>
      <c r="B36" s="22"/>
      <c r="C36" s="23"/>
      <c r="D36" s="18"/>
      <c r="E36" s="197"/>
      <c r="F36" s="41"/>
    </row>
    <row r="37" spans="1:6" ht="55.05" customHeight="1" x14ac:dyDescent="0.25">
      <c r="A37" s="21" t="s">
        <v>480</v>
      </c>
      <c r="B37" s="22" t="s">
        <v>199</v>
      </c>
      <c r="C37" s="23"/>
      <c r="D37" s="18"/>
      <c r="E37" s="197"/>
      <c r="F37" s="41"/>
    </row>
    <row r="38" spans="1:6" x14ac:dyDescent="0.25">
      <c r="A38" s="21" t="s">
        <v>481</v>
      </c>
      <c r="B38" s="22" t="s">
        <v>98</v>
      </c>
      <c r="C38" s="23"/>
      <c r="D38" s="18" t="s">
        <v>134</v>
      </c>
      <c r="E38" s="197">
        <v>210</v>
      </c>
      <c r="F38" s="41">
        <f>+C38*E38</f>
        <v>0</v>
      </c>
    </row>
    <row r="39" spans="1:6" x14ac:dyDescent="0.25">
      <c r="A39" s="21" t="s">
        <v>482</v>
      </c>
      <c r="B39" s="22" t="s">
        <v>354</v>
      </c>
      <c r="C39" s="23"/>
      <c r="D39" s="18" t="s">
        <v>134</v>
      </c>
      <c r="E39" s="197">
        <v>210</v>
      </c>
      <c r="F39" s="41">
        <f>+C39*E39</f>
        <v>0</v>
      </c>
    </row>
    <row r="40" spans="1:6" x14ac:dyDescent="0.25">
      <c r="A40" s="21" t="s">
        <v>483</v>
      </c>
      <c r="B40" s="22" t="s">
        <v>355</v>
      </c>
      <c r="C40" s="23"/>
      <c r="D40" s="18" t="s">
        <v>134</v>
      </c>
      <c r="E40" s="197">
        <v>210</v>
      </c>
      <c r="F40" s="41">
        <f t="shared" ref="F40:F41" si="2">+C40*E40</f>
        <v>0</v>
      </c>
    </row>
    <row r="41" spans="1:6" x14ac:dyDescent="0.25">
      <c r="A41" s="21" t="s">
        <v>484</v>
      </c>
      <c r="B41" s="22" t="s">
        <v>356</v>
      </c>
      <c r="C41" s="23"/>
      <c r="D41" s="18" t="s">
        <v>134</v>
      </c>
      <c r="E41" s="197">
        <v>210</v>
      </c>
      <c r="F41" s="41">
        <f t="shared" si="2"/>
        <v>0</v>
      </c>
    </row>
    <row r="42" spans="1:6" x14ac:dyDescent="0.25">
      <c r="A42" s="21"/>
      <c r="B42" s="22"/>
      <c r="C42" s="23"/>
      <c r="D42" s="18"/>
      <c r="E42" s="197"/>
      <c r="F42" s="41"/>
    </row>
    <row r="43" spans="1:6" ht="55.05" customHeight="1" x14ac:dyDescent="0.25">
      <c r="A43" s="21" t="s">
        <v>485</v>
      </c>
      <c r="B43" s="22" t="s">
        <v>201</v>
      </c>
      <c r="C43" s="23"/>
      <c r="D43" s="18"/>
      <c r="E43" s="197"/>
      <c r="F43" s="41"/>
    </row>
    <row r="44" spans="1:6" x14ac:dyDescent="0.25">
      <c r="A44" s="21" t="s">
        <v>486</v>
      </c>
      <c r="B44" s="22" t="s">
        <v>98</v>
      </c>
      <c r="C44" s="23"/>
      <c r="D44" s="18" t="s">
        <v>134</v>
      </c>
      <c r="E44" s="197">
        <v>210</v>
      </c>
      <c r="F44" s="41">
        <f>+C44*E44</f>
        <v>0</v>
      </c>
    </row>
    <row r="45" spans="1:6" x14ac:dyDescent="0.25">
      <c r="A45" s="21" t="s">
        <v>487</v>
      </c>
      <c r="B45" s="22" t="s">
        <v>354</v>
      </c>
      <c r="C45" s="23"/>
      <c r="D45" s="18" t="s">
        <v>134</v>
      </c>
      <c r="E45" s="197">
        <v>210</v>
      </c>
      <c r="F45" s="41">
        <f>+C45*E45</f>
        <v>0</v>
      </c>
    </row>
    <row r="46" spans="1:6" x14ac:dyDescent="0.25">
      <c r="A46" s="21" t="s">
        <v>488</v>
      </c>
      <c r="B46" s="22" t="s">
        <v>355</v>
      </c>
      <c r="C46" s="23"/>
      <c r="D46" s="18" t="s">
        <v>134</v>
      </c>
      <c r="E46" s="197">
        <v>210</v>
      </c>
      <c r="F46" s="41">
        <f t="shared" ref="F46" si="3">+C46*E46</f>
        <v>0</v>
      </c>
    </row>
    <row r="47" spans="1:6" x14ac:dyDescent="0.25">
      <c r="A47" s="21"/>
      <c r="B47" s="22"/>
      <c r="C47" s="23"/>
      <c r="D47" s="18"/>
      <c r="E47" s="197"/>
      <c r="F47" s="41"/>
    </row>
    <row r="48" spans="1:6" ht="41.4" x14ac:dyDescent="0.25">
      <c r="A48" s="21" t="s">
        <v>489</v>
      </c>
      <c r="B48" s="22" t="s">
        <v>358</v>
      </c>
      <c r="C48" s="23"/>
      <c r="D48" s="18"/>
      <c r="E48" s="197"/>
      <c r="F48" s="41"/>
    </row>
    <row r="49" spans="1:6" x14ac:dyDescent="0.25">
      <c r="A49" s="21" t="s">
        <v>490</v>
      </c>
      <c r="B49" s="22" t="s">
        <v>98</v>
      </c>
      <c r="C49" s="23"/>
      <c r="D49" s="18" t="s">
        <v>134</v>
      </c>
      <c r="E49" s="197">
        <v>216</v>
      </c>
      <c r="F49" s="41">
        <f>+C49*E49</f>
        <v>0</v>
      </c>
    </row>
    <row r="50" spans="1:6" x14ac:dyDescent="0.25">
      <c r="A50" s="21" t="s">
        <v>491</v>
      </c>
      <c r="B50" s="22" t="s">
        <v>354</v>
      </c>
      <c r="C50" s="23"/>
      <c r="D50" s="18" t="s">
        <v>134</v>
      </c>
      <c r="E50" s="197">
        <v>216</v>
      </c>
      <c r="F50" s="41">
        <f>+C50*E50</f>
        <v>0</v>
      </c>
    </row>
    <row r="51" spans="1:6" x14ac:dyDescent="0.25">
      <c r="A51" s="21" t="s">
        <v>492</v>
      </c>
      <c r="B51" s="22" t="s">
        <v>355</v>
      </c>
      <c r="C51" s="23"/>
      <c r="D51" s="18" t="s">
        <v>134</v>
      </c>
      <c r="E51" s="197">
        <v>216</v>
      </c>
      <c r="F51" s="41">
        <f t="shared" ref="F51" si="4">+C51*E51</f>
        <v>0</v>
      </c>
    </row>
    <row r="52" spans="1:6" x14ac:dyDescent="0.25">
      <c r="A52" s="21"/>
      <c r="B52" s="22"/>
      <c r="C52" s="23"/>
      <c r="D52" s="18"/>
      <c r="E52" s="197"/>
      <c r="F52" s="41"/>
    </row>
    <row r="53" spans="1:6" x14ac:dyDescent="0.25">
      <c r="A53" s="21"/>
      <c r="B53" s="22"/>
      <c r="C53" s="23"/>
      <c r="D53" s="18"/>
      <c r="E53" s="197"/>
      <c r="F53" s="41"/>
    </row>
    <row r="54" spans="1:6" x14ac:dyDescent="0.25">
      <c r="A54" s="21"/>
      <c r="B54" s="22"/>
      <c r="C54" s="23"/>
      <c r="D54" s="18"/>
      <c r="E54" s="197"/>
      <c r="F54" s="41"/>
    </row>
    <row r="55" spans="1:6" s="12" customFormat="1" x14ac:dyDescent="0.25">
      <c r="A55" s="102"/>
      <c r="B55" s="103" t="s">
        <v>46</v>
      </c>
      <c r="C55" s="104"/>
      <c r="D55" s="105"/>
      <c r="E55" s="199"/>
      <c r="F55" s="106">
        <f>SUM(F5:F53)</f>
        <v>0</v>
      </c>
    </row>
  </sheetData>
  <mergeCells count="2">
    <mergeCell ref="A1:F1"/>
    <mergeCell ref="A2:F2"/>
  </mergeCells>
  <pageMargins left="0.5" right="0.5" top="0.25" bottom="0.25" header="0.5" footer="0.5"/>
  <pageSetup orientation="portrait" verticalDpi="0" r:id="rId1"/>
  <headerFooter alignWithMargins="0">
    <oddFooter>&amp;C&amp;P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2227"/>
  <sheetViews>
    <sheetView view="pageBreakPreview" zoomScaleNormal="100" zoomScaleSheetLayoutView="100" workbookViewId="0">
      <pane ySplit="1" topLeftCell="A404" activePane="bottomLeft" state="frozen"/>
      <selection pane="bottomLeft" activeCell="J310" sqref="J310"/>
    </sheetView>
  </sheetViews>
  <sheetFormatPr defaultRowHeight="13.8" x14ac:dyDescent="0.25"/>
  <cols>
    <col min="1" max="1" width="6.21875" style="1214" bestFit="1" customWidth="1"/>
    <col min="2" max="2" width="21.5546875" style="1201" customWidth="1"/>
    <col min="3" max="3" width="3.44140625" style="1201" customWidth="1"/>
    <col min="4" max="4" width="3" style="1201" bestFit="1" customWidth="1"/>
    <col min="5" max="5" width="3.21875" style="1201" customWidth="1"/>
    <col min="6" max="6" width="11.21875" style="1215" bestFit="1" customWidth="1"/>
    <col min="7" max="7" width="8.88671875" style="1215" bestFit="1" customWidth="1"/>
    <col min="8" max="8" width="9.88671875" style="1215" bestFit="1" customWidth="1"/>
    <col min="9" max="14" width="10.109375" style="1216" bestFit="1" customWidth="1"/>
    <col min="15" max="15" width="5.6640625" style="1201" bestFit="1" customWidth="1"/>
    <col min="16" max="16" width="8.44140625" style="1201" bestFit="1" customWidth="1"/>
    <col min="17" max="17" width="14.109375" style="1201" bestFit="1" customWidth="1"/>
    <col min="18" max="19" width="11.33203125" style="1201" bestFit="1" customWidth="1"/>
    <col min="20" max="20" width="12.88671875" style="1201" bestFit="1" customWidth="1"/>
    <col min="21" max="21" width="14.109375" style="1201" bestFit="1" customWidth="1"/>
    <col min="22" max="23" width="8.88671875" style="1201"/>
    <col min="24" max="24" width="13.109375" style="1201" bestFit="1" customWidth="1"/>
    <col min="25" max="25" width="8.88671875" style="1201"/>
    <col min="26" max="26" width="15.109375" style="1201" bestFit="1" customWidth="1"/>
    <col min="27" max="28" width="11.5546875" style="1201" bestFit="1" customWidth="1"/>
    <col min="29" max="262" width="8.88671875" style="1201"/>
    <col min="263" max="263" width="7" style="1201" bestFit="1" customWidth="1"/>
    <col min="264" max="264" width="20.5546875" style="1201" bestFit="1" customWidth="1"/>
    <col min="265" max="265" width="3.44140625" style="1201" customWidth="1"/>
    <col min="266" max="266" width="3.6640625" style="1201" customWidth="1"/>
    <col min="267" max="267" width="5.44140625" style="1201" bestFit="1" customWidth="1"/>
    <col min="268" max="268" width="9.33203125" style="1201" bestFit="1" customWidth="1"/>
    <col min="269" max="269" width="7.6640625" style="1201" customWidth="1"/>
    <col min="270" max="270" width="9.109375" style="1201" customWidth="1"/>
    <col min="271" max="272" width="10.5546875" style="1201" bestFit="1" customWidth="1"/>
    <col min="273" max="273" width="5.33203125" style="1201" bestFit="1" customWidth="1"/>
    <col min="274" max="275" width="11.33203125" style="1201" bestFit="1" customWidth="1"/>
    <col min="276" max="276" width="12.88671875" style="1201" bestFit="1" customWidth="1"/>
    <col min="277" max="277" width="10.5546875" style="1201" bestFit="1" customWidth="1"/>
    <col min="278" max="281" width="8.88671875" style="1201"/>
    <col min="282" max="282" width="15.109375" style="1201" bestFit="1" customWidth="1"/>
    <col min="283" max="284" width="11.5546875" style="1201" bestFit="1" customWidth="1"/>
    <col min="285" max="518" width="8.88671875" style="1201"/>
    <col min="519" max="519" width="7" style="1201" bestFit="1" customWidth="1"/>
    <col min="520" max="520" width="20.5546875" style="1201" bestFit="1" customWidth="1"/>
    <col min="521" max="521" width="3.44140625" style="1201" customWidth="1"/>
    <col min="522" max="522" width="3.6640625" style="1201" customWidth="1"/>
    <col min="523" max="523" width="5.44140625" style="1201" bestFit="1" customWidth="1"/>
    <col min="524" max="524" width="9.33203125" style="1201" bestFit="1" customWidth="1"/>
    <col min="525" max="525" width="7.6640625" style="1201" customWidth="1"/>
    <col min="526" max="526" width="9.109375" style="1201" customWidth="1"/>
    <col min="527" max="528" width="10.5546875" style="1201" bestFit="1" customWidth="1"/>
    <col min="529" max="529" width="5.33203125" style="1201" bestFit="1" customWidth="1"/>
    <col min="530" max="531" width="11.33203125" style="1201" bestFit="1" customWidth="1"/>
    <col min="532" max="532" width="12.88671875" style="1201" bestFit="1" customWidth="1"/>
    <col min="533" max="533" width="10.5546875" style="1201" bestFit="1" customWidth="1"/>
    <col min="534" max="537" width="8.88671875" style="1201"/>
    <col min="538" max="538" width="15.109375" style="1201" bestFit="1" customWidth="1"/>
    <col min="539" max="540" width="11.5546875" style="1201" bestFit="1" customWidth="1"/>
    <col min="541" max="774" width="8.88671875" style="1201"/>
    <col min="775" max="775" width="7" style="1201" bestFit="1" customWidth="1"/>
    <col min="776" max="776" width="20.5546875" style="1201" bestFit="1" customWidth="1"/>
    <col min="777" max="777" width="3.44140625" style="1201" customWidth="1"/>
    <col min="778" max="778" width="3.6640625" style="1201" customWidth="1"/>
    <col min="779" max="779" width="5.44140625" style="1201" bestFit="1" customWidth="1"/>
    <col min="780" max="780" width="9.33203125" style="1201" bestFit="1" customWidth="1"/>
    <col min="781" max="781" width="7.6640625" style="1201" customWidth="1"/>
    <col min="782" max="782" width="9.109375" style="1201" customWidth="1"/>
    <col min="783" max="784" width="10.5546875" style="1201" bestFit="1" customWidth="1"/>
    <col min="785" max="785" width="5.33203125" style="1201" bestFit="1" customWidth="1"/>
    <col min="786" max="787" width="11.33203125" style="1201" bestFit="1" customWidth="1"/>
    <col min="788" max="788" width="12.88671875" style="1201" bestFit="1" customWidth="1"/>
    <col min="789" max="789" width="10.5546875" style="1201" bestFit="1" customWidth="1"/>
    <col min="790" max="793" width="8.88671875" style="1201"/>
    <col min="794" max="794" width="15.109375" style="1201" bestFit="1" customWidth="1"/>
    <col min="795" max="796" width="11.5546875" style="1201" bestFit="1" customWidth="1"/>
    <col min="797" max="1030" width="8.88671875" style="1201"/>
    <col min="1031" max="1031" width="7" style="1201" bestFit="1" customWidth="1"/>
    <col min="1032" max="1032" width="20.5546875" style="1201" bestFit="1" customWidth="1"/>
    <col min="1033" max="1033" width="3.44140625" style="1201" customWidth="1"/>
    <col min="1034" max="1034" width="3.6640625" style="1201" customWidth="1"/>
    <col min="1035" max="1035" width="5.44140625" style="1201" bestFit="1" customWidth="1"/>
    <col min="1036" max="1036" width="9.33203125" style="1201" bestFit="1" customWidth="1"/>
    <col min="1037" max="1037" width="7.6640625" style="1201" customWidth="1"/>
    <col min="1038" max="1038" width="9.109375" style="1201" customWidth="1"/>
    <col min="1039" max="1040" width="10.5546875" style="1201" bestFit="1" customWidth="1"/>
    <col min="1041" max="1041" width="5.33203125" style="1201" bestFit="1" customWidth="1"/>
    <col min="1042" max="1043" width="11.33203125" style="1201" bestFit="1" customWidth="1"/>
    <col min="1044" max="1044" width="12.88671875" style="1201" bestFit="1" customWidth="1"/>
    <col min="1045" max="1045" width="10.5546875" style="1201" bestFit="1" customWidth="1"/>
    <col min="1046" max="1049" width="8.88671875" style="1201"/>
    <col min="1050" max="1050" width="15.109375" style="1201" bestFit="1" customWidth="1"/>
    <col min="1051" max="1052" width="11.5546875" style="1201" bestFit="1" customWidth="1"/>
    <col min="1053" max="1286" width="8.88671875" style="1201"/>
    <col min="1287" max="1287" width="7" style="1201" bestFit="1" customWidth="1"/>
    <col min="1288" max="1288" width="20.5546875" style="1201" bestFit="1" customWidth="1"/>
    <col min="1289" max="1289" width="3.44140625" style="1201" customWidth="1"/>
    <col min="1290" max="1290" width="3.6640625" style="1201" customWidth="1"/>
    <col min="1291" max="1291" width="5.44140625" style="1201" bestFit="1" customWidth="1"/>
    <col min="1292" max="1292" width="9.33203125" style="1201" bestFit="1" customWidth="1"/>
    <col min="1293" max="1293" width="7.6640625" style="1201" customWidth="1"/>
    <col min="1294" max="1294" width="9.109375" style="1201" customWidth="1"/>
    <col min="1295" max="1296" width="10.5546875" style="1201" bestFit="1" customWidth="1"/>
    <col min="1297" max="1297" width="5.33203125" style="1201" bestFit="1" customWidth="1"/>
    <col min="1298" max="1299" width="11.33203125" style="1201" bestFit="1" customWidth="1"/>
    <col min="1300" max="1300" width="12.88671875" style="1201" bestFit="1" customWidth="1"/>
    <col min="1301" max="1301" width="10.5546875" style="1201" bestFit="1" customWidth="1"/>
    <col min="1302" max="1305" width="8.88671875" style="1201"/>
    <col min="1306" max="1306" width="15.109375" style="1201" bestFit="1" customWidth="1"/>
    <col min="1307" max="1308" width="11.5546875" style="1201" bestFit="1" customWidth="1"/>
    <col min="1309" max="1542" width="8.88671875" style="1201"/>
    <col min="1543" max="1543" width="7" style="1201" bestFit="1" customWidth="1"/>
    <col min="1544" max="1544" width="20.5546875" style="1201" bestFit="1" customWidth="1"/>
    <col min="1545" max="1545" width="3.44140625" style="1201" customWidth="1"/>
    <col min="1546" max="1546" width="3.6640625" style="1201" customWidth="1"/>
    <col min="1547" max="1547" width="5.44140625" style="1201" bestFit="1" customWidth="1"/>
    <col min="1548" max="1548" width="9.33203125" style="1201" bestFit="1" customWidth="1"/>
    <col min="1549" max="1549" width="7.6640625" style="1201" customWidth="1"/>
    <col min="1550" max="1550" width="9.109375" style="1201" customWidth="1"/>
    <col min="1551" max="1552" width="10.5546875" style="1201" bestFit="1" customWidth="1"/>
    <col min="1553" max="1553" width="5.33203125" style="1201" bestFit="1" customWidth="1"/>
    <col min="1554" max="1555" width="11.33203125" style="1201" bestFit="1" customWidth="1"/>
    <col min="1556" max="1556" width="12.88671875" style="1201" bestFit="1" customWidth="1"/>
    <col min="1557" max="1557" width="10.5546875" style="1201" bestFit="1" customWidth="1"/>
    <col min="1558" max="1561" width="8.88671875" style="1201"/>
    <col min="1562" max="1562" width="15.109375" style="1201" bestFit="1" customWidth="1"/>
    <col min="1563" max="1564" width="11.5546875" style="1201" bestFit="1" customWidth="1"/>
    <col min="1565" max="1798" width="8.88671875" style="1201"/>
    <col min="1799" max="1799" width="7" style="1201" bestFit="1" customWidth="1"/>
    <col min="1800" max="1800" width="20.5546875" style="1201" bestFit="1" customWidth="1"/>
    <col min="1801" max="1801" width="3.44140625" style="1201" customWidth="1"/>
    <col min="1802" max="1802" width="3.6640625" style="1201" customWidth="1"/>
    <col min="1803" max="1803" width="5.44140625" style="1201" bestFit="1" customWidth="1"/>
    <col min="1804" max="1804" width="9.33203125" style="1201" bestFit="1" customWidth="1"/>
    <col min="1805" max="1805" width="7.6640625" style="1201" customWidth="1"/>
    <col min="1806" max="1806" width="9.109375" style="1201" customWidth="1"/>
    <col min="1807" max="1808" width="10.5546875" style="1201" bestFit="1" customWidth="1"/>
    <col min="1809" max="1809" width="5.33203125" style="1201" bestFit="1" customWidth="1"/>
    <col min="1810" max="1811" width="11.33203125" style="1201" bestFit="1" customWidth="1"/>
    <col min="1812" max="1812" width="12.88671875" style="1201" bestFit="1" customWidth="1"/>
    <col min="1813" max="1813" width="10.5546875" style="1201" bestFit="1" customWidth="1"/>
    <col min="1814" max="1817" width="8.88671875" style="1201"/>
    <col min="1818" max="1818" width="15.109375" style="1201" bestFit="1" customWidth="1"/>
    <col min="1819" max="1820" width="11.5546875" style="1201" bestFit="1" customWidth="1"/>
    <col min="1821" max="2054" width="8.88671875" style="1201"/>
    <col min="2055" max="2055" width="7" style="1201" bestFit="1" customWidth="1"/>
    <col min="2056" max="2056" width="20.5546875" style="1201" bestFit="1" customWidth="1"/>
    <col min="2057" max="2057" width="3.44140625" style="1201" customWidth="1"/>
    <col min="2058" max="2058" width="3.6640625" style="1201" customWidth="1"/>
    <col min="2059" max="2059" width="5.44140625" style="1201" bestFit="1" customWidth="1"/>
    <col min="2060" max="2060" width="9.33203125" style="1201" bestFit="1" customWidth="1"/>
    <col min="2061" max="2061" width="7.6640625" style="1201" customWidth="1"/>
    <col min="2062" max="2062" width="9.109375" style="1201" customWidth="1"/>
    <col min="2063" max="2064" width="10.5546875" style="1201" bestFit="1" customWidth="1"/>
    <col min="2065" max="2065" width="5.33203125" style="1201" bestFit="1" customWidth="1"/>
    <col min="2066" max="2067" width="11.33203125" style="1201" bestFit="1" customWidth="1"/>
    <col min="2068" max="2068" width="12.88671875" style="1201" bestFit="1" customWidth="1"/>
    <col min="2069" max="2069" width="10.5546875" style="1201" bestFit="1" customWidth="1"/>
    <col min="2070" max="2073" width="8.88671875" style="1201"/>
    <col min="2074" max="2074" width="15.109375" style="1201" bestFit="1" customWidth="1"/>
    <col min="2075" max="2076" width="11.5546875" style="1201" bestFit="1" customWidth="1"/>
    <col min="2077" max="2310" width="8.88671875" style="1201"/>
    <col min="2311" max="2311" width="7" style="1201" bestFit="1" customWidth="1"/>
    <col min="2312" max="2312" width="20.5546875" style="1201" bestFit="1" customWidth="1"/>
    <col min="2313" max="2313" width="3.44140625" style="1201" customWidth="1"/>
    <col min="2314" max="2314" width="3.6640625" style="1201" customWidth="1"/>
    <col min="2315" max="2315" width="5.44140625" style="1201" bestFit="1" customWidth="1"/>
    <col min="2316" max="2316" width="9.33203125" style="1201" bestFit="1" customWidth="1"/>
    <col min="2317" max="2317" width="7.6640625" style="1201" customWidth="1"/>
    <col min="2318" max="2318" width="9.109375" style="1201" customWidth="1"/>
    <col min="2319" max="2320" width="10.5546875" style="1201" bestFit="1" customWidth="1"/>
    <col min="2321" max="2321" width="5.33203125" style="1201" bestFit="1" customWidth="1"/>
    <col min="2322" max="2323" width="11.33203125" style="1201" bestFit="1" customWidth="1"/>
    <col min="2324" max="2324" width="12.88671875" style="1201" bestFit="1" customWidth="1"/>
    <col min="2325" max="2325" width="10.5546875" style="1201" bestFit="1" customWidth="1"/>
    <col min="2326" max="2329" width="8.88671875" style="1201"/>
    <col min="2330" max="2330" width="15.109375" style="1201" bestFit="1" customWidth="1"/>
    <col min="2331" max="2332" width="11.5546875" style="1201" bestFit="1" customWidth="1"/>
    <col min="2333" max="2566" width="8.88671875" style="1201"/>
    <col min="2567" max="2567" width="7" style="1201" bestFit="1" customWidth="1"/>
    <col min="2568" max="2568" width="20.5546875" style="1201" bestFit="1" customWidth="1"/>
    <col min="2569" max="2569" width="3.44140625" style="1201" customWidth="1"/>
    <col min="2570" max="2570" width="3.6640625" style="1201" customWidth="1"/>
    <col min="2571" max="2571" width="5.44140625" style="1201" bestFit="1" customWidth="1"/>
    <col min="2572" max="2572" width="9.33203125" style="1201" bestFit="1" customWidth="1"/>
    <col min="2573" max="2573" width="7.6640625" style="1201" customWidth="1"/>
    <col min="2574" max="2574" width="9.109375" style="1201" customWidth="1"/>
    <col min="2575" max="2576" width="10.5546875" style="1201" bestFit="1" customWidth="1"/>
    <col min="2577" max="2577" width="5.33203125" style="1201" bestFit="1" customWidth="1"/>
    <col min="2578" max="2579" width="11.33203125" style="1201" bestFit="1" customWidth="1"/>
    <col min="2580" max="2580" width="12.88671875" style="1201" bestFit="1" customWidth="1"/>
    <col min="2581" max="2581" width="10.5546875" style="1201" bestFit="1" customWidth="1"/>
    <col min="2582" max="2585" width="8.88671875" style="1201"/>
    <col min="2586" max="2586" width="15.109375" style="1201" bestFit="1" customWidth="1"/>
    <col min="2587" max="2588" width="11.5546875" style="1201" bestFit="1" customWidth="1"/>
    <col min="2589" max="2822" width="8.88671875" style="1201"/>
    <col min="2823" max="2823" width="7" style="1201" bestFit="1" customWidth="1"/>
    <col min="2824" max="2824" width="20.5546875" style="1201" bestFit="1" customWidth="1"/>
    <col min="2825" max="2825" width="3.44140625" style="1201" customWidth="1"/>
    <col min="2826" max="2826" width="3.6640625" style="1201" customWidth="1"/>
    <col min="2827" max="2827" width="5.44140625" style="1201" bestFit="1" customWidth="1"/>
    <col min="2828" max="2828" width="9.33203125" style="1201" bestFit="1" customWidth="1"/>
    <col min="2829" max="2829" width="7.6640625" style="1201" customWidth="1"/>
    <col min="2830" max="2830" width="9.109375" style="1201" customWidth="1"/>
    <col min="2831" max="2832" width="10.5546875" style="1201" bestFit="1" customWidth="1"/>
    <col min="2833" max="2833" width="5.33203125" style="1201" bestFit="1" customWidth="1"/>
    <col min="2834" max="2835" width="11.33203125" style="1201" bestFit="1" customWidth="1"/>
    <col min="2836" max="2836" width="12.88671875" style="1201" bestFit="1" customWidth="1"/>
    <col min="2837" max="2837" width="10.5546875" style="1201" bestFit="1" customWidth="1"/>
    <col min="2838" max="2841" width="8.88671875" style="1201"/>
    <col min="2842" max="2842" width="15.109375" style="1201" bestFit="1" customWidth="1"/>
    <col min="2843" max="2844" width="11.5546875" style="1201" bestFit="1" customWidth="1"/>
    <col min="2845" max="3078" width="8.88671875" style="1201"/>
    <col min="3079" max="3079" width="7" style="1201" bestFit="1" customWidth="1"/>
    <col min="3080" max="3080" width="20.5546875" style="1201" bestFit="1" customWidth="1"/>
    <col min="3081" max="3081" width="3.44140625" style="1201" customWidth="1"/>
    <col min="3082" max="3082" width="3.6640625" style="1201" customWidth="1"/>
    <col min="3083" max="3083" width="5.44140625" style="1201" bestFit="1" customWidth="1"/>
    <col min="3084" max="3084" width="9.33203125" style="1201" bestFit="1" customWidth="1"/>
    <col min="3085" max="3085" width="7.6640625" style="1201" customWidth="1"/>
    <col min="3086" max="3086" width="9.109375" style="1201" customWidth="1"/>
    <col min="3087" max="3088" width="10.5546875" style="1201" bestFit="1" customWidth="1"/>
    <col min="3089" max="3089" width="5.33203125" style="1201" bestFit="1" customWidth="1"/>
    <col min="3090" max="3091" width="11.33203125" style="1201" bestFit="1" customWidth="1"/>
    <col min="3092" max="3092" width="12.88671875" style="1201" bestFit="1" customWidth="1"/>
    <col min="3093" max="3093" width="10.5546875" style="1201" bestFit="1" customWidth="1"/>
    <col min="3094" max="3097" width="8.88671875" style="1201"/>
    <col min="3098" max="3098" width="15.109375" style="1201" bestFit="1" customWidth="1"/>
    <col min="3099" max="3100" width="11.5546875" style="1201" bestFit="1" customWidth="1"/>
    <col min="3101" max="3334" width="8.88671875" style="1201"/>
    <col min="3335" max="3335" width="7" style="1201" bestFit="1" customWidth="1"/>
    <col min="3336" max="3336" width="20.5546875" style="1201" bestFit="1" customWidth="1"/>
    <col min="3337" max="3337" width="3.44140625" style="1201" customWidth="1"/>
    <col min="3338" max="3338" width="3.6640625" style="1201" customWidth="1"/>
    <col min="3339" max="3339" width="5.44140625" style="1201" bestFit="1" customWidth="1"/>
    <col min="3340" max="3340" width="9.33203125" style="1201" bestFit="1" customWidth="1"/>
    <col min="3341" max="3341" width="7.6640625" style="1201" customWidth="1"/>
    <col min="3342" max="3342" width="9.109375" style="1201" customWidth="1"/>
    <col min="3343" max="3344" width="10.5546875" style="1201" bestFit="1" customWidth="1"/>
    <col min="3345" max="3345" width="5.33203125" style="1201" bestFit="1" customWidth="1"/>
    <col min="3346" max="3347" width="11.33203125" style="1201" bestFit="1" customWidth="1"/>
    <col min="3348" max="3348" width="12.88671875" style="1201" bestFit="1" customWidth="1"/>
    <col min="3349" max="3349" width="10.5546875" style="1201" bestFit="1" customWidth="1"/>
    <col min="3350" max="3353" width="8.88671875" style="1201"/>
    <col min="3354" max="3354" width="15.109375" style="1201" bestFit="1" customWidth="1"/>
    <col min="3355" max="3356" width="11.5546875" style="1201" bestFit="1" customWidth="1"/>
    <col min="3357" max="3590" width="8.88671875" style="1201"/>
    <col min="3591" max="3591" width="7" style="1201" bestFit="1" customWidth="1"/>
    <col min="3592" max="3592" width="20.5546875" style="1201" bestFit="1" customWidth="1"/>
    <col min="3593" max="3593" width="3.44140625" style="1201" customWidth="1"/>
    <col min="3594" max="3594" width="3.6640625" style="1201" customWidth="1"/>
    <col min="3595" max="3595" width="5.44140625" style="1201" bestFit="1" customWidth="1"/>
    <col min="3596" max="3596" width="9.33203125" style="1201" bestFit="1" customWidth="1"/>
    <col min="3597" max="3597" width="7.6640625" style="1201" customWidth="1"/>
    <col min="3598" max="3598" width="9.109375" style="1201" customWidth="1"/>
    <col min="3599" max="3600" width="10.5546875" style="1201" bestFit="1" customWidth="1"/>
    <col min="3601" max="3601" width="5.33203125" style="1201" bestFit="1" customWidth="1"/>
    <col min="3602" max="3603" width="11.33203125" style="1201" bestFit="1" customWidth="1"/>
    <col min="3604" max="3604" width="12.88671875" style="1201" bestFit="1" customWidth="1"/>
    <col min="3605" max="3605" width="10.5546875" style="1201" bestFit="1" customWidth="1"/>
    <col min="3606" max="3609" width="8.88671875" style="1201"/>
    <col min="3610" max="3610" width="15.109375" style="1201" bestFit="1" customWidth="1"/>
    <col min="3611" max="3612" width="11.5546875" style="1201" bestFit="1" customWidth="1"/>
    <col min="3613" max="3846" width="8.88671875" style="1201"/>
    <col min="3847" max="3847" width="7" style="1201" bestFit="1" customWidth="1"/>
    <col min="3848" max="3848" width="20.5546875" style="1201" bestFit="1" customWidth="1"/>
    <col min="3849" max="3849" width="3.44140625" style="1201" customWidth="1"/>
    <col min="3850" max="3850" width="3.6640625" style="1201" customWidth="1"/>
    <col min="3851" max="3851" width="5.44140625" style="1201" bestFit="1" customWidth="1"/>
    <col min="3852" max="3852" width="9.33203125" style="1201" bestFit="1" customWidth="1"/>
    <col min="3853" max="3853" width="7.6640625" style="1201" customWidth="1"/>
    <col min="3854" max="3854" width="9.109375" style="1201" customWidth="1"/>
    <col min="3855" max="3856" width="10.5546875" style="1201" bestFit="1" customWidth="1"/>
    <col min="3857" max="3857" width="5.33203125" style="1201" bestFit="1" customWidth="1"/>
    <col min="3858" max="3859" width="11.33203125" style="1201" bestFit="1" customWidth="1"/>
    <col min="3860" max="3860" width="12.88671875" style="1201" bestFit="1" customWidth="1"/>
    <col min="3861" max="3861" width="10.5546875" style="1201" bestFit="1" customWidth="1"/>
    <col min="3862" max="3865" width="8.88671875" style="1201"/>
    <col min="3866" max="3866" width="15.109375" style="1201" bestFit="1" customWidth="1"/>
    <col min="3867" max="3868" width="11.5546875" style="1201" bestFit="1" customWidth="1"/>
    <col min="3869" max="4102" width="8.88671875" style="1201"/>
    <col min="4103" max="4103" width="7" style="1201" bestFit="1" customWidth="1"/>
    <col min="4104" max="4104" width="20.5546875" style="1201" bestFit="1" customWidth="1"/>
    <col min="4105" max="4105" width="3.44140625" style="1201" customWidth="1"/>
    <col min="4106" max="4106" width="3.6640625" style="1201" customWidth="1"/>
    <col min="4107" max="4107" width="5.44140625" style="1201" bestFit="1" customWidth="1"/>
    <col min="4108" max="4108" width="9.33203125" style="1201" bestFit="1" customWidth="1"/>
    <col min="4109" max="4109" width="7.6640625" style="1201" customWidth="1"/>
    <col min="4110" max="4110" width="9.109375" style="1201" customWidth="1"/>
    <col min="4111" max="4112" width="10.5546875" style="1201" bestFit="1" customWidth="1"/>
    <col min="4113" max="4113" width="5.33203125" style="1201" bestFit="1" customWidth="1"/>
    <col min="4114" max="4115" width="11.33203125" style="1201" bestFit="1" customWidth="1"/>
    <col min="4116" max="4116" width="12.88671875" style="1201" bestFit="1" customWidth="1"/>
    <col min="4117" max="4117" width="10.5546875" style="1201" bestFit="1" customWidth="1"/>
    <col min="4118" max="4121" width="8.88671875" style="1201"/>
    <col min="4122" max="4122" width="15.109375" style="1201" bestFit="1" customWidth="1"/>
    <col min="4123" max="4124" width="11.5546875" style="1201" bestFit="1" customWidth="1"/>
    <col min="4125" max="4358" width="8.88671875" style="1201"/>
    <col min="4359" max="4359" width="7" style="1201" bestFit="1" customWidth="1"/>
    <col min="4360" max="4360" width="20.5546875" style="1201" bestFit="1" customWidth="1"/>
    <col min="4361" max="4361" width="3.44140625" style="1201" customWidth="1"/>
    <col min="4362" max="4362" width="3.6640625" style="1201" customWidth="1"/>
    <col min="4363" max="4363" width="5.44140625" style="1201" bestFit="1" customWidth="1"/>
    <col min="4364" max="4364" width="9.33203125" style="1201" bestFit="1" customWidth="1"/>
    <col min="4365" max="4365" width="7.6640625" style="1201" customWidth="1"/>
    <col min="4366" max="4366" width="9.109375" style="1201" customWidth="1"/>
    <col min="4367" max="4368" width="10.5546875" style="1201" bestFit="1" customWidth="1"/>
    <col min="4369" max="4369" width="5.33203125" style="1201" bestFit="1" customWidth="1"/>
    <col min="4370" max="4371" width="11.33203125" style="1201" bestFit="1" customWidth="1"/>
    <col min="4372" max="4372" width="12.88671875" style="1201" bestFit="1" customWidth="1"/>
    <col min="4373" max="4373" width="10.5546875" style="1201" bestFit="1" customWidth="1"/>
    <col min="4374" max="4377" width="8.88671875" style="1201"/>
    <col min="4378" max="4378" width="15.109375" style="1201" bestFit="1" customWidth="1"/>
    <col min="4379" max="4380" width="11.5546875" style="1201" bestFit="1" customWidth="1"/>
    <col min="4381" max="4614" width="8.88671875" style="1201"/>
    <col min="4615" max="4615" width="7" style="1201" bestFit="1" customWidth="1"/>
    <col min="4616" max="4616" width="20.5546875" style="1201" bestFit="1" customWidth="1"/>
    <col min="4617" max="4617" width="3.44140625" style="1201" customWidth="1"/>
    <col min="4618" max="4618" width="3.6640625" style="1201" customWidth="1"/>
    <col min="4619" max="4619" width="5.44140625" style="1201" bestFit="1" customWidth="1"/>
    <col min="4620" max="4620" width="9.33203125" style="1201" bestFit="1" customWidth="1"/>
    <col min="4621" max="4621" width="7.6640625" style="1201" customWidth="1"/>
    <col min="4622" max="4622" width="9.109375" style="1201" customWidth="1"/>
    <col min="4623" max="4624" width="10.5546875" style="1201" bestFit="1" customWidth="1"/>
    <col min="4625" max="4625" width="5.33203125" style="1201" bestFit="1" customWidth="1"/>
    <col min="4626" max="4627" width="11.33203125" style="1201" bestFit="1" customWidth="1"/>
    <col min="4628" max="4628" width="12.88671875" style="1201" bestFit="1" customWidth="1"/>
    <col min="4629" max="4629" width="10.5546875" style="1201" bestFit="1" customWidth="1"/>
    <col min="4630" max="4633" width="8.88671875" style="1201"/>
    <col min="4634" max="4634" width="15.109375" style="1201" bestFit="1" customWidth="1"/>
    <col min="4635" max="4636" width="11.5546875" style="1201" bestFit="1" customWidth="1"/>
    <col min="4637" max="4870" width="8.88671875" style="1201"/>
    <col min="4871" max="4871" width="7" style="1201" bestFit="1" customWidth="1"/>
    <col min="4872" max="4872" width="20.5546875" style="1201" bestFit="1" customWidth="1"/>
    <col min="4873" max="4873" width="3.44140625" style="1201" customWidth="1"/>
    <col min="4874" max="4874" width="3.6640625" style="1201" customWidth="1"/>
    <col min="4875" max="4875" width="5.44140625" style="1201" bestFit="1" customWidth="1"/>
    <col min="4876" max="4876" width="9.33203125" style="1201" bestFit="1" customWidth="1"/>
    <col min="4877" max="4877" width="7.6640625" style="1201" customWidth="1"/>
    <col min="4878" max="4878" width="9.109375" style="1201" customWidth="1"/>
    <col min="4879" max="4880" width="10.5546875" style="1201" bestFit="1" customWidth="1"/>
    <col min="4881" max="4881" width="5.33203125" style="1201" bestFit="1" customWidth="1"/>
    <col min="4882" max="4883" width="11.33203125" style="1201" bestFit="1" customWidth="1"/>
    <col min="4884" max="4884" width="12.88671875" style="1201" bestFit="1" customWidth="1"/>
    <col min="4885" max="4885" width="10.5546875" style="1201" bestFit="1" customWidth="1"/>
    <col min="4886" max="4889" width="8.88671875" style="1201"/>
    <col min="4890" max="4890" width="15.109375" style="1201" bestFit="1" customWidth="1"/>
    <col min="4891" max="4892" width="11.5546875" style="1201" bestFit="1" customWidth="1"/>
    <col min="4893" max="5126" width="8.88671875" style="1201"/>
    <col min="5127" max="5127" width="7" style="1201" bestFit="1" customWidth="1"/>
    <col min="5128" max="5128" width="20.5546875" style="1201" bestFit="1" customWidth="1"/>
    <col min="5129" max="5129" width="3.44140625" style="1201" customWidth="1"/>
    <col min="5130" max="5130" width="3.6640625" style="1201" customWidth="1"/>
    <col min="5131" max="5131" width="5.44140625" style="1201" bestFit="1" customWidth="1"/>
    <col min="5132" max="5132" width="9.33203125" style="1201" bestFit="1" customWidth="1"/>
    <col min="5133" max="5133" width="7.6640625" style="1201" customWidth="1"/>
    <col min="5134" max="5134" width="9.109375" style="1201" customWidth="1"/>
    <col min="5135" max="5136" width="10.5546875" style="1201" bestFit="1" customWidth="1"/>
    <col min="5137" max="5137" width="5.33203125" style="1201" bestFit="1" customWidth="1"/>
    <col min="5138" max="5139" width="11.33203125" style="1201" bestFit="1" customWidth="1"/>
    <col min="5140" max="5140" width="12.88671875" style="1201" bestFit="1" customWidth="1"/>
    <col min="5141" max="5141" width="10.5546875" style="1201" bestFit="1" customWidth="1"/>
    <col min="5142" max="5145" width="8.88671875" style="1201"/>
    <col min="5146" max="5146" width="15.109375" style="1201" bestFit="1" customWidth="1"/>
    <col min="5147" max="5148" width="11.5546875" style="1201" bestFit="1" customWidth="1"/>
    <col min="5149" max="5382" width="8.88671875" style="1201"/>
    <col min="5383" max="5383" width="7" style="1201" bestFit="1" customWidth="1"/>
    <col min="5384" max="5384" width="20.5546875" style="1201" bestFit="1" customWidth="1"/>
    <col min="5385" max="5385" width="3.44140625" style="1201" customWidth="1"/>
    <col min="5386" max="5386" width="3.6640625" style="1201" customWidth="1"/>
    <col min="5387" max="5387" width="5.44140625" style="1201" bestFit="1" customWidth="1"/>
    <col min="5388" max="5388" width="9.33203125" style="1201" bestFit="1" customWidth="1"/>
    <col min="5389" max="5389" width="7.6640625" style="1201" customWidth="1"/>
    <col min="5390" max="5390" width="9.109375" style="1201" customWidth="1"/>
    <col min="5391" max="5392" width="10.5546875" style="1201" bestFit="1" customWidth="1"/>
    <col min="5393" max="5393" width="5.33203125" style="1201" bestFit="1" customWidth="1"/>
    <col min="5394" max="5395" width="11.33203125" style="1201" bestFit="1" customWidth="1"/>
    <col min="5396" max="5396" width="12.88671875" style="1201" bestFit="1" customWidth="1"/>
    <col min="5397" max="5397" width="10.5546875" style="1201" bestFit="1" customWidth="1"/>
    <col min="5398" max="5401" width="8.88671875" style="1201"/>
    <col min="5402" max="5402" width="15.109375" style="1201" bestFit="1" customWidth="1"/>
    <col min="5403" max="5404" width="11.5546875" style="1201" bestFit="1" customWidth="1"/>
    <col min="5405" max="5638" width="8.88671875" style="1201"/>
    <col min="5639" max="5639" width="7" style="1201" bestFit="1" customWidth="1"/>
    <col min="5640" max="5640" width="20.5546875" style="1201" bestFit="1" customWidth="1"/>
    <col min="5641" max="5641" width="3.44140625" style="1201" customWidth="1"/>
    <col min="5642" max="5642" width="3.6640625" style="1201" customWidth="1"/>
    <col min="5643" max="5643" width="5.44140625" style="1201" bestFit="1" customWidth="1"/>
    <col min="5644" max="5644" width="9.33203125" style="1201" bestFit="1" customWidth="1"/>
    <col min="5645" max="5645" width="7.6640625" style="1201" customWidth="1"/>
    <col min="5646" max="5646" width="9.109375" style="1201" customWidth="1"/>
    <col min="5647" max="5648" width="10.5546875" style="1201" bestFit="1" customWidth="1"/>
    <col min="5649" max="5649" width="5.33203125" style="1201" bestFit="1" customWidth="1"/>
    <col min="5650" max="5651" width="11.33203125" style="1201" bestFit="1" customWidth="1"/>
    <col min="5652" max="5652" width="12.88671875" style="1201" bestFit="1" customWidth="1"/>
    <col min="5653" max="5653" width="10.5546875" style="1201" bestFit="1" customWidth="1"/>
    <col min="5654" max="5657" width="8.88671875" style="1201"/>
    <col min="5658" max="5658" width="15.109375" style="1201" bestFit="1" customWidth="1"/>
    <col min="5659" max="5660" width="11.5546875" style="1201" bestFit="1" customWidth="1"/>
    <col min="5661" max="5894" width="8.88671875" style="1201"/>
    <col min="5895" max="5895" width="7" style="1201" bestFit="1" customWidth="1"/>
    <col min="5896" max="5896" width="20.5546875" style="1201" bestFit="1" customWidth="1"/>
    <col min="5897" max="5897" width="3.44140625" style="1201" customWidth="1"/>
    <col min="5898" max="5898" width="3.6640625" style="1201" customWidth="1"/>
    <col min="5899" max="5899" width="5.44140625" style="1201" bestFit="1" customWidth="1"/>
    <col min="5900" max="5900" width="9.33203125" style="1201" bestFit="1" customWidth="1"/>
    <col min="5901" max="5901" width="7.6640625" style="1201" customWidth="1"/>
    <col min="5902" max="5902" width="9.109375" style="1201" customWidth="1"/>
    <col min="5903" max="5904" width="10.5546875" style="1201" bestFit="1" customWidth="1"/>
    <col min="5905" max="5905" width="5.33203125" style="1201" bestFit="1" customWidth="1"/>
    <col min="5906" max="5907" width="11.33203125" style="1201" bestFit="1" customWidth="1"/>
    <col min="5908" max="5908" width="12.88671875" style="1201" bestFit="1" customWidth="1"/>
    <col min="5909" max="5909" width="10.5546875" style="1201" bestFit="1" customWidth="1"/>
    <col min="5910" max="5913" width="8.88671875" style="1201"/>
    <col min="5914" max="5914" width="15.109375" style="1201" bestFit="1" customWidth="1"/>
    <col min="5915" max="5916" width="11.5546875" style="1201" bestFit="1" customWidth="1"/>
    <col min="5917" max="6150" width="8.88671875" style="1201"/>
    <col min="6151" max="6151" width="7" style="1201" bestFit="1" customWidth="1"/>
    <col min="6152" max="6152" width="20.5546875" style="1201" bestFit="1" customWidth="1"/>
    <col min="6153" max="6153" width="3.44140625" style="1201" customWidth="1"/>
    <col min="6154" max="6154" width="3.6640625" style="1201" customWidth="1"/>
    <col min="6155" max="6155" width="5.44140625" style="1201" bestFit="1" customWidth="1"/>
    <col min="6156" max="6156" width="9.33203125" style="1201" bestFit="1" customWidth="1"/>
    <col min="6157" max="6157" width="7.6640625" style="1201" customWidth="1"/>
    <col min="6158" max="6158" width="9.109375" style="1201" customWidth="1"/>
    <col min="6159" max="6160" width="10.5546875" style="1201" bestFit="1" customWidth="1"/>
    <col min="6161" max="6161" width="5.33203125" style="1201" bestFit="1" customWidth="1"/>
    <col min="6162" max="6163" width="11.33203125" style="1201" bestFit="1" customWidth="1"/>
    <col min="6164" max="6164" width="12.88671875" style="1201" bestFit="1" customWidth="1"/>
    <col min="6165" max="6165" width="10.5546875" style="1201" bestFit="1" customWidth="1"/>
    <col min="6166" max="6169" width="8.88671875" style="1201"/>
    <col min="6170" max="6170" width="15.109375" style="1201" bestFit="1" customWidth="1"/>
    <col min="6171" max="6172" width="11.5546875" style="1201" bestFit="1" customWidth="1"/>
    <col min="6173" max="6406" width="8.88671875" style="1201"/>
    <col min="6407" max="6407" width="7" style="1201" bestFit="1" customWidth="1"/>
    <col min="6408" max="6408" width="20.5546875" style="1201" bestFit="1" customWidth="1"/>
    <col min="6409" max="6409" width="3.44140625" style="1201" customWidth="1"/>
    <col min="6410" max="6410" width="3.6640625" style="1201" customWidth="1"/>
    <col min="6411" max="6411" width="5.44140625" style="1201" bestFit="1" customWidth="1"/>
    <col min="6412" max="6412" width="9.33203125" style="1201" bestFit="1" customWidth="1"/>
    <col min="6413" max="6413" width="7.6640625" style="1201" customWidth="1"/>
    <col min="6414" max="6414" width="9.109375" style="1201" customWidth="1"/>
    <col min="6415" max="6416" width="10.5546875" style="1201" bestFit="1" customWidth="1"/>
    <col min="6417" max="6417" width="5.33203125" style="1201" bestFit="1" customWidth="1"/>
    <col min="6418" max="6419" width="11.33203125" style="1201" bestFit="1" customWidth="1"/>
    <col min="6420" max="6420" width="12.88671875" style="1201" bestFit="1" customWidth="1"/>
    <col min="6421" max="6421" width="10.5546875" style="1201" bestFit="1" customWidth="1"/>
    <col min="6422" max="6425" width="8.88671875" style="1201"/>
    <col min="6426" max="6426" width="15.109375" style="1201" bestFit="1" customWidth="1"/>
    <col min="6427" max="6428" width="11.5546875" style="1201" bestFit="1" customWidth="1"/>
    <col min="6429" max="6662" width="8.88671875" style="1201"/>
    <col min="6663" max="6663" width="7" style="1201" bestFit="1" customWidth="1"/>
    <col min="6664" max="6664" width="20.5546875" style="1201" bestFit="1" customWidth="1"/>
    <col min="6665" max="6665" width="3.44140625" style="1201" customWidth="1"/>
    <col min="6666" max="6666" width="3.6640625" style="1201" customWidth="1"/>
    <col min="6667" max="6667" width="5.44140625" style="1201" bestFit="1" customWidth="1"/>
    <col min="6668" max="6668" width="9.33203125" style="1201" bestFit="1" customWidth="1"/>
    <col min="6669" max="6669" width="7.6640625" style="1201" customWidth="1"/>
    <col min="6670" max="6670" width="9.109375" style="1201" customWidth="1"/>
    <col min="6671" max="6672" width="10.5546875" style="1201" bestFit="1" customWidth="1"/>
    <col min="6673" max="6673" width="5.33203125" style="1201" bestFit="1" customWidth="1"/>
    <col min="6674" max="6675" width="11.33203125" style="1201" bestFit="1" customWidth="1"/>
    <col min="6676" max="6676" width="12.88671875" style="1201" bestFit="1" customWidth="1"/>
    <col min="6677" max="6677" width="10.5546875" style="1201" bestFit="1" customWidth="1"/>
    <col min="6678" max="6681" width="8.88671875" style="1201"/>
    <col min="6682" max="6682" width="15.109375" style="1201" bestFit="1" customWidth="1"/>
    <col min="6683" max="6684" width="11.5546875" style="1201" bestFit="1" customWidth="1"/>
    <col min="6685" max="6918" width="8.88671875" style="1201"/>
    <col min="6919" max="6919" width="7" style="1201" bestFit="1" customWidth="1"/>
    <col min="6920" max="6920" width="20.5546875" style="1201" bestFit="1" customWidth="1"/>
    <col min="6921" max="6921" width="3.44140625" style="1201" customWidth="1"/>
    <col min="6922" max="6922" width="3.6640625" style="1201" customWidth="1"/>
    <col min="6923" max="6923" width="5.44140625" style="1201" bestFit="1" customWidth="1"/>
    <col min="6924" max="6924" width="9.33203125" style="1201" bestFit="1" customWidth="1"/>
    <col min="6925" max="6925" width="7.6640625" style="1201" customWidth="1"/>
    <col min="6926" max="6926" width="9.109375" style="1201" customWidth="1"/>
    <col min="6927" max="6928" width="10.5546875" style="1201" bestFit="1" customWidth="1"/>
    <col min="6929" max="6929" width="5.33203125" style="1201" bestFit="1" customWidth="1"/>
    <col min="6930" max="6931" width="11.33203125" style="1201" bestFit="1" customWidth="1"/>
    <col min="6932" max="6932" width="12.88671875" style="1201" bestFit="1" customWidth="1"/>
    <col min="6933" max="6933" width="10.5546875" style="1201" bestFit="1" customWidth="1"/>
    <col min="6934" max="6937" width="8.88671875" style="1201"/>
    <col min="6938" max="6938" width="15.109375" style="1201" bestFit="1" customWidth="1"/>
    <col min="6939" max="6940" width="11.5546875" style="1201" bestFit="1" customWidth="1"/>
    <col min="6941" max="7174" width="8.88671875" style="1201"/>
    <col min="7175" max="7175" width="7" style="1201" bestFit="1" customWidth="1"/>
    <col min="7176" max="7176" width="20.5546875" style="1201" bestFit="1" customWidth="1"/>
    <col min="7177" max="7177" width="3.44140625" style="1201" customWidth="1"/>
    <col min="7178" max="7178" width="3.6640625" style="1201" customWidth="1"/>
    <col min="7179" max="7179" width="5.44140625" style="1201" bestFit="1" customWidth="1"/>
    <col min="7180" max="7180" width="9.33203125" style="1201" bestFit="1" customWidth="1"/>
    <col min="7181" max="7181" width="7.6640625" style="1201" customWidth="1"/>
    <col min="7182" max="7182" width="9.109375" style="1201" customWidth="1"/>
    <col min="7183" max="7184" width="10.5546875" style="1201" bestFit="1" customWidth="1"/>
    <col min="7185" max="7185" width="5.33203125" style="1201" bestFit="1" customWidth="1"/>
    <col min="7186" max="7187" width="11.33203125" style="1201" bestFit="1" customWidth="1"/>
    <col min="7188" max="7188" width="12.88671875" style="1201" bestFit="1" customWidth="1"/>
    <col min="7189" max="7189" width="10.5546875" style="1201" bestFit="1" customWidth="1"/>
    <col min="7190" max="7193" width="8.88671875" style="1201"/>
    <col min="7194" max="7194" width="15.109375" style="1201" bestFit="1" customWidth="1"/>
    <col min="7195" max="7196" width="11.5546875" style="1201" bestFit="1" customWidth="1"/>
    <col min="7197" max="7430" width="8.88671875" style="1201"/>
    <col min="7431" max="7431" width="7" style="1201" bestFit="1" customWidth="1"/>
    <col min="7432" max="7432" width="20.5546875" style="1201" bestFit="1" customWidth="1"/>
    <col min="7433" max="7433" width="3.44140625" style="1201" customWidth="1"/>
    <col min="7434" max="7434" width="3.6640625" style="1201" customWidth="1"/>
    <col min="7435" max="7435" width="5.44140625" style="1201" bestFit="1" customWidth="1"/>
    <col min="7436" max="7436" width="9.33203125" style="1201" bestFit="1" customWidth="1"/>
    <col min="7437" max="7437" width="7.6640625" style="1201" customWidth="1"/>
    <col min="7438" max="7438" width="9.109375" style="1201" customWidth="1"/>
    <col min="7439" max="7440" width="10.5546875" style="1201" bestFit="1" customWidth="1"/>
    <col min="7441" max="7441" width="5.33203125" style="1201" bestFit="1" customWidth="1"/>
    <col min="7442" max="7443" width="11.33203125" style="1201" bestFit="1" customWidth="1"/>
    <col min="7444" max="7444" width="12.88671875" style="1201" bestFit="1" customWidth="1"/>
    <col min="7445" max="7445" width="10.5546875" style="1201" bestFit="1" customWidth="1"/>
    <col min="7446" max="7449" width="8.88671875" style="1201"/>
    <col min="7450" max="7450" width="15.109375" style="1201" bestFit="1" customWidth="1"/>
    <col min="7451" max="7452" width="11.5546875" style="1201" bestFit="1" customWidth="1"/>
    <col min="7453" max="7686" width="8.88671875" style="1201"/>
    <col min="7687" max="7687" width="7" style="1201" bestFit="1" customWidth="1"/>
    <col min="7688" max="7688" width="20.5546875" style="1201" bestFit="1" customWidth="1"/>
    <col min="7689" max="7689" width="3.44140625" style="1201" customWidth="1"/>
    <col min="7690" max="7690" width="3.6640625" style="1201" customWidth="1"/>
    <col min="7691" max="7691" width="5.44140625" style="1201" bestFit="1" customWidth="1"/>
    <col min="7692" max="7692" width="9.33203125" style="1201" bestFit="1" customWidth="1"/>
    <col min="7693" max="7693" width="7.6640625" style="1201" customWidth="1"/>
    <col min="7694" max="7694" width="9.109375" style="1201" customWidth="1"/>
    <col min="7695" max="7696" width="10.5546875" style="1201" bestFit="1" customWidth="1"/>
    <col min="7697" max="7697" width="5.33203125" style="1201" bestFit="1" customWidth="1"/>
    <col min="7698" max="7699" width="11.33203125" style="1201" bestFit="1" customWidth="1"/>
    <col min="7700" max="7700" width="12.88671875" style="1201" bestFit="1" customWidth="1"/>
    <col min="7701" max="7701" width="10.5546875" style="1201" bestFit="1" customWidth="1"/>
    <col min="7702" max="7705" width="8.88671875" style="1201"/>
    <col min="7706" max="7706" width="15.109375" style="1201" bestFit="1" customWidth="1"/>
    <col min="7707" max="7708" width="11.5546875" style="1201" bestFit="1" customWidth="1"/>
    <col min="7709" max="7942" width="8.88671875" style="1201"/>
    <col min="7943" max="7943" width="7" style="1201" bestFit="1" customWidth="1"/>
    <col min="7944" max="7944" width="20.5546875" style="1201" bestFit="1" customWidth="1"/>
    <col min="7945" max="7945" width="3.44140625" style="1201" customWidth="1"/>
    <col min="7946" max="7946" width="3.6640625" style="1201" customWidth="1"/>
    <col min="7947" max="7947" width="5.44140625" style="1201" bestFit="1" customWidth="1"/>
    <col min="7948" max="7948" width="9.33203125" style="1201" bestFit="1" customWidth="1"/>
    <col min="7949" max="7949" width="7.6640625" style="1201" customWidth="1"/>
    <col min="7950" max="7950" width="9.109375" style="1201" customWidth="1"/>
    <col min="7951" max="7952" width="10.5546875" style="1201" bestFit="1" customWidth="1"/>
    <col min="7953" max="7953" width="5.33203125" style="1201" bestFit="1" customWidth="1"/>
    <col min="7954" max="7955" width="11.33203125" style="1201" bestFit="1" customWidth="1"/>
    <col min="7956" max="7956" width="12.88671875" style="1201" bestFit="1" customWidth="1"/>
    <col min="7957" max="7957" width="10.5546875" style="1201" bestFit="1" customWidth="1"/>
    <col min="7958" max="7961" width="8.88671875" style="1201"/>
    <col min="7962" max="7962" width="15.109375" style="1201" bestFit="1" customWidth="1"/>
    <col min="7963" max="7964" width="11.5546875" style="1201" bestFit="1" customWidth="1"/>
    <col min="7965" max="8198" width="8.88671875" style="1201"/>
    <col min="8199" max="8199" width="7" style="1201" bestFit="1" customWidth="1"/>
    <col min="8200" max="8200" width="20.5546875" style="1201" bestFit="1" customWidth="1"/>
    <col min="8201" max="8201" width="3.44140625" style="1201" customWidth="1"/>
    <col min="8202" max="8202" width="3.6640625" style="1201" customWidth="1"/>
    <col min="8203" max="8203" width="5.44140625" style="1201" bestFit="1" customWidth="1"/>
    <col min="8204" max="8204" width="9.33203125" style="1201" bestFit="1" customWidth="1"/>
    <col min="8205" max="8205" width="7.6640625" style="1201" customWidth="1"/>
    <col min="8206" max="8206" width="9.109375" style="1201" customWidth="1"/>
    <col min="8207" max="8208" width="10.5546875" style="1201" bestFit="1" customWidth="1"/>
    <col min="8209" max="8209" width="5.33203125" style="1201" bestFit="1" customWidth="1"/>
    <col min="8210" max="8211" width="11.33203125" style="1201" bestFit="1" customWidth="1"/>
    <col min="8212" max="8212" width="12.88671875" style="1201" bestFit="1" customWidth="1"/>
    <col min="8213" max="8213" width="10.5546875" style="1201" bestFit="1" customWidth="1"/>
    <col min="8214" max="8217" width="8.88671875" style="1201"/>
    <col min="8218" max="8218" width="15.109375" style="1201" bestFit="1" customWidth="1"/>
    <col min="8219" max="8220" width="11.5546875" style="1201" bestFit="1" customWidth="1"/>
    <col min="8221" max="8454" width="8.88671875" style="1201"/>
    <col min="8455" max="8455" width="7" style="1201" bestFit="1" customWidth="1"/>
    <col min="8456" max="8456" width="20.5546875" style="1201" bestFit="1" customWidth="1"/>
    <col min="8457" max="8457" width="3.44140625" style="1201" customWidth="1"/>
    <col min="8458" max="8458" width="3.6640625" style="1201" customWidth="1"/>
    <col min="8459" max="8459" width="5.44140625" style="1201" bestFit="1" customWidth="1"/>
    <col min="8460" max="8460" width="9.33203125" style="1201" bestFit="1" customWidth="1"/>
    <col min="8461" max="8461" width="7.6640625" style="1201" customWidth="1"/>
    <col min="8462" max="8462" width="9.109375" style="1201" customWidth="1"/>
    <col min="8463" max="8464" width="10.5546875" style="1201" bestFit="1" customWidth="1"/>
    <col min="8465" max="8465" width="5.33203125" style="1201" bestFit="1" customWidth="1"/>
    <col min="8466" max="8467" width="11.33203125" style="1201" bestFit="1" customWidth="1"/>
    <col min="8468" max="8468" width="12.88671875" style="1201" bestFit="1" customWidth="1"/>
    <col min="8469" max="8469" width="10.5546875" style="1201" bestFit="1" customWidth="1"/>
    <col min="8470" max="8473" width="8.88671875" style="1201"/>
    <col min="8474" max="8474" width="15.109375" style="1201" bestFit="1" customWidth="1"/>
    <col min="8475" max="8476" width="11.5546875" style="1201" bestFit="1" customWidth="1"/>
    <col min="8477" max="8710" width="8.88671875" style="1201"/>
    <col min="8711" max="8711" width="7" style="1201" bestFit="1" customWidth="1"/>
    <col min="8712" max="8712" width="20.5546875" style="1201" bestFit="1" customWidth="1"/>
    <col min="8713" max="8713" width="3.44140625" style="1201" customWidth="1"/>
    <col min="8714" max="8714" width="3.6640625" style="1201" customWidth="1"/>
    <col min="8715" max="8715" width="5.44140625" style="1201" bestFit="1" customWidth="1"/>
    <col min="8716" max="8716" width="9.33203125" style="1201" bestFit="1" customWidth="1"/>
    <col min="8717" max="8717" width="7.6640625" style="1201" customWidth="1"/>
    <col min="8718" max="8718" width="9.109375" style="1201" customWidth="1"/>
    <col min="8719" max="8720" width="10.5546875" style="1201" bestFit="1" customWidth="1"/>
    <col min="8721" max="8721" width="5.33203125" style="1201" bestFit="1" customWidth="1"/>
    <col min="8722" max="8723" width="11.33203125" style="1201" bestFit="1" customWidth="1"/>
    <col min="8724" max="8724" width="12.88671875" style="1201" bestFit="1" customWidth="1"/>
    <col min="8725" max="8725" width="10.5546875" style="1201" bestFit="1" customWidth="1"/>
    <col min="8726" max="8729" width="8.88671875" style="1201"/>
    <col min="8730" max="8730" width="15.109375" style="1201" bestFit="1" customWidth="1"/>
    <col min="8731" max="8732" width="11.5546875" style="1201" bestFit="1" customWidth="1"/>
    <col min="8733" max="8966" width="8.88671875" style="1201"/>
    <col min="8967" max="8967" width="7" style="1201" bestFit="1" customWidth="1"/>
    <col min="8968" max="8968" width="20.5546875" style="1201" bestFit="1" customWidth="1"/>
    <col min="8969" max="8969" width="3.44140625" style="1201" customWidth="1"/>
    <col min="8970" max="8970" width="3.6640625" style="1201" customWidth="1"/>
    <col min="8971" max="8971" width="5.44140625" style="1201" bestFit="1" customWidth="1"/>
    <col min="8972" max="8972" width="9.33203125" style="1201" bestFit="1" customWidth="1"/>
    <col min="8973" max="8973" width="7.6640625" style="1201" customWidth="1"/>
    <col min="8974" max="8974" width="9.109375" style="1201" customWidth="1"/>
    <col min="8975" max="8976" width="10.5546875" style="1201" bestFit="1" customWidth="1"/>
    <col min="8977" max="8977" width="5.33203125" style="1201" bestFit="1" customWidth="1"/>
    <col min="8978" max="8979" width="11.33203125" style="1201" bestFit="1" customWidth="1"/>
    <col min="8980" max="8980" width="12.88671875" style="1201" bestFit="1" customWidth="1"/>
    <col min="8981" max="8981" width="10.5546875" style="1201" bestFit="1" customWidth="1"/>
    <col min="8982" max="8985" width="8.88671875" style="1201"/>
    <col min="8986" max="8986" width="15.109375" style="1201" bestFit="1" customWidth="1"/>
    <col min="8987" max="8988" width="11.5546875" style="1201" bestFit="1" customWidth="1"/>
    <col min="8989" max="9222" width="8.88671875" style="1201"/>
    <col min="9223" max="9223" width="7" style="1201" bestFit="1" customWidth="1"/>
    <col min="9224" max="9224" width="20.5546875" style="1201" bestFit="1" customWidth="1"/>
    <col min="9225" max="9225" width="3.44140625" style="1201" customWidth="1"/>
    <col min="9226" max="9226" width="3.6640625" style="1201" customWidth="1"/>
    <col min="9227" max="9227" width="5.44140625" style="1201" bestFit="1" customWidth="1"/>
    <col min="9228" max="9228" width="9.33203125" style="1201" bestFit="1" customWidth="1"/>
    <col min="9229" max="9229" width="7.6640625" style="1201" customWidth="1"/>
    <col min="9230" max="9230" width="9.109375" style="1201" customWidth="1"/>
    <col min="9231" max="9232" width="10.5546875" style="1201" bestFit="1" customWidth="1"/>
    <col min="9233" max="9233" width="5.33203125" style="1201" bestFit="1" customWidth="1"/>
    <col min="9234" max="9235" width="11.33203125" style="1201" bestFit="1" customWidth="1"/>
    <col min="9236" max="9236" width="12.88671875" style="1201" bestFit="1" customWidth="1"/>
    <col min="9237" max="9237" width="10.5546875" style="1201" bestFit="1" customWidth="1"/>
    <col min="9238" max="9241" width="8.88671875" style="1201"/>
    <col min="9242" max="9242" width="15.109375" style="1201" bestFit="1" customWidth="1"/>
    <col min="9243" max="9244" width="11.5546875" style="1201" bestFit="1" customWidth="1"/>
    <col min="9245" max="9478" width="8.88671875" style="1201"/>
    <col min="9479" max="9479" width="7" style="1201" bestFit="1" customWidth="1"/>
    <col min="9480" max="9480" width="20.5546875" style="1201" bestFit="1" customWidth="1"/>
    <col min="9481" max="9481" width="3.44140625" style="1201" customWidth="1"/>
    <col min="9482" max="9482" width="3.6640625" style="1201" customWidth="1"/>
    <col min="9483" max="9483" width="5.44140625" style="1201" bestFit="1" customWidth="1"/>
    <col min="9484" max="9484" width="9.33203125" style="1201" bestFit="1" customWidth="1"/>
    <col min="9485" max="9485" width="7.6640625" style="1201" customWidth="1"/>
    <col min="9486" max="9486" width="9.109375" style="1201" customWidth="1"/>
    <col min="9487" max="9488" width="10.5546875" style="1201" bestFit="1" customWidth="1"/>
    <col min="9489" max="9489" width="5.33203125" style="1201" bestFit="1" customWidth="1"/>
    <col min="9490" max="9491" width="11.33203125" style="1201" bestFit="1" customWidth="1"/>
    <col min="9492" max="9492" width="12.88671875" style="1201" bestFit="1" customWidth="1"/>
    <col min="9493" max="9493" width="10.5546875" style="1201" bestFit="1" customWidth="1"/>
    <col min="9494" max="9497" width="8.88671875" style="1201"/>
    <col min="9498" max="9498" width="15.109375" style="1201" bestFit="1" customWidth="1"/>
    <col min="9499" max="9500" width="11.5546875" style="1201" bestFit="1" customWidth="1"/>
    <col min="9501" max="9734" width="8.88671875" style="1201"/>
    <col min="9735" max="9735" width="7" style="1201" bestFit="1" customWidth="1"/>
    <col min="9736" max="9736" width="20.5546875" style="1201" bestFit="1" customWidth="1"/>
    <col min="9737" max="9737" width="3.44140625" style="1201" customWidth="1"/>
    <col min="9738" max="9738" width="3.6640625" style="1201" customWidth="1"/>
    <col min="9739" max="9739" width="5.44140625" style="1201" bestFit="1" customWidth="1"/>
    <col min="9740" max="9740" width="9.33203125" style="1201" bestFit="1" customWidth="1"/>
    <col min="9741" max="9741" width="7.6640625" style="1201" customWidth="1"/>
    <col min="9742" max="9742" width="9.109375" style="1201" customWidth="1"/>
    <col min="9743" max="9744" width="10.5546875" style="1201" bestFit="1" customWidth="1"/>
    <col min="9745" max="9745" width="5.33203125" style="1201" bestFit="1" customWidth="1"/>
    <col min="9746" max="9747" width="11.33203125" style="1201" bestFit="1" customWidth="1"/>
    <col min="9748" max="9748" width="12.88671875" style="1201" bestFit="1" customWidth="1"/>
    <col min="9749" max="9749" width="10.5546875" style="1201" bestFit="1" customWidth="1"/>
    <col min="9750" max="9753" width="8.88671875" style="1201"/>
    <col min="9754" max="9754" width="15.109375" style="1201" bestFit="1" customWidth="1"/>
    <col min="9755" max="9756" width="11.5546875" style="1201" bestFit="1" customWidth="1"/>
    <col min="9757" max="9990" width="8.88671875" style="1201"/>
    <col min="9991" max="9991" width="7" style="1201" bestFit="1" customWidth="1"/>
    <col min="9992" max="9992" width="20.5546875" style="1201" bestFit="1" customWidth="1"/>
    <col min="9993" max="9993" width="3.44140625" style="1201" customWidth="1"/>
    <col min="9994" max="9994" width="3.6640625" style="1201" customWidth="1"/>
    <col min="9995" max="9995" width="5.44140625" style="1201" bestFit="1" customWidth="1"/>
    <col min="9996" max="9996" width="9.33203125" style="1201" bestFit="1" customWidth="1"/>
    <col min="9997" max="9997" width="7.6640625" style="1201" customWidth="1"/>
    <col min="9998" max="9998" width="9.109375" style="1201" customWidth="1"/>
    <col min="9999" max="10000" width="10.5546875" style="1201" bestFit="1" customWidth="1"/>
    <col min="10001" max="10001" width="5.33203125" style="1201" bestFit="1" customWidth="1"/>
    <col min="10002" max="10003" width="11.33203125" style="1201" bestFit="1" customWidth="1"/>
    <col min="10004" max="10004" width="12.88671875" style="1201" bestFit="1" customWidth="1"/>
    <col min="10005" max="10005" width="10.5546875" style="1201" bestFit="1" customWidth="1"/>
    <col min="10006" max="10009" width="8.88671875" style="1201"/>
    <col min="10010" max="10010" width="15.109375" style="1201" bestFit="1" customWidth="1"/>
    <col min="10011" max="10012" width="11.5546875" style="1201" bestFit="1" customWidth="1"/>
    <col min="10013" max="10246" width="8.88671875" style="1201"/>
    <col min="10247" max="10247" width="7" style="1201" bestFit="1" customWidth="1"/>
    <col min="10248" max="10248" width="20.5546875" style="1201" bestFit="1" customWidth="1"/>
    <col min="10249" max="10249" width="3.44140625" style="1201" customWidth="1"/>
    <col min="10250" max="10250" width="3.6640625" style="1201" customWidth="1"/>
    <col min="10251" max="10251" width="5.44140625" style="1201" bestFit="1" customWidth="1"/>
    <col min="10252" max="10252" width="9.33203125" style="1201" bestFit="1" customWidth="1"/>
    <col min="10253" max="10253" width="7.6640625" style="1201" customWidth="1"/>
    <col min="10254" max="10254" width="9.109375" style="1201" customWidth="1"/>
    <col min="10255" max="10256" width="10.5546875" style="1201" bestFit="1" customWidth="1"/>
    <col min="10257" max="10257" width="5.33203125" style="1201" bestFit="1" customWidth="1"/>
    <col min="10258" max="10259" width="11.33203125" style="1201" bestFit="1" customWidth="1"/>
    <col min="10260" max="10260" width="12.88671875" style="1201" bestFit="1" customWidth="1"/>
    <col min="10261" max="10261" width="10.5546875" style="1201" bestFit="1" customWidth="1"/>
    <col min="10262" max="10265" width="8.88671875" style="1201"/>
    <col min="10266" max="10266" width="15.109375" style="1201" bestFit="1" customWidth="1"/>
    <col min="10267" max="10268" width="11.5546875" style="1201" bestFit="1" customWidth="1"/>
    <col min="10269" max="10502" width="8.88671875" style="1201"/>
    <col min="10503" max="10503" width="7" style="1201" bestFit="1" customWidth="1"/>
    <col min="10504" max="10504" width="20.5546875" style="1201" bestFit="1" customWidth="1"/>
    <col min="10505" max="10505" width="3.44140625" style="1201" customWidth="1"/>
    <col min="10506" max="10506" width="3.6640625" style="1201" customWidth="1"/>
    <col min="10507" max="10507" width="5.44140625" style="1201" bestFit="1" customWidth="1"/>
    <col min="10508" max="10508" width="9.33203125" style="1201" bestFit="1" customWidth="1"/>
    <col min="10509" max="10509" width="7.6640625" style="1201" customWidth="1"/>
    <col min="10510" max="10510" width="9.109375" style="1201" customWidth="1"/>
    <col min="10511" max="10512" width="10.5546875" style="1201" bestFit="1" customWidth="1"/>
    <col min="10513" max="10513" width="5.33203125" style="1201" bestFit="1" customWidth="1"/>
    <col min="10514" max="10515" width="11.33203125" style="1201" bestFit="1" customWidth="1"/>
    <col min="10516" max="10516" width="12.88671875" style="1201" bestFit="1" customWidth="1"/>
    <col min="10517" max="10517" width="10.5546875" style="1201" bestFit="1" customWidth="1"/>
    <col min="10518" max="10521" width="8.88671875" style="1201"/>
    <col min="10522" max="10522" width="15.109375" style="1201" bestFit="1" customWidth="1"/>
    <col min="10523" max="10524" width="11.5546875" style="1201" bestFit="1" customWidth="1"/>
    <col min="10525" max="10758" width="8.88671875" style="1201"/>
    <col min="10759" max="10759" width="7" style="1201" bestFit="1" customWidth="1"/>
    <col min="10760" max="10760" width="20.5546875" style="1201" bestFit="1" customWidth="1"/>
    <col min="10761" max="10761" width="3.44140625" style="1201" customWidth="1"/>
    <col min="10762" max="10762" width="3.6640625" style="1201" customWidth="1"/>
    <col min="10763" max="10763" width="5.44140625" style="1201" bestFit="1" customWidth="1"/>
    <col min="10764" max="10764" width="9.33203125" style="1201" bestFit="1" customWidth="1"/>
    <col min="10765" max="10765" width="7.6640625" style="1201" customWidth="1"/>
    <col min="10766" max="10766" width="9.109375" style="1201" customWidth="1"/>
    <col min="10767" max="10768" width="10.5546875" style="1201" bestFit="1" customWidth="1"/>
    <col min="10769" max="10769" width="5.33203125" style="1201" bestFit="1" customWidth="1"/>
    <col min="10770" max="10771" width="11.33203125" style="1201" bestFit="1" customWidth="1"/>
    <col min="10772" max="10772" width="12.88671875" style="1201" bestFit="1" customWidth="1"/>
    <col min="10773" max="10773" width="10.5546875" style="1201" bestFit="1" customWidth="1"/>
    <col min="10774" max="10777" width="8.88671875" style="1201"/>
    <col min="10778" max="10778" width="15.109375" style="1201" bestFit="1" customWidth="1"/>
    <col min="10779" max="10780" width="11.5546875" style="1201" bestFit="1" customWidth="1"/>
    <col min="10781" max="11014" width="8.88671875" style="1201"/>
    <col min="11015" max="11015" width="7" style="1201" bestFit="1" customWidth="1"/>
    <col min="11016" max="11016" width="20.5546875" style="1201" bestFit="1" customWidth="1"/>
    <col min="11017" max="11017" width="3.44140625" style="1201" customWidth="1"/>
    <col min="11018" max="11018" width="3.6640625" style="1201" customWidth="1"/>
    <col min="11019" max="11019" width="5.44140625" style="1201" bestFit="1" customWidth="1"/>
    <col min="11020" max="11020" width="9.33203125" style="1201" bestFit="1" customWidth="1"/>
    <col min="11021" max="11021" width="7.6640625" style="1201" customWidth="1"/>
    <col min="11022" max="11022" width="9.109375" style="1201" customWidth="1"/>
    <col min="11023" max="11024" width="10.5546875" style="1201" bestFit="1" customWidth="1"/>
    <col min="11025" max="11025" width="5.33203125" style="1201" bestFit="1" customWidth="1"/>
    <col min="11026" max="11027" width="11.33203125" style="1201" bestFit="1" customWidth="1"/>
    <col min="11028" max="11028" width="12.88671875" style="1201" bestFit="1" customWidth="1"/>
    <col min="11029" max="11029" width="10.5546875" style="1201" bestFit="1" customWidth="1"/>
    <col min="11030" max="11033" width="8.88671875" style="1201"/>
    <col min="11034" max="11034" width="15.109375" style="1201" bestFit="1" customWidth="1"/>
    <col min="11035" max="11036" width="11.5546875" style="1201" bestFit="1" customWidth="1"/>
    <col min="11037" max="11270" width="8.88671875" style="1201"/>
    <col min="11271" max="11271" width="7" style="1201" bestFit="1" customWidth="1"/>
    <col min="11272" max="11272" width="20.5546875" style="1201" bestFit="1" customWidth="1"/>
    <col min="11273" max="11273" width="3.44140625" style="1201" customWidth="1"/>
    <col min="11274" max="11274" width="3.6640625" style="1201" customWidth="1"/>
    <col min="11275" max="11275" width="5.44140625" style="1201" bestFit="1" customWidth="1"/>
    <col min="11276" max="11276" width="9.33203125" style="1201" bestFit="1" customWidth="1"/>
    <col min="11277" max="11277" width="7.6640625" style="1201" customWidth="1"/>
    <col min="11278" max="11278" width="9.109375" style="1201" customWidth="1"/>
    <col min="11279" max="11280" width="10.5546875" style="1201" bestFit="1" customWidth="1"/>
    <col min="11281" max="11281" width="5.33203125" style="1201" bestFit="1" customWidth="1"/>
    <col min="11282" max="11283" width="11.33203125" style="1201" bestFit="1" customWidth="1"/>
    <col min="11284" max="11284" width="12.88671875" style="1201" bestFit="1" customWidth="1"/>
    <col min="11285" max="11285" width="10.5546875" style="1201" bestFit="1" customWidth="1"/>
    <col min="11286" max="11289" width="8.88671875" style="1201"/>
    <col min="11290" max="11290" width="15.109375" style="1201" bestFit="1" customWidth="1"/>
    <col min="11291" max="11292" width="11.5546875" style="1201" bestFit="1" customWidth="1"/>
    <col min="11293" max="11526" width="8.88671875" style="1201"/>
    <col min="11527" max="11527" width="7" style="1201" bestFit="1" customWidth="1"/>
    <col min="11528" max="11528" width="20.5546875" style="1201" bestFit="1" customWidth="1"/>
    <col min="11529" max="11529" width="3.44140625" style="1201" customWidth="1"/>
    <col min="11530" max="11530" width="3.6640625" style="1201" customWidth="1"/>
    <col min="11531" max="11531" width="5.44140625" style="1201" bestFit="1" customWidth="1"/>
    <col min="11532" max="11532" width="9.33203125" style="1201" bestFit="1" customWidth="1"/>
    <col min="11533" max="11533" width="7.6640625" style="1201" customWidth="1"/>
    <col min="11534" max="11534" width="9.109375" style="1201" customWidth="1"/>
    <col min="11535" max="11536" width="10.5546875" style="1201" bestFit="1" customWidth="1"/>
    <col min="11537" max="11537" width="5.33203125" style="1201" bestFit="1" customWidth="1"/>
    <col min="11538" max="11539" width="11.33203125" style="1201" bestFit="1" customWidth="1"/>
    <col min="11540" max="11540" width="12.88671875" style="1201" bestFit="1" customWidth="1"/>
    <col min="11541" max="11541" width="10.5546875" style="1201" bestFit="1" customWidth="1"/>
    <col min="11542" max="11545" width="8.88671875" style="1201"/>
    <col min="11546" max="11546" width="15.109375" style="1201" bestFit="1" customWidth="1"/>
    <col min="11547" max="11548" width="11.5546875" style="1201" bestFit="1" customWidth="1"/>
    <col min="11549" max="11782" width="8.88671875" style="1201"/>
    <col min="11783" max="11783" width="7" style="1201" bestFit="1" customWidth="1"/>
    <col min="11784" max="11784" width="20.5546875" style="1201" bestFit="1" customWidth="1"/>
    <col min="11785" max="11785" width="3.44140625" style="1201" customWidth="1"/>
    <col min="11786" max="11786" width="3.6640625" style="1201" customWidth="1"/>
    <col min="11787" max="11787" width="5.44140625" style="1201" bestFit="1" customWidth="1"/>
    <col min="11788" max="11788" width="9.33203125" style="1201" bestFit="1" customWidth="1"/>
    <col min="11789" max="11789" width="7.6640625" style="1201" customWidth="1"/>
    <col min="11790" max="11790" width="9.109375" style="1201" customWidth="1"/>
    <col min="11791" max="11792" width="10.5546875" style="1201" bestFit="1" customWidth="1"/>
    <col min="11793" max="11793" width="5.33203125" style="1201" bestFit="1" customWidth="1"/>
    <col min="11794" max="11795" width="11.33203125" style="1201" bestFit="1" customWidth="1"/>
    <col min="11796" max="11796" width="12.88671875" style="1201" bestFit="1" customWidth="1"/>
    <col min="11797" max="11797" width="10.5546875" style="1201" bestFit="1" customWidth="1"/>
    <col min="11798" max="11801" width="8.88671875" style="1201"/>
    <col min="11802" max="11802" width="15.109375" style="1201" bestFit="1" customWidth="1"/>
    <col min="11803" max="11804" width="11.5546875" style="1201" bestFit="1" customWidth="1"/>
    <col min="11805" max="12038" width="8.88671875" style="1201"/>
    <col min="12039" max="12039" width="7" style="1201" bestFit="1" customWidth="1"/>
    <col min="12040" max="12040" width="20.5546875" style="1201" bestFit="1" customWidth="1"/>
    <col min="12041" max="12041" width="3.44140625" style="1201" customWidth="1"/>
    <col min="12042" max="12042" width="3.6640625" style="1201" customWidth="1"/>
    <col min="12043" max="12043" width="5.44140625" style="1201" bestFit="1" customWidth="1"/>
    <col min="12044" max="12044" width="9.33203125" style="1201" bestFit="1" customWidth="1"/>
    <col min="12045" max="12045" width="7.6640625" style="1201" customWidth="1"/>
    <col min="12046" max="12046" width="9.109375" style="1201" customWidth="1"/>
    <col min="12047" max="12048" width="10.5546875" style="1201" bestFit="1" customWidth="1"/>
    <col min="12049" max="12049" width="5.33203125" style="1201" bestFit="1" customWidth="1"/>
    <col min="12050" max="12051" width="11.33203125" style="1201" bestFit="1" customWidth="1"/>
    <col min="12052" max="12052" width="12.88671875" style="1201" bestFit="1" customWidth="1"/>
    <col min="12053" max="12053" width="10.5546875" style="1201" bestFit="1" customWidth="1"/>
    <col min="12054" max="12057" width="8.88671875" style="1201"/>
    <col min="12058" max="12058" width="15.109375" style="1201" bestFit="1" customWidth="1"/>
    <col min="12059" max="12060" width="11.5546875" style="1201" bestFit="1" customWidth="1"/>
    <col min="12061" max="12294" width="8.88671875" style="1201"/>
    <col min="12295" max="12295" width="7" style="1201" bestFit="1" customWidth="1"/>
    <col min="12296" max="12296" width="20.5546875" style="1201" bestFit="1" customWidth="1"/>
    <col min="12297" max="12297" width="3.44140625" style="1201" customWidth="1"/>
    <col min="12298" max="12298" width="3.6640625" style="1201" customWidth="1"/>
    <col min="12299" max="12299" width="5.44140625" style="1201" bestFit="1" customWidth="1"/>
    <col min="12300" max="12300" width="9.33203125" style="1201" bestFit="1" customWidth="1"/>
    <col min="12301" max="12301" width="7.6640625" style="1201" customWidth="1"/>
    <col min="12302" max="12302" width="9.109375" style="1201" customWidth="1"/>
    <col min="12303" max="12304" width="10.5546875" style="1201" bestFit="1" customWidth="1"/>
    <col min="12305" max="12305" width="5.33203125" style="1201" bestFit="1" customWidth="1"/>
    <col min="12306" max="12307" width="11.33203125" style="1201" bestFit="1" customWidth="1"/>
    <col min="12308" max="12308" width="12.88671875" style="1201" bestFit="1" customWidth="1"/>
    <col min="12309" max="12309" width="10.5546875" style="1201" bestFit="1" customWidth="1"/>
    <col min="12310" max="12313" width="8.88671875" style="1201"/>
    <col min="12314" max="12314" width="15.109375" style="1201" bestFit="1" customWidth="1"/>
    <col min="12315" max="12316" width="11.5546875" style="1201" bestFit="1" customWidth="1"/>
    <col min="12317" max="12550" width="8.88671875" style="1201"/>
    <col min="12551" max="12551" width="7" style="1201" bestFit="1" customWidth="1"/>
    <col min="12552" max="12552" width="20.5546875" style="1201" bestFit="1" customWidth="1"/>
    <col min="12553" max="12553" width="3.44140625" style="1201" customWidth="1"/>
    <col min="12554" max="12554" width="3.6640625" style="1201" customWidth="1"/>
    <col min="12555" max="12555" width="5.44140625" style="1201" bestFit="1" customWidth="1"/>
    <col min="12556" max="12556" width="9.33203125" style="1201" bestFit="1" customWidth="1"/>
    <col min="12557" max="12557" width="7.6640625" style="1201" customWidth="1"/>
    <col min="12558" max="12558" width="9.109375" style="1201" customWidth="1"/>
    <col min="12559" max="12560" width="10.5546875" style="1201" bestFit="1" customWidth="1"/>
    <col min="12561" max="12561" width="5.33203125" style="1201" bestFit="1" customWidth="1"/>
    <col min="12562" max="12563" width="11.33203125" style="1201" bestFit="1" customWidth="1"/>
    <col min="12564" max="12564" width="12.88671875" style="1201" bestFit="1" customWidth="1"/>
    <col min="12565" max="12565" width="10.5546875" style="1201" bestFit="1" customWidth="1"/>
    <col min="12566" max="12569" width="8.88671875" style="1201"/>
    <col min="12570" max="12570" width="15.109375" style="1201" bestFit="1" customWidth="1"/>
    <col min="12571" max="12572" width="11.5546875" style="1201" bestFit="1" customWidth="1"/>
    <col min="12573" max="12806" width="8.88671875" style="1201"/>
    <col min="12807" max="12807" width="7" style="1201" bestFit="1" customWidth="1"/>
    <col min="12808" max="12808" width="20.5546875" style="1201" bestFit="1" customWidth="1"/>
    <col min="12809" max="12809" width="3.44140625" style="1201" customWidth="1"/>
    <col min="12810" max="12810" width="3.6640625" style="1201" customWidth="1"/>
    <col min="12811" max="12811" width="5.44140625" style="1201" bestFit="1" customWidth="1"/>
    <col min="12812" max="12812" width="9.33203125" style="1201" bestFit="1" customWidth="1"/>
    <col min="12813" max="12813" width="7.6640625" style="1201" customWidth="1"/>
    <col min="12814" max="12814" width="9.109375" style="1201" customWidth="1"/>
    <col min="12815" max="12816" width="10.5546875" style="1201" bestFit="1" customWidth="1"/>
    <col min="12817" max="12817" width="5.33203125" style="1201" bestFit="1" customWidth="1"/>
    <col min="12818" max="12819" width="11.33203125" style="1201" bestFit="1" customWidth="1"/>
    <col min="12820" max="12820" width="12.88671875" style="1201" bestFit="1" customWidth="1"/>
    <col min="12821" max="12821" width="10.5546875" style="1201" bestFit="1" customWidth="1"/>
    <col min="12822" max="12825" width="8.88671875" style="1201"/>
    <col min="12826" max="12826" width="15.109375" style="1201" bestFit="1" customWidth="1"/>
    <col min="12827" max="12828" width="11.5546875" style="1201" bestFit="1" customWidth="1"/>
    <col min="12829" max="13062" width="8.88671875" style="1201"/>
    <col min="13063" max="13063" width="7" style="1201" bestFit="1" customWidth="1"/>
    <col min="13064" max="13064" width="20.5546875" style="1201" bestFit="1" customWidth="1"/>
    <col min="13065" max="13065" width="3.44140625" style="1201" customWidth="1"/>
    <col min="13066" max="13066" width="3.6640625" style="1201" customWidth="1"/>
    <col min="13067" max="13067" width="5.44140625" style="1201" bestFit="1" customWidth="1"/>
    <col min="13068" max="13068" width="9.33203125" style="1201" bestFit="1" customWidth="1"/>
    <col min="13069" max="13069" width="7.6640625" style="1201" customWidth="1"/>
    <col min="13070" max="13070" width="9.109375" style="1201" customWidth="1"/>
    <col min="13071" max="13072" width="10.5546875" style="1201" bestFit="1" customWidth="1"/>
    <col min="13073" max="13073" width="5.33203125" style="1201" bestFit="1" customWidth="1"/>
    <col min="13074" max="13075" width="11.33203125" style="1201" bestFit="1" customWidth="1"/>
    <col min="13076" max="13076" width="12.88671875" style="1201" bestFit="1" customWidth="1"/>
    <col min="13077" max="13077" width="10.5546875" style="1201" bestFit="1" customWidth="1"/>
    <col min="13078" max="13081" width="8.88671875" style="1201"/>
    <col min="13082" max="13082" width="15.109375" style="1201" bestFit="1" customWidth="1"/>
    <col min="13083" max="13084" width="11.5546875" style="1201" bestFit="1" customWidth="1"/>
    <col min="13085" max="13318" width="8.88671875" style="1201"/>
    <col min="13319" max="13319" width="7" style="1201" bestFit="1" customWidth="1"/>
    <col min="13320" max="13320" width="20.5546875" style="1201" bestFit="1" customWidth="1"/>
    <col min="13321" max="13321" width="3.44140625" style="1201" customWidth="1"/>
    <col min="13322" max="13322" width="3.6640625" style="1201" customWidth="1"/>
    <col min="13323" max="13323" width="5.44140625" style="1201" bestFit="1" customWidth="1"/>
    <col min="13324" max="13324" width="9.33203125" style="1201" bestFit="1" customWidth="1"/>
    <col min="13325" max="13325" width="7.6640625" style="1201" customWidth="1"/>
    <col min="13326" max="13326" width="9.109375" style="1201" customWidth="1"/>
    <col min="13327" max="13328" width="10.5546875" style="1201" bestFit="1" customWidth="1"/>
    <col min="13329" max="13329" width="5.33203125" style="1201" bestFit="1" customWidth="1"/>
    <col min="13330" max="13331" width="11.33203125" style="1201" bestFit="1" customWidth="1"/>
    <col min="13332" max="13332" width="12.88671875" style="1201" bestFit="1" customWidth="1"/>
    <col min="13333" max="13333" width="10.5546875" style="1201" bestFit="1" customWidth="1"/>
    <col min="13334" max="13337" width="8.88671875" style="1201"/>
    <col min="13338" max="13338" width="15.109375" style="1201" bestFit="1" customWidth="1"/>
    <col min="13339" max="13340" width="11.5546875" style="1201" bestFit="1" customWidth="1"/>
    <col min="13341" max="13574" width="8.88671875" style="1201"/>
    <col min="13575" max="13575" width="7" style="1201" bestFit="1" customWidth="1"/>
    <col min="13576" max="13576" width="20.5546875" style="1201" bestFit="1" customWidth="1"/>
    <col min="13577" max="13577" width="3.44140625" style="1201" customWidth="1"/>
    <col min="13578" max="13578" width="3.6640625" style="1201" customWidth="1"/>
    <col min="13579" max="13579" width="5.44140625" style="1201" bestFit="1" customWidth="1"/>
    <col min="13580" max="13580" width="9.33203125" style="1201" bestFit="1" customWidth="1"/>
    <col min="13581" max="13581" width="7.6640625" style="1201" customWidth="1"/>
    <col min="13582" max="13582" width="9.109375" style="1201" customWidth="1"/>
    <col min="13583" max="13584" width="10.5546875" style="1201" bestFit="1" customWidth="1"/>
    <col min="13585" max="13585" width="5.33203125" style="1201" bestFit="1" customWidth="1"/>
    <col min="13586" max="13587" width="11.33203125" style="1201" bestFit="1" customWidth="1"/>
    <col min="13588" max="13588" width="12.88671875" style="1201" bestFit="1" customWidth="1"/>
    <col min="13589" max="13589" width="10.5546875" style="1201" bestFit="1" customWidth="1"/>
    <col min="13590" max="13593" width="8.88671875" style="1201"/>
    <col min="13594" max="13594" width="15.109375" style="1201" bestFit="1" customWidth="1"/>
    <col min="13595" max="13596" width="11.5546875" style="1201" bestFit="1" customWidth="1"/>
    <col min="13597" max="13830" width="8.88671875" style="1201"/>
    <col min="13831" max="13831" width="7" style="1201" bestFit="1" customWidth="1"/>
    <col min="13832" max="13832" width="20.5546875" style="1201" bestFit="1" customWidth="1"/>
    <col min="13833" max="13833" width="3.44140625" style="1201" customWidth="1"/>
    <col min="13834" max="13834" width="3.6640625" style="1201" customWidth="1"/>
    <col min="13835" max="13835" width="5.44140625" style="1201" bestFit="1" customWidth="1"/>
    <col min="13836" max="13836" width="9.33203125" style="1201" bestFit="1" customWidth="1"/>
    <col min="13837" max="13837" width="7.6640625" style="1201" customWidth="1"/>
    <col min="13838" max="13838" width="9.109375" style="1201" customWidth="1"/>
    <col min="13839" max="13840" width="10.5546875" style="1201" bestFit="1" customWidth="1"/>
    <col min="13841" max="13841" width="5.33203125" style="1201" bestFit="1" customWidth="1"/>
    <col min="13842" max="13843" width="11.33203125" style="1201" bestFit="1" customWidth="1"/>
    <col min="13844" max="13844" width="12.88671875" style="1201" bestFit="1" customWidth="1"/>
    <col min="13845" max="13845" width="10.5546875" style="1201" bestFit="1" customWidth="1"/>
    <col min="13846" max="13849" width="8.88671875" style="1201"/>
    <col min="13850" max="13850" width="15.109375" style="1201" bestFit="1" customWidth="1"/>
    <col min="13851" max="13852" width="11.5546875" style="1201" bestFit="1" customWidth="1"/>
    <col min="13853" max="14086" width="8.88671875" style="1201"/>
    <col min="14087" max="14087" width="7" style="1201" bestFit="1" customWidth="1"/>
    <col min="14088" max="14088" width="20.5546875" style="1201" bestFit="1" customWidth="1"/>
    <col min="14089" max="14089" width="3.44140625" style="1201" customWidth="1"/>
    <col min="14090" max="14090" width="3.6640625" style="1201" customWidth="1"/>
    <col min="14091" max="14091" width="5.44140625" style="1201" bestFit="1" customWidth="1"/>
    <col min="14092" max="14092" width="9.33203125" style="1201" bestFit="1" customWidth="1"/>
    <col min="14093" max="14093" width="7.6640625" style="1201" customWidth="1"/>
    <col min="14094" max="14094" width="9.109375" style="1201" customWidth="1"/>
    <col min="14095" max="14096" width="10.5546875" style="1201" bestFit="1" customWidth="1"/>
    <col min="14097" max="14097" width="5.33203125" style="1201" bestFit="1" customWidth="1"/>
    <col min="14098" max="14099" width="11.33203125" style="1201" bestFit="1" customWidth="1"/>
    <col min="14100" max="14100" width="12.88671875" style="1201" bestFit="1" customWidth="1"/>
    <col min="14101" max="14101" width="10.5546875" style="1201" bestFit="1" customWidth="1"/>
    <col min="14102" max="14105" width="8.88671875" style="1201"/>
    <col min="14106" max="14106" width="15.109375" style="1201" bestFit="1" customWidth="1"/>
    <col min="14107" max="14108" width="11.5546875" style="1201" bestFit="1" customWidth="1"/>
    <col min="14109" max="14342" width="8.88671875" style="1201"/>
    <col min="14343" max="14343" width="7" style="1201" bestFit="1" customWidth="1"/>
    <col min="14344" max="14344" width="20.5546875" style="1201" bestFit="1" customWidth="1"/>
    <col min="14345" max="14345" width="3.44140625" style="1201" customWidth="1"/>
    <col min="14346" max="14346" width="3.6640625" style="1201" customWidth="1"/>
    <col min="14347" max="14347" width="5.44140625" style="1201" bestFit="1" customWidth="1"/>
    <col min="14348" max="14348" width="9.33203125" style="1201" bestFit="1" customWidth="1"/>
    <col min="14349" max="14349" width="7.6640625" style="1201" customWidth="1"/>
    <col min="14350" max="14350" width="9.109375" style="1201" customWidth="1"/>
    <col min="14351" max="14352" width="10.5546875" style="1201" bestFit="1" customWidth="1"/>
    <col min="14353" max="14353" width="5.33203125" style="1201" bestFit="1" customWidth="1"/>
    <col min="14354" max="14355" width="11.33203125" style="1201" bestFit="1" customWidth="1"/>
    <col min="14356" max="14356" width="12.88671875" style="1201" bestFit="1" customWidth="1"/>
    <col min="14357" max="14357" width="10.5546875" style="1201" bestFit="1" customWidth="1"/>
    <col min="14358" max="14361" width="8.88671875" style="1201"/>
    <col min="14362" max="14362" width="15.109375" style="1201" bestFit="1" customWidth="1"/>
    <col min="14363" max="14364" width="11.5546875" style="1201" bestFit="1" customWidth="1"/>
    <col min="14365" max="14598" width="8.88671875" style="1201"/>
    <col min="14599" max="14599" width="7" style="1201" bestFit="1" customWidth="1"/>
    <col min="14600" max="14600" width="20.5546875" style="1201" bestFit="1" customWidth="1"/>
    <col min="14601" max="14601" width="3.44140625" style="1201" customWidth="1"/>
    <col min="14602" max="14602" width="3.6640625" style="1201" customWidth="1"/>
    <col min="14603" max="14603" width="5.44140625" style="1201" bestFit="1" customWidth="1"/>
    <col min="14604" max="14604" width="9.33203125" style="1201" bestFit="1" customWidth="1"/>
    <col min="14605" max="14605" width="7.6640625" style="1201" customWidth="1"/>
    <col min="14606" max="14606" width="9.109375" style="1201" customWidth="1"/>
    <col min="14607" max="14608" width="10.5546875" style="1201" bestFit="1" customWidth="1"/>
    <col min="14609" max="14609" width="5.33203125" style="1201" bestFit="1" customWidth="1"/>
    <col min="14610" max="14611" width="11.33203125" style="1201" bestFit="1" customWidth="1"/>
    <col min="14612" max="14612" width="12.88671875" style="1201" bestFit="1" customWidth="1"/>
    <col min="14613" max="14613" width="10.5546875" style="1201" bestFit="1" customWidth="1"/>
    <col min="14614" max="14617" width="8.88671875" style="1201"/>
    <col min="14618" max="14618" width="15.109375" style="1201" bestFit="1" customWidth="1"/>
    <col min="14619" max="14620" width="11.5546875" style="1201" bestFit="1" customWidth="1"/>
    <col min="14621" max="14854" width="8.88671875" style="1201"/>
    <col min="14855" max="14855" width="7" style="1201" bestFit="1" customWidth="1"/>
    <col min="14856" max="14856" width="20.5546875" style="1201" bestFit="1" customWidth="1"/>
    <col min="14857" max="14857" width="3.44140625" style="1201" customWidth="1"/>
    <col min="14858" max="14858" width="3.6640625" style="1201" customWidth="1"/>
    <col min="14859" max="14859" width="5.44140625" style="1201" bestFit="1" customWidth="1"/>
    <col min="14860" max="14860" width="9.33203125" style="1201" bestFit="1" customWidth="1"/>
    <col min="14861" max="14861" width="7.6640625" style="1201" customWidth="1"/>
    <col min="14862" max="14862" width="9.109375" style="1201" customWidth="1"/>
    <col min="14863" max="14864" width="10.5546875" style="1201" bestFit="1" customWidth="1"/>
    <col min="14865" max="14865" width="5.33203125" style="1201" bestFit="1" customWidth="1"/>
    <col min="14866" max="14867" width="11.33203125" style="1201" bestFit="1" customWidth="1"/>
    <col min="14868" max="14868" width="12.88671875" style="1201" bestFit="1" customWidth="1"/>
    <col min="14869" max="14869" width="10.5546875" style="1201" bestFit="1" customWidth="1"/>
    <col min="14870" max="14873" width="8.88671875" style="1201"/>
    <col min="14874" max="14874" width="15.109375" style="1201" bestFit="1" customWidth="1"/>
    <col min="14875" max="14876" width="11.5546875" style="1201" bestFit="1" customWidth="1"/>
    <col min="14877" max="15110" width="8.88671875" style="1201"/>
    <col min="15111" max="15111" width="7" style="1201" bestFit="1" customWidth="1"/>
    <col min="15112" max="15112" width="20.5546875" style="1201" bestFit="1" customWidth="1"/>
    <col min="15113" max="15113" width="3.44140625" style="1201" customWidth="1"/>
    <col min="15114" max="15114" width="3.6640625" style="1201" customWidth="1"/>
    <col min="15115" max="15115" width="5.44140625" style="1201" bestFit="1" customWidth="1"/>
    <col min="15116" max="15116" width="9.33203125" style="1201" bestFit="1" customWidth="1"/>
    <col min="15117" max="15117" width="7.6640625" style="1201" customWidth="1"/>
    <col min="15118" max="15118" width="9.109375" style="1201" customWidth="1"/>
    <col min="15119" max="15120" width="10.5546875" style="1201" bestFit="1" customWidth="1"/>
    <col min="15121" max="15121" width="5.33203125" style="1201" bestFit="1" customWidth="1"/>
    <col min="15122" max="15123" width="11.33203125" style="1201" bestFit="1" customWidth="1"/>
    <col min="15124" max="15124" width="12.88671875" style="1201" bestFit="1" customWidth="1"/>
    <col min="15125" max="15125" width="10.5546875" style="1201" bestFit="1" customWidth="1"/>
    <col min="15126" max="15129" width="8.88671875" style="1201"/>
    <col min="15130" max="15130" width="15.109375" style="1201" bestFit="1" customWidth="1"/>
    <col min="15131" max="15132" width="11.5546875" style="1201" bestFit="1" customWidth="1"/>
    <col min="15133" max="15366" width="8.88671875" style="1201"/>
    <col min="15367" max="15367" width="7" style="1201" bestFit="1" customWidth="1"/>
    <col min="15368" max="15368" width="20.5546875" style="1201" bestFit="1" customWidth="1"/>
    <col min="15369" max="15369" width="3.44140625" style="1201" customWidth="1"/>
    <col min="15370" max="15370" width="3.6640625" style="1201" customWidth="1"/>
    <col min="15371" max="15371" width="5.44140625" style="1201" bestFit="1" customWidth="1"/>
    <col min="15372" max="15372" width="9.33203125" style="1201" bestFit="1" customWidth="1"/>
    <col min="15373" max="15373" width="7.6640625" style="1201" customWidth="1"/>
    <col min="15374" max="15374" width="9.109375" style="1201" customWidth="1"/>
    <col min="15375" max="15376" width="10.5546875" style="1201" bestFit="1" customWidth="1"/>
    <col min="15377" max="15377" width="5.33203125" style="1201" bestFit="1" customWidth="1"/>
    <col min="15378" max="15379" width="11.33203125" style="1201" bestFit="1" customWidth="1"/>
    <col min="15380" max="15380" width="12.88671875" style="1201" bestFit="1" customWidth="1"/>
    <col min="15381" max="15381" width="10.5546875" style="1201" bestFit="1" customWidth="1"/>
    <col min="15382" max="15385" width="8.88671875" style="1201"/>
    <col min="15386" max="15386" width="15.109375" style="1201" bestFit="1" customWidth="1"/>
    <col min="15387" max="15388" width="11.5546875" style="1201" bestFit="1" customWidth="1"/>
    <col min="15389" max="15622" width="8.88671875" style="1201"/>
    <col min="15623" max="15623" width="7" style="1201" bestFit="1" customWidth="1"/>
    <col min="15624" max="15624" width="20.5546875" style="1201" bestFit="1" customWidth="1"/>
    <col min="15625" max="15625" width="3.44140625" style="1201" customWidth="1"/>
    <col min="15626" max="15626" width="3.6640625" style="1201" customWidth="1"/>
    <col min="15627" max="15627" width="5.44140625" style="1201" bestFit="1" customWidth="1"/>
    <col min="15628" max="15628" width="9.33203125" style="1201" bestFit="1" customWidth="1"/>
    <col min="15629" max="15629" width="7.6640625" style="1201" customWidth="1"/>
    <col min="15630" max="15630" width="9.109375" style="1201" customWidth="1"/>
    <col min="15631" max="15632" width="10.5546875" style="1201" bestFit="1" customWidth="1"/>
    <col min="15633" max="15633" width="5.33203125" style="1201" bestFit="1" customWidth="1"/>
    <col min="15634" max="15635" width="11.33203125" style="1201" bestFit="1" customWidth="1"/>
    <col min="15636" max="15636" width="12.88671875" style="1201" bestFit="1" customWidth="1"/>
    <col min="15637" max="15637" width="10.5546875" style="1201" bestFit="1" customWidth="1"/>
    <col min="15638" max="15641" width="8.88671875" style="1201"/>
    <col min="15642" max="15642" width="15.109375" style="1201" bestFit="1" customWidth="1"/>
    <col min="15643" max="15644" width="11.5546875" style="1201" bestFit="1" customWidth="1"/>
    <col min="15645" max="15878" width="8.88671875" style="1201"/>
    <col min="15879" max="15879" width="7" style="1201" bestFit="1" customWidth="1"/>
    <col min="15880" max="15880" width="20.5546875" style="1201" bestFit="1" customWidth="1"/>
    <col min="15881" max="15881" width="3.44140625" style="1201" customWidth="1"/>
    <col min="15882" max="15882" width="3.6640625" style="1201" customWidth="1"/>
    <col min="15883" max="15883" width="5.44140625" style="1201" bestFit="1" customWidth="1"/>
    <col min="15884" max="15884" width="9.33203125" style="1201" bestFit="1" customWidth="1"/>
    <col min="15885" max="15885" width="7.6640625" style="1201" customWidth="1"/>
    <col min="15886" max="15886" width="9.109375" style="1201" customWidth="1"/>
    <col min="15887" max="15888" width="10.5546875" style="1201" bestFit="1" customWidth="1"/>
    <col min="15889" max="15889" width="5.33203125" style="1201" bestFit="1" customWidth="1"/>
    <col min="15890" max="15891" width="11.33203125" style="1201" bestFit="1" customWidth="1"/>
    <col min="15892" max="15892" width="12.88671875" style="1201" bestFit="1" customWidth="1"/>
    <col min="15893" max="15893" width="10.5546875" style="1201" bestFit="1" customWidth="1"/>
    <col min="15894" max="15897" width="8.88671875" style="1201"/>
    <col min="15898" max="15898" width="15.109375" style="1201" bestFit="1" customWidth="1"/>
    <col min="15899" max="15900" width="11.5546875" style="1201" bestFit="1" customWidth="1"/>
    <col min="15901" max="16134" width="8.88671875" style="1201"/>
    <col min="16135" max="16135" width="7" style="1201" bestFit="1" customWidth="1"/>
    <col min="16136" max="16136" width="20.5546875" style="1201" bestFit="1" customWidth="1"/>
    <col min="16137" max="16137" width="3.44140625" style="1201" customWidth="1"/>
    <col min="16138" max="16138" width="3.6640625" style="1201" customWidth="1"/>
    <col min="16139" max="16139" width="5.44140625" style="1201" bestFit="1" customWidth="1"/>
    <col min="16140" max="16140" width="9.33203125" style="1201" bestFit="1" customWidth="1"/>
    <col min="16141" max="16141" width="7.6640625" style="1201" customWidth="1"/>
    <col min="16142" max="16142" width="9.109375" style="1201" customWidth="1"/>
    <col min="16143" max="16144" width="10.5546875" style="1201" bestFit="1" customWidth="1"/>
    <col min="16145" max="16145" width="5.33203125" style="1201" bestFit="1" customWidth="1"/>
    <col min="16146" max="16147" width="11.33203125" style="1201" bestFit="1" customWidth="1"/>
    <col min="16148" max="16148" width="12.88671875" style="1201" bestFit="1" customWidth="1"/>
    <col min="16149" max="16149" width="10.5546875" style="1201" bestFit="1" customWidth="1"/>
    <col min="16150" max="16153" width="8.88671875" style="1201"/>
    <col min="16154" max="16154" width="15.109375" style="1201" bestFit="1" customWidth="1"/>
    <col min="16155" max="16156" width="11.5546875" style="1201" bestFit="1" customWidth="1"/>
    <col min="16157" max="16384" width="8.88671875" style="1201"/>
  </cols>
  <sheetData>
    <row r="1" spans="1:22" ht="14.4" thickBot="1" x14ac:dyDescent="0.3">
      <c r="A1" s="1192" t="s">
        <v>683</v>
      </c>
      <c r="B1" s="1193" t="s">
        <v>684</v>
      </c>
      <c r="C1" s="2958" t="s">
        <v>685</v>
      </c>
      <c r="D1" s="2958"/>
      <c r="E1" s="2958"/>
      <c r="F1" s="1194" t="s">
        <v>686</v>
      </c>
      <c r="G1" s="1194" t="s">
        <v>687</v>
      </c>
      <c r="H1" s="1194" t="s">
        <v>688</v>
      </c>
      <c r="I1" s="1195" t="s">
        <v>689</v>
      </c>
      <c r="J1" s="1195" t="s">
        <v>690</v>
      </c>
      <c r="K1" s="1196"/>
      <c r="L1" s="1196"/>
      <c r="M1" s="1197"/>
      <c r="N1" s="1198"/>
      <c r="O1" s="1199" t="s">
        <v>691</v>
      </c>
      <c r="P1" s="1200"/>
      <c r="Q1" s="1200"/>
    </row>
    <row r="2" spans="1:22" ht="14.4" thickBot="1" x14ac:dyDescent="0.3">
      <c r="A2" s="1202"/>
      <c r="B2" s="1212"/>
      <c r="C2" s="1212"/>
      <c r="D2" s="1212"/>
      <c r="E2" s="1212"/>
      <c r="F2" s="1208"/>
      <c r="G2" s="1204"/>
      <c r="H2" s="1204"/>
      <c r="I2" s="1205"/>
      <c r="J2" s="1205"/>
      <c r="K2" s="1196">
        <v>1.05</v>
      </c>
      <c r="L2" s="1196"/>
      <c r="M2" s="1197"/>
      <c r="N2" s="1206"/>
      <c r="O2" s="1203"/>
      <c r="P2" s="1200"/>
      <c r="Q2" s="1200"/>
    </row>
    <row r="3" spans="1:22" ht="15" thickTop="1" thickBot="1" x14ac:dyDescent="0.3">
      <c r="A3" s="1207"/>
      <c r="B3" s="1212" t="s">
        <v>3277</v>
      </c>
      <c r="C3" s="1212"/>
      <c r="D3" s="1212"/>
      <c r="E3" s="1212"/>
      <c r="F3" s="1208"/>
      <c r="G3" s="1208"/>
      <c r="H3" s="1208"/>
      <c r="I3" s="1209"/>
      <c r="J3" s="1209"/>
      <c r="K3" s="1210">
        <f>$K$2</f>
        <v>1.05</v>
      </c>
      <c r="L3" s="1210">
        <f t="shared" ref="L3" si="0">K3*J3</f>
        <v>0</v>
      </c>
      <c r="M3" s="1197">
        <f t="shared" ref="M3" si="1">ROUND(L3,1)</f>
        <v>0</v>
      </c>
      <c r="N3" s="1211">
        <f t="shared" ref="N3" si="2">ROUNDUP(M3,0)</f>
        <v>0</v>
      </c>
      <c r="O3" s="1212"/>
      <c r="P3" s="1200">
        <v>1.1000000000000001</v>
      </c>
      <c r="Q3" s="1200"/>
    </row>
    <row r="4" spans="1:22" ht="15" thickTop="1" thickBot="1" x14ac:dyDescent="0.3">
      <c r="A4" s="1207"/>
      <c r="B4" s="1212" t="s">
        <v>1834</v>
      </c>
      <c r="C4" s="1212"/>
      <c r="D4" s="1212"/>
      <c r="E4" s="1212"/>
      <c r="F4" s="1208">
        <v>61.4</v>
      </c>
      <c r="G4" s="1208"/>
      <c r="H4" s="1208">
        <v>3.3</v>
      </c>
      <c r="I4" s="1209">
        <f>H4*F4</f>
        <v>202.61999999999998</v>
      </c>
      <c r="J4" s="1209"/>
      <c r="K4" s="1210">
        <f t="shared" ref="K4" si="3">$K$2</f>
        <v>1.05</v>
      </c>
      <c r="L4" s="1210">
        <f t="shared" ref="L4" si="4">K4*J4</f>
        <v>0</v>
      </c>
      <c r="M4" s="1197">
        <f t="shared" ref="M4" si="5">ROUND(L4,1)</f>
        <v>0</v>
      </c>
      <c r="N4" s="1211">
        <f t="shared" ref="N4" si="6">ROUNDUP(M4,0)</f>
        <v>0</v>
      </c>
      <c r="O4" s="1212"/>
      <c r="P4" s="1200"/>
      <c r="Q4" s="1200"/>
    </row>
    <row r="5" spans="1:22" ht="15" thickTop="1" thickBot="1" x14ac:dyDescent="0.3">
      <c r="A5" s="1207"/>
      <c r="B5" s="1212"/>
      <c r="C5" s="1212"/>
      <c r="D5" s="1212"/>
      <c r="E5" s="1212"/>
      <c r="F5" s="1208">
        <v>8.1780000000000008</v>
      </c>
      <c r="G5" s="1208"/>
      <c r="H5" s="1208">
        <v>3.3</v>
      </c>
      <c r="I5" s="1209">
        <f>H5*F5</f>
        <v>26.987400000000001</v>
      </c>
      <c r="J5" s="1209"/>
      <c r="K5" s="1210">
        <f>$K$2</f>
        <v>1.05</v>
      </c>
      <c r="L5" s="1210">
        <f>K5*J5</f>
        <v>0</v>
      </c>
      <c r="M5" s="1197">
        <f>ROUND(L5,1)</f>
        <v>0</v>
      </c>
      <c r="N5" s="1211">
        <f>ROUNDUP(M5,0)</f>
        <v>0</v>
      </c>
      <c r="O5" s="1212"/>
      <c r="P5" s="1200"/>
      <c r="Q5" s="1200"/>
      <c r="R5" s="1213"/>
      <c r="S5" s="1213"/>
      <c r="T5" s="1213"/>
      <c r="U5" s="1213"/>
      <c r="V5" s="1213"/>
    </row>
    <row r="6" spans="1:22" ht="15" thickTop="1" thickBot="1" x14ac:dyDescent="0.3">
      <c r="A6" s="1207"/>
      <c r="B6" s="1212"/>
      <c r="C6" s="1212"/>
      <c r="D6" s="1212"/>
      <c r="E6" s="1212"/>
      <c r="F6" s="1208">
        <v>6.2930000000000001</v>
      </c>
      <c r="G6" s="1208"/>
      <c r="H6" s="1208">
        <v>3.3</v>
      </c>
      <c r="I6" s="1209">
        <f t="shared" ref="I6:I11" si="7">H6*F6</f>
        <v>20.7669</v>
      </c>
      <c r="J6" s="1209"/>
      <c r="K6" s="1210">
        <f t="shared" ref="K6:K82" si="8">$K$2</f>
        <v>1.05</v>
      </c>
      <c r="L6" s="1210">
        <f t="shared" ref="L6:L52" si="9">K6*J6</f>
        <v>0</v>
      </c>
      <c r="M6" s="1197">
        <f t="shared" ref="M6:M52" si="10">ROUND(L6,1)</f>
        <v>0</v>
      </c>
      <c r="N6" s="1211">
        <f t="shared" ref="N6:N52" si="11">ROUNDUP(M6,0)</f>
        <v>0</v>
      </c>
      <c r="O6" s="1212"/>
      <c r="P6" s="1200"/>
      <c r="Q6" s="1200"/>
      <c r="R6" s="1213"/>
      <c r="S6" s="1213"/>
      <c r="T6" s="1213"/>
      <c r="U6" s="1213"/>
      <c r="V6" s="1213"/>
    </row>
    <row r="7" spans="1:22" ht="15" thickTop="1" thickBot="1" x14ac:dyDescent="0.3">
      <c r="A7" s="1207"/>
      <c r="B7" s="1212"/>
      <c r="C7" s="1212"/>
      <c r="D7" s="1212"/>
      <c r="E7" s="1212"/>
      <c r="F7" s="1208">
        <v>3.2250000000000001</v>
      </c>
      <c r="G7" s="1208"/>
      <c r="H7" s="1208">
        <v>3.3</v>
      </c>
      <c r="I7" s="1209">
        <f t="shared" si="7"/>
        <v>10.6425</v>
      </c>
      <c r="J7" s="1209"/>
      <c r="K7" s="1210">
        <f t="shared" si="8"/>
        <v>1.05</v>
      </c>
      <c r="L7" s="1210">
        <f t="shared" si="9"/>
        <v>0</v>
      </c>
      <c r="M7" s="1197">
        <f t="shared" si="10"/>
        <v>0</v>
      </c>
      <c r="N7" s="1211">
        <f t="shared" si="11"/>
        <v>0</v>
      </c>
      <c r="O7" s="1212"/>
      <c r="P7" s="1200"/>
      <c r="Q7" s="1200"/>
      <c r="R7" s="1213"/>
      <c r="S7" s="1213"/>
      <c r="T7" s="1213"/>
      <c r="U7" s="1213"/>
      <c r="V7" s="1213"/>
    </row>
    <row r="8" spans="1:22" ht="15" thickTop="1" thickBot="1" x14ac:dyDescent="0.3">
      <c r="A8" s="1207"/>
      <c r="B8" s="1212"/>
      <c r="C8" s="1212"/>
      <c r="D8" s="1212"/>
      <c r="E8" s="1212"/>
      <c r="F8" s="1208">
        <v>3.75</v>
      </c>
      <c r="G8" s="1208"/>
      <c r="H8" s="1208">
        <v>3.3</v>
      </c>
      <c r="I8" s="1209">
        <f t="shared" si="7"/>
        <v>12.375</v>
      </c>
      <c r="J8" s="1209"/>
      <c r="K8" s="1210">
        <f t="shared" si="8"/>
        <v>1.05</v>
      </c>
      <c r="L8" s="1210">
        <f t="shared" si="9"/>
        <v>0</v>
      </c>
      <c r="M8" s="1197">
        <f t="shared" si="10"/>
        <v>0</v>
      </c>
      <c r="N8" s="1211">
        <f t="shared" si="11"/>
        <v>0</v>
      </c>
      <c r="O8" s="1212"/>
      <c r="P8" s="1200"/>
      <c r="Q8" s="1200"/>
      <c r="R8" s="1213"/>
      <c r="S8" s="1213"/>
      <c r="T8" s="1213"/>
      <c r="U8" s="1213"/>
      <c r="V8" s="1213"/>
    </row>
    <row r="9" spans="1:22" ht="15" thickTop="1" thickBot="1" x14ac:dyDescent="0.3">
      <c r="A9" s="1207"/>
      <c r="B9" s="1212"/>
      <c r="C9" s="1212"/>
      <c r="D9" s="1212"/>
      <c r="E9" s="1212"/>
      <c r="F9" s="1208">
        <v>3.6</v>
      </c>
      <c r="G9" s="1208"/>
      <c r="H9" s="1208">
        <v>3.3</v>
      </c>
      <c r="I9" s="1209">
        <f t="shared" si="7"/>
        <v>11.879999999999999</v>
      </c>
      <c r="J9" s="1209"/>
      <c r="K9" s="1210">
        <f t="shared" si="8"/>
        <v>1.05</v>
      </c>
      <c r="L9" s="1210">
        <f t="shared" si="9"/>
        <v>0</v>
      </c>
      <c r="M9" s="1197">
        <f t="shared" si="10"/>
        <v>0</v>
      </c>
      <c r="N9" s="1211">
        <f t="shared" si="11"/>
        <v>0</v>
      </c>
      <c r="O9" s="1212"/>
      <c r="P9" s="1200"/>
      <c r="Q9" s="1200"/>
      <c r="R9" s="1213"/>
      <c r="S9" s="1213"/>
      <c r="T9" s="1213"/>
      <c r="U9" s="1213"/>
      <c r="V9" s="1213"/>
    </row>
    <row r="10" spans="1:22" ht="15" thickTop="1" thickBot="1" x14ac:dyDescent="0.3">
      <c r="A10" s="1207"/>
      <c r="B10" s="1212"/>
      <c r="C10" s="1212"/>
      <c r="D10" s="1212"/>
      <c r="E10" s="1212"/>
      <c r="F10" s="1208">
        <v>3.6</v>
      </c>
      <c r="G10" s="1208"/>
      <c r="H10" s="1208">
        <v>3.3</v>
      </c>
      <c r="I10" s="1209">
        <f t="shared" si="7"/>
        <v>11.879999999999999</v>
      </c>
      <c r="J10" s="1209"/>
      <c r="K10" s="1210">
        <f t="shared" si="8"/>
        <v>1.05</v>
      </c>
      <c r="L10" s="1210">
        <f t="shared" si="9"/>
        <v>0</v>
      </c>
      <c r="M10" s="1197">
        <f t="shared" si="10"/>
        <v>0</v>
      </c>
      <c r="N10" s="1211">
        <f t="shared" si="11"/>
        <v>0</v>
      </c>
      <c r="O10" s="1212"/>
      <c r="P10" s="1200"/>
      <c r="Q10" s="1200"/>
      <c r="R10" s="1213"/>
      <c r="S10" s="1213"/>
      <c r="T10" s="1213"/>
      <c r="U10" s="1213"/>
      <c r="V10" s="1213"/>
    </row>
    <row r="11" spans="1:22" ht="15" thickTop="1" thickBot="1" x14ac:dyDescent="0.3">
      <c r="A11" s="1207"/>
      <c r="B11" s="1212"/>
      <c r="C11" s="1212"/>
      <c r="D11" s="1212"/>
      <c r="E11" s="1212"/>
      <c r="F11" s="1208">
        <v>3.3</v>
      </c>
      <c r="G11" s="1208"/>
      <c r="H11" s="1208">
        <v>3.3</v>
      </c>
      <c r="I11" s="1209">
        <f t="shared" si="7"/>
        <v>10.889999999999999</v>
      </c>
      <c r="J11" s="1209"/>
      <c r="K11" s="1210">
        <f t="shared" si="8"/>
        <v>1.05</v>
      </c>
      <c r="L11" s="1210">
        <f t="shared" si="9"/>
        <v>0</v>
      </c>
      <c r="M11" s="1197">
        <f t="shared" si="10"/>
        <v>0</v>
      </c>
      <c r="N11" s="1211">
        <f t="shared" si="11"/>
        <v>0</v>
      </c>
      <c r="O11" s="1212"/>
      <c r="P11" s="1200"/>
      <c r="Q11" s="1200"/>
      <c r="R11" s="1213"/>
      <c r="S11" s="1213"/>
      <c r="T11" s="1213"/>
      <c r="U11" s="1213"/>
      <c r="V11" s="1213"/>
    </row>
    <row r="12" spans="1:22" ht="15" thickTop="1" thickBot="1" x14ac:dyDescent="0.3">
      <c r="A12" s="1207"/>
      <c r="B12" s="1212" t="s">
        <v>846</v>
      </c>
      <c r="C12" s="1212"/>
      <c r="D12" s="1212"/>
      <c r="E12" s="1212"/>
      <c r="F12" s="1208"/>
      <c r="G12" s="1208"/>
      <c r="H12" s="1208"/>
      <c r="I12" s="1209"/>
      <c r="J12" s="1209"/>
      <c r="K12" s="1210">
        <f t="shared" si="8"/>
        <v>1.05</v>
      </c>
      <c r="L12" s="1210">
        <f t="shared" si="9"/>
        <v>0</v>
      </c>
      <c r="M12" s="1197">
        <f t="shared" si="10"/>
        <v>0</v>
      </c>
      <c r="N12" s="1211">
        <f t="shared" si="11"/>
        <v>0</v>
      </c>
      <c r="O12" s="1212"/>
      <c r="P12" s="1200"/>
      <c r="Q12" s="1200"/>
      <c r="R12" s="1213"/>
      <c r="S12" s="1213"/>
      <c r="T12" s="1213"/>
      <c r="U12" s="1213"/>
      <c r="V12" s="1213"/>
    </row>
    <row r="13" spans="1:22" ht="15" thickTop="1" thickBot="1" x14ac:dyDescent="0.3">
      <c r="A13" s="1207"/>
      <c r="B13" s="1212" t="s">
        <v>837</v>
      </c>
      <c r="C13" s="1212"/>
      <c r="D13" s="1212"/>
      <c r="E13" s="1212">
        <v>1</v>
      </c>
      <c r="F13" s="1208">
        <v>2.2000000000000002</v>
      </c>
      <c r="G13" s="1208"/>
      <c r="H13" s="1208">
        <v>2.7</v>
      </c>
      <c r="I13" s="1209">
        <f>-H13*F13*E13</f>
        <v>-5.9400000000000013</v>
      </c>
      <c r="J13" s="1209"/>
      <c r="K13" s="1210">
        <f t="shared" si="8"/>
        <v>1.05</v>
      </c>
      <c r="L13" s="1210">
        <f t="shared" si="9"/>
        <v>0</v>
      </c>
      <c r="M13" s="1197">
        <f t="shared" si="10"/>
        <v>0</v>
      </c>
      <c r="N13" s="1211">
        <f t="shared" si="11"/>
        <v>0</v>
      </c>
      <c r="O13" s="1212"/>
      <c r="P13" s="1200"/>
      <c r="Q13" s="1200"/>
      <c r="R13" s="1213">
        <f>14*300</f>
        <v>4200</v>
      </c>
      <c r="S13" s="1213"/>
      <c r="T13" s="1213"/>
      <c r="U13" s="1213"/>
      <c r="V13" s="1213"/>
    </row>
    <row r="14" spans="1:22" ht="15" thickTop="1" thickBot="1" x14ac:dyDescent="0.3">
      <c r="A14" s="1207"/>
      <c r="B14" s="1212" t="s">
        <v>769</v>
      </c>
      <c r="C14" s="1212"/>
      <c r="D14" s="1212"/>
      <c r="E14" s="1212">
        <v>2</v>
      </c>
      <c r="F14" s="1208">
        <v>1.5</v>
      </c>
      <c r="G14" s="1208"/>
      <c r="H14" s="1208">
        <v>1.5</v>
      </c>
      <c r="I14" s="1209">
        <f t="shared" ref="I14:I27" si="12">-H14*F14*E14</f>
        <v>-4.5</v>
      </c>
      <c r="J14" s="1209"/>
      <c r="K14" s="1210">
        <f t="shared" si="8"/>
        <v>1.05</v>
      </c>
      <c r="L14" s="1210">
        <f t="shared" si="9"/>
        <v>0</v>
      </c>
      <c r="M14" s="1197">
        <f t="shared" si="10"/>
        <v>0</v>
      </c>
      <c r="N14" s="1211">
        <f t="shared" si="11"/>
        <v>0</v>
      </c>
      <c r="O14" s="1212"/>
      <c r="P14" s="1200"/>
      <c r="Q14" s="1200"/>
      <c r="R14" s="1213"/>
      <c r="S14" s="1213"/>
      <c r="T14" s="1213"/>
      <c r="U14" s="1213"/>
      <c r="V14" s="1213"/>
    </row>
    <row r="15" spans="1:22" ht="15" thickTop="1" thickBot="1" x14ac:dyDescent="0.3">
      <c r="A15" s="1207"/>
      <c r="B15" s="1212" t="s">
        <v>766</v>
      </c>
      <c r="C15" s="1212"/>
      <c r="D15" s="1212"/>
      <c r="E15" s="1212">
        <v>1</v>
      </c>
      <c r="F15" s="1208">
        <v>1.65</v>
      </c>
      <c r="G15" s="1208"/>
      <c r="H15" s="1208">
        <v>1.8</v>
      </c>
      <c r="I15" s="1209">
        <f t="shared" si="12"/>
        <v>-2.9699999999999998</v>
      </c>
      <c r="J15" s="1209"/>
      <c r="K15" s="1210">
        <f t="shared" si="8"/>
        <v>1.05</v>
      </c>
      <c r="L15" s="1210">
        <f t="shared" si="9"/>
        <v>0</v>
      </c>
      <c r="M15" s="1197">
        <f t="shared" si="10"/>
        <v>0</v>
      </c>
      <c r="N15" s="1211">
        <f t="shared" si="11"/>
        <v>0</v>
      </c>
      <c r="O15" s="1212"/>
      <c r="P15" s="1200"/>
      <c r="Q15" s="1200"/>
      <c r="R15" s="1213"/>
      <c r="S15" s="1213"/>
      <c r="T15" s="1213"/>
      <c r="U15" s="1213"/>
      <c r="V15" s="1213"/>
    </row>
    <row r="16" spans="1:22" ht="15" thickTop="1" thickBot="1" x14ac:dyDescent="0.3">
      <c r="A16" s="1207"/>
      <c r="B16" s="1212" t="s">
        <v>770</v>
      </c>
      <c r="C16" s="1212"/>
      <c r="D16" s="1212"/>
      <c r="E16" s="1212">
        <v>1</v>
      </c>
      <c r="F16" s="1208">
        <v>0.9</v>
      </c>
      <c r="G16" s="1208"/>
      <c r="H16" s="1208">
        <v>2.7</v>
      </c>
      <c r="I16" s="1209">
        <f t="shared" si="12"/>
        <v>-2.4300000000000002</v>
      </c>
      <c r="J16" s="1209"/>
      <c r="K16" s="1210">
        <f t="shared" si="8"/>
        <v>1.05</v>
      </c>
      <c r="L16" s="1210">
        <f t="shared" si="9"/>
        <v>0</v>
      </c>
      <c r="M16" s="1197">
        <f t="shared" si="10"/>
        <v>0</v>
      </c>
      <c r="N16" s="1211">
        <f t="shared" si="11"/>
        <v>0</v>
      </c>
      <c r="O16" s="1212"/>
      <c r="P16" s="1200"/>
      <c r="Q16" s="1200"/>
      <c r="R16" s="1213"/>
      <c r="S16" s="1213"/>
      <c r="T16" s="1213"/>
      <c r="U16" s="1213"/>
      <c r="V16" s="1213"/>
    </row>
    <row r="17" spans="1:22" ht="15" thickTop="1" thickBot="1" x14ac:dyDescent="0.3">
      <c r="A17" s="1207"/>
      <c r="B17" s="1212" t="s">
        <v>792</v>
      </c>
      <c r="C17" s="1212"/>
      <c r="D17" s="1212"/>
      <c r="E17" s="1212">
        <v>2</v>
      </c>
      <c r="F17" s="1208">
        <v>0.8</v>
      </c>
      <c r="G17" s="1208"/>
      <c r="H17" s="1208">
        <v>2.4</v>
      </c>
      <c r="I17" s="1209">
        <f t="shared" si="12"/>
        <v>-3.84</v>
      </c>
      <c r="J17" s="1209"/>
      <c r="K17" s="1210">
        <f t="shared" si="8"/>
        <v>1.05</v>
      </c>
      <c r="L17" s="1210">
        <f t="shared" si="9"/>
        <v>0</v>
      </c>
      <c r="M17" s="1197">
        <f t="shared" si="10"/>
        <v>0</v>
      </c>
      <c r="N17" s="1211">
        <f t="shared" si="11"/>
        <v>0</v>
      </c>
      <c r="O17" s="1212"/>
      <c r="P17" s="1200"/>
      <c r="Q17" s="1200"/>
      <c r="R17" s="1213"/>
      <c r="S17" s="1213"/>
      <c r="T17" s="1213"/>
      <c r="U17" s="1213"/>
      <c r="V17" s="1213"/>
    </row>
    <row r="18" spans="1:22" ht="15" thickTop="1" thickBot="1" x14ac:dyDescent="0.3">
      <c r="A18" s="1207"/>
      <c r="B18" s="1212" t="s">
        <v>773</v>
      </c>
      <c r="C18" s="1212"/>
      <c r="D18" s="1212"/>
      <c r="E18" s="1212">
        <v>1</v>
      </c>
      <c r="F18" s="1208">
        <v>1</v>
      </c>
      <c r="G18" s="1208"/>
      <c r="H18" s="1208">
        <v>2.7</v>
      </c>
      <c r="I18" s="1209">
        <f t="shared" si="12"/>
        <v>-2.7</v>
      </c>
      <c r="J18" s="1209"/>
      <c r="K18" s="1210"/>
      <c r="L18" s="1210"/>
      <c r="M18" s="1197"/>
      <c r="N18" s="1211"/>
      <c r="O18" s="1212"/>
      <c r="P18" s="1200"/>
      <c r="Q18" s="1200"/>
      <c r="R18" s="1213"/>
      <c r="S18" s="1213"/>
      <c r="T18" s="1213"/>
      <c r="U18" s="1213"/>
      <c r="V18" s="1213"/>
    </row>
    <row r="19" spans="1:22" ht="15" thickTop="1" thickBot="1" x14ac:dyDescent="0.3">
      <c r="A19" s="1207"/>
      <c r="B19" s="1212" t="s">
        <v>770</v>
      </c>
      <c r="C19" s="1212"/>
      <c r="D19" s="1212"/>
      <c r="E19" s="1212">
        <v>1</v>
      </c>
      <c r="F19" s="1208">
        <v>0.9</v>
      </c>
      <c r="G19" s="1208"/>
      <c r="H19" s="1208">
        <v>2.7</v>
      </c>
      <c r="I19" s="1209">
        <f t="shared" si="12"/>
        <v>-2.4300000000000002</v>
      </c>
      <c r="J19" s="1209"/>
      <c r="K19" s="1210">
        <f t="shared" si="8"/>
        <v>1.05</v>
      </c>
      <c r="L19" s="1210">
        <f t="shared" si="9"/>
        <v>0</v>
      </c>
      <c r="M19" s="1197">
        <f t="shared" si="10"/>
        <v>0</v>
      </c>
      <c r="N19" s="1211">
        <f t="shared" si="11"/>
        <v>0</v>
      </c>
      <c r="O19" s="1212"/>
      <c r="P19" s="1200"/>
      <c r="Q19" s="1200"/>
      <c r="R19" s="1213"/>
      <c r="S19" s="1213"/>
      <c r="T19" s="1213"/>
      <c r="U19" s="1213"/>
      <c r="V19" s="1213"/>
    </row>
    <row r="20" spans="1:22" ht="15" thickTop="1" thickBot="1" x14ac:dyDescent="0.3">
      <c r="A20" s="1207"/>
      <c r="B20" s="1212" t="s">
        <v>766</v>
      </c>
      <c r="C20" s="1212"/>
      <c r="D20" s="1212"/>
      <c r="E20" s="1212">
        <v>1</v>
      </c>
      <c r="F20" s="1208">
        <v>1.65</v>
      </c>
      <c r="G20" s="1208"/>
      <c r="H20" s="1208">
        <v>1.8</v>
      </c>
      <c r="I20" s="1209">
        <f t="shared" ref="I20" si="13">-H20*F20*E20</f>
        <v>-2.9699999999999998</v>
      </c>
      <c r="J20" s="1209"/>
      <c r="K20" s="1210">
        <f t="shared" si="8"/>
        <v>1.05</v>
      </c>
      <c r="L20" s="1210">
        <f t="shared" si="9"/>
        <v>0</v>
      </c>
      <c r="M20" s="1197">
        <f t="shared" si="10"/>
        <v>0</v>
      </c>
      <c r="N20" s="1211">
        <f t="shared" si="11"/>
        <v>0</v>
      </c>
      <c r="O20" s="1212"/>
      <c r="P20" s="1200"/>
      <c r="Q20" s="1200"/>
      <c r="R20" s="1213"/>
      <c r="S20" s="1213"/>
      <c r="T20" s="1213"/>
      <c r="U20" s="1213"/>
      <c r="V20" s="1213"/>
    </row>
    <row r="21" spans="1:22" ht="15" thickTop="1" thickBot="1" x14ac:dyDescent="0.3">
      <c r="A21" s="1207"/>
      <c r="B21" s="1212" t="s">
        <v>3152</v>
      </c>
      <c r="C21" s="1212"/>
      <c r="D21" s="1212"/>
      <c r="E21" s="1212">
        <v>1</v>
      </c>
      <c r="F21" s="1208">
        <v>4.0999999999999996</v>
      </c>
      <c r="G21" s="1208"/>
      <c r="H21" s="1208">
        <v>2.7</v>
      </c>
      <c r="I21" s="1209">
        <f t="shared" si="12"/>
        <v>-11.07</v>
      </c>
      <c r="J21" s="1209"/>
      <c r="K21" s="1210">
        <f t="shared" si="8"/>
        <v>1.05</v>
      </c>
      <c r="L21" s="1210">
        <f t="shared" si="9"/>
        <v>0</v>
      </c>
      <c r="M21" s="1197">
        <f t="shared" si="10"/>
        <v>0</v>
      </c>
      <c r="N21" s="1211">
        <f t="shared" si="11"/>
        <v>0</v>
      </c>
      <c r="O21" s="1212"/>
      <c r="P21" s="1200"/>
      <c r="Q21" s="1992">
        <f>I21/100</f>
        <v>-0.11070000000000001</v>
      </c>
      <c r="R21" s="1213"/>
      <c r="S21" s="1213"/>
      <c r="T21" s="1213"/>
      <c r="U21" s="1213"/>
      <c r="V21" s="1213"/>
    </row>
    <row r="22" spans="1:22" ht="15" thickTop="1" thickBot="1" x14ac:dyDescent="0.3">
      <c r="A22" s="1207"/>
      <c r="B22" s="1212" t="s">
        <v>772</v>
      </c>
      <c r="C22" s="1212"/>
      <c r="D22" s="1212"/>
      <c r="E22" s="1212">
        <v>1</v>
      </c>
      <c r="F22" s="1208">
        <v>3.3</v>
      </c>
      <c r="G22" s="1208"/>
      <c r="H22" s="1208">
        <v>2.7</v>
      </c>
      <c r="I22" s="1209">
        <f t="shared" si="12"/>
        <v>-8.91</v>
      </c>
      <c r="J22" s="1209"/>
      <c r="K22" s="1210"/>
      <c r="L22" s="1210"/>
      <c r="M22" s="1197"/>
      <c r="N22" s="1211"/>
      <c r="O22" s="1212"/>
      <c r="P22" s="1200"/>
      <c r="Q22" s="1992"/>
      <c r="R22" s="1213"/>
      <c r="S22" s="1213"/>
      <c r="T22" s="1213"/>
      <c r="U22" s="1213"/>
      <c r="V22" s="1213"/>
    </row>
    <row r="23" spans="1:22" ht="15" thickTop="1" thickBot="1" x14ac:dyDescent="0.3">
      <c r="A23" s="1207"/>
      <c r="B23" s="1212" t="s">
        <v>3179</v>
      </c>
      <c r="C23" s="1212"/>
      <c r="D23" s="1212"/>
      <c r="E23" s="1212">
        <v>1</v>
      </c>
      <c r="F23" s="1208">
        <v>1.7</v>
      </c>
      <c r="G23" s="1208"/>
      <c r="H23" s="1208">
        <v>2.7</v>
      </c>
      <c r="I23" s="1209">
        <f t="shared" si="12"/>
        <v>-4.59</v>
      </c>
      <c r="J23" s="1209"/>
      <c r="K23" s="1210">
        <f t="shared" si="8"/>
        <v>1.05</v>
      </c>
      <c r="L23" s="1210">
        <f t="shared" si="9"/>
        <v>0</v>
      </c>
      <c r="M23" s="1197">
        <f t="shared" si="10"/>
        <v>0</v>
      </c>
      <c r="N23" s="1211">
        <f t="shared" si="11"/>
        <v>0</v>
      </c>
      <c r="O23" s="1212"/>
      <c r="P23" s="1200"/>
      <c r="Q23" s="1992">
        <f>Q21*2.83</f>
        <v>-0.31328100000000003</v>
      </c>
      <c r="R23" s="1213"/>
      <c r="S23" s="1213"/>
      <c r="T23" s="1213"/>
      <c r="U23" s="1213"/>
      <c r="V23" s="1213"/>
    </row>
    <row r="24" spans="1:22" ht="15" thickTop="1" thickBot="1" x14ac:dyDescent="0.3">
      <c r="A24" s="1207"/>
      <c r="B24" s="1212" t="s">
        <v>765</v>
      </c>
      <c r="C24" s="1212"/>
      <c r="D24" s="1212"/>
      <c r="E24" s="1212">
        <v>1</v>
      </c>
      <c r="F24" s="1208">
        <v>1.5</v>
      </c>
      <c r="G24" s="1208"/>
      <c r="H24" s="1208">
        <v>2.7</v>
      </c>
      <c r="I24" s="1209">
        <f t="shared" si="12"/>
        <v>-4.0500000000000007</v>
      </c>
      <c r="J24" s="1209"/>
      <c r="K24" s="1210">
        <f t="shared" si="8"/>
        <v>1.05</v>
      </c>
      <c r="L24" s="1210">
        <f t="shared" si="9"/>
        <v>0</v>
      </c>
      <c r="M24" s="1197">
        <f t="shared" si="10"/>
        <v>0</v>
      </c>
      <c r="N24" s="1211">
        <f t="shared" si="11"/>
        <v>0</v>
      </c>
      <c r="O24" s="1212"/>
      <c r="P24" s="1200"/>
      <c r="Q24" s="1200"/>
      <c r="R24" s="1213"/>
      <c r="S24" s="1213"/>
      <c r="T24" s="1213"/>
      <c r="U24" s="1213"/>
      <c r="V24" s="1213"/>
    </row>
    <row r="25" spans="1:22" ht="15" thickTop="1" thickBot="1" x14ac:dyDescent="0.3">
      <c r="A25" s="1207"/>
      <c r="B25" s="1212" t="s">
        <v>764</v>
      </c>
      <c r="C25" s="1212"/>
      <c r="D25" s="1212"/>
      <c r="E25" s="1212">
        <v>2</v>
      </c>
      <c r="F25" s="1208">
        <v>1.7749999999999999</v>
      </c>
      <c r="G25" s="1208"/>
      <c r="H25" s="1208">
        <v>2.7</v>
      </c>
      <c r="I25" s="1209">
        <f t="shared" si="12"/>
        <v>-9.5850000000000009</v>
      </c>
      <c r="J25" s="1209"/>
      <c r="K25" s="1210">
        <f t="shared" si="8"/>
        <v>1.05</v>
      </c>
      <c r="L25" s="1210">
        <f t="shared" si="9"/>
        <v>0</v>
      </c>
      <c r="M25" s="1197">
        <f t="shared" si="10"/>
        <v>0</v>
      </c>
      <c r="N25" s="1211">
        <f t="shared" si="11"/>
        <v>0</v>
      </c>
      <c r="O25" s="1212"/>
      <c r="P25" s="1200"/>
      <c r="Q25" s="1200"/>
      <c r="R25" s="1213"/>
      <c r="S25" s="1213"/>
      <c r="T25" s="1213"/>
      <c r="U25" s="1213"/>
      <c r="V25" s="1213"/>
    </row>
    <row r="26" spans="1:22" ht="15" thickTop="1" thickBot="1" x14ac:dyDescent="0.3">
      <c r="A26" s="1207"/>
      <c r="B26" s="1212" t="s">
        <v>763</v>
      </c>
      <c r="C26" s="1212"/>
      <c r="D26" s="1212"/>
      <c r="E26" s="1212">
        <v>1</v>
      </c>
      <c r="F26" s="1208">
        <v>1</v>
      </c>
      <c r="G26" s="1208"/>
      <c r="H26" s="1208">
        <v>2.7</v>
      </c>
      <c r="I26" s="1209">
        <f t="shared" si="12"/>
        <v>-2.7</v>
      </c>
      <c r="J26" s="1209"/>
      <c r="K26" s="1210">
        <f t="shared" si="8"/>
        <v>1.05</v>
      </c>
      <c r="L26" s="1210">
        <f t="shared" si="9"/>
        <v>0</v>
      </c>
      <c r="M26" s="1197">
        <f t="shared" si="10"/>
        <v>0</v>
      </c>
      <c r="N26" s="1211">
        <f t="shared" si="11"/>
        <v>0</v>
      </c>
      <c r="O26" s="1212"/>
      <c r="P26" s="1200"/>
      <c r="Q26" s="1200"/>
      <c r="R26" s="1213"/>
      <c r="S26" s="1213"/>
      <c r="T26" s="1213"/>
      <c r="U26" s="1213"/>
      <c r="V26" s="1213"/>
    </row>
    <row r="27" spans="1:22" ht="15" thickTop="1" thickBot="1" x14ac:dyDescent="0.3">
      <c r="A27" s="1207"/>
      <c r="B27" s="1212" t="s">
        <v>762</v>
      </c>
      <c r="C27" s="1212"/>
      <c r="D27" s="1212"/>
      <c r="E27" s="1212">
        <v>1</v>
      </c>
      <c r="F27" s="1208">
        <v>2.9</v>
      </c>
      <c r="G27" s="1208"/>
      <c r="H27" s="1208">
        <v>2.7</v>
      </c>
      <c r="I27" s="1209">
        <f t="shared" si="12"/>
        <v>-7.83</v>
      </c>
      <c r="J27" s="1209"/>
      <c r="K27" s="1210">
        <f t="shared" si="8"/>
        <v>1.05</v>
      </c>
      <c r="L27" s="1210">
        <f t="shared" si="9"/>
        <v>0</v>
      </c>
      <c r="M27" s="1197">
        <f t="shared" si="10"/>
        <v>0</v>
      </c>
      <c r="N27" s="1211">
        <f t="shared" si="11"/>
        <v>0</v>
      </c>
      <c r="O27" s="1212"/>
      <c r="P27" s="1200"/>
      <c r="Q27" s="1200"/>
      <c r="R27" s="1213"/>
      <c r="S27" s="1213"/>
      <c r="T27" s="1213"/>
      <c r="U27" s="1213"/>
      <c r="V27" s="1213"/>
    </row>
    <row r="28" spans="1:22" ht="15" thickTop="1" thickBot="1" x14ac:dyDescent="0.3">
      <c r="A28" s="1207"/>
      <c r="B28" s="1212"/>
      <c r="C28" s="1212"/>
      <c r="D28" s="1212"/>
      <c r="E28" s="1212"/>
      <c r="F28" s="1208"/>
      <c r="G28" s="1208"/>
      <c r="H28" s="1208"/>
      <c r="I28" s="1209"/>
      <c r="J28" s="1209">
        <f>SUM(I4:I27)</f>
        <v>231.52679999999989</v>
      </c>
      <c r="K28" s="1210">
        <f t="shared" si="8"/>
        <v>1.05</v>
      </c>
      <c r="L28" s="1210">
        <f t="shared" ref="L28:L30" si="14">K28*J28</f>
        <v>243.10313999999991</v>
      </c>
      <c r="M28" s="1197">
        <f t="shared" ref="M28:M30" si="15">ROUND(L28,1)</f>
        <v>243.1</v>
      </c>
      <c r="N28" s="1211">
        <f t="shared" ref="N28:N30" si="16">ROUNDUP(M28,0)</f>
        <v>244</v>
      </c>
      <c r="O28" s="1212"/>
      <c r="P28" s="1200"/>
      <c r="Q28" s="1200"/>
      <c r="R28" s="1213"/>
      <c r="S28" s="1213"/>
      <c r="T28" s="1213"/>
      <c r="U28" s="1213"/>
      <c r="V28" s="1213"/>
    </row>
    <row r="29" spans="1:22" ht="15" thickTop="1" thickBot="1" x14ac:dyDescent="0.3">
      <c r="A29" s="1207"/>
      <c r="B29" s="1212"/>
      <c r="C29" s="1212"/>
      <c r="D29" s="1212"/>
      <c r="E29" s="1212"/>
      <c r="F29" s="1208"/>
      <c r="G29" s="1208"/>
      <c r="H29" s="1208"/>
      <c r="I29" s="1209"/>
      <c r="J29" s="1209"/>
      <c r="K29" s="1210">
        <f t="shared" si="8"/>
        <v>1.05</v>
      </c>
      <c r="L29" s="1210">
        <f t="shared" si="14"/>
        <v>0</v>
      </c>
      <c r="M29" s="1197">
        <f t="shared" si="15"/>
        <v>0</v>
      </c>
      <c r="N29" s="1211">
        <f t="shared" si="16"/>
        <v>0</v>
      </c>
      <c r="O29" s="1212"/>
      <c r="P29" s="1200"/>
      <c r="Q29" s="1200"/>
      <c r="R29" s="1213"/>
      <c r="S29" s="1213"/>
      <c r="T29" s="1213"/>
      <c r="U29" s="1213"/>
      <c r="V29" s="1213"/>
    </row>
    <row r="30" spans="1:22" ht="15" thickTop="1" thickBot="1" x14ac:dyDescent="0.3">
      <c r="A30" s="1207"/>
      <c r="B30" s="1212" t="s">
        <v>1473</v>
      </c>
      <c r="C30" s="1212"/>
      <c r="D30" s="1212"/>
      <c r="E30" s="1212"/>
      <c r="F30" s="1208">
        <v>24.338999999999999</v>
      </c>
      <c r="G30" s="1208"/>
      <c r="H30" s="1208">
        <v>3.3</v>
      </c>
      <c r="I30" s="1209">
        <f>H30*F30</f>
        <v>80.318699999999993</v>
      </c>
      <c r="J30" s="1209"/>
      <c r="K30" s="1210">
        <f t="shared" si="8"/>
        <v>1.05</v>
      </c>
      <c r="L30" s="1210">
        <f t="shared" si="14"/>
        <v>0</v>
      </c>
      <c r="M30" s="1197">
        <f t="shared" si="15"/>
        <v>0</v>
      </c>
      <c r="N30" s="1211">
        <f t="shared" si="16"/>
        <v>0</v>
      </c>
      <c r="O30" s="1212"/>
      <c r="P30" s="1200"/>
      <c r="Q30" s="1200">
        <f>12*300</f>
        <v>3600</v>
      </c>
      <c r="R30" s="1213"/>
      <c r="S30" s="1213"/>
      <c r="T30" s="1213"/>
      <c r="U30" s="1213"/>
      <c r="V30" s="1213"/>
    </row>
    <row r="31" spans="1:22" ht="15" thickTop="1" thickBot="1" x14ac:dyDescent="0.3">
      <c r="A31" s="1207"/>
      <c r="B31" s="1212"/>
      <c r="C31" s="1212"/>
      <c r="D31" s="1212"/>
      <c r="E31" s="1212"/>
      <c r="F31" s="1208">
        <v>5.125</v>
      </c>
      <c r="G31" s="1208"/>
      <c r="H31" s="1208">
        <v>3.3</v>
      </c>
      <c r="I31" s="1209">
        <f t="shared" ref="I31:I36" si="17">H31*F31</f>
        <v>16.912499999999998</v>
      </c>
      <c r="J31" s="1209"/>
      <c r="K31" s="1210">
        <f t="shared" si="8"/>
        <v>1.05</v>
      </c>
      <c r="L31" s="1210">
        <f t="shared" si="9"/>
        <v>0</v>
      </c>
      <c r="M31" s="1197">
        <f t="shared" si="10"/>
        <v>0</v>
      </c>
      <c r="N31" s="1211">
        <f t="shared" si="11"/>
        <v>0</v>
      </c>
      <c r="O31" s="1212"/>
      <c r="P31" s="1200"/>
      <c r="Q31" s="1200"/>
      <c r="R31" s="1213"/>
      <c r="S31" s="1213"/>
      <c r="T31" s="1213"/>
      <c r="U31" s="1213"/>
      <c r="V31" s="1213"/>
    </row>
    <row r="32" spans="1:22" ht="15" thickTop="1" thickBot="1" x14ac:dyDescent="0.3">
      <c r="A32" s="1207"/>
      <c r="B32" s="1212"/>
      <c r="C32" s="1212"/>
      <c r="D32" s="1212"/>
      <c r="E32" s="1212"/>
      <c r="F32" s="1208">
        <v>8.0540000000000003</v>
      </c>
      <c r="G32" s="1208"/>
      <c r="H32" s="1208">
        <v>3.3</v>
      </c>
      <c r="I32" s="1209">
        <f t="shared" si="17"/>
        <v>26.578199999999999</v>
      </c>
      <c r="J32" s="1209"/>
      <c r="K32" s="1210">
        <f t="shared" si="8"/>
        <v>1.05</v>
      </c>
      <c r="L32" s="1210">
        <f t="shared" si="9"/>
        <v>0</v>
      </c>
      <c r="M32" s="1197">
        <f t="shared" si="10"/>
        <v>0</v>
      </c>
      <c r="N32" s="1211">
        <f t="shared" si="11"/>
        <v>0</v>
      </c>
      <c r="O32" s="1212"/>
      <c r="P32" s="1200"/>
      <c r="Q32" s="1200"/>
      <c r="R32" s="1213"/>
      <c r="S32" s="1213"/>
      <c r="T32" s="1213"/>
      <c r="U32" s="1213"/>
      <c r="V32" s="1213"/>
    </row>
    <row r="33" spans="1:22" ht="15" thickTop="1" thickBot="1" x14ac:dyDescent="0.3">
      <c r="A33" s="1207"/>
      <c r="B33" s="1212"/>
      <c r="C33" s="1212"/>
      <c r="D33" s="1212"/>
      <c r="E33" s="1212"/>
      <c r="F33" s="1208">
        <v>7.0410000000000004</v>
      </c>
      <c r="G33" s="1208"/>
      <c r="H33" s="1208">
        <v>3.3</v>
      </c>
      <c r="I33" s="1209">
        <f t="shared" si="17"/>
        <v>23.235299999999999</v>
      </c>
      <c r="J33" s="1209"/>
      <c r="K33" s="1210">
        <f t="shared" si="8"/>
        <v>1.05</v>
      </c>
      <c r="L33" s="1210">
        <f t="shared" si="9"/>
        <v>0</v>
      </c>
      <c r="M33" s="1197">
        <f t="shared" si="10"/>
        <v>0</v>
      </c>
      <c r="N33" s="1211">
        <f t="shared" si="11"/>
        <v>0</v>
      </c>
      <c r="O33" s="1212"/>
      <c r="P33" s="1200"/>
      <c r="Q33" s="1200"/>
      <c r="R33" s="1213"/>
      <c r="S33" s="1213"/>
      <c r="T33" s="1213"/>
      <c r="U33" s="1213"/>
      <c r="V33" s="1213"/>
    </row>
    <row r="34" spans="1:22" ht="15" thickTop="1" thickBot="1" x14ac:dyDescent="0.3">
      <c r="A34" s="1207"/>
      <c r="B34" s="1212"/>
      <c r="C34" s="1212"/>
      <c r="D34" s="1212"/>
      <c r="E34" s="1212"/>
      <c r="F34" s="1208">
        <v>7.4050000000000002</v>
      </c>
      <c r="G34" s="1208"/>
      <c r="H34" s="1208">
        <v>3.3</v>
      </c>
      <c r="I34" s="1209">
        <f t="shared" si="17"/>
        <v>24.436499999999999</v>
      </c>
      <c r="J34" s="1209"/>
      <c r="K34" s="1210">
        <f t="shared" si="8"/>
        <v>1.05</v>
      </c>
      <c r="L34" s="1210">
        <f t="shared" si="9"/>
        <v>0</v>
      </c>
      <c r="M34" s="1197">
        <f t="shared" si="10"/>
        <v>0</v>
      </c>
      <c r="N34" s="1211">
        <f t="shared" si="11"/>
        <v>0</v>
      </c>
      <c r="O34" s="1212"/>
      <c r="P34" s="1200"/>
      <c r="Q34" s="1200"/>
      <c r="R34" s="1213"/>
      <c r="S34" s="1213"/>
      <c r="T34" s="1213"/>
      <c r="U34" s="1213"/>
      <c r="V34" s="1213"/>
    </row>
    <row r="35" spans="1:22" ht="15" thickTop="1" thickBot="1" x14ac:dyDescent="0.3">
      <c r="A35" s="1207"/>
      <c r="B35" s="1212"/>
      <c r="C35" s="1212"/>
      <c r="D35" s="1212"/>
      <c r="E35" s="1212"/>
      <c r="F35" s="1208">
        <v>9.9</v>
      </c>
      <c r="G35" s="1208"/>
      <c r="H35" s="1208">
        <v>3.3</v>
      </c>
      <c r="I35" s="1209">
        <f t="shared" si="17"/>
        <v>32.67</v>
      </c>
      <c r="J35" s="1209"/>
      <c r="K35" s="1210">
        <f t="shared" si="8"/>
        <v>1.05</v>
      </c>
      <c r="L35" s="1210">
        <f t="shared" si="9"/>
        <v>0</v>
      </c>
      <c r="M35" s="1197">
        <f t="shared" si="10"/>
        <v>0</v>
      </c>
      <c r="N35" s="1211">
        <f t="shared" si="11"/>
        <v>0</v>
      </c>
      <c r="O35" s="1212"/>
      <c r="P35" s="1200"/>
      <c r="Q35" s="1992">
        <f>H36-H39</f>
        <v>3.3</v>
      </c>
      <c r="R35" s="1213"/>
      <c r="S35" s="1213"/>
      <c r="T35" s="1213"/>
      <c r="U35" s="1213"/>
      <c r="V35" s="1213"/>
    </row>
    <row r="36" spans="1:22" ht="15" thickTop="1" thickBot="1" x14ac:dyDescent="0.3">
      <c r="A36" s="1207"/>
      <c r="B36" s="1212"/>
      <c r="C36" s="1212"/>
      <c r="D36" s="1212"/>
      <c r="E36" s="1212"/>
      <c r="F36" s="1208">
        <v>4.87</v>
      </c>
      <c r="G36" s="1208"/>
      <c r="H36" s="1208">
        <v>3.3</v>
      </c>
      <c r="I36" s="1209">
        <f t="shared" si="17"/>
        <v>16.070999999999998</v>
      </c>
      <c r="J36" s="1209"/>
      <c r="K36" s="1210">
        <f t="shared" si="8"/>
        <v>1.05</v>
      </c>
      <c r="L36" s="1210">
        <f t="shared" si="9"/>
        <v>0</v>
      </c>
      <c r="M36" s="1197">
        <f t="shared" si="10"/>
        <v>0</v>
      </c>
      <c r="N36" s="1211">
        <f t="shared" si="11"/>
        <v>0</v>
      </c>
      <c r="O36" s="1212"/>
      <c r="P36" s="1200"/>
      <c r="Q36" s="1200"/>
      <c r="R36" s="1213"/>
      <c r="S36" s="1213"/>
      <c r="T36" s="1213"/>
      <c r="U36" s="1213"/>
      <c r="V36" s="1213"/>
    </row>
    <row r="37" spans="1:22" ht="15" thickTop="1" thickBot="1" x14ac:dyDescent="0.3">
      <c r="A37" s="1207"/>
      <c r="B37" s="1212"/>
      <c r="C37" s="1212"/>
      <c r="D37" s="1212"/>
      <c r="E37" s="1212">
        <v>2</v>
      </c>
      <c r="F37" s="1208">
        <v>1.08</v>
      </c>
      <c r="G37" s="1208"/>
      <c r="H37" s="1208">
        <v>3.3</v>
      </c>
      <c r="I37" s="1209">
        <f>H37*F37*E37</f>
        <v>7.1280000000000001</v>
      </c>
      <c r="J37" s="1209"/>
      <c r="K37" s="1210">
        <f t="shared" si="8"/>
        <v>1.05</v>
      </c>
      <c r="L37" s="1210">
        <f t="shared" si="9"/>
        <v>0</v>
      </c>
      <c r="M37" s="1197">
        <f t="shared" si="10"/>
        <v>0</v>
      </c>
      <c r="N37" s="1211">
        <f t="shared" si="11"/>
        <v>0</v>
      </c>
      <c r="O37" s="1212"/>
      <c r="P37" s="1200"/>
      <c r="Q37" s="1200"/>
      <c r="R37" s="1213"/>
      <c r="S37" s="1213"/>
      <c r="T37" s="1213"/>
      <c r="U37" s="1213"/>
      <c r="V37" s="1213"/>
    </row>
    <row r="38" spans="1:22" ht="15" thickTop="1" thickBot="1" x14ac:dyDescent="0.3">
      <c r="A38" s="1207"/>
      <c r="B38" s="1212"/>
      <c r="C38" s="1212"/>
      <c r="D38" s="1212"/>
      <c r="E38" s="1212"/>
      <c r="F38" s="1208">
        <v>19.2</v>
      </c>
      <c r="G38" s="1208"/>
      <c r="H38" s="1208">
        <v>1.2</v>
      </c>
      <c r="I38" s="1209">
        <f t="shared" ref="I38" si="18">H38*F38</f>
        <v>23.04</v>
      </c>
      <c r="J38" s="1209"/>
      <c r="K38" s="1210"/>
      <c r="L38" s="1210"/>
      <c r="M38" s="1197"/>
      <c r="N38" s="1211"/>
      <c r="O38" s="1212"/>
      <c r="P38" s="1200"/>
      <c r="Q38" s="1200"/>
      <c r="R38" s="1213"/>
      <c r="S38" s="1213"/>
      <c r="T38" s="1213"/>
      <c r="U38" s="1213"/>
      <c r="V38" s="1213"/>
    </row>
    <row r="39" spans="1:22" ht="15" thickTop="1" thickBot="1" x14ac:dyDescent="0.3">
      <c r="A39" s="1207"/>
      <c r="B39" s="1212" t="s">
        <v>846</v>
      </c>
      <c r="C39" s="1212"/>
      <c r="D39" s="1212"/>
      <c r="E39" s="1212"/>
      <c r="F39" s="1208"/>
      <c r="G39" s="1208"/>
      <c r="H39" s="1208"/>
      <c r="I39" s="1209"/>
      <c r="J39" s="1209"/>
      <c r="K39" s="1210">
        <f t="shared" si="8"/>
        <v>1.05</v>
      </c>
      <c r="L39" s="1210">
        <f t="shared" si="9"/>
        <v>0</v>
      </c>
      <c r="M39" s="1197">
        <f t="shared" si="10"/>
        <v>0</v>
      </c>
      <c r="N39" s="1211">
        <f t="shared" si="11"/>
        <v>0</v>
      </c>
      <c r="O39" s="1212"/>
      <c r="P39" s="1200"/>
      <c r="Q39" s="1200"/>
      <c r="R39" s="1213"/>
      <c r="S39" s="1213"/>
      <c r="T39" s="1213"/>
      <c r="U39" s="1213"/>
      <c r="V39" s="1213"/>
    </row>
    <row r="40" spans="1:22" ht="15" thickTop="1" thickBot="1" x14ac:dyDescent="0.3">
      <c r="A40" s="1207"/>
      <c r="B40" s="1212" t="s">
        <v>3278</v>
      </c>
      <c r="C40" s="1212"/>
      <c r="D40" s="1212"/>
      <c r="E40" s="1212">
        <v>1</v>
      </c>
      <c r="F40" s="1208">
        <v>2.2000000000000002</v>
      </c>
      <c r="G40" s="1208"/>
      <c r="H40" s="1208">
        <v>2.7</v>
      </c>
      <c r="I40" s="1209">
        <f t="shared" ref="I40:I49" si="19">-H40*F40*E40</f>
        <v>-5.9400000000000013</v>
      </c>
      <c r="J40" s="1209"/>
      <c r="K40" s="1210">
        <f t="shared" si="8"/>
        <v>1.05</v>
      </c>
      <c r="L40" s="1210">
        <f t="shared" si="9"/>
        <v>0</v>
      </c>
      <c r="M40" s="1197">
        <f t="shared" si="10"/>
        <v>0</v>
      </c>
      <c r="N40" s="1211">
        <f t="shared" si="11"/>
        <v>0</v>
      </c>
      <c r="O40" s="1212"/>
      <c r="P40" s="1200"/>
      <c r="Q40" s="1200"/>
      <c r="R40" s="1213"/>
      <c r="S40" s="1213"/>
      <c r="T40" s="1213"/>
      <c r="U40" s="1213"/>
      <c r="V40" s="1213"/>
    </row>
    <row r="41" spans="1:22" ht="15" thickTop="1" thickBot="1" x14ac:dyDescent="0.3">
      <c r="A41" s="1207"/>
      <c r="B41" s="1212" t="s">
        <v>769</v>
      </c>
      <c r="C41" s="1212"/>
      <c r="D41" s="1212"/>
      <c r="E41" s="1212">
        <v>3</v>
      </c>
      <c r="F41" s="1208">
        <v>1.5</v>
      </c>
      <c r="G41" s="1208"/>
      <c r="H41" s="1208">
        <v>1.5</v>
      </c>
      <c r="I41" s="1209">
        <f t="shared" si="19"/>
        <v>-6.75</v>
      </c>
      <c r="J41" s="1209"/>
      <c r="K41" s="1210">
        <f t="shared" si="8"/>
        <v>1.05</v>
      </c>
      <c r="L41" s="1210">
        <f t="shared" si="9"/>
        <v>0</v>
      </c>
      <c r="M41" s="1197">
        <f t="shared" si="10"/>
        <v>0</v>
      </c>
      <c r="N41" s="1211">
        <f t="shared" si="11"/>
        <v>0</v>
      </c>
      <c r="O41" s="1212"/>
      <c r="P41" s="1200"/>
      <c r="Q41" s="1200"/>
      <c r="R41" s="1213"/>
      <c r="S41" s="1213"/>
      <c r="T41" s="1213"/>
      <c r="U41" s="1213"/>
      <c r="V41" s="1213"/>
    </row>
    <row r="42" spans="1:22" ht="15" thickTop="1" thickBot="1" x14ac:dyDescent="0.3">
      <c r="A42" s="1207"/>
      <c r="B42" s="1212" t="s">
        <v>3148</v>
      </c>
      <c r="C42" s="1212"/>
      <c r="D42" s="1212"/>
      <c r="E42" s="1212">
        <v>1</v>
      </c>
      <c r="F42" s="1208">
        <v>4.4000000000000004</v>
      </c>
      <c r="G42" s="1208"/>
      <c r="H42" s="1208">
        <v>2.7</v>
      </c>
      <c r="I42" s="1209">
        <f t="shared" si="19"/>
        <v>-11.880000000000003</v>
      </c>
      <c r="J42" s="1209"/>
      <c r="K42" s="1210">
        <f t="shared" si="8"/>
        <v>1.05</v>
      </c>
      <c r="L42" s="1210">
        <f t="shared" si="9"/>
        <v>0</v>
      </c>
      <c r="M42" s="1197">
        <f t="shared" si="10"/>
        <v>0</v>
      </c>
      <c r="N42" s="1211">
        <f t="shared" si="11"/>
        <v>0</v>
      </c>
      <c r="O42" s="1212"/>
      <c r="P42" s="1200"/>
      <c r="Q42" s="1200"/>
      <c r="R42" s="1213"/>
      <c r="S42" s="1213"/>
      <c r="T42" s="1213"/>
      <c r="U42" s="1213"/>
      <c r="V42" s="1213"/>
    </row>
    <row r="43" spans="1:22" ht="15" thickTop="1" thickBot="1" x14ac:dyDescent="0.3">
      <c r="A43" s="1207"/>
      <c r="B43" s="1212" t="s">
        <v>792</v>
      </c>
      <c r="C43" s="1212"/>
      <c r="D43" s="1212"/>
      <c r="E43" s="1212">
        <v>2</v>
      </c>
      <c r="F43" s="1208">
        <v>0.8</v>
      </c>
      <c r="G43" s="1208"/>
      <c r="H43" s="1208">
        <v>2.4</v>
      </c>
      <c r="I43" s="1209">
        <f t="shared" si="19"/>
        <v>-3.84</v>
      </c>
      <c r="J43" s="1209"/>
      <c r="K43" s="1210">
        <f t="shared" si="8"/>
        <v>1.05</v>
      </c>
      <c r="L43" s="1210">
        <f t="shared" si="9"/>
        <v>0</v>
      </c>
      <c r="M43" s="1197">
        <f t="shared" si="10"/>
        <v>0</v>
      </c>
      <c r="N43" s="1211">
        <f t="shared" si="11"/>
        <v>0</v>
      </c>
      <c r="O43" s="1212"/>
      <c r="P43" s="1200"/>
      <c r="Q43" s="1200"/>
      <c r="R43" s="1213"/>
      <c r="S43" s="1213"/>
      <c r="T43" s="1213"/>
      <c r="U43" s="1213"/>
      <c r="V43" s="1213"/>
    </row>
    <row r="44" spans="1:22" ht="15" thickTop="1" thickBot="1" x14ac:dyDescent="0.3">
      <c r="A44" s="1207"/>
      <c r="B44" s="1212" t="s">
        <v>773</v>
      </c>
      <c r="C44" s="1212"/>
      <c r="D44" s="1212"/>
      <c r="E44" s="1212">
        <v>3</v>
      </c>
      <c r="F44" s="1208">
        <v>1</v>
      </c>
      <c r="G44" s="1208"/>
      <c r="H44" s="1208">
        <v>2.7</v>
      </c>
      <c r="I44" s="1209">
        <f t="shared" si="19"/>
        <v>-8.1000000000000014</v>
      </c>
      <c r="J44" s="1209"/>
      <c r="K44" s="1210">
        <f t="shared" si="8"/>
        <v>1.05</v>
      </c>
      <c r="L44" s="1210">
        <f t="shared" si="9"/>
        <v>0</v>
      </c>
      <c r="M44" s="1197">
        <f t="shared" si="10"/>
        <v>0</v>
      </c>
      <c r="N44" s="1211">
        <f t="shared" si="11"/>
        <v>0</v>
      </c>
      <c r="O44" s="1212"/>
      <c r="P44" s="1200"/>
      <c r="Q44" s="1200"/>
      <c r="R44" s="1213"/>
      <c r="S44" s="1213"/>
      <c r="T44" s="1213"/>
      <c r="U44" s="1213"/>
      <c r="V44" s="1213"/>
    </row>
    <row r="45" spans="1:22" ht="15" thickTop="1" thickBot="1" x14ac:dyDescent="0.3">
      <c r="A45" s="1207"/>
      <c r="B45" s="1212" t="s">
        <v>3279</v>
      </c>
      <c r="C45" s="1212"/>
      <c r="D45" s="1212"/>
      <c r="E45" s="1212">
        <v>1</v>
      </c>
      <c r="F45" s="1208">
        <v>0.8</v>
      </c>
      <c r="G45" s="1208"/>
      <c r="H45" s="1208">
        <v>2.7</v>
      </c>
      <c r="I45" s="1209">
        <f t="shared" si="19"/>
        <v>-2.16</v>
      </c>
      <c r="J45" s="1209"/>
      <c r="K45" s="1210">
        <f t="shared" si="8"/>
        <v>1.05</v>
      </c>
      <c r="L45" s="1210">
        <f t="shared" si="9"/>
        <v>0</v>
      </c>
      <c r="M45" s="1197">
        <f t="shared" si="10"/>
        <v>0</v>
      </c>
      <c r="N45" s="1211">
        <f t="shared" si="11"/>
        <v>0</v>
      </c>
      <c r="O45" s="1212"/>
      <c r="P45" s="1200"/>
      <c r="Q45" s="1200"/>
      <c r="R45" s="1213"/>
      <c r="S45" s="1213"/>
      <c r="T45" s="1213"/>
      <c r="U45" s="1213"/>
      <c r="V45" s="1213"/>
    </row>
    <row r="46" spans="1:22" ht="15" thickTop="1" thickBot="1" x14ac:dyDescent="0.3">
      <c r="A46" s="1207"/>
      <c r="B46" s="1212" t="s">
        <v>3280</v>
      </c>
      <c r="C46" s="1212"/>
      <c r="D46" s="1212"/>
      <c r="E46" s="1212">
        <v>1</v>
      </c>
      <c r="F46" s="1208">
        <v>2</v>
      </c>
      <c r="G46" s="1208"/>
      <c r="H46" s="1208">
        <v>2.7</v>
      </c>
      <c r="I46" s="1209">
        <f t="shared" si="19"/>
        <v>-5.4</v>
      </c>
      <c r="J46" s="1209"/>
      <c r="K46" s="1210">
        <f t="shared" si="8"/>
        <v>1.05</v>
      </c>
      <c r="L46" s="1210">
        <f t="shared" si="9"/>
        <v>0</v>
      </c>
      <c r="M46" s="1197">
        <f t="shared" si="10"/>
        <v>0</v>
      </c>
      <c r="N46" s="1211">
        <f t="shared" si="11"/>
        <v>0</v>
      </c>
      <c r="O46" s="1212"/>
      <c r="P46" s="1200"/>
      <c r="Q46" s="1200"/>
      <c r="R46" s="1213"/>
      <c r="S46" s="1213"/>
      <c r="T46" s="1213"/>
      <c r="U46" s="1213"/>
      <c r="V46" s="1213"/>
    </row>
    <row r="47" spans="1:22" ht="15" thickTop="1" thickBot="1" x14ac:dyDescent="0.3">
      <c r="A47" s="1207"/>
      <c r="B47" s="1212" t="s">
        <v>768</v>
      </c>
      <c r="C47" s="1212"/>
      <c r="D47" s="1212"/>
      <c r="E47" s="1212">
        <v>2</v>
      </c>
      <c r="F47" s="1208">
        <v>4.04</v>
      </c>
      <c r="G47" s="1208"/>
      <c r="H47" s="1208">
        <v>2.7</v>
      </c>
      <c r="I47" s="1209">
        <f>-H47*F47*E47</f>
        <v>-21.816000000000003</v>
      </c>
      <c r="J47" s="1209"/>
      <c r="K47" s="1210">
        <f t="shared" si="8"/>
        <v>1.05</v>
      </c>
      <c r="L47" s="1210">
        <f t="shared" si="9"/>
        <v>0</v>
      </c>
      <c r="M47" s="1197">
        <f t="shared" si="10"/>
        <v>0</v>
      </c>
      <c r="N47" s="1211">
        <f t="shared" si="11"/>
        <v>0</v>
      </c>
      <c r="O47" s="1212"/>
      <c r="P47" s="1200"/>
      <c r="Q47" s="1200"/>
      <c r="R47" s="1213"/>
      <c r="S47" s="1213"/>
      <c r="T47" s="1213"/>
      <c r="U47" s="1213"/>
      <c r="V47" s="1213"/>
    </row>
    <row r="48" spans="1:22" ht="15" thickTop="1" thickBot="1" x14ac:dyDescent="0.3">
      <c r="A48" s="1207"/>
      <c r="B48" s="1212" t="s">
        <v>3172</v>
      </c>
      <c r="C48" s="1212"/>
      <c r="D48" s="1212"/>
      <c r="E48" s="1212">
        <v>1</v>
      </c>
      <c r="F48" s="1208">
        <v>2</v>
      </c>
      <c r="G48" s="1208"/>
      <c r="H48" s="1208">
        <v>2.7</v>
      </c>
      <c r="I48" s="1209">
        <f t="shared" si="19"/>
        <v>-5.4</v>
      </c>
      <c r="J48" s="1209"/>
      <c r="K48" s="1210">
        <f t="shared" si="8"/>
        <v>1.05</v>
      </c>
      <c r="L48" s="1210">
        <f t="shared" si="9"/>
        <v>0</v>
      </c>
      <c r="M48" s="1197">
        <f t="shared" si="10"/>
        <v>0</v>
      </c>
      <c r="N48" s="1211">
        <f t="shared" si="11"/>
        <v>0</v>
      </c>
      <c r="O48" s="1212"/>
      <c r="P48" s="1200"/>
      <c r="Q48" s="1200"/>
      <c r="R48" s="1213"/>
      <c r="S48" s="1213"/>
      <c r="T48" s="1213"/>
      <c r="U48" s="1213"/>
      <c r="V48" s="1213"/>
    </row>
    <row r="49" spans="1:22" ht="15" thickTop="1" thickBot="1" x14ac:dyDescent="0.3">
      <c r="A49" s="1207"/>
      <c r="B49" s="1212" t="s">
        <v>837</v>
      </c>
      <c r="C49" s="1212"/>
      <c r="D49" s="1212"/>
      <c r="E49" s="1212">
        <v>1</v>
      </c>
      <c r="F49" s="1208">
        <v>2.2000000000000002</v>
      </c>
      <c r="G49" s="1208"/>
      <c r="H49" s="1208">
        <v>2.7</v>
      </c>
      <c r="I49" s="1209">
        <f t="shared" si="19"/>
        <v>-5.9400000000000013</v>
      </c>
      <c r="J49" s="1209"/>
      <c r="K49" s="1210">
        <f t="shared" si="8"/>
        <v>1.05</v>
      </c>
      <c r="L49" s="1210">
        <f t="shared" si="9"/>
        <v>0</v>
      </c>
      <c r="M49" s="1197">
        <f t="shared" si="10"/>
        <v>0</v>
      </c>
      <c r="N49" s="1211">
        <f t="shared" si="11"/>
        <v>0</v>
      </c>
      <c r="O49" s="1212"/>
      <c r="P49" s="1200"/>
      <c r="Q49" s="1200"/>
      <c r="R49" s="1213"/>
      <c r="S49" s="1213"/>
      <c r="T49" s="1213"/>
      <c r="U49" s="1213"/>
      <c r="V49" s="1213"/>
    </row>
    <row r="50" spans="1:22" ht="15" thickTop="1" thickBot="1" x14ac:dyDescent="0.3">
      <c r="A50" s="1207"/>
      <c r="B50" s="1212"/>
      <c r="C50" s="1212"/>
      <c r="D50" s="1212"/>
      <c r="E50" s="1212"/>
      <c r="F50" s="1208"/>
      <c r="G50" s="1208"/>
      <c r="H50" s="1208"/>
      <c r="I50" s="1209"/>
      <c r="J50" s="1209">
        <f>SUM(I30:I49)</f>
        <v>173.16419999999997</v>
      </c>
      <c r="K50" s="1210">
        <f t="shared" si="8"/>
        <v>1.05</v>
      </c>
      <c r="L50" s="1210">
        <f t="shared" si="9"/>
        <v>181.82240999999996</v>
      </c>
      <c r="M50" s="1197">
        <f t="shared" si="10"/>
        <v>181.8</v>
      </c>
      <c r="N50" s="1211">
        <f t="shared" si="11"/>
        <v>182</v>
      </c>
      <c r="O50" s="1212"/>
      <c r="P50" s="1200"/>
      <c r="Q50" s="1200"/>
      <c r="R50" s="1213"/>
      <c r="S50" s="1213"/>
      <c r="T50" s="1213"/>
      <c r="U50" s="1213"/>
      <c r="V50" s="1213"/>
    </row>
    <row r="51" spans="1:22" ht="15" thickTop="1" thickBot="1" x14ac:dyDescent="0.3">
      <c r="A51" s="1207"/>
      <c r="B51" s="1212"/>
      <c r="C51" s="1212"/>
      <c r="D51" s="1212"/>
      <c r="E51" s="1212"/>
      <c r="F51" s="1208"/>
      <c r="G51" s="1208"/>
      <c r="H51" s="1208"/>
      <c r="I51" s="1209"/>
      <c r="J51" s="1209"/>
      <c r="K51" s="1210">
        <f t="shared" si="8"/>
        <v>1.05</v>
      </c>
      <c r="L51" s="1210">
        <f t="shared" si="9"/>
        <v>0</v>
      </c>
      <c r="M51" s="1197">
        <f t="shared" si="10"/>
        <v>0</v>
      </c>
      <c r="N51" s="1211">
        <f t="shared" si="11"/>
        <v>0</v>
      </c>
      <c r="O51" s="1212"/>
      <c r="P51" s="1200"/>
      <c r="Q51" s="1200"/>
      <c r="R51" s="1213"/>
      <c r="S51" s="1213"/>
      <c r="T51" s="1213"/>
      <c r="U51" s="1213"/>
      <c r="V51" s="1213"/>
    </row>
    <row r="52" spans="1:22" ht="15" thickTop="1" thickBot="1" x14ac:dyDescent="0.3">
      <c r="A52" s="1207"/>
      <c r="B52" s="1212" t="s">
        <v>1835</v>
      </c>
      <c r="C52" s="1212"/>
      <c r="D52" s="1212"/>
      <c r="E52" s="1212"/>
      <c r="F52" s="1208">
        <v>55.46</v>
      </c>
      <c r="G52" s="1208"/>
      <c r="H52" s="1208">
        <v>3.3</v>
      </c>
      <c r="I52" s="1209">
        <f>H52*F52</f>
        <v>183.018</v>
      </c>
      <c r="J52" s="1209"/>
      <c r="K52" s="1210">
        <f t="shared" si="8"/>
        <v>1.05</v>
      </c>
      <c r="L52" s="1210">
        <f t="shared" si="9"/>
        <v>0</v>
      </c>
      <c r="M52" s="1197">
        <f t="shared" si="10"/>
        <v>0</v>
      </c>
      <c r="N52" s="1211">
        <f t="shared" si="11"/>
        <v>0</v>
      </c>
      <c r="O52" s="1212"/>
      <c r="P52" s="1200"/>
      <c r="Q52" s="1200"/>
      <c r="R52" s="1213"/>
      <c r="S52" s="1213"/>
      <c r="T52" s="1213"/>
      <c r="U52" s="1213"/>
      <c r="V52" s="1213"/>
    </row>
    <row r="53" spans="1:22" ht="15" thickTop="1" thickBot="1" x14ac:dyDescent="0.3">
      <c r="A53" s="1207"/>
      <c r="B53" s="1212"/>
      <c r="C53" s="1212"/>
      <c r="D53" s="1212"/>
      <c r="E53" s="1212"/>
      <c r="F53" s="1208">
        <v>9.7899999999999991</v>
      </c>
      <c r="G53" s="1208"/>
      <c r="H53" s="1208">
        <v>3.3</v>
      </c>
      <c r="I53" s="1209">
        <f t="shared" ref="I53:I61" si="20">H53*F53</f>
        <v>32.306999999999995</v>
      </c>
      <c r="J53" s="1209"/>
      <c r="K53" s="1210">
        <f t="shared" si="8"/>
        <v>1.05</v>
      </c>
      <c r="L53" s="1210">
        <f t="shared" ref="L53:L164" si="21">K53*J53</f>
        <v>0</v>
      </c>
      <c r="M53" s="1197">
        <f t="shared" ref="M53:M164" si="22">ROUND(L53,1)</f>
        <v>0</v>
      </c>
      <c r="N53" s="1211">
        <f t="shared" ref="N53:N164" si="23">ROUNDUP(M53,0)</f>
        <v>0</v>
      </c>
      <c r="O53" s="1212"/>
      <c r="P53" s="1200"/>
      <c r="Q53" s="1200"/>
      <c r="R53" s="1213"/>
      <c r="S53" s="1213"/>
      <c r="T53" s="1213"/>
      <c r="U53" s="1213"/>
      <c r="V53" s="1213"/>
    </row>
    <row r="54" spans="1:22" ht="15" thickTop="1" thickBot="1" x14ac:dyDescent="0.3">
      <c r="A54" s="1207"/>
      <c r="B54" s="1212"/>
      <c r="C54" s="1212"/>
      <c r="D54" s="1212"/>
      <c r="E54" s="1212"/>
      <c r="F54" s="1208">
        <v>4.4000000000000004</v>
      </c>
      <c r="G54" s="1208"/>
      <c r="H54" s="1208">
        <v>3.3</v>
      </c>
      <c r="I54" s="1209">
        <f t="shared" si="20"/>
        <v>14.52</v>
      </c>
      <c r="J54" s="1209"/>
      <c r="K54" s="1210">
        <f t="shared" si="8"/>
        <v>1.05</v>
      </c>
      <c r="L54" s="1210">
        <f t="shared" si="21"/>
        <v>0</v>
      </c>
      <c r="M54" s="1197">
        <f t="shared" si="22"/>
        <v>0</v>
      </c>
      <c r="N54" s="1211">
        <f t="shared" si="23"/>
        <v>0</v>
      </c>
      <c r="O54" s="1212"/>
      <c r="P54" s="1200"/>
      <c r="Q54" s="1200"/>
      <c r="R54" s="1213"/>
      <c r="S54" s="1213"/>
      <c r="T54" s="1213"/>
      <c r="U54" s="1213"/>
      <c r="V54" s="1213"/>
    </row>
    <row r="55" spans="1:22" ht="15" thickTop="1" thickBot="1" x14ac:dyDescent="0.3">
      <c r="A55" s="1207"/>
      <c r="B55" s="1212"/>
      <c r="C55" s="1212"/>
      <c r="D55" s="1212"/>
      <c r="E55" s="1212"/>
      <c r="F55" s="1208">
        <v>5.1219999999999999</v>
      </c>
      <c r="G55" s="1208"/>
      <c r="H55" s="1208">
        <v>3.3</v>
      </c>
      <c r="I55" s="1209">
        <f t="shared" si="20"/>
        <v>16.9026</v>
      </c>
      <c r="J55" s="1209"/>
      <c r="K55" s="1210">
        <f t="shared" si="8"/>
        <v>1.05</v>
      </c>
      <c r="L55" s="1210">
        <f t="shared" si="21"/>
        <v>0</v>
      </c>
      <c r="M55" s="1197">
        <f t="shared" si="22"/>
        <v>0</v>
      </c>
      <c r="N55" s="1211">
        <f t="shared" si="23"/>
        <v>0</v>
      </c>
      <c r="O55" s="1212"/>
      <c r="P55" s="1200"/>
      <c r="Q55" s="1200"/>
      <c r="R55" s="1213"/>
      <c r="S55" s="1213"/>
      <c r="T55" s="1213"/>
      <c r="U55" s="1213"/>
      <c r="V55" s="1213"/>
    </row>
    <row r="56" spans="1:22" ht="15" thickTop="1" thickBot="1" x14ac:dyDescent="0.3">
      <c r="A56" s="1207"/>
      <c r="B56" s="1212"/>
      <c r="C56" s="1212"/>
      <c r="D56" s="1212"/>
      <c r="E56" s="1212"/>
      <c r="F56" s="1208">
        <v>3.59</v>
      </c>
      <c r="G56" s="1208"/>
      <c r="H56" s="1208">
        <v>3.3</v>
      </c>
      <c r="I56" s="1209">
        <f t="shared" si="20"/>
        <v>11.847</v>
      </c>
      <c r="J56" s="1209"/>
      <c r="K56" s="1210">
        <f t="shared" si="8"/>
        <v>1.05</v>
      </c>
      <c r="L56" s="1210">
        <f t="shared" si="21"/>
        <v>0</v>
      </c>
      <c r="M56" s="1197">
        <f t="shared" si="22"/>
        <v>0</v>
      </c>
      <c r="N56" s="1211">
        <f t="shared" si="23"/>
        <v>0</v>
      </c>
      <c r="O56" s="1212"/>
      <c r="P56" s="1200"/>
      <c r="Q56" s="1200"/>
      <c r="R56" s="1213"/>
      <c r="S56" s="1213"/>
      <c r="T56" s="1213"/>
      <c r="U56" s="1213"/>
      <c r="V56" s="1213"/>
    </row>
    <row r="57" spans="1:22" ht="15" thickTop="1" thickBot="1" x14ac:dyDescent="0.3">
      <c r="A57" s="1207"/>
      <c r="B57" s="1212"/>
      <c r="C57" s="1212"/>
      <c r="D57" s="1212"/>
      <c r="E57" s="1212"/>
      <c r="F57" s="1208">
        <v>4.8899999999999997</v>
      </c>
      <c r="G57" s="1208"/>
      <c r="H57" s="1208">
        <v>3.3</v>
      </c>
      <c r="I57" s="1209">
        <f t="shared" si="20"/>
        <v>16.136999999999997</v>
      </c>
      <c r="J57" s="1209"/>
      <c r="K57" s="1210">
        <f t="shared" si="8"/>
        <v>1.05</v>
      </c>
      <c r="L57" s="1210">
        <f t="shared" si="21"/>
        <v>0</v>
      </c>
      <c r="M57" s="1197">
        <f t="shared" si="22"/>
        <v>0</v>
      </c>
      <c r="N57" s="1211">
        <f t="shared" si="23"/>
        <v>0</v>
      </c>
      <c r="O57" s="1212"/>
      <c r="P57" s="1200"/>
      <c r="Q57" s="1200"/>
      <c r="R57" s="1213"/>
      <c r="S57" s="1213"/>
      <c r="T57" s="1213"/>
      <c r="U57" s="1213"/>
      <c r="V57" s="1213"/>
    </row>
    <row r="58" spans="1:22" ht="15" thickTop="1" thickBot="1" x14ac:dyDescent="0.3">
      <c r="A58" s="1207"/>
      <c r="B58" s="1212"/>
      <c r="C58" s="1212"/>
      <c r="D58" s="1212"/>
      <c r="E58" s="1212"/>
      <c r="F58" s="1208">
        <v>11.1</v>
      </c>
      <c r="G58" s="1208"/>
      <c r="H58" s="1208">
        <v>3.3</v>
      </c>
      <c r="I58" s="1209">
        <f t="shared" si="20"/>
        <v>36.629999999999995</v>
      </c>
      <c r="J58" s="1209"/>
      <c r="K58" s="1210">
        <f t="shared" si="8"/>
        <v>1.05</v>
      </c>
      <c r="L58" s="1210">
        <f t="shared" si="21"/>
        <v>0</v>
      </c>
      <c r="M58" s="1197">
        <f t="shared" si="22"/>
        <v>0</v>
      </c>
      <c r="N58" s="1211">
        <f t="shared" si="23"/>
        <v>0</v>
      </c>
      <c r="O58" s="1212"/>
      <c r="P58" s="1200"/>
      <c r="Q58" s="1200"/>
      <c r="R58" s="1213"/>
      <c r="S58" s="1213"/>
      <c r="T58" s="1213"/>
      <c r="U58" s="1213"/>
      <c r="V58" s="1213"/>
    </row>
    <row r="59" spans="1:22" ht="15" thickTop="1" thickBot="1" x14ac:dyDescent="0.3">
      <c r="A59" s="1207"/>
      <c r="B59" s="1212"/>
      <c r="C59" s="1212"/>
      <c r="D59" s="1212"/>
      <c r="E59" s="1212"/>
      <c r="F59" s="1208">
        <v>4.6639999999999997</v>
      </c>
      <c r="G59" s="1208"/>
      <c r="H59" s="1208">
        <v>3.3</v>
      </c>
      <c r="I59" s="1209">
        <f t="shared" si="20"/>
        <v>15.391199999999998</v>
      </c>
      <c r="J59" s="1209"/>
      <c r="K59" s="1210">
        <f t="shared" si="8"/>
        <v>1.05</v>
      </c>
      <c r="L59" s="1210">
        <f t="shared" si="21"/>
        <v>0</v>
      </c>
      <c r="M59" s="1197">
        <f t="shared" si="22"/>
        <v>0</v>
      </c>
      <c r="N59" s="1211">
        <f t="shared" si="23"/>
        <v>0</v>
      </c>
      <c r="O59" s="1212"/>
      <c r="P59" s="1200"/>
      <c r="Q59" s="1200"/>
      <c r="R59" s="1213">
        <f>1500-710-690</f>
        <v>100</v>
      </c>
      <c r="S59" s="1213"/>
      <c r="T59" s="1213"/>
      <c r="U59" s="1213"/>
      <c r="V59" s="1213"/>
    </row>
    <row r="60" spans="1:22" ht="15" thickTop="1" thickBot="1" x14ac:dyDescent="0.3">
      <c r="A60" s="1207"/>
      <c r="B60" s="1212"/>
      <c r="C60" s="1212"/>
      <c r="D60" s="1212"/>
      <c r="E60" s="1212">
        <v>2</v>
      </c>
      <c r="F60" s="1208">
        <v>1.2</v>
      </c>
      <c r="G60" s="1208"/>
      <c r="H60" s="1208">
        <v>3.3</v>
      </c>
      <c r="I60" s="1209">
        <f>H60*F60*E60</f>
        <v>7.919999999999999</v>
      </c>
      <c r="J60" s="1209"/>
      <c r="K60" s="1210">
        <f t="shared" si="8"/>
        <v>1.05</v>
      </c>
      <c r="L60" s="1210">
        <f t="shared" si="21"/>
        <v>0</v>
      </c>
      <c r="M60" s="1197">
        <f t="shared" si="22"/>
        <v>0</v>
      </c>
      <c r="N60" s="1211">
        <f t="shared" si="23"/>
        <v>0</v>
      </c>
      <c r="O60" s="1212"/>
      <c r="P60" s="1200"/>
      <c r="Q60" s="1200"/>
      <c r="R60" s="1213"/>
      <c r="S60" s="1213"/>
      <c r="T60" s="1213"/>
      <c r="U60" s="1213"/>
      <c r="V60" s="1213"/>
    </row>
    <row r="61" spans="1:22" ht="15" thickTop="1" thickBot="1" x14ac:dyDescent="0.3">
      <c r="A61" s="1207"/>
      <c r="B61" s="1212"/>
      <c r="C61" s="1212"/>
      <c r="D61" s="1212"/>
      <c r="E61" s="1212"/>
      <c r="F61" s="1208">
        <v>2</v>
      </c>
      <c r="G61" s="1208"/>
      <c r="H61" s="1208">
        <v>3.3</v>
      </c>
      <c r="I61" s="1209">
        <f t="shared" si="20"/>
        <v>6.6</v>
      </c>
      <c r="J61" s="1209"/>
      <c r="K61" s="1210">
        <f t="shared" si="8"/>
        <v>1.05</v>
      </c>
      <c r="L61" s="1210">
        <f t="shared" si="21"/>
        <v>0</v>
      </c>
      <c r="M61" s="1197">
        <f t="shared" si="22"/>
        <v>0</v>
      </c>
      <c r="N61" s="1211">
        <f t="shared" si="23"/>
        <v>0</v>
      </c>
      <c r="O61" s="1212"/>
      <c r="P61" s="1200"/>
      <c r="Q61" s="1200"/>
      <c r="R61" s="1213"/>
      <c r="S61" s="1213"/>
      <c r="T61" s="1213"/>
      <c r="U61" s="1213"/>
      <c r="V61" s="1213"/>
    </row>
    <row r="62" spans="1:22" ht="15" thickTop="1" thickBot="1" x14ac:dyDescent="0.3">
      <c r="A62" s="1207"/>
      <c r="B62" s="1212" t="s">
        <v>846</v>
      </c>
      <c r="C62" s="1212"/>
      <c r="D62" s="1212"/>
      <c r="E62" s="1212"/>
      <c r="F62" s="1208"/>
      <c r="G62" s="1208"/>
      <c r="H62" s="1208"/>
      <c r="I62" s="1209"/>
      <c r="J62" s="1209"/>
      <c r="K62" s="1210">
        <f t="shared" si="8"/>
        <v>1.05</v>
      </c>
      <c r="L62" s="1210">
        <f t="shared" si="21"/>
        <v>0</v>
      </c>
      <c r="M62" s="1197">
        <f t="shared" si="22"/>
        <v>0</v>
      </c>
      <c r="N62" s="1211">
        <f t="shared" si="23"/>
        <v>0</v>
      </c>
      <c r="O62" s="1212"/>
      <c r="P62" s="1200"/>
      <c r="Q62" s="1200"/>
      <c r="R62" s="1213"/>
      <c r="S62" s="1213"/>
      <c r="T62" s="1213"/>
      <c r="U62" s="1213"/>
      <c r="V62" s="1213"/>
    </row>
    <row r="63" spans="1:22" ht="15" thickTop="1" thickBot="1" x14ac:dyDescent="0.3">
      <c r="A63" s="1207"/>
      <c r="B63" s="1212" t="s">
        <v>3281</v>
      </c>
      <c r="C63" s="1212"/>
      <c r="D63" s="1212"/>
      <c r="E63" s="1212">
        <v>1</v>
      </c>
      <c r="F63" s="1208">
        <v>4.3</v>
      </c>
      <c r="G63" s="1208"/>
      <c r="H63" s="1208">
        <v>2.7</v>
      </c>
      <c r="I63" s="1209">
        <f t="shared" ref="I63:I72" si="24">-H63*F63*E63</f>
        <v>-11.61</v>
      </c>
      <c r="J63" s="1209"/>
      <c r="K63" s="1210">
        <f t="shared" si="8"/>
        <v>1.05</v>
      </c>
      <c r="L63" s="1210">
        <f t="shared" si="21"/>
        <v>0</v>
      </c>
      <c r="M63" s="1197">
        <f t="shared" si="22"/>
        <v>0</v>
      </c>
      <c r="N63" s="1211">
        <f t="shared" si="23"/>
        <v>0</v>
      </c>
      <c r="O63" s="1212"/>
      <c r="P63" s="1200"/>
      <c r="Q63" s="1200"/>
      <c r="R63" s="1213"/>
      <c r="S63" s="1213"/>
      <c r="T63" s="1213"/>
      <c r="U63" s="1213"/>
      <c r="V63" s="1213"/>
    </row>
    <row r="64" spans="1:22" ht="15" thickTop="1" thickBot="1" x14ac:dyDescent="0.3">
      <c r="A64" s="1207"/>
      <c r="B64" s="1212" t="s">
        <v>769</v>
      </c>
      <c r="C64" s="1212"/>
      <c r="D64" s="1212"/>
      <c r="E64" s="1212">
        <v>2</v>
      </c>
      <c r="F64" s="1208">
        <v>1.5</v>
      </c>
      <c r="G64" s="1208"/>
      <c r="H64" s="1208">
        <v>0.5</v>
      </c>
      <c r="I64" s="1209">
        <f t="shared" si="24"/>
        <v>-1.5</v>
      </c>
      <c r="J64" s="1209"/>
      <c r="K64" s="1210">
        <f t="shared" si="8"/>
        <v>1.05</v>
      </c>
      <c r="L64" s="1210">
        <f t="shared" si="21"/>
        <v>0</v>
      </c>
      <c r="M64" s="1197">
        <f t="shared" si="22"/>
        <v>0</v>
      </c>
      <c r="N64" s="1211">
        <f t="shared" si="23"/>
        <v>0</v>
      </c>
      <c r="O64" s="1212"/>
      <c r="P64" s="1200"/>
      <c r="Q64" s="1200"/>
      <c r="R64" s="1213"/>
      <c r="S64" s="1213"/>
      <c r="T64" s="1213"/>
      <c r="U64" s="1213"/>
      <c r="V64" s="1213"/>
    </row>
    <row r="65" spans="1:22" ht="15" thickTop="1" thickBot="1" x14ac:dyDescent="0.3">
      <c r="A65" s="1207"/>
      <c r="B65" s="1212" t="s">
        <v>3151</v>
      </c>
      <c r="C65" s="1212"/>
      <c r="D65" s="1212"/>
      <c r="E65" s="1212">
        <v>1</v>
      </c>
      <c r="F65" s="1208">
        <v>4.875</v>
      </c>
      <c r="G65" s="1208"/>
      <c r="H65" s="1208">
        <v>2.7</v>
      </c>
      <c r="I65" s="1209">
        <f t="shared" si="24"/>
        <v>-13.162500000000001</v>
      </c>
      <c r="J65" s="1209"/>
      <c r="K65" s="1210">
        <f t="shared" si="8"/>
        <v>1.05</v>
      </c>
      <c r="L65" s="1210">
        <f t="shared" si="21"/>
        <v>0</v>
      </c>
      <c r="M65" s="1197">
        <f t="shared" si="22"/>
        <v>0</v>
      </c>
      <c r="N65" s="1211">
        <f t="shared" si="23"/>
        <v>0</v>
      </c>
      <c r="O65" s="1212"/>
      <c r="P65" s="1200"/>
      <c r="Q65" s="1200"/>
      <c r="R65" s="1213"/>
      <c r="S65" s="1213"/>
      <c r="T65" s="1213"/>
      <c r="U65" s="1213"/>
      <c r="V65" s="1213"/>
    </row>
    <row r="66" spans="1:22" ht="15" thickTop="1" thickBot="1" x14ac:dyDescent="0.3">
      <c r="A66" s="1207"/>
      <c r="B66" s="1212" t="s">
        <v>773</v>
      </c>
      <c r="C66" s="1212"/>
      <c r="D66" s="1212"/>
      <c r="E66" s="1212">
        <v>3</v>
      </c>
      <c r="F66" s="1208">
        <v>1</v>
      </c>
      <c r="G66" s="1208"/>
      <c r="H66" s="1208">
        <v>2.7</v>
      </c>
      <c r="I66" s="1209">
        <f t="shared" si="24"/>
        <v>-8.1000000000000014</v>
      </c>
      <c r="J66" s="1209"/>
      <c r="K66" s="1210">
        <f t="shared" si="8"/>
        <v>1.05</v>
      </c>
      <c r="L66" s="1210">
        <f t="shared" si="21"/>
        <v>0</v>
      </c>
      <c r="M66" s="1197">
        <f t="shared" si="22"/>
        <v>0</v>
      </c>
      <c r="N66" s="1211">
        <f t="shared" si="23"/>
        <v>0</v>
      </c>
      <c r="O66" s="1212"/>
      <c r="P66" s="1200"/>
      <c r="Q66" s="1200"/>
      <c r="R66" s="1213"/>
      <c r="S66" s="1213"/>
      <c r="T66" s="1213"/>
      <c r="U66" s="1213"/>
      <c r="V66" s="1213"/>
    </row>
    <row r="67" spans="1:22" ht="15" thickTop="1" thickBot="1" x14ac:dyDescent="0.3">
      <c r="A67" s="1207"/>
      <c r="B67" s="1212" t="s">
        <v>792</v>
      </c>
      <c r="C67" s="1212"/>
      <c r="D67" s="1212"/>
      <c r="E67" s="1212">
        <v>1</v>
      </c>
      <c r="F67" s="1208">
        <v>0.8</v>
      </c>
      <c r="G67" s="1208"/>
      <c r="H67" s="1208">
        <v>2.4</v>
      </c>
      <c r="I67" s="1209">
        <f t="shared" si="24"/>
        <v>-1.92</v>
      </c>
      <c r="J67" s="1209"/>
      <c r="K67" s="1210">
        <f t="shared" si="8"/>
        <v>1.05</v>
      </c>
      <c r="L67" s="1210">
        <f t="shared" si="21"/>
        <v>0</v>
      </c>
      <c r="M67" s="1197">
        <f t="shared" si="22"/>
        <v>0</v>
      </c>
      <c r="N67" s="1211">
        <f t="shared" si="23"/>
        <v>0</v>
      </c>
      <c r="O67" s="1212"/>
      <c r="P67" s="1200"/>
      <c r="Q67" s="1992">
        <f>I67/100</f>
        <v>-1.9199999999999998E-2</v>
      </c>
      <c r="R67" s="1213"/>
      <c r="S67" s="1213"/>
      <c r="T67" s="1213"/>
      <c r="U67" s="1213"/>
      <c r="V67" s="1213"/>
    </row>
    <row r="68" spans="1:22" ht="15" thickTop="1" thickBot="1" x14ac:dyDescent="0.3">
      <c r="A68" s="1207"/>
      <c r="B68" s="1212" t="s">
        <v>3180</v>
      </c>
      <c r="C68" s="1212"/>
      <c r="D68" s="1212"/>
      <c r="E68" s="1212">
        <v>2</v>
      </c>
      <c r="F68" s="1208">
        <v>3.375</v>
      </c>
      <c r="G68" s="1208"/>
      <c r="H68" s="1208">
        <v>2.7</v>
      </c>
      <c r="I68" s="1209">
        <f t="shared" si="24"/>
        <v>-18.225000000000001</v>
      </c>
      <c r="J68" s="1209"/>
      <c r="K68" s="1210">
        <f t="shared" si="8"/>
        <v>1.05</v>
      </c>
      <c r="L68" s="1210">
        <f t="shared" si="21"/>
        <v>0</v>
      </c>
      <c r="M68" s="1197">
        <f t="shared" si="22"/>
        <v>0</v>
      </c>
      <c r="N68" s="1211">
        <f t="shared" si="23"/>
        <v>0</v>
      </c>
      <c r="O68" s="1212"/>
      <c r="P68" s="1200"/>
      <c r="Q68" s="1992">
        <f>Q67*9.29</f>
        <v>-0.17836799999999997</v>
      </c>
      <c r="R68" s="1213"/>
      <c r="S68" s="1213"/>
      <c r="T68" s="1213"/>
      <c r="U68" s="1213"/>
      <c r="V68" s="1213"/>
    </row>
    <row r="69" spans="1:22" ht="15" thickTop="1" thickBot="1" x14ac:dyDescent="0.3">
      <c r="A69" s="1207"/>
      <c r="B69" s="1212" t="s">
        <v>3280</v>
      </c>
      <c r="C69" s="1212"/>
      <c r="D69" s="1212"/>
      <c r="E69" s="1212">
        <v>1</v>
      </c>
      <c r="F69" s="1208">
        <v>2</v>
      </c>
      <c r="G69" s="1208"/>
      <c r="H69" s="1208">
        <v>2.7</v>
      </c>
      <c r="I69" s="1209">
        <f t="shared" si="24"/>
        <v>-5.4</v>
      </c>
      <c r="J69" s="1209"/>
      <c r="K69" s="1210">
        <f t="shared" si="8"/>
        <v>1.05</v>
      </c>
      <c r="L69" s="1210">
        <f t="shared" si="21"/>
        <v>0</v>
      </c>
      <c r="M69" s="1197">
        <f t="shared" si="22"/>
        <v>0</v>
      </c>
      <c r="N69" s="1211">
        <f t="shared" si="23"/>
        <v>0</v>
      </c>
      <c r="O69" s="1212"/>
      <c r="P69" s="1200"/>
      <c r="Q69" s="1200"/>
      <c r="R69" s="1213"/>
      <c r="S69" s="1213"/>
      <c r="T69" s="1213"/>
      <c r="U69" s="1213"/>
      <c r="V69" s="1213"/>
    </row>
    <row r="70" spans="1:22" ht="15" thickTop="1" thickBot="1" x14ac:dyDescent="0.3">
      <c r="A70" s="1207"/>
      <c r="B70" s="1212" t="s">
        <v>768</v>
      </c>
      <c r="C70" s="1212"/>
      <c r="D70" s="1212"/>
      <c r="E70" s="1212">
        <v>2</v>
      </c>
      <c r="F70" s="1208">
        <v>4.04</v>
      </c>
      <c r="G70" s="1208"/>
      <c r="H70" s="1208">
        <v>2.7</v>
      </c>
      <c r="I70" s="1209">
        <f>-H70*F70*E70</f>
        <v>-21.816000000000003</v>
      </c>
      <c r="J70" s="1209"/>
      <c r="K70" s="1210">
        <f t="shared" si="8"/>
        <v>1.05</v>
      </c>
      <c r="L70" s="1210">
        <f t="shared" si="21"/>
        <v>0</v>
      </c>
      <c r="M70" s="1197">
        <f t="shared" si="22"/>
        <v>0</v>
      </c>
      <c r="N70" s="1211">
        <f t="shared" si="23"/>
        <v>0</v>
      </c>
      <c r="O70" s="1212"/>
      <c r="P70" s="1200"/>
      <c r="Q70" s="1200"/>
      <c r="R70" s="1213"/>
      <c r="S70" s="1213"/>
      <c r="T70" s="1213"/>
      <c r="U70" s="1213"/>
      <c r="V70" s="1213"/>
    </row>
    <row r="71" spans="1:22" ht="15" thickTop="1" thickBot="1" x14ac:dyDescent="0.3">
      <c r="A71" s="1207"/>
      <c r="B71" s="1212" t="s">
        <v>837</v>
      </c>
      <c r="C71" s="1212"/>
      <c r="D71" s="1212"/>
      <c r="E71" s="1212">
        <v>1</v>
      </c>
      <c r="F71" s="1208">
        <v>2.2000000000000002</v>
      </c>
      <c r="G71" s="1208"/>
      <c r="H71" s="1208">
        <v>2.7</v>
      </c>
      <c r="I71" s="1209">
        <f>-H71*F71*E71</f>
        <v>-5.9400000000000013</v>
      </c>
      <c r="J71" s="1209"/>
      <c r="K71" s="1210">
        <f t="shared" si="8"/>
        <v>1.05</v>
      </c>
      <c r="L71" s="1210">
        <f t="shared" si="21"/>
        <v>0</v>
      </c>
      <c r="M71" s="1197">
        <f t="shared" si="22"/>
        <v>0</v>
      </c>
      <c r="N71" s="1211">
        <f t="shared" si="23"/>
        <v>0</v>
      </c>
      <c r="O71" s="1212"/>
      <c r="P71" s="1200"/>
      <c r="Q71" s="1200"/>
      <c r="R71" s="1213"/>
      <c r="S71" s="1213"/>
      <c r="T71" s="1213"/>
      <c r="U71" s="1213"/>
      <c r="V71" s="1213"/>
    </row>
    <row r="72" spans="1:22" ht="15" thickTop="1" thickBot="1" x14ac:dyDescent="0.3">
      <c r="A72" s="1207"/>
      <c r="B72" s="1212" t="s">
        <v>3172</v>
      </c>
      <c r="C72" s="1212"/>
      <c r="D72" s="1212"/>
      <c r="E72" s="1212">
        <v>1</v>
      </c>
      <c r="F72" s="1208">
        <v>2</v>
      </c>
      <c r="G72" s="1208"/>
      <c r="H72" s="1208">
        <v>2.7</v>
      </c>
      <c r="I72" s="1209">
        <f t="shared" si="24"/>
        <v>-5.4</v>
      </c>
      <c r="J72" s="1209"/>
      <c r="K72" s="1210">
        <f t="shared" si="8"/>
        <v>1.05</v>
      </c>
      <c r="L72" s="1210">
        <f t="shared" si="21"/>
        <v>0</v>
      </c>
      <c r="M72" s="1197">
        <f t="shared" si="22"/>
        <v>0</v>
      </c>
      <c r="N72" s="1211">
        <f t="shared" si="23"/>
        <v>0</v>
      </c>
      <c r="O72" s="1212"/>
      <c r="P72" s="1200"/>
      <c r="Q72" s="1200"/>
      <c r="R72" s="1213"/>
      <c r="S72" s="1213"/>
      <c r="T72" s="1213"/>
      <c r="U72" s="1213"/>
      <c r="V72" s="1213"/>
    </row>
    <row r="73" spans="1:22" ht="15" thickTop="1" thickBot="1" x14ac:dyDescent="0.3">
      <c r="A73" s="1207"/>
      <c r="B73" s="1212"/>
      <c r="C73" s="1212"/>
      <c r="D73" s="1212"/>
      <c r="E73" s="1212"/>
      <c r="F73" s="1208"/>
      <c r="G73" s="1208"/>
      <c r="H73" s="1208"/>
      <c r="I73" s="1209"/>
      <c r="J73" s="1209">
        <f>SUM(I52:I72)</f>
        <v>248.19929999999991</v>
      </c>
      <c r="K73" s="1210">
        <f t="shared" si="8"/>
        <v>1.05</v>
      </c>
      <c r="L73" s="1210">
        <f t="shared" si="21"/>
        <v>260.60926499999994</v>
      </c>
      <c r="M73" s="1197">
        <f t="shared" si="22"/>
        <v>260.60000000000002</v>
      </c>
      <c r="N73" s="1211">
        <f t="shared" si="23"/>
        <v>261</v>
      </c>
      <c r="O73" s="1212"/>
      <c r="P73" s="1200"/>
      <c r="Q73" s="1997">
        <f>SUM(I62:I65)</f>
        <v>-26.272500000000001</v>
      </c>
      <c r="R73" s="1213"/>
      <c r="S73" s="1213"/>
      <c r="T73" s="1213"/>
      <c r="U73" s="1213"/>
      <c r="V73" s="1213"/>
    </row>
    <row r="74" spans="1:22" ht="15" thickTop="1" thickBot="1" x14ac:dyDescent="0.3">
      <c r="A74" s="1207"/>
      <c r="B74" s="1212"/>
      <c r="C74" s="1212"/>
      <c r="D74" s="1212"/>
      <c r="E74" s="1212"/>
      <c r="F74" s="1208"/>
      <c r="G74" s="1208"/>
      <c r="H74" s="1208"/>
      <c r="I74" s="1209"/>
      <c r="J74" s="1209"/>
      <c r="K74" s="1210">
        <f t="shared" si="8"/>
        <v>1.05</v>
      </c>
      <c r="L74" s="1210">
        <f t="shared" si="21"/>
        <v>0</v>
      </c>
      <c r="M74" s="1197">
        <f t="shared" si="22"/>
        <v>0</v>
      </c>
      <c r="N74" s="1211">
        <f t="shared" si="23"/>
        <v>0</v>
      </c>
      <c r="O74" s="1212"/>
      <c r="P74" s="1200"/>
      <c r="Q74" s="1997">
        <f>SUM(I67:I76)</f>
        <v>-54.901000000000003</v>
      </c>
      <c r="R74" s="1213"/>
      <c r="S74" s="1213"/>
      <c r="T74" s="1213"/>
      <c r="U74" s="1213"/>
      <c r="V74" s="1213"/>
    </row>
    <row r="75" spans="1:22" ht="15" thickTop="1" thickBot="1" x14ac:dyDescent="0.3">
      <c r="A75" s="1207"/>
      <c r="B75" s="1212" t="s">
        <v>1656</v>
      </c>
      <c r="C75" s="1212"/>
      <c r="D75" s="1212"/>
      <c r="E75" s="1212"/>
      <c r="F75" s="1208">
        <v>14.9</v>
      </c>
      <c r="G75" s="1208"/>
      <c r="H75" s="1208"/>
      <c r="I75" s="1209">
        <v>3.8</v>
      </c>
      <c r="J75" s="1209">
        <f>I75*F75</f>
        <v>56.62</v>
      </c>
      <c r="K75" s="1210">
        <f t="shared" si="8"/>
        <v>1.05</v>
      </c>
      <c r="L75" s="1210">
        <f t="shared" si="21"/>
        <v>59.451000000000001</v>
      </c>
      <c r="M75" s="1197">
        <f t="shared" si="22"/>
        <v>59.5</v>
      </c>
      <c r="N75" s="1211">
        <f t="shared" si="23"/>
        <v>60</v>
      </c>
      <c r="O75" s="1212"/>
      <c r="P75" s="1200"/>
      <c r="Q75" s="1992">
        <f>Q73+Q74</f>
        <v>-81.173500000000004</v>
      </c>
      <c r="R75" s="1213"/>
      <c r="S75" s="1213"/>
      <c r="T75" s="1213"/>
      <c r="U75" s="1213"/>
      <c r="V75" s="1213"/>
    </row>
    <row r="76" spans="1:22" ht="15" thickTop="1" thickBot="1" x14ac:dyDescent="0.3">
      <c r="A76" s="1207"/>
      <c r="B76" s="1212"/>
      <c r="C76" s="1212"/>
      <c r="D76" s="1212"/>
      <c r="E76" s="1212"/>
      <c r="F76" s="1208"/>
      <c r="G76" s="1208"/>
      <c r="H76" s="1208"/>
      <c r="I76" s="1209"/>
      <c r="J76" s="1209"/>
      <c r="K76" s="1210">
        <f t="shared" si="8"/>
        <v>1.05</v>
      </c>
      <c r="L76" s="1210">
        <f t="shared" si="21"/>
        <v>0</v>
      </c>
      <c r="M76" s="1197">
        <f t="shared" si="22"/>
        <v>0</v>
      </c>
      <c r="N76" s="1211">
        <f t="shared" si="23"/>
        <v>0</v>
      </c>
      <c r="O76" s="1212"/>
      <c r="P76" s="1200"/>
      <c r="Q76" s="1200"/>
      <c r="R76" s="1213"/>
      <c r="S76" s="1213"/>
      <c r="T76" s="1213"/>
      <c r="U76" s="1213"/>
      <c r="V76" s="1213"/>
    </row>
    <row r="77" spans="1:22" ht="15" thickTop="1" thickBot="1" x14ac:dyDescent="0.3">
      <c r="A77" s="1207"/>
      <c r="B77" s="1212" t="s">
        <v>3283</v>
      </c>
      <c r="C77" s="1212"/>
      <c r="D77" s="1212"/>
      <c r="E77" s="1212"/>
      <c r="F77" s="1208">
        <v>1.85</v>
      </c>
      <c r="G77" s="1208"/>
      <c r="H77" s="1208">
        <v>3.3</v>
      </c>
      <c r="I77" s="1209">
        <f>H77*F77</f>
        <v>6.1049999999999995</v>
      </c>
      <c r="J77" s="1209"/>
      <c r="K77" s="1210">
        <f t="shared" si="8"/>
        <v>1.05</v>
      </c>
      <c r="L77" s="1210">
        <f t="shared" si="21"/>
        <v>0</v>
      </c>
      <c r="M77" s="1197">
        <f t="shared" si="22"/>
        <v>0</v>
      </c>
      <c r="N77" s="1211">
        <f t="shared" si="23"/>
        <v>0</v>
      </c>
      <c r="O77" s="1212"/>
      <c r="P77" s="1200"/>
      <c r="Q77" s="1200"/>
      <c r="R77" s="1213"/>
      <c r="S77" s="1213"/>
      <c r="T77" s="1213"/>
      <c r="U77" s="1213"/>
      <c r="V77" s="1213"/>
    </row>
    <row r="78" spans="1:22" ht="15" thickTop="1" thickBot="1" x14ac:dyDescent="0.3">
      <c r="A78" s="1207"/>
      <c r="B78" s="1212"/>
      <c r="C78" s="1212"/>
      <c r="D78" s="1212"/>
      <c r="E78" s="1212"/>
      <c r="F78" s="1208">
        <v>2.7</v>
      </c>
      <c r="G78" s="1208"/>
      <c r="H78" s="1208">
        <v>3.3</v>
      </c>
      <c r="I78" s="1209">
        <f>H78*F78</f>
        <v>8.91</v>
      </c>
      <c r="J78" s="1209"/>
      <c r="K78" s="1210">
        <f t="shared" si="8"/>
        <v>1.05</v>
      </c>
      <c r="L78" s="1210">
        <f t="shared" si="21"/>
        <v>0</v>
      </c>
      <c r="M78" s="1197">
        <f t="shared" si="22"/>
        <v>0</v>
      </c>
      <c r="N78" s="1211">
        <f t="shared" si="23"/>
        <v>0</v>
      </c>
      <c r="O78" s="1212"/>
      <c r="P78" s="1200"/>
      <c r="Q78" s="1200"/>
      <c r="R78" s="1213"/>
      <c r="S78" s="1213"/>
      <c r="T78" s="1213"/>
      <c r="U78" s="1213"/>
      <c r="V78" s="1213"/>
    </row>
    <row r="79" spans="1:22" ht="15" thickTop="1" thickBot="1" x14ac:dyDescent="0.3">
      <c r="A79" s="1207"/>
      <c r="B79" s="1212" t="s">
        <v>846</v>
      </c>
      <c r="C79" s="1212"/>
      <c r="D79" s="1212"/>
      <c r="E79" s="1212"/>
      <c r="F79" s="1208"/>
      <c r="G79" s="1208"/>
      <c r="H79" s="1208"/>
      <c r="I79" s="1209"/>
      <c r="J79" s="1209"/>
      <c r="K79" s="1210">
        <f t="shared" si="8"/>
        <v>1.05</v>
      </c>
      <c r="L79" s="1210">
        <f t="shared" si="21"/>
        <v>0</v>
      </c>
      <c r="M79" s="1197">
        <f t="shared" si="22"/>
        <v>0</v>
      </c>
      <c r="N79" s="1211">
        <f t="shared" si="23"/>
        <v>0</v>
      </c>
      <c r="O79" s="1212"/>
      <c r="P79" s="1200"/>
      <c r="Q79" s="1200"/>
      <c r="R79" s="1213"/>
      <c r="S79" s="1213"/>
      <c r="T79" s="1213"/>
      <c r="U79" s="1213"/>
      <c r="V79" s="1213"/>
    </row>
    <row r="80" spans="1:22" ht="15" thickTop="1" thickBot="1" x14ac:dyDescent="0.3">
      <c r="A80" s="1207"/>
      <c r="B80" s="1212" t="s">
        <v>792</v>
      </c>
      <c r="C80" s="1212"/>
      <c r="D80" s="1212"/>
      <c r="E80" s="1212">
        <v>1</v>
      </c>
      <c r="F80" s="1208">
        <v>0.8</v>
      </c>
      <c r="G80" s="1208"/>
      <c r="H80" s="1208">
        <v>2.4</v>
      </c>
      <c r="I80" s="1209">
        <f t="shared" ref="I80" si="25">-H80*F80*E80</f>
        <v>-1.92</v>
      </c>
      <c r="J80" s="1209"/>
      <c r="K80" s="1210">
        <f t="shared" si="8"/>
        <v>1.05</v>
      </c>
      <c r="L80" s="1210">
        <f t="shared" si="21"/>
        <v>0</v>
      </c>
      <c r="M80" s="1197">
        <f t="shared" si="22"/>
        <v>0</v>
      </c>
      <c r="N80" s="1211">
        <f t="shared" si="23"/>
        <v>0</v>
      </c>
      <c r="O80" s="1212"/>
      <c r="P80" s="1200"/>
      <c r="Q80" s="1200"/>
      <c r="R80" s="1213"/>
      <c r="S80" s="1213"/>
      <c r="T80" s="1213"/>
      <c r="U80" s="1213"/>
      <c r="V80" s="1213"/>
    </row>
    <row r="81" spans="1:22" ht="15" thickTop="1" thickBot="1" x14ac:dyDescent="0.3">
      <c r="A81" s="1207"/>
      <c r="B81" s="1212"/>
      <c r="C81" s="1212"/>
      <c r="D81" s="1212"/>
      <c r="E81" s="1212"/>
      <c r="F81" s="1208"/>
      <c r="G81" s="1208"/>
      <c r="H81" s="1208"/>
      <c r="I81" s="1209"/>
      <c r="J81" s="1209">
        <f>SUM(I77:I80)</f>
        <v>13.095000000000001</v>
      </c>
      <c r="K81" s="1210">
        <f t="shared" si="8"/>
        <v>1.05</v>
      </c>
      <c r="L81" s="1210">
        <f t="shared" si="21"/>
        <v>13.749750000000001</v>
      </c>
      <c r="M81" s="1197">
        <f t="shared" si="22"/>
        <v>13.7</v>
      </c>
      <c r="N81" s="1211">
        <f t="shared" si="23"/>
        <v>14</v>
      </c>
      <c r="O81" s="1212"/>
      <c r="P81" s="1200"/>
      <c r="Q81" s="1200"/>
      <c r="R81" s="1213"/>
      <c r="S81" s="1213"/>
      <c r="T81" s="1213"/>
      <c r="U81" s="1213"/>
      <c r="V81" s="1213"/>
    </row>
    <row r="82" spans="1:22" ht="15" thickTop="1" thickBot="1" x14ac:dyDescent="0.3">
      <c r="A82" s="1207"/>
      <c r="B82" s="1212"/>
      <c r="C82" s="1212"/>
      <c r="D82" s="1212"/>
      <c r="E82" s="1212"/>
      <c r="F82" s="1208"/>
      <c r="G82" s="1208"/>
      <c r="H82" s="1208"/>
      <c r="I82" s="1209"/>
      <c r="J82" s="1209"/>
      <c r="K82" s="1210">
        <f t="shared" si="8"/>
        <v>1.05</v>
      </c>
      <c r="L82" s="1210">
        <f t="shared" si="21"/>
        <v>0</v>
      </c>
      <c r="M82" s="1197">
        <f t="shared" si="22"/>
        <v>0</v>
      </c>
      <c r="N82" s="1211">
        <f t="shared" si="23"/>
        <v>0</v>
      </c>
      <c r="O82" s="1212"/>
      <c r="P82" s="1200"/>
      <c r="Q82" s="1200"/>
      <c r="R82" s="1213"/>
      <c r="S82" s="1213"/>
      <c r="T82" s="1213"/>
      <c r="U82" s="1213"/>
      <c r="V82" s="1213"/>
    </row>
    <row r="83" spans="1:22" ht="15" thickTop="1" thickBot="1" x14ac:dyDescent="0.3">
      <c r="A83" s="1207"/>
      <c r="B83" s="1212" t="s">
        <v>3284</v>
      </c>
      <c r="C83" s="1212"/>
      <c r="D83" s="1212"/>
      <c r="E83" s="1212"/>
      <c r="F83" s="1208"/>
      <c r="G83" s="1208"/>
      <c r="H83" s="1208"/>
      <c r="I83" s="1209"/>
      <c r="J83" s="1209">
        <v>211</v>
      </c>
      <c r="K83" s="1210">
        <f t="shared" ref="K83:K268" si="26">$K$2</f>
        <v>1.05</v>
      </c>
      <c r="L83" s="1210">
        <f t="shared" si="21"/>
        <v>221.55</v>
      </c>
      <c r="M83" s="1197">
        <f t="shared" si="22"/>
        <v>221.6</v>
      </c>
      <c r="N83" s="1211">
        <f t="shared" si="23"/>
        <v>222</v>
      </c>
      <c r="O83" s="1212"/>
      <c r="P83" s="1200"/>
      <c r="Q83" s="1200"/>
      <c r="R83" s="1213"/>
      <c r="S83" s="1213"/>
      <c r="T83" s="1213"/>
      <c r="U83" s="1213"/>
      <c r="V83" s="1213"/>
    </row>
    <row r="84" spans="1:22" ht="15" thickTop="1" thickBot="1" x14ac:dyDescent="0.3">
      <c r="A84" s="1207"/>
      <c r="B84" s="1212"/>
      <c r="C84" s="1212"/>
      <c r="D84" s="1212"/>
      <c r="E84" s="1212"/>
      <c r="F84" s="1208"/>
      <c r="G84" s="1208"/>
      <c r="H84" s="1208"/>
      <c r="I84" s="1209"/>
      <c r="J84" s="1209"/>
      <c r="K84" s="1210">
        <f t="shared" si="26"/>
        <v>1.05</v>
      </c>
      <c r="L84" s="1210">
        <f t="shared" si="21"/>
        <v>0</v>
      </c>
      <c r="M84" s="1197">
        <f t="shared" si="22"/>
        <v>0</v>
      </c>
      <c r="N84" s="1211">
        <f t="shared" si="23"/>
        <v>0</v>
      </c>
      <c r="O84" s="1212"/>
      <c r="P84" s="1200"/>
      <c r="Q84" s="1200"/>
      <c r="R84" s="1213"/>
      <c r="S84" s="1213"/>
      <c r="T84" s="1213"/>
      <c r="U84" s="1213"/>
      <c r="V84" s="1213"/>
    </row>
    <row r="85" spans="1:22" ht="15" thickTop="1" thickBot="1" x14ac:dyDescent="0.3">
      <c r="A85" s="1207"/>
      <c r="B85" s="1212"/>
      <c r="C85" s="1212"/>
      <c r="D85" s="1212"/>
      <c r="E85" s="1212"/>
      <c r="F85" s="1208"/>
      <c r="G85" s="1208"/>
      <c r="H85" s="1208"/>
      <c r="I85" s="1209"/>
      <c r="J85" s="1209"/>
      <c r="K85" s="1210">
        <f t="shared" si="26"/>
        <v>1.05</v>
      </c>
      <c r="L85" s="1210">
        <f t="shared" si="21"/>
        <v>0</v>
      </c>
      <c r="M85" s="1197">
        <f t="shared" si="22"/>
        <v>0</v>
      </c>
      <c r="N85" s="1211">
        <f t="shared" si="23"/>
        <v>0</v>
      </c>
      <c r="O85" s="1212"/>
      <c r="P85" s="1200"/>
      <c r="Q85" s="1200"/>
      <c r="R85" s="1213"/>
      <c r="S85" s="1213"/>
      <c r="T85" s="1213"/>
      <c r="U85" s="1213"/>
      <c r="V85" s="1213"/>
    </row>
    <row r="86" spans="1:22" ht="15" thickTop="1" thickBot="1" x14ac:dyDescent="0.3">
      <c r="A86" s="1207"/>
      <c r="B86" s="1212" t="s">
        <v>3285</v>
      </c>
      <c r="C86" s="1212"/>
      <c r="D86" s="1212"/>
      <c r="E86" s="1212"/>
      <c r="F86" s="1208">
        <v>5.0999999999999996</v>
      </c>
      <c r="G86" s="1208">
        <v>2.4500000000000002</v>
      </c>
      <c r="H86" s="1208"/>
      <c r="I86" s="1209"/>
      <c r="J86" s="1209">
        <f>G86*F86</f>
        <v>12.494999999999999</v>
      </c>
      <c r="K86" s="1210">
        <f t="shared" si="26"/>
        <v>1.05</v>
      </c>
      <c r="L86" s="1210">
        <f t="shared" si="21"/>
        <v>13.11975</v>
      </c>
      <c r="M86" s="1197">
        <f t="shared" si="22"/>
        <v>13.1</v>
      </c>
      <c r="N86" s="1211">
        <f t="shared" si="23"/>
        <v>14</v>
      </c>
      <c r="O86" s="1212"/>
      <c r="P86" s="1200"/>
      <c r="Q86" s="1200"/>
      <c r="R86" s="1213"/>
      <c r="S86" s="1213"/>
      <c r="T86" s="1213"/>
      <c r="U86" s="1213"/>
      <c r="V86" s="1213"/>
    </row>
    <row r="87" spans="1:22" ht="15" thickTop="1" thickBot="1" x14ac:dyDescent="0.3">
      <c r="A87" s="1207"/>
      <c r="B87" s="1212"/>
      <c r="C87" s="1212"/>
      <c r="D87" s="1212"/>
      <c r="E87" s="1212"/>
      <c r="F87" s="1208"/>
      <c r="G87" s="1208"/>
      <c r="H87" s="1208"/>
      <c r="I87" s="1209"/>
      <c r="J87" s="1209"/>
      <c r="K87" s="1210">
        <f t="shared" si="26"/>
        <v>1.05</v>
      </c>
      <c r="L87" s="1210">
        <f t="shared" si="21"/>
        <v>0</v>
      </c>
      <c r="M87" s="1197">
        <f t="shared" si="22"/>
        <v>0</v>
      </c>
      <c r="N87" s="1211">
        <f t="shared" si="23"/>
        <v>0</v>
      </c>
      <c r="O87" s="1212"/>
      <c r="P87" s="1200"/>
      <c r="Q87" s="1200"/>
      <c r="R87" s="1213"/>
      <c r="S87" s="1213"/>
      <c r="T87" s="1213"/>
      <c r="U87" s="1213"/>
      <c r="V87" s="1213"/>
    </row>
    <row r="88" spans="1:22" ht="15" thickTop="1" thickBot="1" x14ac:dyDescent="0.3">
      <c r="A88" s="1207"/>
      <c r="B88" s="1212"/>
      <c r="C88" s="1212"/>
      <c r="D88" s="1212"/>
      <c r="E88" s="1212"/>
      <c r="F88" s="1208"/>
      <c r="G88" s="1208"/>
      <c r="H88" s="1208"/>
      <c r="I88" s="1209"/>
      <c r="J88" s="1209"/>
      <c r="K88" s="1210">
        <f t="shared" si="26"/>
        <v>1.05</v>
      </c>
      <c r="L88" s="1210">
        <f t="shared" si="21"/>
        <v>0</v>
      </c>
      <c r="M88" s="1197">
        <f t="shared" si="22"/>
        <v>0</v>
      </c>
      <c r="N88" s="1211">
        <f t="shared" si="23"/>
        <v>0</v>
      </c>
      <c r="O88" s="1212"/>
      <c r="P88" s="1200"/>
      <c r="Q88" s="1200"/>
      <c r="R88" s="1213"/>
      <c r="S88" s="1213"/>
      <c r="T88" s="1213"/>
      <c r="U88" s="1213"/>
      <c r="V88" s="1213"/>
    </row>
    <row r="89" spans="1:22" ht="15" thickTop="1" thickBot="1" x14ac:dyDescent="0.3">
      <c r="A89" s="1207"/>
      <c r="B89" s="1212" t="s">
        <v>3286</v>
      </c>
      <c r="C89" s="1212"/>
      <c r="D89" s="1212"/>
      <c r="E89" s="1212"/>
      <c r="F89" s="1208"/>
      <c r="G89" s="1208"/>
      <c r="H89" s="1208"/>
      <c r="I89" s="1209"/>
      <c r="J89" s="1209"/>
      <c r="K89" s="1210">
        <f t="shared" si="26"/>
        <v>1.05</v>
      </c>
      <c r="L89" s="1210">
        <f t="shared" si="21"/>
        <v>0</v>
      </c>
      <c r="M89" s="1197">
        <f t="shared" si="22"/>
        <v>0</v>
      </c>
      <c r="N89" s="1211">
        <f t="shared" si="23"/>
        <v>0</v>
      </c>
      <c r="O89" s="1212"/>
      <c r="P89" s="1200"/>
      <c r="Q89" s="1200"/>
      <c r="R89" s="1213"/>
      <c r="S89" s="1213"/>
      <c r="T89" s="1213"/>
      <c r="U89" s="1213"/>
      <c r="V89" s="1213"/>
    </row>
    <row r="90" spans="1:22" ht="15" thickTop="1" thickBot="1" x14ac:dyDescent="0.3">
      <c r="A90" s="1207"/>
      <c r="B90" s="1212" t="s">
        <v>1834</v>
      </c>
      <c r="C90" s="1212"/>
      <c r="D90" s="1212"/>
      <c r="E90" s="1212">
        <v>1</v>
      </c>
      <c r="F90" s="1208">
        <v>1.5</v>
      </c>
      <c r="G90" s="1208">
        <v>3.3</v>
      </c>
      <c r="H90" s="1208"/>
      <c r="I90" s="1209">
        <f>G90*F90*E90</f>
        <v>4.9499999999999993</v>
      </c>
      <c r="J90" s="1209"/>
      <c r="K90" s="1210"/>
      <c r="L90" s="1210"/>
      <c r="M90" s="1197"/>
      <c r="N90" s="1211"/>
      <c r="O90" s="1212"/>
      <c r="P90" s="1200"/>
      <c r="Q90" s="1200"/>
      <c r="R90" s="1213"/>
      <c r="S90" s="1213"/>
      <c r="T90" s="1213"/>
      <c r="U90" s="1213"/>
      <c r="V90" s="1213"/>
    </row>
    <row r="91" spans="1:22" ht="15" thickTop="1" thickBot="1" x14ac:dyDescent="0.3">
      <c r="A91" s="1207"/>
      <c r="B91" s="1212"/>
      <c r="C91" s="1212"/>
      <c r="D91" s="1212"/>
      <c r="E91" s="1212">
        <v>2</v>
      </c>
      <c r="F91" s="1208">
        <f>F90</f>
        <v>1.5</v>
      </c>
      <c r="G91" s="1208"/>
      <c r="H91" s="1208">
        <v>1.5</v>
      </c>
      <c r="I91" s="1209">
        <f>H91*F91*E91</f>
        <v>4.5</v>
      </c>
      <c r="J91" s="1209"/>
      <c r="K91" s="1210">
        <f t="shared" si="26"/>
        <v>1.05</v>
      </c>
      <c r="L91" s="1210">
        <f t="shared" si="21"/>
        <v>0</v>
      </c>
      <c r="M91" s="1197">
        <f t="shared" si="22"/>
        <v>0</v>
      </c>
      <c r="N91" s="1211">
        <f t="shared" si="23"/>
        <v>0</v>
      </c>
      <c r="O91" s="1212"/>
      <c r="P91" s="1200"/>
      <c r="Q91" s="1200"/>
      <c r="R91" s="1213"/>
      <c r="S91" s="1213"/>
      <c r="T91" s="1213"/>
      <c r="U91" s="1213"/>
      <c r="V91" s="1213"/>
    </row>
    <row r="92" spans="1:22" ht="15" thickTop="1" thickBot="1" x14ac:dyDescent="0.3">
      <c r="A92" s="1207"/>
      <c r="B92" s="1212"/>
      <c r="C92" s="1212"/>
      <c r="D92" s="1212"/>
      <c r="E92" s="1212">
        <v>2</v>
      </c>
      <c r="F92" s="1208">
        <f>G90</f>
        <v>3.3</v>
      </c>
      <c r="G92" s="1208"/>
      <c r="H92" s="1208">
        <v>1.5</v>
      </c>
      <c r="I92" s="1209">
        <f>H92*F92*E92</f>
        <v>9.8999999999999986</v>
      </c>
      <c r="J92" s="1209"/>
      <c r="K92" s="1210">
        <f t="shared" si="26"/>
        <v>1.05</v>
      </c>
      <c r="L92" s="1210">
        <f t="shared" si="21"/>
        <v>0</v>
      </c>
      <c r="M92" s="1197">
        <f t="shared" si="22"/>
        <v>0</v>
      </c>
      <c r="N92" s="1211">
        <f t="shared" si="23"/>
        <v>0</v>
      </c>
      <c r="O92" s="1212"/>
      <c r="P92" s="1200"/>
      <c r="Q92" s="1200"/>
      <c r="R92" s="1213"/>
      <c r="S92" s="1213"/>
      <c r="T92" s="1213"/>
      <c r="U92" s="1213"/>
      <c r="V92" s="1213"/>
    </row>
    <row r="93" spans="1:22" ht="15" thickTop="1" thickBot="1" x14ac:dyDescent="0.3">
      <c r="A93" s="1207"/>
      <c r="B93" s="1212" t="s">
        <v>846</v>
      </c>
      <c r="C93" s="1212"/>
      <c r="D93" s="1212"/>
      <c r="E93" s="1212"/>
      <c r="F93" s="1208"/>
      <c r="G93" s="1208"/>
      <c r="H93" s="1208"/>
      <c r="I93" s="1209"/>
      <c r="J93" s="1209"/>
      <c r="K93" s="1210">
        <f t="shared" si="26"/>
        <v>1.05</v>
      </c>
      <c r="L93" s="1210">
        <f t="shared" si="21"/>
        <v>0</v>
      </c>
      <c r="M93" s="1197">
        <f t="shared" si="22"/>
        <v>0</v>
      </c>
      <c r="N93" s="1211">
        <f t="shared" si="23"/>
        <v>0</v>
      </c>
      <c r="O93" s="1212"/>
      <c r="P93" s="1200"/>
      <c r="Q93" s="1200"/>
      <c r="R93" s="1213"/>
      <c r="S93" s="1213"/>
      <c r="T93" s="1213"/>
      <c r="U93" s="1213"/>
      <c r="V93" s="1213"/>
    </row>
    <row r="94" spans="1:22" ht="15" thickTop="1" thickBot="1" x14ac:dyDescent="0.3">
      <c r="A94" s="1207"/>
      <c r="B94" s="1212" t="s">
        <v>792</v>
      </c>
      <c r="C94" s="1212"/>
      <c r="D94" s="1212"/>
      <c r="E94" s="1212">
        <v>1</v>
      </c>
      <c r="F94" s="1208">
        <v>0.8</v>
      </c>
      <c r="G94" s="1208"/>
      <c r="H94" s="1208">
        <v>2.4</v>
      </c>
      <c r="I94" s="1209">
        <f t="shared" ref="I94" si="27">-H94*F94*E94</f>
        <v>-1.92</v>
      </c>
      <c r="J94" s="1209">
        <f>SUM(I90:I94)</f>
        <v>17.43</v>
      </c>
      <c r="K94" s="1210">
        <f t="shared" si="26"/>
        <v>1.05</v>
      </c>
      <c r="L94" s="1210">
        <f t="shared" si="21"/>
        <v>18.301500000000001</v>
      </c>
      <c r="M94" s="1197">
        <f t="shared" si="22"/>
        <v>18.3</v>
      </c>
      <c r="N94" s="1211">
        <f t="shared" si="23"/>
        <v>19</v>
      </c>
      <c r="O94" s="1212"/>
      <c r="P94" s="1200"/>
      <c r="Q94" s="1200"/>
      <c r="R94" s="1213"/>
      <c r="S94" s="1213"/>
      <c r="T94" s="1213"/>
      <c r="U94" s="1213"/>
      <c r="V94" s="1213"/>
    </row>
    <row r="95" spans="1:22" ht="15" thickTop="1" thickBot="1" x14ac:dyDescent="0.3">
      <c r="A95" s="1207"/>
      <c r="B95" s="1212"/>
      <c r="C95" s="1212"/>
      <c r="D95" s="1212"/>
      <c r="E95" s="1212"/>
      <c r="F95" s="1208"/>
      <c r="G95" s="1208"/>
      <c r="H95" s="1208"/>
      <c r="I95" s="1209"/>
      <c r="J95" s="1209"/>
      <c r="K95" s="1210">
        <f t="shared" si="26"/>
        <v>1.05</v>
      </c>
      <c r="L95" s="1210">
        <f t="shared" si="21"/>
        <v>0</v>
      </c>
      <c r="M95" s="1197">
        <f t="shared" si="22"/>
        <v>0</v>
      </c>
      <c r="N95" s="1211">
        <f t="shared" si="23"/>
        <v>0</v>
      </c>
      <c r="O95" s="1212"/>
      <c r="P95" s="1200"/>
      <c r="Q95" s="1200"/>
      <c r="R95" s="1213"/>
      <c r="S95" s="1213"/>
      <c r="T95" s="1213"/>
      <c r="U95" s="1213"/>
      <c r="V95" s="1213"/>
    </row>
    <row r="96" spans="1:22" ht="15" thickTop="1" thickBot="1" x14ac:dyDescent="0.3">
      <c r="A96" s="1207"/>
      <c r="B96" s="1212"/>
      <c r="C96" s="1212"/>
      <c r="D96" s="1212"/>
      <c r="E96" s="1212"/>
      <c r="F96" s="1208"/>
      <c r="G96" s="1208"/>
      <c r="H96" s="1208"/>
      <c r="I96" s="1209"/>
      <c r="J96" s="1209"/>
      <c r="K96" s="1210">
        <f t="shared" si="26"/>
        <v>1.05</v>
      </c>
      <c r="L96" s="1210">
        <f t="shared" si="21"/>
        <v>0</v>
      </c>
      <c r="M96" s="1197">
        <f t="shared" si="22"/>
        <v>0</v>
      </c>
      <c r="N96" s="1211">
        <f t="shared" si="23"/>
        <v>0</v>
      </c>
      <c r="O96" s="1212"/>
      <c r="P96" s="1200"/>
      <c r="Q96" s="1200"/>
      <c r="R96" s="1213"/>
      <c r="S96" s="1213"/>
      <c r="T96" s="1213"/>
      <c r="U96" s="1213"/>
      <c r="V96" s="1213"/>
    </row>
    <row r="97" spans="1:22" ht="15" thickTop="1" thickBot="1" x14ac:dyDescent="0.3">
      <c r="A97" s="1207"/>
      <c r="B97" s="1212" t="s">
        <v>1543</v>
      </c>
      <c r="C97" s="1212"/>
      <c r="D97" s="1212"/>
      <c r="E97" s="1212">
        <v>1</v>
      </c>
      <c r="F97" s="1208">
        <v>1.5</v>
      </c>
      <c r="G97" s="1208">
        <v>3.3</v>
      </c>
      <c r="H97" s="1208"/>
      <c r="I97" s="1209">
        <f>G97*F97*E97</f>
        <v>4.9499999999999993</v>
      </c>
      <c r="J97" s="1209">
        <f>I97</f>
        <v>4.9499999999999993</v>
      </c>
      <c r="K97" s="1210">
        <f t="shared" si="26"/>
        <v>1.05</v>
      </c>
      <c r="L97" s="1210">
        <f t="shared" ref="L97:L102" si="28">K97*J97</f>
        <v>5.1974999999999998</v>
      </c>
      <c r="M97" s="1197">
        <f t="shared" ref="M97:M102" si="29">ROUND(L97,1)</f>
        <v>5.2</v>
      </c>
      <c r="N97" s="1211">
        <f t="shared" ref="N97:N102" si="30">ROUNDUP(M97,0)</f>
        <v>6</v>
      </c>
      <c r="O97" s="1212"/>
      <c r="P97" s="1200"/>
      <c r="Q97" s="1200"/>
      <c r="R97" s="1213"/>
      <c r="S97" s="1213"/>
      <c r="T97" s="1213"/>
      <c r="U97" s="1213"/>
      <c r="V97" s="1213"/>
    </row>
    <row r="98" spans="1:22" ht="15" thickTop="1" thickBot="1" x14ac:dyDescent="0.3">
      <c r="A98" s="1207"/>
      <c r="B98" s="1212"/>
      <c r="C98" s="1212"/>
      <c r="D98" s="1212"/>
      <c r="E98" s="1212"/>
      <c r="F98" s="1208"/>
      <c r="G98" s="1208"/>
      <c r="H98" s="1208"/>
      <c r="I98" s="1209"/>
      <c r="J98" s="1209"/>
      <c r="K98" s="1210">
        <f t="shared" si="26"/>
        <v>1.05</v>
      </c>
      <c r="L98" s="1210">
        <f t="shared" si="28"/>
        <v>0</v>
      </c>
      <c r="M98" s="1197">
        <f t="shared" si="29"/>
        <v>0</v>
      </c>
      <c r="N98" s="1211">
        <f t="shared" si="30"/>
        <v>0</v>
      </c>
      <c r="O98" s="1212"/>
      <c r="P98" s="1200"/>
      <c r="Q98" s="1200"/>
      <c r="R98" s="1213"/>
      <c r="S98" s="1213"/>
      <c r="T98" s="1213"/>
      <c r="U98" s="1213"/>
      <c r="V98" s="1213"/>
    </row>
    <row r="99" spans="1:22" ht="15" thickTop="1" thickBot="1" x14ac:dyDescent="0.3">
      <c r="A99" s="1207"/>
      <c r="B99" s="1212" t="s">
        <v>3293</v>
      </c>
      <c r="C99" s="1212"/>
      <c r="D99" s="1212"/>
      <c r="E99" s="1212"/>
      <c r="F99" s="1208"/>
      <c r="G99" s="1208"/>
      <c r="H99" s="1208"/>
      <c r="I99" s="1209"/>
      <c r="J99" s="1209"/>
      <c r="K99" s="1210">
        <f t="shared" si="26"/>
        <v>1.05</v>
      </c>
      <c r="L99" s="1210">
        <f t="shared" si="28"/>
        <v>0</v>
      </c>
      <c r="M99" s="1197">
        <f t="shared" si="29"/>
        <v>0</v>
      </c>
      <c r="N99" s="1211">
        <f t="shared" si="30"/>
        <v>0</v>
      </c>
      <c r="O99" s="1212"/>
      <c r="P99" s="1200"/>
      <c r="Q99" s="1200"/>
      <c r="R99" s="1213"/>
      <c r="S99" s="1213"/>
      <c r="T99" s="1213"/>
      <c r="U99" s="1213"/>
      <c r="V99" s="1213"/>
    </row>
    <row r="100" spans="1:22" ht="15" thickTop="1" thickBot="1" x14ac:dyDescent="0.3">
      <c r="A100" s="1207"/>
      <c r="B100" s="1212"/>
      <c r="C100" s="1212"/>
      <c r="D100" s="1212"/>
      <c r="E100" s="1212">
        <v>2</v>
      </c>
      <c r="F100" s="1208">
        <f>F97</f>
        <v>1.5</v>
      </c>
      <c r="G100" s="1208"/>
      <c r="H100" s="1208">
        <v>3.3</v>
      </c>
      <c r="I100" s="1209">
        <f>H100*F100*E100</f>
        <v>9.8999999999999986</v>
      </c>
      <c r="J100" s="1209"/>
      <c r="K100" s="1210">
        <f t="shared" si="26"/>
        <v>1.05</v>
      </c>
      <c r="L100" s="1210">
        <f t="shared" si="28"/>
        <v>0</v>
      </c>
      <c r="M100" s="1197">
        <f t="shared" si="29"/>
        <v>0</v>
      </c>
      <c r="N100" s="1211">
        <f t="shared" si="30"/>
        <v>0</v>
      </c>
      <c r="O100" s="1212"/>
      <c r="P100" s="1200"/>
      <c r="Q100" s="1200"/>
      <c r="R100" s="1213"/>
      <c r="S100" s="1213"/>
      <c r="T100" s="1213"/>
      <c r="U100" s="1213"/>
      <c r="V100" s="1213"/>
    </row>
    <row r="101" spans="1:22" ht="15" thickTop="1" thickBot="1" x14ac:dyDescent="0.3">
      <c r="A101" s="1207"/>
      <c r="B101" s="1212"/>
      <c r="C101" s="1212"/>
      <c r="D101" s="1212"/>
      <c r="E101" s="1212">
        <v>2</v>
      </c>
      <c r="F101" s="1208">
        <f>G97</f>
        <v>3.3</v>
      </c>
      <c r="G101" s="1208"/>
      <c r="H101" s="1208">
        <v>3.3</v>
      </c>
      <c r="I101" s="1209">
        <f>H101*F101*E101</f>
        <v>21.779999999999998</v>
      </c>
      <c r="J101" s="1209"/>
      <c r="K101" s="1210">
        <f t="shared" si="26"/>
        <v>1.05</v>
      </c>
      <c r="L101" s="1210">
        <f t="shared" si="28"/>
        <v>0</v>
      </c>
      <c r="M101" s="1197">
        <f t="shared" si="29"/>
        <v>0</v>
      </c>
      <c r="N101" s="1211">
        <f t="shared" si="30"/>
        <v>0</v>
      </c>
      <c r="O101" s="1212"/>
      <c r="P101" s="1200"/>
      <c r="Q101" s="1200"/>
      <c r="R101" s="1213"/>
      <c r="S101" s="1213"/>
      <c r="T101" s="1213"/>
      <c r="U101" s="1213"/>
      <c r="V101" s="1213"/>
    </row>
    <row r="102" spans="1:22" ht="15" thickTop="1" thickBot="1" x14ac:dyDescent="0.3">
      <c r="A102" s="1207"/>
      <c r="B102" s="1212" t="s">
        <v>846</v>
      </c>
      <c r="C102" s="1212"/>
      <c r="D102" s="1212"/>
      <c r="E102" s="1212"/>
      <c r="F102" s="1208"/>
      <c r="G102" s="1208"/>
      <c r="H102" s="1208"/>
      <c r="I102" s="1209"/>
      <c r="J102" s="1209"/>
      <c r="K102" s="1210">
        <f t="shared" si="26"/>
        <v>1.05</v>
      </c>
      <c r="L102" s="1210">
        <f t="shared" si="28"/>
        <v>0</v>
      </c>
      <c r="M102" s="1197">
        <f t="shared" si="29"/>
        <v>0</v>
      </c>
      <c r="N102" s="1211">
        <f t="shared" si="30"/>
        <v>0</v>
      </c>
      <c r="O102" s="1212"/>
      <c r="P102" s="1200"/>
      <c r="Q102" s="1200"/>
      <c r="R102" s="1213"/>
      <c r="S102" s="1213"/>
      <c r="T102" s="1213"/>
      <c r="U102" s="1213"/>
      <c r="V102" s="1213"/>
    </row>
    <row r="103" spans="1:22" ht="15" thickTop="1" thickBot="1" x14ac:dyDescent="0.3">
      <c r="A103" s="1207"/>
      <c r="B103" s="1212" t="s">
        <v>792</v>
      </c>
      <c r="C103" s="1212"/>
      <c r="D103" s="1212"/>
      <c r="E103" s="1212">
        <v>1</v>
      </c>
      <c r="F103" s="1208">
        <v>0.8</v>
      </c>
      <c r="G103" s="1208"/>
      <c r="H103" s="1208">
        <v>2.4</v>
      </c>
      <c r="I103" s="1209">
        <f t="shared" ref="I103" si="31">-H103*F103*E103</f>
        <v>-1.92</v>
      </c>
      <c r="J103" s="1209">
        <f>SUM(I99:I103)</f>
        <v>29.759999999999998</v>
      </c>
      <c r="K103" s="1210">
        <f t="shared" si="26"/>
        <v>1.05</v>
      </c>
      <c r="L103" s="1210">
        <f t="shared" ref="L103:L105" si="32">K103*J103</f>
        <v>31.247999999999998</v>
      </c>
      <c r="M103" s="1197">
        <f t="shared" ref="M103:M105" si="33">ROUND(L103,1)</f>
        <v>31.2</v>
      </c>
      <c r="N103" s="1211">
        <f t="shared" ref="N103:N105" si="34">ROUNDUP(M103,0)</f>
        <v>32</v>
      </c>
      <c r="O103" s="1212"/>
      <c r="P103" s="1200"/>
      <c r="Q103" s="1200"/>
      <c r="R103" s="1213"/>
      <c r="S103" s="1213"/>
      <c r="T103" s="1213"/>
      <c r="U103" s="1213"/>
      <c r="V103" s="1213"/>
    </row>
    <row r="104" spans="1:22" ht="15" thickTop="1" thickBot="1" x14ac:dyDescent="0.3">
      <c r="A104" s="1207"/>
      <c r="B104" s="1212"/>
      <c r="C104" s="1212"/>
      <c r="D104" s="1212"/>
      <c r="E104" s="1212"/>
      <c r="F104" s="1208"/>
      <c r="G104" s="1208"/>
      <c r="H104" s="1208"/>
      <c r="I104" s="1209"/>
      <c r="J104" s="1209"/>
      <c r="K104" s="1210">
        <f t="shared" si="26"/>
        <v>1.05</v>
      </c>
      <c r="L104" s="1210">
        <f t="shared" si="32"/>
        <v>0</v>
      </c>
      <c r="M104" s="1197">
        <f t="shared" si="33"/>
        <v>0</v>
      </c>
      <c r="N104" s="1211">
        <f t="shared" si="34"/>
        <v>0</v>
      </c>
      <c r="O104" s="1212"/>
      <c r="P104" s="1200"/>
      <c r="Q104" s="1200"/>
      <c r="R104" s="1213"/>
      <c r="S104" s="1213"/>
      <c r="T104" s="1213"/>
      <c r="U104" s="1213"/>
      <c r="V104" s="1213"/>
    </row>
    <row r="105" spans="1:22" ht="15" thickTop="1" thickBot="1" x14ac:dyDescent="0.3">
      <c r="A105" s="1207"/>
      <c r="B105" s="1212"/>
      <c r="C105" s="1212"/>
      <c r="D105" s="1212"/>
      <c r="E105" s="1212"/>
      <c r="F105" s="1208"/>
      <c r="G105" s="1208"/>
      <c r="H105" s="1208"/>
      <c r="I105" s="1209"/>
      <c r="J105" s="1209"/>
      <c r="K105" s="1210">
        <f t="shared" si="26"/>
        <v>1.05</v>
      </c>
      <c r="L105" s="1210">
        <f t="shared" si="32"/>
        <v>0</v>
      </c>
      <c r="M105" s="1197">
        <f t="shared" si="33"/>
        <v>0</v>
      </c>
      <c r="N105" s="1211">
        <f t="shared" si="34"/>
        <v>0</v>
      </c>
      <c r="O105" s="1212"/>
      <c r="P105" s="1200"/>
      <c r="Q105" s="1200"/>
      <c r="R105" s="1213"/>
      <c r="S105" s="1213"/>
      <c r="T105" s="1213"/>
      <c r="U105" s="1213"/>
      <c r="V105" s="1213"/>
    </row>
    <row r="106" spans="1:22" ht="15" thickTop="1" thickBot="1" x14ac:dyDescent="0.3">
      <c r="A106" s="1207"/>
      <c r="B106" s="1212"/>
      <c r="C106" s="1212"/>
      <c r="D106" s="1212"/>
      <c r="E106" s="1212"/>
      <c r="F106" s="1208"/>
      <c r="G106" s="1208"/>
      <c r="H106" s="1208"/>
      <c r="I106" s="1209"/>
      <c r="J106" s="1209"/>
      <c r="K106" s="1210"/>
      <c r="L106" s="1210"/>
      <c r="M106" s="1197"/>
      <c r="N106" s="1211"/>
      <c r="O106" s="1212"/>
      <c r="P106" s="1200"/>
      <c r="Q106" s="1200"/>
      <c r="R106" s="1213"/>
      <c r="S106" s="1213"/>
      <c r="T106" s="1213"/>
      <c r="U106" s="1213"/>
      <c r="V106" s="1213"/>
    </row>
    <row r="107" spans="1:22" ht="15" thickTop="1" thickBot="1" x14ac:dyDescent="0.3">
      <c r="A107" s="1207"/>
      <c r="B107" s="1212"/>
      <c r="C107" s="1212"/>
      <c r="D107" s="1212"/>
      <c r="E107" s="1212"/>
      <c r="F107" s="1208"/>
      <c r="G107" s="1208"/>
      <c r="H107" s="1208"/>
      <c r="I107" s="1209"/>
      <c r="J107" s="1209"/>
      <c r="K107" s="1210"/>
      <c r="L107" s="1210"/>
      <c r="M107" s="1197"/>
      <c r="N107" s="1211"/>
      <c r="O107" s="1212"/>
      <c r="P107" s="1200"/>
      <c r="Q107" s="1200"/>
      <c r="R107" s="1213"/>
      <c r="S107" s="1213"/>
      <c r="T107" s="1213"/>
      <c r="U107" s="1213"/>
      <c r="V107" s="1213"/>
    </row>
    <row r="108" spans="1:22" ht="15" thickTop="1" thickBot="1" x14ac:dyDescent="0.3">
      <c r="A108" s="1207"/>
      <c r="B108" s="1212" t="s">
        <v>1473</v>
      </c>
      <c r="C108" s="1212"/>
      <c r="D108" s="1212"/>
      <c r="E108" s="1212">
        <v>2</v>
      </c>
      <c r="F108" s="1208">
        <v>1.5</v>
      </c>
      <c r="G108" s="1208">
        <v>3.3</v>
      </c>
      <c r="H108" s="1208"/>
      <c r="I108" s="1209">
        <f>G108*F108*E108</f>
        <v>9.8999999999999986</v>
      </c>
      <c r="J108" s="1209"/>
      <c r="K108" s="1210">
        <f t="shared" si="26"/>
        <v>1.05</v>
      </c>
      <c r="L108" s="1210">
        <f t="shared" si="21"/>
        <v>0</v>
      </c>
      <c r="M108" s="1197">
        <f t="shared" si="22"/>
        <v>0</v>
      </c>
      <c r="N108" s="1211">
        <f t="shared" si="23"/>
        <v>0</v>
      </c>
      <c r="O108" s="1212"/>
      <c r="P108" s="1200"/>
      <c r="Q108" s="1200"/>
      <c r="R108" s="1213"/>
      <c r="S108" s="1213"/>
      <c r="T108" s="1213"/>
      <c r="U108" s="1213"/>
      <c r="V108" s="1213"/>
    </row>
    <row r="109" spans="1:22" ht="15" thickTop="1" thickBot="1" x14ac:dyDescent="0.3">
      <c r="A109" s="1207"/>
      <c r="B109" s="1212"/>
      <c r="C109" s="1212"/>
      <c r="D109" s="1212"/>
      <c r="E109" s="1212">
        <v>4</v>
      </c>
      <c r="F109" s="1208">
        <f>F108</f>
        <v>1.5</v>
      </c>
      <c r="G109" s="1208"/>
      <c r="H109" s="1208">
        <v>1.5</v>
      </c>
      <c r="I109" s="1209">
        <f>H109*F109*E109</f>
        <v>9</v>
      </c>
      <c r="J109" s="1209"/>
      <c r="K109" s="1210">
        <f t="shared" si="26"/>
        <v>1.05</v>
      </c>
      <c r="L109" s="1210">
        <f t="shared" si="21"/>
        <v>0</v>
      </c>
      <c r="M109" s="1197">
        <f t="shared" si="22"/>
        <v>0</v>
      </c>
      <c r="N109" s="1211">
        <f t="shared" si="23"/>
        <v>0</v>
      </c>
      <c r="O109" s="1212"/>
      <c r="P109" s="1200"/>
      <c r="Q109" s="1200"/>
      <c r="R109" s="1213"/>
      <c r="S109" s="1213"/>
      <c r="T109" s="1213"/>
      <c r="U109" s="1213"/>
      <c r="V109" s="1213"/>
    </row>
    <row r="110" spans="1:22" ht="15" thickTop="1" thickBot="1" x14ac:dyDescent="0.3">
      <c r="A110" s="1207"/>
      <c r="B110" s="1212"/>
      <c r="C110" s="1212"/>
      <c r="D110" s="1212"/>
      <c r="E110" s="1212">
        <v>4</v>
      </c>
      <c r="F110" s="1208">
        <f>G108</f>
        <v>3.3</v>
      </c>
      <c r="G110" s="1208"/>
      <c r="H110" s="1208">
        <v>1.5</v>
      </c>
      <c r="I110" s="1209">
        <f>H110*F110*E110</f>
        <v>19.799999999999997</v>
      </c>
      <c r="J110" s="1209"/>
      <c r="K110" s="1210">
        <f t="shared" si="26"/>
        <v>1.05</v>
      </c>
      <c r="L110" s="1210">
        <f t="shared" si="21"/>
        <v>0</v>
      </c>
      <c r="M110" s="1197">
        <f t="shared" si="22"/>
        <v>0</v>
      </c>
      <c r="N110" s="1211">
        <f t="shared" si="23"/>
        <v>0</v>
      </c>
      <c r="O110" s="1212"/>
      <c r="P110" s="1200"/>
      <c r="Q110" s="1200"/>
      <c r="R110" s="1213"/>
      <c r="S110" s="1213"/>
      <c r="T110" s="1213"/>
      <c r="U110" s="1213"/>
      <c r="V110" s="1213"/>
    </row>
    <row r="111" spans="1:22" ht="15" thickTop="1" thickBot="1" x14ac:dyDescent="0.3">
      <c r="A111" s="1207"/>
      <c r="B111" s="1212"/>
      <c r="C111" s="1212"/>
      <c r="D111" s="1212"/>
      <c r="E111" s="1212">
        <v>1</v>
      </c>
      <c r="F111" s="1208">
        <v>1.8</v>
      </c>
      <c r="G111" s="1208">
        <v>2.7</v>
      </c>
      <c r="H111" s="1208"/>
      <c r="I111" s="1209">
        <f>G111*F111*E111</f>
        <v>4.8600000000000003</v>
      </c>
      <c r="J111" s="1209"/>
      <c r="K111" s="1210">
        <f t="shared" si="26"/>
        <v>1.05</v>
      </c>
      <c r="L111" s="1210">
        <f t="shared" si="21"/>
        <v>0</v>
      </c>
      <c r="M111" s="1197">
        <f t="shared" si="22"/>
        <v>0</v>
      </c>
      <c r="N111" s="1211">
        <f t="shared" si="23"/>
        <v>0</v>
      </c>
      <c r="O111" s="1212"/>
      <c r="P111" s="1200"/>
      <c r="Q111" s="1200"/>
      <c r="R111" s="1213"/>
      <c r="S111" s="1213"/>
      <c r="T111" s="1213"/>
      <c r="U111" s="1213"/>
      <c r="V111" s="1213"/>
    </row>
    <row r="112" spans="1:22" ht="15" thickTop="1" thickBot="1" x14ac:dyDescent="0.3">
      <c r="A112" s="1207"/>
      <c r="B112" s="1212"/>
      <c r="C112" s="1212"/>
      <c r="D112" s="1212"/>
      <c r="E112" s="1212">
        <v>2</v>
      </c>
      <c r="F112" s="1208">
        <f>F111</f>
        <v>1.8</v>
      </c>
      <c r="G112" s="1208"/>
      <c r="H112" s="1208">
        <v>1.5</v>
      </c>
      <c r="I112" s="1209">
        <f>H112*F112*E112</f>
        <v>5.4</v>
      </c>
      <c r="J112" s="1209"/>
      <c r="K112" s="1210">
        <f t="shared" si="26"/>
        <v>1.05</v>
      </c>
      <c r="L112" s="1210">
        <f t="shared" si="21"/>
        <v>0</v>
      </c>
      <c r="M112" s="1197">
        <f t="shared" si="22"/>
        <v>0</v>
      </c>
      <c r="N112" s="1211">
        <f t="shared" si="23"/>
        <v>0</v>
      </c>
      <c r="O112" s="1212"/>
      <c r="P112" s="1200"/>
      <c r="Q112" s="1200"/>
      <c r="R112" s="1213"/>
      <c r="S112" s="1213"/>
      <c r="T112" s="1213"/>
      <c r="U112" s="1213"/>
      <c r="V112" s="1213"/>
    </row>
    <row r="113" spans="1:22" ht="15" thickTop="1" thickBot="1" x14ac:dyDescent="0.3">
      <c r="A113" s="1207"/>
      <c r="B113" s="1212"/>
      <c r="C113" s="1212"/>
      <c r="D113" s="1212"/>
      <c r="E113" s="1212">
        <v>2</v>
      </c>
      <c r="F113" s="1208">
        <f>G111</f>
        <v>2.7</v>
      </c>
      <c r="G113" s="1208"/>
      <c r="H113" s="1208">
        <v>1.5</v>
      </c>
      <c r="I113" s="1209">
        <f>H113*F113*E113</f>
        <v>8.1000000000000014</v>
      </c>
      <c r="J113" s="1209"/>
      <c r="K113" s="1210">
        <f t="shared" si="26"/>
        <v>1.05</v>
      </c>
      <c r="L113" s="1210">
        <f t="shared" si="21"/>
        <v>0</v>
      </c>
      <c r="M113" s="1197">
        <f t="shared" si="22"/>
        <v>0</v>
      </c>
      <c r="N113" s="1211">
        <f t="shared" si="23"/>
        <v>0</v>
      </c>
      <c r="O113" s="1212"/>
      <c r="P113" s="1200"/>
      <c r="Q113" s="1200"/>
      <c r="R113" s="1213"/>
      <c r="S113" s="1213"/>
      <c r="T113" s="1213"/>
      <c r="U113" s="1213"/>
      <c r="V113" s="1213"/>
    </row>
    <row r="114" spans="1:22" ht="15" thickTop="1" thickBot="1" x14ac:dyDescent="0.3">
      <c r="A114" s="1207"/>
      <c r="B114" s="1212" t="s">
        <v>846</v>
      </c>
      <c r="C114" s="1212"/>
      <c r="D114" s="1212"/>
      <c r="E114" s="1212"/>
      <c r="F114" s="1208"/>
      <c r="G114" s="1208"/>
      <c r="H114" s="1208"/>
      <c r="I114" s="1209"/>
      <c r="J114" s="1209"/>
      <c r="K114" s="1210">
        <f t="shared" si="26"/>
        <v>1.05</v>
      </c>
      <c r="L114" s="1210">
        <f t="shared" si="21"/>
        <v>0</v>
      </c>
      <c r="M114" s="1197">
        <f t="shared" si="22"/>
        <v>0</v>
      </c>
      <c r="N114" s="1211">
        <f t="shared" si="23"/>
        <v>0</v>
      </c>
      <c r="O114" s="1212"/>
      <c r="P114" s="1200"/>
      <c r="Q114" s="1200"/>
      <c r="R114" s="1213"/>
      <c r="S114" s="1213"/>
      <c r="T114" s="1213"/>
      <c r="U114" s="1213"/>
      <c r="V114" s="1213"/>
    </row>
    <row r="115" spans="1:22" ht="15" thickTop="1" thickBot="1" x14ac:dyDescent="0.3">
      <c r="A115" s="1207"/>
      <c r="B115" s="1212" t="s">
        <v>792</v>
      </c>
      <c r="C115" s="1212"/>
      <c r="D115" s="1212"/>
      <c r="E115" s="1212">
        <v>3</v>
      </c>
      <c r="F115" s="1208">
        <v>0.8</v>
      </c>
      <c r="G115" s="1208"/>
      <c r="H115" s="1208">
        <v>2.4</v>
      </c>
      <c r="I115" s="1209">
        <f t="shared" ref="I115" si="35">-H115*F115*E115</f>
        <v>-5.76</v>
      </c>
      <c r="J115" s="1209"/>
      <c r="K115" s="1210">
        <f t="shared" si="26"/>
        <v>1.05</v>
      </c>
      <c r="L115" s="1210">
        <f t="shared" si="21"/>
        <v>0</v>
      </c>
      <c r="M115" s="1197">
        <f t="shared" si="22"/>
        <v>0</v>
      </c>
      <c r="N115" s="1211">
        <f t="shared" si="23"/>
        <v>0</v>
      </c>
      <c r="O115" s="1212"/>
      <c r="P115" s="1200"/>
      <c r="Q115" s="1200"/>
      <c r="R115" s="1213"/>
      <c r="S115" s="1213"/>
      <c r="T115" s="1213"/>
      <c r="U115" s="1213"/>
      <c r="V115" s="1213"/>
    </row>
    <row r="116" spans="1:22" ht="15" thickTop="1" thickBot="1" x14ac:dyDescent="0.3">
      <c r="A116" s="1207"/>
      <c r="B116" s="1212"/>
      <c r="C116" s="1212"/>
      <c r="D116" s="1212"/>
      <c r="E116" s="1212"/>
      <c r="F116" s="1208"/>
      <c r="G116" s="1208"/>
      <c r="H116" s="1208"/>
      <c r="I116" s="1209"/>
      <c r="J116" s="1209">
        <f>SUM(I108:I115)</f>
        <v>51.3</v>
      </c>
      <c r="K116" s="1210">
        <f t="shared" si="26"/>
        <v>1.05</v>
      </c>
      <c r="L116" s="1210">
        <f t="shared" si="21"/>
        <v>53.865000000000002</v>
      </c>
      <c r="M116" s="1197">
        <f t="shared" si="22"/>
        <v>53.9</v>
      </c>
      <c r="N116" s="1211">
        <f t="shared" si="23"/>
        <v>54</v>
      </c>
      <c r="O116" s="1212"/>
      <c r="P116" s="1200"/>
      <c r="Q116" s="1200"/>
      <c r="R116" s="1213"/>
      <c r="S116" s="1213"/>
      <c r="T116" s="1213"/>
      <c r="U116" s="1213"/>
      <c r="V116" s="1213"/>
    </row>
    <row r="117" spans="1:22" ht="15" thickTop="1" thickBot="1" x14ac:dyDescent="0.3">
      <c r="A117" s="1207"/>
      <c r="B117" s="1212"/>
      <c r="C117" s="1212"/>
      <c r="D117" s="1212"/>
      <c r="E117" s="1212"/>
      <c r="F117" s="1208"/>
      <c r="G117" s="1208"/>
      <c r="H117" s="1208"/>
      <c r="I117" s="1209"/>
      <c r="J117" s="1209"/>
      <c r="K117" s="1210">
        <f t="shared" si="26"/>
        <v>1.05</v>
      </c>
      <c r="L117" s="1210">
        <f t="shared" ref="L117:L155" si="36">K117*J117</f>
        <v>0</v>
      </c>
      <c r="M117" s="1197">
        <f t="shared" ref="M117:M155" si="37">ROUND(L117,1)</f>
        <v>0</v>
      </c>
      <c r="N117" s="1211">
        <f t="shared" ref="N117:N155" si="38">ROUNDUP(M117,0)</f>
        <v>0</v>
      </c>
      <c r="O117" s="1212"/>
      <c r="P117" s="1200"/>
      <c r="Q117" s="1200"/>
      <c r="R117" s="1213"/>
      <c r="S117" s="1213"/>
      <c r="T117" s="1213"/>
      <c r="U117" s="1213"/>
      <c r="V117" s="1213"/>
    </row>
    <row r="118" spans="1:22" ht="15" thickTop="1" thickBot="1" x14ac:dyDescent="0.3">
      <c r="A118" s="1207"/>
      <c r="B118" s="1212" t="s">
        <v>1543</v>
      </c>
      <c r="C118" s="1212"/>
      <c r="D118" s="1212"/>
      <c r="E118" s="1212">
        <v>2</v>
      </c>
      <c r="F118" s="1208">
        <v>1.5</v>
      </c>
      <c r="G118" s="1208">
        <v>3.3</v>
      </c>
      <c r="H118" s="1208"/>
      <c r="I118" s="1209">
        <f>G118*F118*E118</f>
        <v>9.8999999999999986</v>
      </c>
      <c r="J118" s="1209"/>
      <c r="K118" s="1210">
        <f t="shared" si="26"/>
        <v>1.05</v>
      </c>
      <c r="L118" s="1210">
        <f t="shared" ref="L118:L119" si="39">K118*J118</f>
        <v>0</v>
      </c>
      <c r="M118" s="1197">
        <f t="shared" ref="M118:M119" si="40">ROUND(L118,1)</f>
        <v>0</v>
      </c>
      <c r="N118" s="1211">
        <f t="shared" ref="N118:N119" si="41">ROUNDUP(M118,0)</f>
        <v>0</v>
      </c>
      <c r="O118" s="1212"/>
      <c r="P118" s="1200"/>
      <c r="Q118" s="1200"/>
      <c r="R118" s="1213"/>
      <c r="S118" s="1213"/>
      <c r="T118" s="1213"/>
      <c r="U118" s="1213"/>
      <c r="V118" s="1213"/>
    </row>
    <row r="119" spans="1:22" ht="15" thickTop="1" thickBot="1" x14ac:dyDescent="0.3">
      <c r="A119" s="1207"/>
      <c r="B119" s="1212"/>
      <c r="C119" s="1212"/>
      <c r="D119" s="1212"/>
      <c r="E119" s="1212">
        <v>1</v>
      </c>
      <c r="F119" s="1208">
        <f>F111</f>
        <v>1.8</v>
      </c>
      <c r="G119" s="1208">
        <f>G111</f>
        <v>2.7</v>
      </c>
      <c r="H119" s="1208"/>
      <c r="I119" s="1209">
        <f>G119*F119*E119</f>
        <v>4.8600000000000003</v>
      </c>
      <c r="J119" s="1209"/>
      <c r="K119" s="1210">
        <f t="shared" si="26"/>
        <v>1.05</v>
      </c>
      <c r="L119" s="1210">
        <f t="shared" si="39"/>
        <v>0</v>
      </c>
      <c r="M119" s="1197">
        <f t="shared" si="40"/>
        <v>0</v>
      </c>
      <c r="N119" s="1211">
        <f t="shared" si="41"/>
        <v>0</v>
      </c>
      <c r="O119" s="1212"/>
      <c r="P119" s="1200"/>
      <c r="Q119" s="1200"/>
      <c r="R119" s="1213"/>
      <c r="S119" s="1213"/>
      <c r="T119" s="1213"/>
      <c r="U119" s="1213"/>
      <c r="V119" s="1213"/>
    </row>
    <row r="120" spans="1:22" ht="15" thickTop="1" thickBot="1" x14ac:dyDescent="0.3">
      <c r="A120" s="1207"/>
      <c r="B120" s="1212"/>
      <c r="C120" s="1212"/>
      <c r="D120" s="1212"/>
      <c r="E120" s="1212"/>
      <c r="F120" s="1208"/>
      <c r="G120" s="1208"/>
      <c r="H120" s="1208"/>
      <c r="I120" s="1209"/>
      <c r="J120" s="1209">
        <f>SUM(I118:I119)</f>
        <v>14.759999999999998</v>
      </c>
      <c r="K120" s="1210">
        <f t="shared" si="26"/>
        <v>1.05</v>
      </c>
      <c r="L120" s="1210">
        <f t="shared" ref="L120:L123" si="42">K120*J120</f>
        <v>15.497999999999999</v>
      </c>
      <c r="M120" s="1197">
        <f t="shared" ref="M120:M123" si="43">ROUND(L120,1)</f>
        <v>15.5</v>
      </c>
      <c r="N120" s="1211">
        <f t="shared" ref="N120:N123" si="44">ROUNDUP(M120,0)</f>
        <v>16</v>
      </c>
      <c r="O120" s="1212"/>
      <c r="P120" s="1200"/>
      <c r="Q120" s="1200"/>
      <c r="R120" s="1213"/>
      <c r="S120" s="1213"/>
      <c r="T120" s="1213"/>
      <c r="U120" s="1213"/>
      <c r="V120" s="1213"/>
    </row>
    <row r="121" spans="1:22" ht="15" thickTop="1" thickBot="1" x14ac:dyDescent="0.3">
      <c r="A121" s="1207"/>
      <c r="B121" s="1212"/>
      <c r="C121" s="1212"/>
      <c r="D121" s="1212"/>
      <c r="E121" s="1212"/>
      <c r="F121" s="1208"/>
      <c r="G121" s="1208"/>
      <c r="H121" s="1208"/>
      <c r="I121" s="1209"/>
      <c r="J121" s="1209"/>
      <c r="K121" s="1210">
        <f t="shared" si="26"/>
        <v>1.05</v>
      </c>
      <c r="L121" s="1210">
        <f t="shared" si="42"/>
        <v>0</v>
      </c>
      <c r="M121" s="1197">
        <f t="shared" si="43"/>
        <v>0</v>
      </c>
      <c r="N121" s="1211">
        <f t="shared" si="44"/>
        <v>0</v>
      </c>
      <c r="O121" s="1212"/>
      <c r="P121" s="1200"/>
      <c r="Q121" s="1200"/>
      <c r="R121" s="1213"/>
      <c r="S121" s="1213"/>
      <c r="T121" s="1213"/>
      <c r="U121" s="1213"/>
      <c r="V121" s="1213"/>
    </row>
    <row r="122" spans="1:22" ht="15" thickTop="1" thickBot="1" x14ac:dyDescent="0.3">
      <c r="A122" s="1207"/>
      <c r="B122" s="1212" t="s">
        <v>1542</v>
      </c>
      <c r="C122" s="1212"/>
      <c r="D122" s="1212"/>
      <c r="E122" s="1212">
        <v>4</v>
      </c>
      <c r="F122" s="1208">
        <f>F118</f>
        <v>1.5</v>
      </c>
      <c r="G122" s="1208"/>
      <c r="H122" s="1208">
        <v>3.3</v>
      </c>
      <c r="I122" s="1209">
        <f>H122*F122*E122</f>
        <v>19.799999999999997</v>
      </c>
      <c r="J122" s="1209"/>
      <c r="K122" s="1210">
        <f t="shared" si="26"/>
        <v>1.05</v>
      </c>
      <c r="L122" s="1210">
        <f t="shared" si="42"/>
        <v>0</v>
      </c>
      <c r="M122" s="1197">
        <f t="shared" si="43"/>
        <v>0</v>
      </c>
      <c r="N122" s="1211">
        <f t="shared" si="44"/>
        <v>0</v>
      </c>
      <c r="O122" s="1212"/>
      <c r="P122" s="1200"/>
      <c r="Q122" s="1200"/>
      <c r="R122" s="1213"/>
      <c r="S122" s="1213"/>
      <c r="T122" s="1213"/>
      <c r="U122" s="1213"/>
      <c r="V122" s="1213"/>
    </row>
    <row r="123" spans="1:22" ht="15" thickTop="1" thickBot="1" x14ac:dyDescent="0.3">
      <c r="A123" s="1207"/>
      <c r="B123" s="1212"/>
      <c r="C123" s="1212"/>
      <c r="D123" s="1212"/>
      <c r="E123" s="1212">
        <v>4</v>
      </c>
      <c r="F123" s="1208">
        <f>G118</f>
        <v>3.3</v>
      </c>
      <c r="G123" s="1208"/>
      <c r="H123" s="1208">
        <v>3.3</v>
      </c>
      <c r="I123" s="1209">
        <f>H123*F123*E123</f>
        <v>43.559999999999995</v>
      </c>
      <c r="J123" s="1209"/>
      <c r="K123" s="1210">
        <f t="shared" si="26"/>
        <v>1.05</v>
      </c>
      <c r="L123" s="1210">
        <f t="shared" si="42"/>
        <v>0</v>
      </c>
      <c r="M123" s="1197">
        <f t="shared" si="43"/>
        <v>0</v>
      </c>
      <c r="N123" s="1211">
        <f t="shared" si="44"/>
        <v>0</v>
      </c>
      <c r="O123" s="1212"/>
      <c r="P123" s="1200"/>
      <c r="Q123" s="1200"/>
      <c r="R123" s="1213"/>
      <c r="S123" s="1213"/>
      <c r="T123" s="1213"/>
      <c r="U123" s="1213"/>
      <c r="V123" s="1213"/>
    </row>
    <row r="124" spans="1:22" ht="15" thickTop="1" thickBot="1" x14ac:dyDescent="0.3">
      <c r="A124" s="1207"/>
      <c r="B124" s="1212"/>
      <c r="C124" s="1212"/>
      <c r="D124" s="1212"/>
      <c r="E124" s="1212">
        <v>2</v>
      </c>
      <c r="F124" s="1208">
        <f>F119</f>
        <v>1.8</v>
      </c>
      <c r="G124" s="1208"/>
      <c r="H124" s="1208">
        <v>3.3</v>
      </c>
      <c r="I124" s="1209">
        <f t="shared" ref="I124:I125" si="45">H124*F124*E124</f>
        <v>11.879999999999999</v>
      </c>
      <c r="J124" s="1209"/>
      <c r="K124" s="1210">
        <f t="shared" si="26"/>
        <v>1.05</v>
      </c>
      <c r="L124" s="1210">
        <f t="shared" ref="L124:L129" si="46">K124*J124</f>
        <v>0</v>
      </c>
      <c r="M124" s="1197">
        <f t="shared" ref="M124:M129" si="47">ROUND(L124,1)</f>
        <v>0</v>
      </c>
      <c r="N124" s="1211">
        <f t="shared" ref="N124:N129" si="48">ROUNDUP(M124,0)</f>
        <v>0</v>
      </c>
      <c r="O124" s="1212"/>
      <c r="P124" s="1200"/>
      <c r="Q124" s="1200"/>
      <c r="R124" s="1213"/>
      <c r="S124" s="1213"/>
      <c r="T124" s="1213"/>
      <c r="U124" s="1213"/>
      <c r="V124" s="1213"/>
    </row>
    <row r="125" spans="1:22" ht="15" thickTop="1" thickBot="1" x14ac:dyDescent="0.3">
      <c r="A125" s="1207"/>
      <c r="B125" s="1212"/>
      <c r="C125" s="1212"/>
      <c r="D125" s="1212"/>
      <c r="E125" s="1212">
        <v>2</v>
      </c>
      <c r="F125" s="1208">
        <f>G119</f>
        <v>2.7</v>
      </c>
      <c r="G125" s="1208"/>
      <c r="H125" s="1208">
        <v>3.3</v>
      </c>
      <c r="I125" s="1209">
        <f t="shared" si="45"/>
        <v>17.82</v>
      </c>
      <c r="J125" s="1209"/>
      <c r="K125" s="1210">
        <f t="shared" si="26"/>
        <v>1.05</v>
      </c>
      <c r="L125" s="1210">
        <f t="shared" si="46"/>
        <v>0</v>
      </c>
      <c r="M125" s="1197">
        <f t="shared" si="47"/>
        <v>0</v>
      </c>
      <c r="N125" s="1211">
        <f t="shared" si="48"/>
        <v>0</v>
      </c>
      <c r="O125" s="1212"/>
      <c r="P125" s="1200"/>
      <c r="Q125" s="1200"/>
      <c r="R125" s="1213"/>
      <c r="S125" s="1213"/>
      <c r="T125" s="1213"/>
      <c r="U125" s="1213"/>
      <c r="V125" s="1213"/>
    </row>
    <row r="126" spans="1:22" ht="15" thickTop="1" thickBot="1" x14ac:dyDescent="0.3">
      <c r="A126" s="1207"/>
      <c r="B126" s="1212" t="s">
        <v>846</v>
      </c>
      <c r="C126" s="1212"/>
      <c r="D126" s="1212"/>
      <c r="E126" s="1212"/>
      <c r="F126" s="1208"/>
      <c r="G126" s="1208"/>
      <c r="H126" s="1208"/>
      <c r="I126" s="1209"/>
      <c r="J126" s="1209"/>
      <c r="K126" s="1210">
        <f t="shared" si="26"/>
        <v>1.05</v>
      </c>
      <c r="L126" s="1210">
        <f t="shared" si="46"/>
        <v>0</v>
      </c>
      <c r="M126" s="1197">
        <f t="shared" si="47"/>
        <v>0</v>
      </c>
      <c r="N126" s="1211">
        <f t="shared" si="48"/>
        <v>0</v>
      </c>
      <c r="O126" s="1212"/>
      <c r="P126" s="1200"/>
      <c r="Q126" s="1200"/>
      <c r="R126" s="1213"/>
      <c r="S126" s="1213"/>
      <c r="T126" s="1213"/>
      <c r="U126" s="1213"/>
      <c r="V126" s="1213"/>
    </row>
    <row r="127" spans="1:22" ht="15" thickTop="1" thickBot="1" x14ac:dyDescent="0.3">
      <c r="A127" s="1207"/>
      <c r="B127" s="1212" t="s">
        <v>792</v>
      </c>
      <c r="C127" s="1212"/>
      <c r="D127" s="1212"/>
      <c r="E127" s="1212">
        <v>3</v>
      </c>
      <c r="F127" s="1208">
        <v>0.8</v>
      </c>
      <c r="G127" s="1208"/>
      <c r="H127" s="1208">
        <v>2.4</v>
      </c>
      <c r="I127" s="1209">
        <f t="shared" ref="I127" si="49">-H127*F127*E127</f>
        <v>-5.76</v>
      </c>
      <c r="J127" s="1209"/>
      <c r="K127" s="1210">
        <f t="shared" si="26"/>
        <v>1.05</v>
      </c>
      <c r="L127" s="1210">
        <f t="shared" si="46"/>
        <v>0</v>
      </c>
      <c r="M127" s="1197">
        <f t="shared" si="47"/>
        <v>0</v>
      </c>
      <c r="N127" s="1211">
        <f t="shared" si="48"/>
        <v>0</v>
      </c>
      <c r="O127" s="1212"/>
      <c r="P127" s="1200"/>
      <c r="Q127" s="1200"/>
      <c r="R127" s="1213"/>
      <c r="S127" s="1213"/>
      <c r="T127" s="1213"/>
      <c r="U127" s="1213"/>
      <c r="V127" s="1213"/>
    </row>
    <row r="128" spans="1:22" ht="15" thickTop="1" thickBot="1" x14ac:dyDescent="0.3">
      <c r="A128" s="1207"/>
      <c r="B128" s="1212"/>
      <c r="C128" s="1212"/>
      <c r="D128" s="1212"/>
      <c r="E128" s="1212"/>
      <c r="F128" s="1208"/>
      <c r="G128" s="1208"/>
      <c r="H128" s="1208"/>
      <c r="I128" s="1209"/>
      <c r="J128" s="1209">
        <f>SUM(I122:I127)</f>
        <v>87.3</v>
      </c>
      <c r="K128" s="1210">
        <f t="shared" si="26"/>
        <v>1.05</v>
      </c>
      <c r="L128" s="1210">
        <f t="shared" si="46"/>
        <v>91.665000000000006</v>
      </c>
      <c r="M128" s="1197">
        <f t="shared" si="47"/>
        <v>91.7</v>
      </c>
      <c r="N128" s="1211">
        <f t="shared" si="48"/>
        <v>92</v>
      </c>
      <c r="O128" s="1212"/>
      <c r="P128" s="1200"/>
      <c r="Q128" s="1200"/>
      <c r="R128" s="1213"/>
      <c r="S128" s="1213"/>
      <c r="T128" s="1213"/>
      <c r="U128" s="1213"/>
      <c r="V128" s="1213"/>
    </row>
    <row r="129" spans="1:22" ht="15" thickTop="1" thickBot="1" x14ac:dyDescent="0.3">
      <c r="A129" s="1207"/>
      <c r="B129" s="1212"/>
      <c r="C129" s="1212"/>
      <c r="D129" s="1212"/>
      <c r="E129" s="1212"/>
      <c r="F129" s="1208"/>
      <c r="G129" s="1208"/>
      <c r="H129" s="1208"/>
      <c r="I129" s="1209"/>
      <c r="J129" s="1209"/>
      <c r="K129" s="1210">
        <f t="shared" si="26"/>
        <v>1.05</v>
      </c>
      <c r="L129" s="1210">
        <f t="shared" si="46"/>
        <v>0</v>
      </c>
      <c r="M129" s="1197">
        <f t="shared" si="47"/>
        <v>0</v>
      </c>
      <c r="N129" s="1211">
        <f t="shared" si="48"/>
        <v>0</v>
      </c>
      <c r="O129" s="1212"/>
      <c r="P129" s="1200"/>
      <c r="Q129" s="1200"/>
      <c r="R129" s="1213"/>
      <c r="S129" s="1213"/>
      <c r="T129" s="1213"/>
      <c r="U129" s="1213"/>
      <c r="V129" s="1213"/>
    </row>
    <row r="130" spans="1:22" ht="15" thickTop="1" thickBot="1" x14ac:dyDescent="0.3">
      <c r="A130" s="1207"/>
      <c r="B130" s="1212"/>
      <c r="C130" s="1212"/>
      <c r="D130" s="1212"/>
      <c r="E130" s="1212"/>
      <c r="F130" s="1208"/>
      <c r="G130" s="1208"/>
      <c r="H130" s="1208"/>
      <c r="I130" s="1209"/>
      <c r="J130" s="1209"/>
      <c r="K130" s="1210"/>
      <c r="L130" s="1210"/>
      <c r="M130" s="1197"/>
      <c r="N130" s="1211"/>
      <c r="O130" s="1212"/>
      <c r="P130" s="1200"/>
      <c r="Q130" s="1200"/>
      <c r="R130" s="1213"/>
      <c r="S130" s="1213"/>
      <c r="T130" s="1213"/>
      <c r="U130" s="1213"/>
      <c r="V130" s="1213"/>
    </row>
    <row r="131" spans="1:22" ht="15" thickTop="1" thickBot="1" x14ac:dyDescent="0.3">
      <c r="A131" s="1207"/>
      <c r="B131" s="1212" t="s">
        <v>1835</v>
      </c>
      <c r="C131" s="1212"/>
      <c r="D131" s="1212"/>
      <c r="E131" s="1212">
        <v>1</v>
      </c>
      <c r="F131" s="1208">
        <v>1.5</v>
      </c>
      <c r="G131" s="1208">
        <v>3.3</v>
      </c>
      <c r="H131" s="1208"/>
      <c r="I131" s="1209">
        <f>G131*F131*E131</f>
        <v>4.9499999999999993</v>
      </c>
      <c r="J131" s="1209"/>
      <c r="K131" s="1210">
        <f t="shared" si="26"/>
        <v>1.05</v>
      </c>
      <c r="L131" s="1210">
        <f t="shared" si="36"/>
        <v>0</v>
      </c>
      <c r="M131" s="1197">
        <f t="shared" si="37"/>
        <v>0</v>
      </c>
      <c r="N131" s="1211">
        <f t="shared" si="38"/>
        <v>0</v>
      </c>
      <c r="O131" s="1212"/>
      <c r="P131" s="1200"/>
      <c r="Q131" s="1200"/>
      <c r="R131" s="1213"/>
      <c r="S131" s="1213"/>
      <c r="T131" s="1213"/>
      <c r="U131" s="1213"/>
      <c r="V131" s="1213"/>
    </row>
    <row r="132" spans="1:22" ht="15" thickTop="1" thickBot="1" x14ac:dyDescent="0.3">
      <c r="A132" s="1207"/>
      <c r="B132" s="1212"/>
      <c r="C132" s="1212"/>
      <c r="D132" s="1212"/>
      <c r="E132" s="1212">
        <v>2</v>
      </c>
      <c r="F132" s="1208">
        <f>F131</f>
        <v>1.5</v>
      </c>
      <c r="G132" s="1208"/>
      <c r="H132" s="1208">
        <v>1.5</v>
      </c>
      <c r="I132" s="1209">
        <f>H132*F132*E132</f>
        <v>4.5</v>
      </c>
      <c r="J132" s="1209"/>
      <c r="K132" s="1210">
        <f t="shared" si="26"/>
        <v>1.05</v>
      </c>
      <c r="L132" s="1210">
        <f t="shared" si="36"/>
        <v>0</v>
      </c>
      <c r="M132" s="1197">
        <f t="shared" si="37"/>
        <v>0</v>
      </c>
      <c r="N132" s="1211">
        <f t="shared" si="38"/>
        <v>0</v>
      </c>
      <c r="O132" s="1212"/>
      <c r="P132" s="1200"/>
      <c r="Q132" s="1200"/>
      <c r="R132" s="1213"/>
      <c r="S132" s="1213"/>
      <c r="T132" s="1213"/>
      <c r="U132" s="1213"/>
      <c r="V132" s="1213"/>
    </row>
    <row r="133" spans="1:22" ht="15" thickTop="1" thickBot="1" x14ac:dyDescent="0.3">
      <c r="A133" s="1207"/>
      <c r="B133" s="1212"/>
      <c r="C133" s="1212"/>
      <c r="D133" s="1212"/>
      <c r="E133" s="1212">
        <v>2</v>
      </c>
      <c r="F133" s="1208">
        <f>G131</f>
        <v>3.3</v>
      </c>
      <c r="G133" s="1208"/>
      <c r="H133" s="1208">
        <v>1.5</v>
      </c>
      <c r="I133" s="1209">
        <f>H133*F133*E133</f>
        <v>9.8999999999999986</v>
      </c>
      <c r="J133" s="1209"/>
      <c r="K133" s="1210">
        <f t="shared" si="26"/>
        <v>1.05</v>
      </c>
      <c r="L133" s="1210">
        <f t="shared" si="36"/>
        <v>0</v>
      </c>
      <c r="M133" s="1197">
        <f t="shared" si="37"/>
        <v>0</v>
      </c>
      <c r="N133" s="1211">
        <f t="shared" si="38"/>
        <v>0</v>
      </c>
      <c r="O133" s="1212"/>
      <c r="P133" s="1200"/>
      <c r="Q133" s="1200"/>
      <c r="R133" s="1213"/>
      <c r="S133" s="1213"/>
      <c r="T133" s="1213"/>
      <c r="U133" s="1213"/>
      <c r="V133" s="1213"/>
    </row>
    <row r="134" spans="1:22" ht="15" thickTop="1" thickBot="1" x14ac:dyDescent="0.3">
      <c r="A134" s="1207"/>
      <c r="B134" s="1212"/>
      <c r="C134" s="1212"/>
      <c r="D134" s="1212"/>
      <c r="E134" s="1212">
        <v>1</v>
      </c>
      <c r="F134" s="1208">
        <v>1.8</v>
      </c>
      <c r="G134" s="1208">
        <v>2.7</v>
      </c>
      <c r="H134" s="1208"/>
      <c r="I134" s="1209">
        <f>G134*F134*E134</f>
        <v>4.8600000000000003</v>
      </c>
      <c r="J134" s="1209"/>
      <c r="K134" s="1210">
        <f t="shared" si="26"/>
        <v>1.05</v>
      </c>
      <c r="L134" s="1210">
        <f t="shared" si="36"/>
        <v>0</v>
      </c>
      <c r="M134" s="1197">
        <f t="shared" si="37"/>
        <v>0</v>
      </c>
      <c r="N134" s="1211">
        <f t="shared" si="38"/>
        <v>0</v>
      </c>
      <c r="O134" s="1212"/>
      <c r="P134" s="1200"/>
      <c r="Q134" s="1200"/>
      <c r="R134" s="1213"/>
      <c r="S134" s="1213"/>
      <c r="T134" s="1213"/>
      <c r="U134" s="1213"/>
      <c r="V134" s="1213"/>
    </row>
    <row r="135" spans="1:22" ht="15" thickTop="1" thickBot="1" x14ac:dyDescent="0.3">
      <c r="A135" s="1207"/>
      <c r="B135" s="1212"/>
      <c r="C135" s="1212"/>
      <c r="D135" s="1212"/>
      <c r="E135" s="1212">
        <v>2</v>
      </c>
      <c r="F135" s="1208">
        <f>F134</f>
        <v>1.8</v>
      </c>
      <c r="G135" s="1208"/>
      <c r="H135" s="1208">
        <v>1.5</v>
      </c>
      <c r="I135" s="1209">
        <f>H135*F135*E135</f>
        <v>5.4</v>
      </c>
      <c r="J135" s="1209"/>
      <c r="K135" s="1210"/>
      <c r="L135" s="1210"/>
      <c r="M135" s="1197"/>
      <c r="N135" s="1211"/>
      <c r="O135" s="1212"/>
      <c r="P135" s="1200"/>
      <c r="Q135" s="1200"/>
      <c r="R135" s="1213"/>
      <c r="S135" s="1213"/>
      <c r="T135" s="1213"/>
      <c r="U135" s="1213"/>
      <c r="V135" s="1213"/>
    </row>
    <row r="136" spans="1:22" ht="15" thickTop="1" thickBot="1" x14ac:dyDescent="0.3">
      <c r="A136" s="1207"/>
      <c r="B136" s="1212"/>
      <c r="C136" s="1212"/>
      <c r="D136" s="1212"/>
      <c r="E136" s="1212">
        <v>2</v>
      </c>
      <c r="F136" s="1208">
        <f>G134</f>
        <v>2.7</v>
      </c>
      <c r="G136" s="1208"/>
      <c r="H136" s="1208">
        <v>1.5</v>
      </c>
      <c r="I136" s="1209">
        <f>H136*F136*E136</f>
        <v>8.1000000000000014</v>
      </c>
      <c r="J136" s="1209"/>
      <c r="K136" s="1210"/>
      <c r="L136" s="1210"/>
      <c r="M136" s="1197"/>
      <c r="N136" s="1211"/>
      <c r="O136" s="1212"/>
      <c r="P136" s="1200"/>
      <c r="Q136" s="1200"/>
      <c r="R136" s="1213"/>
      <c r="S136" s="1213"/>
      <c r="T136" s="1213"/>
      <c r="U136" s="1213"/>
      <c r="V136" s="1213"/>
    </row>
    <row r="137" spans="1:22" ht="15" thickTop="1" thickBot="1" x14ac:dyDescent="0.3">
      <c r="A137" s="1207"/>
      <c r="B137" s="1212" t="s">
        <v>846</v>
      </c>
      <c r="C137" s="1212"/>
      <c r="D137" s="1212"/>
      <c r="E137" s="1212"/>
      <c r="F137" s="1208"/>
      <c r="G137" s="1208"/>
      <c r="H137" s="1208"/>
      <c r="I137" s="1209"/>
      <c r="J137" s="1209"/>
      <c r="K137" s="1210"/>
      <c r="L137" s="1210"/>
      <c r="M137" s="1197"/>
      <c r="N137" s="1211"/>
      <c r="O137" s="1212"/>
      <c r="P137" s="1200"/>
      <c r="Q137" s="1200"/>
      <c r="R137" s="1213"/>
      <c r="S137" s="1213"/>
      <c r="T137" s="1213"/>
      <c r="U137" s="1213"/>
      <c r="V137" s="1213"/>
    </row>
    <row r="138" spans="1:22" ht="15" thickTop="1" thickBot="1" x14ac:dyDescent="0.3">
      <c r="A138" s="1207"/>
      <c r="B138" s="1212" t="s">
        <v>792</v>
      </c>
      <c r="C138" s="1212"/>
      <c r="D138" s="1212"/>
      <c r="E138" s="1212">
        <v>2</v>
      </c>
      <c r="F138" s="1208">
        <v>0.8</v>
      </c>
      <c r="G138" s="1208"/>
      <c r="H138" s="1208">
        <v>2.4</v>
      </c>
      <c r="I138" s="1209">
        <f t="shared" ref="I138" si="50">-H138*F138*E138</f>
        <v>-3.84</v>
      </c>
      <c r="J138" s="1209"/>
      <c r="K138" s="1210">
        <f t="shared" si="26"/>
        <v>1.05</v>
      </c>
      <c r="L138" s="1210">
        <f t="shared" si="36"/>
        <v>0</v>
      </c>
      <c r="M138" s="1197">
        <f t="shared" si="37"/>
        <v>0</v>
      </c>
      <c r="N138" s="1211">
        <f t="shared" si="38"/>
        <v>0</v>
      </c>
      <c r="O138" s="1212"/>
      <c r="P138" s="1200"/>
      <c r="Q138" s="1200"/>
      <c r="R138" s="1213"/>
      <c r="S138" s="1213"/>
      <c r="T138" s="1213"/>
      <c r="U138" s="1213"/>
      <c r="V138" s="1213"/>
    </row>
    <row r="139" spans="1:22" ht="15" thickTop="1" thickBot="1" x14ac:dyDescent="0.3">
      <c r="A139" s="1207"/>
      <c r="B139" s="1212"/>
      <c r="C139" s="1212"/>
      <c r="D139" s="1212"/>
      <c r="E139" s="1212"/>
      <c r="F139" s="1208"/>
      <c r="G139" s="1208"/>
      <c r="H139" s="1208"/>
      <c r="I139" s="1209"/>
      <c r="J139" s="1209">
        <f>SUM(I131:I138)</f>
        <v>33.870000000000005</v>
      </c>
      <c r="K139" s="1210">
        <f t="shared" si="26"/>
        <v>1.05</v>
      </c>
      <c r="L139" s="1210">
        <f t="shared" ref="L139:L154" si="51">K139*J139</f>
        <v>35.563500000000005</v>
      </c>
      <c r="M139" s="1197">
        <f t="shared" ref="M139:M154" si="52">ROUND(L139,1)</f>
        <v>35.6</v>
      </c>
      <c r="N139" s="1211">
        <f t="shared" ref="N139:N154" si="53">ROUNDUP(M139,0)</f>
        <v>36</v>
      </c>
      <c r="O139" s="1212"/>
      <c r="P139" s="1200"/>
      <c r="Q139" s="1200"/>
      <c r="R139" s="1213"/>
      <c r="S139" s="1213"/>
      <c r="T139" s="1213"/>
      <c r="U139" s="1213"/>
      <c r="V139" s="1213"/>
    </row>
    <row r="140" spans="1:22" ht="15" thickTop="1" thickBot="1" x14ac:dyDescent="0.3">
      <c r="A140" s="1207"/>
      <c r="B140" s="1212"/>
      <c r="C140" s="1212"/>
      <c r="D140" s="1212"/>
      <c r="E140" s="1212"/>
      <c r="F140" s="1208"/>
      <c r="G140" s="1208"/>
      <c r="H140" s="1208"/>
      <c r="I140" s="1209"/>
      <c r="J140" s="1209"/>
      <c r="K140" s="1210">
        <f t="shared" si="26"/>
        <v>1.05</v>
      </c>
      <c r="L140" s="1210">
        <f t="shared" si="51"/>
        <v>0</v>
      </c>
      <c r="M140" s="1197">
        <f t="shared" si="52"/>
        <v>0</v>
      </c>
      <c r="N140" s="1211">
        <f t="shared" si="53"/>
        <v>0</v>
      </c>
      <c r="O140" s="1212"/>
      <c r="P140" s="1200"/>
      <c r="Q140" s="1200"/>
      <c r="R140" s="1213"/>
      <c r="S140" s="1213"/>
      <c r="T140" s="1213"/>
      <c r="U140" s="1213"/>
      <c r="V140" s="1213"/>
    </row>
    <row r="141" spans="1:22" ht="15" thickTop="1" thickBot="1" x14ac:dyDescent="0.3">
      <c r="A141" s="1207"/>
      <c r="B141" s="1212" t="s">
        <v>1543</v>
      </c>
      <c r="C141" s="1212"/>
      <c r="D141" s="1212"/>
      <c r="E141" s="1212">
        <v>1</v>
      </c>
      <c r="F141" s="1208">
        <v>1.5</v>
      </c>
      <c r="G141" s="1208">
        <v>3.3</v>
      </c>
      <c r="H141" s="1208"/>
      <c r="I141" s="1209">
        <f>G141*F141*E141</f>
        <v>4.9499999999999993</v>
      </c>
      <c r="J141" s="1209"/>
      <c r="K141" s="1210">
        <f t="shared" si="26"/>
        <v>1.05</v>
      </c>
      <c r="L141" s="1210">
        <f t="shared" ref="L141:L144" si="54">K141*J141</f>
        <v>0</v>
      </c>
      <c r="M141" s="1197">
        <f t="shared" ref="M141:M144" si="55">ROUND(L141,1)</f>
        <v>0</v>
      </c>
      <c r="N141" s="1211">
        <f t="shared" ref="N141:N144" si="56">ROUNDUP(M141,0)</f>
        <v>0</v>
      </c>
      <c r="O141" s="1212"/>
      <c r="P141" s="1200"/>
      <c r="Q141" s="1200"/>
      <c r="R141" s="1213"/>
      <c r="S141" s="1213"/>
      <c r="T141" s="1213"/>
      <c r="U141" s="1213"/>
      <c r="V141" s="1213"/>
    </row>
    <row r="142" spans="1:22" ht="15" thickTop="1" thickBot="1" x14ac:dyDescent="0.3">
      <c r="A142" s="1207"/>
      <c r="B142" s="1212"/>
      <c r="C142" s="1212"/>
      <c r="D142" s="1212"/>
      <c r="E142" s="1212">
        <v>1</v>
      </c>
      <c r="F142" s="1208">
        <v>1.8</v>
      </c>
      <c r="G142" s="1208">
        <v>2.7</v>
      </c>
      <c r="H142" s="1208"/>
      <c r="I142" s="1209">
        <f>G142*F142*E142</f>
        <v>4.8600000000000003</v>
      </c>
      <c r="J142" s="1209"/>
      <c r="K142" s="1210">
        <f t="shared" si="26"/>
        <v>1.05</v>
      </c>
      <c r="L142" s="1210">
        <f t="shared" si="54"/>
        <v>0</v>
      </c>
      <c r="M142" s="1197">
        <f t="shared" si="55"/>
        <v>0</v>
      </c>
      <c r="N142" s="1211">
        <f t="shared" si="56"/>
        <v>0</v>
      </c>
      <c r="O142" s="1212"/>
      <c r="P142" s="1200"/>
      <c r="Q142" s="1200"/>
      <c r="R142" s="1213"/>
      <c r="S142" s="1213"/>
      <c r="T142" s="1213"/>
      <c r="U142" s="1213"/>
      <c r="V142" s="1213"/>
    </row>
    <row r="143" spans="1:22" ht="15" thickTop="1" thickBot="1" x14ac:dyDescent="0.3">
      <c r="A143" s="1207"/>
      <c r="B143" s="1212"/>
      <c r="C143" s="1212"/>
      <c r="D143" s="1212"/>
      <c r="E143" s="1212"/>
      <c r="F143" s="1208"/>
      <c r="G143" s="1208"/>
      <c r="H143" s="1208"/>
      <c r="I143" s="1209"/>
      <c r="J143" s="1209">
        <f>SUM(I141:I142)</f>
        <v>9.8099999999999987</v>
      </c>
      <c r="K143" s="1210">
        <f t="shared" si="26"/>
        <v>1.05</v>
      </c>
      <c r="L143" s="1210">
        <f t="shared" si="54"/>
        <v>10.3005</v>
      </c>
      <c r="M143" s="1197">
        <f t="shared" si="55"/>
        <v>10.3</v>
      </c>
      <c r="N143" s="1211">
        <f t="shared" si="56"/>
        <v>11</v>
      </c>
      <c r="O143" s="1212"/>
      <c r="P143" s="1200"/>
      <c r="Q143" s="1200"/>
      <c r="R143" s="1213"/>
      <c r="S143" s="1213"/>
      <c r="T143" s="1213"/>
      <c r="U143" s="1213"/>
      <c r="V143" s="1213"/>
    </row>
    <row r="144" spans="1:22" ht="15" thickTop="1" thickBot="1" x14ac:dyDescent="0.3">
      <c r="A144" s="1207"/>
      <c r="B144" s="1212"/>
      <c r="C144" s="1212"/>
      <c r="D144" s="1212"/>
      <c r="E144" s="1212"/>
      <c r="F144" s="1208"/>
      <c r="G144" s="1208"/>
      <c r="H144" s="1208"/>
      <c r="I144" s="1209"/>
      <c r="J144" s="1209"/>
      <c r="K144" s="1210">
        <f t="shared" si="26"/>
        <v>1.05</v>
      </c>
      <c r="L144" s="1210">
        <f t="shared" si="54"/>
        <v>0</v>
      </c>
      <c r="M144" s="1197">
        <f t="shared" si="55"/>
        <v>0</v>
      </c>
      <c r="N144" s="1211">
        <f t="shared" si="56"/>
        <v>0</v>
      </c>
      <c r="O144" s="1212"/>
      <c r="P144" s="1200"/>
      <c r="Q144" s="1200"/>
      <c r="R144" s="1213"/>
      <c r="S144" s="1213"/>
      <c r="T144" s="1213"/>
      <c r="U144" s="1213"/>
      <c r="V144" s="1213"/>
    </row>
    <row r="145" spans="1:22" ht="15" thickTop="1" thickBot="1" x14ac:dyDescent="0.3">
      <c r="A145" s="1207"/>
      <c r="B145" s="1212" t="s">
        <v>1542</v>
      </c>
      <c r="C145" s="1212"/>
      <c r="D145" s="1212"/>
      <c r="E145" s="1212">
        <v>2</v>
      </c>
      <c r="F145" s="1208">
        <f>F141</f>
        <v>1.5</v>
      </c>
      <c r="G145" s="1208"/>
      <c r="H145" s="1208">
        <v>3.3</v>
      </c>
      <c r="I145" s="1209">
        <f t="shared" ref="I145:I148" si="57">H145*F145*E145</f>
        <v>9.8999999999999986</v>
      </c>
      <c r="J145" s="1209"/>
      <c r="K145" s="1210"/>
      <c r="L145" s="1210">
        <f t="shared" ref="L145:L152" si="58">K145*J145</f>
        <v>0</v>
      </c>
      <c r="M145" s="1197">
        <f t="shared" ref="M145:M152" si="59">ROUND(L145,1)</f>
        <v>0</v>
      </c>
      <c r="N145" s="1211">
        <f t="shared" ref="N145:N152" si="60">ROUNDUP(M145,0)</f>
        <v>0</v>
      </c>
      <c r="O145" s="1212"/>
      <c r="P145" s="1200"/>
      <c r="Q145" s="1200"/>
      <c r="R145" s="1213"/>
      <c r="S145" s="1213"/>
      <c r="T145" s="1213"/>
      <c r="U145" s="1213"/>
      <c r="V145" s="1213"/>
    </row>
    <row r="146" spans="1:22" ht="15" thickTop="1" thickBot="1" x14ac:dyDescent="0.3">
      <c r="A146" s="1207"/>
      <c r="B146" s="1212"/>
      <c r="C146" s="1212"/>
      <c r="D146" s="1212"/>
      <c r="E146" s="1212">
        <v>2</v>
      </c>
      <c r="F146" s="1208">
        <f>G141</f>
        <v>3.3</v>
      </c>
      <c r="G146" s="1208"/>
      <c r="H146" s="1208">
        <v>3.3</v>
      </c>
      <c r="I146" s="1209">
        <f t="shared" si="57"/>
        <v>21.779999999999998</v>
      </c>
      <c r="J146" s="1209"/>
      <c r="K146" s="1210"/>
      <c r="L146" s="1210">
        <f t="shared" si="58"/>
        <v>0</v>
      </c>
      <c r="M146" s="1197">
        <f t="shared" si="59"/>
        <v>0</v>
      </c>
      <c r="N146" s="1211">
        <f t="shared" si="60"/>
        <v>0</v>
      </c>
      <c r="O146" s="1212"/>
      <c r="P146" s="1200"/>
      <c r="Q146" s="1200"/>
      <c r="R146" s="1213"/>
      <c r="S146" s="1213"/>
      <c r="T146" s="1213"/>
      <c r="U146" s="1213"/>
      <c r="V146" s="1213"/>
    </row>
    <row r="147" spans="1:22" ht="15" thickTop="1" thickBot="1" x14ac:dyDescent="0.3">
      <c r="A147" s="1207"/>
      <c r="B147" s="1212"/>
      <c r="C147" s="1212"/>
      <c r="D147" s="1212"/>
      <c r="E147" s="1212">
        <v>2</v>
      </c>
      <c r="F147" s="1208">
        <f>F142</f>
        <v>1.8</v>
      </c>
      <c r="G147" s="1208"/>
      <c r="H147" s="1208">
        <v>3.3</v>
      </c>
      <c r="I147" s="1209">
        <f t="shared" si="57"/>
        <v>11.879999999999999</v>
      </c>
      <c r="J147" s="1209"/>
      <c r="K147" s="1210"/>
      <c r="L147" s="1210">
        <f t="shared" si="58"/>
        <v>0</v>
      </c>
      <c r="M147" s="1197">
        <f t="shared" si="59"/>
        <v>0</v>
      </c>
      <c r="N147" s="1211">
        <f t="shared" si="60"/>
        <v>0</v>
      </c>
      <c r="O147" s="1212"/>
      <c r="P147" s="1200"/>
      <c r="Q147" s="1200"/>
      <c r="R147" s="1213"/>
      <c r="S147" s="1213"/>
      <c r="T147" s="1213"/>
      <c r="U147" s="1213"/>
      <c r="V147" s="1213"/>
    </row>
    <row r="148" spans="1:22" ht="15" thickTop="1" thickBot="1" x14ac:dyDescent="0.3">
      <c r="A148" s="1207"/>
      <c r="B148" s="1212"/>
      <c r="C148" s="1212"/>
      <c r="D148" s="1212"/>
      <c r="E148" s="1212">
        <v>2</v>
      </c>
      <c r="F148" s="1208">
        <f>G142</f>
        <v>2.7</v>
      </c>
      <c r="G148" s="1208"/>
      <c r="H148" s="1208">
        <v>3.3</v>
      </c>
      <c r="I148" s="1209">
        <f t="shared" si="57"/>
        <v>17.82</v>
      </c>
      <c r="J148" s="1209"/>
      <c r="K148" s="1210"/>
      <c r="L148" s="1210">
        <f t="shared" si="58"/>
        <v>0</v>
      </c>
      <c r="M148" s="1197">
        <f t="shared" si="59"/>
        <v>0</v>
      </c>
      <c r="N148" s="1211">
        <f t="shared" si="60"/>
        <v>0</v>
      </c>
      <c r="O148" s="1212"/>
      <c r="P148" s="1200"/>
      <c r="Q148" s="1200"/>
      <c r="R148" s="1213"/>
      <c r="S148" s="1213"/>
      <c r="T148" s="1213"/>
      <c r="U148" s="1213"/>
      <c r="V148" s="1213"/>
    </row>
    <row r="149" spans="1:22" ht="15" thickTop="1" thickBot="1" x14ac:dyDescent="0.3">
      <c r="A149" s="1207"/>
      <c r="B149" s="1212" t="s">
        <v>846</v>
      </c>
      <c r="C149" s="1212"/>
      <c r="D149" s="1212"/>
      <c r="E149" s="1212"/>
      <c r="F149" s="1208"/>
      <c r="G149" s="1208"/>
      <c r="H149" s="1208"/>
      <c r="I149" s="1209"/>
      <c r="J149" s="1209"/>
      <c r="K149" s="1210"/>
      <c r="L149" s="1210">
        <f t="shared" si="58"/>
        <v>0</v>
      </c>
      <c r="M149" s="1197">
        <f t="shared" si="59"/>
        <v>0</v>
      </c>
      <c r="N149" s="1211">
        <f t="shared" si="60"/>
        <v>0</v>
      </c>
      <c r="O149" s="1212"/>
      <c r="P149" s="1200"/>
      <c r="Q149" s="1200"/>
      <c r="R149" s="1213"/>
      <c r="S149" s="1213"/>
      <c r="T149" s="1213"/>
      <c r="U149" s="1213"/>
      <c r="V149" s="1213"/>
    </row>
    <row r="150" spans="1:22" ht="15" thickTop="1" thickBot="1" x14ac:dyDescent="0.3">
      <c r="A150" s="1207"/>
      <c r="B150" s="1212" t="s">
        <v>792</v>
      </c>
      <c r="C150" s="1212"/>
      <c r="D150" s="1212"/>
      <c r="E150" s="1212">
        <v>2</v>
      </c>
      <c r="F150" s="1208">
        <v>0.8</v>
      </c>
      <c r="G150" s="1208"/>
      <c r="H150" s="1208">
        <v>2.4</v>
      </c>
      <c r="I150" s="1209">
        <f t="shared" ref="I150" si="61">-H150*F150*E150</f>
        <v>-3.84</v>
      </c>
      <c r="J150" s="1209"/>
      <c r="K150" s="1210">
        <f t="shared" si="26"/>
        <v>1.05</v>
      </c>
      <c r="L150" s="1210">
        <f t="shared" si="58"/>
        <v>0</v>
      </c>
      <c r="M150" s="1197">
        <f t="shared" si="59"/>
        <v>0</v>
      </c>
      <c r="N150" s="1211">
        <f t="shared" si="60"/>
        <v>0</v>
      </c>
      <c r="O150" s="1212"/>
      <c r="P150" s="1200"/>
      <c r="Q150" s="1200"/>
      <c r="R150" s="1213"/>
      <c r="S150" s="1213"/>
      <c r="T150" s="1213"/>
      <c r="U150" s="1213"/>
      <c r="V150" s="1213"/>
    </row>
    <row r="151" spans="1:22" ht="15" thickTop="1" thickBot="1" x14ac:dyDescent="0.3">
      <c r="A151" s="1207"/>
      <c r="B151" s="1212"/>
      <c r="C151" s="1212"/>
      <c r="D151" s="1212"/>
      <c r="E151" s="1212"/>
      <c r="F151" s="1208"/>
      <c r="G151" s="1208"/>
      <c r="H151" s="1208"/>
      <c r="I151" s="1209"/>
      <c r="J151" s="1209">
        <f>SUM(I145:I150)</f>
        <v>57.539999999999992</v>
      </c>
      <c r="K151" s="1210">
        <f t="shared" si="26"/>
        <v>1.05</v>
      </c>
      <c r="L151" s="1210">
        <f t="shared" si="58"/>
        <v>60.416999999999994</v>
      </c>
      <c r="M151" s="1197">
        <f t="shared" si="59"/>
        <v>60.4</v>
      </c>
      <c r="N151" s="1211">
        <f t="shared" si="60"/>
        <v>61</v>
      </c>
      <c r="O151" s="1212"/>
      <c r="P151" s="1200"/>
      <c r="Q151" s="1200"/>
      <c r="R151" s="1213"/>
      <c r="S151" s="1213"/>
      <c r="T151" s="1213"/>
      <c r="U151" s="1213"/>
      <c r="V151" s="1213"/>
    </row>
    <row r="152" spans="1:22" ht="15" thickTop="1" thickBot="1" x14ac:dyDescent="0.3">
      <c r="A152" s="1207"/>
      <c r="B152" s="1212"/>
      <c r="C152" s="1212"/>
      <c r="D152" s="1212"/>
      <c r="E152" s="1212"/>
      <c r="F152" s="1208"/>
      <c r="G152" s="1208"/>
      <c r="H152" s="1208"/>
      <c r="I152" s="1209"/>
      <c r="J152" s="1209"/>
      <c r="K152" s="1210"/>
      <c r="L152" s="1210">
        <f t="shared" si="58"/>
        <v>0</v>
      </c>
      <c r="M152" s="1197">
        <f t="shared" si="59"/>
        <v>0</v>
      </c>
      <c r="N152" s="1211">
        <f t="shared" si="60"/>
        <v>0</v>
      </c>
      <c r="O152" s="1212"/>
      <c r="P152" s="1200"/>
      <c r="Q152" s="1200"/>
      <c r="R152" s="1213"/>
      <c r="S152" s="1213"/>
      <c r="T152" s="1213"/>
      <c r="U152" s="1213"/>
      <c r="V152" s="1213"/>
    </row>
    <row r="153" spans="1:22" ht="15" thickTop="1" thickBot="1" x14ac:dyDescent="0.3">
      <c r="A153" s="1207"/>
      <c r="B153" s="1212" t="s">
        <v>3287</v>
      </c>
      <c r="C153" s="1212"/>
      <c r="D153" s="1212"/>
      <c r="E153" s="1212"/>
      <c r="F153" s="1208"/>
      <c r="G153" s="1208"/>
      <c r="H153" s="1208"/>
      <c r="I153" s="1209"/>
      <c r="J153" s="1209"/>
      <c r="K153" s="1210">
        <f t="shared" si="26"/>
        <v>1.05</v>
      </c>
      <c r="L153" s="1210">
        <f t="shared" si="51"/>
        <v>0</v>
      </c>
      <c r="M153" s="1197">
        <f t="shared" si="52"/>
        <v>0</v>
      </c>
      <c r="N153" s="1211">
        <f t="shared" si="53"/>
        <v>0</v>
      </c>
      <c r="O153" s="1212"/>
      <c r="P153" s="1200"/>
      <c r="Q153" s="1200"/>
      <c r="R153" s="1213"/>
      <c r="S153" s="1213"/>
      <c r="T153" s="1213"/>
      <c r="U153" s="1213"/>
      <c r="V153" s="1213"/>
    </row>
    <row r="154" spans="1:22" ht="15" thickTop="1" thickBot="1" x14ac:dyDescent="0.3">
      <c r="A154" s="1207"/>
      <c r="B154" s="1212" t="s">
        <v>1473</v>
      </c>
      <c r="C154" s="1212"/>
      <c r="D154" s="1212"/>
      <c r="E154" s="1212">
        <v>1</v>
      </c>
      <c r="F154" s="1208">
        <v>4.93</v>
      </c>
      <c r="G154" s="1208">
        <v>1.08</v>
      </c>
      <c r="H154" s="1208"/>
      <c r="I154" s="1209">
        <f t="shared" ref="I154:I156" si="62">G154*F154*E154</f>
        <v>5.3243999999999998</v>
      </c>
      <c r="J154" s="1209"/>
      <c r="K154" s="1210">
        <f t="shared" si="26"/>
        <v>1.05</v>
      </c>
      <c r="L154" s="1210">
        <f t="shared" si="51"/>
        <v>0</v>
      </c>
      <c r="M154" s="1197">
        <f t="shared" si="52"/>
        <v>0</v>
      </c>
      <c r="N154" s="1211">
        <f t="shared" si="53"/>
        <v>0</v>
      </c>
      <c r="O154" s="1212"/>
      <c r="P154" s="1200"/>
      <c r="Q154" s="1200"/>
      <c r="R154" s="1213"/>
      <c r="S154" s="1213"/>
      <c r="T154" s="1213"/>
      <c r="U154" s="1213"/>
      <c r="V154" s="1213"/>
    </row>
    <row r="155" spans="1:22" ht="15" thickTop="1" thickBot="1" x14ac:dyDescent="0.3">
      <c r="A155" s="1207"/>
      <c r="B155" s="1212"/>
      <c r="C155" s="1212"/>
      <c r="D155" s="1212"/>
      <c r="E155" s="1212">
        <v>1</v>
      </c>
      <c r="F155" s="1208">
        <v>4.4000000000000004</v>
      </c>
      <c r="G155" s="1208">
        <v>1</v>
      </c>
      <c r="H155" s="1208"/>
      <c r="I155" s="1209">
        <f t="shared" si="62"/>
        <v>4.4000000000000004</v>
      </c>
      <c r="J155" s="1209"/>
      <c r="K155" s="1210">
        <f t="shared" si="26"/>
        <v>1.05</v>
      </c>
      <c r="L155" s="1210">
        <f t="shared" si="36"/>
        <v>0</v>
      </c>
      <c r="M155" s="1197">
        <f t="shared" si="37"/>
        <v>0</v>
      </c>
      <c r="N155" s="1211">
        <f t="shared" si="38"/>
        <v>0</v>
      </c>
      <c r="O155" s="1212"/>
      <c r="P155" s="1200"/>
      <c r="Q155" s="1200"/>
      <c r="R155" s="1213"/>
      <c r="S155" s="1213"/>
      <c r="T155" s="1213"/>
      <c r="U155" s="1213"/>
      <c r="V155" s="1213"/>
    </row>
    <row r="156" spans="1:22" ht="15" thickTop="1" thickBot="1" x14ac:dyDescent="0.3">
      <c r="A156" s="1207"/>
      <c r="B156" s="1212"/>
      <c r="C156" s="1212"/>
      <c r="D156" s="1212"/>
      <c r="E156" s="1212">
        <v>1</v>
      </c>
      <c r="F156" s="1208">
        <v>9.25</v>
      </c>
      <c r="G156" s="1208">
        <v>4.5999999999999996</v>
      </c>
      <c r="H156" s="1208"/>
      <c r="I156" s="1209">
        <f t="shared" si="62"/>
        <v>42.55</v>
      </c>
      <c r="J156" s="1209"/>
      <c r="K156" s="1210">
        <f t="shared" si="26"/>
        <v>1.05</v>
      </c>
      <c r="L156" s="1210">
        <f t="shared" si="21"/>
        <v>0</v>
      </c>
      <c r="M156" s="1197">
        <f t="shared" si="22"/>
        <v>0</v>
      </c>
      <c r="N156" s="1211">
        <f t="shared" si="23"/>
        <v>0</v>
      </c>
      <c r="O156" s="1212"/>
      <c r="P156" s="1200"/>
      <c r="Q156" s="1200"/>
      <c r="R156" s="1213"/>
      <c r="S156" s="1213"/>
      <c r="T156" s="1213"/>
      <c r="U156" s="1213"/>
      <c r="V156" s="1213"/>
    </row>
    <row r="157" spans="1:22" ht="15" thickTop="1" thickBot="1" x14ac:dyDescent="0.3">
      <c r="A157" s="1207"/>
      <c r="B157" s="1212"/>
      <c r="C157" s="1212"/>
      <c r="D157" s="1212"/>
      <c r="E157" s="1212"/>
      <c r="F157" s="1208"/>
      <c r="G157" s="1208"/>
      <c r="H157" s="1208"/>
      <c r="I157" s="1209"/>
      <c r="J157" s="1209">
        <f>SUM(I154:I156)</f>
        <v>52.2744</v>
      </c>
      <c r="K157" s="1210">
        <f t="shared" si="26"/>
        <v>1.05</v>
      </c>
      <c r="L157" s="1210">
        <f t="shared" si="21"/>
        <v>54.888120000000001</v>
      </c>
      <c r="M157" s="1197">
        <f t="shared" si="22"/>
        <v>54.9</v>
      </c>
      <c r="N157" s="1211">
        <f t="shared" si="23"/>
        <v>55</v>
      </c>
      <c r="O157" s="1212"/>
      <c r="P157" s="1200"/>
      <c r="Q157" s="1200"/>
      <c r="R157" s="1213"/>
      <c r="S157" s="1213"/>
      <c r="T157" s="1213"/>
      <c r="U157" s="1213"/>
      <c r="V157" s="1213"/>
    </row>
    <row r="158" spans="1:22" ht="15" thickTop="1" thickBot="1" x14ac:dyDescent="0.3">
      <c r="A158" s="1207"/>
      <c r="B158" s="1212"/>
      <c r="C158" s="1212"/>
      <c r="D158" s="1212"/>
      <c r="E158" s="1212"/>
      <c r="F158" s="1208"/>
      <c r="G158" s="1208"/>
      <c r="H158" s="1208"/>
      <c r="I158" s="1209"/>
      <c r="J158" s="1209"/>
      <c r="K158" s="1210">
        <f t="shared" si="26"/>
        <v>1.05</v>
      </c>
      <c r="L158" s="1210">
        <f t="shared" si="21"/>
        <v>0</v>
      </c>
      <c r="M158" s="1197">
        <f t="shared" si="22"/>
        <v>0</v>
      </c>
      <c r="N158" s="1211">
        <f t="shared" si="23"/>
        <v>0</v>
      </c>
      <c r="O158" s="1212"/>
      <c r="P158" s="1200"/>
      <c r="Q158" s="1200"/>
      <c r="R158" s="1213"/>
      <c r="S158" s="1213"/>
      <c r="T158" s="1213"/>
      <c r="U158" s="1213"/>
      <c r="V158" s="1213"/>
    </row>
    <row r="159" spans="1:22" ht="15" thickTop="1" thickBot="1" x14ac:dyDescent="0.3">
      <c r="A159" s="1207"/>
      <c r="B159" s="1212" t="s">
        <v>1835</v>
      </c>
      <c r="C159" s="1212"/>
      <c r="D159" s="1212"/>
      <c r="E159" s="1212">
        <v>1</v>
      </c>
      <c r="F159" s="1208">
        <v>6.7</v>
      </c>
      <c r="G159" s="1208">
        <v>1.08</v>
      </c>
      <c r="H159" s="1208"/>
      <c r="I159" s="1209">
        <f t="shared" ref="I159:I161" si="63">G159*F159*E159</f>
        <v>7.2360000000000007</v>
      </c>
      <c r="J159" s="1209"/>
      <c r="K159" s="1210">
        <f t="shared" si="26"/>
        <v>1.05</v>
      </c>
      <c r="L159" s="1210">
        <f t="shared" si="21"/>
        <v>0</v>
      </c>
      <c r="M159" s="1197">
        <f t="shared" si="22"/>
        <v>0</v>
      </c>
      <c r="N159" s="1211">
        <f t="shared" si="23"/>
        <v>0</v>
      </c>
      <c r="O159" s="1212"/>
      <c r="P159" s="1200"/>
      <c r="Q159" s="1200"/>
      <c r="R159" s="1213"/>
      <c r="S159" s="1213"/>
      <c r="T159" s="1213"/>
      <c r="U159" s="1213"/>
      <c r="V159" s="1213"/>
    </row>
    <row r="160" spans="1:22" ht="15" thickTop="1" thickBot="1" x14ac:dyDescent="0.3">
      <c r="A160" s="1207"/>
      <c r="B160" s="1212"/>
      <c r="C160" s="1212"/>
      <c r="D160" s="1212"/>
      <c r="E160" s="1212">
        <v>1</v>
      </c>
      <c r="F160" s="1208">
        <v>4.3</v>
      </c>
      <c r="G160" s="1208">
        <v>2</v>
      </c>
      <c r="H160" s="1208"/>
      <c r="I160" s="1209">
        <f t="shared" si="63"/>
        <v>8.6</v>
      </c>
      <c r="J160" s="1209"/>
      <c r="K160" s="1210">
        <f t="shared" si="26"/>
        <v>1.05</v>
      </c>
      <c r="L160" s="1210">
        <f t="shared" si="21"/>
        <v>0</v>
      </c>
      <c r="M160" s="1197">
        <f t="shared" si="22"/>
        <v>0</v>
      </c>
      <c r="N160" s="1211">
        <f t="shared" si="23"/>
        <v>0</v>
      </c>
      <c r="O160" s="1212"/>
      <c r="P160" s="1200"/>
      <c r="Q160" s="1200"/>
      <c r="R160" s="1213"/>
      <c r="S160" s="1213"/>
      <c r="T160" s="1213"/>
      <c r="U160" s="1213"/>
      <c r="V160" s="1213"/>
    </row>
    <row r="161" spans="1:22" ht="15" thickTop="1" thickBot="1" x14ac:dyDescent="0.3">
      <c r="A161" s="1207"/>
      <c r="B161" s="1212"/>
      <c r="C161" s="1212"/>
      <c r="D161" s="1212"/>
      <c r="E161" s="1212">
        <v>1</v>
      </c>
      <c r="F161" s="1208">
        <v>9.8000000000000007</v>
      </c>
      <c r="G161" s="1208">
        <v>1.2</v>
      </c>
      <c r="H161" s="1208"/>
      <c r="I161" s="1209">
        <f t="shared" si="63"/>
        <v>11.76</v>
      </c>
      <c r="J161" s="1209"/>
      <c r="K161" s="1210">
        <f t="shared" si="26"/>
        <v>1.05</v>
      </c>
      <c r="L161" s="1210">
        <f t="shared" si="21"/>
        <v>0</v>
      </c>
      <c r="M161" s="1197">
        <f t="shared" si="22"/>
        <v>0</v>
      </c>
      <c r="N161" s="1211">
        <f t="shared" si="23"/>
        <v>0</v>
      </c>
      <c r="O161" s="1212"/>
      <c r="P161" s="1200"/>
      <c r="Q161" s="1200"/>
      <c r="R161" s="1213"/>
      <c r="S161" s="1213"/>
      <c r="T161" s="1213"/>
      <c r="U161" s="1213"/>
      <c r="V161" s="1213"/>
    </row>
    <row r="162" spans="1:22" ht="15" thickTop="1" thickBot="1" x14ac:dyDescent="0.3">
      <c r="A162" s="1207"/>
      <c r="B162" s="1212"/>
      <c r="C162" s="1212"/>
      <c r="D162" s="1212"/>
      <c r="E162" s="1212"/>
      <c r="F162" s="1208"/>
      <c r="G162" s="1208"/>
      <c r="H162" s="1208"/>
      <c r="I162" s="1209"/>
      <c r="J162" s="1209">
        <f>SUM(I159:I161)</f>
        <v>27.596</v>
      </c>
      <c r="K162" s="1210">
        <f t="shared" si="26"/>
        <v>1.05</v>
      </c>
      <c r="L162" s="1210">
        <f t="shared" si="21"/>
        <v>28.9758</v>
      </c>
      <c r="M162" s="1197">
        <f t="shared" si="22"/>
        <v>29</v>
      </c>
      <c r="N162" s="1211">
        <f t="shared" si="23"/>
        <v>29</v>
      </c>
      <c r="O162" s="1212"/>
      <c r="P162" s="1200"/>
      <c r="Q162" s="1200"/>
      <c r="R162" s="1213"/>
      <c r="S162" s="1213"/>
      <c r="T162" s="1213"/>
      <c r="U162" s="1213"/>
      <c r="V162" s="1213"/>
    </row>
    <row r="163" spans="1:22" ht="15" thickTop="1" thickBot="1" x14ac:dyDescent="0.3">
      <c r="A163" s="1207"/>
      <c r="B163" s="1212"/>
      <c r="C163" s="1212"/>
      <c r="D163" s="1212"/>
      <c r="E163" s="1212"/>
      <c r="F163" s="1208"/>
      <c r="G163" s="1208"/>
      <c r="H163" s="1208"/>
      <c r="I163" s="1209"/>
      <c r="J163" s="1209"/>
      <c r="K163" s="1210">
        <f t="shared" si="26"/>
        <v>1.05</v>
      </c>
      <c r="L163" s="1210">
        <f t="shared" si="21"/>
        <v>0</v>
      </c>
      <c r="M163" s="1197">
        <f t="shared" si="22"/>
        <v>0</v>
      </c>
      <c r="N163" s="1211">
        <f t="shared" si="23"/>
        <v>0</v>
      </c>
      <c r="O163" s="1212"/>
      <c r="P163" s="1200"/>
      <c r="Q163" s="1200"/>
      <c r="R163" s="1213"/>
      <c r="S163" s="1213"/>
      <c r="T163" s="1213"/>
      <c r="U163" s="1213"/>
      <c r="V163" s="1213"/>
    </row>
    <row r="164" spans="1:22" ht="15" thickTop="1" thickBot="1" x14ac:dyDescent="0.3">
      <c r="A164" s="1207"/>
      <c r="B164" s="1212" t="s">
        <v>808</v>
      </c>
      <c r="C164" s="1212"/>
      <c r="D164" s="1212"/>
      <c r="E164" s="1212"/>
      <c r="F164" s="1208"/>
      <c r="G164" s="1208"/>
      <c r="H164" s="1208"/>
      <c r="I164" s="1209"/>
      <c r="J164" s="1209"/>
      <c r="K164" s="1210">
        <f t="shared" si="26"/>
        <v>1.05</v>
      </c>
      <c r="L164" s="1210">
        <f t="shared" si="21"/>
        <v>0</v>
      </c>
      <c r="M164" s="1197">
        <f t="shared" si="22"/>
        <v>0</v>
      </c>
      <c r="N164" s="1211">
        <f t="shared" si="23"/>
        <v>0</v>
      </c>
      <c r="O164" s="1212"/>
      <c r="P164" s="1200"/>
      <c r="Q164" s="1200"/>
      <c r="R164" s="1213"/>
      <c r="S164" s="1213"/>
      <c r="T164" s="1213"/>
      <c r="U164" s="1213"/>
      <c r="V164" s="1213"/>
    </row>
    <row r="165" spans="1:22" ht="15" thickTop="1" thickBot="1" x14ac:dyDescent="0.3">
      <c r="A165" s="1207"/>
      <c r="B165" s="1212" t="s">
        <v>1834</v>
      </c>
      <c r="C165" s="1212"/>
      <c r="D165" s="1212"/>
      <c r="E165" s="1212"/>
      <c r="F165" s="1208">
        <v>61.5</v>
      </c>
      <c r="G165" s="1208"/>
      <c r="H165" s="1208">
        <v>3</v>
      </c>
      <c r="I165" s="1209">
        <f>H165*F165</f>
        <v>184.5</v>
      </c>
      <c r="J165" s="1209"/>
      <c r="K165" s="1210">
        <f t="shared" si="26"/>
        <v>1.05</v>
      </c>
      <c r="L165" s="1210">
        <f t="shared" ref="L165:L211" si="64">K165*J165</f>
        <v>0</v>
      </c>
      <c r="M165" s="1197">
        <f t="shared" ref="M165:M211" si="65">ROUND(L165,1)</f>
        <v>0</v>
      </c>
      <c r="N165" s="1211">
        <f t="shared" ref="N165:N211" si="66">ROUNDUP(M165,0)</f>
        <v>0</v>
      </c>
      <c r="O165" s="1212"/>
      <c r="P165" s="1200"/>
      <c r="Q165" s="1200"/>
      <c r="R165" s="1213"/>
      <c r="S165" s="1213"/>
      <c r="T165" s="1213"/>
      <c r="U165" s="1213"/>
      <c r="V165" s="1213"/>
    </row>
    <row r="166" spans="1:22" ht="15" thickTop="1" thickBot="1" x14ac:dyDescent="0.3">
      <c r="A166" s="1207"/>
      <c r="B166" s="1212" t="s">
        <v>846</v>
      </c>
      <c r="C166" s="1212"/>
      <c r="D166" s="1212"/>
      <c r="E166" s="1212"/>
      <c r="F166" s="1208"/>
      <c r="G166" s="1208"/>
      <c r="H166" s="1208"/>
      <c r="I166" s="1209"/>
      <c r="J166" s="1209"/>
      <c r="K166" s="1210">
        <f t="shared" si="26"/>
        <v>1.05</v>
      </c>
      <c r="L166" s="1210">
        <f t="shared" si="64"/>
        <v>0</v>
      </c>
      <c r="M166" s="1197">
        <f t="shared" si="65"/>
        <v>0</v>
      </c>
      <c r="N166" s="1211">
        <f t="shared" si="66"/>
        <v>0</v>
      </c>
      <c r="O166" s="1212"/>
      <c r="P166" s="1200"/>
      <c r="Q166" s="1200"/>
      <c r="R166" s="1213"/>
      <c r="S166" s="1213"/>
      <c r="T166" s="1213"/>
      <c r="U166" s="1213"/>
      <c r="V166" s="1213"/>
    </row>
    <row r="167" spans="1:22" ht="15" thickTop="1" thickBot="1" x14ac:dyDescent="0.3">
      <c r="A167" s="1207"/>
      <c r="B167" s="1212" t="s">
        <v>837</v>
      </c>
      <c r="C167" s="1212"/>
      <c r="D167" s="1212"/>
      <c r="E167" s="1983">
        <v>1</v>
      </c>
      <c r="F167" s="1208">
        <v>2.2000000000000002</v>
      </c>
      <c r="G167" s="1208"/>
      <c r="H167" s="1208">
        <v>2.7</v>
      </c>
      <c r="I167" s="1209">
        <f>-H167*F167*E167</f>
        <v>-5.9400000000000013</v>
      </c>
      <c r="J167" s="1209"/>
      <c r="K167" s="1210">
        <f t="shared" si="26"/>
        <v>1.05</v>
      </c>
      <c r="L167" s="1210">
        <f t="shared" si="64"/>
        <v>0</v>
      </c>
      <c r="M167" s="1197">
        <f t="shared" si="65"/>
        <v>0</v>
      </c>
      <c r="N167" s="1211">
        <f t="shared" si="66"/>
        <v>0</v>
      </c>
      <c r="O167" s="1212"/>
      <c r="P167" s="1200"/>
      <c r="Q167" s="1200"/>
      <c r="R167" s="1213"/>
      <c r="S167" s="1213"/>
      <c r="T167" s="1213"/>
      <c r="U167" s="1213"/>
      <c r="V167" s="1213"/>
    </row>
    <row r="168" spans="1:22" ht="15" thickTop="1" thickBot="1" x14ac:dyDescent="0.3">
      <c r="A168" s="1207"/>
      <c r="B168" s="1212" t="s">
        <v>769</v>
      </c>
      <c r="C168" s="1212"/>
      <c r="D168" s="1212"/>
      <c r="E168" s="1983">
        <v>2</v>
      </c>
      <c r="F168" s="1208">
        <v>1.5</v>
      </c>
      <c r="G168" s="1208"/>
      <c r="H168" s="1208">
        <v>1.5</v>
      </c>
      <c r="I168" s="1209">
        <f t="shared" ref="I168:I177" si="67">-H168*F168*E168</f>
        <v>-4.5</v>
      </c>
      <c r="J168" s="1209"/>
      <c r="K168" s="1210">
        <f t="shared" si="26"/>
        <v>1.05</v>
      </c>
      <c r="L168" s="1210">
        <f t="shared" ref="L168:L170" si="68">K168*J168</f>
        <v>0</v>
      </c>
      <c r="M168" s="1197">
        <f t="shared" ref="M168:M170" si="69">ROUND(L168,1)</f>
        <v>0</v>
      </c>
      <c r="N168" s="1211">
        <f t="shared" ref="N168:N170" si="70">ROUNDUP(M168,0)</f>
        <v>0</v>
      </c>
      <c r="O168" s="1212"/>
      <c r="P168" s="1200"/>
      <c r="Q168" s="1200"/>
      <c r="R168" s="1213"/>
      <c r="S168" s="1213"/>
      <c r="T168" s="1213"/>
      <c r="U168" s="1213"/>
      <c r="V168" s="1213"/>
    </row>
    <row r="169" spans="1:22" ht="15" thickTop="1" thickBot="1" x14ac:dyDescent="0.3">
      <c r="A169" s="1207"/>
      <c r="B169" s="1212" t="s">
        <v>766</v>
      </c>
      <c r="C169" s="1212"/>
      <c r="D169" s="1212"/>
      <c r="E169" s="1983">
        <v>1</v>
      </c>
      <c r="F169" s="1208">
        <v>1.65</v>
      </c>
      <c r="G169" s="1208"/>
      <c r="H169" s="1208">
        <v>1.8</v>
      </c>
      <c r="I169" s="1209">
        <f t="shared" si="67"/>
        <v>-2.9699999999999998</v>
      </c>
      <c r="J169" s="1209"/>
      <c r="K169" s="1210">
        <f t="shared" si="26"/>
        <v>1.05</v>
      </c>
      <c r="L169" s="1210">
        <f t="shared" si="68"/>
        <v>0</v>
      </c>
      <c r="M169" s="1197">
        <f t="shared" si="69"/>
        <v>0</v>
      </c>
      <c r="N169" s="1211">
        <f t="shared" si="70"/>
        <v>0</v>
      </c>
      <c r="O169" s="1212"/>
      <c r="P169" s="1200"/>
      <c r="Q169" s="1200"/>
      <c r="R169" s="1213"/>
      <c r="S169" s="1213"/>
      <c r="T169" s="1213"/>
      <c r="U169" s="1213"/>
      <c r="V169" s="1213"/>
    </row>
    <row r="170" spans="1:22" ht="15" thickTop="1" thickBot="1" x14ac:dyDescent="0.3">
      <c r="A170" s="1207"/>
      <c r="B170" s="1212" t="s">
        <v>770</v>
      </c>
      <c r="C170" s="1212"/>
      <c r="D170" s="1212"/>
      <c r="E170" s="1983">
        <v>1</v>
      </c>
      <c r="F170" s="1208">
        <v>0.9</v>
      </c>
      <c r="G170" s="1208"/>
      <c r="H170" s="1208">
        <v>2.7</v>
      </c>
      <c r="I170" s="1209">
        <f t="shared" si="67"/>
        <v>-2.4300000000000002</v>
      </c>
      <c r="J170" s="1209"/>
      <c r="K170" s="1210">
        <f t="shared" si="26"/>
        <v>1.05</v>
      </c>
      <c r="L170" s="1210">
        <f t="shared" si="68"/>
        <v>0</v>
      </c>
      <c r="M170" s="1197">
        <f t="shared" si="69"/>
        <v>0</v>
      </c>
      <c r="N170" s="1211">
        <f t="shared" si="70"/>
        <v>0</v>
      </c>
      <c r="O170" s="1212"/>
      <c r="P170" s="1200"/>
      <c r="Q170" s="1200"/>
      <c r="R170" s="1213"/>
      <c r="S170" s="1213"/>
      <c r="T170" s="1213"/>
      <c r="U170" s="1213"/>
      <c r="V170" s="1213"/>
    </row>
    <row r="171" spans="1:22" ht="15" thickTop="1" thickBot="1" x14ac:dyDescent="0.3">
      <c r="A171" s="1207"/>
      <c r="B171" s="1212" t="s">
        <v>766</v>
      </c>
      <c r="C171" s="1212"/>
      <c r="D171" s="1212"/>
      <c r="E171" s="1983">
        <v>1</v>
      </c>
      <c r="F171" s="1208">
        <v>1.65</v>
      </c>
      <c r="G171" s="1208"/>
      <c r="H171" s="1208">
        <v>1.8</v>
      </c>
      <c r="I171" s="1209">
        <f t="shared" si="67"/>
        <v>-2.9699999999999998</v>
      </c>
      <c r="J171" s="1209"/>
      <c r="K171" s="1210">
        <f t="shared" si="26"/>
        <v>1.05</v>
      </c>
      <c r="L171" s="1210">
        <f t="shared" ref="L171:L178" si="71">K171*J171</f>
        <v>0</v>
      </c>
      <c r="M171" s="1197">
        <f t="shared" ref="M171:M178" si="72">ROUND(L171,1)</f>
        <v>0</v>
      </c>
      <c r="N171" s="1211">
        <f t="shared" ref="N171:N178" si="73">ROUNDUP(M171,0)</f>
        <v>0</v>
      </c>
      <c r="O171" s="1212"/>
      <c r="P171" s="1200"/>
      <c r="Q171" s="1200"/>
      <c r="R171" s="1213"/>
      <c r="S171" s="1213"/>
      <c r="T171" s="1213"/>
      <c r="U171" s="1213"/>
      <c r="V171" s="1213"/>
    </row>
    <row r="172" spans="1:22" ht="15" thickTop="1" thickBot="1" x14ac:dyDescent="0.3">
      <c r="A172" s="1207"/>
      <c r="B172" s="1212" t="s">
        <v>3152</v>
      </c>
      <c r="C172" s="1212"/>
      <c r="D172" s="1212"/>
      <c r="E172" s="1983">
        <v>1</v>
      </c>
      <c r="F172" s="1208">
        <v>4.0999999999999996</v>
      </c>
      <c r="G172" s="1208"/>
      <c r="H172" s="1208">
        <v>2.7</v>
      </c>
      <c r="I172" s="1209">
        <f t="shared" si="67"/>
        <v>-11.07</v>
      </c>
      <c r="J172" s="1209"/>
      <c r="K172" s="1210">
        <f t="shared" si="26"/>
        <v>1.05</v>
      </c>
      <c r="L172" s="1210">
        <f t="shared" si="71"/>
        <v>0</v>
      </c>
      <c r="M172" s="1197">
        <f t="shared" si="72"/>
        <v>0</v>
      </c>
      <c r="N172" s="1211">
        <f t="shared" si="73"/>
        <v>0</v>
      </c>
      <c r="O172" s="1212"/>
      <c r="P172" s="1200"/>
      <c r="Q172" s="1200"/>
      <c r="R172" s="1213"/>
      <c r="S172" s="1213"/>
      <c r="T172" s="1213"/>
      <c r="U172" s="1213"/>
      <c r="V172" s="1213"/>
    </row>
    <row r="173" spans="1:22" ht="15" thickTop="1" thickBot="1" x14ac:dyDescent="0.3">
      <c r="A173" s="1207"/>
      <c r="B173" s="1212" t="s">
        <v>3179</v>
      </c>
      <c r="C173" s="1212"/>
      <c r="D173" s="1212"/>
      <c r="E173" s="1983">
        <v>1</v>
      </c>
      <c r="F173" s="1208">
        <v>1.7</v>
      </c>
      <c r="G173" s="1208"/>
      <c r="H173" s="1208">
        <v>2.7</v>
      </c>
      <c r="I173" s="1209">
        <f t="shared" si="67"/>
        <v>-4.59</v>
      </c>
      <c r="J173" s="1209"/>
      <c r="K173" s="1210">
        <f t="shared" si="26"/>
        <v>1.05</v>
      </c>
      <c r="L173" s="1210">
        <f t="shared" si="71"/>
        <v>0</v>
      </c>
      <c r="M173" s="1197">
        <f t="shared" si="72"/>
        <v>0</v>
      </c>
      <c r="N173" s="1211">
        <f t="shared" si="73"/>
        <v>0</v>
      </c>
      <c r="O173" s="1212"/>
      <c r="P173" s="1200"/>
      <c r="Q173" s="1200"/>
      <c r="R173" s="1213"/>
      <c r="S173" s="1213"/>
      <c r="T173" s="1213"/>
      <c r="U173" s="1213"/>
      <c r="V173" s="1213"/>
    </row>
    <row r="174" spans="1:22" ht="15" thickTop="1" thickBot="1" x14ac:dyDescent="0.3">
      <c r="A174" s="1207"/>
      <c r="B174" s="1212" t="s">
        <v>765</v>
      </c>
      <c r="C174" s="1212"/>
      <c r="D174" s="1212"/>
      <c r="E174" s="1983">
        <v>1</v>
      </c>
      <c r="F174" s="1208">
        <v>1.5</v>
      </c>
      <c r="G174" s="1208"/>
      <c r="H174" s="1208">
        <v>2.7</v>
      </c>
      <c r="I174" s="1209">
        <f t="shared" si="67"/>
        <v>-4.0500000000000007</v>
      </c>
      <c r="J174" s="1209"/>
      <c r="K174" s="1210">
        <f t="shared" si="26"/>
        <v>1.05</v>
      </c>
      <c r="L174" s="1210">
        <f t="shared" si="71"/>
        <v>0</v>
      </c>
      <c r="M174" s="1197">
        <f t="shared" si="72"/>
        <v>0</v>
      </c>
      <c r="N174" s="1211">
        <f t="shared" si="73"/>
        <v>0</v>
      </c>
      <c r="O174" s="1212"/>
      <c r="P174" s="1200"/>
      <c r="Q174" s="1200"/>
      <c r="R174" s="1213"/>
      <c r="S174" s="1213"/>
      <c r="T174" s="1213"/>
      <c r="U174" s="1213"/>
      <c r="V174" s="1213"/>
    </row>
    <row r="175" spans="1:22" ht="15" thickTop="1" thickBot="1" x14ac:dyDescent="0.3">
      <c r="A175" s="1207"/>
      <c r="B175" s="1212" t="s">
        <v>764</v>
      </c>
      <c r="C175" s="1212"/>
      <c r="D175" s="1212"/>
      <c r="E175" s="1983">
        <v>2</v>
      </c>
      <c r="F175" s="1208">
        <v>1.7749999999999999</v>
      </c>
      <c r="G175" s="1208"/>
      <c r="H175" s="1208">
        <v>2.7</v>
      </c>
      <c r="I175" s="1209">
        <f t="shared" si="67"/>
        <v>-9.5850000000000009</v>
      </c>
      <c r="J175" s="1209"/>
      <c r="K175" s="1210">
        <f t="shared" si="26"/>
        <v>1.05</v>
      </c>
      <c r="L175" s="1210">
        <f t="shared" si="71"/>
        <v>0</v>
      </c>
      <c r="M175" s="1197">
        <f t="shared" si="72"/>
        <v>0</v>
      </c>
      <c r="N175" s="1211">
        <f t="shared" si="73"/>
        <v>0</v>
      </c>
      <c r="O175" s="1212"/>
      <c r="P175" s="1200"/>
      <c r="Q175" s="1200"/>
      <c r="R175" s="1213"/>
      <c r="S175" s="1213"/>
      <c r="T175" s="1213"/>
      <c r="U175" s="1213"/>
      <c r="V175" s="1213"/>
    </row>
    <row r="176" spans="1:22" ht="15" thickTop="1" thickBot="1" x14ac:dyDescent="0.3">
      <c r="A176" s="1207"/>
      <c r="B176" s="1212" t="s">
        <v>763</v>
      </c>
      <c r="C176" s="1212"/>
      <c r="D176" s="1212"/>
      <c r="E176" s="1983">
        <v>1</v>
      </c>
      <c r="F176" s="1208">
        <v>1</v>
      </c>
      <c r="G176" s="1208"/>
      <c r="H176" s="1208">
        <v>2.7</v>
      </c>
      <c r="I176" s="1209">
        <f t="shared" si="67"/>
        <v>-2.7</v>
      </c>
      <c r="J176" s="1209"/>
      <c r="K176" s="1210">
        <f t="shared" si="26"/>
        <v>1.05</v>
      </c>
      <c r="L176" s="1210">
        <f t="shared" si="71"/>
        <v>0</v>
      </c>
      <c r="M176" s="1197">
        <f t="shared" si="72"/>
        <v>0</v>
      </c>
      <c r="N176" s="1211">
        <f t="shared" si="73"/>
        <v>0</v>
      </c>
      <c r="O176" s="1212"/>
      <c r="P176" s="1200"/>
      <c r="Q176" s="1200"/>
      <c r="R176" s="1213"/>
      <c r="S176" s="1213"/>
      <c r="T176" s="1213"/>
      <c r="U176" s="1213"/>
      <c r="V176" s="1213"/>
    </row>
    <row r="177" spans="1:22" ht="15" thickTop="1" thickBot="1" x14ac:dyDescent="0.3">
      <c r="A177" s="1207"/>
      <c r="B177" s="1212" t="s">
        <v>762</v>
      </c>
      <c r="C177" s="1212"/>
      <c r="D177" s="1212"/>
      <c r="E177" s="1983">
        <v>1</v>
      </c>
      <c r="F177" s="1208">
        <v>2.9</v>
      </c>
      <c r="G177" s="1208"/>
      <c r="H177" s="1208">
        <v>2.7</v>
      </c>
      <c r="I177" s="1209">
        <f t="shared" si="67"/>
        <v>-7.83</v>
      </c>
      <c r="J177" s="1209"/>
      <c r="K177" s="1210">
        <f t="shared" si="26"/>
        <v>1.05</v>
      </c>
      <c r="L177" s="1210">
        <f t="shared" si="71"/>
        <v>0</v>
      </c>
      <c r="M177" s="1197">
        <f t="shared" si="72"/>
        <v>0</v>
      </c>
      <c r="N177" s="1211">
        <f t="shared" si="73"/>
        <v>0</v>
      </c>
      <c r="O177" s="1212"/>
      <c r="P177" s="1200"/>
      <c r="Q177" s="1200"/>
      <c r="R177" s="1213"/>
      <c r="S177" s="1213"/>
      <c r="T177" s="1213"/>
      <c r="U177" s="1213"/>
      <c r="V177" s="1213"/>
    </row>
    <row r="178" spans="1:22" ht="15" thickTop="1" thickBot="1" x14ac:dyDescent="0.3">
      <c r="A178" s="1207"/>
      <c r="B178" s="1212"/>
      <c r="C178" s="1212"/>
      <c r="D178" s="1212"/>
      <c r="E178" s="1212"/>
      <c r="F178" s="1208"/>
      <c r="G178" s="1208"/>
      <c r="H178" s="1208"/>
      <c r="I178" s="1209"/>
      <c r="J178" s="1209">
        <f>SUM(I165:I177)</f>
        <v>125.86499999999999</v>
      </c>
      <c r="K178" s="1210">
        <f t="shared" si="26"/>
        <v>1.05</v>
      </c>
      <c r="L178" s="1210">
        <f t="shared" si="71"/>
        <v>132.15825000000001</v>
      </c>
      <c r="M178" s="1197">
        <f t="shared" si="72"/>
        <v>132.19999999999999</v>
      </c>
      <c r="N178" s="1211">
        <f t="shared" si="73"/>
        <v>133</v>
      </c>
      <c r="O178" s="1212"/>
      <c r="P178" s="1200"/>
      <c r="Q178" s="1200"/>
      <c r="R178" s="1213"/>
      <c r="S178" s="1213"/>
      <c r="T178" s="1213"/>
      <c r="U178" s="1213"/>
      <c r="V178" s="1213"/>
    </row>
    <row r="179" spans="1:22" ht="15" thickTop="1" thickBot="1" x14ac:dyDescent="0.3">
      <c r="A179" s="1207"/>
      <c r="B179" s="1212" t="s">
        <v>3182</v>
      </c>
      <c r="C179" s="1212"/>
      <c r="D179" s="1212"/>
      <c r="E179" s="1212"/>
      <c r="F179" s="1208"/>
      <c r="G179" s="1208"/>
      <c r="H179" s="1208"/>
      <c r="I179" s="1209"/>
      <c r="J179" s="1209"/>
      <c r="K179" s="1210"/>
      <c r="L179" s="1210"/>
      <c r="M179" s="1197"/>
      <c r="N179" s="1211"/>
      <c r="O179" s="1212"/>
      <c r="P179" s="1200"/>
      <c r="Q179" s="1200"/>
      <c r="R179" s="1213"/>
      <c r="S179" s="1213"/>
      <c r="T179" s="1213"/>
      <c r="U179" s="1213"/>
      <c r="V179" s="1213"/>
    </row>
    <row r="180" spans="1:22" ht="15" thickTop="1" thickBot="1" x14ac:dyDescent="0.3">
      <c r="A180" s="1207"/>
      <c r="B180" s="1212" t="s">
        <v>837</v>
      </c>
      <c r="C180" s="1212"/>
      <c r="D180" s="1212"/>
      <c r="E180" s="1983">
        <v>1</v>
      </c>
      <c r="F180" s="1208">
        <f>F167+F167+H167+H167</f>
        <v>9.8000000000000007</v>
      </c>
      <c r="G180" s="1208"/>
      <c r="H180" s="1208"/>
      <c r="I180" s="1209">
        <f>F180*E180</f>
        <v>9.8000000000000007</v>
      </c>
      <c r="J180" s="1209"/>
      <c r="K180" s="1210"/>
      <c r="L180" s="1210"/>
      <c r="M180" s="1197"/>
      <c r="N180" s="1211"/>
      <c r="O180" s="1212"/>
      <c r="P180" s="1200"/>
      <c r="Q180" s="1200"/>
      <c r="R180" s="1213"/>
      <c r="S180" s="1213"/>
      <c r="T180" s="1213"/>
      <c r="U180" s="1213"/>
      <c r="V180" s="1213"/>
    </row>
    <row r="181" spans="1:22" ht="15" thickTop="1" thickBot="1" x14ac:dyDescent="0.3">
      <c r="A181" s="1207"/>
      <c r="B181" s="1212" t="s">
        <v>769</v>
      </c>
      <c r="C181" s="1212"/>
      <c r="D181" s="1212"/>
      <c r="E181" s="1983">
        <v>2</v>
      </c>
      <c r="F181" s="1208">
        <f t="shared" ref="F181:F190" si="74">F168+F168+H168+H168</f>
        <v>6</v>
      </c>
      <c r="G181" s="1208"/>
      <c r="H181" s="1208"/>
      <c r="I181" s="1209">
        <f t="shared" ref="I181:I189" si="75">F181*E181</f>
        <v>12</v>
      </c>
      <c r="J181" s="1209"/>
      <c r="K181" s="1210"/>
      <c r="L181" s="1210"/>
      <c r="M181" s="1197"/>
      <c r="N181" s="1211"/>
      <c r="O181" s="1212"/>
      <c r="P181" s="1200"/>
      <c r="Q181" s="1200"/>
      <c r="R181" s="1213"/>
      <c r="S181" s="1213"/>
      <c r="T181" s="1213"/>
      <c r="U181" s="1213"/>
      <c r="V181" s="1213"/>
    </row>
    <row r="182" spans="1:22" ht="15" thickTop="1" thickBot="1" x14ac:dyDescent="0.3">
      <c r="A182" s="1207"/>
      <c r="B182" s="1212" t="s">
        <v>766</v>
      </c>
      <c r="C182" s="1212"/>
      <c r="D182" s="1212"/>
      <c r="E182" s="1983">
        <v>1</v>
      </c>
      <c r="F182" s="1208">
        <f t="shared" si="74"/>
        <v>6.8999999999999995</v>
      </c>
      <c r="G182" s="1208"/>
      <c r="H182" s="1208"/>
      <c r="I182" s="1209">
        <f t="shared" si="75"/>
        <v>6.8999999999999995</v>
      </c>
      <c r="J182" s="1209"/>
      <c r="K182" s="1210"/>
      <c r="L182" s="1210"/>
      <c r="M182" s="1197"/>
      <c r="N182" s="1211"/>
      <c r="O182" s="1212"/>
      <c r="P182" s="1200"/>
      <c r="Q182" s="1200"/>
      <c r="R182" s="1213"/>
      <c r="S182" s="1213"/>
      <c r="T182" s="1213"/>
      <c r="U182" s="1213"/>
      <c r="V182" s="1213"/>
    </row>
    <row r="183" spans="1:22" ht="15" thickTop="1" thickBot="1" x14ac:dyDescent="0.3">
      <c r="A183" s="1207"/>
      <c r="B183" s="1212" t="s">
        <v>770</v>
      </c>
      <c r="C183" s="1212"/>
      <c r="D183" s="1212"/>
      <c r="E183" s="1983">
        <v>1</v>
      </c>
      <c r="F183" s="1208">
        <f t="shared" si="74"/>
        <v>7.2</v>
      </c>
      <c r="G183" s="1208"/>
      <c r="H183" s="1208"/>
      <c r="I183" s="1209">
        <f t="shared" si="75"/>
        <v>7.2</v>
      </c>
      <c r="J183" s="1209"/>
      <c r="K183" s="1210"/>
      <c r="L183" s="1210"/>
      <c r="M183" s="1197"/>
      <c r="N183" s="1211"/>
      <c r="O183" s="1212"/>
      <c r="P183" s="1200"/>
      <c r="Q183" s="1200"/>
      <c r="R183" s="1213"/>
      <c r="S183" s="1213"/>
      <c r="T183" s="1213"/>
      <c r="U183" s="1213"/>
      <c r="V183" s="1213"/>
    </row>
    <row r="184" spans="1:22" ht="15" thickTop="1" thickBot="1" x14ac:dyDescent="0.3">
      <c r="A184" s="1207"/>
      <c r="B184" s="1212" t="s">
        <v>766</v>
      </c>
      <c r="C184" s="1212"/>
      <c r="D184" s="1212"/>
      <c r="E184" s="1983">
        <v>1</v>
      </c>
      <c r="F184" s="1208">
        <f t="shared" si="74"/>
        <v>6.8999999999999995</v>
      </c>
      <c r="G184" s="1208"/>
      <c r="H184" s="1208"/>
      <c r="I184" s="1209">
        <f t="shared" si="75"/>
        <v>6.8999999999999995</v>
      </c>
      <c r="J184" s="1209"/>
      <c r="K184" s="1210"/>
      <c r="L184" s="1210"/>
      <c r="M184" s="1197"/>
      <c r="N184" s="1211"/>
      <c r="O184" s="1212"/>
      <c r="P184" s="1200"/>
      <c r="Q184" s="1200"/>
      <c r="R184" s="1213"/>
      <c r="S184" s="1213"/>
      <c r="T184" s="1213"/>
      <c r="U184" s="1213"/>
      <c r="V184" s="1213"/>
    </row>
    <row r="185" spans="1:22" ht="15" thickTop="1" thickBot="1" x14ac:dyDescent="0.3">
      <c r="A185" s="1207"/>
      <c r="B185" s="1212" t="s">
        <v>3152</v>
      </c>
      <c r="C185" s="1212"/>
      <c r="D185" s="1212"/>
      <c r="E185" s="1983">
        <v>1</v>
      </c>
      <c r="F185" s="1208">
        <f t="shared" si="74"/>
        <v>13.599999999999998</v>
      </c>
      <c r="G185" s="1208"/>
      <c r="H185" s="1208"/>
      <c r="I185" s="1209">
        <f t="shared" si="75"/>
        <v>13.599999999999998</v>
      </c>
      <c r="J185" s="1209"/>
      <c r="K185" s="1210">
        <f t="shared" si="26"/>
        <v>1.05</v>
      </c>
      <c r="L185" s="1210">
        <f t="shared" si="64"/>
        <v>0</v>
      </c>
      <c r="M185" s="1197">
        <f t="shared" si="65"/>
        <v>0</v>
      </c>
      <c r="N185" s="1211">
        <f t="shared" si="66"/>
        <v>0</v>
      </c>
      <c r="O185" s="1212"/>
      <c r="P185" s="1200"/>
      <c r="Q185" s="1200"/>
      <c r="R185" s="1213"/>
      <c r="S185" s="1213"/>
      <c r="T185" s="1213"/>
      <c r="U185" s="1213"/>
      <c r="V185" s="1213"/>
    </row>
    <row r="186" spans="1:22" ht="15" thickTop="1" thickBot="1" x14ac:dyDescent="0.3">
      <c r="A186" s="1207"/>
      <c r="B186" s="1212" t="s">
        <v>3179</v>
      </c>
      <c r="C186" s="1212"/>
      <c r="D186" s="1212"/>
      <c r="E186" s="1983">
        <v>1</v>
      </c>
      <c r="F186" s="1208">
        <f t="shared" si="74"/>
        <v>8.8000000000000007</v>
      </c>
      <c r="G186" s="1208"/>
      <c r="H186" s="1208"/>
      <c r="I186" s="1209">
        <f t="shared" si="75"/>
        <v>8.8000000000000007</v>
      </c>
      <c r="J186" s="1209"/>
      <c r="K186" s="1210">
        <f t="shared" si="26"/>
        <v>1.05</v>
      </c>
      <c r="L186" s="1210">
        <f t="shared" si="64"/>
        <v>0</v>
      </c>
      <c r="M186" s="1197">
        <f t="shared" si="65"/>
        <v>0</v>
      </c>
      <c r="N186" s="1211">
        <f t="shared" si="66"/>
        <v>0</v>
      </c>
      <c r="O186" s="1212"/>
      <c r="P186" s="1200"/>
      <c r="Q186" s="1200"/>
      <c r="R186" s="1213"/>
      <c r="S186" s="1213"/>
      <c r="T186" s="1213"/>
      <c r="U186" s="1213"/>
      <c r="V186" s="1213"/>
    </row>
    <row r="187" spans="1:22" ht="15" thickTop="1" thickBot="1" x14ac:dyDescent="0.3">
      <c r="A187" s="1207"/>
      <c r="B187" s="1212" t="s">
        <v>765</v>
      </c>
      <c r="C187" s="1212"/>
      <c r="D187" s="1212"/>
      <c r="E187" s="1983">
        <v>1</v>
      </c>
      <c r="F187" s="1208">
        <f t="shared" si="74"/>
        <v>8.4</v>
      </c>
      <c r="G187" s="1208"/>
      <c r="H187" s="1208"/>
      <c r="I187" s="1209">
        <f t="shared" si="75"/>
        <v>8.4</v>
      </c>
      <c r="J187" s="1209"/>
      <c r="K187" s="1210">
        <f t="shared" si="26"/>
        <v>1.05</v>
      </c>
      <c r="L187" s="1210">
        <f t="shared" si="64"/>
        <v>0</v>
      </c>
      <c r="M187" s="1197">
        <f t="shared" si="65"/>
        <v>0</v>
      </c>
      <c r="N187" s="1211">
        <f t="shared" si="66"/>
        <v>0</v>
      </c>
      <c r="O187" s="1212"/>
      <c r="P187" s="1200"/>
      <c r="Q187" s="1200"/>
      <c r="R187" s="1213"/>
      <c r="S187" s="1213"/>
      <c r="T187" s="1213"/>
      <c r="U187" s="1213"/>
      <c r="V187" s="1213"/>
    </row>
    <row r="188" spans="1:22" ht="15" thickTop="1" thickBot="1" x14ac:dyDescent="0.3">
      <c r="A188" s="1207"/>
      <c r="B188" s="1212" t="s">
        <v>764</v>
      </c>
      <c r="C188" s="1212"/>
      <c r="D188" s="1212"/>
      <c r="E188" s="1983">
        <v>2</v>
      </c>
      <c r="F188" s="1208">
        <f t="shared" si="74"/>
        <v>8.9499999999999993</v>
      </c>
      <c r="G188" s="1208"/>
      <c r="H188" s="1208"/>
      <c r="I188" s="1209">
        <f t="shared" si="75"/>
        <v>17.899999999999999</v>
      </c>
      <c r="J188" s="1209"/>
      <c r="K188" s="1210">
        <f t="shared" si="26"/>
        <v>1.05</v>
      </c>
      <c r="L188" s="1210">
        <f t="shared" si="64"/>
        <v>0</v>
      </c>
      <c r="M188" s="1197">
        <f t="shared" si="65"/>
        <v>0</v>
      </c>
      <c r="N188" s="1211">
        <f t="shared" si="66"/>
        <v>0</v>
      </c>
      <c r="O188" s="1212"/>
      <c r="P188" s="1200"/>
      <c r="Q188" s="1200"/>
      <c r="R188" s="1213"/>
      <c r="S188" s="1213"/>
      <c r="T188" s="1213"/>
      <c r="U188" s="1213"/>
      <c r="V188" s="1213"/>
    </row>
    <row r="189" spans="1:22" ht="15" thickTop="1" thickBot="1" x14ac:dyDescent="0.3">
      <c r="A189" s="1207"/>
      <c r="B189" s="1212" t="s">
        <v>763</v>
      </c>
      <c r="C189" s="1212"/>
      <c r="D189" s="1212"/>
      <c r="E189" s="1983">
        <v>1</v>
      </c>
      <c r="F189" s="1208">
        <f t="shared" si="74"/>
        <v>7.4</v>
      </c>
      <c r="G189" s="1208"/>
      <c r="H189" s="1208"/>
      <c r="I189" s="1209">
        <f t="shared" si="75"/>
        <v>7.4</v>
      </c>
      <c r="J189" s="1209"/>
      <c r="K189" s="1210">
        <f t="shared" si="26"/>
        <v>1.05</v>
      </c>
      <c r="L189" s="1210">
        <f t="shared" si="64"/>
        <v>0</v>
      </c>
      <c r="M189" s="1197">
        <f t="shared" si="65"/>
        <v>0</v>
      </c>
      <c r="N189" s="1211">
        <f t="shared" si="66"/>
        <v>0</v>
      </c>
      <c r="O189" s="1212"/>
      <c r="P189" s="1200"/>
      <c r="Q189" s="1200"/>
      <c r="R189" s="1213"/>
      <c r="S189" s="1213"/>
      <c r="T189" s="1213"/>
      <c r="U189" s="1213"/>
      <c r="V189" s="1213"/>
    </row>
    <row r="190" spans="1:22" ht="15" thickTop="1" thickBot="1" x14ac:dyDescent="0.3">
      <c r="A190" s="1207"/>
      <c r="B190" s="1212" t="s">
        <v>762</v>
      </c>
      <c r="C190" s="1212"/>
      <c r="D190" s="1212"/>
      <c r="E190" s="1983">
        <v>1</v>
      </c>
      <c r="F190" s="1208">
        <f t="shared" si="74"/>
        <v>11.2</v>
      </c>
      <c r="G190" s="1208"/>
      <c r="H190" s="1208"/>
      <c r="I190" s="1209">
        <f>F190*E190</f>
        <v>11.2</v>
      </c>
      <c r="J190" s="1209"/>
      <c r="K190" s="1210">
        <f t="shared" si="26"/>
        <v>1.05</v>
      </c>
      <c r="L190" s="1210">
        <f t="shared" si="64"/>
        <v>0</v>
      </c>
      <c r="M190" s="1197">
        <f t="shared" si="65"/>
        <v>0</v>
      </c>
      <c r="N190" s="1211">
        <f t="shared" si="66"/>
        <v>0</v>
      </c>
      <c r="O190" s="1212"/>
      <c r="P190" s="1200"/>
      <c r="Q190" s="1200"/>
      <c r="R190" s="1213"/>
      <c r="S190" s="1213"/>
      <c r="T190" s="1213"/>
      <c r="U190" s="1213"/>
      <c r="V190" s="1213"/>
    </row>
    <row r="191" spans="1:22" ht="15" thickTop="1" thickBot="1" x14ac:dyDescent="0.3">
      <c r="A191" s="1207"/>
      <c r="B191" s="1212"/>
      <c r="C191" s="1212"/>
      <c r="D191" s="1212"/>
      <c r="E191" s="1212"/>
      <c r="F191" s="1208"/>
      <c r="G191" s="1208"/>
      <c r="H191" s="1208"/>
      <c r="I191" s="1209"/>
      <c r="J191" s="1209">
        <f>SUM(I180:I190)</f>
        <v>110.10000000000001</v>
      </c>
      <c r="K191" s="1210">
        <f t="shared" si="26"/>
        <v>1.05</v>
      </c>
      <c r="L191" s="1210">
        <f t="shared" si="64"/>
        <v>115.60500000000002</v>
      </c>
      <c r="M191" s="1197">
        <f t="shared" si="65"/>
        <v>115.6</v>
      </c>
      <c r="N191" s="1211">
        <f t="shared" si="66"/>
        <v>116</v>
      </c>
      <c r="O191" s="1212"/>
      <c r="P191" s="1200"/>
      <c r="Q191" s="1200"/>
      <c r="R191" s="1213"/>
      <c r="S191" s="1213"/>
      <c r="T191" s="1213"/>
      <c r="U191" s="1213"/>
      <c r="V191" s="1213"/>
    </row>
    <row r="192" spans="1:22" ht="15" thickTop="1" thickBot="1" x14ac:dyDescent="0.3">
      <c r="A192" s="1207"/>
      <c r="B192" s="1212"/>
      <c r="C192" s="1212"/>
      <c r="D192" s="1212"/>
      <c r="E192" s="1212"/>
      <c r="F192" s="1208"/>
      <c r="G192" s="1208"/>
      <c r="H192" s="1208"/>
      <c r="I192" s="1209"/>
      <c r="J192" s="1209"/>
      <c r="K192" s="1210">
        <f t="shared" si="26"/>
        <v>1.05</v>
      </c>
      <c r="L192" s="1210">
        <f t="shared" ref="L192:L195" si="76">K192*J192</f>
        <v>0</v>
      </c>
      <c r="M192" s="1197">
        <f t="shared" ref="M192:M195" si="77">ROUND(L192,1)</f>
        <v>0</v>
      </c>
      <c r="N192" s="1211">
        <f t="shared" ref="N192:N195" si="78">ROUNDUP(M192,0)</f>
        <v>0</v>
      </c>
      <c r="O192" s="1212"/>
      <c r="P192" s="1200"/>
      <c r="Q192" s="1200"/>
      <c r="R192" s="1213"/>
      <c r="S192" s="1213"/>
      <c r="T192" s="1213"/>
      <c r="U192" s="1213"/>
      <c r="V192" s="1213"/>
    </row>
    <row r="193" spans="1:22" ht="15" thickTop="1" thickBot="1" x14ac:dyDescent="0.3">
      <c r="A193" s="1207"/>
      <c r="B193" s="1212" t="s">
        <v>1473</v>
      </c>
      <c r="C193" s="1212"/>
      <c r="D193" s="1212"/>
      <c r="E193" s="1212"/>
      <c r="F193" s="1208">
        <v>58.45</v>
      </c>
      <c r="G193" s="1208"/>
      <c r="H193" s="1208">
        <v>3.3</v>
      </c>
      <c r="I193" s="1209">
        <f>H193*F193</f>
        <v>192.88499999999999</v>
      </c>
      <c r="J193" s="1209"/>
      <c r="K193" s="1210">
        <f t="shared" si="26"/>
        <v>1.05</v>
      </c>
      <c r="L193" s="1210">
        <f t="shared" si="76"/>
        <v>0</v>
      </c>
      <c r="M193" s="1197">
        <f t="shared" si="77"/>
        <v>0</v>
      </c>
      <c r="N193" s="1211">
        <f t="shared" si="78"/>
        <v>0</v>
      </c>
      <c r="O193" s="1212"/>
      <c r="P193" s="1200"/>
      <c r="Q193" s="1200"/>
      <c r="R193" s="1213"/>
      <c r="S193" s="1213"/>
      <c r="T193" s="1213"/>
      <c r="U193" s="1213"/>
      <c r="V193" s="1213"/>
    </row>
    <row r="194" spans="1:22" ht="15" thickTop="1" thickBot="1" x14ac:dyDescent="0.3">
      <c r="A194" s="1207"/>
      <c r="B194" s="1212"/>
      <c r="C194" s="1212"/>
      <c r="D194" s="1212"/>
      <c r="E194" s="1212"/>
      <c r="F194" s="1208">
        <v>37.9</v>
      </c>
      <c r="G194" s="1208"/>
      <c r="H194" s="1208">
        <v>1.2</v>
      </c>
      <c r="I194" s="1209">
        <f>H194*F194</f>
        <v>45.48</v>
      </c>
      <c r="J194" s="1209"/>
      <c r="K194" s="1210">
        <f t="shared" si="26"/>
        <v>1.05</v>
      </c>
      <c r="L194" s="1210">
        <f t="shared" si="76"/>
        <v>0</v>
      </c>
      <c r="M194" s="1197">
        <f t="shared" si="77"/>
        <v>0</v>
      </c>
      <c r="N194" s="1211">
        <f t="shared" si="78"/>
        <v>0</v>
      </c>
      <c r="O194" s="1212"/>
      <c r="P194" s="1200"/>
      <c r="Q194" s="1200"/>
      <c r="R194" s="1213"/>
      <c r="S194" s="1213"/>
      <c r="T194" s="1213"/>
      <c r="U194" s="1213"/>
      <c r="V194" s="1213"/>
    </row>
    <row r="195" spans="1:22" ht="15" thickTop="1" thickBot="1" x14ac:dyDescent="0.3">
      <c r="A195" s="1207"/>
      <c r="B195" s="1212" t="s">
        <v>846</v>
      </c>
      <c r="C195" s="1212"/>
      <c r="D195" s="1212"/>
      <c r="E195" s="1212"/>
      <c r="F195" s="1208"/>
      <c r="G195" s="1208"/>
      <c r="H195" s="1208"/>
      <c r="I195" s="1209"/>
      <c r="J195" s="1209"/>
      <c r="K195" s="1210">
        <f t="shared" si="26"/>
        <v>1.05</v>
      </c>
      <c r="L195" s="1210">
        <f t="shared" si="76"/>
        <v>0</v>
      </c>
      <c r="M195" s="1197">
        <f t="shared" si="77"/>
        <v>0</v>
      </c>
      <c r="N195" s="1211">
        <f t="shared" si="78"/>
        <v>0</v>
      </c>
      <c r="O195" s="1212"/>
      <c r="P195" s="1200"/>
      <c r="Q195" s="1200"/>
      <c r="R195" s="1213"/>
      <c r="S195" s="1213"/>
      <c r="T195" s="1213"/>
      <c r="U195" s="1213"/>
      <c r="V195" s="1213"/>
    </row>
    <row r="196" spans="1:22" ht="15" thickTop="1" thickBot="1" x14ac:dyDescent="0.3">
      <c r="A196" s="1207"/>
      <c r="B196" s="1212" t="s">
        <v>3278</v>
      </c>
      <c r="C196" s="1212"/>
      <c r="D196" s="1212"/>
      <c r="E196" s="1983">
        <v>1</v>
      </c>
      <c r="F196" s="1208">
        <v>2.2000000000000002</v>
      </c>
      <c r="G196" s="1208"/>
      <c r="H196" s="1208">
        <v>2.7</v>
      </c>
      <c r="I196" s="1209">
        <f t="shared" ref="I196:I200" si="79">-H196*F196*E196</f>
        <v>-5.9400000000000013</v>
      </c>
      <c r="J196" s="1209"/>
      <c r="K196" s="1210">
        <f t="shared" si="26"/>
        <v>1.05</v>
      </c>
      <c r="L196" s="1210">
        <f t="shared" ref="L196:L198" si="80">K196*J196</f>
        <v>0</v>
      </c>
      <c r="M196" s="1197">
        <f t="shared" ref="M196:M198" si="81">ROUND(L196,1)</f>
        <v>0</v>
      </c>
      <c r="N196" s="1211">
        <f t="shared" ref="N196:N198" si="82">ROUNDUP(M196,0)</f>
        <v>0</v>
      </c>
      <c r="O196" s="1212"/>
      <c r="P196" s="1200"/>
      <c r="Q196" s="1200"/>
      <c r="R196" s="1213"/>
      <c r="S196" s="1213"/>
      <c r="T196" s="1213"/>
      <c r="U196" s="1213"/>
      <c r="V196" s="1213"/>
    </row>
    <row r="197" spans="1:22" ht="15" thickTop="1" thickBot="1" x14ac:dyDescent="0.3">
      <c r="A197" s="1207"/>
      <c r="B197" s="1212" t="s">
        <v>769</v>
      </c>
      <c r="C197" s="1212"/>
      <c r="D197" s="1212"/>
      <c r="E197" s="1983">
        <v>3</v>
      </c>
      <c r="F197" s="1208">
        <v>1.5</v>
      </c>
      <c r="G197" s="1208"/>
      <c r="H197" s="1208">
        <v>1.5</v>
      </c>
      <c r="I197" s="1209">
        <f t="shared" si="79"/>
        <v>-6.75</v>
      </c>
      <c r="J197" s="1209"/>
      <c r="K197" s="1210">
        <f t="shared" si="26"/>
        <v>1.05</v>
      </c>
      <c r="L197" s="1210">
        <f t="shared" si="80"/>
        <v>0</v>
      </c>
      <c r="M197" s="1197">
        <f t="shared" si="81"/>
        <v>0</v>
      </c>
      <c r="N197" s="1211">
        <f t="shared" si="82"/>
        <v>0</v>
      </c>
      <c r="O197" s="1212"/>
      <c r="P197" s="1200"/>
      <c r="Q197" s="1200"/>
      <c r="R197" s="1213"/>
      <c r="S197" s="1213"/>
      <c r="T197" s="1213"/>
      <c r="U197" s="1213"/>
      <c r="V197" s="1213"/>
    </row>
    <row r="198" spans="1:22" ht="15" thickTop="1" thickBot="1" x14ac:dyDescent="0.3">
      <c r="A198" s="1207"/>
      <c r="B198" s="1212" t="s">
        <v>3148</v>
      </c>
      <c r="C198" s="1212"/>
      <c r="D198" s="1212"/>
      <c r="E198" s="1983">
        <v>1</v>
      </c>
      <c r="F198" s="1208">
        <v>4.4000000000000004</v>
      </c>
      <c r="G198" s="1208"/>
      <c r="H198" s="1208">
        <v>2.7</v>
      </c>
      <c r="I198" s="1209">
        <f t="shared" si="79"/>
        <v>-11.880000000000003</v>
      </c>
      <c r="J198" s="1209"/>
      <c r="K198" s="1210">
        <f t="shared" si="26"/>
        <v>1.05</v>
      </c>
      <c r="L198" s="1210">
        <f t="shared" si="80"/>
        <v>0</v>
      </c>
      <c r="M198" s="1197">
        <f t="shared" si="81"/>
        <v>0</v>
      </c>
      <c r="N198" s="1211">
        <f t="shared" si="82"/>
        <v>0</v>
      </c>
      <c r="O198" s="1212"/>
      <c r="P198" s="1200"/>
      <c r="Q198" s="1200"/>
      <c r="R198" s="1213"/>
      <c r="S198" s="1213"/>
      <c r="T198" s="1213"/>
      <c r="U198" s="1213"/>
      <c r="V198" s="1213"/>
    </row>
    <row r="199" spans="1:22" ht="15" thickTop="1" thickBot="1" x14ac:dyDescent="0.3">
      <c r="A199" s="1207"/>
      <c r="B199" s="1212" t="s">
        <v>3279</v>
      </c>
      <c r="C199" s="1212"/>
      <c r="D199" s="1212"/>
      <c r="E199" s="1983">
        <v>1</v>
      </c>
      <c r="F199" s="1208">
        <v>0.8</v>
      </c>
      <c r="G199" s="1208"/>
      <c r="H199" s="1208">
        <v>2.7</v>
      </c>
      <c r="I199" s="1209">
        <f t="shared" si="79"/>
        <v>-2.16</v>
      </c>
      <c r="J199" s="1209"/>
      <c r="K199" s="1210">
        <f t="shared" si="26"/>
        <v>1.05</v>
      </c>
      <c r="L199" s="1210">
        <f t="shared" si="64"/>
        <v>0</v>
      </c>
      <c r="M199" s="1197">
        <f t="shared" si="65"/>
        <v>0</v>
      </c>
      <c r="N199" s="1211">
        <f t="shared" si="66"/>
        <v>0</v>
      </c>
      <c r="O199" s="1212"/>
      <c r="P199" s="1200"/>
      <c r="Q199" s="1200"/>
      <c r="R199" s="1213"/>
      <c r="S199" s="1213"/>
      <c r="T199" s="1213"/>
      <c r="U199" s="1213"/>
      <c r="V199" s="1213"/>
    </row>
    <row r="200" spans="1:22" ht="15" thickTop="1" thickBot="1" x14ac:dyDescent="0.3">
      <c r="A200" s="1207"/>
      <c r="B200" s="1212" t="s">
        <v>3280</v>
      </c>
      <c r="C200" s="1212"/>
      <c r="D200" s="1212"/>
      <c r="E200" s="1983">
        <v>1</v>
      </c>
      <c r="F200" s="1208">
        <v>2</v>
      </c>
      <c r="G200" s="1208"/>
      <c r="H200" s="1208">
        <v>2.7</v>
      </c>
      <c r="I200" s="1209">
        <f t="shared" si="79"/>
        <v>-5.4</v>
      </c>
      <c r="J200" s="1209"/>
      <c r="K200" s="1210">
        <f t="shared" si="26"/>
        <v>1.05</v>
      </c>
      <c r="L200" s="1210">
        <f t="shared" si="64"/>
        <v>0</v>
      </c>
      <c r="M200" s="1197">
        <f t="shared" si="65"/>
        <v>0</v>
      </c>
      <c r="N200" s="1211">
        <f t="shared" si="66"/>
        <v>0</v>
      </c>
      <c r="O200" s="1212"/>
      <c r="P200" s="1200"/>
      <c r="Q200" s="1200"/>
      <c r="R200" s="1213"/>
      <c r="S200" s="1213"/>
      <c r="T200" s="1213"/>
      <c r="U200" s="1213"/>
      <c r="V200" s="1213"/>
    </row>
    <row r="201" spans="1:22" ht="15" thickTop="1" thickBot="1" x14ac:dyDescent="0.3">
      <c r="A201" s="1207"/>
      <c r="B201" s="1212" t="s">
        <v>768</v>
      </c>
      <c r="C201" s="1212"/>
      <c r="D201" s="1212"/>
      <c r="E201" s="1983">
        <v>2</v>
      </c>
      <c r="F201" s="1208">
        <v>4.04</v>
      </c>
      <c r="G201" s="1208"/>
      <c r="H201" s="1208">
        <v>2.7</v>
      </c>
      <c r="I201" s="1209">
        <f>-H201*F201*E201</f>
        <v>-21.816000000000003</v>
      </c>
      <c r="J201" s="1209"/>
      <c r="K201" s="1210">
        <f t="shared" si="26"/>
        <v>1.05</v>
      </c>
      <c r="L201" s="1210">
        <f t="shared" ref="L201:L210" si="83">K201*J201</f>
        <v>0</v>
      </c>
      <c r="M201" s="1197">
        <f t="shared" ref="M201:M210" si="84">ROUND(L201,1)</f>
        <v>0</v>
      </c>
      <c r="N201" s="1211">
        <f t="shared" ref="N201:N210" si="85">ROUNDUP(M201,0)</f>
        <v>0</v>
      </c>
      <c r="O201" s="1212"/>
      <c r="P201" s="1200"/>
      <c r="Q201" s="1200"/>
      <c r="R201" s="1213"/>
      <c r="S201" s="1213"/>
      <c r="T201" s="1213"/>
      <c r="U201" s="1213"/>
      <c r="V201" s="1213"/>
    </row>
    <row r="202" spans="1:22" ht="15" thickTop="1" thickBot="1" x14ac:dyDescent="0.3">
      <c r="A202" s="1207"/>
      <c r="B202" s="1212" t="s">
        <v>3172</v>
      </c>
      <c r="C202" s="1212"/>
      <c r="D202" s="1212"/>
      <c r="E202" s="1983">
        <v>1</v>
      </c>
      <c r="F202" s="1208">
        <v>2</v>
      </c>
      <c r="G202" s="1208"/>
      <c r="H202" s="1208">
        <v>2.7</v>
      </c>
      <c r="I202" s="1209">
        <f t="shared" ref="I202:I203" si="86">-H202*F202*E202</f>
        <v>-5.4</v>
      </c>
      <c r="J202" s="1209"/>
      <c r="K202" s="1210">
        <f t="shared" si="26"/>
        <v>1.05</v>
      </c>
      <c r="L202" s="1210">
        <f t="shared" si="83"/>
        <v>0</v>
      </c>
      <c r="M202" s="1197">
        <f t="shared" si="84"/>
        <v>0</v>
      </c>
      <c r="N202" s="1211">
        <f t="shared" si="85"/>
        <v>0</v>
      </c>
      <c r="O202" s="1212"/>
      <c r="P202" s="1200"/>
      <c r="Q202" s="1200"/>
      <c r="R202" s="1213"/>
      <c r="S202" s="1213"/>
      <c r="T202" s="1213"/>
      <c r="U202" s="1213"/>
      <c r="V202" s="1213"/>
    </row>
    <row r="203" spans="1:22" ht="15" thickTop="1" thickBot="1" x14ac:dyDescent="0.3">
      <c r="A203" s="1207"/>
      <c r="B203" s="1212" t="s">
        <v>837</v>
      </c>
      <c r="C203" s="1212"/>
      <c r="D203" s="1212"/>
      <c r="E203" s="1983">
        <v>1</v>
      </c>
      <c r="F203" s="1208">
        <v>2.2000000000000002</v>
      </c>
      <c r="G203" s="1208"/>
      <c r="H203" s="1208">
        <v>2.7</v>
      </c>
      <c r="I203" s="1209">
        <f t="shared" si="86"/>
        <v>-5.9400000000000013</v>
      </c>
      <c r="J203" s="1209"/>
      <c r="K203" s="1210">
        <f t="shared" si="26"/>
        <v>1.05</v>
      </c>
      <c r="L203" s="1210">
        <f t="shared" si="83"/>
        <v>0</v>
      </c>
      <c r="M203" s="1197">
        <f t="shared" si="84"/>
        <v>0</v>
      </c>
      <c r="N203" s="1211">
        <f t="shared" si="85"/>
        <v>0</v>
      </c>
      <c r="O203" s="1212"/>
      <c r="P203" s="1200"/>
      <c r="Q203" s="1200"/>
      <c r="R203" s="1213"/>
      <c r="S203" s="1213"/>
      <c r="T203" s="1213"/>
      <c r="U203" s="1213"/>
      <c r="V203" s="1213"/>
    </row>
    <row r="204" spans="1:22" ht="15" thickTop="1" thickBot="1" x14ac:dyDescent="0.3">
      <c r="A204" s="1207"/>
      <c r="B204" s="1212"/>
      <c r="C204" s="1212"/>
      <c r="D204" s="1212"/>
      <c r="E204" s="1212"/>
      <c r="F204" s="1208"/>
      <c r="G204" s="1208"/>
      <c r="H204" s="1208"/>
      <c r="I204" s="1209"/>
      <c r="J204" s="1209">
        <f>SUM(I193:I203)</f>
        <v>173.07899999999998</v>
      </c>
      <c r="K204" s="1210">
        <f t="shared" si="26"/>
        <v>1.05</v>
      </c>
      <c r="L204" s="1210">
        <f t="shared" si="83"/>
        <v>181.73294999999999</v>
      </c>
      <c r="M204" s="1197">
        <f t="shared" si="84"/>
        <v>181.7</v>
      </c>
      <c r="N204" s="1211">
        <f t="shared" si="85"/>
        <v>182</v>
      </c>
      <c r="O204" s="1212"/>
      <c r="P204" s="1200"/>
      <c r="Q204" s="1200"/>
      <c r="R204" s="1213"/>
      <c r="S204" s="1213"/>
      <c r="T204" s="1213"/>
      <c r="U204" s="1213"/>
      <c r="V204" s="1213"/>
    </row>
    <row r="205" spans="1:22" ht="15" thickTop="1" thickBot="1" x14ac:dyDescent="0.3">
      <c r="A205" s="1207"/>
      <c r="B205" s="1212"/>
      <c r="C205" s="1212"/>
      <c r="D205" s="1212"/>
      <c r="E205" s="1212"/>
      <c r="F205" s="1208"/>
      <c r="G205" s="1208"/>
      <c r="H205" s="1208"/>
      <c r="I205" s="1209"/>
      <c r="J205" s="1209"/>
      <c r="K205" s="1210">
        <f t="shared" si="26"/>
        <v>1.05</v>
      </c>
      <c r="L205" s="1210">
        <f t="shared" si="83"/>
        <v>0</v>
      </c>
      <c r="M205" s="1197">
        <f t="shared" si="84"/>
        <v>0</v>
      </c>
      <c r="N205" s="1211">
        <f t="shared" si="85"/>
        <v>0</v>
      </c>
      <c r="O205" s="1212"/>
      <c r="P205" s="1200"/>
      <c r="Q205" s="1200"/>
      <c r="R205" s="1213"/>
      <c r="S205" s="1213"/>
      <c r="T205" s="1213"/>
      <c r="U205" s="1213"/>
      <c r="V205" s="1213"/>
    </row>
    <row r="206" spans="1:22" ht="15" thickTop="1" thickBot="1" x14ac:dyDescent="0.3">
      <c r="A206" s="1207"/>
      <c r="B206" s="1212" t="s">
        <v>3182</v>
      </c>
      <c r="C206" s="1212"/>
      <c r="D206" s="1212"/>
      <c r="E206" s="1212"/>
      <c r="F206" s="1208"/>
      <c r="G206" s="1208"/>
      <c r="H206" s="1208"/>
      <c r="I206" s="1209"/>
      <c r="J206" s="1209"/>
      <c r="K206" s="1210">
        <f t="shared" si="26"/>
        <v>1.05</v>
      </c>
      <c r="L206" s="1210">
        <f t="shared" si="83"/>
        <v>0</v>
      </c>
      <c r="M206" s="1197">
        <f t="shared" si="84"/>
        <v>0</v>
      </c>
      <c r="N206" s="1211">
        <f t="shared" si="85"/>
        <v>0</v>
      </c>
      <c r="O206" s="1212"/>
      <c r="P206" s="1200"/>
      <c r="Q206" s="1200"/>
      <c r="R206" s="1213"/>
      <c r="S206" s="1213"/>
      <c r="T206" s="1213"/>
      <c r="U206" s="1213"/>
      <c r="V206" s="1213"/>
    </row>
    <row r="207" spans="1:22" ht="15" thickTop="1" thickBot="1" x14ac:dyDescent="0.3">
      <c r="A207" s="1207"/>
      <c r="B207" s="1212" t="s">
        <v>3278</v>
      </c>
      <c r="C207" s="1212"/>
      <c r="D207" s="1212"/>
      <c r="E207" s="1983">
        <v>1</v>
      </c>
      <c r="F207" s="1208">
        <f>F196+F196+H196+H196</f>
        <v>9.8000000000000007</v>
      </c>
      <c r="G207" s="1208"/>
      <c r="H207" s="1208"/>
      <c r="I207" s="1209">
        <f>F207*E207</f>
        <v>9.8000000000000007</v>
      </c>
      <c r="J207" s="1209"/>
      <c r="K207" s="1210">
        <f t="shared" si="26"/>
        <v>1.05</v>
      </c>
      <c r="L207" s="1210">
        <f t="shared" si="83"/>
        <v>0</v>
      </c>
      <c r="M207" s="1197">
        <f t="shared" si="84"/>
        <v>0</v>
      </c>
      <c r="N207" s="1211">
        <f t="shared" si="85"/>
        <v>0</v>
      </c>
      <c r="O207" s="1212"/>
      <c r="P207" s="1200"/>
      <c r="Q207" s="1200"/>
      <c r="R207" s="1213"/>
      <c r="S207" s="1213"/>
      <c r="T207" s="1213"/>
      <c r="U207" s="1213"/>
      <c r="V207" s="1213"/>
    </row>
    <row r="208" spans="1:22" ht="15" thickTop="1" thickBot="1" x14ac:dyDescent="0.3">
      <c r="A208" s="1207"/>
      <c r="B208" s="1212" t="s">
        <v>769</v>
      </c>
      <c r="C208" s="1212"/>
      <c r="D208" s="1212"/>
      <c r="E208" s="1983">
        <v>3</v>
      </c>
      <c r="F208" s="1208">
        <f t="shared" ref="F208:F214" si="87">F197+F197+H197+H197</f>
        <v>6</v>
      </c>
      <c r="G208" s="1208"/>
      <c r="H208" s="1208"/>
      <c r="I208" s="1209">
        <f t="shared" ref="I208:I214" si="88">F208*E208</f>
        <v>18</v>
      </c>
      <c r="J208" s="1209"/>
      <c r="K208" s="1210">
        <f t="shared" si="26"/>
        <v>1.05</v>
      </c>
      <c r="L208" s="1210">
        <f t="shared" si="83"/>
        <v>0</v>
      </c>
      <c r="M208" s="1197">
        <f t="shared" si="84"/>
        <v>0</v>
      </c>
      <c r="N208" s="1211">
        <f t="shared" si="85"/>
        <v>0</v>
      </c>
      <c r="O208" s="1212"/>
      <c r="P208" s="1200"/>
      <c r="Q208" s="1200"/>
      <c r="R208" s="1213"/>
      <c r="S208" s="1213"/>
      <c r="T208" s="1213"/>
      <c r="U208" s="1213"/>
      <c r="V208" s="1213"/>
    </row>
    <row r="209" spans="1:22" ht="15" thickTop="1" thickBot="1" x14ac:dyDescent="0.3">
      <c r="A209" s="1207"/>
      <c r="B209" s="1212" t="s">
        <v>3148</v>
      </c>
      <c r="C209" s="1212"/>
      <c r="D209" s="1212"/>
      <c r="E209" s="1983">
        <v>1</v>
      </c>
      <c r="F209" s="1208">
        <f t="shared" si="87"/>
        <v>14.2</v>
      </c>
      <c r="G209" s="1208"/>
      <c r="H209" s="1208"/>
      <c r="I209" s="1209">
        <f t="shared" si="88"/>
        <v>14.2</v>
      </c>
      <c r="J209" s="1209"/>
      <c r="K209" s="1210">
        <f t="shared" si="26"/>
        <v>1.05</v>
      </c>
      <c r="L209" s="1210">
        <f t="shared" si="83"/>
        <v>0</v>
      </c>
      <c r="M209" s="1197">
        <f t="shared" si="84"/>
        <v>0</v>
      </c>
      <c r="N209" s="1211">
        <f t="shared" si="85"/>
        <v>0</v>
      </c>
      <c r="O209" s="1212"/>
      <c r="P209" s="1200"/>
      <c r="Q209" s="1200"/>
      <c r="R209" s="1213"/>
      <c r="S209" s="1213"/>
      <c r="T209" s="1213"/>
      <c r="U209" s="1213"/>
      <c r="V209" s="1213"/>
    </row>
    <row r="210" spans="1:22" ht="15" thickTop="1" thickBot="1" x14ac:dyDescent="0.3">
      <c r="A210" s="1207"/>
      <c r="B210" s="1212" t="s">
        <v>3279</v>
      </c>
      <c r="C210" s="1212"/>
      <c r="D210" s="1212"/>
      <c r="E210" s="1983">
        <v>1</v>
      </c>
      <c r="F210" s="1208">
        <f t="shared" si="87"/>
        <v>7.0000000000000009</v>
      </c>
      <c r="G210" s="1208"/>
      <c r="H210" s="1208"/>
      <c r="I210" s="1209">
        <f t="shared" si="88"/>
        <v>7.0000000000000009</v>
      </c>
      <c r="J210" s="1209"/>
      <c r="K210" s="1210">
        <f t="shared" si="26"/>
        <v>1.05</v>
      </c>
      <c r="L210" s="1210">
        <f t="shared" si="83"/>
        <v>0</v>
      </c>
      <c r="M210" s="1197">
        <f t="shared" si="84"/>
        <v>0</v>
      </c>
      <c r="N210" s="1211">
        <f t="shared" si="85"/>
        <v>0</v>
      </c>
      <c r="O210" s="1212"/>
      <c r="P210" s="1200"/>
      <c r="Q210" s="1200"/>
      <c r="R210" s="1213"/>
      <c r="S210" s="1213"/>
      <c r="T210" s="1213"/>
      <c r="U210" s="1213"/>
      <c r="V210" s="1213"/>
    </row>
    <row r="211" spans="1:22" ht="15" thickTop="1" thickBot="1" x14ac:dyDescent="0.3">
      <c r="A211" s="1207"/>
      <c r="B211" s="1212" t="s">
        <v>3280</v>
      </c>
      <c r="C211" s="1212"/>
      <c r="D211" s="1212"/>
      <c r="E211" s="1983">
        <v>1</v>
      </c>
      <c r="F211" s="1208">
        <f t="shared" si="87"/>
        <v>9.4</v>
      </c>
      <c r="G211" s="1208"/>
      <c r="H211" s="1208"/>
      <c r="I211" s="1209">
        <f t="shared" si="88"/>
        <v>9.4</v>
      </c>
      <c r="J211" s="1209"/>
      <c r="K211" s="1210">
        <f t="shared" si="26"/>
        <v>1.05</v>
      </c>
      <c r="L211" s="1210">
        <f t="shared" si="64"/>
        <v>0</v>
      </c>
      <c r="M211" s="1197">
        <f t="shared" si="65"/>
        <v>0</v>
      </c>
      <c r="N211" s="1211">
        <f t="shared" si="66"/>
        <v>0</v>
      </c>
      <c r="O211" s="1212"/>
      <c r="P211" s="1200"/>
      <c r="Q211" s="1200"/>
      <c r="R211" s="1213"/>
      <c r="S211" s="1213"/>
      <c r="T211" s="1213"/>
      <c r="U211" s="1213"/>
      <c r="V211" s="1213"/>
    </row>
    <row r="212" spans="1:22" ht="15" thickTop="1" thickBot="1" x14ac:dyDescent="0.3">
      <c r="A212" s="1207"/>
      <c r="B212" s="1212" t="s">
        <v>768</v>
      </c>
      <c r="C212" s="1212"/>
      <c r="D212" s="1212"/>
      <c r="E212" s="1983">
        <v>2</v>
      </c>
      <c r="F212" s="1208">
        <f t="shared" si="87"/>
        <v>13.48</v>
      </c>
      <c r="G212" s="1208"/>
      <c r="H212" s="1208"/>
      <c r="I212" s="1209">
        <f t="shared" si="88"/>
        <v>26.96</v>
      </c>
      <c r="J212" s="1209"/>
      <c r="K212" s="1210">
        <f t="shared" si="26"/>
        <v>1.05</v>
      </c>
      <c r="L212" s="1210">
        <f t="shared" ref="L212:L297" si="89">K212*J212</f>
        <v>0</v>
      </c>
      <c r="M212" s="1197">
        <f t="shared" ref="M212:M297" si="90">ROUND(L212,1)</f>
        <v>0</v>
      </c>
      <c r="N212" s="1211">
        <f t="shared" ref="N212:N297" si="91">ROUNDUP(M212,0)</f>
        <v>0</v>
      </c>
      <c r="O212" s="1212"/>
      <c r="P212" s="1200"/>
      <c r="Q212" s="1200"/>
      <c r="R212" s="1213"/>
      <c r="S212" s="1213"/>
      <c r="T212" s="1213"/>
      <c r="U212" s="1213"/>
      <c r="V212" s="1213"/>
    </row>
    <row r="213" spans="1:22" ht="15" thickTop="1" thickBot="1" x14ac:dyDescent="0.3">
      <c r="A213" s="1207"/>
      <c r="B213" s="1212" t="s">
        <v>3172</v>
      </c>
      <c r="C213" s="1212"/>
      <c r="D213" s="1212"/>
      <c r="E213" s="1983">
        <v>1</v>
      </c>
      <c r="F213" s="1208">
        <f t="shared" si="87"/>
        <v>9.4</v>
      </c>
      <c r="G213" s="1208"/>
      <c r="H213" s="1208"/>
      <c r="I213" s="1209">
        <f t="shared" si="88"/>
        <v>9.4</v>
      </c>
      <c r="J213" s="1209"/>
      <c r="K213" s="1210">
        <f t="shared" si="26"/>
        <v>1.05</v>
      </c>
      <c r="L213" s="1210">
        <f t="shared" si="89"/>
        <v>0</v>
      </c>
      <c r="M213" s="1197">
        <f t="shared" si="90"/>
        <v>0</v>
      </c>
      <c r="N213" s="1211">
        <f t="shared" si="91"/>
        <v>0</v>
      </c>
      <c r="O213" s="1212"/>
      <c r="P213" s="1200"/>
      <c r="Q213" s="1200"/>
      <c r="R213" s="1213"/>
      <c r="S213" s="1213"/>
      <c r="T213" s="1213"/>
      <c r="U213" s="1213"/>
      <c r="V213" s="1213"/>
    </row>
    <row r="214" spans="1:22" ht="15" thickTop="1" thickBot="1" x14ac:dyDescent="0.3">
      <c r="A214" s="1207"/>
      <c r="B214" s="1212" t="s">
        <v>837</v>
      </c>
      <c r="C214" s="1212"/>
      <c r="D214" s="1212"/>
      <c r="E214" s="1983">
        <v>1</v>
      </c>
      <c r="F214" s="1208">
        <f t="shared" si="87"/>
        <v>9.8000000000000007</v>
      </c>
      <c r="G214" s="1208"/>
      <c r="H214" s="1208"/>
      <c r="I214" s="1209">
        <f t="shared" si="88"/>
        <v>9.8000000000000007</v>
      </c>
      <c r="J214" s="1209"/>
      <c r="K214" s="1210">
        <f t="shared" si="26"/>
        <v>1.05</v>
      </c>
      <c r="L214" s="1210">
        <f t="shared" si="89"/>
        <v>0</v>
      </c>
      <c r="M214" s="1197">
        <f t="shared" si="90"/>
        <v>0</v>
      </c>
      <c r="N214" s="1211">
        <f t="shared" si="91"/>
        <v>0</v>
      </c>
      <c r="O214" s="1212"/>
      <c r="P214" s="1200"/>
      <c r="Q214" s="1200"/>
      <c r="R214" s="1213"/>
      <c r="S214" s="1213"/>
      <c r="T214" s="1213"/>
      <c r="U214" s="1213"/>
      <c r="V214" s="1213"/>
    </row>
    <row r="215" spans="1:22" ht="15" thickTop="1" thickBot="1" x14ac:dyDescent="0.3">
      <c r="A215" s="1207"/>
      <c r="B215" s="1212"/>
      <c r="C215" s="1212"/>
      <c r="D215" s="1212"/>
      <c r="E215" s="1212"/>
      <c r="F215" s="1208"/>
      <c r="G215" s="1208"/>
      <c r="H215" s="1208"/>
      <c r="I215" s="1209"/>
      <c r="J215" s="1209">
        <f>SUM(I207:I214)</f>
        <v>104.56</v>
      </c>
      <c r="K215" s="1210">
        <f t="shared" si="26"/>
        <v>1.05</v>
      </c>
      <c r="L215" s="1210">
        <f t="shared" si="89"/>
        <v>109.78800000000001</v>
      </c>
      <c r="M215" s="1197">
        <f t="shared" si="90"/>
        <v>109.8</v>
      </c>
      <c r="N215" s="1211">
        <f t="shared" si="91"/>
        <v>110</v>
      </c>
      <c r="O215" s="1212"/>
      <c r="P215" s="1200"/>
      <c r="Q215" s="1200"/>
      <c r="R215" s="1213"/>
      <c r="S215" s="1213"/>
      <c r="T215" s="1213"/>
      <c r="U215" s="1213"/>
      <c r="V215" s="1213"/>
    </row>
    <row r="216" spans="1:22" ht="15" thickTop="1" thickBot="1" x14ac:dyDescent="0.3">
      <c r="A216" s="1207"/>
      <c r="B216" s="1212"/>
      <c r="C216" s="1212"/>
      <c r="D216" s="1212"/>
      <c r="E216" s="1212"/>
      <c r="F216" s="1208"/>
      <c r="G216" s="1208"/>
      <c r="H216" s="1208"/>
      <c r="I216" s="1209"/>
      <c r="J216" s="1209"/>
      <c r="K216" s="1210">
        <f t="shared" si="26"/>
        <v>1.05</v>
      </c>
      <c r="L216" s="1210">
        <f t="shared" si="89"/>
        <v>0</v>
      </c>
      <c r="M216" s="1197">
        <f t="shared" si="90"/>
        <v>0</v>
      </c>
      <c r="N216" s="1211">
        <f t="shared" si="91"/>
        <v>0</v>
      </c>
      <c r="O216" s="1212"/>
      <c r="P216" s="1200"/>
      <c r="Q216" s="1200"/>
      <c r="R216" s="1213"/>
      <c r="S216" s="1213"/>
      <c r="T216" s="1213"/>
      <c r="U216" s="1213"/>
      <c r="V216" s="1213"/>
    </row>
    <row r="217" spans="1:22" ht="15" thickTop="1" thickBot="1" x14ac:dyDescent="0.3">
      <c r="A217" s="1207"/>
      <c r="B217" s="1212" t="s">
        <v>1835</v>
      </c>
      <c r="C217" s="1212"/>
      <c r="D217" s="1212"/>
      <c r="E217" s="1212"/>
      <c r="F217" s="1208">
        <v>67.099999999999994</v>
      </c>
      <c r="G217" s="1208"/>
      <c r="H217" s="1208">
        <v>3.3</v>
      </c>
      <c r="I217" s="1209">
        <f>H217*F217</f>
        <v>221.42999999999998</v>
      </c>
      <c r="J217" s="1209"/>
      <c r="K217" s="1210">
        <f t="shared" si="26"/>
        <v>1.05</v>
      </c>
      <c r="L217" s="1210">
        <f t="shared" si="89"/>
        <v>0</v>
      </c>
      <c r="M217" s="1197">
        <f t="shared" si="90"/>
        <v>0</v>
      </c>
      <c r="N217" s="1211">
        <f t="shared" si="91"/>
        <v>0</v>
      </c>
      <c r="O217" s="1212"/>
      <c r="P217" s="1200"/>
      <c r="Q217" s="1200"/>
      <c r="R217" s="1213"/>
      <c r="S217" s="1213"/>
      <c r="T217" s="1213"/>
      <c r="U217" s="1213"/>
      <c r="V217" s="1213"/>
    </row>
    <row r="218" spans="1:22" ht="15" thickTop="1" thickBot="1" x14ac:dyDescent="0.3">
      <c r="A218" s="1207"/>
      <c r="B218" s="1212" t="s">
        <v>846</v>
      </c>
      <c r="C218" s="1212"/>
      <c r="D218" s="1212"/>
      <c r="E218" s="1212"/>
      <c r="F218" s="1208"/>
      <c r="G218" s="1208"/>
      <c r="H218" s="1208"/>
      <c r="I218" s="1209"/>
      <c r="J218" s="1209"/>
      <c r="K218" s="1210">
        <f t="shared" si="26"/>
        <v>1.05</v>
      </c>
      <c r="L218" s="1210">
        <f t="shared" si="89"/>
        <v>0</v>
      </c>
      <c r="M218" s="1197">
        <f t="shared" si="90"/>
        <v>0</v>
      </c>
      <c r="N218" s="1211">
        <f t="shared" si="91"/>
        <v>0</v>
      </c>
      <c r="O218" s="1212"/>
      <c r="P218" s="1200"/>
      <c r="Q218" s="1200"/>
      <c r="R218" s="1213"/>
      <c r="S218" s="1213"/>
      <c r="T218" s="1213"/>
      <c r="U218" s="1213"/>
      <c r="V218" s="1213"/>
    </row>
    <row r="219" spans="1:22" ht="15" thickTop="1" thickBot="1" x14ac:dyDescent="0.3">
      <c r="A219" s="1207"/>
      <c r="B219" s="1212" t="s">
        <v>3281</v>
      </c>
      <c r="C219" s="1212"/>
      <c r="D219" s="1212"/>
      <c r="E219" s="1983">
        <v>1</v>
      </c>
      <c r="F219" s="1208">
        <v>4.3</v>
      </c>
      <c r="G219" s="1208"/>
      <c r="H219" s="1208">
        <v>2.7</v>
      </c>
      <c r="I219" s="1209">
        <f t="shared" ref="I219:I224" si="92">-H219*F219*E219</f>
        <v>-11.61</v>
      </c>
      <c r="J219" s="1209"/>
      <c r="K219" s="1210">
        <f t="shared" si="26"/>
        <v>1.05</v>
      </c>
      <c r="L219" s="1210">
        <f t="shared" si="89"/>
        <v>0</v>
      </c>
      <c r="M219" s="1197">
        <f t="shared" si="90"/>
        <v>0</v>
      </c>
      <c r="N219" s="1211">
        <f t="shared" si="91"/>
        <v>0</v>
      </c>
      <c r="O219" s="1212"/>
      <c r="P219" s="1200"/>
      <c r="Q219" s="1200"/>
      <c r="R219" s="1213"/>
      <c r="S219" s="1213"/>
      <c r="T219" s="1213"/>
      <c r="U219" s="1213"/>
      <c r="V219" s="1213"/>
    </row>
    <row r="220" spans="1:22" ht="15" thickTop="1" thickBot="1" x14ac:dyDescent="0.3">
      <c r="A220" s="1207"/>
      <c r="B220" s="1212" t="s">
        <v>769</v>
      </c>
      <c r="C220" s="1212"/>
      <c r="D220" s="1212"/>
      <c r="E220" s="1983">
        <v>2</v>
      </c>
      <c r="F220" s="1208">
        <v>1.5</v>
      </c>
      <c r="G220" s="1208"/>
      <c r="H220" s="1208">
        <v>1.5</v>
      </c>
      <c r="I220" s="1209">
        <f t="shared" si="92"/>
        <v>-4.5</v>
      </c>
      <c r="J220" s="1209"/>
      <c r="K220" s="1210">
        <f t="shared" si="26"/>
        <v>1.05</v>
      </c>
      <c r="L220" s="1210">
        <f t="shared" si="89"/>
        <v>0</v>
      </c>
      <c r="M220" s="1197">
        <f t="shared" si="90"/>
        <v>0</v>
      </c>
      <c r="N220" s="1211">
        <f t="shared" si="91"/>
        <v>0</v>
      </c>
      <c r="O220" s="1212"/>
      <c r="P220" s="1200"/>
      <c r="Q220" s="1200"/>
      <c r="R220" s="1213"/>
      <c r="S220" s="1213"/>
      <c r="T220" s="1213"/>
      <c r="U220" s="1213"/>
      <c r="V220" s="1213"/>
    </row>
    <row r="221" spans="1:22" ht="15" thickTop="1" thickBot="1" x14ac:dyDescent="0.3">
      <c r="A221" s="1207"/>
      <c r="B221" s="1212" t="s">
        <v>3151</v>
      </c>
      <c r="C221" s="1212"/>
      <c r="D221" s="1212"/>
      <c r="E221" s="1983">
        <v>1</v>
      </c>
      <c r="F221" s="1208">
        <v>4.875</v>
      </c>
      <c r="G221" s="1208"/>
      <c r="H221" s="1208">
        <v>2.7</v>
      </c>
      <c r="I221" s="1209">
        <f t="shared" si="92"/>
        <v>-13.162500000000001</v>
      </c>
      <c r="J221" s="1209"/>
      <c r="K221" s="1210">
        <f t="shared" si="26"/>
        <v>1.05</v>
      </c>
      <c r="L221" s="1210">
        <f t="shared" si="89"/>
        <v>0</v>
      </c>
      <c r="M221" s="1197">
        <f t="shared" si="90"/>
        <v>0</v>
      </c>
      <c r="N221" s="1211">
        <f t="shared" si="91"/>
        <v>0</v>
      </c>
      <c r="O221" s="1212"/>
      <c r="P221" s="1200"/>
      <c r="Q221" s="1200"/>
      <c r="R221" s="1213"/>
      <c r="S221" s="1213"/>
      <c r="T221" s="1213"/>
      <c r="U221" s="1213"/>
      <c r="V221" s="1213"/>
    </row>
    <row r="222" spans="1:22" ht="15" thickTop="1" thickBot="1" x14ac:dyDescent="0.3">
      <c r="A222" s="1207"/>
      <c r="B222" s="1212" t="s">
        <v>3180</v>
      </c>
      <c r="C222" s="1212"/>
      <c r="D222" s="1212"/>
      <c r="E222" s="1983">
        <v>1</v>
      </c>
      <c r="F222" s="1208">
        <v>3.375</v>
      </c>
      <c r="G222" s="1208"/>
      <c r="H222" s="1208">
        <v>2.7</v>
      </c>
      <c r="I222" s="1209">
        <f t="shared" si="92"/>
        <v>-9.1125000000000007</v>
      </c>
      <c r="J222" s="1209"/>
      <c r="K222" s="1210">
        <f t="shared" si="26"/>
        <v>1.05</v>
      </c>
      <c r="L222" s="1210">
        <f t="shared" ref="L222:L232" si="93">K222*J222</f>
        <v>0</v>
      </c>
      <c r="M222" s="1197">
        <f t="shared" ref="M222:M232" si="94">ROUND(L222,1)</f>
        <v>0</v>
      </c>
      <c r="N222" s="1211">
        <f t="shared" ref="N222:N232" si="95">ROUNDUP(M222,0)</f>
        <v>0</v>
      </c>
      <c r="O222" s="1212"/>
      <c r="P222" s="1200"/>
      <c r="Q222" s="1200"/>
      <c r="R222" s="1213"/>
      <c r="S222" s="1213"/>
      <c r="T222" s="1213"/>
      <c r="U222" s="1213"/>
      <c r="V222" s="1213"/>
    </row>
    <row r="223" spans="1:22" ht="15" thickTop="1" thickBot="1" x14ac:dyDescent="0.3">
      <c r="A223" s="1207"/>
      <c r="B223" s="1212" t="s">
        <v>3280</v>
      </c>
      <c r="C223" s="1212"/>
      <c r="D223" s="1212"/>
      <c r="E223" s="1983">
        <v>1</v>
      </c>
      <c r="F223" s="1208">
        <v>2</v>
      </c>
      <c r="G223" s="1208"/>
      <c r="H223" s="1208">
        <v>2.7</v>
      </c>
      <c r="I223" s="1209">
        <f t="shared" si="92"/>
        <v>-5.4</v>
      </c>
      <c r="J223" s="1209"/>
      <c r="K223" s="1210">
        <f t="shared" si="26"/>
        <v>1.05</v>
      </c>
      <c r="L223" s="1210">
        <f t="shared" si="93"/>
        <v>0</v>
      </c>
      <c r="M223" s="1197">
        <f t="shared" si="94"/>
        <v>0</v>
      </c>
      <c r="N223" s="1211">
        <f t="shared" si="95"/>
        <v>0</v>
      </c>
      <c r="O223" s="1212"/>
      <c r="P223" s="1200"/>
      <c r="Q223" s="1200"/>
      <c r="R223" s="1213"/>
      <c r="S223" s="1213"/>
      <c r="T223" s="1213"/>
      <c r="U223" s="1213"/>
      <c r="V223" s="1213"/>
    </row>
    <row r="224" spans="1:22" ht="15" thickTop="1" thickBot="1" x14ac:dyDescent="0.3">
      <c r="A224" s="1207"/>
      <c r="B224" s="1212" t="s">
        <v>768</v>
      </c>
      <c r="C224" s="1212"/>
      <c r="D224" s="1212"/>
      <c r="E224" s="1983">
        <v>2</v>
      </c>
      <c r="F224" s="1208">
        <v>4.04</v>
      </c>
      <c r="G224" s="1208"/>
      <c r="H224" s="1208">
        <v>2.7</v>
      </c>
      <c r="I224" s="1209">
        <f t="shared" si="92"/>
        <v>-21.816000000000003</v>
      </c>
      <c r="J224" s="1209"/>
      <c r="K224" s="1210">
        <f t="shared" si="26"/>
        <v>1.05</v>
      </c>
      <c r="L224" s="1210">
        <f t="shared" si="93"/>
        <v>0</v>
      </c>
      <c r="M224" s="1197">
        <f t="shared" si="94"/>
        <v>0</v>
      </c>
      <c r="N224" s="1211">
        <f t="shared" si="95"/>
        <v>0</v>
      </c>
      <c r="O224" s="1212"/>
      <c r="P224" s="1200"/>
      <c r="Q224" s="1200"/>
      <c r="R224" s="1213"/>
      <c r="S224" s="1213"/>
      <c r="T224" s="1213"/>
      <c r="U224" s="1213"/>
      <c r="V224" s="1213"/>
    </row>
    <row r="225" spans="1:22" ht="15" thickTop="1" thickBot="1" x14ac:dyDescent="0.3">
      <c r="A225" s="1207"/>
      <c r="B225" s="1212" t="s">
        <v>837</v>
      </c>
      <c r="C225" s="1212"/>
      <c r="D225" s="1212"/>
      <c r="E225" s="1983">
        <v>1</v>
      </c>
      <c r="F225" s="1208">
        <v>2.2000000000000002</v>
      </c>
      <c r="G225" s="1208"/>
      <c r="H225" s="1208">
        <v>2.7</v>
      </c>
      <c r="I225" s="1209">
        <f>-H225*F225*E225</f>
        <v>-5.9400000000000013</v>
      </c>
      <c r="J225" s="1209"/>
      <c r="K225" s="1210">
        <f t="shared" si="26"/>
        <v>1.05</v>
      </c>
      <c r="L225" s="1210">
        <f t="shared" si="93"/>
        <v>0</v>
      </c>
      <c r="M225" s="1197">
        <f t="shared" si="94"/>
        <v>0</v>
      </c>
      <c r="N225" s="1211">
        <f t="shared" si="95"/>
        <v>0</v>
      </c>
      <c r="O225" s="1212"/>
      <c r="P225" s="1200"/>
      <c r="Q225" s="1200"/>
      <c r="R225" s="1213"/>
      <c r="S225" s="1213"/>
      <c r="T225" s="1213"/>
      <c r="U225" s="1213"/>
      <c r="V225" s="1213"/>
    </row>
    <row r="226" spans="1:22" ht="15" thickTop="1" thickBot="1" x14ac:dyDescent="0.3">
      <c r="A226" s="1207"/>
      <c r="B226" s="1212" t="s">
        <v>3172</v>
      </c>
      <c r="C226" s="1212"/>
      <c r="D226" s="1212"/>
      <c r="E226" s="1983">
        <v>1</v>
      </c>
      <c r="F226" s="1208">
        <v>2</v>
      </c>
      <c r="G226" s="1208"/>
      <c r="H226" s="1208">
        <v>2.7</v>
      </c>
      <c r="I226" s="1209">
        <f t="shared" ref="I226" si="96">-H226*F226*E226</f>
        <v>-5.4</v>
      </c>
      <c r="J226" s="1209"/>
      <c r="K226" s="1210">
        <f t="shared" si="26"/>
        <v>1.05</v>
      </c>
      <c r="L226" s="1210">
        <f t="shared" si="93"/>
        <v>0</v>
      </c>
      <c r="M226" s="1197">
        <f t="shared" si="94"/>
        <v>0</v>
      </c>
      <c r="N226" s="1211">
        <f t="shared" si="95"/>
        <v>0</v>
      </c>
      <c r="O226" s="1212"/>
      <c r="P226" s="1200"/>
      <c r="Q226" s="1200"/>
      <c r="R226" s="1213"/>
      <c r="S226" s="1213"/>
      <c r="T226" s="1213"/>
      <c r="U226" s="1213"/>
      <c r="V226" s="1213"/>
    </row>
    <row r="227" spans="1:22" ht="15" thickTop="1" thickBot="1" x14ac:dyDescent="0.3">
      <c r="A227" s="1207"/>
      <c r="B227" s="1212"/>
      <c r="C227" s="1212"/>
      <c r="D227" s="1212"/>
      <c r="E227" s="1212"/>
      <c r="F227" s="1208"/>
      <c r="G227" s="1208"/>
      <c r="H227" s="1208"/>
      <c r="I227" s="1209"/>
      <c r="J227" s="1209">
        <f>SUM(I217:I226)</f>
        <v>144.48899999999998</v>
      </c>
      <c r="K227" s="1210">
        <f t="shared" si="26"/>
        <v>1.05</v>
      </c>
      <c r="L227" s="1210">
        <f t="shared" si="93"/>
        <v>151.71344999999999</v>
      </c>
      <c r="M227" s="1197">
        <f t="shared" si="94"/>
        <v>151.69999999999999</v>
      </c>
      <c r="N227" s="1211">
        <f t="shared" si="95"/>
        <v>152</v>
      </c>
      <c r="O227" s="1212"/>
      <c r="P227" s="1200"/>
      <c r="Q227" s="1200"/>
      <c r="R227" s="1213"/>
      <c r="S227" s="1213"/>
      <c r="T227" s="1213"/>
      <c r="U227" s="1213"/>
      <c r="V227" s="1213"/>
    </row>
    <row r="228" spans="1:22" ht="15" thickTop="1" thickBot="1" x14ac:dyDescent="0.3">
      <c r="A228" s="1207"/>
      <c r="B228" s="1212"/>
      <c r="C228" s="1212"/>
      <c r="D228" s="1212"/>
      <c r="E228" s="1212"/>
      <c r="F228" s="1208"/>
      <c r="G228" s="1208"/>
      <c r="H228" s="1208"/>
      <c r="I228" s="1209"/>
      <c r="J228" s="1209"/>
      <c r="K228" s="1210">
        <f t="shared" si="26"/>
        <v>1.05</v>
      </c>
      <c r="L228" s="1210">
        <f t="shared" si="93"/>
        <v>0</v>
      </c>
      <c r="M228" s="1197">
        <f t="shared" si="94"/>
        <v>0</v>
      </c>
      <c r="N228" s="1211">
        <f t="shared" si="95"/>
        <v>0</v>
      </c>
      <c r="O228" s="1212"/>
      <c r="P228" s="1200"/>
      <c r="Q228" s="1200"/>
      <c r="R228" s="1213"/>
      <c r="S228" s="1213"/>
      <c r="T228" s="1213"/>
      <c r="U228" s="1213"/>
      <c r="V228" s="1213"/>
    </row>
    <row r="229" spans="1:22" ht="15" thickTop="1" thickBot="1" x14ac:dyDescent="0.3">
      <c r="A229" s="1207"/>
      <c r="B229" s="1212" t="s">
        <v>3182</v>
      </c>
      <c r="C229" s="1212"/>
      <c r="D229" s="1212"/>
      <c r="E229" s="1212"/>
      <c r="F229" s="1208"/>
      <c r="G229" s="1208"/>
      <c r="H229" s="1208"/>
      <c r="I229" s="1209"/>
      <c r="J229" s="1209"/>
      <c r="K229" s="1210">
        <f t="shared" si="26"/>
        <v>1.05</v>
      </c>
      <c r="L229" s="1210">
        <f t="shared" si="93"/>
        <v>0</v>
      </c>
      <c r="M229" s="1197">
        <f t="shared" si="94"/>
        <v>0</v>
      </c>
      <c r="N229" s="1211">
        <f t="shared" si="95"/>
        <v>0</v>
      </c>
      <c r="O229" s="1212"/>
      <c r="P229" s="1200"/>
      <c r="Q229" s="1200"/>
      <c r="R229" s="1213"/>
      <c r="S229" s="1213"/>
      <c r="T229" s="1213"/>
      <c r="U229" s="1213"/>
      <c r="V229" s="1213"/>
    </row>
    <row r="230" spans="1:22" ht="15" thickTop="1" thickBot="1" x14ac:dyDescent="0.3">
      <c r="A230" s="1207"/>
      <c r="B230" s="1212" t="s">
        <v>3281</v>
      </c>
      <c r="C230" s="1212"/>
      <c r="D230" s="1212"/>
      <c r="E230" s="1983">
        <v>1</v>
      </c>
      <c r="F230" s="1208">
        <f>F219+H219+F219+H219</f>
        <v>14</v>
      </c>
      <c r="G230" s="1208"/>
      <c r="H230" s="1208"/>
      <c r="I230" s="1209">
        <f>F230*E230</f>
        <v>14</v>
      </c>
      <c r="J230" s="1209"/>
      <c r="K230" s="1210">
        <f t="shared" si="26"/>
        <v>1.05</v>
      </c>
      <c r="L230" s="1210">
        <f t="shared" si="93"/>
        <v>0</v>
      </c>
      <c r="M230" s="1197">
        <f t="shared" si="94"/>
        <v>0</v>
      </c>
      <c r="N230" s="1211">
        <f t="shared" si="95"/>
        <v>0</v>
      </c>
      <c r="O230" s="1212"/>
      <c r="P230" s="1200"/>
      <c r="Q230" s="1200"/>
      <c r="R230" s="1213"/>
      <c r="S230" s="1213"/>
      <c r="T230" s="1213"/>
      <c r="U230" s="1213"/>
      <c r="V230" s="1213"/>
    </row>
    <row r="231" spans="1:22" ht="15" thickTop="1" thickBot="1" x14ac:dyDescent="0.3">
      <c r="A231" s="1207"/>
      <c r="B231" s="1212" t="s">
        <v>769</v>
      </c>
      <c r="C231" s="1212"/>
      <c r="D231" s="1212"/>
      <c r="E231" s="1983">
        <v>2</v>
      </c>
      <c r="F231" s="1208">
        <f t="shared" ref="F231:F237" si="97">F220+H220+F220+H220</f>
        <v>6</v>
      </c>
      <c r="G231" s="1208"/>
      <c r="H231" s="1208"/>
      <c r="I231" s="1209">
        <f t="shared" ref="I231:I237" si="98">F231*E231</f>
        <v>12</v>
      </c>
      <c r="J231" s="1209"/>
      <c r="K231" s="1210">
        <f t="shared" si="26"/>
        <v>1.05</v>
      </c>
      <c r="L231" s="1210">
        <f t="shared" si="93"/>
        <v>0</v>
      </c>
      <c r="M231" s="1197">
        <f t="shared" si="94"/>
        <v>0</v>
      </c>
      <c r="N231" s="1211">
        <f t="shared" si="95"/>
        <v>0</v>
      </c>
      <c r="O231" s="1212"/>
      <c r="P231" s="1200"/>
      <c r="Q231" s="1200"/>
      <c r="R231" s="1213"/>
      <c r="S231" s="1213"/>
      <c r="T231" s="1213"/>
      <c r="U231" s="1213"/>
      <c r="V231" s="1213"/>
    </row>
    <row r="232" spans="1:22" ht="15" thickTop="1" thickBot="1" x14ac:dyDescent="0.3">
      <c r="A232" s="1207"/>
      <c r="B232" s="1212" t="s">
        <v>3151</v>
      </c>
      <c r="C232" s="1212"/>
      <c r="D232" s="1212"/>
      <c r="E232" s="1983">
        <v>1</v>
      </c>
      <c r="F232" s="1208">
        <f t="shared" si="97"/>
        <v>15.149999999999999</v>
      </c>
      <c r="G232" s="1208"/>
      <c r="H232" s="1208"/>
      <c r="I232" s="1209">
        <f t="shared" si="98"/>
        <v>15.149999999999999</v>
      </c>
      <c r="J232" s="1209"/>
      <c r="K232" s="1210">
        <f t="shared" si="26"/>
        <v>1.05</v>
      </c>
      <c r="L232" s="1210">
        <f t="shared" si="93"/>
        <v>0</v>
      </c>
      <c r="M232" s="1197">
        <f t="shared" si="94"/>
        <v>0</v>
      </c>
      <c r="N232" s="1211">
        <f t="shared" si="95"/>
        <v>0</v>
      </c>
      <c r="O232" s="1212"/>
      <c r="P232" s="1200"/>
      <c r="Q232" s="1200"/>
      <c r="R232" s="1213"/>
      <c r="S232" s="1213"/>
      <c r="T232" s="1213"/>
      <c r="U232" s="1213"/>
      <c r="V232" s="1213"/>
    </row>
    <row r="233" spans="1:22" ht="15" thickTop="1" thickBot="1" x14ac:dyDescent="0.3">
      <c r="A233" s="1207"/>
      <c r="B233" s="1212" t="s">
        <v>3180</v>
      </c>
      <c r="C233" s="1212"/>
      <c r="D233" s="1212"/>
      <c r="E233" s="1983">
        <v>1</v>
      </c>
      <c r="F233" s="1208">
        <f t="shared" si="97"/>
        <v>12.149999999999999</v>
      </c>
      <c r="G233" s="1208"/>
      <c r="H233" s="1208"/>
      <c r="I233" s="1209">
        <f t="shared" si="98"/>
        <v>12.149999999999999</v>
      </c>
      <c r="J233" s="1209"/>
      <c r="K233" s="1210"/>
      <c r="L233" s="1210"/>
      <c r="M233" s="1197"/>
      <c r="N233" s="1211"/>
      <c r="O233" s="1212"/>
      <c r="P233" s="1200"/>
      <c r="Q233" s="1200"/>
      <c r="R233" s="1213"/>
      <c r="S233" s="1213"/>
      <c r="T233" s="1213"/>
      <c r="U233" s="1213"/>
      <c r="V233" s="1213"/>
    </row>
    <row r="234" spans="1:22" ht="15" thickTop="1" thickBot="1" x14ac:dyDescent="0.3">
      <c r="A234" s="1207"/>
      <c r="B234" s="1212" t="s">
        <v>3280</v>
      </c>
      <c r="C234" s="1212"/>
      <c r="D234" s="1212"/>
      <c r="E234" s="1983">
        <v>1</v>
      </c>
      <c r="F234" s="1208">
        <f t="shared" si="97"/>
        <v>9.4</v>
      </c>
      <c r="G234" s="1208"/>
      <c r="H234" s="1208"/>
      <c r="I234" s="1209">
        <f t="shared" si="98"/>
        <v>9.4</v>
      </c>
      <c r="J234" s="1209"/>
      <c r="K234" s="1210"/>
      <c r="L234" s="1210"/>
      <c r="M234" s="1197"/>
      <c r="N234" s="1211"/>
      <c r="O234" s="1212"/>
      <c r="P234" s="1200"/>
      <c r="Q234" s="1200"/>
      <c r="R234" s="1213"/>
      <c r="S234" s="1213"/>
      <c r="T234" s="1213"/>
      <c r="U234" s="1213"/>
      <c r="V234" s="1213"/>
    </row>
    <row r="235" spans="1:22" ht="15" thickTop="1" thickBot="1" x14ac:dyDescent="0.3">
      <c r="A235" s="1207"/>
      <c r="B235" s="1212" t="s">
        <v>768</v>
      </c>
      <c r="C235" s="1212"/>
      <c r="D235" s="1212"/>
      <c r="E235" s="1983">
        <v>2</v>
      </c>
      <c r="F235" s="1208">
        <f t="shared" si="97"/>
        <v>13.48</v>
      </c>
      <c r="G235" s="1208"/>
      <c r="H235" s="1208"/>
      <c r="I235" s="1209">
        <f t="shared" si="98"/>
        <v>26.96</v>
      </c>
      <c r="J235" s="1209"/>
      <c r="K235" s="1210"/>
      <c r="L235" s="1210"/>
      <c r="M235" s="1197"/>
      <c r="N235" s="1211"/>
      <c r="O235" s="1212"/>
      <c r="P235" s="1200"/>
      <c r="Q235" s="1200"/>
      <c r="R235" s="1213"/>
      <c r="S235" s="1213"/>
      <c r="T235" s="1213"/>
      <c r="U235" s="1213"/>
      <c r="V235" s="1213"/>
    </row>
    <row r="236" spans="1:22" ht="15" thickTop="1" thickBot="1" x14ac:dyDescent="0.3">
      <c r="A236" s="1207"/>
      <c r="B236" s="1212" t="s">
        <v>837</v>
      </c>
      <c r="C236" s="1212"/>
      <c r="D236" s="1212"/>
      <c r="E236" s="1983">
        <v>1</v>
      </c>
      <c r="F236" s="1208">
        <f t="shared" si="97"/>
        <v>9.8000000000000007</v>
      </c>
      <c r="G236" s="1208"/>
      <c r="H236" s="1208"/>
      <c r="I236" s="1209">
        <f t="shared" si="98"/>
        <v>9.8000000000000007</v>
      </c>
      <c r="J236" s="1209"/>
      <c r="K236" s="1210"/>
      <c r="L236" s="1210"/>
      <c r="M236" s="1197"/>
      <c r="N236" s="1211"/>
      <c r="O236" s="1212"/>
      <c r="P236" s="1200"/>
      <c r="Q236" s="1200"/>
      <c r="R236" s="1213"/>
      <c r="S236" s="1213"/>
      <c r="T236" s="1213"/>
      <c r="U236" s="1213"/>
      <c r="V236" s="1213"/>
    </row>
    <row r="237" spans="1:22" ht="15" thickTop="1" thickBot="1" x14ac:dyDescent="0.3">
      <c r="A237" s="1207"/>
      <c r="B237" s="1212" t="s">
        <v>3172</v>
      </c>
      <c r="C237" s="1212"/>
      <c r="D237" s="1212"/>
      <c r="E237" s="1983">
        <v>1</v>
      </c>
      <c r="F237" s="1208">
        <f t="shared" si="97"/>
        <v>9.4</v>
      </c>
      <c r="G237" s="1208"/>
      <c r="H237" s="1208"/>
      <c r="I237" s="1209">
        <f t="shared" si="98"/>
        <v>9.4</v>
      </c>
      <c r="J237" s="1209"/>
      <c r="K237" s="1210">
        <f t="shared" si="26"/>
        <v>1.05</v>
      </c>
      <c r="L237" s="1210">
        <f t="shared" si="89"/>
        <v>0</v>
      </c>
      <c r="M237" s="1197">
        <f t="shared" si="90"/>
        <v>0</v>
      </c>
      <c r="N237" s="1211">
        <f t="shared" si="91"/>
        <v>0</v>
      </c>
      <c r="O237" s="1212"/>
      <c r="P237" s="1200"/>
      <c r="Q237" s="1200"/>
      <c r="R237" s="1213"/>
      <c r="S237" s="1213"/>
      <c r="T237" s="1213"/>
      <c r="U237" s="1213"/>
      <c r="V237" s="1213"/>
    </row>
    <row r="238" spans="1:22" ht="15" thickTop="1" thickBot="1" x14ac:dyDescent="0.3">
      <c r="A238" s="1207"/>
      <c r="B238" s="1212"/>
      <c r="C238" s="1212"/>
      <c r="D238" s="1212"/>
      <c r="E238" s="1212"/>
      <c r="F238" s="1208"/>
      <c r="G238" s="1208"/>
      <c r="H238" s="1208"/>
      <c r="I238" s="1209"/>
      <c r="J238" s="1209">
        <f>SUM(I230:I237)</f>
        <v>108.86</v>
      </c>
      <c r="K238" s="1210">
        <f t="shared" si="26"/>
        <v>1.05</v>
      </c>
      <c r="L238" s="1210">
        <f t="shared" si="89"/>
        <v>114.303</v>
      </c>
      <c r="M238" s="1197">
        <f t="shared" si="90"/>
        <v>114.3</v>
      </c>
      <c r="N238" s="1211">
        <f t="shared" si="91"/>
        <v>115</v>
      </c>
      <c r="O238" s="1212"/>
      <c r="P238" s="1200"/>
      <c r="Q238" s="1200"/>
      <c r="R238" s="1213"/>
      <c r="S238" s="1213"/>
      <c r="T238" s="1213"/>
      <c r="U238" s="1213"/>
      <c r="V238" s="1213"/>
    </row>
    <row r="239" spans="1:22" ht="15" thickTop="1" thickBot="1" x14ac:dyDescent="0.3">
      <c r="A239" s="1207"/>
      <c r="B239" s="1212"/>
      <c r="C239" s="1212"/>
      <c r="D239" s="1212"/>
      <c r="E239" s="1212"/>
      <c r="F239" s="1208"/>
      <c r="G239" s="1208"/>
      <c r="H239" s="1208"/>
      <c r="I239" s="1209"/>
      <c r="J239" s="1209"/>
      <c r="K239" s="1210">
        <f t="shared" si="26"/>
        <v>1.05</v>
      </c>
      <c r="L239" s="1210">
        <f t="shared" si="89"/>
        <v>0</v>
      </c>
      <c r="M239" s="1197">
        <f t="shared" si="90"/>
        <v>0</v>
      </c>
      <c r="N239" s="1211">
        <f t="shared" si="91"/>
        <v>0</v>
      </c>
      <c r="O239" s="1212"/>
      <c r="P239" s="1200"/>
      <c r="Q239" s="1200"/>
      <c r="R239" s="1213"/>
      <c r="S239" s="1213"/>
      <c r="T239" s="1213"/>
      <c r="U239" s="1213"/>
      <c r="V239" s="1213"/>
    </row>
    <row r="240" spans="1:22" ht="15" thickTop="1" thickBot="1" x14ac:dyDescent="0.3">
      <c r="A240" s="1207"/>
      <c r="B240" s="1212" t="s">
        <v>1656</v>
      </c>
      <c r="C240" s="1212"/>
      <c r="D240" s="1212"/>
      <c r="E240" s="1212"/>
      <c r="F240" s="1208">
        <v>14.9</v>
      </c>
      <c r="G240" s="1208"/>
      <c r="H240" s="1208">
        <v>3.3</v>
      </c>
      <c r="I240" s="1209">
        <f>H240*F240</f>
        <v>49.17</v>
      </c>
      <c r="J240" s="1209">
        <f>I240</f>
        <v>49.17</v>
      </c>
      <c r="K240" s="1210">
        <f t="shared" si="26"/>
        <v>1.05</v>
      </c>
      <c r="L240" s="1210">
        <f t="shared" si="89"/>
        <v>51.628500000000003</v>
      </c>
      <c r="M240" s="1197">
        <f t="shared" si="90"/>
        <v>51.6</v>
      </c>
      <c r="N240" s="1211">
        <f t="shared" si="91"/>
        <v>52</v>
      </c>
      <c r="O240" s="1212"/>
      <c r="P240" s="1200"/>
      <c r="Q240" s="1200"/>
      <c r="R240" s="1213"/>
      <c r="S240" s="1213"/>
      <c r="T240" s="1213"/>
      <c r="U240" s="1213"/>
      <c r="V240" s="1213"/>
    </row>
    <row r="241" spans="1:22" ht="15" thickTop="1" thickBot="1" x14ac:dyDescent="0.3">
      <c r="A241" s="1207"/>
      <c r="B241" s="1212"/>
      <c r="C241" s="1212"/>
      <c r="D241" s="1212"/>
      <c r="E241" s="1212"/>
      <c r="F241" s="1208"/>
      <c r="G241" s="1208"/>
      <c r="H241" s="1208"/>
      <c r="I241" s="1209"/>
      <c r="J241" s="1209"/>
      <c r="K241" s="1210">
        <f t="shared" si="26"/>
        <v>1.05</v>
      </c>
      <c r="L241" s="1210">
        <f t="shared" si="89"/>
        <v>0</v>
      </c>
      <c r="M241" s="1197">
        <f t="shared" si="90"/>
        <v>0</v>
      </c>
      <c r="N241" s="1211">
        <f t="shared" si="91"/>
        <v>0</v>
      </c>
      <c r="O241" s="1212"/>
      <c r="P241" s="1200"/>
      <c r="Q241" s="1200"/>
      <c r="R241" s="1213"/>
      <c r="S241" s="1213"/>
      <c r="T241" s="1213"/>
      <c r="U241" s="1213"/>
      <c r="V241" s="1213"/>
    </row>
    <row r="242" spans="1:22" ht="15" thickTop="1" thickBot="1" x14ac:dyDescent="0.3">
      <c r="A242" s="1207"/>
      <c r="B242" s="1212"/>
      <c r="C242" s="1212"/>
      <c r="D242" s="1212"/>
      <c r="E242" s="1212"/>
      <c r="F242" s="1208"/>
      <c r="G242" s="1208"/>
      <c r="H242" s="1208"/>
      <c r="I242" s="1209"/>
      <c r="J242" s="1209"/>
      <c r="K242" s="1210">
        <f t="shared" si="26"/>
        <v>1.05</v>
      </c>
      <c r="L242" s="1210">
        <f t="shared" si="89"/>
        <v>0</v>
      </c>
      <c r="M242" s="1197">
        <f t="shared" si="90"/>
        <v>0</v>
      </c>
      <c r="N242" s="1211">
        <f t="shared" si="91"/>
        <v>0</v>
      </c>
      <c r="O242" s="1212"/>
      <c r="P242" s="1200"/>
      <c r="Q242" s="1200"/>
      <c r="R242" s="1213"/>
      <c r="S242" s="1213"/>
      <c r="T242" s="1213"/>
      <c r="U242" s="1213"/>
      <c r="V242" s="1213"/>
    </row>
    <row r="243" spans="1:22" ht="15" thickTop="1" thickBot="1" x14ac:dyDescent="0.3">
      <c r="A243" s="1207"/>
      <c r="B243" s="1212" t="s">
        <v>3289</v>
      </c>
      <c r="C243" s="1212"/>
      <c r="D243" s="1212"/>
      <c r="E243" s="1212"/>
      <c r="F243" s="1208"/>
      <c r="G243" s="1208"/>
      <c r="H243" s="1208"/>
      <c r="I243" s="1209"/>
      <c r="J243" s="1209"/>
      <c r="K243" s="1210">
        <f t="shared" si="26"/>
        <v>1.05</v>
      </c>
      <c r="L243" s="1210">
        <f t="shared" si="89"/>
        <v>0</v>
      </c>
      <c r="M243" s="1197">
        <f t="shared" si="90"/>
        <v>0</v>
      </c>
      <c r="N243" s="1211">
        <f t="shared" si="91"/>
        <v>0</v>
      </c>
      <c r="O243" s="1212"/>
      <c r="P243" s="1200"/>
      <c r="Q243" s="1200"/>
      <c r="R243" s="1213"/>
      <c r="S243" s="1213"/>
      <c r="T243" s="1213"/>
      <c r="U243" s="1213"/>
      <c r="V243" s="1213"/>
    </row>
    <row r="244" spans="1:22" ht="15" thickTop="1" thickBot="1" x14ac:dyDescent="0.3">
      <c r="A244" s="1207"/>
      <c r="B244" s="1212" t="s">
        <v>1834</v>
      </c>
      <c r="C244" s="1212"/>
      <c r="D244" s="1212"/>
      <c r="E244" s="1212"/>
      <c r="F244" s="1208">
        <v>100</v>
      </c>
      <c r="G244" s="1208"/>
      <c r="H244" s="1208">
        <v>3.3</v>
      </c>
      <c r="I244" s="1209">
        <f>H244*F244</f>
        <v>330</v>
      </c>
      <c r="J244" s="1209"/>
      <c r="K244" s="1210">
        <f t="shared" si="26"/>
        <v>1.05</v>
      </c>
      <c r="L244" s="1210">
        <f t="shared" si="89"/>
        <v>0</v>
      </c>
      <c r="M244" s="1197">
        <f t="shared" si="90"/>
        <v>0</v>
      </c>
      <c r="N244" s="1211">
        <f t="shared" si="91"/>
        <v>0</v>
      </c>
      <c r="O244" s="1212"/>
      <c r="P244" s="1200"/>
      <c r="Q244" s="1200"/>
      <c r="R244" s="1213"/>
      <c r="S244" s="1213"/>
      <c r="T244" s="1213"/>
      <c r="U244" s="1213"/>
      <c r="V244" s="1213"/>
    </row>
    <row r="245" spans="1:22" ht="15" thickTop="1" thickBot="1" x14ac:dyDescent="0.3">
      <c r="A245" s="1207"/>
      <c r="B245" s="1212" t="s">
        <v>837</v>
      </c>
      <c r="C245" s="1212"/>
      <c r="D245" s="1212"/>
      <c r="E245" s="1983">
        <v>1</v>
      </c>
      <c r="F245" s="1208">
        <v>2.2000000000000002</v>
      </c>
      <c r="G245" s="1208"/>
      <c r="H245" s="1208">
        <v>2.7</v>
      </c>
      <c r="I245" s="1209">
        <f>-H245*F245*E245</f>
        <v>-5.9400000000000013</v>
      </c>
      <c r="J245" s="1209"/>
      <c r="K245" s="1210">
        <f t="shared" si="26"/>
        <v>1.05</v>
      </c>
      <c r="L245" s="1210">
        <f t="shared" si="89"/>
        <v>0</v>
      </c>
      <c r="M245" s="1197">
        <f t="shared" si="90"/>
        <v>0</v>
      </c>
      <c r="N245" s="1211">
        <f t="shared" si="91"/>
        <v>0</v>
      </c>
      <c r="O245" s="1212"/>
      <c r="P245" s="1200"/>
      <c r="Q245" s="1200"/>
      <c r="R245" s="1213"/>
      <c r="S245" s="1213"/>
      <c r="T245" s="1213"/>
      <c r="U245" s="1213"/>
      <c r="V245" s="1213"/>
    </row>
    <row r="246" spans="1:22" ht="15" thickTop="1" thickBot="1" x14ac:dyDescent="0.3">
      <c r="A246" s="1207"/>
      <c r="B246" s="1212" t="s">
        <v>766</v>
      </c>
      <c r="C246" s="1212"/>
      <c r="D246" s="1212"/>
      <c r="E246" s="1983">
        <v>1</v>
      </c>
      <c r="F246" s="1208">
        <v>1.65</v>
      </c>
      <c r="G246" s="1208"/>
      <c r="H246" s="1208">
        <v>1.8</v>
      </c>
      <c r="I246" s="1209">
        <f t="shared" ref="I246:I258" si="99">-H246*F246*E246</f>
        <v>-2.9699999999999998</v>
      </c>
      <c r="J246" s="1209"/>
      <c r="K246" s="1210">
        <f t="shared" si="26"/>
        <v>1.05</v>
      </c>
      <c r="L246" s="1210">
        <f t="shared" si="89"/>
        <v>0</v>
      </c>
      <c r="M246" s="1197">
        <f t="shared" si="90"/>
        <v>0</v>
      </c>
      <c r="N246" s="1211">
        <f t="shared" si="91"/>
        <v>0</v>
      </c>
      <c r="O246" s="1212"/>
      <c r="P246" s="1200"/>
      <c r="Q246" s="1200"/>
      <c r="R246" s="1213"/>
      <c r="S246" s="1213"/>
      <c r="T246" s="1213"/>
      <c r="U246" s="1213"/>
      <c r="V246" s="1213"/>
    </row>
    <row r="247" spans="1:22" ht="15" thickTop="1" thickBot="1" x14ac:dyDescent="0.3">
      <c r="A247" s="1207"/>
      <c r="B247" s="1212" t="s">
        <v>770</v>
      </c>
      <c r="C247" s="1212"/>
      <c r="D247" s="1212"/>
      <c r="E247" s="1983">
        <v>1</v>
      </c>
      <c r="F247" s="1208">
        <v>0.9</v>
      </c>
      <c r="G247" s="1208"/>
      <c r="H247" s="1208">
        <v>2.7</v>
      </c>
      <c r="I247" s="1209">
        <f t="shared" si="99"/>
        <v>-2.4300000000000002</v>
      </c>
      <c r="J247" s="1209"/>
      <c r="K247" s="1210">
        <f t="shared" si="26"/>
        <v>1.05</v>
      </c>
      <c r="L247" s="1210">
        <f t="shared" si="89"/>
        <v>0</v>
      </c>
      <c r="M247" s="1197">
        <f t="shared" si="90"/>
        <v>0</v>
      </c>
      <c r="N247" s="1211">
        <f t="shared" si="91"/>
        <v>0</v>
      </c>
      <c r="O247" s="1212"/>
      <c r="P247" s="1200"/>
      <c r="Q247" s="1200"/>
      <c r="R247" s="1213"/>
      <c r="S247" s="1213"/>
      <c r="T247" s="1213"/>
      <c r="U247" s="1213"/>
      <c r="V247" s="1213"/>
    </row>
    <row r="248" spans="1:22" ht="15" thickTop="1" thickBot="1" x14ac:dyDescent="0.3">
      <c r="A248" s="1207"/>
      <c r="B248" s="1212" t="s">
        <v>792</v>
      </c>
      <c r="C248" s="1212"/>
      <c r="D248" s="1212"/>
      <c r="E248" s="1983">
        <v>2</v>
      </c>
      <c r="F248" s="1208">
        <v>0.5</v>
      </c>
      <c r="G248" s="1208"/>
      <c r="H248" s="1208">
        <v>2.4</v>
      </c>
      <c r="I248" s="1209">
        <f t="shared" si="99"/>
        <v>-2.4</v>
      </c>
      <c r="J248" s="1209"/>
      <c r="K248" s="1210">
        <f t="shared" si="26"/>
        <v>1.05</v>
      </c>
      <c r="L248" s="1210">
        <f t="shared" si="89"/>
        <v>0</v>
      </c>
      <c r="M248" s="1197">
        <f t="shared" si="90"/>
        <v>0</v>
      </c>
      <c r="N248" s="1211">
        <f t="shared" si="91"/>
        <v>0</v>
      </c>
      <c r="O248" s="1212"/>
      <c r="P248" s="1200"/>
      <c r="Q248" s="1200"/>
      <c r="R248" s="1213"/>
      <c r="S248" s="1213"/>
      <c r="T248" s="1213"/>
      <c r="U248" s="1213"/>
      <c r="V248" s="1213"/>
    </row>
    <row r="249" spans="1:22" ht="15" thickTop="1" thickBot="1" x14ac:dyDescent="0.3">
      <c r="A249" s="1207"/>
      <c r="B249" s="1212" t="s">
        <v>773</v>
      </c>
      <c r="C249" s="1212"/>
      <c r="D249" s="1212"/>
      <c r="E249" s="1983">
        <v>2</v>
      </c>
      <c r="F249" s="1208">
        <v>1</v>
      </c>
      <c r="G249" s="1208"/>
      <c r="H249" s="1208">
        <v>2.7</v>
      </c>
      <c r="I249" s="1209">
        <f t="shared" si="99"/>
        <v>-5.4</v>
      </c>
      <c r="J249" s="1209"/>
      <c r="K249" s="1210">
        <f t="shared" si="26"/>
        <v>1.05</v>
      </c>
      <c r="L249" s="1210">
        <f t="shared" si="89"/>
        <v>0</v>
      </c>
      <c r="M249" s="1197">
        <f t="shared" si="90"/>
        <v>0</v>
      </c>
      <c r="N249" s="1211">
        <f t="shared" si="91"/>
        <v>0</v>
      </c>
      <c r="O249" s="1212"/>
      <c r="P249" s="1200"/>
      <c r="Q249" s="1200"/>
      <c r="R249" s="1213"/>
      <c r="S249" s="1213"/>
      <c r="T249" s="1213"/>
      <c r="U249" s="1213"/>
      <c r="V249" s="1213"/>
    </row>
    <row r="250" spans="1:22" ht="15" thickTop="1" thickBot="1" x14ac:dyDescent="0.3">
      <c r="A250" s="1207"/>
      <c r="B250" s="1212" t="s">
        <v>770</v>
      </c>
      <c r="C250" s="1212"/>
      <c r="D250" s="1212"/>
      <c r="E250" s="1983">
        <v>2</v>
      </c>
      <c r="F250" s="1208">
        <v>0.9</v>
      </c>
      <c r="G250" s="1208"/>
      <c r="H250" s="1208">
        <v>2.7</v>
      </c>
      <c r="I250" s="1209">
        <f t="shared" si="99"/>
        <v>-4.8600000000000003</v>
      </c>
      <c r="J250" s="1209"/>
      <c r="K250" s="1210">
        <f t="shared" si="26"/>
        <v>1.05</v>
      </c>
      <c r="L250" s="1210">
        <f t="shared" ref="L250:L262" si="100">K250*J250</f>
        <v>0</v>
      </c>
      <c r="M250" s="1197">
        <f t="shared" ref="M250:M262" si="101">ROUND(L250,1)</f>
        <v>0</v>
      </c>
      <c r="N250" s="1211">
        <f t="shared" ref="N250:N262" si="102">ROUNDUP(M250,0)</f>
        <v>0</v>
      </c>
      <c r="O250" s="1212"/>
      <c r="P250" s="1200"/>
      <c r="Q250" s="1200"/>
      <c r="R250" s="1213"/>
      <c r="S250" s="1213"/>
      <c r="T250" s="1213"/>
      <c r="U250" s="1213"/>
      <c r="V250" s="1213"/>
    </row>
    <row r="251" spans="1:22" ht="15" thickTop="1" thickBot="1" x14ac:dyDescent="0.3">
      <c r="A251" s="1207"/>
      <c r="B251" s="1212" t="s">
        <v>766</v>
      </c>
      <c r="C251" s="1212"/>
      <c r="D251" s="1212"/>
      <c r="E251" s="1983">
        <v>1</v>
      </c>
      <c r="F251" s="1208">
        <v>1.65</v>
      </c>
      <c r="G251" s="1208"/>
      <c r="H251" s="1208">
        <v>1.8</v>
      </c>
      <c r="I251" s="1209">
        <f t="shared" si="99"/>
        <v>-2.9699999999999998</v>
      </c>
      <c r="J251" s="1209"/>
      <c r="K251" s="1210">
        <f t="shared" si="26"/>
        <v>1.05</v>
      </c>
      <c r="L251" s="1210">
        <f t="shared" si="100"/>
        <v>0</v>
      </c>
      <c r="M251" s="1197">
        <f t="shared" si="101"/>
        <v>0</v>
      </c>
      <c r="N251" s="1211">
        <f t="shared" si="102"/>
        <v>0</v>
      </c>
      <c r="O251" s="1212"/>
      <c r="P251" s="1200"/>
      <c r="Q251" s="1200"/>
      <c r="R251" s="1213"/>
      <c r="S251" s="1213"/>
      <c r="T251" s="1213"/>
      <c r="U251" s="1213"/>
      <c r="V251" s="1213"/>
    </row>
    <row r="252" spans="1:22" ht="15" thickTop="1" thickBot="1" x14ac:dyDescent="0.3">
      <c r="A252" s="1207"/>
      <c r="B252" s="1212" t="s">
        <v>3152</v>
      </c>
      <c r="C252" s="1212"/>
      <c r="D252" s="1212"/>
      <c r="E252" s="1983">
        <v>1</v>
      </c>
      <c r="F252" s="1208">
        <v>4.0999999999999996</v>
      </c>
      <c r="G252" s="1208"/>
      <c r="H252" s="1208">
        <v>2.7</v>
      </c>
      <c r="I252" s="1209">
        <f t="shared" si="99"/>
        <v>-11.07</v>
      </c>
      <c r="J252" s="1209"/>
      <c r="K252" s="1210">
        <f t="shared" si="26"/>
        <v>1.05</v>
      </c>
      <c r="L252" s="1210">
        <f t="shared" si="100"/>
        <v>0</v>
      </c>
      <c r="M252" s="1197">
        <f t="shared" si="101"/>
        <v>0</v>
      </c>
      <c r="N252" s="1211">
        <f t="shared" si="102"/>
        <v>0</v>
      </c>
      <c r="O252" s="1212"/>
      <c r="P252" s="1200"/>
      <c r="Q252" s="1200"/>
      <c r="R252" s="1213"/>
      <c r="S252" s="1213"/>
      <c r="T252" s="1213"/>
      <c r="U252" s="1213"/>
      <c r="V252" s="1213"/>
    </row>
    <row r="253" spans="1:22" ht="15" thickTop="1" thickBot="1" x14ac:dyDescent="0.3">
      <c r="A253" s="1207"/>
      <c r="B253" s="1212" t="s">
        <v>772</v>
      </c>
      <c r="C253" s="1212"/>
      <c r="D253" s="1212"/>
      <c r="E253" s="1983">
        <v>2</v>
      </c>
      <c r="F253" s="1208">
        <v>3.3</v>
      </c>
      <c r="G253" s="1208"/>
      <c r="H253" s="1208">
        <v>2.7</v>
      </c>
      <c r="I253" s="1209">
        <f t="shared" si="99"/>
        <v>-17.82</v>
      </c>
      <c r="J253" s="1209"/>
      <c r="K253" s="1210">
        <f t="shared" si="26"/>
        <v>1.05</v>
      </c>
      <c r="L253" s="1210">
        <f t="shared" si="100"/>
        <v>0</v>
      </c>
      <c r="M253" s="1197">
        <f t="shared" si="101"/>
        <v>0</v>
      </c>
      <c r="N253" s="1211">
        <f t="shared" si="102"/>
        <v>0</v>
      </c>
      <c r="O253" s="1212"/>
      <c r="P253" s="1200"/>
      <c r="Q253" s="1200"/>
      <c r="R253" s="1213"/>
      <c r="S253" s="1213"/>
      <c r="T253" s="1213"/>
      <c r="U253" s="1213"/>
      <c r="V253" s="1213"/>
    </row>
    <row r="254" spans="1:22" ht="15" thickTop="1" thickBot="1" x14ac:dyDescent="0.3">
      <c r="A254" s="1207"/>
      <c r="B254" s="1212" t="s">
        <v>3179</v>
      </c>
      <c r="C254" s="1212"/>
      <c r="D254" s="1212"/>
      <c r="E254" s="1983">
        <v>1</v>
      </c>
      <c r="F254" s="1208">
        <v>1.7</v>
      </c>
      <c r="G254" s="1208"/>
      <c r="H254" s="1208">
        <v>2.7</v>
      </c>
      <c r="I254" s="1209">
        <f t="shared" si="99"/>
        <v>-4.59</v>
      </c>
      <c r="J254" s="1209"/>
      <c r="K254" s="1210">
        <f t="shared" si="26"/>
        <v>1.05</v>
      </c>
      <c r="L254" s="1210">
        <f t="shared" si="100"/>
        <v>0</v>
      </c>
      <c r="M254" s="1197">
        <f t="shared" si="101"/>
        <v>0</v>
      </c>
      <c r="N254" s="1211">
        <f t="shared" si="102"/>
        <v>0</v>
      </c>
      <c r="O254" s="1212"/>
      <c r="P254" s="1200"/>
      <c r="Q254" s="1200"/>
      <c r="R254" s="1213"/>
      <c r="S254" s="1213"/>
      <c r="T254" s="1213"/>
      <c r="U254" s="1213"/>
      <c r="V254" s="1213"/>
    </row>
    <row r="255" spans="1:22" ht="15" thickTop="1" thickBot="1" x14ac:dyDescent="0.3">
      <c r="A255" s="1207"/>
      <c r="B255" s="1212" t="s">
        <v>765</v>
      </c>
      <c r="C255" s="1212"/>
      <c r="D255" s="1212"/>
      <c r="E255" s="1983">
        <v>1</v>
      </c>
      <c r="F255" s="1208">
        <v>1.5</v>
      </c>
      <c r="G255" s="1208"/>
      <c r="H255" s="1208">
        <v>2.7</v>
      </c>
      <c r="I255" s="1209">
        <f t="shared" si="99"/>
        <v>-4.0500000000000007</v>
      </c>
      <c r="J255" s="1209"/>
      <c r="K255" s="1210">
        <f t="shared" si="26"/>
        <v>1.05</v>
      </c>
      <c r="L255" s="1210">
        <f t="shared" si="100"/>
        <v>0</v>
      </c>
      <c r="M255" s="1197">
        <f t="shared" si="101"/>
        <v>0</v>
      </c>
      <c r="N255" s="1211">
        <f t="shared" si="102"/>
        <v>0</v>
      </c>
      <c r="O255" s="1212"/>
      <c r="P255" s="1200"/>
      <c r="Q255" s="1200"/>
      <c r="R255" s="1213"/>
      <c r="S255" s="1213"/>
      <c r="T255" s="1213"/>
      <c r="U255" s="1213"/>
      <c r="V255" s="1213"/>
    </row>
    <row r="256" spans="1:22" ht="15" thickTop="1" thickBot="1" x14ac:dyDescent="0.3">
      <c r="A256" s="1207"/>
      <c r="B256" s="1212" t="s">
        <v>764</v>
      </c>
      <c r="C256" s="1212"/>
      <c r="D256" s="1212"/>
      <c r="E256" s="1983">
        <v>2</v>
      </c>
      <c r="F256" s="1208">
        <v>1.75</v>
      </c>
      <c r="G256" s="1208"/>
      <c r="H256" s="1208">
        <v>2.7</v>
      </c>
      <c r="I256" s="1209">
        <f t="shared" si="99"/>
        <v>-9.4500000000000011</v>
      </c>
      <c r="J256" s="1209"/>
      <c r="K256" s="1210">
        <f t="shared" si="26"/>
        <v>1.05</v>
      </c>
      <c r="L256" s="1210">
        <f t="shared" si="100"/>
        <v>0</v>
      </c>
      <c r="M256" s="1197">
        <f t="shared" si="101"/>
        <v>0</v>
      </c>
      <c r="N256" s="1211">
        <f t="shared" si="102"/>
        <v>0</v>
      </c>
      <c r="O256" s="1212"/>
      <c r="P256" s="1200"/>
      <c r="Q256" s="1200"/>
      <c r="R256" s="1213"/>
      <c r="S256" s="1213"/>
      <c r="T256" s="1213"/>
      <c r="U256" s="1213"/>
      <c r="V256" s="1213"/>
    </row>
    <row r="257" spans="1:22" ht="15" thickTop="1" thickBot="1" x14ac:dyDescent="0.3">
      <c r="A257" s="1207"/>
      <c r="B257" s="1212" t="s">
        <v>763</v>
      </c>
      <c r="C257" s="1212"/>
      <c r="D257" s="1212"/>
      <c r="E257" s="1983">
        <v>1</v>
      </c>
      <c r="F257" s="1208">
        <v>1</v>
      </c>
      <c r="G257" s="1208"/>
      <c r="H257" s="1208">
        <v>2.7</v>
      </c>
      <c r="I257" s="1209">
        <f t="shared" si="99"/>
        <v>-2.7</v>
      </c>
      <c r="J257" s="1209"/>
      <c r="K257" s="1210">
        <f t="shared" si="26"/>
        <v>1.05</v>
      </c>
      <c r="L257" s="1210">
        <f t="shared" si="100"/>
        <v>0</v>
      </c>
      <c r="M257" s="1197">
        <f t="shared" si="101"/>
        <v>0</v>
      </c>
      <c r="N257" s="1211">
        <f t="shared" si="102"/>
        <v>0</v>
      </c>
      <c r="O257" s="1212"/>
      <c r="P257" s="1200"/>
      <c r="Q257" s="1200"/>
      <c r="R257" s="1213"/>
      <c r="S257" s="1213"/>
      <c r="T257" s="1213"/>
      <c r="U257" s="1213"/>
      <c r="V257" s="1213"/>
    </row>
    <row r="258" spans="1:22" ht="15" thickTop="1" thickBot="1" x14ac:dyDescent="0.3">
      <c r="A258" s="1207"/>
      <c r="B258" s="1212" t="s">
        <v>762</v>
      </c>
      <c r="C258" s="1212"/>
      <c r="D258" s="1212"/>
      <c r="E258" s="1983">
        <v>1</v>
      </c>
      <c r="F258" s="1208">
        <v>2.9</v>
      </c>
      <c r="G258" s="1208"/>
      <c r="H258" s="1208">
        <v>2.7</v>
      </c>
      <c r="I258" s="1209">
        <f t="shared" si="99"/>
        <v>-7.83</v>
      </c>
      <c r="J258" s="1209"/>
      <c r="K258" s="1210">
        <f t="shared" si="26"/>
        <v>1.05</v>
      </c>
      <c r="L258" s="1210">
        <f t="shared" si="100"/>
        <v>0</v>
      </c>
      <c r="M258" s="1197">
        <f t="shared" si="101"/>
        <v>0</v>
      </c>
      <c r="N258" s="1211">
        <f t="shared" si="102"/>
        <v>0</v>
      </c>
      <c r="O258" s="1212"/>
      <c r="P258" s="1200"/>
      <c r="Q258" s="1200"/>
      <c r="R258" s="1213"/>
      <c r="S258" s="1213"/>
      <c r="T258" s="1213"/>
      <c r="U258" s="1213"/>
      <c r="V258" s="1213"/>
    </row>
    <row r="259" spans="1:22" ht="15" thickTop="1" thickBot="1" x14ac:dyDescent="0.3">
      <c r="A259" s="1207"/>
      <c r="B259" s="1212"/>
      <c r="C259" s="1212"/>
      <c r="D259" s="1212"/>
      <c r="E259" s="1212"/>
      <c r="F259" s="1208"/>
      <c r="G259" s="1208"/>
      <c r="H259" s="1208"/>
      <c r="I259" s="1209"/>
      <c r="J259" s="1209">
        <f>SUM(I244:I258)</f>
        <v>245.52</v>
      </c>
      <c r="K259" s="1210">
        <f t="shared" si="26"/>
        <v>1.05</v>
      </c>
      <c r="L259" s="1210">
        <f t="shared" si="100"/>
        <v>257.79600000000005</v>
      </c>
      <c r="M259" s="1197">
        <f t="shared" si="101"/>
        <v>257.8</v>
      </c>
      <c r="N259" s="1211">
        <f t="shared" si="102"/>
        <v>258</v>
      </c>
      <c r="O259" s="1212"/>
      <c r="P259" s="1200"/>
      <c r="Q259" s="1200"/>
      <c r="R259" s="1213"/>
      <c r="S259" s="1213"/>
      <c r="T259" s="1213"/>
      <c r="U259" s="1213"/>
      <c r="V259" s="1213"/>
    </row>
    <row r="260" spans="1:22" ht="15" thickTop="1" thickBot="1" x14ac:dyDescent="0.3">
      <c r="A260" s="1207"/>
      <c r="B260" s="1212"/>
      <c r="C260" s="1212"/>
      <c r="D260" s="1212"/>
      <c r="E260" s="1212"/>
      <c r="F260" s="1208"/>
      <c r="G260" s="1208"/>
      <c r="H260" s="1208"/>
      <c r="I260" s="1209"/>
      <c r="J260" s="1209"/>
      <c r="K260" s="1210">
        <f t="shared" si="26"/>
        <v>1.05</v>
      </c>
      <c r="L260" s="1210">
        <f t="shared" si="100"/>
        <v>0</v>
      </c>
      <c r="M260" s="1197">
        <f t="shared" si="101"/>
        <v>0</v>
      </c>
      <c r="N260" s="1211">
        <f t="shared" si="102"/>
        <v>0</v>
      </c>
      <c r="O260" s="1212"/>
      <c r="P260" s="1200"/>
      <c r="Q260" s="1200"/>
      <c r="R260" s="1213"/>
      <c r="S260" s="1213"/>
      <c r="T260" s="1213"/>
      <c r="U260" s="1213"/>
      <c r="V260" s="1213"/>
    </row>
    <row r="261" spans="1:22" ht="15" thickTop="1" thickBot="1" x14ac:dyDescent="0.3">
      <c r="A261" s="1207"/>
      <c r="B261" s="1212" t="s">
        <v>839</v>
      </c>
      <c r="C261" s="1212"/>
      <c r="D261" s="1212"/>
      <c r="E261" s="1212"/>
      <c r="F261" s="1208"/>
      <c r="G261" s="1208"/>
      <c r="H261" s="1208"/>
      <c r="I261" s="1209"/>
      <c r="J261" s="1209"/>
      <c r="K261" s="1210">
        <f t="shared" si="26"/>
        <v>1.05</v>
      </c>
      <c r="L261" s="1210">
        <f t="shared" si="100"/>
        <v>0</v>
      </c>
      <c r="M261" s="1197">
        <f t="shared" si="101"/>
        <v>0</v>
      </c>
      <c r="N261" s="1211">
        <f t="shared" si="102"/>
        <v>0</v>
      </c>
      <c r="O261" s="1212"/>
      <c r="P261" s="1200"/>
      <c r="Q261" s="1200"/>
      <c r="R261" s="1213"/>
      <c r="S261" s="1213"/>
      <c r="T261" s="1213"/>
      <c r="U261" s="1213"/>
      <c r="V261" s="1213"/>
    </row>
    <row r="262" spans="1:22" ht="15" thickTop="1" thickBot="1" x14ac:dyDescent="0.3">
      <c r="A262" s="1207"/>
      <c r="B262" s="1212" t="s">
        <v>837</v>
      </c>
      <c r="C262" s="1212"/>
      <c r="D262" s="1212"/>
      <c r="E262" s="1983">
        <v>1</v>
      </c>
      <c r="F262" s="1208">
        <f>F245+F245+H245+H245</f>
        <v>9.8000000000000007</v>
      </c>
      <c r="G262" s="1208"/>
      <c r="H262" s="1208"/>
      <c r="I262" s="1209">
        <f>F262*E262</f>
        <v>9.8000000000000007</v>
      </c>
      <c r="J262" s="1209"/>
      <c r="K262" s="1210">
        <f t="shared" si="26"/>
        <v>1.05</v>
      </c>
      <c r="L262" s="1210">
        <f t="shared" si="100"/>
        <v>0</v>
      </c>
      <c r="M262" s="1197">
        <f t="shared" si="101"/>
        <v>0</v>
      </c>
      <c r="N262" s="1211">
        <f t="shared" si="102"/>
        <v>0</v>
      </c>
      <c r="O262" s="1212"/>
      <c r="P262" s="1200"/>
      <c r="Q262" s="1200"/>
      <c r="R262" s="1213"/>
      <c r="S262" s="1213"/>
      <c r="T262" s="1213"/>
      <c r="U262" s="1213"/>
      <c r="V262" s="1213"/>
    </row>
    <row r="263" spans="1:22" ht="15" thickTop="1" thickBot="1" x14ac:dyDescent="0.3">
      <c r="A263" s="1207"/>
      <c r="B263" s="1212" t="s">
        <v>766</v>
      </c>
      <c r="C263" s="1212"/>
      <c r="D263" s="1212"/>
      <c r="E263" s="1983">
        <v>1</v>
      </c>
      <c r="F263" s="1208">
        <f t="shared" ref="F263:F275" si="103">F246+F246+H246+H246</f>
        <v>6.8999999999999995</v>
      </c>
      <c r="G263" s="1208"/>
      <c r="H263" s="1208"/>
      <c r="I263" s="1209">
        <f t="shared" ref="I263:I275" si="104">F263*E263</f>
        <v>6.8999999999999995</v>
      </c>
      <c r="J263" s="1209"/>
      <c r="K263" s="1210"/>
      <c r="L263" s="1210"/>
      <c r="M263" s="1197"/>
      <c r="N263" s="1211"/>
      <c r="O263" s="1212"/>
      <c r="P263" s="1200"/>
      <c r="Q263" s="1200"/>
      <c r="R263" s="1213"/>
      <c r="S263" s="1213"/>
      <c r="T263" s="1213"/>
      <c r="U263" s="1213"/>
      <c r="V263" s="1213"/>
    </row>
    <row r="264" spans="1:22" ht="15" thickTop="1" thickBot="1" x14ac:dyDescent="0.3">
      <c r="A264" s="1207"/>
      <c r="B264" s="1212" t="s">
        <v>770</v>
      </c>
      <c r="C264" s="1212"/>
      <c r="D264" s="1212"/>
      <c r="E264" s="1983">
        <v>1</v>
      </c>
      <c r="F264" s="1208">
        <f t="shared" si="103"/>
        <v>7.2</v>
      </c>
      <c r="G264" s="1208"/>
      <c r="H264" s="1208"/>
      <c r="I264" s="1209">
        <f t="shared" si="104"/>
        <v>7.2</v>
      </c>
      <c r="J264" s="1209"/>
      <c r="K264" s="1210"/>
      <c r="L264" s="1210"/>
      <c r="M264" s="1197"/>
      <c r="N264" s="1211"/>
      <c r="O264" s="1212"/>
      <c r="P264" s="1200"/>
      <c r="Q264" s="1200"/>
      <c r="R264" s="1213"/>
      <c r="S264" s="1213"/>
      <c r="T264" s="1213"/>
      <c r="U264" s="1213"/>
      <c r="V264" s="1213"/>
    </row>
    <row r="265" spans="1:22" ht="15" thickTop="1" thickBot="1" x14ac:dyDescent="0.3">
      <c r="A265" s="1207"/>
      <c r="B265" s="1212" t="s">
        <v>792</v>
      </c>
      <c r="C265" s="1212"/>
      <c r="D265" s="1212"/>
      <c r="E265" s="1983">
        <v>2</v>
      </c>
      <c r="F265" s="1208">
        <f t="shared" si="103"/>
        <v>5.8</v>
      </c>
      <c r="G265" s="1208"/>
      <c r="H265" s="1208"/>
      <c r="I265" s="1209">
        <f t="shared" si="104"/>
        <v>11.6</v>
      </c>
      <c r="J265" s="1209"/>
      <c r="K265" s="1210"/>
      <c r="L265" s="1210"/>
      <c r="M265" s="1197"/>
      <c r="N265" s="1211"/>
      <c r="O265" s="1212"/>
      <c r="P265" s="1200"/>
      <c r="Q265" s="1200"/>
      <c r="R265" s="1213"/>
      <c r="S265" s="1213"/>
      <c r="T265" s="1213"/>
      <c r="U265" s="1213"/>
      <c r="V265" s="1213"/>
    </row>
    <row r="266" spans="1:22" ht="15" thickTop="1" thickBot="1" x14ac:dyDescent="0.3">
      <c r="A266" s="1207"/>
      <c r="B266" s="1212" t="s">
        <v>773</v>
      </c>
      <c r="C266" s="1212"/>
      <c r="D266" s="1212"/>
      <c r="E266" s="1983">
        <v>2</v>
      </c>
      <c r="F266" s="1208">
        <f t="shared" si="103"/>
        <v>7.4</v>
      </c>
      <c r="G266" s="1208"/>
      <c r="H266" s="1208"/>
      <c r="I266" s="1209">
        <f t="shared" si="104"/>
        <v>14.8</v>
      </c>
      <c r="J266" s="1209"/>
      <c r="K266" s="1210">
        <f t="shared" si="26"/>
        <v>1.05</v>
      </c>
      <c r="L266" s="1210">
        <f t="shared" si="89"/>
        <v>0</v>
      </c>
      <c r="M266" s="1197">
        <f t="shared" si="90"/>
        <v>0</v>
      </c>
      <c r="N266" s="1211">
        <f t="shared" si="91"/>
        <v>0</v>
      </c>
      <c r="O266" s="1212"/>
      <c r="P266" s="1200"/>
      <c r="Q266" s="1200"/>
      <c r="R266" s="1213"/>
      <c r="S266" s="1213"/>
      <c r="T266" s="1213"/>
      <c r="U266" s="1213"/>
      <c r="V266" s="1213"/>
    </row>
    <row r="267" spans="1:22" ht="15" thickTop="1" thickBot="1" x14ac:dyDescent="0.3">
      <c r="A267" s="1207"/>
      <c r="B267" s="1212" t="s">
        <v>770</v>
      </c>
      <c r="C267" s="1212"/>
      <c r="D267" s="1212"/>
      <c r="E267" s="1983">
        <v>2</v>
      </c>
      <c r="F267" s="1208">
        <f t="shared" si="103"/>
        <v>7.2</v>
      </c>
      <c r="G267" s="1208"/>
      <c r="H267" s="1208"/>
      <c r="I267" s="1209">
        <f t="shared" si="104"/>
        <v>14.4</v>
      </c>
      <c r="J267" s="1209"/>
      <c r="K267" s="1210">
        <f t="shared" si="26"/>
        <v>1.05</v>
      </c>
      <c r="L267" s="1210">
        <f t="shared" si="89"/>
        <v>0</v>
      </c>
      <c r="M267" s="1197">
        <f t="shared" si="90"/>
        <v>0</v>
      </c>
      <c r="N267" s="1211">
        <f t="shared" si="91"/>
        <v>0</v>
      </c>
      <c r="O267" s="1212"/>
      <c r="P267" s="1200"/>
      <c r="Q267" s="1200"/>
      <c r="R267" s="1213"/>
      <c r="S267" s="1213"/>
      <c r="T267" s="1213"/>
      <c r="U267" s="1213"/>
      <c r="V267" s="1213"/>
    </row>
    <row r="268" spans="1:22" ht="15" thickTop="1" thickBot="1" x14ac:dyDescent="0.3">
      <c r="A268" s="1207"/>
      <c r="B268" s="1212" t="s">
        <v>766</v>
      </c>
      <c r="C268" s="1212"/>
      <c r="D268" s="1212"/>
      <c r="E268" s="1983">
        <v>1</v>
      </c>
      <c r="F268" s="1208">
        <f t="shared" si="103"/>
        <v>6.8999999999999995</v>
      </c>
      <c r="G268" s="1208"/>
      <c r="H268" s="1208"/>
      <c r="I268" s="1209">
        <f t="shared" si="104"/>
        <v>6.8999999999999995</v>
      </c>
      <c r="J268" s="1209"/>
      <c r="K268" s="1210">
        <f t="shared" si="26"/>
        <v>1.05</v>
      </c>
      <c r="L268" s="1210">
        <f t="shared" si="89"/>
        <v>0</v>
      </c>
      <c r="M268" s="1197">
        <f t="shared" si="90"/>
        <v>0</v>
      </c>
      <c r="N268" s="1211">
        <f t="shared" si="91"/>
        <v>0</v>
      </c>
      <c r="O268" s="1212"/>
      <c r="P268" s="1200"/>
      <c r="Q268" s="1200"/>
      <c r="R268" s="1213"/>
      <c r="S268" s="1213"/>
      <c r="T268" s="1213"/>
      <c r="U268" s="1213"/>
      <c r="V268" s="1213"/>
    </row>
    <row r="269" spans="1:22" ht="15" thickTop="1" thickBot="1" x14ac:dyDescent="0.3">
      <c r="A269" s="1207"/>
      <c r="B269" s="1212" t="s">
        <v>3152</v>
      </c>
      <c r="C269" s="1212"/>
      <c r="D269" s="1212"/>
      <c r="E269" s="1983">
        <v>1</v>
      </c>
      <c r="F269" s="1208">
        <f t="shared" si="103"/>
        <v>13.599999999999998</v>
      </c>
      <c r="G269" s="1208"/>
      <c r="H269" s="1208"/>
      <c r="I269" s="1209">
        <f t="shared" si="104"/>
        <v>13.599999999999998</v>
      </c>
      <c r="J269" s="1209"/>
      <c r="K269" s="1210"/>
      <c r="L269" s="1210"/>
      <c r="M269" s="1197"/>
      <c r="N269" s="1211"/>
      <c r="O269" s="1212"/>
      <c r="P269" s="1200"/>
      <c r="Q269" s="1200"/>
      <c r="R269" s="1213"/>
      <c r="S269" s="1213"/>
      <c r="T269" s="1213"/>
      <c r="U269" s="1213"/>
      <c r="V269" s="1213"/>
    </row>
    <row r="270" spans="1:22" ht="15" thickTop="1" thickBot="1" x14ac:dyDescent="0.3">
      <c r="A270" s="1207"/>
      <c r="B270" s="1212" t="s">
        <v>772</v>
      </c>
      <c r="C270" s="1212"/>
      <c r="D270" s="1212"/>
      <c r="E270" s="1983">
        <v>2</v>
      </c>
      <c r="F270" s="1208">
        <f t="shared" si="103"/>
        <v>12</v>
      </c>
      <c r="G270" s="1208"/>
      <c r="H270" s="1208"/>
      <c r="I270" s="1209">
        <f t="shared" si="104"/>
        <v>24</v>
      </c>
      <c r="J270" s="1209"/>
      <c r="K270" s="1210"/>
      <c r="L270" s="1210"/>
      <c r="M270" s="1197"/>
      <c r="N270" s="1211"/>
      <c r="O270" s="1212"/>
      <c r="P270" s="1200"/>
      <c r="Q270" s="1200"/>
      <c r="R270" s="1213"/>
      <c r="S270" s="1213"/>
      <c r="T270" s="1213"/>
      <c r="U270" s="1213"/>
      <c r="V270" s="1213"/>
    </row>
    <row r="271" spans="1:22" ht="15" thickTop="1" thickBot="1" x14ac:dyDescent="0.3">
      <c r="A271" s="1207"/>
      <c r="B271" s="1212" t="s">
        <v>3179</v>
      </c>
      <c r="C271" s="1212"/>
      <c r="D271" s="1212"/>
      <c r="E271" s="1983">
        <v>1</v>
      </c>
      <c r="F271" s="1208">
        <f t="shared" si="103"/>
        <v>8.8000000000000007</v>
      </c>
      <c r="G271" s="1208"/>
      <c r="H271" s="1208"/>
      <c r="I271" s="1209">
        <f t="shared" si="104"/>
        <v>8.8000000000000007</v>
      </c>
      <c r="J271" s="1209"/>
      <c r="K271" s="1210">
        <f t="shared" ref="K271:K325" si="105">$K$2</f>
        <v>1.05</v>
      </c>
      <c r="L271" s="1210">
        <f t="shared" si="89"/>
        <v>0</v>
      </c>
      <c r="M271" s="1197">
        <f t="shared" si="90"/>
        <v>0</v>
      </c>
      <c r="N271" s="1211">
        <f t="shared" si="91"/>
        <v>0</v>
      </c>
      <c r="O271" s="1212"/>
      <c r="P271" s="1200"/>
      <c r="Q271" s="1200"/>
      <c r="R271" s="1213"/>
      <c r="S271" s="1213"/>
      <c r="T271" s="1213"/>
      <c r="U271" s="1213"/>
      <c r="V271" s="1213"/>
    </row>
    <row r="272" spans="1:22" ht="15" thickTop="1" thickBot="1" x14ac:dyDescent="0.3">
      <c r="A272" s="1207"/>
      <c r="B272" s="1212" t="s">
        <v>765</v>
      </c>
      <c r="C272" s="1212"/>
      <c r="D272" s="1212"/>
      <c r="E272" s="1983">
        <v>1</v>
      </c>
      <c r="F272" s="1208">
        <f t="shared" si="103"/>
        <v>8.4</v>
      </c>
      <c r="G272" s="1208"/>
      <c r="H272" s="1208"/>
      <c r="I272" s="1209">
        <f t="shared" si="104"/>
        <v>8.4</v>
      </c>
      <c r="J272" s="1209"/>
      <c r="K272" s="1210">
        <f t="shared" si="105"/>
        <v>1.05</v>
      </c>
      <c r="L272" s="1210">
        <f t="shared" si="89"/>
        <v>0</v>
      </c>
      <c r="M272" s="1197">
        <f t="shared" si="90"/>
        <v>0</v>
      </c>
      <c r="N272" s="1211">
        <f t="shared" si="91"/>
        <v>0</v>
      </c>
      <c r="O272" s="1212"/>
      <c r="P272" s="1200"/>
      <c r="Q272" s="1200"/>
      <c r="R272" s="1213"/>
      <c r="S272" s="1213"/>
      <c r="T272" s="1213"/>
      <c r="U272" s="1213"/>
      <c r="V272" s="1213"/>
    </row>
    <row r="273" spans="1:22" ht="15" thickTop="1" thickBot="1" x14ac:dyDescent="0.3">
      <c r="A273" s="1207"/>
      <c r="B273" s="1212" t="s">
        <v>764</v>
      </c>
      <c r="C273" s="1212"/>
      <c r="D273" s="1212"/>
      <c r="E273" s="1983">
        <v>2</v>
      </c>
      <c r="F273" s="1208">
        <f t="shared" si="103"/>
        <v>8.9</v>
      </c>
      <c r="G273" s="1208"/>
      <c r="H273" s="1208"/>
      <c r="I273" s="1209">
        <f t="shared" si="104"/>
        <v>17.8</v>
      </c>
      <c r="J273" s="1209"/>
      <c r="K273" s="1210">
        <f t="shared" si="105"/>
        <v>1.05</v>
      </c>
      <c r="L273" s="1210">
        <f t="shared" si="89"/>
        <v>0</v>
      </c>
      <c r="M273" s="1197">
        <f t="shared" si="90"/>
        <v>0</v>
      </c>
      <c r="N273" s="1211">
        <f t="shared" si="91"/>
        <v>0</v>
      </c>
      <c r="O273" s="1212"/>
      <c r="P273" s="1200"/>
      <c r="Q273" s="1200"/>
      <c r="R273" s="1213"/>
      <c r="S273" s="1213"/>
      <c r="T273" s="1213"/>
      <c r="U273" s="1213"/>
      <c r="V273" s="1213"/>
    </row>
    <row r="274" spans="1:22" ht="15" thickTop="1" thickBot="1" x14ac:dyDescent="0.3">
      <c r="A274" s="1207"/>
      <c r="B274" s="1212" t="s">
        <v>763</v>
      </c>
      <c r="C274" s="1212"/>
      <c r="D274" s="1212"/>
      <c r="E274" s="1983">
        <v>1</v>
      </c>
      <c r="F274" s="1208">
        <f t="shared" si="103"/>
        <v>7.4</v>
      </c>
      <c r="G274" s="1208"/>
      <c r="H274" s="1208"/>
      <c r="I274" s="1209">
        <f t="shared" si="104"/>
        <v>7.4</v>
      </c>
      <c r="J274" s="1209"/>
      <c r="K274" s="1210">
        <f t="shared" si="105"/>
        <v>1.05</v>
      </c>
      <c r="L274" s="1210">
        <f t="shared" si="89"/>
        <v>0</v>
      </c>
      <c r="M274" s="1197">
        <f t="shared" si="90"/>
        <v>0</v>
      </c>
      <c r="N274" s="1211">
        <f t="shared" si="91"/>
        <v>0</v>
      </c>
      <c r="O274" s="1212"/>
      <c r="P274" s="1200"/>
      <c r="Q274" s="1200"/>
      <c r="R274" s="1213"/>
      <c r="S274" s="1213"/>
      <c r="T274" s="1213"/>
      <c r="U274" s="1213"/>
      <c r="V274" s="1213"/>
    </row>
    <row r="275" spans="1:22" ht="15" thickTop="1" thickBot="1" x14ac:dyDescent="0.3">
      <c r="A275" s="1207"/>
      <c r="B275" s="1212" t="s">
        <v>762</v>
      </c>
      <c r="C275" s="1212"/>
      <c r="D275" s="1212"/>
      <c r="E275" s="1983">
        <v>1</v>
      </c>
      <c r="F275" s="1208">
        <f t="shared" si="103"/>
        <v>11.2</v>
      </c>
      <c r="G275" s="1208"/>
      <c r="H275" s="1208"/>
      <c r="I275" s="1209">
        <f t="shared" si="104"/>
        <v>11.2</v>
      </c>
      <c r="J275" s="1209"/>
      <c r="K275" s="1210">
        <f t="shared" si="105"/>
        <v>1.05</v>
      </c>
      <c r="L275" s="1210">
        <f t="shared" si="89"/>
        <v>0</v>
      </c>
      <c r="M275" s="1197">
        <f t="shared" si="90"/>
        <v>0</v>
      </c>
      <c r="N275" s="1211">
        <f t="shared" si="91"/>
        <v>0</v>
      </c>
      <c r="O275" s="1212"/>
      <c r="P275" s="1200"/>
      <c r="Q275" s="1200"/>
      <c r="R275" s="1213"/>
      <c r="S275" s="1213"/>
      <c r="T275" s="1213"/>
      <c r="U275" s="1213"/>
      <c r="V275" s="1213"/>
    </row>
    <row r="276" spans="1:22" ht="15" thickTop="1" thickBot="1" x14ac:dyDescent="0.3">
      <c r="A276" s="1207"/>
      <c r="B276" s="1212"/>
      <c r="C276" s="1212"/>
      <c r="D276" s="1212"/>
      <c r="E276" s="1212"/>
      <c r="F276" s="1208"/>
      <c r="G276" s="1208"/>
      <c r="H276" s="1208"/>
      <c r="I276" s="1209"/>
      <c r="J276" s="1209">
        <f>SUM(I262:I275)</f>
        <v>162.80000000000001</v>
      </c>
      <c r="K276" s="1210">
        <v>1</v>
      </c>
      <c r="L276" s="1210">
        <f t="shared" si="89"/>
        <v>162.80000000000001</v>
      </c>
      <c r="M276" s="1197">
        <f t="shared" si="90"/>
        <v>162.80000000000001</v>
      </c>
      <c r="N276" s="1211">
        <f t="shared" si="91"/>
        <v>163</v>
      </c>
      <c r="O276" s="1212"/>
      <c r="P276" s="1200"/>
      <c r="Q276" s="1200"/>
      <c r="R276" s="1213"/>
      <c r="S276" s="1213"/>
      <c r="T276" s="1213"/>
      <c r="U276" s="1213"/>
      <c r="V276" s="1213"/>
    </row>
    <row r="277" spans="1:22" ht="15" thickTop="1" thickBot="1" x14ac:dyDescent="0.3">
      <c r="A277" s="1207"/>
      <c r="B277" s="1212"/>
      <c r="C277" s="1212"/>
      <c r="D277" s="1212"/>
      <c r="E277" s="1212"/>
      <c r="F277" s="1208"/>
      <c r="G277" s="1208"/>
      <c r="H277" s="1208"/>
      <c r="I277" s="1209"/>
      <c r="J277" s="1209"/>
      <c r="K277" s="1210">
        <f t="shared" si="105"/>
        <v>1.05</v>
      </c>
      <c r="L277" s="1210">
        <f t="shared" si="89"/>
        <v>0</v>
      </c>
      <c r="M277" s="1197">
        <f t="shared" si="90"/>
        <v>0</v>
      </c>
      <c r="N277" s="1211">
        <f t="shared" si="91"/>
        <v>0</v>
      </c>
      <c r="O277" s="1212"/>
      <c r="P277" s="1200"/>
      <c r="Q277" s="1200"/>
      <c r="R277" s="1213"/>
      <c r="S277" s="1213"/>
      <c r="T277" s="1213"/>
      <c r="U277" s="1213"/>
      <c r="V277" s="1213"/>
    </row>
    <row r="278" spans="1:22" ht="15" thickTop="1" thickBot="1" x14ac:dyDescent="0.3">
      <c r="A278" s="1207"/>
      <c r="B278" s="1212" t="s">
        <v>1473</v>
      </c>
      <c r="C278" s="1212"/>
      <c r="D278" s="1212"/>
      <c r="E278" s="1212"/>
      <c r="F278" s="1208">
        <v>114</v>
      </c>
      <c r="G278" s="1208"/>
      <c r="H278" s="1208">
        <v>3.3</v>
      </c>
      <c r="I278" s="1209">
        <f>H278*F278</f>
        <v>376.2</v>
      </c>
      <c r="J278" s="1209"/>
      <c r="K278" s="1210">
        <f t="shared" si="105"/>
        <v>1.05</v>
      </c>
      <c r="L278" s="1210">
        <f t="shared" si="89"/>
        <v>0</v>
      </c>
      <c r="M278" s="1197">
        <f t="shared" si="90"/>
        <v>0</v>
      </c>
      <c r="N278" s="1211">
        <f t="shared" si="91"/>
        <v>0</v>
      </c>
      <c r="O278" s="1212"/>
      <c r="P278" s="1200"/>
      <c r="Q278" s="1200"/>
      <c r="R278" s="1213"/>
      <c r="S278" s="1213"/>
      <c r="T278" s="1213"/>
      <c r="U278" s="1213"/>
      <c r="V278" s="1213"/>
    </row>
    <row r="279" spans="1:22" ht="15" thickTop="1" thickBot="1" x14ac:dyDescent="0.3">
      <c r="A279" s="1207"/>
      <c r="B279" s="1212" t="s">
        <v>846</v>
      </c>
      <c r="C279" s="1212"/>
      <c r="D279" s="1212"/>
      <c r="E279" s="1212"/>
      <c r="F279" s="1208"/>
      <c r="G279" s="1208"/>
      <c r="H279" s="1208"/>
      <c r="I279" s="1209"/>
      <c r="J279" s="1209"/>
      <c r="K279" s="1210">
        <f t="shared" si="105"/>
        <v>1.05</v>
      </c>
      <c r="L279" s="1210">
        <f t="shared" si="89"/>
        <v>0</v>
      </c>
      <c r="M279" s="1197">
        <f t="shared" si="90"/>
        <v>0</v>
      </c>
      <c r="N279" s="1211">
        <f t="shared" si="91"/>
        <v>0</v>
      </c>
      <c r="O279" s="1212"/>
      <c r="P279" s="1200"/>
      <c r="Q279" s="1200"/>
      <c r="R279" s="1213"/>
      <c r="S279" s="1213"/>
      <c r="T279" s="1213"/>
      <c r="U279" s="1213"/>
      <c r="V279" s="1213"/>
    </row>
    <row r="280" spans="1:22" ht="15" thickTop="1" thickBot="1" x14ac:dyDescent="0.3">
      <c r="A280" s="1207"/>
      <c r="B280" s="1212" t="s">
        <v>3278</v>
      </c>
      <c r="C280" s="1212"/>
      <c r="D280" s="1212"/>
      <c r="E280" s="1983">
        <v>1</v>
      </c>
      <c r="F280" s="1208">
        <v>2.2000000000000002</v>
      </c>
      <c r="G280" s="1208"/>
      <c r="H280" s="1208">
        <v>2.7</v>
      </c>
      <c r="I280" s="1209">
        <f t="shared" ref="I280:I285" si="106">-H280*F280*E280</f>
        <v>-5.9400000000000013</v>
      </c>
      <c r="J280" s="1209"/>
      <c r="K280" s="1210">
        <f t="shared" si="105"/>
        <v>1.05</v>
      </c>
      <c r="L280" s="1210">
        <f t="shared" si="89"/>
        <v>0</v>
      </c>
      <c r="M280" s="1197">
        <f t="shared" si="90"/>
        <v>0</v>
      </c>
      <c r="N280" s="1211">
        <f t="shared" si="91"/>
        <v>0</v>
      </c>
      <c r="O280" s="1212"/>
      <c r="P280" s="1200"/>
      <c r="Q280" s="1200"/>
      <c r="R280" s="1213"/>
      <c r="S280" s="1213"/>
      <c r="T280" s="1213"/>
      <c r="U280" s="1213"/>
      <c r="V280" s="1213"/>
    </row>
    <row r="281" spans="1:22" ht="15" thickTop="1" thickBot="1" x14ac:dyDescent="0.3">
      <c r="A281" s="1207"/>
      <c r="B281" s="1212" t="s">
        <v>3148</v>
      </c>
      <c r="C281" s="1212"/>
      <c r="D281" s="1212"/>
      <c r="E281" s="1983">
        <v>1</v>
      </c>
      <c r="F281" s="1208">
        <v>4.4000000000000004</v>
      </c>
      <c r="G281" s="1208"/>
      <c r="H281" s="1208">
        <v>2.7</v>
      </c>
      <c r="I281" s="1209">
        <f t="shared" si="106"/>
        <v>-11.880000000000003</v>
      </c>
      <c r="J281" s="1209"/>
      <c r="K281" s="1210">
        <f t="shared" si="105"/>
        <v>1.05</v>
      </c>
      <c r="L281" s="1210">
        <f t="shared" si="89"/>
        <v>0</v>
      </c>
      <c r="M281" s="1197">
        <f t="shared" si="90"/>
        <v>0</v>
      </c>
      <c r="N281" s="1211">
        <f t="shared" si="91"/>
        <v>0</v>
      </c>
      <c r="O281" s="1212"/>
      <c r="P281" s="1200"/>
      <c r="Q281" s="1200"/>
      <c r="R281" s="1213"/>
      <c r="S281" s="1213"/>
      <c r="T281" s="1213"/>
      <c r="U281" s="1213"/>
      <c r="V281" s="1213"/>
    </row>
    <row r="282" spans="1:22" ht="15" thickTop="1" thickBot="1" x14ac:dyDescent="0.3">
      <c r="A282" s="1207"/>
      <c r="B282" s="1212" t="s">
        <v>792</v>
      </c>
      <c r="C282" s="1212"/>
      <c r="D282" s="1212"/>
      <c r="E282" s="1983">
        <v>3</v>
      </c>
      <c r="F282" s="1208">
        <v>2.2000000000000002</v>
      </c>
      <c r="G282" s="1208"/>
      <c r="H282" s="1208">
        <v>2.7</v>
      </c>
      <c r="I282" s="1209">
        <f t="shared" si="106"/>
        <v>-17.820000000000004</v>
      </c>
      <c r="J282" s="1209"/>
      <c r="K282" s="1210">
        <f t="shared" si="105"/>
        <v>1.05</v>
      </c>
      <c r="L282" s="1210">
        <f t="shared" si="89"/>
        <v>0</v>
      </c>
      <c r="M282" s="1197">
        <f t="shared" si="90"/>
        <v>0</v>
      </c>
      <c r="N282" s="1211">
        <f t="shared" si="91"/>
        <v>0</v>
      </c>
      <c r="O282" s="1212"/>
      <c r="P282" s="1200"/>
      <c r="Q282" s="1200"/>
      <c r="R282" s="1213"/>
      <c r="S282" s="1213"/>
      <c r="T282" s="1213"/>
      <c r="U282" s="1213"/>
      <c r="V282" s="1213"/>
    </row>
    <row r="283" spans="1:22" ht="15" thickTop="1" thickBot="1" x14ac:dyDescent="0.3">
      <c r="A283" s="1207"/>
      <c r="B283" s="1212" t="s">
        <v>773</v>
      </c>
      <c r="C283" s="1212"/>
      <c r="D283" s="1212"/>
      <c r="E283" s="1983">
        <v>6</v>
      </c>
      <c r="F283" s="1208">
        <v>1</v>
      </c>
      <c r="G283" s="1208"/>
      <c r="H283" s="1208">
        <v>2.7</v>
      </c>
      <c r="I283" s="1209">
        <f t="shared" si="106"/>
        <v>-16.200000000000003</v>
      </c>
      <c r="J283" s="1209"/>
      <c r="K283" s="1210">
        <f t="shared" si="105"/>
        <v>1.05</v>
      </c>
      <c r="L283" s="1210">
        <f t="shared" si="89"/>
        <v>0</v>
      </c>
      <c r="M283" s="1197">
        <f t="shared" si="90"/>
        <v>0</v>
      </c>
      <c r="N283" s="1211">
        <f t="shared" si="91"/>
        <v>0</v>
      </c>
      <c r="O283" s="1212"/>
      <c r="P283" s="1200"/>
      <c r="Q283" s="1200"/>
      <c r="R283" s="1213"/>
      <c r="S283" s="1213"/>
      <c r="T283" s="1213"/>
      <c r="U283" s="1213"/>
      <c r="V283" s="1213"/>
    </row>
    <row r="284" spans="1:22" ht="15" thickTop="1" thickBot="1" x14ac:dyDescent="0.3">
      <c r="A284" s="1207"/>
      <c r="B284" s="1212" t="s">
        <v>3279</v>
      </c>
      <c r="C284" s="1212"/>
      <c r="D284" s="1212"/>
      <c r="E284" s="1983">
        <v>1</v>
      </c>
      <c r="F284" s="1208">
        <v>0.8</v>
      </c>
      <c r="G284" s="1208"/>
      <c r="H284" s="1208">
        <v>2.7</v>
      </c>
      <c r="I284" s="1209">
        <f t="shared" si="106"/>
        <v>-2.16</v>
      </c>
      <c r="J284" s="1209"/>
      <c r="K284" s="1210">
        <f t="shared" si="105"/>
        <v>1.05</v>
      </c>
      <c r="L284" s="1210">
        <f t="shared" si="89"/>
        <v>0</v>
      </c>
      <c r="M284" s="1197">
        <f t="shared" si="90"/>
        <v>0</v>
      </c>
      <c r="N284" s="1211">
        <f t="shared" si="91"/>
        <v>0</v>
      </c>
      <c r="O284" s="1212"/>
      <c r="P284" s="1200"/>
      <c r="Q284" s="1200"/>
      <c r="R284" s="1213"/>
      <c r="S284" s="1213"/>
      <c r="T284" s="1213"/>
      <c r="U284" s="1213"/>
      <c r="V284" s="1213"/>
    </row>
    <row r="285" spans="1:22" ht="15" thickTop="1" thickBot="1" x14ac:dyDescent="0.3">
      <c r="A285" s="1207"/>
      <c r="B285" s="1212" t="s">
        <v>3280</v>
      </c>
      <c r="C285" s="1212"/>
      <c r="D285" s="1212"/>
      <c r="E285" s="1983">
        <v>1</v>
      </c>
      <c r="F285" s="1208">
        <v>2</v>
      </c>
      <c r="G285" s="1208"/>
      <c r="H285" s="1208">
        <v>2.7</v>
      </c>
      <c r="I285" s="1209">
        <f t="shared" si="106"/>
        <v>-5.4</v>
      </c>
      <c r="J285" s="1209"/>
      <c r="K285" s="1210">
        <f t="shared" si="105"/>
        <v>1.05</v>
      </c>
      <c r="L285" s="1210">
        <f t="shared" si="89"/>
        <v>0</v>
      </c>
      <c r="M285" s="1197">
        <f t="shared" si="90"/>
        <v>0</v>
      </c>
      <c r="N285" s="1211">
        <f t="shared" si="91"/>
        <v>0</v>
      </c>
      <c r="O285" s="1212"/>
      <c r="P285" s="1200"/>
      <c r="Q285" s="1200"/>
      <c r="R285" s="1213"/>
      <c r="S285" s="1213"/>
      <c r="T285" s="1213"/>
      <c r="U285" s="1213"/>
      <c r="V285" s="1213"/>
    </row>
    <row r="286" spans="1:22" ht="15" thickTop="1" thickBot="1" x14ac:dyDescent="0.3">
      <c r="A286" s="1207"/>
      <c r="B286" s="1212" t="s">
        <v>768</v>
      </c>
      <c r="C286" s="1212"/>
      <c r="D286" s="1212"/>
      <c r="E286" s="1983">
        <v>2</v>
      </c>
      <c r="F286" s="1208">
        <v>4.04</v>
      </c>
      <c r="G286" s="1208"/>
      <c r="H286" s="1208">
        <v>2.7</v>
      </c>
      <c r="I286" s="1209">
        <f>-H286*F286*E286</f>
        <v>-21.816000000000003</v>
      </c>
      <c r="J286" s="1209"/>
      <c r="K286" s="1210">
        <f t="shared" si="105"/>
        <v>1.05</v>
      </c>
      <c r="L286" s="1210">
        <f t="shared" si="89"/>
        <v>0</v>
      </c>
      <c r="M286" s="1197">
        <f t="shared" si="90"/>
        <v>0</v>
      </c>
      <c r="N286" s="1211">
        <f t="shared" si="91"/>
        <v>0</v>
      </c>
      <c r="O286" s="1212"/>
      <c r="P286" s="1200"/>
      <c r="Q286" s="1200"/>
      <c r="R286" s="1213"/>
      <c r="S286" s="1213"/>
      <c r="T286" s="1213"/>
      <c r="U286" s="1213"/>
      <c r="V286" s="1213"/>
    </row>
    <row r="287" spans="1:22" ht="15" thickTop="1" thickBot="1" x14ac:dyDescent="0.3">
      <c r="A287" s="1207"/>
      <c r="B287" s="1212" t="s">
        <v>3172</v>
      </c>
      <c r="C287" s="1212"/>
      <c r="D287" s="1212"/>
      <c r="E287" s="1983">
        <v>1</v>
      </c>
      <c r="F287" s="1208">
        <v>2</v>
      </c>
      <c r="G287" s="1208"/>
      <c r="H287" s="1208">
        <v>2.7</v>
      </c>
      <c r="I287" s="1209">
        <f t="shared" ref="I287:I288" si="107">-H287*F287*E287</f>
        <v>-5.4</v>
      </c>
      <c r="J287" s="1209"/>
      <c r="K287" s="1210">
        <f t="shared" si="105"/>
        <v>1.05</v>
      </c>
      <c r="L287" s="1210">
        <f t="shared" si="89"/>
        <v>0</v>
      </c>
      <c r="M287" s="1197">
        <f t="shared" si="90"/>
        <v>0</v>
      </c>
      <c r="N287" s="1211">
        <f t="shared" si="91"/>
        <v>0</v>
      </c>
      <c r="O287" s="1212"/>
      <c r="P287" s="1200"/>
      <c r="Q287" s="1200"/>
      <c r="R287" s="1213"/>
      <c r="S287" s="1213"/>
      <c r="T287" s="1213"/>
      <c r="U287" s="1213"/>
      <c r="V287" s="1213"/>
    </row>
    <row r="288" spans="1:22" ht="15" thickTop="1" thickBot="1" x14ac:dyDescent="0.3">
      <c r="A288" s="1207"/>
      <c r="B288" s="1212" t="s">
        <v>837</v>
      </c>
      <c r="C288" s="1212"/>
      <c r="D288" s="1212"/>
      <c r="E288" s="1983">
        <v>1</v>
      </c>
      <c r="F288" s="1208">
        <v>2.2000000000000002</v>
      </c>
      <c r="G288" s="1208"/>
      <c r="H288" s="1208">
        <v>2.7</v>
      </c>
      <c r="I288" s="1209">
        <f t="shared" si="107"/>
        <v>-5.9400000000000013</v>
      </c>
      <c r="J288" s="1209"/>
      <c r="K288" s="1210">
        <f t="shared" si="105"/>
        <v>1.05</v>
      </c>
      <c r="L288" s="1210">
        <f t="shared" si="89"/>
        <v>0</v>
      </c>
      <c r="M288" s="1197">
        <f t="shared" si="90"/>
        <v>0</v>
      </c>
      <c r="N288" s="1211">
        <f t="shared" si="91"/>
        <v>0</v>
      </c>
      <c r="O288" s="1212"/>
      <c r="P288" s="1200"/>
      <c r="Q288" s="1200"/>
      <c r="R288" s="1213"/>
      <c r="S288" s="1213"/>
      <c r="T288" s="1213"/>
      <c r="U288" s="1213"/>
      <c r="V288" s="1213"/>
    </row>
    <row r="289" spans="1:22" ht="15" thickTop="1" thickBot="1" x14ac:dyDescent="0.3">
      <c r="A289" s="1207"/>
      <c r="B289" s="1212"/>
      <c r="C289" s="1212"/>
      <c r="D289" s="1212"/>
      <c r="E289" s="1212"/>
      <c r="F289" s="1208"/>
      <c r="G289" s="1208"/>
      <c r="H289" s="1208"/>
      <c r="I289" s="1209"/>
      <c r="J289" s="1209">
        <f>SUM(I278:I288)</f>
        <v>283.64400000000006</v>
      </c>
      <c r="K289" s="1210">
        <f t="shared" si="105"/>
        <v>1.05</v>
      </c>
      <c r="L289" s="1210">
        <f t="shared" si="89"/>
        <v>297.82620000000009</v>
      </c>
      <c r="M289" s="1197">
        <f t="shared" si="90"/>
        <v>297.8</v>
      </c>
      <c r="N289" s="1211">
        <f t="shared" si="91"/>
        <v>298</v>
      </c>
      <c r="O289" s="1212"/>
      <c r="P289" s="1200"/>
      <c r="Q289" s="1200"/>
      <c r="R289" s="1213"/>
      <c r="S289" s="1213"/>
      <c r="T289" s="1213"/>
      <c r="U289" s="1213"/>
      <c r="V289" s="1213"/>
    </row>
    <row r="290" spans="1:22" ht="15" thickTop="1" thickBot="1" x14ac:dyDescent="0.3">
      <c r="A290" s="1207"/>
      <c r="B290" s="1212"/>
      <c r="C290" s="1212"/>
      <c r="D290" s="1212"/>
      <c r="E290" s="1212"/>
      <c r="F290" s="1208"/>
      <c r="G290" s="1208"/>
      <c r="H290" s="1208"/>
      <c r="I290" s="1209"/>
      <c r="J290" s="1209"/>
      <c r="K290" s="1210">
        <f t="shared" si="105"/>
        <v>1.05</v>
      </c>
      <c r="L290" s="1210">
        <f t="shared" si="89"/>
        <v>0</v>
      </c>
      <c r="M290" s="1197">
        <f t="shared" si="90"/>
        <v>0</v>
      </c>
      <c r="N290" s="1211">
        <f t="shared" si="91"/>
        <v>0</v>
      </c>
      <c r="O290" s="1212"/>
      <c r="P290" s="1200"/>
      <c r="Q290" s="1200"/>
      <c r="R290" s="1213"/>
      <c r="S290" s="1213"/>
      <c r="T290" s="1213"/>
      <c r="U290" s="1213"/>
      <c r="V290" s="1213"/>
    </row>
    <row r="291" spans="1:22" ht="15" thickTop="1" thickBot="1" x14ac:dyDescent="0.3">
      <c r="A291" s="1207"/>
      <c r="B291" s="1212" t="s">
        <v>839</v>
      </c>
      <c r="C291" s="1212"/>
      <c r="D291" s="1212"/>
      <c r="E291" s="1212"/>
      <c r="F291" s="1208"/>
      <c r="G291" s="1208"/>
      <c r="H291" s="1208"/>
      <c r="I291" s="1209"/>
      <c r="J291" s="1209"/>
      <c r="K291" s="1210">
        <f t="shared" si="105"/>
        <v>1.05</v>
      </c>
      <c r="L291" s="1210">
        <f t="shared" si="89"/>
        <v>0</v>
      </c>
      <c r="M291" s="1197">
        <f t="shared" si="90"/>
        <v>0</v>
      </c>
      <c r="N291" s="1211">
        <f t="shared" si="91"/>
        <v>0</v>
      </c>
      <c r="O291" s="1212"/>
      <c r="P291" s="1200"/>
      <c r="Q291" s="1200"/>
      <c r="R291" s="1213"/>
      <c r="S291" s="1213"/>
      <c r="T291" s="1213"/>
      <c r="U291" s="1213"/>
      <c r="V291" s="1213"/>
    </row>
    <row r="292" spans="1:22" ht="15" thickTop="1" thickBot="1" x14ac:dyDescent="0.3">
      <c r="A292" s="1207"/>
      <c r="B292" s="1212" t="s">
        <v>3278</v>
      </c>
      <c r="C292" s="1212"/>
      <c r="D292" s="1212"/>
      <c r="E292" s="1983">
        <v>1</v>
      </c>
      <c r="F292" s="1208">
        <f>F280+F280+H280+H280</f>
        <v>9.8000000000000007</v>
      </c>
      <c r="G292" s="1208"/>
      <c r="H292" s="1208"/>
      <c r="I292" s="1209">
        <f>F292*E292</f>
        <v>9.8000000000000007</v>
      </c>
      <c r="J292" s="1209"/>
      <c r="K292" s="1210">
        <f t="shared" si="105"/>
        <v>1.05</v>
      </c>
      <c r="L292" s="1210">
        <f t="shared" si="89"/>
        <v>0</v>
      </c>
      <c r="M292" s="1197">
        <f t="shared" si="90"/>
        <v>0</v>
      </c>
      <c r="N292" s="1211">
        <f t="shared" si="91"/>
        <v>0</v>
      </c>
      <c r="O292" s="1212"/>
      <c r="P292" s="1200"/>
      <c r="Q292" s="1200"/>
      <c r="R292" s="1213"/>
      <c r="S292" s="1213"/>
      <c r="T292" s="1213"/>
      <c r="U292" s="1213"/>
      <c r="V292" s="1213"/>
    </row>
    <row r="293" spans="1:22" ht="15" thickTop="1" thickBot="1" x14ac:dyDescent="0.3">
      <c r="A293" s="1207"/>
      <c r="B293" s="1212" t="s">
        <v>3148</v>
      </c>
      <c r="C293" s="1212"/>
      <c r="D293" s="1212"/>
      <c r="E293" s="1983">
        <v>1</v>
      </c>
      <c r="F293" s="1208">
        <f t="shared" ref="F293:F300" si="108">F281+F281+H281+H281</f>
        <v>14.2</v>
      </c>
      <c r="G293" s="1208"/>
      <c r="H293" s="1208"/>
      <c r="I293" s="1209">
        <f t="shared" ref="I293:I300" si="109">F293*E293</f>
        <v>14.2</v>
      </c>
      <c r="J293" s="1209"/>
      <c r="K293" s="1210">
        <f t="shared" si="105"/>
        <v>1.05</v>
      </c>
      <c r="L293" s="1210">
        <f t="shared" si="89"/>
        <v>0</v>
      </c>
      <c r="M293" s="1197">
        <f t="shared" si="90"/>
        <v>0</v>
      </c>
      <c r="N293" s="1211">
        <f t="shared" si="91"/>
        <v>0</v>
      </c>
      <c r="O293" s="1212"/>
      <c r="P293" s="1200"/>
      <c r="Q293" s="1200"/>
      <c r="R293" s="1213"/>
      <c r="S293" s="1213"/>
      <c r="T293" s="1213"/>
      <c r="U293" s="1213"/>
      <c r="V293" s="1213"/>
    </row>
    <row r="294" spans="1:22" ht="15" thickTop="1" thickBot="1" x14ac:dyDescent="0.3">
      <c r="A294" s="1207"/>
      <c r="B294" s="1212" t="s">
        <v>792</v>
      </c>
      <c r="C294" s="1212"/>
      <c r="D294" s="1212"/>
      <c r="E294" s="1983">
        <v>3</v>
      </c>
      <c r="F294" s="1208">
        <f t="shared" si="108"/>
        <v>9.8000000000000007</v>
      </c>
      <c r="G294" s="1208"/>
      <c r="H294" s="1208"/>
      <c r="I294" s="1209">
        <f t="shared" si="109"/>
        <v>29.400000000000002</v>
      </c>
      <c r="J294" s="1209"/>
      <c r="K294" s="1210">
        <f t="shared" si="105"/>
        <v>1.05</v>
      </c>
      <c r="L294" s="1210">
        <f t="shared" si="89"/>
        <v>0</v>
      </c>
      <c r="M294" s="1197">
        <f t="shared" si="90"/>
        <v>0</v>
      </c>
      <c r="N294" s="1211">
        <f t="shared" si="91"/>
        <v>0</v>
      </c>
      <c r="O294" s="1212"/>
      <c r="P294" s="1200"/>
      <c r="Q294" s="1200"/>
      <c r="R294" s="1213"/>
      <c r="S294" s="1213"/>
      <c r="T294" s="1213"/>
      <c r="U294" s="1213"/>
      <c r="V294" s="1213"/>
    </row>
    <row r="295" spans="1:22" ht="15" thickTop="1" thickBot="1" x14ac:dyDescent="0.3">
      <c r="A295" s="1207"/>
      <c r="B295" s="1212" t="s">
        <v>773</v>
      </c>
      <c r="C295" s="1212"/>
      <c r="D295" s="1212"/>
      <c r="E295" s="1983">
        <v>6</v>
      </c>
      <c r="F295" s="1208">
        <f t="shared" si="108"/>
        <v>7.4</v>
      </c>
      <c r="G295" s="1208"/>
      <c r="H295" s="1208"/>
      <c r="I295" s="1209">
        <f t="shared" si="109"/>
        <v>44.400000000000006</v>
      </c>
      <c r="J295" s="1209"/>
      <c r="K295" s="1210">
        <f t="shared" si="105"/>
        <v>1.05</v>
      </c>
      <c r="L295" s="1210">
        <f t="shared" si="89"/>
        <v>0</v>
      </c>
      <c r="M295" s="1197">
        <f t="shared" si="90"/>
        <v>0</v>
      </c>
      <c r="N295" s="1211">
        <f t="shared" si="91"/>
        <v>0</v>
      </c>
      <c r="O295" s="1212"/>
      <c r="P295" s="1200"/>
      <c r="Q295" s="1200"/>
      <c r="R295" s="1213"/>
      <c r="S295" s="1213"/>
      <c r="T295" s="1213"/>
      <c r="U295" s="1213"/>
      <c r="V295" s="1213"/>
    </row>
    <row r="296" spans="1:22" ht="15" thickTop="1" thickBot="1" x14ac:dyDescent="0.3">
      <c r="A296" s="1207"/>
      <c r="B296" s="1212" t="s">
        <v>3279</v>
      </c>
      <c r="C296" s="1212"/>
      <c r="D296" s="1212"/>
      <c r="E296" s="1983">
        <v>1</v>
      </c>
      <c r="F296" s="1208">
        <f t="shared" si="108"/>
        <v>7.0000000000000009</v>
      </c>
      <c r="G296" s="1208"/>
      <c r="H296" s="1208"/>
      <c r="I296" s="1209">
        <f t="shared" si="109"/>
        <v>7.0000000000000009</v>
      </c>
      <c r="J296" s="1209"/>
      <c r="K296" s="1210">
        <f t="shared" si="105"/>
        <v>1.05</v>
      </c>
      <c r="L296" s="1210">
        <f t="shared" si="89"/>
        <v>0</v>
      </c>
      <c r="M296" s="1197">
        <f t="shared" si="90"/>
        <v>0</v>
      </c>
      <c r="N296" s="1211">
        <f t="shared" si="91"/>
        <v>0</v>
      </c>
      <c r="O296" s="1212"/>
      <c r="P296" s="1200"/>
      <c r="Q296" s="1200"/>
      <c r="R296" s="1213"/>
      <c r="S296" s="1213"/>
      <c r="T296" s="1213"/>
      <c r="U296" s="1213"/>
      <c r="V296" s="1213"/>
    </row>
    <row r="297" spans="1:22" ht="15" thickTop="1" thickBot="1" x14ac:dyDescent="0.3">
      <c r="A297" s="1207"/>
      <c r="B297" s="1212" t="s">
        <v>3280</v>
      </c>
      <c r="C297" s="1212"/>
      <c r="D297" s="1212"/>
      <c r="E297" s="1983">
        <v>1</v>
      </c>
      <c r="F297" s="1208">
        <f t="shared" si="108"/>
        <v>9.4</v>
      </c>
      <c r="G297" s="1208"/>
      <c r="H297" s="1208"/>
      <c r="I297" s="1209">
        <f t="shared" si="109"/>
        <v>9.4</v>
      </c>
      <c r="J297" s="1209"/>
      <c r="K297" s="1210">
        <f t="shared" si="105"/>
        <v>1.05</v>
      </c>
      <c r="L297" s="1210">
        <f t="shared" si="89"/>
        <v>0</v>
      </c>
      <c r="M297" s="1197">
        <f t="shared" si="90"/>
        <v>0</v>
      </c>
      <c r="N297" s="1211">
        <f t="shared" si="91"/>
        <v>0</v>
      </c>
      <c r="O297" s="1212"/>
      <c r="P297" s="1200"/>
      <c r="Q297" s="1200"/>
      <c r="R297" s="1213"/>
      <c r="S297" s="1213"/>
      <c r="T297" s="1213"/>
      <c r="U297" s="1213"/>
      <c r="V297" s="1213"/>
    </row>
    <row r="298" spans="1:22" ht="15" thickTop="1" thickBot="1" x14ac:dyDescent="0.3">
      <c r="A298" s="1207"/>
      <c r="B298" s="1212" t="s">
        <v>768</v>
      </c>
      <c r="C298" s="1212"/>
      <c r="D298" s="1212"/>
      <c r="E298" s="1983">
        <v>2</v>
      </c>
      <c r="F298" s="1208">
        <f t="shared" si="108"/>
        <v>13.48</v>
      </c>
      <c r="G298" s="1208"/>
      <c r="H298" s="1208"/>
      <c r="I298" s="1209">
        <f t="shared" si="109"/>
        <v>26.96</v>
      </c>
      <c r="J298" s="1209"/>
      <c r="K298" s="1210">
        <f t="shared" si="105"/>
        <v>1.05</v>
      </c>
      <c r="L298" s="1210">
        <f t="shared" ref="L298:L351" si="110">K298*J298</f>
        <v>0</v>
      </c>
      <c r="M298" s="1197">
        <f t="shared" ref="M298:M351" si="111">ROUND(L298,1)</f>
        <v>0</v>
      </c>
      <c r="N298" s="1211">
        <f t="shared" ref="N298:N351" si="112">ROUNDUP(M298,0)</f>
        <v>0</v>
      </c>
      <c r="O298" s="1212"/>
      <c r="P298" s="1200"/>
      <c r="Q298" s="1200"/>
      <c r="R298" s="1213"/>
      <c r="S298" s="1213"/>
      <c r="T298" s="1213"/>
      <c r="U298" s="1213"/>
      <c r="V298" s="1213"/>
    </row>
    <row r="299" spans="1:22" ht="15" thickTop="1" thickBot="1" x14ac:dyDescent="0.3">
      <c r="A299" s="1207"/>
      <c r="B299" s="1212" t="s">
        <v>3172</v>
      </c>
      <c r="C299" s="1212"/>
      <c r="D299" s="1212"/>
      <c r="E299" s="1983">
        <v>1</v>
      </c>
      <c r="F299" s="1208">
        <f t="shared" si="108"/>
        <v>9.4</v>
      </c>
      <c r="G299" s="1208"/>
      <c r="H299" s="1208"/>
      <c r="I299" s="1209">
        <f t="shared" si="109"/>
        <v>9.4</v>
      </c>
      <c r="J299" s="1209"/>
      <c r="K299" s="1210">
        <f t="shared" si="105"/>
        <v>1.05</v>
      </c>
      <c r="L299" s="1210">
        <f t="shared" si="110"/>
        <v>0</v>
      </c>
      <c r="M299" s="1197">
        <f t="shared" si="111"/>
        <v>0</v>
      </c>
      <c r="N299" s="1211">
        <f t="shared" si="112"/>
        <v>0</v>
      </c>
      <c r="O299" s="1212"/>
      <c r="P299" s="1200"/>
      <c r="Q299" s="1200"/>
      <c r="R299" s="1213"/>
      <c r="S299" s="1213"/>
      <c r="T299" s="1213"/>
      <c r="U299" s="1213"/>
      <c r="V299" s="1213"/>
    </row>
    <row r="300" spans="1:22" ht="15" thickTop="1" thickBot="1" x14ac:dyDescent="0.3">
      <c r="A300" s="1207"/>
      <c r="B300" s="1212" t="s">
        <v>837</v>
      </c>
      <c r="C300" s="1212"/>
      <c r="D300" s="1212"/>
      <c r="E300" s="1983">
        <v>1</v>
      </c>
      <c r="F300" s="1208">
        <f t="shared" si="108"/>
        <v>9.8000000000000007</v>
      </c>
      <c r="G300" s="1208"/>
      <c r="H300" s="1208"/>
      <c r="I300" s="1209">
        <f t="shared" si="109"/>
        <v>9.8000000000000007</v>
      </c>
      <c r="J300" s="1209"/>
      <c r="K300" s="1210">
        <f t="shared" si="105"/>
        <v>1.05</v>
      </c>
      <c r="L300" s="1210">
        <f t="shared" si="110"/>
        <v>0</v>
      </c>
      <c r="M300" s="1197">
        <f t="shared" si="111"/>
        <v>0</v>
      </c>
      <c r="N300" s="1211">
        <f t="shared" si="112"/>
        <v>0</v>
      </c>
      <c r="O300" s="1212"/>
      <c r="P300" s="1200"/>
      <c r="Q300" s="1200"/>
      <c r="R300" s="1213"/>
      <c r="S300" s="1213"/>
      <c r="T300" s="1213"/>
      <c r="U300" s="1213"/>
      <c r="V300" s="1213"/>
    </row>
    <row r="301" spans="1:22" ht="15" thickTop="1" thickBot="1" x14ac:dyDescent="0.3">
      <c r="A301" s="1207"/>
      <c r="B301" s="1212"/>
      <c r="C301" s="1212"/>
      <c r="D301" s="1212"/>
      <c r="E301" s="1212"/>
      <c r="F301" s="1208"/>
      <c r="G301" s="1208"/>
      <c r="H301" s="1208"/>
      <c r="I301" s="1209"/>
      <c r="J301" s="1209">
        <f>SUM(I292:I300)</f>
        <v>160.36000000000004</v>
      </c>
      <c r="K301" s="1210">
        <f t="shared" si="105"/>
        <v>1.05</v>
      </c>
      <c r="L301" s="1210">
        <f t="shared" si="110"/>
        <v>168.37800000000004</v>
      </c>
      <c r="M301" s="1197">
        <f t="shared" si="111"/>
        <v>168.4</v>
      </c>
      <c r="N301" s="1211">
        <f t="shared" si="112"/>
        <v>169</v>
      </c>
      <c r="O301" s="1212"/>
      <c r="P301" s="1200"/>
      <c r="Q301" s="1200"/>
      <c r="R301" s="1213"/>
      <c r="S301" s="1213"/>
      <c r="T301" s="1213"/>
      <c r="U301" s="1213"/>
      <c r="V301" s="1213"/>
    </row>
    <row r="302" spans="1:22" ht="15" thickTop="1" thickBot="1" x14ac:dyDescent="0.3">
      <c r="A302" s="1207"/>
      <c r="B302" s="1212"/>
      <c r="C302" s="1212"/>
      <c r="D302" s="1212"/>
      <c r="E302" s="1212"/>
      <c r="F302" s="1208"/>
      <c r="G302" s="1208"/>
      <c r="H302" s="1208"/>
      <c r="I302" s="1209"/>
      <c r="J302" s="1209"/>
      <c r="K302" s="1210">
        <f t="shared" si="105"/>
        <v>1.05</v>
      </c>
      <c r="L302" s="1210">
        <f t="shared" si="110"/>
        <v>0</v>
      </c>
      <c r="M302" s="1197">
        <f t="shared" si="111"/>
        <v>0</v>
      </c>
      <c r="N302" s="1211">
        <f t="shared" si="112"/>
        <v>0</v>
      </c>
      <c r="O302" s="1212"/>
      <c r="P302" s="1200"/>
      <c r="Q302" s="1200"/>
      <c r="R302" s="1213"/>
      <c r="S302" s="1213"/>
      <c r="T302" s="1213"/>
      <c r="U302" s="1213"/>
      <c r="V302" s="1213"/>
    </row>
    <row r="303" spans="1:22" ht="15" thickTop="1" thickBot="1" x14ac:dyDescent="0.3">
      <c r="A303" s="1207"/>
      <c r="B303" s="1212" t="s">
        <v>1835</v>
      </c>
      <c r="C303" s="1212"/>
      <c r="D303" s="1212"/>
      <c r="E303" s="1212"/>
      <c r="F303" s="1208">
        <v>129.44999999999999</v>
      </c>
      <c r="G303" s="1208"/>
      <c r="H303" s="1208">
        <v>3.3</v>
      </c>
      <c r="I303" s="1209">
        <f>H303*F303</f>
        <v>427.18499999999995</v>
      </c>
      <c r="J303" s="1209"/>
      <c r="K303" s="1210">
        <f t="shared" si="105"/>
        <v>1.05</v>
      </c>
      <c r="L303" s="1210">
        <f t="shared" si="110"/>
        <v>0</v>
      </c>
      <c r="M303" s="1197">
        <f t="shared" si="111"/>
        <v>0</v>
      </c>
      <c r="N303" s="1211">
        <f t="shared" si="112"/>
        <v>0</v>
      </c>
      <c r="O303" s="1212"/>
      <c r="P303" s="1200"/>
      <c r="Q303" s="1200"/>
      <c r="R303" s="1213"/>
      <c r="S303" s="1213"/>
      <c r="T303" s="1213"/>
      <c r="U303" s="1213"/>
      <c r="V303" s="1213"/>
    </row>
    <row r="304" spans="1:22" ht="15" thickTop="1" thickBot="1" x14ac:dyDescent="0.3">
      <c r="A304" s="1207"/>
      <c r="B304" s="1212" t="s">
        <v>846</v>
      </c>
      <c r="C304" s="1212"/>
      <c r="D304" s="1212"/>
      <c r="E304" s="1212"/>
      <c r="F304" s="1208"/>
      <c r="G304" s="1208"/>
      <c r="H304" s="1208"/>
      <c r="I304" s="1209"/>
      <c r="J304" s="1209"/>
      <c r="K304" s="1210">
        <f t="shared" si="105"/>
        <v>1.05</v>
      </c>
      <c r="L304" s="1210">
        <f t="shared" si="110"/>
        <v>0</v>
      </c>
      <c r="M304" s="1197">
        <f t="shared" si="111"/>
        <v>0</v>
      </c>
      <c r="N304" s="1211">
        <f t="shared" si="112"/>
        <v>0</v>
      </c>
      <c r="O304" s="1212"/>
      <c r="P304" s="1200"/>
      <c r="Q304" s="1200"/>
      <c r="R304" s="1213"/>
      <c r="S304" s="1213"/>
      <c r="T304" s="1213"/>
      <c r="U304" s="1213"/>
      <c r="V304" s="1213"/>
    </row>
    <row r="305" spans="1:22" ht="15" thickTop="1" thickBot="1" x14ac:dyDescent="0.3">
      <c r="A305" s="1207"/>
      <c r="B305" s="1212" t="s">
        <v>3281</v>
      </c>
      <c r="C305" s="1212"/>
      <c r="D305" s="1212"/>
      <c r="E305" s="1983">
        <v>1</v>
      </c>
      <c r="F305" s="1208">
        <v>4.3</v>
      </c>
      <c r="G305" s="1208"/>
      <c r="H305" s="1208">
        <v>2.7</v>
      </c>
      <c r="I305" s="1209">
        <f t="shared" ref="I305:I311" si="113">-H305*F305*E305</f>
        <v>-11.61</v>
      </c>
      <c r="J305" s="1209"/>
      <c r="K305" s="1210">
        <f t="shared" si="105"/>
        <v>1.05</v>
      </c>
      <c r="L305" s="1210">
        <f t="shared" si="110"/>
        <v>0</v>
      </c>
      <c r="M305" s="1197">
        <f t="shared" si="111"/>
        <v>0</v>
      </c>
      <c r="N305" s="1211">
        <f t="shared" si="112"/>
        <v>0</v>
      </c>
      <c r="O305" s="1212"/>
      <c r="P305" s="1200"/>
      <c r="Q305" s="1200"/>
      <c r="R305" s="1213"/>
      <c r="S305" s="1213"/>
      <c r="T305" s="1213"/>
      <c r="U305" s="1213"/>
      <c r="V305" s="1213"/>
    </row>
    <row r="306" spans="1:22" ht="15" thickTop="1" thickBot="1" x14ac:dyDescent="0.3">
      <c r="A306" s="1207"/>
      <c r="B306" s="1212" t="s">
        <v>3151</v>
      </c>
      <c r="C306" s="1212"/>
      <c r="D306" s="1212"/>
      <c r="E306" s="1983">
        <v>1</v>
      </c>
      <c r="F306" s="1208">
        <v>4.875</v>
      </c>
      <c r="G306" s="1208"/>
      <c r="H306" s="1208">
        <v>2.7</v>
      </c>
      <c r="I306" s="1209">
        <f t="shared" si="113"/>
        <v>-13.162500000000001</v>
      </c>
      <c r="J306" s="1209"/>
      <c r="K306" s="1210">
        <f t="shared" si="105"/>
        <v>1.05</v>
      </c>
      <c r="L306" s="1210">
        <f t="shared" si="110"/>
        <v>0</v>
      </c>
      <c r="M306" s="1197">
        <f t="shared" si="111"/>
        <v>0</v>
      </c>
      <c r="N306" s="1211">
        <f t="shared" si="112"/>
        <v>0</v>
      </c>
      <c r="O306" s="1212"/>
      <c r="P306" s="1200"/>
      <c r="Q306" s="1200"/>
      <c r="R306" s="1213"/>
      <c r="S306" s="1213"/>
      <c r="T306" s="1213"/>
      <c r="U306" s="1213"/>
      <c r="V306" s="1213"/>
    </row>
    <row r="307" spans="1:22" ht="15" thickTop="1" thickBot="1" x14ac:dyDescent="0.3">
      <c r="A307" s="1207"/>
      <c r="B307" s="1212" t="s">
        <v>773</v>
      </c>
      <c r="C307" s="1212"/>
      <c r="D307" s="1212"/>
      <c r="E307" s="1983">
        <v>6</v>
      </c>
      <c r="F307" s="1208">
        <v>1</v>
      </c>
      <c r="G307" s="1208"/>
      <c r="H307" s="1208">
        <v>2.7</v>
      </c>
      <c r="I307" s="1209">
        <f t="shared" si="113"/>
        <v>-16.200000000000003</v>
      </c>
      <c r="J307" s="1209"/>
      <c r="K307" s="1210">
        <f t="shared" si="105"/>
        <v>1.05</v>
      </c>
      <c r="L307" s="1210">
        <f t="shared" si="110"/>
        <v>0</v>
      </c>
      <c r="M307" s="1197">
        <f t="shared" si="111"/>
        <v>0</v>
      </c>
      <c r="N307" s="1211">
        <f t="shared" si="112"/>
        <v>0</v>
      </c>
      <c r="O307" s="1212"/>
      <c r="P307" s="1200"/>
      <c r="Q307" s="1200"/>
      <c r="R307" s="1213"/>
      <c r="S307" s="1213"/>
      <c r="T307" s="1213"/>
      <c r="U307" s="1213"/>
      <c r="V307" s="1213"/>
    </row>
    <row r="308" spans="1:22" ht="15" thickTop="1" thickBot="1" x14ac:dyDescent="0.3">
      <c r="A308" s="1207"/>
      <c r="B308" s="1212" t="s">
        <v>792</v>
      </c>
      <c r="C308" s="1212"/>
      <c r="D308" s="1212"/>
      <c r="E308" s="1983">
        <v>2</v>
      </c>
      <c r="F308" s="1208">
        <v>0.8</v>
      </c>
      <c r="G308" s="1208"/>
      <c r="H308" s="1208">
        <v>2.4</v>
      </c>
      <c r="I308" s="1209">
        <f t="shared" si="113"/>
        <v>-3.84</v>
      </c>
      <c r="J308" s="1209"/>
      <c r="K308" s="1210">
        <f t="shared" si="105"/>
        <v>1.05</v>
      </c>
      <c r="L308" s="1210">
        <f t="shared" si="110"/>
        <v>0</v>
      </c>
      <c r="M308" s="1197">
        <f t="shared" si="111"/>
        <v>0</v>
      </c>
      <c r="N308" s="1211">
        <f t="shared" si="112"/>
        <v>0</v>
      </c>
      <c r="O308" s="1212"/>
      <c r="P308" s="1200"/>
      <c r="Q308" s="1200"/>
      <c r="R308" s="1213"/>
      <c r="S308" s="1213"/>
      <c r="T308" s="1213"/>
      <c r="U308" s="1213"/>
      <c r="V308" s="1213"/>
    </row>
    <row r="309" spans="1:22" ht="15" thickTop="1" thickBot="1" x14ac:dyDescent="0.3">
      <c r="A309" s="1207"/>
      <c r="B309" s="1212" t="s">
        <v>3180</v>
      </c>
      <c r="C309" s="1212"/>
      <c r="D309" s="1212"/>
      <c r="E309" s="1983">
        <v>3</v>
      </c>
      <c r="F309" s="1208">
        <v>3.375</v>
      </c>
      <c r="G309" s="1208"/>
      <c r="H309" s="1208">
        <v>2.7</v>
      </c>
      <c r="I309" s="1209">
        <f t="shared" si="113"/>
        <v>-27.337500000000002</v>
      </c>
      <c r="J309" s="1209"/>
      <c r="K309" s="1210">
        <f t="shared" si="105"/>
        <v>1.05</v>
      </c>
      <c r="L309" s="1210">
        <f t="shared" si="110"/>
        <v>0</v>
      </c>
      <c r="M309" s="1197">
        <f t="shared" si="111"/>
        <v>0</v>
      </c>
      <c r="N309" s="1211">
        <f t="shared" si="112"/>
        <v>0</v>
      </c>
      <c r="O309" s="1212"/>
      <c r="P309" s="1200"/>
      <c r="Q309" s="1200"/>
      <c r="R309" s="1213"/>
      <c r="S309" s="1213"/>
      <c r="T309" s="1213"/>
      <c r="U309" s="1213"/>
      <c r="V309" s="1213"/>
    </row>
    <row r="310" spans="1:22" ht="15" thickTop="1" thickBot="1" x14ac:dyDescent="0.3">
      <c r="A310" s="1207"/>
      <c r="B310" s="1212" t="s">
        <v>3280</v>
      </c>
      <c r="C310" s="1212"/>
      <c r="D310" s="1212"/>
      <c r="E310" s="1983">
        <v>1</v>
      </c>
      <c r="F310" s="1208">
        <v>2</v>
      </c>
      <c r="G310" s="1208"/>
      <c r="H310" s="1208">
        <v>2.7</v>
      </c>
      <c r="I310" s="1209">
        <f t="shared" si="113"/>
        <v>-5.4</v>
      </c>
      <c r="J310" s="1209"/>
      <c r="K310" s="1210">
        <f t="shared" si="105"/>
        <v>1.05</v>
      </c>
      <c r="L310" s="1210">
        <f t="shared" si="110"/>
        <v>0</v>
      </c>
      <c r="M310" s="1197">
        <f t="shared" si="111"/>
        <v>0</v>
      </c>
      <c r="N310" s="1211">
        <f t="shared" si="112"/>
        <v>0</v>
      </c>
      <c r="O310" s="1212"/>
      <c r="P310" s="1200"/>
      <c r="Q310" s="1200"/>
      <c r="R310" s="1213"/>
      <c r="S310" s="1213"/>
      <c r="T310" s="1213"/>
      <c r="U310" s="1213"/>
      <c r="V310" s="1213"/>
    </row>
    <row r="311" spans="1:22" ht="15" thickTop="1" thickBot="1" x14ac:dyDescent="0.3">
      <c r="A311" s="1207"/>
      <c r="B311" s="1212" t="s">
        <v>768</v>
      </c>
      <c r="C311" s="1212"/>
      <c r="D311" s="1212"/>
      <c r="E311" s="1983">
        <v>2</v>
      </c>
      <c r="F311" s="1208">
        <v>4.04</v>
      </c>
      <c r="G311" s="1208"/>
      <c r="H311" s="1208">
        <v>2.7</v>
      </c>
      <c r="I311" s="1209">
        <f t="shared" si="113"/>
        <v>-21.816000000000003</v>
      </c>
      <c r="J311" s="1209"/>
      <c r="K311" s="1210">
        <f t="shared" si="105"/>
        <v>1.05</v>
      </c>
      <c r="L311" s="1210">
        <f t="shared" si="110"/>
        <v>0</v>
      </c>
      <c r="M311" s="1197">
        <f t="shared" si="111"/>
        <v>0</v>
      </c>
      <c r="N311" s="1211">
        <f t="shared" si="112"/>
        <v>0</v>
      </c>
      <c r="O311" s="1212"/>
      <c r="P311" s="1200"/>
      <c r="Q311" s="1200"/>
      <c r="R311" s="1213"/>
      <c r="S311" s="1213"/>
      <c r="T311" s="1213"/>
      <c r="U311" s="1213"/>
      <c r="V311" s="1213"/>
    </row>
    <row r="312" spans="1:22" ht="15" thickTop="1" thickBot="1" x14ac:dyDescent="0.3">
      <c r="A312" s="1207"/>
      <c r="B312" s="1212" t="s">
        <v>837</v>
      </c>
      <c r="C312" s="1212"/>
      <c r="D312" s="1212"/>
      <c r="E312" s="1983">
        <v>1</v>
      </c>
      <c r="F312" s="1208">
        <v>2.2000000000000002</v>
      </c>
      <c r="G312" s="1208"/>
      <c r="H312" s="1208">
        <v>2.7</v>
      </c>
      <c r="I312" s="1209">
        <f>-H312*F312*E312</f>
        <v>-5.9400000000000013</v>
      </c>
      <c r="J312" s="1209"/>
      <c r="K312" s="1210">
        <f t="shared" si="105"/>
        <v>1.05</v>
      </c>
      <c r="L312" s="1210">
        <f t="shared" si="110"/>
        <v>0</v>
      </c>
      <c r="M312" s="1197">
        <f t="shared" si="111"/>
        <v>0</v>
      </c>
      <c r="N312" s="1211">
        <f t="shared" si="112"/>
        <v>0</v>
      </c>
      <c r="O312" s="1212"/>
      <c r="P312" s="1200"/>
      <c r="Q312" s="1200"/>
      <c r="R312" s="1213"/>
      <c r="S312" s="1213"/>
      <c r="T312" s="1213"/>
      <c r="U312" s="1213"/>
      <c r="V312" s="1213"/>
    </row>
    <row r="313" spans="1:22" ht="15" thickTop="1" thickBot="1" x14ac:dyDescent="0.3">
      <c r="A313" s="1207"/>
      <c r="B313" s="1212" t="s">
        <v>3172</v>
      </c>
      <c r="C313" s="1212"/>
      <c r="D313" s="1212"/>
      <c r="E313" s="1983">
        <v>1</v>
      </c>
      <c r="F313" s="1208">
        <v>2</v>
      </c>
      <c r="G313" s="1208"/>
      <c r="H313" s="1208">
        <v>2.7</v>
      </c>
      <c r="I313" s="1209">
        <f t="shared" ref="I313" si="114">-H313*F313*E313</f>
        <v>-5.4</v>
      </c>
      <c r="J313" s="1209"/>
      <c r="K313" s="1210">
        <f t="shared" si="105"/>
        <v>1.05</v>
      </c>
      <c r="L313" s="1210">
        <f t="shared" si="110"/>
        <v>0</v>
      </c>
      <c r="M313" s="1197">
        <f t="shared" si="111"/>
        <v>0</v>
      </c>
      <c r="N313" s="1211">
        <f t="shared" si="112"/>
        <v>0</v>
      </c>
      <c r="O313" s="1212"/>
      <c r="P313" s="1200"/>
      <c r="Q313" s="1200"/>
      <c r="R313" s="1213"/>
      <c r="S313" s="1213"/>
      <c r="T313" s="1213"/>
      <c r="U313" s="1213"/>
      <c r="V313" s="1213"/>
    </row>
    <row r="314" spans="1:22" ht="15" thickTop="1" thickBot="1" x14ac:dyDescent="0.3">
      <c r="A314" s="1207"/>
      <c r="B314" s="1212"/>
      <c r="C314" s="1212"/>
      <c r="D314" s="1212"/>
      <c r="E314" s="1212"/>
      <c r="F314" s="1208"/>
      <c r="G314" s="1208"/>
      <c r="H314" s="1208"/>
      <c r="I314" s="1209"/>
      <c r="J314" s="1209">
        <f>SUM(I303:I313)</f>
        <v>316.47899999999998</v>
      </c>
      <c r="K314" s="1210">
        <f t="shared" si="105"/>
        <v>1.05</v>
      </c>
      <c r="L314" s="1210">
        <f t="shared" si="110"/>
        <v>332.30295000000001</v>
      </c>
      <c r="M314" s="1197">
        <f t="shared" si="111"/>
        <v>332.3</v>
      </c>
      <c r="N314" s="1211">
        <f t="shared" si="112"/>
        <v>333</v>
      </c>
      <c r="O314" s="1212"/>
      <c r="P314" s="1200"/>
      <c r="Q314" s="1200"/>
      <c r="R314" s="1213"/>
      <c r="S314" s="1213"/>
      <c r="T314" s="1213"/>
      <c r="U314" s="1213"/>
      <c r="V314" s="1213"/>
    </row>
    <row r="315" spans="1:22" ht="15" thickTop="1" thickBot="1" x14ac:dyDescent="0.3">
      <c r="A315" s="1207"/>
      <c r="B315" s="1212"/>
      <c r="C315" s="1212"/>
      <c r="D315" s="1212"/>
      <c r="E315" s="1212"/>
      <c r="F315" s="1208"/>
      <c r="G315" s="1208"/>
      <c r="H315" s="1208"/>
      <c r="I315" s="1209"/>
      <c r="J315" s="1209"/>
      <c r="K315" s="1210">
        <f t="shared" si="105"/>
        <v>1.05</v>
      </c>
      <c r="L315" s="1210">
        <f t="shared" si="110"/>
        <v>0</v>
      </c>
      <c r="M315" s="1197">
        <f t="shared" si="111"/>
        <v>0</v>
      </c>
      <c r="N315" s="1211">
        <f t="shared" si="112"/>
        <v>0</v>
      </c>
      <c r="O315" s="1212"/>
      <c r="P315" s="1200"/>
      <c r="Q315" s="1200"/>
      <c r="R315" s="1213"/>
      <c r="S315" s="1213"/>
      <c r="T315" s="1213"/>
      <c r="U315" s="1213"/>
      <c r="V315" s="1213"/>
    </row>
    <row r="316" spans="1:22" ht="15" thickTop="1" thickBot="1" x14ac:dyDescent="0.3">
      <c r="A316" s="1207"/>
      <c r="B316" s="1212" t="s">
        <v>839</v>
      </c>
      <c r="C316" s="1212"/>
      <c r="D316" s="1212"/>
      <c r="E316" s="1212"/>
      <c r="F316" s="1208"/>
      <c r="G316" s="1208"/>
      <c r="H316" s="1208"/>
      <c r="I316" s="1209"/>
      <c r="J316" s="1209"/>
      <c r="K316" s="1210">
        <f t="shared" si="105"/>
        <v>1.05</v>
      </c>
      <c r="L316" s="1210">
        <f t="shared" si="110"/>
        <v>0</v>
      </c>
      <c r="M316" s="1197">
        <f t="shared" si="111"/>
        <v>0</v>
      </c>
      <c r="N316" s="1211">
        <f t="shared" si="112"/>
        <v>0</v>
      </c>
      <c r="O316" s="1212"/>
      <c r="P316" s="1200"/>
      <c r="Q316" s="1200"/>
      <c r="R316" s="1213"/>
      <c r="S316" s="1213"/>
      <c r="T316" s="1213"/>
      <c r="U316" s="1213"/>
      <c r="V316" s="1213"/>
    </row>
    <row r="317" spans="1:22" ht="15" thickTop="1" thickBot="1" x14ac:dyDescent="0.3">
      <c r="A317" s="1207"/>
      <c r="B317" s="1212" t="s">
        <v>3281</v>
      </c>
      <c r="C317" s="1212"/>
      <c r="D317" s="1212"/>
      <c r="E317" s="1983">
        <v>1</v>
      </c>
      <c r="F317" s="1208">
        <f>F305+F305+H305+H305</f>
        <v>14</v>
      </c>
      <c r="G317" s="1208"/>
      <c r="H317" s="1208"/>
      <c r="I317" s="1209">
        <f>F317*E317</f>
        <v>14</v>
      </c>
      <c r="J317" s="1209"/>
      <c r="K317" s="1210">
        <f t="shared" si="105"/>
        <v>1.05</v>
      </c>
      <c r="L317" s="1210">
        <f t="shared" si="110"/>
        <v>0</v>
      </c>
      <c r="M317" s="1197">
        <f t="shared" si="111"/>
        <v>0</v>
      </c>
      <c r="N317" s="1211">
        <f t="shared" si="112"/>
        <v>0</v>
      </c>
      <c r="O317" s="1212"/>
      <c r="P317" s="1200"/>
      <c r="Q317" s="1200"/>
      <c r="R317" s="1213"/>
      <c r="S317" s="1213"/>
      <c r="T317" s="1213"/>
      <c r="U317" s="1213"/>
      <c r="V317" s="1213"/>
    </row>
    <row r="318" spans="1:22" ht="15" thickTop="1" thickBot="1" x14ac:dyDescent="0.3">
      <c r="A318" s="1207"/>
      <c r="B318" s="1212" t="s">
        <v>3151</v>
      </c>
      <c r="C318" s="1212"/>
      <c r="D318" s="1212"/>
      <c r="E318" s="1983">
        <v>1</v>
      </c>
      <c r="F318" s="1208">
        <f t="shared" ref="F318:F325" si="115">F306+F306+H306+H306</f>
        <v>15.149999999999999</v>
      </c>
      <c r="G318" s="1208"/>
      <c r="H318" s="1208"/>
      <c r="I318" s="1209">
        <f t="shared" ref="I318:I325" si="116">F318*E318</f>
        <v>15.149999999999999</v>
      </c>
      <c r="J318" s="1209"/>
      <c r="K318" s="1210">
        <f t="shared" si="105"/>
        <v>1.05</v>
      </c>
      <c r="L318" s="1210">
        <f t="shared" si="110"/>
        <v>0</v>
      </c>
      <c r="M318" s="1197">
        <f t="shared" si="111"/>
        <v>0</v>
      </c>
      <c r="N318" s="1211">
        <f t="shared" si="112"/>
        <v>0</v>
      </c>
      <c r="O318" s="1212"/>
      <c r="P318" s="1200"/>
      <c r="Q318" s="1200"/>
      <c r="R318" s="1213"/>
      <c r="S318" s="1213"/>
      <c r="T318" s="1213"/>
      <c r="U318" s="1213"/>
      <c r="V318" s="1213"/>
    </row>
    <row r="319" spans="1:22" ht="15" thickTop="1" thickBot="1" x14ac:dyDescent="0.3">
      <c r="A319" s="1207"/>
      <c r="B319" s="1212" t="s">
        <v>773</v>
      </c>
      <c r="C319" s="1212"/>
      <c r="D319" s="1212"/>
      <c r="E319" s="1983">
        <v>6</v>
      </c>
      <c r="F319" s="1208">
        <f t="shared" si="115"/>
        <v>7.4</v>
      </c>
      <c r="G319" s="1208"/>
      <c r="H319" s="1208"/>
      <c r="I319" s="1209">
        <f t="shared" si="116"/>
        <v>44.400000000000006</v>
      </c>
      <c r="J319" s="1209"/>
      <c r="K319" s="1210">
        <f t="shared" si="105"/>
        <v>1.05</v>
      </c>
      <c r="L319" s="1210">
        <f t="shared" si="110"/>
        <v>0</v>
      </c>
      <c r="M319" s="1197">
        <f t="shared" si="111"/>
        <v>0</v>
      </c>
      <c r="N319" s="1211">
        <f t="shared" si="112"/>
        <v>0</v>
      </c>
      <c r="O319" s="1212"/>
      <c r="P319" s="1200"/>
      <c r="Q319" s="1200"/>
      <c r="R319" s="1213"/>
      <c r="S319" s="1213"/>
      <c r="T319" s="1213"/>
      <c r="U319" s="1213"/>
      <c r="V319" s="1213"/>
    </row>
    <row r="320" spans="1:22" ht="15" thickTop="1" thickBot="1" x14ac:dyDescent="0.3">
      <c r="A320" s="1207"/>
      <c r="B320" s="1212" t="s">
        <v>792</v>
      </c>
      <c r="C320" s="1212"/>
      <c r="D320" s="1212"/>
      <c r="E320" s="1983">
        <v>2</v>
      </c>
      <c r="F320" s="1208">
        <f t="shared" si="115"/>
        <v>6.4</v>
      </c>
      <c r="G320" s="1208"/>
      <c r="H320" s="1208"/>
      <c r="I320" s="1209">
        <f t="shared" si="116"/>
        <v>12.8</v>
      </c>
      <c r="J320" s="1209"/>
      <c r="K320" s="1210">
        <f t="shared" si="105"/>
        <v>1.05</v>
      </c>
      <c r="L320" s="1210">
        <f t="shared" si="110"/>
        <v>0</v>
      </c>
      <c r="M320" s="1197">
        <f t="shared" si="111"/>
        <v>0</v>
      </c>
      <c r="N320" s="1211">
        <f t="shared" si="112"/>
        <v>0</v>
      </c>
      <c r="O320" s="1212"/>
      <c r="P320" s="1200"/>
      <c r="Q320" s="1200"/>
      <c r="R320" s="1213"/>
      <c r="S320" s="1213"/>
      <c r="T320" s="1213"/>
      <c r="U320" s="1213"/>
      <c r="V320" s="1213"/>
    </row>
    <row r="321" spans="1:22" ht="15" thickTop="1" thickBot="1" x14ac:dyDescent="0.3">
      <c r="A321" s="1207"/>
      <c r="B321" s="1212" t="s">
        <v>3180</v>
      </c>
      <c r="C321" s="1212"/>
      <c r="D321" s="1212"/>
      <c r="E321" s="1983">
        <v>3</v>
      </c>
      <c r="F321" s="1208">
        <f t="shared" si="115"/>
        <v>12.149999999999999</v>
      </c>
      <c r="G321" s="1208"/>
      <c r="H321" s="1208"/>
      <c r="I321" s="1209">
        <f t="shared" si="116"/>
        <v>36.449999999999996</v>
      </c>
      <c r="J321" s="1209"/>
      <c r="K321" s="1210">
        <f t="shared" si="105"/>
        <v>1.05</v>
      </c>
      <c r="L321" s="1210">
        <f t="shared" si="110"/>
        <v>0</v>
      </c>
      <c r="M321" s="1197">
        <f t="shared" si="111"/>
        <v>0</v>
      </c>
      <c r="N321" s="1211">
        <f t="shared" si="112"/>
        <v>0</v>
      </c>
      <c r="O321" s="1212"/>
      <c r="P321" s="1200"/>
      <c r="Q321" s="1200"/>
      <c r="R321" s="1213"/>
      <c r="S321" s="1213"/>
      <c r="T321" s="1213"/>
      <c r="U321" s="1213"/>
      <c r="V321" s="1213"/>
    </row>
    <row r="322" spans="1:22" ht="15" thickTop="1" thickBot="1" x14ac:dyDescent="0.3">
      <c r="A322" s="1207"/>
      <c r="B322" s="1212" t="s">
        <v>3280</v>
      </c>
      <c r="C322" s="1212"/>
      <c r="D322" s="1212"/>
      <c r="E322" s="1983">
        <v>1</v>
      </c>
      <c r="F322" s="1208">
        <f t="shared" si="115"/>
        <v>9.4</v>
      </c>
      <c r="G322" s="1208"/>
      <c r="H322" s="1208"/>
      <c r="I322" s="1209">
        <f t="shared" si="116"/>
        <v>9.4</v>
      </c>
      <c r="J322" s="1209"/>
      <c r="K322" s="1210">
        <f t="shared" si="105"/>
        <v>1.05</v>
      </c>
      <c r="L322" s="1210">
        <f t="shared" si="110"/>
        <v>0</v>
      </c>
      <c r="M322" s="1197">
        <f t="shared" si="111"/>
        <v>0</v>
      </c>
      <c r="N322" s="1211">
        <f t="shared" si="112"/>
        <v>0</v>
      </c>
      <c r="O322" s="1212"/>
      <c r="P322" s="1200"/>
      <c r="Q322" s="1200"/>
      <c r="R322" s="1213"/>
      <c r="S322" s="1213"/>
      <c r="T322" s="1213"/>
      <c r="U322" s="1213"/>
      <c r="V322" s="1213"/>
    </row>
    <row r="323" spans="1:22" ht="15" thickTop="1" thickBot="1" x14ac:dyDescent="0.3">
      <c r="A323" s="1207"/>
      <c r="B323" s="1212" t="s">
        <v>768</v>
      </c>
      <c r="C323" s="1212"/>
      <c r="D323" s="1212"/>
      <c r="E323" s="1983">
        <v>2</v>
      </c>
      <c r="F323" s="1208">
        <f t="shared" si="115"/>
        <v>13.48</v>
      </c>
      <c r="G323" s="1208"/>
      <c r="H323" s="1208"/>
      <c r="I323" s="1209">
        <f t="shared" si="116"/>
        <v>26.96</v>
      </c>
      <c r="J323" s="1209"/>
      <c r="K323" s="1210">
        <f t="shared" si="105"/>
        <v>1.05</v>
      </c>
      <c r="L323" s="1210">
        <f t="shared" si="110"/>
        <v>0</v>
      </c>
      <c r="M323" s="1197">
        <f t="shared" si="111"/>
        <v>0</v>
      </c>
      <c r="N323" s="1211">
        <f t="shared" si="112"/>
        <v>0</v>
      </c>
      <c r="O323" s="1212"/>
      <c r="P323" s="1200"/>
      <c r="Q323" s="1200"/>
      <c r="R323" s="1213"/>
      <c r="S323" s="1213"/>
      <c r="T323" s="1213"/>
      <c r="U323" s="1213"/>
      <c r="V323" s="1213"/>
    </row>
    <row r="324" spans="1:22" ht="15" thickTop="1" thickBot="1" x14ac:dyDescent="0.3">
      <c r="A324" s="1207"/>
      <c r="B324" s="1212" t="s">
        <v>837</v>
      </c>
      <c r="C324" s="1212"/>
      <c r="D324" s="1212"/>
      <c r="E324" s="1983">
        <v>1</v>
      </c>
      <c r="F324" s="1208">
        <f t="shared" si="115"/>
        <v>9.8000000000000007</v>
      </c>
      <c r="G324" s="1208"/>
      <c r="H324" s="1208"/>
      <c r="I324" s="1209">
        <f t="shared" si="116"/>
        <v>9.8000000000000007</v>
      </c>
      <c r="J324" s="1209"/>
      <c r="K324" s="1210">
        <f t="shared" si="105"/>
        <v>1.05</v>
      </c>
      <c r="L324" s="1210">
        <f t="shared" si="110"/>
        <v>0</v>
      </c>
      <c r="M324" s="1197">
        <f t="shared" si="111"/>
        <v>0</v>
      </c>
      <c r="N324" s="1211">
        <f t="shared" si="112"/>
        <v>0</v>
      </c>
      <c r="O324" s="1212"/>
      <c r="P324" s="1200"/>
      <c r="Q324" s="1200"/>
      <c r="R324" s="1213"/>
      <c r="S324" s="1213"/>
      <c r="T324" s="1213"/>
      <c r="U324" s="1213"/>
      <c r="V324" s="1213"/>
    </row>
    <row r="325" spans="1:22" ht="15" thickTop="1" thickBot="1" x14ac:dyDescent="0.3">
      <c r="A325" s="1207"/>
      <c r="B325" s="1212" t="s">
        <v>3172</v>
      </c>
      <c r="C325" s="1212"/>
      <c r="D325" s="1212"/>
      <c r="E325" s="1983">
        <v>1</v>
      </c>
      <c r="F325" s="1208">
        <f t="shared" si="115"/>
        <v>9.4</v>
      </c>
      <c r="G325" s="1208"/>
      <c r="H325" s="1208"/>
      <c r="I325" s="1209">
        <f t="shared" si="116"/>
        <v>9.4</v>
      </c>
      <c r="J325" s="1209"/>
      <c r="K325" s="1210">
        <f t="shared" si="105"/>
        <v>1.05</v>
      </c>
      <c r="L325" s="1210">
        <f t="shared" si="110"/>
        <v>0</v>
      </c>
      <c r="M325" s="1197">
        <f t="shared" si="111"/>
        <v>0</v>
      </c>
      <c r="N325" s="1211">
        <f t="shared" si="112"/>
        <v>0</v>
      </c>
      <c r="O325" s="1212"/>
      <c r="P325" s="1200"/>
      <c r="Q325" s="1200"/>
      <c r="R325" s="1213"/>
      <c r="S325" s="1213"/>
      <c r="T325" s="1213"/>
      <c r="U325" s="1213"/>
      <c r="V325" s="1213"/>
    </row>
    <row r="326" spans="1:22" ht="15" thickTop="1" thickBot="1" x14ac:dyDescent="0.3">
      <c r="A326" s="1207"/>
      <c r="B326" s="1212"/>
      <c r="C326" s="1212"/>
      <c r="D326" s="1212"/>
      <c r="E326" s="1212"/>
      <c r="F326" s="1208"/>
      <c r="G326" s="1208"/>
      <c r="H326" s="1208"/>
      <c r="I326" s="1209"/>
      <c r="J326" s="1209">
        <f>SUM(I317:I325)</f>
        <v>178.36000000000004</v>
      </c>
      <c r="K326" s="1210">
        <f t="shared" ref="K326:K385" si="117">$K$2</f>
        <v>1.05</v>
      </c>
      <c r="L326" s="1210">
        <f t="shared" si="110"/>
        <v>187.27800000000005</v>
      </c>
      <c r="M326" s="1197">
        <f t="shared" si="111"/>
        <v>187.3</v>
      </c>
      <c r="N326" s="1211">
        <f t="shared" si="112"/>
        <v>188</v>
      </c>
      <c r="O326" s="1212"/>
      <c r="P326" s="1200"/>
      <c r="Q326" s="1200"/>
      <c r="R326" s="1213"/>
      <c r="S326" s="1213"/>
      <c r="T326" s="1213"/>
      <c r="U326" s="1213"/>
      <c r="V326" s="1213"/>
    </row>
    <row r="327" spans="1:22" ht="15" thickTop="1" thickBot="1" x14ac:dyDescent="0.3">
      <c r="A327" s="1207"/>
      <c r="B327" s="1212"/>
      <c r="C327" s="1212"/>
      <c r="D327" s="1212"/>
      <c r="E327" s="1212"/>
      <c r="F327" s="1208"/>
      <c r="G327" s="1208"/>
      <c r="H327" s="1208"/>
      <c r="I327" s="1209"/>
      <c r="J327" s="1209"/>
      <c r="K327" s="1210">
        <f t="shared" si="117"/>
        <v>1.05</v>
      </c>
      <c r="L327" s="1210">
        <f t="shared" si="110"/>
        <v>0</v>
      </c>
      <c r="M327" s="1197">
        <f t="shared" si="111"/>
        <v>0</v>
      </c>
      <c r="N327" s="1211">
        <f t="shared" si="112"/>
        <v>0</v>
      </c>
      <c r="O327" s="1212"/>
      <c r="P327" s="1200"/>
      <c r="Q327" s="1200"/>
      <c r="R327" s="1213"/>
      <c r="S327" s="1213"/>
      <c r="T327" s="1213"/>
      <c r="U327" s="1213"/>
      <c r="V327" s="1213"/>
    </row>
    <row r="328" spans="1:22" ht="15" thickTop="1" thickBot="1" x14ac:dyDescent="0.3">
      <c r="A328" s="1207"/>
      <c r="B328" s="1212" t="s">
        <v>3183</v>
      </c>
      <c r="C328" s="1212"/>
      <c r="D328" s="1212"/>
      <c r="E328" s="1212"/>
      <c r="F328" s="1208"/>
      <c r="G328" s="1208"/>
      <c r="H328" s="1208"/>
      <c r="I328" s="1209"/>
      <c r="J328" s="1209"/>
      <c r="K328" s="1210">
        <f t="shared" si="117"/>
        <v>1.05</v>
      </c>
      <c r="L328" s="1210">
        <f t="shared" si="110"/>
        <v>0</v>
      </c>
      <c r="M328" s="1197">
        <f t="shared" si="111"/>
        <v>0</v>
      </c>
      <c r="N328" s="1211">
        <f t="shared" si="112"/>
        <v>0</v>
      </c>
      <c r="O328" s="1212"/>
      <c r="P328" s="1200"/>
      <c r="Q328" s="1200"/>
      <c r="R328" s="1213"/>
      <c r="S328" s="1213"/>
      <c r="T328" s="1213"/>
      <c r="U328" s="1213"/>
      <c r="V328" s="1213"/>
    </row>
    <row r="329" spans="1:22" ht="15" thickTop="1" thickBot="1" x14ac:dyDescent="0.3">
      <c r="A329" s="1207"/>
      <c r="B329" s="1212" t="s">
        <v>1834</v>
      </c>
      <c r="C329" s="1212"/>
      <c r="D329" s="1212"/>
      <c r="E329" s="1212"/>
      <c r="F329" s="1208"/>
      <c r="G329" s="1208"/>
      <c r="H329" s="1208"/>
      <c r="I329" s="1209">
        <v>233</v>
      </c>
      <c r="J329" s="1209">
        <f>I329</f>
        <v>233</v>
      </c>
      <c r="K329" s="1210">
        <f t="shared" si="117"/>
        <v>1.05</v>
      </c>
      <c r="L329" s="1210">
        <f t="shared" si="110"/>
        <v>244.65</v>
      </c>
      <c r="M329" s="1197">
        <f t="shared" si="111"/>
        <v>244.7</v>
      </c>
      <c r="N329" s="1211">
        <f t="shared" si="112"/>
        <v>245</v>
      </c>
      <c r="O329" s="1212"/>
      <c r="P329" s="1200"/>
      <c r="Q329" s="1200"/>
      <c r="R329" s="1213"/>
      <c r="S329" s="1213"/>
      <c r="T329" s="1213"/>
      <c r="U329" s="1213"/>
      <c r="V329" s="1213"/>
    </row>
    <row r="330" spans="1:22" ht="15" thickTop="1" thickBot="1" x14ac:dyDescent="0.3">
      <c r="A330" s="1207"/>
      <c r="B330" s="1212"/>
      <c r="C330" s="1212"/>
      <c r="D330" s="1212"/>
      <c r="E330" s="1212"/>
      <c r="F330" s="1208"/>
      <c r="G330" s="1208"/>
      <c r="H330" s="1208"/>
      <c r="I330" s="1209"/>
      <c r="J330" s="1209"/>
      <c r="K330" s="1210">
        <f t="shared" si="117"/>
        <v>1.05</v>
      </c>
      <c r="L330" s="1210">
        <f t="shared" si="110"/>
        <v>0</v>
      </c>
      <c r="M330" s="1197">
        <f t="shared" si="111"/>
        <v>0</v>
      </c>
      <c r="N330" s="1211">
        <f t="shared" si="112"/>
        <v>0</v>
      </c>
      <c r="O330" s="1212"/>
      <c r="P330" s="1200"/>
      <c r="Q330" s="1200"/>
      <c r="R330" s="1213"/>
      <c r="S330" s="1213"/>
      <c r="T330" s="1213"/>
      <c r="U330" s="1213"/>
      <c r="V330" s="1213"/>
    </row>
    <row r="331" spans="1:22" ht="15" thickTop="1" thickBot="1" x14ac:dyDescent="0.3">
      <c r="A331" s="1207"/>
      <c r="B331" s="1212" t="s">
        <v>1473</v>
      </c>
      <c r="C331" s="1212"/>
      <c r="D331" s="1212"/>
      <c r="E331" s="1212"/>
      <c r="F331" s="1208"/>
      <c r="G331" s="1208"/>
      <c r="H331" s="1208"/>
      <c r="I331" s="1209">
        <v>198</v>
      </c>
      <c r="J331" s="1209">
        <f>I331</f>
        <v>198</v>
      </c>
      <c r="K331" s="1210">
        <f t="shared" si="117"/>
        <v>1.05</v>
      </c>
      <c r="L331" s="1210">
        <f t="shared" si="110"/>
        <v>207.9</v>
      </c>
      <c r="M331" s="1197">
        <f t="shared" si="111"/>
        <v>207.9</v>
      </c>
      <c r="N331" s="1211">
        <f t="shared" si="112"/>
        <v>208</v>
      </c>
      <c r="O331" s="1212"/>
      <c r="P331" s="1200"/>
      <c r="Q331" s="1200"/>
      <c r="R331" s="1213"/>
      <c r="S331" s="1213"/>
      <c r="T331" s="1213"/>
      <c r="U331" s="1213"/>
      <c r="V331" s="1213"/>
    </row>
    <row r="332" spans="1:22" ht="15" thickTop="1" thickBot="1" x14ac:dyDescent="0.3">
      <c r="A332" s="1207"/>
      <c r="B332" s="1212"/>
      <c r="C332" s="1212"/>
      <c r="D332" s="1212"/>
      <c r="E332" s="1212"/>
      <c r="F332" s="1208"/>
      <c r="G332" s="1208"/>
      <c r="H332" s="1208"/>
      <c r="I332" s="1209"/>
      <c r="J332" s="1209"/>
      <c r="K332" s="1210">
        <f t="shared" si="117"/>
        <v>1.05</v>
      </c>
      <c r="L332" s="1210">
        <f t="shared" si="110"/>
        <v>0</v>
      </c>
      <c r="M332" s="1197">
        <f t="shared" si="111"/>
        <v>0</v>
      </c>
      <c r="N332" s="1211">
        <f t="shared" si="112"/>
        <v>0</v>
      </c>
      <c r="O332" s="1212"/>
      <c r="P332" s="1200"/>
      <c r="Q332" s="1200"/>
      <c r="R332" s="1213"/>
      <c r="S332" s="1213"/>
      <c r="T332" s="1213"/>
      <c r="U332" s="1213"/>
      <c r="V332" s="1213"/>
    </row>
    <row r="333" spans="1:22" ht="15" thickTop="1" thickBot="1" x14ac:dyDescent="0.3">
      <c r="A333" s="1207"/>
      <c r="B333" s="1212" t="s">
        <v>1656</v>
      </c>
      <c r="C333" s="1212"/>
      <c r="D333" s="1212"/>
      <c r="E333" s="1212"/>
      <c r="F333" s="1208">
        <v>5.1150000000000002</v>
      </c>
      <c r="G333" s="1208">
        <v>2.4500000000000002</v>
      </c>
      <c r="H333" s="1208"/>
      <c r="I333" s="1209"/>
      <c r="J333" s="1209">
        <f>G333*F333</f>
        <v>12.531750000000001</v>
      </c>
      <c r="K333" s="1210">
        <f t="shared" si="117"/>
        <v>1.05</v>
      </c>
      <c r="L333" s="1210">
        <f t="shared" si="110"/>
        <v>13.158337500000002</v>
      </c>
      <c r="M333" s="1197">
        <f t="shared" si="111"/>
        <v>13.2</v>
      </c>
      <c r="N333" s="1211">
        <f t="shared" si="112"/>
        <v>14</v>
      </c>
      <c r="O333" s="1212"/>
      <c r="P333" s="1200"/>
      <c r="Q333" s="1200"/>
      <c r="R333" s="1213"/>
      <c r="S333" s="1213"/>
      <c r="T333" s="1213"/>
      <c r="U333" s="1213"/>
      <c r="V333" s="1213"/>
    </row>
    <row r="334" spans="1:22" ht="15" thickTop="1" thickBot="1" x14ac:dyDescent="0.3">
      <c r="A334" s="1207"/>
      <c r="B334" s="1212"/>
      <c r="C334" s="1212"/>
      <c r="D334" s="1212"/>
      <c r="E334" s="1212"/>
      <c r="F334" s="1208"/>
      <c r="G334" s="1208"/>
      <c r="H334" s="1208"/>
      <c r="I334" s="1209"/>
      <c r="J334" s="1209"/>
      <c r="K334" s="1210">
        <f t="shared" si="117"/>
        <v>1.05</v>
      </c>
      <c r="L334" s="1210">
        <f t="shared" si="110"/>
        <v>0</v>
      </c>
      <c r="M334" s="1197">
        <f t="shared" si="111"/>
        <v>0</v>
      </c>
      <c r="N334" s="1211">
        <f t="shared" si="112"/>
        <v>0</v>
      </c>
      <c r="O334" s="1212"/>
      <c r="P334" s="1200"/>
      <c r="Q334" s="1200"/>
      <c r="R334" s="1213"/>
      <c r="S334" s="1213"/>
      <c r="T334" s="1213"/>
      <c r="U334" s="1213"/>
      <c r="V334" s="1213"/>
    </row>
    <row r="335" spans="1:22" ht="15" thickTop="1" thickBot="1" x14ac:dyDescent="0.3">
      <c r="A335" s="1207"/>
      <c r="B335" s="1212" t="s">
        <v>3201</v>
      </c>
      <c r="C335" s="1212"/>
      <c r="D335" s="1212"/>
      <c r="E335" s="1212"/>
      <c r="F335" s="1208">
        <f>(13.61+11.644)/2</f>
        <v>12.626999999999999</v>
      </c>
      <c r="G335" s="1208">
        <v>10.18</v>
      </c>
      <c r="H335" s="1208"/>
      <c r="I335" s="1209">
        <f>G335*F335</f>
        <v>128.54285999999999</v>
      </c>
      <c r="J335" s="1209"/>
      <c r="K335" s="1210">
        <f t="shared" si="117"/>
        <v>1.05</v>
      </c>
      <c r="L335" s="1210">
        <f t="shared" si="110"/>
        <v>0</v>
      </c>
      <c r="M335" s="1197">
        <f t="shared" si="111"/>
        <v>0</v>
      </c>
      <c r="N335" s="1211">
        <f t="shared" si="112"/>
        <v>0</v>
      </c>
      <c r="O335" s="1212"/>
      <c r="P335" s="1200"/>
      <c r="Q335" s="1200"/>
      <c r="R335" s="1213"/>
      <c r="S335" s="1213"/>
      <c r="T335" s="1213"/>
      <c r="U335" s="1213"/>
      <c r="V335" s="1213"/>
    </row>
    <row r="336" spans="1:22" ht="15" thickTop="1" thickBot="1" x14ac:dyDescent="0.3">
      <c r="A336" s="1207"/>
      <c r="B336" s="1212"/>
      <c r="C336" s="1212"/>
      <c r="D336" s="1212"/>
      <c r="E336" s="1212"/>
      <c r="F336" s="1208">
        <f>(11.644+10.141)/2</f>
        <v>10.8925</v>
      </c>
      <c r="G336" s="1208">
        <v>8.1419999999999995</v>
      </c>
      <c r="H336" s="1208"/>
      <c r="I336" s="1209">
        <f>G336*F336</f>
        <v>88.686734999999999</v>
      </c>
      <c r="J336" s="1209"/>
      <c r="K336" s="1210">
        <f t="shared" si="117"/>
        <v>1.05</v>
      </c>
      <c r="L336" s="1210">
        <f t="shared" si="110"/>
        <v>0</v>
      </c>
      <c r="M336" s="1197">
        <f t="shared" si="111"/>
        <v>0</v>
      </c>
      <c r="N336" s="1211">
        <f t="shared" si="112"/>
        <v>0</v>
      </c>
      <c r="O336" s="1212"/>
      <c r="P336" s="1200"/>
      <c r="Q336" s="1200"/>
      <c r="R336" s="1213"/>
      <c r="S336" s="1213"/>
      <c r="T336" s="1213"/>
      <c r="U336" s="1213"/>
      <c r="V336" s="1213"/>
    </row>
    <row r="337" spans="1:22" ht="15" thickTop="1" thickBot="1" x14ac:dyDescent="0.3">
      <c r="A337" s="1207"/>
      <c r="B337" s="1212"/>
      <c r="C337" s="1212"/>
      <c r="D337" s="1212"/>
      <c r="E337" s="1212"/>
      <c r="F337" s="1208"/>
      <c r="G337" s="1208"/>
      <c r="H337" s="1208"/>
      <c r="I337" s="1209"/>
      <c r="J337" s="1209">
        <f>SUM(I335:I336)</f>
        <v>217.22959499999999</v>
      </c>
      <c r="K337" s="1210">
        <f t="shared" si="117"/>
        <v>1.05</v>
      </c>
      <c r="L337" s="1210">
        <f t="shared" si="110"/>
        <v>228.09107474999999</v>
      </c>
      <c r="M337" s="1197">
        <f t="shared" si="111"/>
        <v>228.1</v>
      </c>
      <c r="N337" s="1211">
        <f t="shared" si="112"/>
        <v>229</v>
      </c>
      <c r="O337" s="1212"/>
      <c r="P337" s="1200"/>
      <c r="Q337" s="1200"/>
      <c r="R337" s="1213"/>
      <c r="S337" s="1213"/>
      <c r="T337" s="1213"/>
      <c r="U337" s="1213"/>
      <c r="V337" s="1213"/>
    </row>
    <row r="338" spans="1:22" ht="15" thickTop="1" thickBot="1" x14ac:dyDescent="0.3">
      <c r="A338" s="1207"/>
      <c r="B338" s="1212"/>
      <c r="C338" s="1212"/>
      <c r="D338" s="1212"/>
      <c r="E338" s="1212"/>
      <c r="F338" s="1208"/>
      <c r="G338" s="1208"/>
      <c r="H338" s="1208"/>
      <c r="I338" s="1209"/>
      <c r="J338" s="1209"/>
      <c r="K338" s="1210">
        <f t="shared" si="117"/>
        <v>1.05</v>
      </c>
      <c r="L338" s="1210">
        <f t="shared" si="110"/>
        <v>0</v>
      </c>
      <c r="M338" s="1197">
        <f t="shared" si="111"/>
        <v>0</v>
      </c>
      <c r="N338" s="1211">
        <f t="shared" si="112"/>
        <v>0</v>
      </c>
      <c r="O338" s="1212"/>
      <c r="P338" s="1200"/>
      <c r="Q338" s="1200"/>
      <c r="R338" s="1213"/>
      <c r="S338" s="1213"/>
      <c r="T338" s="1213"/>
      <c r="U338" s="1213"/>
      <c r="V338" s="1213"/>
    </row>
    <row r="339" spans="1:22" ht="15" thickTop="1" thickBot="1" x14ac:dyDescent="0.3">
      <c r="A339" s="1207"/>
      <c r="B339" s="1212"/>
      <c r="C339" s="1212"/>
      <c r="D339" s="1212"/>
      <c r="E339" s="1212"/>
      <c r="F339" s="1208"/>
      <c r="G339" s="1208"/>
      <c r="H339" s="1208"/>
      <c r="I339" s="1209"/>
      <c r="J339" s="1209"/>
      <c r="K339" s="1210">
        <f t="shared" si="117"/>
        <v>1.05</v>
      </c>
      <c r="L339" s="1210">
        <f t="shared" si="110"/>
        <v>0</v>
      </c>
      <c r="M339" s="1197">
        <f t="shared" si="111"/>
        <v>0</v>
      </c>
      <c r="N339" s="1211">
        <f t="shared" si="112"/>
        <v>0</v>
      </c>
      <c r="O339" s="1212"/>
      <c r="P339" s="1200"/>
      <c r="Q339" s="1200"/>
      <c r="R339" s="1213"/>
      <c r="S339" s="1213"/>
      <c r="T339" s="1213"/>
      <c r="U339" s="1213"/>
      <c r="V339" s="1213"/>
    </row>
    <row r="340" spans="1:22" ht="15" thickTop="1" thickBot="1" x14ac:dyDescent="0.3">
      <c r="A340" s="1207"/>
      <c r="B340" s="1212" t="s">
        <v>3294</v>
      </c>
      <c r="C340" s="1212"/>
      <c r="D340" s="1212"/>
      <c r="E340" s="1212"/>
      <c r="F340" s="1208"/>
      <c r="G340" s="1208"/>
      <c r="H340" s="1208"/>
      <c r="I340" s="1209"/>
      <c r="J340" s="1209">
        <v>100</v>
      </c>
      <c r="K340" s="1210">
        <f t="shared" si="117"/>
        <v>1.05</v>
      </c>
      <c r="L340" s="1210">
        <f t="shared" si="110"/>
        <v>105</v>
      </c>
      <c r="M340" s="1197">
        <f t="shared" si="111"/>
        <v>105</v>
      </c>
      <c r="N340" s="1211">
        <f t="shared" si="112"/>
        <v>105</v>
      </c>
      <c r="O340" s="1212"/>
      <c r="P340" s="1200"/>
      <c r="Q340" s="1200"/>
      <c r="R340" s="1213"/>
      <c r="S340" s="1213"/>
      <c r="T340" s="1213"/>
      <c r="U340" s="1213"/>
      <c r="V340" s="1213"/>
    </row>
    <row r="341" spans="1:22" ht="15" thickTop="1" thickBot="1" x14ac:dyDescent="0.3">
      <c r="A341" s="1207"/>
      <c r="B341" s="1212"/>
      <c r="C341" s="1212"/>
      <c r="D341" s="1212"/>
      <c r="E341" s="1212"/>
      <c r="F341" s="1208"/>
      <c r="G341" s="1208"/>
      <c r="H341" s="1208"/>
      <c r="I341" s="1209"/>
      <c r="J341" s="1209"/>
      <c r="K341" s="1210">
        <f t="shared" si="117"/>
        <v>1.05</v>
      </c>
      <c r="L341" s="1210">
        <f t="shared" si="110"/>
        <v>0</v>
      </c>
      <c r="M341" s="1197">
        <f t="shared" si="111"/>
        <v>0</v>
      </c>
      <c r="N341" s="1211">
        <f t="shared" si="112"/>
        <v>0</v>
      </c>
      <c r="O341" s="1212"/>
      <c r="P341" s="1200"/>
      <c r="Q341" s="1200"/>
      <c r="R341" s="1213"/>
      <c r="S341" s="1213"/>
      <c r="T341" s="1213"/>
      <c r="U341" s="1213"/>
      <c r="V341" s="1213"/>
    </row>
    <row r="342" spans="1:22" ht="15" thickTop="1" thickBot="1" x14ac:dyDescent="0.3">
      <c r="A342" s="1207"/>
      <c r="B342" s="1212" t="s">
        <v>3295</v>
      </c>
      <c r="C342" s="1212"/>
      <c r="D342" s="1212"/>
      <c r="E342" s="1212"/>
      <c r="F342" s="1208"/>
      <c r="G342" s="1208"/>
      <c r="H342" s="1208"/>
      <c r="I342" s="1209"/>
      <c r="J342" s="1209">
        <v>53</v>
      </c>
      <c r="K342" s="1210">
        <f t="shared" si="117"/>
        <v>1.05</v>
      </c>
      <c r="L342" s="1210">
        <f t="shared" si="110"/>
        <v>55.650000000000006</v>
      </c>
      <c r="M342" s="1197">
        <f t="shared" si="111"/>
        <v>55.7</v>
      </c>
      <c r="N342" s="1211">
        <f t="shared" si="112"/>
        <v>56</v>
      </c>
      <c r="O342" s="1212"/>
      <c r="P342" s="1200"/>
      <c r="Q342" s="1200"/>
      <c r="R342" s="1213"/>
      <c r="S342" s="1213"/>
      <c r="T342" s="1213"/>
      <c r="U342" s="1213"/>
      <c r="V342" s="1213"/>
    </row>
    <row r="343" spans="1:22" ht="15" thickTop="1" thickBot="1" x14ac:dyDescent="0.3">
      <c r="A343" s="1207"/>
      <c r="B343" s="1212"/>
      <c r="C343" s="1212"/>
      <c r="D343" s="1212"/>
      <c r="E343" s="1212"/>
      <c r="F343" s="1208"/>
      <c r="G343" s="1208"/>
      <c r="H343" s="1208"/>
      <c r="I343" s="1209"/>
      <c r="J343" s="1209"/>
      <c r="K343" s="1210">
        <f t="shared" si="117"/>
        <v>1.05</v>
      </c>
      <c r="L343" s="1210">
        <f t="shared" si="110"/>
        <v>0</v>
      </c>
      <c r="M343" s="1197">
        <f t="shared" si="111"/>
        <v>0</v>
      </c>
      <c r="N343" s="1211">
        <f t="shared" si="112"/>
        <v>0</v>
      </c>
      <c r="O343" s="1212"/>
      <c r="P343" s="1200"/>
      <c r="Q343" s="1200"/>
      <c r="R343" s="1213"/>
      <c r="S343" s="1213"/>
      <c r="T343" s="1213"/>
      <c r="U343" s="1213"/>
      <c r="V343" s="1213"/>
    </row>
    <row r="344" spans="1:22" ht="15" thickTop="1" thickBot="1" x14ac:dyDescent="0.3">
      <c r="A344" s="1207"/>
      <c r="B344" s="1212" t="s">
        <v>3296</v>
      </c>
      <c r="C344" s="1212"/>
      <c r="D344" s="1212"/>
      <c r="E344" s="1212"/>
      <c r="F344" s="1208"/>
      <c r="G344" s="1208"/>
      <c r="H344" s="1208"/>
      <c r="I344" s="1209">
        <v>16</v>
      </c>
      <c r="J344" s="1209"/>
      <c r="K344" s="1210">
        <f t="shared" si="117"/>
        <v>1.05</v>
      </c>
      <c r="L344" s="1210">
        <f t="shared" si="110"/>
        <v>0</v>
      </c>
      <c r="M344" s="1197">
        <f t="shared" si="111"/>
        <v>0</v>
      </c>
      <c r="N344" s="1211">
        <f t="shared" si="112"/>
        <v>0</v>
      </c>
      <c r="O344" s="1212"/>
      <c r="P344" s="1200"/>
      <c r="Q344" s="1200"/>
      <c r="R344" s="1213"/>
      <c r="S344" s="1213"/>
      <c r="T344" s="1213"/>
      <c r="U344" s="1213"/>
      <c r="V344" s="1213"/>
    </row>
    <row r="345" spans="1:22" ht="15" thickTop="1" thickBot="1" x14ac:dyDescent="0.3">
      <c r="A345" s="1207"/>
      <c r="B345" s="1212"/>
      <c r="C345" s="1212"/>
      <c r="D345" s="1212"/>
      <c r="E345" s="1212"/>
      <c r="F345" s="1208"/>
      <c r="G345" s="1208"/>
      <c r="H345" s="1208"/>
      <c r="I345" s="1209">
        <v>14.3</v>
      </c>
      <c r="J345" s="1209">
        <f>SUM(I344:I345)</f>
        <v>30.3</v>
      </c>
      <c r="K345" s="1210">
        <f t="shared" si="117"/>
        <v>1.05</v>
      </c>
      <c r="L345" s="1210">
        <f t="shared" si="110"/>
        <v>31.815000000000001</v>
      </c>
      <c r="M345" s="1197">
        <f t="shared" si="111"/>
        <v>31.8</v>
      </c>
      <c r="N345" s="1211">
        <f t="shared" si="112"/>
        <v>32</v>
      </c>
      <c r="O345" s="1212"/>
      <c r="P345" s="1200"/>
      <c r="Q345" s="1200"/>
      <c r="R345" s="1213"/>
      <c r="S345" s="1213"/>
      <c r="T345" s="1213"/>
      <c r="U345" s="1213"/>
      <c r="V345" s="1213"/>
    </row>
    <row r="346" spans="1:22" ht="15" thickTop="1" thickBot="1" x14ac:dyDescent="0.3">
      <c r="A346" s="1207"/>
      <c r="B346" s="1212"/>
      <c r="C346" s="1212"/>
      <c r="D346" s="1212"/>
      <c r="E346" s="1212"/>
      <c r="F346" s="1208"/>
      <c r="G346" s="1208"/>
      <c r="H346" s="1208"/>
      <c r="I346" s="1209"/>
      <c r="J346" s="1209"/>
      <c r="K346" s="1210">
        <f t="shared" si="117"/>
        <v>1.05</v>
      </c>
      <c r="L346" s="1210">
        <f t="shared" si="110"/>
        <v>0</v>
      </c>
      <c r="M346" s="1197">
        <f t="shared" si="111"/>
        <v>0</v>
      </c>
      <c r="N346" s="1211">
        <f t="shared" si="112"/>
        <v>0</v>
      </c>
      <c r="O346" s="1212"/>
      <c r="P346" s="1200"/>
      <c r="Q346" s="1200"/>
      <c r="R346" s="1213"/>
      <c r="S346" s="1213"/>
      <c r="T346" s="1213"/>
      <c r="U346" s="1213"/>
      <c r="V346" s="1213"/>
    </row>
    <row r="347" spans="1:22" ht="15" thickTop="1" thickBot="1" x14ac:dyDescent="0.3">
      <c r="A347" s="1207"/>
      <c r="B347" s="1212"/>
      <c r="C347" s="1212"/>
      <c r="D347" s="1212"/>
      <c r="E347" s="1212"/>
      <c r="F347" s="1208"/>
      <c r="G347" s="1208"/>
      <c r="H347" s="1208"/>
      <c r="I347" s="1209"/>
      <c r="J347" s="1209"/>
      <c r="K347" s="1210">
        <f t="shared" si="117"/>
        <v>1.05</v>
      </c>
      <c r="L347" s="1210">
        <f t="shared" si="110"/>
        <v>0</v>
      </c>
      <c r="M347" s="1197">
        <f t="shared" si="111"/>
        <v>0</v>
      </c>
      <c r="N347" s="1211">
        <f t="shared" si="112"/>
        <v>0</v>
      </c>
      <c r="O347" s="1212"/>
      <c r="P347" s="1200"/>
      <c r="Q347" s="1200"/>
      <c r="R347" s="1213"/>
      <c r="S347" s="1213"/>
      <c r="T347" s="1213"/>
      <c r="U347" s="1213"/>
      <c r="V347" s="1213"/>
    </row>
    <row r="348" spans="1:22" ht="15" thickTop="1" thickBot="1" x14ac:dyDescent="0.3">
      <c r="A348" s="1207"/>
      <c r="B348" s="1212" t="s">
        <v>3295</v>
      </c>
      <c r="C348" s="1212"/>
      <c r="D348" s="1212"/>
      <c r="E348" s="1212"/>
      <c r="F348" s="1208"/>
      <c r="G348" s="1208"/>
      <c r="H348" s="1208"/>
      <c r="I348" s="1209">
        <v>16</v>
      </c>
      <c r="J348" s="1209"/>
      <c r="K348" s="1210">
        <f t="shared" si="117"/>
        <v>1.05</v>
      </c>
      <c r="L348" s="1210">
        <f t="shared" si="110"/>
        <v>0</v>
      </c>
      <c r="M348" s="1197">
        <f t="shared" si="111"/>
        <v>0</v>
      </c>
      <c r="N348" s="1211">
        <f t="shared" si="112"/>
        <v>0</v>
      </c>
      <c r="O348" s="1212"/>
      <c r="P348" s="1200"/>
      <c r="Q348" s="1200"/>
      <c r="R348" s="1213"/>
      <c r="S348" s="1213"/>
      <c r="T348" s="1213"/>
      <c r="U348" s="1213"/>
      <c r="V348" s="1213"/>
    </row>
    <row r="349" spans="1:22" ht="15" thickTop="1" thickBot="1" x14ac:dyDescent="0.3">
      <c r="A349" s="1207"/>
      <c r="B349" s="1212"/>
      <c r="C349" s="1212"/>
      <c r="D349" s="1212"/>
      <c r="E349" s="1212"/>
      <c r="F349" s="1208"/>
      <c r="G349" s="1208"/>
      <c r="H349" s="1208"/>
      <c r="I349" s="1209">
        <v>15.4</v>
      </c>
      <c r="J349" s="1209">
        <f>SUM(I348:I349)</f>
        <v>31.4</v>
      </c>
      <c r="K349" s="1210">
        <f t="shared" si="117"/>
        <v>1.05</v>
      </c>
      <c r="L349" s="1210">
        <f t="shared" si="110"/>
        <v>32.97</v>
      </c>
      <c r="M349" s="1197">
        <f t="shared" si="111"/>
        <v>33</v>
      </c>
      <c r="N349" s="1211">
        <f t="shared" si="112"/>
        <v>33</v>
      </c>
      <c r="O349" s="1212"/>
      <c r="P349" s="1200"/>
      <c r="Q349" s="1200"/>
      <c r="R349" s="1213"/>
      <c r="S349" s="1213"/>
      <c r="T349" s="1213"/>
      <c r="U349" s="1213"/>
      <c r="V349" s="1213"/>
    </row>
    <row r="350" spans="1:22" ht="15" thickTop="1" thickBot="1" x14ac:dyDescent="0.3">
      <c r="A350" s="1207"/>
      <c r="B350" s="1212"/>
      <c r="C350" s="1212"/>
      <c r="D350" s="1212"/>
      <c r="E350" s="1212"/>
      <c r="F350" s="1208"/>
      <c r="G350" s="1208"/>
      <c r="H350" s="1208"/>
      <c r="I350" s="1209"/>
      <c r="J350" s="1209"/>
      <c r="K350" s="1210">
        <f t="shared" si="117"/>
        <v>1.05</v>
      </c>
      <c r="L350" s="1210">
        <f t="shared" si="110"/>
        <v>0</v>
      </c>
      <c r="M350" s="1197">
        <f t="shared" si="111"/>
        <v>0</v>
      </c>
      <c r="N350" s="1211">
        <f t="shared" si="112"/>
        <v>0</v>
      </c>
      <c r="O350" s="1212"/>
      <c r="P350" s="1200"/>
      <c r="Q350" s="1200"/>
      <c r="R350" s="1213"/>
      <c r="S350" s="1213"/>
      <c r="T350" s="1213"/>
      <c r="U350" s="1213"/>
      <c r="V350" s="1213"/>
    </row>
    <row r="351" spans="1:22" ht="15" thickTop="1" thickBot="1" x14ac:dyDescent="0.3">
      <c r="A351" s="1207"/>
      <c r="B351" s="1212" t="s">
        <v>3297</v>
      </c>
      <c r="C351" s="1212"/>
      <c r="D351" s="1212"/>
      <c r="E351" s="1212"/>
      <c r="F351" s="1208"/>
      <c r="G351" s="1208"/>
      <c r="H351" s="1208"/>
      <c r="I351" s="1209"/>
      <c r="J351" s="1209">
        <v>31</v>
      </c>
      <c r="K351" s="1210">
        <f t="shared" si="117"/>
        <v>1.05</v>
      </c>
      <c r="L351" s="1210">
        <f t="shared" si="110"/>
        <v>32.550000000000004</v>
      </c>
      <c r="M351" s="1197">
        <f t="shared" si="111"/>
        <v>32.6</v>
      </c>
      <c r="N351" s="1211">
        <f t="shared" si="112"/>
        <v>33</v>
      </c>
      <c r="O351" s="1212"/>
      <c r="P351" s="1200"/>
      <c r="Q351" s="1200"/>
      <c r="R351" s="1213"/>
      <c r="S351" s="1213"/>
      <c r="T351" s="1213"/>
      <c r="U351" s="1213"/>
      <c r="V351" s="1213"/>
    </row>
    <row r="352" spans="1:22" ht="15" thickTop="1" thickBot="1" x14ac:dyDescent="0.3">
      <c r="A352" s="1207"/>
      <c r="B352" s="1212"/>
      <c r="C352" s="1212"/>
      <c r="D352" s="1212"/>
      <c r="E352" s="1212"/>
      <c r="F352" s="1208"/>
      <c r="G352" s="1208"/>
      <c r="H352" s="1208"/>
      <c r="I352" s="1209"/>
      <c r="J352" s="1209"/>
      <c r="K352" s="1210">
        <f t="shared" si="117"/>
        <v>1.05</v>
      </c>
      <c r="L352" s="1210">
        <f t="shared" ref="L352:L417" si="118">K352*J352</f>
        <v>0</v>
      </c>
      <c r="M352" s="1197">
        <f t="shared" ref="M352:M417" si="119">ROUND(L352,1)</f>
        <v>0</v>
      </c>
      <c r="N352" s="1211">
        <f t="shared" ref="N352:N417" si="120">ROUNDUP(M352,0)</f>
        <v>0</v>
      </c>
      <c r="O352" s="1212"/>
      <c r="P352" s="1200"/>
      <c r="Q352" s="1200"/>
      <c r="R352" s="1213"/>
      <c r="S352" s="1213"/>
      <c r="T352" s="1213"/>
      <c r="U352" s="1213"/>
      <c r="V352" s="1213"/>
    </row>
    <row r="353" spans="1:22" ht="15" thickTop="1" thickBot="1" x14ac:dyDescent="0.3">
      <c r="A353" s="1207"/>
      <c r="B353" s="1212" t="s">
        <v>3302</v>
      </c>
      <c r="C353" s="1212"/>
      <c r="D353" s="1212"/>
      <c r="E353" s="1212"/>
      <c r="F353" s="1208"/>
      <c r="G353" s="1208"/>
      <c r="H353" s="1208"/>
      <c r="I353" s="1209"/>
      <c r="J353" s="1209">
        <v>5</v>
      </c>
      <c r="K353" s="1210">
        <f t="shared" si="117"/>
        <v>1.05</v>
      </c>
      <c r="L353" s="1210">
        <f t="shared" si="118"/>
        <v>5.25</v>
      </c>
      <c r="M353" s="1197">
        <f t="shared" si="119"/>
        <v>5.3</v>
      </c>
      <c r="N353" s="1211">
        <f t="shared" si="120"/>
        <v>6</v>
      </c>
      <c r="O353" s="1212"/>
      <c r="P353" s="1200"/>
      <c r="Q353" s="1200"/>
      <c r="R353" s="1213"/>
      <c r="S353" s="1213"/>
      <c r="T353" s="1213"/>
      <c r="U353" s="1213"/>
      <c r="V353" s="1213"/>
    </row>
    <row r="354" spans="1:22" ht="15" thickTop="1" thickBot="1" x14ac:dyDescent="0.3">
      <c r="A354" s="1207"/>
      <c r="B354" s="1212" t="s">
        <v>3295</v>
      </c>
      <c r="C354" s="1212"/>
      <c r="D354" s="1212"/>
      <c r="E354" s="1212"/>
      <c r="F354" s="1208"/>
      <c r="G354" s="1208"/>
      <c r="H354" s="1208"/>
      <c r="I354" s="1209"/>
      <c r="J354" s="1209">
        <v>9.5</v>
      </c>
      <c r="K354" s="1210">
        <f t="shared" si="117"/>
        <v>1.05</v>
      </c>
      <c r="L354" s="1210">
        <f t="shared" si="118"/>
        <v>9.9749999999999996</v>
      </c>
      <c r="M354" s="1197">
        <f t="shared" si="119"/>
        <v>10</v>
      </c>
      <c r="N354" s="1211">
        <f t="shared" si="120"/>
        <v>10</v>
      </c>
      <c r="O354" s="1212"/>
      <c r="P354" s="1200"/>
      <c r="Q354" s="1200"/>
      <c r="R354" s="1213"/>
      <c r="S354" s="1213"/>
      <c r="T354" s="1213"/>
      <c r="U354" s="1213"/>
      <c r="V354" s="1213"/>
    </row>
    <row r="355" spans="1:22" ht="15" thickTop="1" thickBot="1" x14ac:dyDescent="0.3">
      <c r="A355" s="1207"/>
      <c r="B355" s="1212"/>
      <c r="C355" s="1212"/>
      <c r="D355" s="1212"/>
      <c r="E355" s="1212"/>
      <c r="F355" s="1208"/>
      <c r="G355" s="1208"/>
      <c r="H355" s="1208"/>
      <c r="I355" s="1209"/>
      <c r="J355" s="1209"/>
      <c r="K355" s="1210">
        <f t="shared" si="117"/>
        <v>1.05</v>
      </c>
      <c r="L355" s="1210">
        <f t="shared" si="118"/>
        <v>0</v>
      </c>
      <c r="M355" s="1197">
        <f t="shared" si="119"/>
        <v>0</v>
      </c>
      <c r="N355" s="1211">
        <f t="shared" si="120"/>
        <v>0</v>
      </c>
      <c r="O355" s="1212"/>
      <c r="P355" s="1200"/>
      <c r="Q355" s="1200"/>
      <c r="R355" s="1213"/>
      <c r="S355" s="1213"/>
      <c r="T355" s="1213"/>
      <c r="U355" s="1213"/>
      <c r="V355" s="1213"/>
    </row>
    <row r="356" spans="1:22" ht="15" thickTop="1" thickBot="1" x14ac:dyDescent="0.3">
      <c r="A356" s="1207"/>
      <c r="B356" s="1212" t="s">
        <v>3305</v>
      </c>
      <c r="C356" s="1212"/>
      <c r="D356" s="1212"/>
      <c r="E356" s="1212"/>
      <c r="F356" s="1208"/>
      <c r="G356" s="1208"/>
      <c r="H356" s="1208"/>
      <c r="I356" s="1209"/>
      <c r="J356" s="1209">
        <v>11</v>
      </c>
      <c r="K356" s="1210">
        <f t="shared" si="117"/>
        <v>1.05</v>
      </c>
      <c r="L356" s="1210">
        <f t="shared" si="118"/>
        <v>11.55</v>
      </c>
      <c r="M356" s="1197">
        <f t="shared" si="119"/>
        <v>11.6</v>
      </c>
      <c r="N356" s="1211">
        <f t="shared" si="120"/>
        <v>12</v>
      </c>
      <c r="O356" s="1212"/>
      <c r="P356" s="1200"/>
      <c r="Q356" s="1200"/>
      <c r="R356" s="1213"/>
      <c r="S356" s="1213"/>
      <c r="T356" s="1213"/>
      <c r="U356" s="1213"/>
      <c r="V356" s="1213"/>
    </row>
    <row r="357" spans="1:22" ht="15" thickTop="1" thickBot="1" x14ac:dyDescent="0.3">
      <c r="A357" s="1207"/>
      <c r="B357" s="1212" t="s">
        <v>3295</v>
      </c>
      <c r="C357" s="1212"/>
      <c r="D357" s="1212"/>
      <c r="E357" s="1212"/>
      <c r="F357" s="1208"/>
      <c r="G357" s="1208"/>
      <c r="H357" s="1208"/>
      <c r="I357" s="1209"/>
      <c r="J357" s="1209">
        <v>13</v>
      </c>
      <c r="K357" s="1210">
        <f t="shared" si="117"/>
        <v>1.05</v>
      </c>
      <c r="L357" s="1210">
        <f t="shared" si="118"/>
        <v>13.65</v>
      </c>
      <c r="M357" s="1197">
        <f t="shared" si="119"/>
        <v>13.7</v>
      </c>
      <c r="N357" s="1211">
        <f t="shared" si="120"/>
        <v>14</v>
      </c>
      <c r="O357" s="1212"/>
      <c r="P357" s="1200"/>
      <c r="Q357" s="1200"/>
      <c r="R357" s="1213"/>
      <c r="S357" s="1213"/>
      <c r="T357" s="1213"/>
      <c r="U357" s="1213"/>
      <c r="V357" s="1213"/>
    </row>
    <row r="358" spans="1:22" ht="15" thickTop="1" thickBot="1" x14ac:dyDescent="0.3">
      <c r="A358" s="1207"/>
      <c r="B358" s="1212"/>
      <c r="C358" s="1212"/>
      <c r="D358" s="1212"/>
      <c r="E358" s="1212"/>
      <c r="F358" s="1208"/>
      <c r="G358" s="1208"/>
      <c r="H358" s="1208"/>
      <c r="I358" s="1209"/>
      <c r="J358" s="1209"/>
      <c r="K358" s="1210">
        <f t="shared" si="117"/>
        <v>1.05</v>
      </c>
      <c r="L358" s="1210">
        <f t="shared" si="118"/>
        <v>0</v>
      </c>
      <c r="M358" s="1197">
        <f t="shared" si="119"/>
        <v>0</v>
      </c>
      <c r="N358" s="1211">
        <f t="shared" si="120"/>
        <v>0</v>
      </c>
      <c r="O358" s="1212"/>
      <c r="P358" s="1200"/>
      <c r="Q358" s="1200"/>
      <c r="R358" s="1213"/>
      <c r="S358" s="1213"/>
      <c r="T358" s="1213"/>
      <c r="U358" s="1213"/>
      <c r="V358" s="1213"/>
    </row>
    <row r="359" spans="1:22" ht="15" thickTop="1" thickBot="1" x14ac:dyDescent="0.3">
      <c r="A359" s="1207"/>
      <c r="B359" s="1212" t="s">
        <v>3307</v>
      </c>
      <c r="C359" s="1212"/>
      <c r="D359" s="1212"/>
      <c r="E359" s="1212"/>
      <c r="F359" s="1208"/>
      <c r="G359" s="1208"/>
      <c r="H359" s="1208"/>
      <c r="I359" s="1209">
        <v>5.5</v>
      </c>
      <c r="J359" s="1209"/>
      <c r="K359" s="1210">
        <f t="shared" si="117"/>
        <v>1.05</v>
      </c>
      <c r="L359" s="1210">
        <f t="shared" si="118"/>
        <v>0</v>
      </c>
      <c r="M359" s="1197">
        <f t="shared" si="119"/>
        <v>0</v>
      </c>
      <c r="N359" s="1211">
        <f t="shared" si="120"/>
        <v>0</v>
      </c>
      <c r="O359" s="1212"/>
      <c r="P359" s="1200"/>
      <c r="Q359" s="1200"/>
      <c r="R359" s="1213"/>
      <c r="S359" s="1213"/>
      <c r="T359" s="1213"/>
      <c r="U359" s="1213"/>
      <c r="V359" s="1213"/>
    </row>
    <row r="360" spans="1:22" ht="15" thickTop="1" thickBot="1" x14ac:dyDescent="0.3">
      <c r="A360" s="1207"/>
      <c r="B360" s="1212"/>
      <c r="C360" s="1212"/>
      <c r="D360" s="1212"/>
      <c r="E360" s="1212"/>
      <c r="F360" s="1208"/>
      <c r="G360" s="1208"/>
      <c r="H360" s="1208"/>
      <c r="I360" s="1209">
        <v>25</v>
      </c>
      <c r="J360" s="1209"/>
      <c r="K360" s="1210">
        <f t="shared" si="117"/>
        <v>1.05</v>
      </c>
      <c r="L360" s="1210">
        <f t="shared" si="118"/>
        <v>0</v>
      </c>
      <c r="M360" s="1197">
        <f t="shared" si="119"/>
        <v>0</v>
      </c>
      <c r="N360" s="1211">
        <f t="shared" si="120"/>
        <v>0</v>
      </c>
      <c r="O360" s="1212"/>
      <c r="P360" s="1200"/>
      <c r="Q360" s="1200"/>
      <c r="R360" s="1213"/>
      <c r="S360" s="1213"/>
      <c r="T360" s="1213"/>
      <c r="U360" s="1213"/>
      <c r="V360" s="1213"/>
    </row>
    <row r="361" spans="1:22" ht="15" thickTop="1" thickBot="1" x14ac:dyDescent="0.3">
      <c r="A361" s="1207"/>
      <c r="B361" s="1212"/>
      <c r="C361" s="1212"/>
      <c r="D361" s="1212"/>
      <c r="E361" s="1212"/>
      <c r="F361" s="1208"/>
      <c r="G361" s="1208"/>
      <c r="H361" s="1208"/>
      <c r="I361" s="1209"/>
      <c r="J361" s="1209">
        <f>SUM(I359:I360)</f>
        <v>30.5</v>
      </c>
      <c r="K361" s="1210">
        <f t="shared" si="117"/>
        <v>1.05</v>
      </c>
      <c r="L361" s="1210">
        <f t="shared" si="118"/>
        <v>32.024999999999999</v>
      </c>
      <c r="M361" s="1197">
        <f t="shared" si="119"/>
        <v>32</v>
      </c>
      <c r="N361" s="1211">
        <f t="shared" si="120"/>
        <v>32</v>
      </c>
      <c r="O361" s="1212"/>
      <c r="P361" s="1200"/>
      <c r="Q361" s="1200"/>
      <c r="R361" s="1213"/>
      <c r="S361" s="1213"/>
      <c r="T361" s="1213"/>
      <c r="U361" s="1213"/>
      <c r="V361" s="1213"/>
    </row>
    <row r="362" spans="1:22" ht="15" thickTop="1" thickBot="1" x14ac:dyDescent="0.3">
      <c r="A362" s="1207"/>
      <c r="B362" s="1212"/>
      <c r="C362" s="1212"/>
      <c r="D362" s="1212"/>
      <c r="E362" s="1212"/>
      <c r="F362" s="1208"/>
      <c r="G362" s="1208"/>
      <c r="H362" s="1208"/>
      <c r="I362" s="1209"/>
      <c r="J362" s="1209"/>
      <c r="K362" s="1210">
        <f t="shared" si="117"/>
        <v>1.05</v>
      </c>
      <c r="L362" s="1210">
        <f t="shared" si="118"/>
        <v>0</v>
      </c>
      <c r="M362" s="1197">
        <f t="shared" si="119"/>
        <v>0</v>
      </c>
      <c r="N362" s="1211">
        <f t="shared" si="120"/>
        <v>0</v>
      </c>
      <c r="O362" s="1212"/>
      <c r="P362" s="1200"/>
      <c r="Q362" s="1200"/>
      <c r="R362" s="1213"/>
      <c r="S362" s="1213"/>
      <c r="T362" s="1213"/>
      <c r="U362" s="1213"/>
      <c r="V362" s="1213"/>
    </row>
    <row r="363" spans="1:22" ht="15" thickTop="1" thickBot="1" x14ac:dyDescent="0.3">
      <c r="A363" s="1207"/>
      <c r="B363" s="1212" t="s">
        <v>3295</v>
      </c>
      <c r="C363" s="1212"/>
      <c r="D363" s="1212"/>
      <c r="E363" s="1212"/>
      <c r="F363" s="1208"/>
      <c r="G363" s="1208"/>
      <c r="H363" s="1208"/>
      <c r="I363" s="1209">
        <v>6.1</v>
      </c>
      <c r="J363" s="1209"/>
      <c r="K363" s="1210">
        <f t="shared" si="117"/>
        <v>1.05</v>
      </c>
      <c r="L363" s="1210">
        <f t="shared" si="118"/>
        <v>0</v>
      </c>
      <c r="M363" s="1197">
        <f t="shared" si="119"/>
        <v>0</v>
      </c>
      <c r="N363" s="1211">
        <f t="shared" si="120"/>
        <v>0</v>
      </c>
      <c r="O363" s="1212"/>
      <c r="P363" s="1200"/>
      <c r="Q363" s="1200"/>
      <c r="R363" s="1213"/>
      <c r="S363" s="1213"/>
      <c r="T363" s="1213"/>
      <c r="U363" s="1213"/>
      <c r="V363" s="1213"/>
    </row>
    <row r="364" spans="1:22" ht="15" thickTop="1" thickBot="1" x14ac:dyDescent="0.3">
      <c r="A364" s="1207"/>
      <c r="B364" s="1212"/>
      <c r="C364" s="1212"/>
      <c r="D364" s="1212"/>
      <c r="E364" s="1212"/>
      <c r="F364" s="1208"/>
      <c r="G364" s="1208"/>
      <c r="H364" s="1208"/>
      <c r="I364" s="1209">
        <v>18.899999999999999</v>
      </c>
      <c r="J364" s="1209">
        <f>SUM(I363:I364)</f>
        <v>25</v>
      </c>
      <c r="K364" s="1210">
        <f t="shared" si="117"/>
        <v>1.05</v>
      </c>
      <c r="L364" s="1210">
        <f t="shared" si="118"/>
        <v>26.25</v>
      </c>
      <c r="M364" s="1197">
        <f t="shared" si="119"/>
        <v>26.3</v>
      </c>
      <c r="N364" s="1211">
        <f t="shared" si="120"/>
        <v>27</v>
      </c>
      <c r="O364" s="1212"/>
      <c r="P364" s="1200"/>
      <c r="Q364" s="1200"/>
      <c r="R364" s="1213"/>
      <c r="S364" s="1213"/>
      <c r="T364" s="1213"/>
      <c r="U364" s="1213"/>
      <c r="V364" s="1213"/>
    </row>
    <row r="365" spans="1:22" ht="15" thickTop="1" thickBot="1" x14ac:dyDescent="0.3">
      <c r="A365" s="1207"/>
      <c r="B365" s="1212"/>
      <c r="C365" s="1212"/>
      <c r="D365" s="1212"/>
      <c r="E365" s="1212"/>
      <c r="F365" s="1208"/>
      <c r="G365" s="1208"/>
      <c r="H365" s="1208"/>
      <c r="I365" s="1209"/>
      <c r="J365" s="1209"/>
      <c r="K365" s="1210">
        <f t="shared" si="117"/>
        <v>1.05</v>
      </c>
      <c r="L365" s="1210">
        <f t="shared" si="118"/>
        <v>0</v>
      </c>
      <c r="M365" s="1197">
        <f t="shared" si="119"/>
        <v>0</v>
      </c>
      <c r="N365" s="1211">
        <f t="shared" si="120"/>
        <v>0</v>
      </c>
      <c r="O365" s="1212"/>
      <c r="P365" s="1200"/>
      <c r="Q365" s="1200"/>
      <c r="R365" s="1213"/>
      <c r="S365" s="1213"/>
      <c r="T365" s="1213"/>
      <c r="U365" s="1213"/>
      <c r="V365" s="1213"/>
    </row>
    <row r="366" spans="1:22" ht="15" thickTop="1" thickBot="1" x14ac:dyDescent="0.3">
      <c r="A366" s="1207"/>
      <c r="B366" s="1212" t="s">
        <v>1372</v>
      </c>
      <c r="C366" s="1212"/>
      <c r="D366" s="1212"/>
      <c r="E366" s="1212"/>
      <c r="F366" s="1208"/>
      <c r="G366" s="1208"/>
      <c r="H366" s="1208"/>
      <c r="I366" s="1209"/>
      <c r="J366" s="1209"/>
      <c r="K366" s="1210">
        <f t="shared" si="117"/>
        <v>1.05</v>
      </c>
      <c r="L366" s="1210">
        <f t="shared" si="118"/>
        <v>0</v>
      </c>
      <c r="M366" s="1197">
        <f t="shared" si="119"/>
        <v>0</v>
      </c>
      <c r="N366" s="1211">
        <f t="shared" si="120"/>
        <v>0</v>
      </c>
      <c r="O366" s="1212"/>
      <c r="P366" s="1200"/>
      <c r="Q366" s="1200"/>
      <c r="R366" s="1213"/>
      <c r="S366" s="1213"/>
      <c r="T366" s="1213"/>
      <c r="U366" s="1213"/>
      <c r="V366" s="1213"/>
    </row>
    <row r="367" spans="1:22" ht="15" thickTop="1" thickBot="1" x14ac:dyDescent="0.3">
      <c r="A367" s="1207"/>
      <c r="B367" s="1212" t="s">
        <v>3308</v>
      </c>
      <c r="C367" s="1212"/>
      <c r="D367" s="1212"/>
      <c r="E367" s="1212"/>
      <c r="F367" s="1208"/>
      <c r="G367" s="1208"/>
      <c r="H367" s="1208"/>
      <c r="I367" s="1209"/>
      <c r="J367" s="1209">
        <v>34</v>
      </c>
      <c r="K367" s="1210">
        <f t="shared" si="117"/>
        <v>1.05</v>
      </c>
      <c r="L367" s="1210">
        <f t="shared" si="118"/>
        <v>35.700000000000003</v>
      </c>
      <c r="M367" s="1197">
        <f t="shared" si="119"/>
        <v>35.700000000000003</v>
      </c>
      <c r="N367" s="1211">
        <f t="shared" si="120"/>
        <v>36</v>
      </c>
      <c r="O367" s="1212"/>
      <c r="P367" s="1200"/>
      <c r="Q367" s="1200"/>
      <c r="R367" s="1213"/>
      <c r="S367" s="1213"/>
      <c r="T367" s="1213"/>
      <c r="U367" s="1213"/>
      <c r="V367" s="1213"/>
    </row>
    <row r="368" spans="1:22" ht="15" thickTop="1" thickBot="1" x14ac:dyDescent="0.3">
      <c r="A368" s="1207"/>
      <c r="B368" s="1212" t="s">
        <v>3295</v>
      </c>
      <c r="C368" s="1212"/>
      <c r="D368" s="1212"/>
      <c r="E368" s="1212"/>
      <c r="F368" s="1208"/>
      <c r="G368" s="1208"/>
      <c r="H368" s="1208"/>
      <c r="I368" s="1209"/>
      <c r="J368" s="1209">
        <v>34</v>
      </c>
      <c r="K368" s="1210">
        <f t="shared" si="117"/>
        <v>1.05</v>
      </c>
      <c r="L368" s="1210">
        <f t="shared" si="118"/>
        <v>35.700000000000003</v>
      </c>
      <c r="M368" s="1197">
        <f t="shared" si="119"/>
        <v>35.700000000000003</v>
      </c>
      <c r="N368" s="1211">
        <f t="shared" si="120"/>
        <v>36</v>
      </c>
      <c r="O368" s="1212"/>
      <c r="P368" s="1200"/>
      <c r="Q368" s="1200"/>
      <c r="R368" s="1213"/>
      <c r="S368" s="1213"/>
      <c r="T368" s="1213"/>
      <c r="U368" s="1213"/>
      <c r="V368" s="1213"/>
    </row>
    <row r="369" spans="1:22" ht="15" thickTop="1" thickBot="1" x14ac:dyDescent="0.3">
      <c r="A369" s="1207"/>
      <c r="B369" s="1212"/>
      <c r="C369" s="1212"/>
      <c r="D369" s="1212"/>
      <c r="E369" s="1212"/>
      <c r="F369" s="1208"/>
      <c r="G369" s="1208"/>
      <c r="H369" s="1208"/>
      <c r="I369" s="1209"/>
      <c r="J369" s="1209"/>
      <c r="K369" s="1210">
        <f t="shared" si="117"/>
        <v>1.05</v>
      </c>
      <c r="L369" s="1210">
        <f t="shared" si="118"/>
        <v>0</v>
      </c>
      <c r="M369" s="1197">
        <f t="shared" si="119"/>
        <v>0</v>
      </c>
      <c r="N369" s="1211">
        <f t="shared" si="120"/>
        <v>0</v>
      </c>
      <c r="O369" s="1212"/>
      <c r="P369" s="1200"/>
      <c r="Q369" s="1200"/>
      <c r="R369" s="1213"/>
      <c r="S369" s="1213"/>
      <c r="T369" s="1213"/>
      <c r="U369" s="1213"/>
      <c r="V369" s="1213"/>
    </row>
    <row r="370" spans="1:22" ht="15" thickTop="1" thickBot="1" x14ac:dyDescent="0.3">
      <c r="A370" s="1207"/>
      <c r="B370" s="1212"/>
      <c r="C370" s="1212"/>
      <c r="D370" s="1212"/>
      <c r="E370" s="1212"/>
      <c r="F370" s="1208"/>
      <c r="G370" s="1208"/>
      <c r="H370" s="1208"/>
      <c r="I370" s="1209"/>
      <c r="J370" s="1209"/>
      <c r="K370" s="1210">
        <f t="shared" si="117"/>
        <v>1.05</v>
      </c>
      <c r="L370" s="1210">
        <f t="shared" si="118"/>
        <v>0</v>
      </c>
      <c r="M370" s="1197">
        <f t="shared" si="119"/>
        <v>0</v>
      </c>
      <c r="N370" s="1211">
        <f t="shared" si="120"/>
        <v>0</v>
      </c>
      <c r="O370" s="1212"/>
      <c r="P370" s="1200"/>
      <c r="Q370" s="1200"/>
      <c r="R370" s="1213"/>
      <c r="S370" s="1213"/>
      <c r="T370" s="1213"/>
      <c r="U370" s="1213"/>
      <c r="V370" s="1213"/>
    </row>
    <row r="371" spans="1:22" ht="15" thickTop="1" thickBot="1" x14ac:dyDescent="0.3">
      <c r="A371" s="1207"/>
      <c r="B371" s="1212" t="s">
        <v>3309</v>
      </c>
      <c r="C371" s="1212"/>
      <c r="D371" s="1212"/>
      <c r="E371" s="1212"/>
      <c r="F371" s="1208"/>
      <c r="G371" s="1208"/>
      <c r="H371" s="1208"/>
      <c r="I371" s="1209">
        <v>19</v>
      </c>
      <c r="J371" s="1209"/>
      <c r="K371" s="1210">
        <f t="shared" si="117"/>
        <v>1.05</v>
      </c>
      <c r="L371" s="1210">
        <f t="shared" si="118"/>
        <v>0</v>
      </c>
      <c r="M371" s="1197">
        <f t="shared" si="119"/>
        <v>0</v>
      </c>
      <c r="N371" s="1211">
        <f t="shared" si="120"/>
        <v>0</v>
      </c>
      <c r="O371" s="1212"/>
      <c r="P371" s="1200"/>
      <c r="Q371" s="1200"/>
      <c r="R371" s="1213"/>
      <c r="S371" s="1213"/>
      <c r="T371" s="1213"/>
      <c r="U371" s="1213"/>
      <c r="V371" s="1213"/>
    </row>
    <row r="372" spans="1:22" ht="15" thickTop="1" thickBot="1" x14ac:dyDescent="0.3">
      <c r="A372" s="1207"/>
      <c r="B372" s="1212"/>
      <c r="C372" s="1212"/>
      <c r="D372" s="1212"/>
      <c r="E372" s="1212"/>
      <c r="F372" s="1208"/>
      <c r="G372" s="1208"/>
      <c r="H372" s="1208"/>
      <c r="I372" s="1209">
        <v>22</v>
      </c>
      <c r="J372" s="1209">
        <f>SUM(I371:I372)</f>
        <v>41</v>
      </c>
      <c r="K372" s="1210">
        <f t="shared" si="117"/>
        <v>1.05</v>
      </c>
      <c r="L372" s="1210">
        <f t="shared" si="118"/>
        <v>43.050000000000004</v>
      </c>
      <c r="M372" s="1197">
        <f t="shared" si="119"/>
        <v>43.1</v>
      </c>
      <c r="N372" s="1211">
        <f t="shared" si="120"/>
        <v>44</v>
      </c>
      <c r="O372" s="1212"/>
      <c r="P372" s="1200"/>
      <c r="Q372" s="1200"/>
      <c r="R372" s="1213"/>
      <c r="S372" s="1213"/>
      <c r="T372" s="1213"/>
      <c r="U372" s="1213"/>
      <c r="V372" s="1213"/>
    </row>
    <row r="373" spans="1:22" ht="15" thickTop="1" thickBot="1" x14ac:dyDescent="0.3">
      <c r="A373" s="1207"/>
      <c r="B373" s="1212"/>
      <c r="C373" s="1212"/>
      <c r="D373" s="1212"/>
      <c r="E373" s="1212"/>
      <c r="F373" s="1208"/>
      <c r="G373" s="1208"/>
      <c r="H373" s="1208"/>
      <c r="I373" s="1209"/>
      <c r="J373" s="1209"/>
      <c r="K373" s="1210">
        <f t="shared" si="117"/>
        <v>1.05</v>
      </c>
      <c r="L373" s="1210">
        <f t="shared" si="118"/>
        <v>0</v>
      </c>
      <c r="M373" s="1197">
        <f t="shared" si="119"/>
        <v>0</v>
      </c>
      <c r="N373" s="1211">
        <f t="shared" si="120"/>
        <v>0</v>
      </c>
      <c r="O373" s="1212"/>
      <c r="P373" s="1200"/>
      <c r="Q373" s="1200"/>
      <c r="R373" s="1213"/>
      <c r="S373" s="1213"/>
      <c r="T373" s="1213"/>
      <c r="U373" s="1213"/>
      <c r="V373" s="1213"/>
    </row>
    <row r="374" spans="1:22" ht="15" thickTop="1" thickBot="1" x14ac:dyDescent="0.3">
      <c r="A374" s="1207"/>
      <c r="B374" s="1212" t="s">
        <v>3295</v>
      </c>
      <c r="C374" s="1212"/>
      <c r="D374" s="1212"/>
      <c r="E374" s="1212"/>
      <c r="F374" s="1208"/>
      <c r="G374" s="1208"/>
      <c r="H374" s="1208"/>
      <c r="I374" s="1209">
        <v>20</v>
      </c>
      <c r="J374" s="1209"/>
      <c r="K374" s="1210">
        <f t="shared" si="117"/>
        <v>1.05</v>
      </c>
      <c r="L374" s="1210">
        <f t="shared" si="118"/>
        <v>0</v>
      </c>
      <c r="M374" s="1197">
        <f t="shared" si="119"/>
        <v>0</v>
      </c>
      <c r="N374" s="1211">
        <f t="shared" si="120"/>
        <v>0</v>
      </c>
      <c r="O374" s="1212"/>
      <c r="P374" s="1200"/>
      <c r="Q374" s="1200"/>
      <c r="R374" s="1213"/>
      <c r="S374" s="1213"/>
      <c r="T374" s="1213"/>
      <c r="U374" s="1213"/>
      <c r="V374" s="1213"/>
    </row>
    <row r="375" spans="1:22" ht="15" thickTop="1" thickBot="1" x14ac:dyDescent="0.3">
      <c r="A375" s="1207"/>
      <c r="B375" s="1212"/>
      <c r="C375" s="1212"/>
      <c r="D375" s="1212"/>
      <c r="E375" s="1212"/>
      <c r="F375" s="1208"/>
      <c r="G375" s="1208"/>
      <c r="H375" s="1208"/>
      <c r="I375" s="1209">
        <v>23</v>
      </c>
      <c r="J375" s="1209">
        <f>SUM(I374:I375)</f>
        <v>43</v>
      </c>
      <c r="K375" s="1210">
        <f t="shared" si="117"/>
        <v>1.05</v>
      </c>
      <c r="L375" s="1210">
        <f t="shared" si="118"/>
        <v>45.15</v>
      </c>
      <c r="M375" s="1197">
        <f t="shared" si="119"/>
        <v>45.2</v>
      </c>
      <c r="N375" s="1211">
        <f t="shared" si="120"/>
        <v>46</v>
      </c>
      <c r="O375" s="1212"/>
      <c r="P375" s="1200"/>
      <c r="Q375" s="1200"/>
      <c r="R375" s="1213"/>
      <c r="S375" s="1213"/>
      <c r="T375" s="1213"/>
      <c r="U375" s="1213"/>
      <c r="V375" s="1213"/>
    </row>
    <row r="376" spans="1:22" ht="15" thickTop="1" thickBot="1" x14ac:dyDescent="0.3">
      <c r="A376" s="1207"/>
      <c r="B376" s="1212"/>
      <c r="C376" s="1212"/>
      <c r="D376" s="1212"/>
      <c r="E376" s="1212"/>
      <c r="F376" s="1208"/>
      <c r="G376" s="1208"/>
      <c r="H376" s="1208"/>
      <c r="I376" s="1209"/>
      <c r="J376" s="1209"/>
      <c r="K376" s="1210">
        <f t="shared" si="117"/>
        <v>1.05</v>
      </c>
      <c r="L376" s="1210">
        <f t="shared" si="118"/>
        <v>0</v>
      </c>
      <c r="M376" s="1197">
        <f t="shared" si="119"/>
        <v>0</v>
      </c>
      <c r="N376" s="1211">
        <f t="shared" si="120"/>
        <v>0</v>
      </c>
      <c r="O376" s="1212"/>
      <c r="P376" s="1200"/>
      <c r="Q376" s="1200"/>
      <c r="R376" s="1213"/>
      <c r="S376" s="1213"/>
      <c r="T376" s="1213"/>
      <c r="U376" s="1213"/>
      <c r="V376" s="1213"/>
    </row>
    <row r="377" spans="1:22" ht="15" thickTop="1" thickBot="1" x14ac:dyDescent="0.3">
      <c r="A377" s="1207"/>
      <c r="B377" s="1212" t="s">
        <v>3307</v>
      </c>
      <c r="C377" s="1212"/>
      <c r="D377" s="1212"/>
      <c r="E377" s="1212"/>
      <c r="F377" s="1208"/>
      <c r="G377" s="1208"/>
      <c r="H377" s="1208"/>
      <c r="I377" s="1209">
        <v>44</v>
      </c>
      <c r="J377" s="1209"/>
      <c r="K377" s="1210">
        <f t="shared" si="117"/>
        <v>1.05</v>
      </c>
      <c r="L377" s="1210">
        <f t="shared" si="118"/>
        <v>0</v>
      </c>
      <c r="M377" s="1197">
        <f t="shared" si="119"/>
        <v>0</v>
      </c>
      <c r="N377" s="1211">
        <f t="shared" si="120"/>
        <v>0</v>
      </c>
      <c r="O377" s="1212"/>
      <c r="P377" s="1200"/>
      <c r="Q377" s="1200"/>
      <c r="R377" s="1213"/>
      <c r="S377" s="1213"/>
      <c r="T377" s="1213"/>
      <c r="U377" s="1213"/>
      <c r="V377" s="1213"/>
    </row>
    <row r="378" spans="1:22" ht="15" thickTop="1" thickBot="1" x14ac:dyDescent="0.3">
      <c r="A378" s="1207"/>
      <c r="B378" s="1212"/>
      <c r="C378" s="1212"/>
      <c r="D378" s="1212"/>
      <c r="E378" s="1212"/>
      <c r="F378" s="1208"/>
      <c r="G378" s="1208"/>
      <c r="H378" s="1208"/>
      <c r="I378" s="1209">
        <v>4.2</v>
      </c>
      <c r="J378" s="1209"/>
      <c r="K378" s="1210">
        <f t="shared" si="117"/>
        <v>1.05</v>
      </c>
      <c r="L378" s="1210">
        <f t="shared" si="118"/>
        <v>0</v>
      </c>
      <c r="M378" s="1197">
        <f t="shared" si="119"/>
        <v>0</v>
      </c>
      <c r="N378" s="1211">
        <f t="shared" si="120"/>
        <v>0</v>
      </c>
      <c r="O378" s="1212"/>
      <c r="P378" s="1200"/>
      <c r="Q378" s="1200"/>
      <c r="R378" s="1213"/>
      <c r="S378" s="1213"/>
      <c r="T378" s="1213"/>
      <c r="U378" s="1213"/>
      <c r="V378" s="1213"/>
    </row>
    <row r="379" spans="1:22" ht="15" thickTop="1" thickBot="1" x14ac:dyDescent="0.3">
      <c r="A379" s="1207"/>
      <c r="B379" s="1212"/>
      <c r="C379" s="1212"/>
      <c r="D379" s="1212"/>
      <c r="E379" s="1212"/>
      <c r="F379" s="1208"/>
      <c r="G379" s="1208"/>
      <c r="H379" s="1208"/>
      <c r="I379" s="1209">
        <v>5.4</v>
      </c>
      <c r="J379" s="1209">
        <f>SUM(I377:I379)</f>
        <v>53.6</v>
      </c>
      <c r="K379" s="1210">
        <f t="shared" si="117"/>
        <v>1.05</v>
      </c>
      <c r="L379" s="1210">
        <f t="shared" si="118"/>
        <v>56.28</v>
      </c>
      <c r="M379" s="1197">
        <f t="shared" si="119"/>
        <v>56.3</v>
      </c>
      <c r="N379" s="1211">
        <f t="shared" si="120"/>
        <v>57</v>
      </c>
      <c r="O379" s="1212"/>
      <c r="P379" s="1200"/>
      <c r="Q379" s="1200"/>
      <c r="R379" s="1213"/>
      <c r="S379" s="1213"/>
      <c r="T379" s="1213"/>
      <c r="U379" s="1213"/>
      <c r="V379" s="1213"/>
    </row>
    <row r="380" spans="1:22" ht="15" thickTop="1" thickBot="1" x14ac:dyDescent="0.3">
      <c r="A380" s="1207"/>
      <c r="B380" s="1212"/>
      <c r="C380" s="1212"/>
      <c r="D380" s="1212"/>
      <c r="E380" s="1212"/>
      <c r="F380" s="1208"/>
      <c r="G380" s="1208"/>
      <c r="H380" s="1208"/>
      <c r="I380" s="1209"/>
      <c r="J380" s="1209"/>
      <c r="K380" s="1210"/>
      <c r="L380" s="1210"/>
      <c r="M380" s="1197"/>
      <c r="N380" s="1211"/>
      <c r="O380" s="1212"/>
      <c r="P380" s="1200"/>
      <c r="Q380" s="1200"/>
      <c r="R380" s="1213"/>
      <c r="S380" s="1213"/>
      <c r="T380" s="1213"/>
      <c r="U380" s="1213"/>
      <c r="V380" s="1213"/>
    </row>
    <row r="381" spans="1:22" ht="15" thickTop="1" thickBot="1" x14ac:dyDescent="0.3">
      <c r="A381" s="1207"/>
      <c r="B381" s="1212" t="s">
        <v>3295</v>
      </c>
      <c r="C381" s="1212"/>
      <c r="D381" s="1212"/>
      <c r="E381" s="1212"/>
      <c r="F381" s="1208"/>
      <c r="G381" s="1208"/>
      <c r="H381" s="1208"/>
      <c r="I381" s="1209">
        <v>28</v>
      </c>
      <c r="J381" s="1209"/>
      <c r="K381" s="1210">
        <f t="shared" si="117"/>
        <v>1.05</v>
      </c>
      <c r="L381" s="1210">
        <f t="shared" si="118"/>
        <v>0</v>
      </c>
      <c r="M381" s="1197">
        <f t="shared" si="119"/>
        <v>0</v>
      </c>
      <c r="N381" s="1211">
        <f t="shared" si="120"/>
        <v>0</v>
      </c>
      <c r="O381" s="1212"/>
      <c r="P381" s="1200"/>
      <c r="Q381" s="1200"/>
      <c r="R381" s="1213"/>
      <c r="S381" s="1213"/>
      <c r="T381" s="1213"/>
      <c r="U381" s="1213"/>
      <c r="V381" s="1213"/>
    </row>
    <row r="382" spans="1:22" ht="15" thickTop="1" thickBot="1" x14ac:dyDescent="0.3">
      <c r="A382" s="1207"/>
      <c r="B382" s="1212"/>
      <c r="C382" s="1212"/>
      <c r="D382" s="1212"/>
      <c r="E382" s="1212"/>
      <c r="F382" s="1208"/>
      <c r="G382" s="1208"/>
      <c r="H382" s="1208"/>
      <c r="I382" s="1209">
        <v>7.1</v>
      </c>
      <c r="J382" s="1209"/>
      <c r="K382" s="1210">
        <f t="shared" si="117"/>
        <v>1.05</v>
      </c>
      <c r="L382" s="1210">
        <f t="shared" si="118"/>
        <v>0</v>
      </c>
      <c r="M382" s="1197">
        <f t="shared" si="119"/>
        <v>0</v>
      </c>
      <c r="N382" s="1211">
        <f t="shared" si="120"/>
        <v>0</v>
      </c>
      <c r="O382" s="1212"/>
      <c r="P382" s="1200"/>
      <c r="Q382" s="1200"/>
      <c r="R382" s="1213"/>
      <c r="S382" s="1213"/>
      <c r="T382" s="1213"/>
      <c r="U382" s="1213"/>
      <c r="V382" s="1213"/>
    </row>
    <row r="383" spans="1:22" ht="15" thickTop="1" thickBot="1" x14ac:dyDescent="0.3">
      <c r="A383" s="1207"/>
      <c r="B383" s="1212"/>
      <c r="C383" s="1212"/>
      <c r="D383" s="1212"/>
      <c r="E383" s="1212"/>
      <c r="F383" s="1208"/>
      <c r="G383" s="1208"/>
      <c r="H383" s="1208"/>
      <c r="I383" s="1209">
        <v>5.5</v>
      </c>
      <c r="J383" s="1209">
        <f>SUM(I381:I383)</f>
        <v>40.6</v>
      </c>
      <c r="K383" s="1210">
        <f t="shared" si="117"/>
        <v>1.05</v>
      </c>
      <c r="L383" s="1210">
        <f t="shared" si="118"/>
        <v>42.63</v>
      </c>
      <c r="M383" s="1197">
        <f t="shared" si="119"/>
        <v>42.6</v>
      </c>
      <c r="N383" s="1211">
        <f t="shared" si="120"/>
        <v>43</v>
      </c>
      <c r="O383" s="1212"/>
      <c r="P383" s="1200"/>
      <c r="Q383" s="1200"/>
      <c r="R383" s="1213"/>
      <c r="S383" s="1213"/>
      <c r="T383" s="1213"/>
      <c r="U383" s="1213"/>
      <c r="V383" s="1213"/>
    </row>
    <row r="384" spans="1:22" ht="15" thickTop="1" thickBot="1" x14ac:dyDescent="0.3">
      <c r="A384" s="1207"/>
      <c r="B384" s="1212"/>
      <c r="C384" s="1212"/>
      <c r="D384" s="1212"/>
      <c r="E384" s="1212"/>
      <c r="F384" s="1208"/>
      <c r="G384" s="1208"/>
      <c r="H384" s="1208"/>
      <c r="I384" s="1209"/>
      <c r="J384" s="1209"/>
      <c r="K384" s="1210">
        <f t="shared" si="117"/>
        <v>1.05</v>
      </c>
      <c r="L384" s="1210">
        <f t="shared" si="118"/>
        <v>0</v>
      </c>
      <c r="M384" s="1197">
        <f t="shared" si="119"/>
        <v>0</v>
      </c>
      <c r="N384" s="1211">
        <f t="shared" si="120"/>
        <v>0</v>
      </c>
      <c r="O384" s="1212"/>
      <c r="P384" s="1200"/>
      <c r="Q384" s="1200"/>
      <c r="R384" s="1213"/>
      <c r="S384" s="1213"/>
      <c r="T384" s="1213"/>
      <c r="U384" s="1213"/>
      <c r="V384" s="1213"/>
    </row>
    <row r="385" spans="1:22" ht="15" thickTop="1" thickBot="1" x14ac:dyDescent="0.3">
      <c r="A385" s="1207"/>
      <c r="B385" s="1212" t="s">
        <v>3311</v>
      </c>
      <c r="C385" s="1212"/>
      <c r="D385" s="1212"/>
      <c r="E385" s="1212"/>
      <c r="F385" s="1208"/>
      <c r="G385" s="1208"/>
      <c r="H385" s="1208"/>
      <c r="I385" s="1209"/>
      <c r="J385" s="1209">
        <v>37</v>
      </c>
      <c r="K385" s="1210">
        <f t="shared" si="117"/>
        <v>1.05</v>
      </c>
      <c r="L385" s="1210">
        <f t="shared" si="118"/>
        <v>38.85</v>
      </c>
      <c r="M385" s="1197">
        <f t="shared" si="119"/>
        <v>38.9</v>
      </c>
      <c r="N385" s="1211">
        <f t="shared" si="120"/>
        <v>39</v>
      </c>
      <c r="O385" s="1212"/>
      <c r="P385" s="1200"/>
      <c r="Q385" s="1200"/>
      <c r="R385" s="1213"/>
      <c r="S385" s="1213"/>
      <c r="T385" s="1213"/>
      <c r="U385" s="1213"/>
      <c r="V385" s="1213"/>
    </row>
    <row r="386" spans="1:22" ht="15" thickTop="1" thickBot="1" x14ac:dyDescent="0.3">
      <c r="A386" s="1207"/>
      <c r="B386" s="1212" t="s">
        <v>3295</v>
      </c>
      <c r="C386" s="1212"/>
      <c r="D386" s="1212"/>
      <c r="E386" s="1212"/>
      <c r="F386" s="1208"/>
      <c r="G386" s="1208"/>
      <c r="H386" s="1208"/>
      <c r="I386" s="1209"/>
      <c r="J386" s="1209">
        <v>29</v>
      </c>
      <c r="K386" s="1210">
        <f t="shared" ref="K386:K452" si="121">$K$2</f>
        <v>1.05</v>
      </c>
      <c r="L386" s="1210">
        <f t="shared" si="118"/>
        <v>30.450000000000003</v>
      </c>
      <c r="M386" s="1197">
        <f t="shared" si="119"/>
        <v>30.5</v>
      </c>
      <c r="N386" s="1211">
        <f t="shared" si="120"/>
        <v>31</v>
      </c>
      <c r="O386" s="1212"/>
      <c r="P386" s="1200"/>
      <c r="Q386" s="1200"/>
      <c r="R386" s="1213"/>
      <c r="S386" s="1213"/>
      <c r="T386" s="1213"/>
      <c r="U386" s="1213"/>
      <c r="V386" s="1213"/>
    </row>
    <row r="387" spans="1:22" ht="15" thickTop="1" thickBot="1" x14ac:dyDescent="0.3">
      <c r="A387" s="1207"/>
      <c r="B387" s="1212"/>
      <c r="C387" s="1212"/>
      <c r="D387" s="1212"/>
      <c r="E387" s="1212"/>
      <c r="F387" s="1208"/>
      <c r="G387" s="1208"/>
      <c r="H387" s="1208"/>
      <c r="I387" s="1209"/>
      <c r="J387" s="1209"/>
      <c r="K387" s="1210">
        <f t="shared" si="121"/>
        <v>1.05</v>
      </c>
      <c r="L387" s="1210">
        <f t="shared" si="118"/>
        <v>0</v>
      </c>
      <c r="M387" s="1197">
        <f t="shared" si="119"/>
        <v>0</v>
      </c>
      <c r="N387" s="1211">
        <f t="shared" si="120"/>
        <v>0</v>
      </c>
      <c r="O387" s="1212"/>
      <c r="P387" s="1200"/>
      <c r="Q387" s="1200"/>
      <c r="R387" s="1213"/>
      <c r="S387" s="1213"/>
      <c r="T387" s="1213"/>
      <c r="U387" s="1213"/>
      <c r="V387" s="1213"/>
    </row>
    <row r="388" spans="1:22" ht="15" thickTop="1" thickBot="1" x14ac:dyDescent="0.3">
      <c r="A388" s="1207"/>
      <c r="B388" s="1212"/>
      <c r="C388" s="1212"/>
      <c r="D388" s="1212"/>
      <c r="E388" s="1212"/>
      <c r="F388" s="1208"/>
      <c r="G388" s="1208"/>
      <c r="H388" s="1208"/>
      <c r="I388" s="1209"/>
      <c r="J388" s="1209"/>
      <c r="K388" s="1210">
        <f t="shared" si="121"/>
        <v>1.05</v>
      </c>
      <c r="L388" s="1210">
        <f t="shared" si="118"/>
        <v>0</v>
      </c>
      <c r="M388" s="1197">
        <f t="shared" si="119"/>
        <v>0</v>
      </c>
      <c r="N388" s="1211">
        <f t="shared" si="120"/>
        <v>0</v>
      </c>
      <c r="O388" s="1212"/>
      <c r="P388" s="1200"/>
      <c r="Q388" s="1200"/>
      <c r="R388" s="1213"/>
      <c r="S388" s="1213"/>
      <c r="T388" s="1213"/>
      <c r="U388" s="1213"/>
      <c r="V388" s="1213"/>
    </row>
    <row r="389" spans="1:22" ht="15" thickTop="1" thickBot="1" x14ac:dyDescent="0.3">
      <c r="A389" s="1207"/>
      <c r="B389" s="1212" t="s">
        <v>1373</v>
      </c>
      <c r="C389" s="1212"/>
      <c r="D389" s="1212"/>
      <c r="E389" s="1212"/>
      <c r="F389" s="1208"/>
      <c r="G389" s="1208"/>
      <c r="H389" s="1208"/>
      <c r="I389" s="1209"/>
      <c r="J389" s="1209"/>
      <c r="K389" s="1210">
        <f t="shared" si="121"/>
        <v>1.05</v>
      </c>
      <c r="L389" s="1210">
        <f t="shared" si="118"/>
        <v>0</v>
      </c>
      <c r="M389" s="1197">
        <f t="shared" si="119"/>
        <v>0</v>
      </c>
      <c r="N389" s="1211">
        <f t="shared" si="120"/>
        <v>0</v>
      </c>
      <c r="O389" s="1212"/>
      <c r="P389" s="1200"/>
      <c r="Q389" s="1200"/>
      <c r="R389" s="1213"/>
      <c r="S389" s="1213"/>
      <c r="T389" s="1213"/>
      <c r="U389" s="1213"/>
      <c r="V389" s="1213"/>
    </row>
    <row r="390" spans="1:22" ht="15" thickTop="1" thickBot="1" x14ac:dyDescent="0.3">
      <c r="A390" s="1207"/>
      <c r="B390" s="1212"/>
      <c r="C390" s="1212"/>
      <c r="D390" s="1212"/>
      <c r="E390" s="1212"/>
      <c r="F390" s="1208"/>
      <c r="G390" s="1208"/>
      <c r="H390" s="1208"/>
      <c r="I390" s="1209"/>
      <c r="J390" s="1209"/>
      <c r="K390" s="1210">
        <f t="shared" si="121"/>
        <v>1.05</v>
      </c>
      <c r="L390" s="1210">
        <f t="shared" si="118"/>
        <v>0</v>
      </c>
      <c r="M390" s="1197">
        <f t="shared" si="119"/>
        <v>0</v>
      </c>
      <c r="N390" s="1211">
        <f t="shared" si="120"/>
        <v>0</v>
      </c>
      <c r="O390" s="1212"/>
      <c r="P390" s="1200"/>
      <c r="Q390" s="1200"/>
      <c r="R390" s="1213"/>
      <c r="S390" s="1213"/>
      <c r="T390" s="1213"/>
      <c r="U390" s="1213"/>
      <c r="V390" s="1213"/>
    </row>
    <row r="391" spans="1:22" ht="15" thickTop="1" thickBot="1" x14ac:dyDescent="0.3">
      <c r="A391" s="1207"/>
      <c r="B391" s="1212" t="s">
        <v>3308</v>
      </c>
      <c r="C391" s="1212"/>
      <c r="D391" s="1212"/>
      <c r="E391" s="1212"/>
      <c r="F391" s="1208"/>
      <c r="G391" s="1208"/>
      <c r="H391" s="1208"/>
      <c r="I391" s="1209"/>
      <c r="J391" s="1209">
        <v>40</v>
      </c>
      <c r="K391" s="1210">
        <f t="shared" si="121"/>
        <v>1.05</v>
      </c>
      <c r="L391" s="1210">
        <f t="shared" si="118"/>
        <v>42</v>
      </c>
      <c r="M391" s="1197">
        <f t="shared" si="119"/>
        <v>42</v>
      </c>
      <c r="N391" s="1211">
        <f t="shared" si="120"/>
        <v>42</v>
      </c>
      <c r="O391" s="1212"/>
      <c r="P391" s="1200"/>
      <c r="Q391" s="1200"/>
      <c r="R391" s="1213"/>
      <c r="S391" s="1213"/>
      <c r="T391" s="1213"/>
      <c r="U391" s="1213"/>
      <c r="V391" s="1213"/>
    </row>
    <row r="392" spans="1:22" ht="15" thickTop="1" thickBot="1" x14ac:dyDescent="0.3">
      <c r="A392" s="1207"/>
      <c r="B392" s="1212" t="s">
        <v>3295</v>
      </c>
      <c r="C392" s="1212"/>
      <c r="D392" s="1212"/>
      <c r="E392" s="1212"/>
      <c r="F392" s="1208"/>
      <c r="G392" s="1208"/>
      <c r="H392" s="1208"/>
      <c r="I392" s="1209"/>
      <c r="J392" s="1209">
        <v>38</v>
      </c>
      <c r="K392" s="1210">
        <f t="shared" si="121"/>
        <v>1.05</v>
      </c>
      <c r="L392" s="1210">
        <f t="shared" si="118"/>
        <v>39.9</v>
      </c>
      <c r="M392" s="1197">
        <f t="shared" si="119"/>
        <v>39.9</v>
      </c>
      <c r="N392" s="1211">
        <f t="shared" si="120"/>
        <v>40</v>
      </c>
      <c r="O392" s="1212"/>
      <c r="P392" s="1200"/>
      <c r="Q392" s="1200"/>
      <c r="R392" s="1213"/>
      <c r="S392" s="1213"/>
      <c r="T392" s="1213"/>
      <c r="U392" s="1213"/>
      <c r="V392" s="1213"/>
    </row>
    <row r="393" spans="1:22" ht="15" thickTop="1" thickBot="1" x14ac:dyDescent="0.3">
      <c r="A393" s="1207"/>
      <c r="B393" s="1212"/>
      <c r="C393" s="1212"/>
      <c r="D393" s="1212"/>
      <c r="E393" s="1212"/>
      <c r="F393" s="1208"/>
      <c r="G393" s="1208"/>
      <c r="H393" s="1208"/>
      <c r="I393" s="1209"/>
      <c r="J393" s="1209"/>
      <c r="K393" s="1210">
        <f t="shared" si="121"/>
        <v>1.05</v>
      </c>
      <c r="L393" s="1210">
        <f t="shared" si="118"/>
        <v>0</v>
      </c>
      <c r="M393" s="1197">
        <f t="shared" si="119"/>
        <v>0</v>
      </c>
      <c r="N393" s="1211">
        <f t="shared" si="120"/>
        <v>0</v>
      </c>
      <c r="O393" s="1212"/>
      <c r="P393" s="1200"/>
      <c r="Q393" s="1200"/>
      <c r="R393" s="1213"/>
      <c r="S393" s="1213"/>
      <c r="T393" s="1213"/>
      <c r="U393" s="1213"/>
      <c r="V393" s="1213"/>
    </row>
    <row r="394" spans="1:22" ht="15" thickTop="1" thickBot="1" x14ac:dyDescent="0.3">
      <c r="A394" s="1207"/>
      <c r="B394" s="1212" t="s">
        <v>3309</v>
      </c>
      <c r="C394" s="1212"/>
      <c r="D394" s="1212"/>
      <c r="E394" s="1212"/>
      <c r="F394" s="1208"/>
      <c r="G394" s="1208"/>
      <c r="H394" s="1208"/>
      <c r="I394" s="1209"/>
      <c r="J394" s="1209">
        <v>21</v>
      </c>
      <c r="K394" s="1210">
        <f t="shared" si="121"/>
        <v>1.05</v>
      </c>
      <c r="L394" s="1210">
        <f t="shared" si="118"/>
        <v>22.05</v>
      </c>
      <c r="M394" s="1197">
        <f t="shared" si="119"/>
        <v>22.1</v>
      </c>
      <c r="N394" s="1211">
        <f t="shared" si="120"/>
        <v>23</v>
      </c>
      <c r="O394" s="1212"/>
      <c r="P394" s="1200"/>
      <c r="Q394" s="1200"/>
      <c r="R394" s="1213"/>
      <c r="S394" s="1213"/>
      <c r="T394" s="1213"/>
      <c r="U394" s="1213"/>
      <c r="V394" s="1213"/>
    </row>
    <row r="395" spans="1:22" ht="15" thickTop="1" thickBot="1" x14ac:dyDescent="0.3">
      <c r="A395" s="1207"/>
      <c r="B395" s="1212" t="s">
        <v>3295</v>
      </c>
      <c r="C395" s="1212"/>
      <c r="D395" s="1212"/>
      <c r="E395" s="1212"/>
      <c r="F395" s="1208"/>
      <c r="G395" s="1208"/>
      <c r="H395" s="1208"/>
      <c r="I395" s="1209"/>
      <c r="J395" s="1209">
        <v>21</v>
      </c>
      <c r="K395" s="1210">
        <f t="shared" si="121"/>
        <v>1.05</v>
      </c>
      <c r="L395" s="1210">
        <f t="shared" si="118"/>
        <v>22.05</v>
      </c>
      <c r="M395" s="1197">
        <f t="shared" si="119"/>
        <v>22.1</v>
      </c>
      <c r="N395" s="1211">
        <f t="shared" si="120"/>
        <v>23</v>
      </c>
      <c r="O395" s="1212"/>
      <c r="P395" s="1200"/>
      <c r="Q395" s="1200"/>
      <c r="R395" s="1213"/>
      <c r="S395" s="1213"/>
      <c r="T395" s="1213"/>
      <c r="U395" s="1213"/>
      <c r="V395" s="1213"/>
    </row>
    <row r="396" spans="1:22" ht="15" thickTop="1" thickBot="1" x14ac:dyDescent="0.3">
      <c r="A396" s="1207"/>
      <c r="B396" s="1212"/>
      <c r="C396" s="1212"/>
      <c r="D396" s="1212"/>
      <c r="E396" s="1212"/>
      <c r="F396" s="1208"/>
      <c r="G396" s="1208"/>
      <c r="H396" s="1208"/>
      <c r="I396" s="1209"/>
      <c r="J396" s="1209"/>
      <c r="K396" s="1210">
        <f t="shared" si="121"/>
        <v>1.05</v>
      </c>
      <c r="L396" s="1210">
        <f t="shared" si="118"/>
        <v>0</v>
      </c>
      <c r="M396" s="1197">
        <f t="shared" si="119"/>
        <v>0</v>
      </c>
      <c r="N396" s="1211">
        <f t="shared" si="120"/>
        <v>0</v>
      </c>
      <c r="O396" s="1212"/>
      <c r="P396" s="1200"/>
      <c r="Q396" s="1200"/>
      <c r="R396" s="1213"/>
      <c r="S396" s="1213"/>
      <c r="T396" s="1213"/>
      <c r="U396" s="1213"/>
      <c r="V396" s="1213"/>
    </row>
    <row r="397" spans="1:22" ht="15" thickTop="1" thickBot="1" x14ac:dyDescent="0.3">
      <c r="A397" s="1207"/>
      <c r="B397" s="1212" t="s">
        <v>3312</v>
      </c>
      <c r="C397" s="1212"/>
      <c r="D397" s="1212"/>
      <c r="E397" s="1212"/>
      <c r="F397" s="1208"/>
      <c r="G397" s="1208"/>
      <c r="H397" s="1208"/>
      <c r="I397" s="1209">
        <v>7.2</v>
      </c>
      <c r="J397" s="1209"/>
      <c r="K397" s="1210">
        <f t="shared" si="121"/>
        <v>1.05</v>
      </c>
      <c r="L397" s="1210">
        <f t="shared" si="118"/>
        <v>0</v>
      </c>
      <c r="M397" s="1197">
        <f t="shared" si="119"/>
        <v>0</v>
      </c>
      <c r="N397" s="1211">
        <f t="shared" si="120"/>
        <v>0</v>
      </c>
      <c r="O397" s="1212"/>
      <c r="P397" s="1200"/>
      <c r="Q397" s="1200"/>
      <c r="R397" s="1213"/>
      <c r="S397" s="1213"/>
      <c r="T397" s="1213"/>
      <c r="U397" s="1213"/>
      <c r="V397" s="1213"/>
    </row>
    <row r="398" spans="1:22" ht="15" thickTop="1" thickBot="1" x14ac:dyDescent="0.3">
      <c r="A398" s="1207"/>
      <c r="B398" s="1212"/>
      <c r="C398" s="1212"/>
      <c r="D398" s="1212"/>
      <c r="E398" s="1212"/>
      <c r="F398" s="1208"/>
      <c r="G398" s="1208"/>
      <c r="H398" s="1208"/>
      <c r="I398" s="1209">
        <v>25</v>
      </c>
      <c r="J398" s="1209"/>
      <c r="K398" s="1210">
        <f t="shared" si="121"/>
        <v>1.05</v>
      </c>
      <c r="L398" s="1210">
        <f t="shared" si="118"/>
        <v>0</v>
      </c>
      <c r="M398" s="1197">
        <f t="shared" si="119"/>
        <v>0</v>
      </c>
      <c r="N398" s="1211">
        <f t="shared" si="120"/>
        <v>0</v>
      </c>
      <c r="O398" s="1212"/>
      <c r="P398" s="1200"/>
      <c r="Q398" s="1200"/>
      <c r="R398" s="1213"/>
      <c r="S398" s="1213"/>
      <c r="T398" s="1213"/>
      <c r="U398" s="1213"/>
      <c r="V398" s="1213"/>
    </row>
    <row r="399" spans="1:22" ht="15" thickTop="1" thickBot="1" x14ac:dyDescent="0.3">
      <c r="A399" s="1207"/>
      <c r="B399" s="1212"/>
      <c r="C399" s="1212"/>
      <c r="D399" s="1212"/>
      <c r="E399" s="1212"/>
      <c r="F399" s="1208"/>
      <c r="G399" s="1208"/>
      <c r="H399" s="1208"/>
      <c r="I399" s="1209">
        <v>11.8</v>
      </c>
      <c r="J399" s="1209">
        <f>SUM(I397:I399)</f>
        <v>44</v>
      </c>
      <c r="K399" s="1210">
        <f t="shared" si="121"/>
        <v>1.05</v>
      </c>
      <c r="L399" s="1210">
        <f t="shared" si="118"/>
        <v>46.2</v>
      </c>
      <c r="M399" s="1197">
        <f t="shared" si="119"/>
        <v>46.2</v>
      </c>
      <c r="N399" s="1211">
        <f t="shared" si="120"/>
        <v>47</v>
      </c>
      <c r="O399" s="1212"/>
      <c r="P399" s="1200"/>
      <c r="Q399" s="1200"/>
      <c r="R399" s="1213"/>
      <c r="S399" s="1213"/>
      <c r="T399" s="1213"/>
      <c r="U399" s="1213"/>
      <c r="V399" s="1213"/>
    </row>
    <row r="400" spans="1:22" ht="15" thickTop="1" thickBot="1" x14ac:dyDescent="0.3">
      <c r="A400" s="1207"/>
      <c r="B400" s="1212"/>
      <c r="C400" s="1212"/>
      <c r="D400" s="1212"/>
      <c r="E400" s="1212"/>
      <c r="F400" s="1208"/>
      <c r="G400" s="1208"/>
      <c r="H400" s="1208"/>
      <c r="I400" s="1209"/>
      <c r="J400" s="1209"/>
      <c r="K400" s="1210">
        <f t="shared" si="121"/>
        <v>1.05</v>
      </c>
      <c r="L400" s="1210">
        <f t="shared" si="118"/>
        <v>0</v>
      </c>
      <c r="M400" s="1197">
        <f t="shared" si="119"/>
        <v>0</v>
      </c>
      <c r="N400" s="1211">
        <f t="shared" si="120"/>
        <v>0</v>
      </c>
      <c r="O400" s="1212"/>
      <c r="P400" s="1200"/>
      <c r="Q400" s="1200"/>
      <c r="R400" s="1213"/>
      <c r="S400" s="1213"/>
      <c r="T400" s="1213"/>
      <c r="U400" s="1213"/>
      <c r="V400" s="1213"/>
    </row>
    <row r="401" spans="1:22" ht="15" thickTop="1" thickBot="1" x14ac:dyDescent="0.3">
      <c r="A401" s="1207"/>
      <c r="B401" s="1212" t="s">
        <v>3295</v>
      </c>
      <c r="C401" s="1212"/>
      <c r="D401" s="1212"/>
      <c r="E401" s="1212"/>
      <c r="F401" s="1208"/>
      <c r="G401" s="1208"/>
      <c r="H401" s="1208"/>
      <c r="I401" s="1209">
        <v>12.3</v>
      </c>
      <c r="J401" s="1209"/>
      <c r="K401" s="1210">
        <f t="shared" si="121"/>
        <v>1.05</v>
      </c>
      <c r="L401" s="1210">
        <f t="shared" si="118"/>
        <v>0</v>
      </c>
      <c r="M401" s="1197">
        <f t="shared" si="119"/>
        <v>0</v>
      </c>
      <c r="N401" s="1211">
        <f t="shared" si="120"/>
        <v>0</v>
      </c>
      <c r="O401" s="1212"/>
      <c r="P401" s="1200"/>
      <c r="Q401" s="1200"/>
      <c r="R401" s="1213"/>
      <c r="S401" s="1213"/>
      <c r="T401" s="1213"/>
      <c r="U401" s="1213"/>
      <c r="V401" s="1213"/>
    </row>
    <row r="402" spans="1:22" ht="15" thickTop="1" thickBot="1" x14ac:dyDescent="0.3">
      <c r="A402" s="1207"/>
      <c r="B402" s="1212"/>
      <c r="C402" s="1212"/>
      <c r="D402" s="1212"/>
      <c r="E402" s="1212"/>
      <c r="F402" s="1208"/>
      <c r="G402" s="1208"/>
      <c r="H402" s="1208"/>
      <c r="I402" s="1209">
        <v>14.9</v>
      </c>
      <c r="J402" s="1209"/>
      <c r="K402" s="1210">
        <f t="shared" si="121"/>
        <v>1.05</v>
      </c>
      <c r="L402" s="1210">
        <f t="shared" si="118"/>
        <v>0</v>
      </c>
      <c r="M402" s="1197">
        <f t="shared" si="119"/>
        <v>0</v>
      </c>
      <c r="N402" s="1211">
        <f t="shared" si="120"/>
        <v>0</v>
      </c>
      <c r="O402" s="1212"/>
      <c r="P402" s="1200"/>
      <c r="Q402" s="1200"/>
      <c r="R402" s="1213"/>
      <c r="S402" s="1213"/>
      <c r="T402" s="1213"/>
      <c r="U402" s="1213"/>
      <c r="V402" s="1213"/>
    </row>
    <row r="403" spans="1:22" ht="15" thickTop="1" thickBot="1" x14ac:dyDescent="0.3">
      <c r="A403" s="1207"/>
      <c r="B403" s="1212"/>
      <c r="C403" s="1212"/>
      <c r="D403" s="1212"/>
      <c r="E403" s="1212"/>
      <c r="F403" s="1208"/>
      <c r="G403" s="1208"/>
      <c r="H403" s="1208"/>
      <c r="I403" s="1209">
        <v>8.8000000000000007</v>
      </c>
      <c r="J403" s="1209">
        <f>SUM(I401:I403)</f>
        <v>36</v>
      </c>
      <c r="K403" s="1210">
        <f t="shared" si="121"/>
        <v>1.05</v>
      </c>
      <c r="L403" s="1210">
        <f t="shared" ref="L403:L408" si="122">K403*J403</f>
        <v>37.800000000000004</v>
      </c>
      <c r="M403" s="1197">
        <f t="shared" ref="M403:M408" si="123">ROUND(L403,1)</f>
        <v>37.799999999999997</v>
      </c>
      <c r="N403" s="1211">
        <f t="shared" ref="N403:N408" si="124">ROUNDUP(M403,0)</f>
        <v>38</v>
      </c>
      <c r="O403" s="1212"/>
      <c r="P403" s="1200"/>
      <c r="Q403" s="1200"/>
      <c r="R403" s="1213"/>
      <c r="S403" s="1213"/>
      <c r="T403" s="1213"/>
      <c r="U403" s="1213"/>
      <c r="V403" s="1213"/>
    </row>
    <row r="404" spans="1:22" ht="15" thickTop="1" thickBot="1" x14ac:dyDescent="0.3">
      <c r="A404" s="1207"/>
      <c r="B404" s="1212"/>
      <c r="C404" s="1212"/>
      <c r="D404" s="1212"/>
      <c r="E404" s="1212"/>
      <c r="F404" s="1208"/>
      <c r="G404" s="1208"/>
      <c r="H404" s="1208"/>
      <c r="I404" s="1209"/>
      <c r="J404" s="1209"/>
      <c r="K404" s="1210">
        <f t="shared" si="121"/>
        <v>1.05</v>
      </c>
      <c r="L404" s="1210">
        <f t="shared" si="122"/>
        <v>0</v>
      </c>
      <c r="M404" s="1197">
        <f t="shared" si="123"/>
        <v>0</v>
      </c>
      <c r="N404" s="1211">
        <f t="shared" si="124"/>
        <v>0</v>
      </c>
      <c r="O404" s="1212"/>
      <c r="P404" s="1200"/>
      <c r="Q404" s="1200"/>
      <c r="R404" s="1213"/>
      <c r="S404" s="1213"/>
      <c r="T404" s="1213"/>
      <c r="U404" s="1213"/>
      <c r="V404" s="1213"/>
    </row>
    <row r="405" spans="1:22" ht="15" thickTop="1" thickBot="1" x14ac:dyDescent="0.3">
      <c r="A405" s="1207"/>
      <c r="B405" s="1212" t="s">
        <v>3313</v>
      </c>
      <c r="C405" s="1212"/>
      <c r="D405" s="1212"/>
      <c r="E405" s="1212"/>
      <c r="F405" s="1208"/>
      <c r="G405" s="1208"/>
      <c r="H405" s="1208"/>
      <c r="I405" s="1209"/>
      <c r="J405" s="1209">
        <v>23.3</v>
      </c>
      <c r="K405" s="1210">
        <f t="shared" si="121"/>
        <v>1.05</v>
      </c>
      <c r="L405" s="1210">
        <f t="shared" si="122"/>
        <v>24.465000000000003</v>
      </c>
      <c r="M405" s="1197">
        <f t="shared" si="123"/>
        <v>24.5</v>
      </c>
      <c r="N405" s="1211">
        <f t="shared" si="124"/>
        <v>25</v>
      </c>
      <c r="O405" s="1212"/>
      <c r="P405" s="1200"/>
      <c r="Q405" s="1200"/>
      <c r="R405" s="1213"/>
      <c r="S405" s="1213"/>
      <c r="T405" s="1213"/>
      <c r="U405" s="1213"/>
      <c r="V405" s="1213"/>
    </row>
    <row r="406" spans="1:22" ht="15" thickTop="1" thickBot="1" x14ac:dyDescent="0.3">
      <c r="A406" s="1207"/>
      <c r="B406" s="1212" t="s">
        <v>3295</v>
      </c>
      <c r="C406" s="1212"/>
      <c r="D406" s="1212"/>
      <c r="E406" s="1212"/>
      <c r="F406" s="1208"/>
      <c r="G406" s="1208"/>
      <c r="H406" s="1208"/>
      <c r="I406" s="1209"/>
      <c r="J406" s="1209">
        <v>20</v>
      </c>
      <c r="K406" s="1210">
        <f t="shared" si="121"/>
        <v>1.05</v>
      </c>
      <c r="L406" s="1210">
        <f t="shared" si="122"/>
        <v>21</v>
      </c>
      <c r="M406" s="1197">
        <f t="shared" si="123"/>
        <v>21</v>
      </c>
      <c r="N406" s="1211">
        <f t="shared" si="124"/>
        <v>21</v>
      </c>
      <c r="O406" s="1212"/>
      <c r="P406" s="1200"/>
      <c r="Q406" s="1200"/>
      <c r="R406" s="1213"/>
      <c r="S406" s="1213"/>
      <c r="T406" s="1213"/>
      <c r="U406" s="1213"/>
      <c r="V406" s="1213"/>
    </row>
    <row r="407" spans="1:22" ht="15" thickTop="1" thickBot="1" x14ac:dyDescent="0.3">
      <c r="A407" s="1207"/>
      <c r="B407" s="1212"/>
      <c r="C407" s="1212"/>
      <c r="D407" s="1212"/>
      <c r="E407" s="1212"/>
      <c r="F407" s="1208"/>
      <c r="G407" s="1208"/>
      <c r="H407" s="1208"/>
      <c r="I407" s="1209"/>
      <c r="J407" s="1209"/>
      <c r="K407" s="1210">
        <f t="shared" si="121"/>
        <v>1.05</v>
      </c>
      <c r="L407" s="1210">
        <f t="shared" si="122"/>
        <v>0</v>
      </c>
      <c r="M407" s="1197">
        <f t="shared" si="123"/>
        <v>0</v>
      </c>
      <c r="N407" s="1211">
        <f t="shared" si="124"/>
        <v>0</v>
      </c>
      <c r="O407" s="1212"/>
      <c r="P407" s="1200"/>
      <c r="Q407" s="1200"/>
      <c r="R407" s="1213"/>
      <c r="S407" s="1213"/>
      <c r="T407" s="1213"/>
      <c r="U407" s="1213"/>
      <c r="V407" s="1213"/>
    </row>
    <row r="408" spans="1:22" ht="15" thickTop="1" thickBot="1" x14ac:dyDescent="0.3">
      <c r="A408" s="1207"/>
      <c r="B408" s="1212" t="s">
        <v>3314</v>
      </c>
      <c r="C408" s="1212"/>
      <c r="D408" s="1212"/>
      <c r="E408" s="1212"/>
      <c r="F408" s="1208"/>
      <c r="G408" s="1208"/>
      <c r="H408" s="1208"/>
      <c r="I408" s="1209"/>
      <c r="J408" s="1209">
        <v>13</v>
      </c>
      <c r="K408" s="1210">
        <f t="shared" si="121"/>
        <v>1.05</v>
      </c>
      <c r="L408" s="1210">
        <f t="shared" si="122"/>
        <v>13.65</v>
      </c>
      <c r="M408" s="1197">
        <f t="shared" si="123"/>
        <v>13.7</v>
      </c>
      <c r="N408" s="1211">
        <f t="shared" si="124"/>
        <v>14</v>
      </c>
      <c r="O408" s="1212"/>
      <c r="P408" s="1200"/>
      <c r="Q408" s="1200"/>
      <c r="R408" s="1213"/>
      <c r="S408" s="1213"/>
      <c r="T408" s="1213"/>
      <c r="U408" s="1213"/>
      <c r="V408" s="1213"/>
    </row>
    <row r="409" spans="1:22" ht="15" thickTop="1" thickBot="1" x14ac:dyDescent="0.3">
      <c r="A409" s="1207"/>
      <c r="B409" s="1212" t="s">
        <v>3295</v>
      </c>
      <c r="C409" s="1212"/>
      <c r="D409" s="1212"/>
      <c r="E409" s="1212"/>
      <c r="F409" s="1208"/>
      <c r="G409" s="1208"/>
      <c r="H409" s="1208"/>
      <c r="I409" s="1209"/>
      <c r="J409" s="1209">
        <v>14</v>
      </c>
      <c r="K409" s="1210">
        <f t="shared" si="121"/>
        <v>1.05</v>
      </c>
      <c r="L409" s="1210">
        <f t="shared" si="118"/>
        <v>14.700000000000001</v>
      </c>
      <c r="M409" s="1197">
        <f t="shared" si="119"/>
        <v>14.7</v>
      </c>
      <c r="N409" s="1211">
        <f t="shared" si="120"/>
        <v>15</v>
      </c>
      <c r="O409" s="1212"/>
      <c r="P409" s="1200"/>
      <c r="Q409" s="1200"/>
      <c r="R409" s="1213"/>
      <c r="S409" s="1213"/>
      <c r="T409" s="1213"/>
      <c r="U409" s="1213"/>
      <c r="V409" s="1213"/>
    </row>
    <row r="410" spans="1:22" ht="15" thickTop="1" thickBot="1" x14ac:dyDescent="0.3">
      <c r="A410" s="1207"/>
      <c r="B410" s="1212"/>
      <c r="C410" s="1212"/>
      <c r="D410" s="1212"/>
      <c r="E410" s="1212"/>
      <c r="F410" s="1208"/>
      <c r="G410" s="1208"/>
      <c r="H410" s="1208"/>
      <c r="I410" s="1209"/>
      <c r="J410" s="1209"/>
      <c r="K410" s="1210">
        <f t="shared" si="121"/>
        <v>1.05</v>
      </c>
      <c r="L410" s="1210">
        <f t="shared" si="118"/>
        <v>0</v>
      </c>
      <c r="M410" s="1197">
        <f t="shared" si="119"/>
        <v>0</v>
      </c>
      <c r="N410" s="1211">
        <f t="shared" si="120"/>
        <v>0</v>
      </c>
      <c r="O410" s="1212"/>
      <c r="P410" s="1200"/>
      <c r="Q410" s="1200"/>
      <c r="R410" s="1213"/>
      <c r="S410" s="1213"/>
      <c r="T410" s="1213"/>
      <c r="U410" s="1213"/>
      <c r="V410" s="1213"/>
    </row>
    <row r="411" spans="1:22" ht="15" thickTop="1" thickBot="1" x14ac:dyDescent="0.3">
      <c r="A411" s="1207"/>
      <c r="B411" s="1212"/>
      <c r="C411" s="1212"/>
      <c r="D411" s="1212"/>
      <c r="E411" s="1212"/>
      <c r="F411" s="1208"/>
      <c r="G411" s="1208"/>
      <c r="H411" s="1208"/>
      <c r="I411" s="1209"/>
      <c r="J411" s="1209"/>
      <c r="K411" s="1210">
        <f t="shared" si="121"/>
        <v>1.05</v>
      </c>
      <c r="L411" s="1210">
        <f t="shared" si="118"/>
        <v>0</v>
      </c>
      <c r="M411" s="1197">
        <f t="shared" si="119"/>
        <v>0</v>
      </c>
      <c r="N411" s="1211">
        <f t="shared" si="120"/>
        <v>0</v>
      </c>
      <c r="O411" s="1212"/>
      <c r="P411" s="1200"/>
      <c r="Q411" s="1200"/>
      <c r="R411" s="1213"/>
      <c r="S411" s="1213"/>
      <c r="T411" s="1213"/>
      <c r="U411" s="1213"/>
      <c r="V411" s="1213"/>
    </row>
    <row r="412" spans="1:22" ht="15" thickTop="1" thickBot="1" x14ac:dyDescent="0.3">
      <c r="A412" s="1207"/>
      <c r="B412" s="1212"/>
      <c r="C412" s="1212"/>
      <c r="D412" s="1212"/>
      <c r="E412" s="1212"/>
      <c r="F412" s="1208"/>
      <c r="G412" s="1208"/>
      <c r="H412" s="1208"/>
      <c r="I412" s="1209"/>
      <c r="J412" s="1209"/>
      <c r="K412" s="1210">
        <f t="shared" si="121"/>
        <v>1.05</v>
      </c>
      <c r="L412" s="1210">
        <f t="shared" si="118"/>
        <v>0</v>
      </c>
      <c r="M412" s="1197">
        <f t="shared" si="119"/>
        <v>0</v>
      </c>
      <c r="N412" s="1211">
        <f t="shared" si="120"/>
        <v>0</v>
      </c>
      <c r="O412" s="1212"/>
      <c r="P412" s="1200"/>
      <c r="Q412" s="1200"/>
      <c r="R412" s="1213"/>
      <c r="S412" s="1213"/>
      <c r="T412" s="1213"/>
      <c r="U412" s="1213"/>
      <c r="V412" s="1213"/>
    </row>
    <row r="413" spans="1:22" ht="15" thickTop="1" thickBot="1" x14ac:dyDescent="0.3">
      <c r="A413" s="1207"/>
      <c r="B413" s="1212"/>
      <c r="C413" s="1212"/>
      <c r="D413" s="1212"/>
      <c r="E413" s="1212"/>
      <c r="F413" s="1208"/>
      <c r="G413" s="1208"/>
      <c r="H413" s="1208"/>
      <c r="I413" s="1209"/>
      <c r="J413" s="1209"/>
      <c r="K413" s="1210">
        <f t="shared" si="121"/>
        <v>1.05</v>
      </c>
      <c r="L413" s="1210">
        <f t="shared" si="118"/>
        <v>0</v>
      </c>
      <c r="M413" s="1197">
        <f t="shared" si="119"/>
        <v>0</v>
      </c>
      <c r="N413" s="1211">
        <f t="shared" si="120"/>
        <v>0</v>
      </c>
      <c r="O413" s="1212"/>
      <c r="P413" s="1200"/>
      <c r="Q413" s="1200"/>
      <c r="R413" s="1213"/>
      <c r="S413" s="1213"/>
      <c r="T413" s="1213"/>
      <c r="U413" s="1213"/>
      <c r="V413" s="1213"/>
    </row>
    <row r="414" spans="1:22" ht="15" thickTop="1" thickBot="1" x14ac:dyDescent="0.3">
      <c r="A414" s="1207"/>
      <c r="B414" s="1212"/>
      <c r="C414" s="1212"/>
      <c r="D414" s="1212"/>
      <c r="E414" s="1212"/>
      <c r="F414" s="1208"/>
      <c r="G414" s="1208"/>
      <c r="H414" s="1208"/>
      <c r="I414" s="1209"/>
      <c r="J414" s="1209"/>
      <c r="K414" s="1210">
        <f t="shared" si="121"/>
        <v>1.05</v>
      </c>
      <c r="L414" s="1210">
        <f t="shared" si="118"/>
        <v>0</v>
      </c>
      <c r="M414" s="1197">
        <f t="shared" si="119"/>
        <v>0</v>
      </c>
      <c r="N414" s="1211">
        <f t="shared" si="120"/>
        <v>0</v>
      </c>
      <c r="O414" s="1212"/>
      <c r="P414" s="1200"/>
      <c r="Q414" s="1200"/>
      <c r="R414" s="1213"/>
      <c r="S414" s="1213"/>
      <c r="T414" s="1213"/>
      <c r="U414" s="1213"/>
      <c r="V414" s="1213"/>
    </row>
    <row r="415" spans="1:22" ht="15" thickTop="1" thickBot="1" x14ac:dyDescent="0.3">
      <c r="A415" s="1207"/>
      <c r="B415" s="1212"/>
      <c r="C415" s="1212"/>
      <c r="D415" s="1212"/>
      <c r="E415" s="1212"/>
      <c r="F415" s="1208"/>
      <c r="G415" s="1208"/>
      <c r="H415" s="1208"/>
      <c r="I415" s="1209"/>
      <c r="J415" s="1209"/>
      <c r="K415" s="1210">
        <f t="shared" si="121"/>
        <v>1.05</v>
      </c>
      <c r="L415" s="1210">
        <f t="shared" si="118"/>
        <v>0</v>
      </c>
      <c r="M415" s="1197">
        <f t="shared" si="119"/>
        <v>0</v>
      </c>
      <c r="N415" s="1211">
        <f t="shared" si="120"/>
        <v>0</v>
      </c>
      <c r="O415" s="1212"/>
      <c r="P415" s="1200"/>
      <c r="Q415" s="1200"/>
      <c r="R415" s="1213"/>
      <c r="S415" s="1213"/>
      <c r="T415" s="1213"/>
      <c r="U415" s="1213"/>
      <c r="V415" s="1213"/>
    </row>
    <row r="416" spans="1:22" ht="15" thickTop="1" thickBot="1" x14ac:dyDescent="0.3">
      <c r="A416" s="1207"/>
      <c r="B416" s="1212"/>
      <c r="C416" s="1212"/>
      <c r="D416" s="1212"/>
      <c r="E416" s="1212"/>
      <c r="F416" s="1208"/>
      <c r="G416" s="1208"/>
      <c r="H416" s="1208"/>
      <c r="I416" s="1209"/>
      <c r="J416" s="1209"/>
      <c r="K416" s="1210">
        <f t="shared" si="121"/>
        <v>1.05</v>
      </c>
      <c r="L416" s="1210">
        <f t="shared" si="118"/>
        <v>0</v>
      </c>
      <c r="M416" s="1197">
        <f t="shared" si="119"/>
        <v>0</v>
      </c>
      <c r="N416" s="1211">
        <f t="shared" si="120"/>
        <v>0</v>
      </c>
      <c r="O416" s="1212"/>
      <c r="P416" s="1200"/>
      <c r="Q416" s="1200"/>
      <c r="R416" s="1213"/>
      <c r="S416" s="1213"/>
      <c r="T416" s="1213"/>
      <c r="U416" s="1213"/>
      <c r="V416" s="1213"/>
    </row>
    <row r="417" spans="1:22" ht="15" thickTop="1" thickBot="1" x14ac:dyDescent="0.3">
      <c r="A417" s="1207"/>
      <c r="B417" s="1212"/>
      <c r="C417" s="1212"/>
      <c r="D417" s="1212"/>
      <c r="E417" s="1212"/>
      <c r="F417" s="1208"/>
      <c r="G417" s="1208"/>
      <c r="H417" s="1208"/>
      <c r="I417" s="1209"/>
      <c r="J417" s="1209"/>
      <c r="K417" s="1210">
        <f t="shared" si="121"/>
        <v>1.05</v>
      </c>
      <c r="L417" s="1210">
        <f t="shared" si="118"/>
        <v>0</v>
      </c>
      <c r="M417" s="1197">
        <f t="shared" si="119"/>
        <v>0</v>
      </c>
      <c r="N417" s="1211">
        <f t="shared" si="120"/>
        <v>0</v>
      </c>
      <c r="O417" s="1212"/>
      <c r="P417" s="1200"/>
      <c r="Q417" s="1200"/>
      <c r="R417" s="1213"/>
      <c r="S417" s="1213"/>
      <c r="T417" s="1213"/>
      <c r="U417" s="1213"/>
      <c r="V417" s="1213"/>
    </row>
    <row r="418" spans="1:22" ht="15" thickTop="1" thickBot="1" x14ac:dyDescent="0.3">
      <c r="A418" s="1207"/>
      <c r="B418" s="1212"/>
      <c r="C418" s="1212"/>
      <c r="D418" s="1212"/>
      <c r="E418" s="1212"/>
      <c r="F418" s="1208"/>
      <c r="G418" s="1208"/>
      <c r="H418" s="1208"/>
      <c r="I418" s="1209"/>
      <c r="J418" s="1209"/>
      <c r="K418" s="1210">
        <f t="shared" si="121"/>
        <v>1.05</v>
      </c>
      <c r="L418" s="1210">
        <f t="shared" ref="L418:L660" si="125">K418*J418</f>
        <v>0</v>
      </c>
      <c r="M418" s="1197">
        <f t="shared" ref="M418:M660" si="126">ROUND(L418,1)</f>
        <v>0</v>
      </c>
      <c r="N418" s="1211">
        <f t="shared" ref="N418:N660" si="127">ROUNDUP(M418,0)</f>
        <v>0</v>
      </c>
      <c r="O418" s="1212"/>
      <c r="P418" s="1200"/>
      <c r="Q418" s="1200"/>
      <c r="R418" s="1213"/>
      <c r="S418" s="1213"/>
      <c r="T418" s="1213"/>
      <c r="U418" s="1213"/>
      <c r="V418" s="1213"/>
    </row>
    <row r="419" spans="1:22" ht="15" thickTop="1" thickBot="1" x14ac:dyDescent="0.3">
      <c r="A419" s="1207"/>
      <c r="B419" s="1212"/>
      <c r="C419" s="1212"/>
      <c r="D419" s="1212"/>
      <c r="E419" s="1212"/>
      <c r="F419" s="1208"/>
      <c r="G419" s="1208"/>
      <c r="H419" s="1208"/>
      <c r="I419" s="1209"/>
      <c r="J419" s="1209"/>
      <c r="K419" s="1210">
        <f t="shared" si="121"/>
        <v>1.05</v>
      </c>
      <c r="L419" s="1210">
        <f t="shared" si="125"/>
        <v>0</v>
      </c>
      <c r="M419" s="1197">
        <f t="shared" si="126"/>
        <v>0</v>
      </c>
      <c r="N419" s="1211">
        <f t="shared" si="127"/>
        <v>0</v>
      </c>
      <c r="O419" s="1212"/>
      <c r="P419" s="1200"/>
      <c r="Q419" s="1200"/>
      <c r="R419" s="1213"/>
      <c r="S419" s="1213"/>
      <c r="T419" s="1213"/>
      <c r="U419" s="1213"/>
      <c r="V419" s="1213"/>
    </row>
    <row r="420" spans="1:22" ht="15" thickTop="1" thickBot="1" x14ac:dyDescent="0.3">
      <c r="A420" s="1207"/>
      <c r="B420" s="1212"/>
      <c r="C420" s="1212"/>
      <c r="D420" s="1212"/>
      <c r="E420" s="1212"/>
      <c r="F420" s="1208"/>
      <c r="G420" s="1208"/>
      <c r="H420" s="1208"/>
      <c r="I420" s="1209"/>
      <c r="J420" s="1209"/>
      <c r="K420" s="1210">
        <f t="shared" si="121"/>
        <v>1.05</v>
      </c>
      <c r="L420" s="1210">
        <f t="shared" si="125"/>
        <v>0</v>
      </c>
      <c r="M420" s="1197">
        <f t="shared" si="126"/>
        <v>0</v>
      </c>
      <c r="N420" s="1211">
        <f t="shared" si="127"/>
        <v>0</v>
      </c>
      <c r="O420" s="1212"/>
      <c r="P420" s="1200"/>
      <c r="Q420" s="1200"/>
      <c r="R420" s="1213"/>
      <c r="S420" s="1213"/>
      <c r="T420" s="1213"/>
      <c r="U420" s="1213"/>
      <c r="V420" s="1213"/>
    </row>
    <row r="421" spans="1:22" ht="15" thickTop="1" thickBot="1" x14ac:dyDescent="0.3">
      <c r="A421" s="1207"/>
      <c r="B421" s="1212"/>
      <c r="C421" s="1212"/>
      <c r="D421" s="1212"/>
      <c r="E421" s="1212"/>
      <c r="F421" s="1208"/>
      <c r="G421" s="1208"/>
      <c r="H421" s="1208"/>
      <c r="I421" s="1209"/>
      <c r="J421" s="1209"/>
      <c r="K421" s="1210">
        <f t="shared" si="121"/>
        <v>1.05</v>
      </c>
      <c r="L421" s="1210">
        <f t="shared" si="125"/>
        <v>0</v>
      </c>
      <c r="M421" s="1197">
        <f t="shared" si="126"/>
        <v>0</v>
      </c>
      <c r="N421" s="1211">
        <f t="shared" si="127"/>
        <v>0</v>
      </c>
      <c r="O421" s="1212"/>
      <c r="P421" s="1200"/>
      <c r="Q421" s="1200"/>
      <c r="R421" s="1213"/>
      <c r="S421" s="1213"/>
      <c r="T421" s="1213"/>
      <c r="U421" s="1213"/>
      <c r="V421" s="1213"/>
    </row>
    <row r="422" spans="1:22" ht="15" thickTop="1" thickBot="1" x14ac:dyDescent="0.3">
      <c r="A422" s="1207"/>
      <c r="B422" s="1212"/>
      <c r="C422" s="1212"/>
      <c r="D422" s="1212"/>
      <c r="E422" s="1212"/>
      <c r="F422" s="1208"/>
      <c r="G422" s="1208"/>
      <c r="H422" s="1208"/>
      <c r="I422" s="1209"/>
      <c r="J422" s="1209"/>
      <c r="K422" s="1210">
        <f t="shared" si="121"/>
        <v>1.05</v>
      </c>
      <c r="L422" s="1210">
        <f t="shared" si="125"/>
        <v>0</v>
      </c>
      <c r="M422" s="1197">
        <f t="shared" si="126"/>
        <v>0</v>
      </c>
      <c r="N422" s="1211">
        <f t="shared" si="127"/>
        <v>0</v>
      </c>
      <c r="O422" s="1212"/>
      <c r="P422" s="1200"/>
      <c r="Q422" s="1200"/>
      <c r="R422" s="1213"/>
      <c r="S422" s="1213"/>
      <c r="T422" s="1213"/>
      <c r="U422" s="1213"/>
      <c r="V422" s="1213"/>
    </row>
    <row r="423" spans="1:22" ht="15" thickTop="1" thickBot="1" x14ac:dyDescent="0.3">
      <c r="A423" s="1207"/>
      <c r="B423" s="1212"/>
      <c r="C423" s="1212"/>
      <c r="D423" s="1212"/>
      <c r="E423" s="1212"/>
      <c r="F423" s="1208"/>
      <c r="G423" s="1208"/>
      <c r="H423" s="1208"/>
      <c r="I423" s="1209"/>
      <c r="J423" s="1209"/>
      <c r="K423" s="1210">
        <f t="shared" si="121"/>
        <v>1.05</v>
      </c>
      <c r="L423" s="1210">
        <f t="shared" si="125"/>
        <v>0</v>
      </c>
      <c r="M423" s="1197">
        <f t="shared" si="126"/>
        <v>0</v>
      </c>
      <c r="N423" s="1211">
        <f t="shared" si="127"/>
        <v>0</v>
      </c>
      <c r="O423" s="1212"/>
      <c r="P423" s="1200"/>
      <c r="Q423" s="1200"/>
      <c r="R423" s="1213"/>
      <c r="S423" s="1213"/>
      <c r="T423" s="1213"/>
      <c r="U423" s="1213"/>
      <c r="V423" s="1213"/>
    </row>
    <row r="424" spans="1:22" ht="15" thickTop="1" thickBot="1" x14ac:dyDescent="0.3">
      <c r="A424" s="1207"/>
      <c r="B424" s="1212"/>
      <c r="C424" s="1212"/>
      <c r="D424" s="1212"/>
      <c r="E424" s="1212"/>
      <c r="F424" s="1208"/>
      <c r="G424" s="1208"/>
      <c r="H424" s="1208"/>
      <c r="I424" s="1209"/>
      <c r="J424" s="1209"/>
      <c r="K424" s="1210">
        <f t="shared" si="121"/>
        <v>1.05</v>
      </c>
      <c r="L424" s="1210">
        <f t="shared" si="125"/>
        <v>0</v>
      </c>
      <c r="M424" s="1197">
        <f t="shared" si="126"/>
        <v>0</v>
      </c>
      <c r="N424" s="1211">
        <f t="shared" si="127"/>
        <v>0</v>
      </c>
      <c r="O424" s="1212"/>
      <c r="P424" s="1200"/>
      <c r="Q424" s="1200"/>
      <c r="R424" s="1213"/>
      <c r="S424" s="1213"/>
      <c r="T424" s="1213"/>
      <c r="U424" s="1213"/>
      <c r="V424" s="1213"/>
    </row>
    <row r="425" spans="1:22" ht="15" thickTop="1" thickBot="1" x14ac:dyDescent="0.3">
      <c r="A425" s="1207"/>
      <c r="B425" s="1212"/>
      <c r="C425" s="1212"/>
      <c r="D425" s="1212"/>
      <c r="E425" s="1212"/>
      <c r="F425" s="1208"/>
      <c r="G425" s="1208"/>
      <c r="H425" s="1208"/>
      <c r="I425" s="1209"/>
      <c r="J425" s="1209"/>
      <c r="K425" s="1210">
        <f t="shared" si="121"/>
        <v>1.05</v>
      </c>
      <c r="L425" s="1210">
        <f t="shared" si="125"/>
        <v>0</v>
      </c>
      <c r="M425" s="1197">
        <f t="shared" si="126"/>
        <v>0</v>
      </c>
      <c r="N425" s="1211">
        <f t="shared" si="127"/>
        <v>0</v>
      </c>
      <c r="O425" s="1212"/>
      <c r="P425" s="1200"/>
      <c r="Q425" s="1200"/>
      <c r="R425" s="1213"/>
      <c r="S425" s="1213"/>
      <c r="T425" s="1213"/>
      <c r="U425" s="1213"/>
      <c r="V425" s="1213"/>
    </row>
    <row r="426" spans="1:22" ht="15" thickTop="1" thickBot="1" x14ac:dyDescent="0.3">
      <c r="A426" s="1207"/>
      <c r="B426" s="1212"/>
      <c r="C426" s="1212"/>
      <c r="D426" s="1212"/>
      <c r="E426" s="1212"/>
      <c r="F426" s="1208"/>
      <c r="G426" s="1208"/>
      <c r="H426" s="1208"/>
      <c r="I426" s="1209"/>
      <c r="J426" s="1209"/>
      <c r="K426" s="1210">
        <f t="shared" si="121"/>
        <v>1.05</v>
      </c>
      <c r="L426" s="1210">
        <f t="shared" si="125"/>
        <v>0</v>
      </c>
      <c r="M426" s="1197">
        <f t="shared" si="126"/>
        <v>0</v>
      </c>
      <c r="N426" s="1211">
        <f t="shared" si="127"/>
        <v>0</v>
      </c>
      <c r="O426" s="1212"/>
      <c r="P426" s="1200"/>
      <c r="Q426" s="1200"/>
      <c r="R426" s="1213"/>
      <c r="S426" s="1213"/>
      <c r="T426" s="1213"/>
      <c r="U426" s="1213"/>
      <c r="V426" s="1213"/>
    </row>
    <row r="427" spans="1:22" ht="15" thickTop="1" thickBot="1" x14ac:dyDescent="0.3">
      <c r="A427" s="1207"/>
      <c r="B427" s="1212"/>
      <c r="C427" s="1212"/>
      <c r="D427" s="1212"/>
      <c r="E427" s="1212"/>
      <c r="F427" s="1208"/>
      <c r="G427" s="1208"/>
      <c r="H427" s="1208"/>
      <c r="I427" s="1209"/>
      <c r="J427" s="1209"/>
      <c r="K427" s="1210">
        <f t="shared" si="121"/>
        <v>1.05</v>
      </c>
      <c r="L427" s="1210">
        <f t="shared" si="125"/>
        <v>0</v>
      </c>
      <c r="M427" s="1197">
        <f t="shared" si="126"/>
        <v>0</v>
      </c>
      <c r="N427" s="1211">
        <f t="shared" si="127"/>
        <v>0</v>
      </c>
      <c r="O427" s="1212"/>
      <c r="P427" s="1200"/>
      <c r="Q427" s="1200"/>
      <c r="R427" s="1213"/>
      <c r="S427" s="1213"/>
      <c r="T427" s="1213"/>
      <c r="U427" s="1213"/>
      <c r="V427" s="1213"/>
    </row>
    <row r="428" spans="1:22" ht="15" thickTop="1" thickBot="1" x14ac:dyDescent="0.3">
      <c r="A428" s="1207"/>
      <c r="B428" s="1212"/>
      <c r="C428" s="1212"/>
      <c r="D428" s="1212"/>
      <c r="E428" s="1212"/>
      <c r="F428" s="1208"/>
      <c r="G428" s="1208"/>
      <c r="H428" s="1208"/>
      <c r="I428" s="1209"/>
      <c r="J428" s="1209"/>
      <c r="K428" s="1210">
        <f t="shared" si="121"/>
        <v>1.05</v>
      </c>
      <c r="L428" s="1210">
        <f t="shared" si="125"/>
        <v>0</v>
      </c>
      <c r="M428" s="1197">
        <f t="shared" si="126"/>
        <v>0</v>
      </c>
      <c r="N428" s="1211">
        <f t="shared" si="127"/>
        <v>0</v>
      </c>
      <c r="O428" s="1212"/>
      <c r="P428" s="1200"/>
      <c r="Q428" s="1200"/>
      <c r="R428" s="1213"/>
      <c r="S428" s="1213"/>
      <c r="T428" s="1213"/>
      <c r="U428" s="1213"/>
      <c r="V428" s="1213"/>
    </row>
    <row r="429" spans="1:22" ht="15" thickTop="1" thickBot="1" x14ac:dyDescent="0.3">
      <c r="A429" s="1207"/>
      <c r="B429" s="1212"/>
      <c r="C429" s="1212"/>
      <c r="D429" s="1212"/>
      <c r="E429" s="1212"/>
      <c r="F429" s="1208"/>
      <c r="G429" s="1208"/>
      <c r="H429" s="1208"/>
      <c r="I429" s="1209"/>
      <c r="J429" s="1209"/>
      <c r="K429" s="1210">
        <f t="shared" si="121"/>
        <v>1.05</v>
      </c>
      <c r="L429" s="1210">
        <f t="shared" si="125"/>
        <v>0</v>
      </c>
      <c r="M429" s="1197">
        <f t="shared" si="126"/>
        <v>0</v>
      </c>
      <c r="N429" s="1211">
        <f t="shared" si="127"/>
        <v>0</v>
      </c>
      <c r="O429" s="1212"/>
      <c r="P429" s="1200"/>
      <c r="Q429" s="1200"/>
      <c r="R429" s="1213"/>
      <c r="S429" s="1213"/>
      <c r="T429" s="1213"/>
      <c r="U429" s="1213"/>
      <c r="V429" s="1213"/>
    </row>
    <row r="430" spans="1:22" ht="15" thickTop="1" thickBot="1" x14ac:dyDescent="0.3">
      <c r="A430" s="1207"/>
      <c r="B430" s="1212"/>
      <c r="C430" s="1212"/>
      <c r="D430" s="1212"/>
      <c r="E430" s="1212"/>
      <c r="F430" s="1208"/>
      <c r="G430" s="1208"/>
      <c r="H430" s="1208"/>
      <c r="I430" s="1209"/>
      <c r="J430" s="1209"/>
      <c r="K430" s="1210">
        <f t="shared" si="121"/>
        <v>1.05</v>
      </c>
      <c r="L430" s="1210">
        <f t="shared" si="125"/>
        <v>0</v>
      </c>
      <c r="M430" s="1197">
        <f t="shared" si="126"/>
        <v>0</v>
      </c>
      <c r="N430" s="1211">
        <f t="shared" si="127"/>
        <v>0</v>
      </c>
      <c r="O430" s="1212"/>
      <c r="P430" s="1200"/>
      <c r="Q430" s="1200"/>
      <c r="R430" s="1213"/>
      <c r="S430" s="1213"/>
      <c r="T430" s="1213"/>
      <c r="U430" s="1213"/>
      <c r="V430" s="1213"/>
    </row>
    <row r="431" spans="1:22" ht="15" thickTop="1" thickBot="1" x14ac:dyDescent="0.3">
      <c r="A431" s="1207"/>
      <c r="B431" s="1212"/>
      <c r="C431" s="1212"/>
      <c r="D431" s="1212"/>
      <c r="E431" s="1212"/>
      <c r="F431" s="1208"/>
      <c r="G431" s="1208"/>
      <c r="H431" s="1208"/>
      <c r="I431" s="1209"/>
      <c r="J431" s="1209"/>
      <c r="K431" s="1210">
        <f t="shared" si="121"/>
        <v>1.05</v>
      </c>
      <c r="L431" s="1210">
        <f t="shared" si="125"/>
        <v>0</v>
      </c>
      <c r="M431" s="1197">
        <f t="shared" si="126"/>
        <v>0</v>
      </c>
      <c r="N431" s="1211">
        <f t="shared" si="127"/>
        <v>0</v>
      </c>
      <c r="O431" s="1212"/>
      <c r="P431" s="1200"/>
      <c r="Q431" s="1200"/>
      <c r="R431" s="1213"/>
      <c r="S431" s="1213"/>
      <c r="T431" s="1213"/>
      <c r="U431" s="1213"/>
      <c r="V431" s="1213"/>
    </row>
    <row r="432" spans="1:22" ht="15" thickTop="1" thickBot="1" x14ac:dyDescent="0.3">
      <c r="A432" s="1207"/>
      <c r="B432" s="1212"/>
      <c r="C432" s="1212"/>
      <c r="D432" s="1212"/>
      <c r="E432" s="1212"/>
      <c r="F432" s="1208"/>
      <c r="G432" s="1208"/>
      <c r="H432" s="1208"/>
      <c r="I432" s="1209"/>
      <c r="J432" s="1209"/>
      <c r="K432" s="1210">
        <f t="shared" si="121"/>
        <v>1.05</v>
      </c>
      <c r="L432" s="1210">
        <f t="shared" si="125"/>
        <v>0</v>
      </c>
      <c r="M432" s="1197">
        <f t="shared" si="126"/>
        <v>0</v>
      </c>
      <c r="N432" s="1211">
        <f t="shared" si="127"/>
        <v>0</v>
      </c>
      <c r="O432" s="1212"/>
      <c r="P432" s="1200"/>
      <c r="Q432" s="1200"/>
      <c r="R432" s="1213"/>
      <c r="S432" s="1213"/>
      <c r="T432" s="1213"/>
      <c r="U432" s="1213"/>
      <c r="V432" s="1213"/>
    </row>
    <row r="433" spans="1:22" ht="15" thickTop="1" thickBot="1" x14ac:dyDescent="0.3">
      <c r="A433" s="1207"/>
      <c r="B433" s="1212"/>
      <c r="C433" s="1212"/>
      <c r="D433" s="1212"/>
      <c r="E433" s="1212"/>
      <c r="F433" s="1208"/>
      <c r="G433" s="1208"/>
      <c r="H433" s="1208"/>
      <c r="I433" s="1209"/>
      <c r="J433" s="1209"/>
      <c r="K433" s="1210">
        <f t="shared" si="121"/>
        <v>1.05</v>
      </c>
      <c r="L433" s="1210">
        <f t="shared" si="125"/>
        <v>0</v>
      </c>
      <c r="M433" s="1197">
        <f t="shared" si="126"/>
        <v>0</v>
      </c>
      <c r="N433" s="1211">
        <f t="shared" si="127"/>
        <v>0</v>
      </c>
      <c r="O433" s="1212"/>
      <c r="P433" s="1200"/>
      <c r="Q433" s="1200"/>
      <c r="R433" s="1213"/>
      <c r="S433" s="1213"/>
      <c r="T433" s="1213"/>
      <c r="U433" s="1213"/>
      <c r="V433" s="1213"/>
    </row>
    <row r="434" spans="1:22" ht="15" thickTop="1" thickBot="1" x14ac:dyDescent="0.3">
      <c r="A434" s="1207"/>
      <c r="B434" s="1212"/>
      <c r="C434" s="1212"/>
      <c r="D434" s="1212"/>
      <c r="E434" s="1212"/>
      <c r="F434" s="1208"/>
      <c r="G434" s="1208"/>
      <c r="H434" s="1208"/>
      <c r="I434" s="1209"/>
      <c r="J434" s="1209"/>
      <c r="K434" s="1210">
        <f t="shared" si="121"/>
        <v>1.05</v>
      </c>
      <c r="L434" s="1210">
        <f t="shared" si="125"/>
        <v>0</v>
      </c>
      <c r="M434" s="1197">
        <f t="shared" si="126"/>
        <v>0</v>
      </c>
      <c r="N434" s="1211">
        <f t="shared" si="127"/>
        <v>0</v>
      </c>
      <c r="O434" s="1212"/>
      <c r="P434" s="1200"/>
      <c r="Q434" s="1200"/>
      <c r="R434" s="1213"/>
      <c r="S434" s="1213"/>
      <c r="T434" s="1213"/>
      <c r="U434" s="1213"/>
      <c r="V434" s="1213"/>
    </row>
    <row r="435" spans="1:22" ht="15" thickTop="1" thickBot="1" x14ac:dyDescent="0.3">
      <c r="A435" s="1207"/>
      <c r="B435" s="1212"/>
      <c r="C435" s="1212"/>
      <c r="D435" s="1212"/>
      <c r="E435" s="1212"/>
      <c r="F435" s="1208"/>
      <c r="G435" s="1208"/>
      <c r="H435" s="1208"/>
      <c r="I435" s="1209"/>
      <c r="J435" s="1209"/>
      <c r="K435" s="1210">
        <f t="shared" si="121"/>
        <v>1.05</v>
      </c>
      <c r="L435" s="1210">
        <f t="shared" si="125"/>
        <v>0</v>
      </c>
      <c r="M435" s="1197">
        <f t="shared" si="126"/>
        <v>0</v>
      </c>
      <c r="N435" s="1211">
        <f t="shared" si="127"/>
        <v>0</v>
      </c>
      <c r="O435" s="1212"/>
      <c r="P435" s="1200"/>
      <c r="Q435" s="1200"/>
      <c r="R435" s="1213"/>
      <c r="S435" s="1213"/>
      <c r="T435" s="1213"/>
      <c r="U435" s="1213"/>
      <c r="V435" s="1213"/>
    </row>
    <row r="436" spans="1:22" ht="15" thickTop="1" thickBot="1" x14ac:dyDescent="0.3">
      <c r="A436" s="1207"/>
      <c r="B436" s="1212"/>
      <c r="C436" s="1212"/>
      <c r="D436" s="1212"/>
      <c r="E436" s="1212"/>
      <c r="F436" s="1208"/>
      <c r="G436" s="1208"/>
      <c r="H436" s="1208"/>
      <c r="I436" s="1209"/>
      <c r="J436" s="1209"/>
      <c r="K436" s="1210">
        <f t="shared" si="121"/>
        <v>1.05</v>
      </c>
      <c r="L436" s="1210">
        <f t="shared" si="125"/>
        <v>0</v>
      </c>
      <c r="M436" s="1197">
        <f t="shared" si="126"/>
        <v>0</v>
      </c>
      <c r="N436" s="1211">
        <f t="shared" si="127"/>
        <v>0</v>
      </c>
      <c r="O436" s="1212"/>
      <c r="P436" s="1200"/>
      <c r="Q436" s="1200"/>
      <c r="R436" s="1213"/>
      <c r="S436" s="1213"/>
      <c r="T436" s="1213"/>
      <c r="U436" s="1213"/>
      <c r="V436" s="1213"/>
    </row>
    <row r="437" spans="1:22" ht="15" thickTop="1" thickBot="1" x14ac:dyDescent="0.3">
      <c r="A437" s="1207"/>
      <c r="B437" s="1212"/>
      <c r="C437" s="1212"/>
      <c r="D437" s="1212"/>
      <c r="E437" s="1212"/>
      <c r="F437" s="1208"/>
      <c r="G437" s="1208"/>
      <c r="H437" s="1208"/>
      <c r="I437" s="1209"/>
      <c r="J437" s="1209"/>
      <c r="K437" s="1210">
        <f t="shared" si="121"/>
        <v>1.05</v>
      </c>
      <c r="L437" s="1210">
        <f t="shared" si="125"/>
        <v>0</v>
      </c>
      <c r="M437" s="1197">
        <f t="shared" si="126"/>
        <v>0</v>
      </c>
      <c r="N437" s="1211">
        <f t="shared" si="127"/>
        <v>0</v>
      </c>
      <c r="O437" s="1212"/>
      <c r="P437" s="1200"/>
      <c r="Q437" s="1200"/>
      <c r="R437" s="1213"/>
      <c r="S437" s="1213"/>
      <c r="T437" s="1213"/>
      <c r="U437" s="1213"/>
      <c r="V437" s="1213"/>
    </row>
    <row r="438" spans="1:22" ht="15" thickTop="1" thickBot="1" x14ac:dyDescent="0.3">
      <c r="A438" s="1207"/>
      <c r="B438" s="1212"/>
      <c r="C438" s="1212"/>
      <c r="D438" s="1212"/>
      <c r="E438" s="1212"/>
      <c r="F438" s="1208"/>
      <c r="G438" s="1208"/>
      <c r="H438" s="1208"/>
      <c r="I438" s="1209"/>
      <c r="J438" s="1209"/>
      <c r="K438" s="1210">
        <f t="shared" si="121"/>
        <v>1.05</v>
      </c>
      <c r="L438" s="1210">
        <f t="shared" si="125"/>
        <v>0</v>
      </c>
      <c r="M438" s="1197">
        <f t="shared" si="126"/>
        <v>0</v>
      </c>
      <c r="N438" s="1211">
        <f t="shared" si="127"/>
        <v>0</v>
      </c>
      <c r="O438" s="1212"/>
      <c r="P438" s="1200"/>
      <c r="Q438" s="1200"/>
      <c r="R438" s="1213"/>
      <c r="S438" s="1213"/>
      <c r="T438" s="1213"/>
      <c r="U438" s="1213"/>
      <c r="V438" s="1213"/>
    </row>
    <row r="439" spans="1:22" ht="15" thickTop="1" thickBot="1" x14ac:dyDescent="0.3">
      <c r="A439" s="1207"/>
      <c r="B439" s="1212"/>
      <c r="C439" s="1212"/>
      <c r="D439" s="1212"/>
      <c r="E439" s="1212"/>
      <c r="F439" s="1208"/>
      <c r="G439" s="1208"/>
      <c r="H439" s="1208"/>
      <c r="I439" s="1209"/>
      <c r="J439" s="1209"/>
      <c r="K439" s="1210">
        <f t="shared" si="121"/>
        <v>1.05</v>
      </c>
      <c r="L439" s="1210">
        <f t="shared" si="125"/>
        <v>0</v>
      </c>
      <c r="M439" s="1197">
        <f t="shared" si="126"/>
        <v>0</v>
      </c>
      <c r="N439" s="1211">
        <f t="shared" si="127"/>
        <v>0</v>
      </c>
      <c r="O439" s="1212"/>
      <c r="P439" s="1200"/>
      <c r="Q439" s="1200"/>
      <c r="R439" s="1213"/>
      <c r="S439" s="1213"/>
      <c r="T439" s="1213"/>
      <c r="U439" s="1213"/>
      <c r="V439" s="1213"/>
    </row>
    <row r="440" spans="1:22" ht="15" thickTop="1" thickBot="1" x14ac:dyDescent="0.3">
      <c r="A440" s="1207"/>
      <c r="B440" s="1212"/>
      <c r="C440" s="1212"/>
      <c r="D440" s="1212"/>
      <c r="E440" s="1212"/>
      <c r="F440" s="1208"/>
      <c r="G440" s="1208"/>
      <c r="H440" s="1208"/>
      <c r="I440" s="1209"/>
      <c r="J440" s="1209"/>
      <c r="K440" s="1210">
        <f t="shared" si="121"/>
        <v>1.05</v>
      </c>
      <c r="L440" s="1210">
        <f t="shared" si="125"/>
        <v>0</v>
      </c>
      <c r="M440" s="1197">
        <f t="shared" si="126"/>
        <v>0</v>
      </c>
      <c r="N440" s="1211">
        <f t="shared" si="127"/>
        <v>0</v>
      </c>
      <c r="O440" s="1212"/>
      <c r="P440" s="1200"/>
      <c r="Q440" s="1200"/>
      <c r="R440" s="1213"/>
      <c r="S440" s="1213"/>
      <c r="T440" s="1213"/>
      <c r="U440" s="1213"/>
      <c r="V440" s="1213"/>
    </row>
    <row r="441" spans="1:22" ht="15" thickTop="1" thickBot="1" x14ac:dyDescent="0.3">
      <c r="A441" s="1207"/>
      <c r="B441" s="1212"/>
      <c r="C441" s="1212"/>
      <c r="D441" s="1212"/>
      <c r="E441" s="1212"/>
      <c r="F441" s="1208"/>
      <c r="G441" s="1208"/>
      <c r="H441" s="1208"/>
      <c r="I441" s="1209"/>
      <c r="J441" s="1209"/>
      <c r="K441" s="1210">
        <f t="shared" si="121"/>
        <v>1.05</v>
      </c>
      <c r="L441" s="1210">
        <f t="shared" si="125"/>
        <v>0</v>
      </c>
      <c r="M441" s="1197">
        <f t="shared" si="126"/>
        <v>0</v>
      </c>
      <c r="N441" s="1211">
        <f t="shared" si="127"/>
        <v>0</v>
      </c>
      <c r="O441" s="1212"/>
      <c r="P441" s="1200"/>
      <c r="Q441" s="1200"/>
      <c r="R441" s="1213">
        <f>J440-70</f>
        <v>-70</v>
      </c>
      <c r="S441" s="1213"/>
      <c r="T441" s="1213"/>
      <c r="U441" s="1213"/>
      <c r="V441" s="1213"/>
    </row>
    <row r="442" spans="1:22" ht="15" thickTop="1" thickBot="1" x14ac:dyDescent="0.3">
      <c r="A442" s="1207"/>
      <c r="B442" s="1212"/>
      <c r="C442" s="1212"/>
      <c r="D442" s="1212"/>
      <c r="E442" s="1212"/>
      <c r="F442" s="1208"/>
      <c r="G442" s="1208"/>
      <c r="H442" s="1208"/>
      <c r="I442" s="1209"/>
      <c r="J442" s="1209"/>
      <c r="K442" s="1210"/>
      <c r="L442" s="1210"/>
      <c r="M442" s="1197"/>
      <c r="N442" s="1211"/>
      <c r="O442" s="1212"/>
      <c r="P442" s="1200"/>
      <c r="Q442" s="1200"/>
      <c r="R442" s="1213"/>
      <c r="S442" s="1213"/>
      <c r="T442" s="1213"/>
      <c r="U442" s="1213"/>
      <c r="V442" s="1213"/>
    </row>
    <row r="443" spans="1:22" ht="15" thickTop="1" thickBot="1" x14ac:dyDescent="0.3">
      <c r="A443" s="1207"/>
      <c r="B443" s="1212"/>
      <c r="C443" s="1212"/>
      <c r="D443" s="1212"/>
      <c r="E443" s="1212"/>
      <c r="F443" s="1208"/>
      <c r="G443" s="1208"/>
      <c r="H443" s="1208"/>
      <c r="I443" s="1209"/>
      <c r="J443" s="1209"/>
      <c r="K443" s="1210">
        <f t="shared" si="121"/>
        <v>1.05</v>
      </c>
      <c r="L443" s="1210">
        <f t="shared" si="125"/>
        <v>0</v>
      </c>
      <c r="M443" s="1197">
        <f t="shared" si="126"/>
        <v>0</v>
      </c>
      <c r="N443" s="1211">
        <f t="shared" si="127"/>
        <v>0</v>
      </c>
      <c r="O443" s="1212"/>
      <c r="P443" s="1200"/>
      <c r="Q443" s="1200"/>
      <c r="R443" s="1213"/>
      <c r="S443" s="1213"/>
      <c r="T443" s="1213"/>
      <c r="U443" s="1213"/>
      <c r="V443" s="1213"/>
    </row>
    <row r="444" spans="1:22" ht="15" thickTop="1" thickBot="1" x14ac:dyDescent="0.3">
      <c r="A444" s="1207"/>
      <c r="B444" s="1212"/>
      <c r="C444" s="1212"/>
      <c r="D444" s="1212"/>
      <c r="E444" s="1212"/>
      <c r="F444" s="1208"/>
      <c r="G444" s="1208"/>
      <c r="H444" s="1208"/>
      <c r="I444" s="1209"/>
      <c r="J444" s="1209"/>
      <c r="K444" s="1210">
        <f t="shared" si="121"/>
        <v>1.05</v>
      </c>
      <c r="L444" s="1210">
        <f t="shared" si="125"/>
        <v>0</v>
      </c>
      <c r="M444" s="1197">
        <f t="shared" si="126"/>
        <v>0</v>
      </c>
      <c r="N444" s="1211">
        <f t="shared" si="127"/>
        <v>0</v>
      </c>
      <c r="O444" s="1212"/>
      <c r="P444" s="1200"/>
      <c r="Q444" s="1200"/>
      <c r="R444" s="1213"/>
      <c r="S444" s="1213"/>
      <c r="T444" s="1213"/>
      <c r="U444" s="1213"/>
      <c r="V444" s="1213"/>
    </row>
    <row r="445" spans="1:22" ht="15" thickTop="1" thickBot="1" x14ac:dyDescent="0.3">
      <c r="A445" s="1207"/>
      <c r="B445" s="1212"/>
      <c r="C445" s="1212"/>
      <c r="D445" s="1212"/>
      <c r="E445" s="1212"/>
      <c r="F445" s="1208"/>
      <c r="G445" s="1208"/>
      <c r="H445" s="1208"/>
      <c r="I445" s="1209"/>
      <c r="J445" s="1209"/>
      <c r="K445" s="1210">
        <f t="shared" si="121"/>
        <v>1.05</v>
      </c>
      <c r="L445" s="1210">
        <f t="shared" si="125"/>
        <v>0</v>
      </c>
      <c r="M445" s="1197">
        <f t="shared" si="126"/>
        <v>0</v>
      </c>
      <c r="N445" s="1211">
        <f t="shared" si="127"/>
        <v>0</v>
      </c>
      <c r="O445" s="1212"/>
      <c r="P445" s="1200"/>
      <c r="Q445" s="1200"/>
      <c r="R445" s="1213"/>
      <c r="S445" s="1213"/>
      <c r="T445" s="1213"/>
      <c r="U445" s="1213"/>
      <c r="V445" s="1213"/>
    </row>
    <row r="446" spans="1:22" ht="15" thickTop="1" thickBot="1" x14ac:dyDescent="0.3">
      <c r="A446" s="1207"/>
      <c r="B446" s="1212"/>
      <c r="C446" s="1212"/>
      <c r="D446" s="1212"/>
      <c r="E446" s="1212"/>
      <c r="F446" s="1208"/>
      <c r="G446" s="1208"/>
      <c r="H446" s="1208"/>
      <c r="I446" s="1209"/>
      <c r="J446" s="1209"/>
      <c r="K446" s="1210">
        <f t="shared" si="121"/>
        <v>1.05</v>
      </c>
      <c r="L446" s="1210">
        <f t="shared" si="125"/>
        <v>0</v>
      </c>
      <c r="M446" s="1197">
        <f t="shared" si="126"/>
        <v>0</v>
      </c>
      <c r="N446" s="1211">
        <f t="shared" si="127"/>
        <v>0</v>
      </c>
      <c r="O446" s="1212"/>
      <c r="P446" s="1200"/>
      <c r="Q446" s="1200"/>
      <c r="R446" s="1213"/>
      <c r="S446" s="1213"/>
      <c r="T446" s="1213"/>
      <c r="U446" s="1213"/>
      <c r="V446" s="1213"/>
    </row>
    <row r="447" spans="1:22" ht="15" thickTop="1" thickBot="1" x14ac:dyDescent="0.3">
      <c r="A447" s="1207"/>
      <c r="B447" s="1212"/>
      <c r="C447" s="1212"/>
      <c r="D447" s="1212"/>
      <c r="E447" s="1212"/>
      <c r="F447" s="1208"/>
      <c r="G447" s="1208"/>
      <c r="H447" s="1208"/>
      <c r="I447" s="1209"/>
      <c r="J447" s="1209"/>
      <c r="K447" s="1210">
        <f t="shared" si="121"/>
        <v>1.05</v>
      </c>
      <c r="L447" s="1210">
        <f t="shared" si="125"/>
        <v>0</v>
      </c>
      <c r="M447" s="1197">
        <f t="shared" si="126"/>
        <v>0</v>
      </c>
      <c r="N447" s="1211">
        <f t="shared" si="127"/>
        <v>0</v>
      </c>
      <c r="O447" s="1212"/>
      <c r="P447" s="1200"/>
      <c r="Q447" s="1200"/>
      <c r="R447" s="1213"/>
      <c r="S447" s="1213"/>
      <c r="T447" s="1213"/>
      <c r="U447" s="1213"/>
      <c r="V447" s="1213"/>
    </row>
    <row r="448" spans="1:22" ht="15" thickTop="1" thickBot="1" x14ac:dyDescent="0.3">
      <c r="A448" s="1207"/>
      <c r="B448" s="1212"/>
      <c r="C448" s="1212"/>
      <c r="D448" s="1212"/>
      <c r="E448" s="1212"/>
      <c r="F448" s="1208"/>
      <c r="G448" s="1208"/>
      <c r="H448" s="1208"/>
      <c r="I448" s="1209"/>
      <c r="J448" s="1209"/>
      <c r="K448" s="1210">
        <f t="shared" si="121"/>
        <v>1.05</v>
      </c>
      <c r="L448" s="1210">
        <f t="shared" si="125"/>
        <v>0</v>
      </c>
      <c r="M448" s="1197">
        <f t="shared" si="126"/>
        <v>0</v>
      </c>
      <c r="N448" s="1211">
        <f t="shared" si="127"/>
        <v>0</v>
      </c>
      <c r="O448" s="1212"/>
      <c r="P448" s="1200"/>
      <c r="Q448" s="1200"/>
      <c r="R448" s="1213"/>
      <c r="S448" s="1213"/>
      <c r="T448" s="1213"/>
      <c r="U448" s="1213"/>
      <c r="V448" s="1213"/>
    </row>
    <row r="449" spans="1:22" ht="15" thickTop="1" thickBot="1" x14ac:dyDescent="0.3">
      <c r="A449" s="1207"/>
      <c r="B449" s="1212"/>
      <c r="C449" s="1212"/>
      <c r="D449" s="1212"/>
      <c r="E449" s="1212"/>
      <c r="F449" s="1208"/>
      <c r="G449" s="1208"/>
      <c r="H449" s="1208"/>
      <c r="I449" s="1209"/>
      <c r="J449" s="1209"/>
      <c r="K449" s="1210">
        <f t="shared" si="121"/>
        <v>1.05</v>
      </c>
      <c r="L449" s="1210">
        <f t="shared" si="125"/>
        <v>0</v>
      </c>
      <c r="M449" s="1197">
        <f t="shared" si="126"/>
        <v>0</v>
      </c>
      <c r="N449" s="1211">
        <f t="shared" si="127"/>
        <v>0</v>
      </c>
      <c r="O449" s="1212"/>
      <c r="P449" s="1200"/>
      <c r="Q449" s="1200"/>
      <c r="R449" s="1213"/>
      <c r="S449" s="1213"/>
      <c r="T449" s="1213"/>
      <c r="U449" s="1213"/>
      <c r="V449" s="1213"/>
    </row>
    <row r="450" spans="1:22" ht="15" thickTop="1" thickBot="1" x14ac:dyDescent="0.3">
      <c r="A450" s="1207"/>
      <c r="B450" s="1212"/>
      <c r="C450" s="1212"/>
      <c r="D450" s="1212"/>
      <c r="E450" s="1212"/>
      <c r="F450" s="1208"/>
      <c r="G450" s="1208"/>
      <c r="H450" s="1208"/>
      <c r="I450" s="1209"/>
      <c r="J450" s="1209"/>
      <c r="K450" s="1210">
        <f t="shared" si="121"/>
        <v>1.05</v>
      </c>
      <c r="L450" s="1210">
        <f t="shared" si="125"/>
        <v>0</v>
      </c>
      <c r="M450" s="1197">
        <f t="shared" si="126"/>
        <v>0</v>
      </c>
      <c r="N450" s="1211">
        <f t="shared" si="127"/>
        <v>0</v>
      </c>
      <c r="O450" s="1212"/>
      <c r="P450" s="1200"/>
      <c r="Q450" s="1200"/>
      <c r="R450" s="1213"/>
      <c r="S450" s="1213"/>
      <c r="T450" s="1213"/>
      <c r="U450" s="1213"/>
      <c r="V450" s="1213"/>
    </row>
    <row r="451" spans="1:22" ht="15" thickTop="1" thickBot="1" x14ac:dyDescent="0.3">
      <c r="A451" s="1207"/>
      <c r="B451" s="1212"/>
      <c r="C451" s="1212"/>
      <c r="D451" s="1212"/>
      <c r="E451" s="1212"/>
      <c r="F451" s="1208"/>
      <c r="G451" s="1208"/>
      <c r="H451" s="1208"/>
      <c r="I451" s="1209"/>
      <c r="J451" s="1209"/>
      <c r="K451" s="1210"/>
      <c r="L451" s="1210"/>
      <c r="M451" s="1197"/>
      <c r="N451" s="1211"/>
      <c r="O451" s="1212"/>
      <c r="P451" s="1200"/>
      <c r="Q451" s="1200"/>
      <c r="R451" s="1213"/>
      <c r="S451" s="1213"/>
      <c r="T451" s="1213"/>
      <c r="U451" s="1213"/>
      <c r="V451" s="1213"/>
    </row>
    <row r="452" spans="1:22" ht="15" thickTop="1" thickBot="1" x14ac:dyDescent="0.3">
      <c r="A452" s="1207"/>
      <c r="B452" s="1212"/>
      <c r="C452" s="1212"/>
      <c r="D452" s="1212"/>
      <c r="E452" s="1212"/>
      <c r="F452" s="1208"/>
      <c r="G452" s="1208"/>
      <c r="H452" s="1208"/>
      <c r="I452" s="1209"/>
      <c r="J452" s="1209"/>
      <c r="K452" s="1210">
        <f t="shared" si="121"/>
        <v>1.05</v>
      </c>
      <c r="L452" s="1210">
        <f t="shared" si="125"/>
        <v>0</v>
      </c>
      <c r="M452" s="1197">
        <f t="shared" si="126"/>
        <v>0</v>
      </c>
      <c r="N452" s="1211">
        <f t="shared" si="127"/>
        <v>0</v>
      </c>
      <c r="O452" s="1212"/>
      <c r="P452" s="1200"/>
      <c r="Q452" s="1200"/>
      <c r="R452" s="1213"/>
      <c r="S452" s="1213"/>
      <c r="T452" s="1213"/>
      <c r="U452" s="1213"/>
      <c r="V452" s="1213"/>
    </row>
    <row r="453" spans="1:22" ht="15" thickTop="1" thickBot="1" x14ac:dyDescent="0.3">
      <c r="A453" s="1207"/>
      <c r="B453" s="1212"/>
      <c r="C453" s="1212"/>
      <c r="D453" s="1212"/>
      <c r="E453" s="1212"/>
      <c r="F453" s="1208"/>
      <c r="G453" s="1208"/>
      <c r="H453" s="1208"/>
      <c r="I453" s="1209"/>
      <c r="J453" s="1209"/>
      <c r="K453" s="1210">
        <f t="shared" ref="K453:K687" si="128">$K$2</f>
        <v>1.05</v>
      </c>
      <c r="L453" s="1210">
        <f t="shared" si="125"/>
        <v>0</v>
      </c>
      <c r="M453" s="1197">
        <f t="shared" si="126"/>
        <v>0</v>
      </c>
      <c r="N453" s="1211">
        <f t="shared" si="127"/>
        <v>0</v>
      </c>
      <c r="O453" s="1212"/>
      <c r="P453" s="1200">
        <f>SUM(E441:E456)</f>
        <v>0</v>
      </c>
      <c r="Q453" s="1200"/>
      <c r="R453" s="1213"/>
      <c r="S453" s="1213"/>
      <c r="T453" s="1213"/>
      <c r="U453" s="1213"/>
      <c r="V453" s="1213"/>
    </row>
    <row r="454" spans="1:22" ht="15" thickTop="1" thickBot="1" x14ac:dyDescent="0.3">
      <c r="A454" s="1207"/>
      <c r="B454" s="1212"/>
      <c r="C454" s="1212"/>
      <c r="D454" s="1212"/>
      <c r="E454" s="1212"/>
      <c r="F454" s="1208"/>
      <c r="G454" s="1208"/>
      <c r="H454" s="1208"/>
      <c r="I454" s="1209"/>
      <c r="J454" s="1209"/>
      <c r="K454" s="1210">
        <f t="shared" si="128"/>
        <v>1.05</v>
      </c>
      <c r="L454" s="1210">
        <f t="shared" si="125"/>
        <v>0</v>
      </c>
      <c r="M454" s="1197">
        <f t="shared" si="126"/>
        <v>0</v>
      </c>
      <c r="N454" s="1211">
        <f t="shared" si="127"/>
        <v>0</v>
      </c>
      <c r="O454" s="1212"/>
      <c r="P454" s="1200"/>
      <c r="Q454" s="1200"/>
      <c r="R454" s="1213"/>
      <c r="S454" s="1213"/>
      <c r="T454" s="1213"/>
      <c r="U454" s="1213"/>
      <c r="V454" s="1213"/>
    </row>
    <row r="455" spans="1:22" ht="15" thickTop="1" thickBot="1" x14ac:dyDescent="0.3">
      <c r="A455" s="1207"/>
      <c r="B455" s="1212"/>
      <c r="C455" s="1212"/>
      <c r="D455" s="1212"/>
      <c r="E455" s="1212"/>
      <c r="F455" s="1208"/>
      <c r="G455" s="1208"/>
      <c r="H455" s="1208"/>
      <c r="I455" s="1209"/>
      <c r="J455" s="1209"/>
      <c r="K455" s="1210">
        <f t="shared" si="128"/>
        <v>1.05</v>
      </c>
      <c r="L455" s="1210">
        <f t="shared" si="125"/>
        <v>0</v>
      </c>
      <c r="M455" s="1197">
        <f t="shared" si="126"/>
        <v>0</v>
      </c>
      <c r="N455" s="1211">
        <f t="shared" si="127"/>
        <v>0</v>
      </c>
      <c r="O455" s="1212"/>
      <c r="P455" s="1200"/>
      <c r="Q455" s="1200"/>
      <c r="R455" s="1213"/>
      <c r="S455" s="1213"/>
      <c r="T455" s="1213"/>
      <c r="U455" s="1213"/>
      <c r="V455" s="1213"/>
    </row>
    <row r="456" spans="1:22" ht="15" thickTop="1" thickBot="1" x14ac:dyDescent="0.3">
      <c r="A456" s="1207"/>
      <c r="B456" s="1212"/>
      <c r="C456" s="1212"/>
      <c r="D456" s="1212"/>
      <c r="E456" s="1212"/>
      <c r="F456" s="1208"/>
      <c r="G456" s="1208"/>
      <c r="H456" s="1208"/>
      <c r="I456" s="1209"/>
      <c r="J456" s="1209"/>
      <c r="K456" s="1210">
        <f t="shared" si="128"/>
        <v>1.05</v>
      </c>
      <c r="L456" s="1210">
        <f t="shared" si="125"/>
        <v>0</v>
      </c>
      <c r="M456" s="1197">
        <f t="shared" si="126"/>
        <v>0</v>
      </c>
      <c r="N456" s="1211">
        <f t="shared" si="127"/>
        <v>0</v>
      </c>
      <c r="O456" s="1212"/>
      <c r="P456" s="1200"/>
      <c r="Q456" s="1200"/>
      <c r="R456" s="1213"/>
      <c r="S456" s="1213"/>
      <c r="T456" s="1213"/>
      <c r="U456" s="1213"/>
      <c r="V456" s="1213"/>
    </row>
    <row r="457" spans="1:22" ht="15" thickTop="1" thickBot="1" x14ac:dyDescent="0.3">
      <c r="A457" s="1207"/>
      <c r="B457" s="1212"/>
      <c r="C457" s="1212"/>
      <c r="D457" s="1212"/>
      <c r="E457" s="1212"/>
      <c r="F457" s="1208"/>
      <c r="G457" s="1208"/>
      <c r="H457" s="1208"/>
      <c r="I457" s="1209"/>
      <c r="J457" s="1209"/>
      <c r="K457" s="1210">
        <f t="shared" si="128"/>
        <v>1.05</v>
      </c>
      <c r="L457" s="1210">
        <f t="shared" si="125"/>
        <v>0</v>
      </c>
      <c r="M457" s="1197">
        <f t="shared" si="126"/>
        <v>0</v>
      </c>
      <c r="N457" s="1211">
        <f t="shared" si="127"/>
        <v>0</v>
      </c>
      <c r="O457" s="1212"/>
      <c r="P457" s="1200"/>
      <c r="Q457" s="1200"/>
      <c r="R457" s="1213"/>
      <c r="S457" s="1213"/>
      <c r="T457" s="1213"/>
      <c r="U457" s="1213"/>
      <c r="V457" s="1213"/>
    </row>
    <row r="458" spans="1:22" ht="15" thickTop="1" thickBot="1" x14ac:dyDescent="0.3">
      <c r="A458" s="1207"/>
      <c r="B458" s="1212"/>
      <c r="C458" s="1212"/>
      <c r="D458" s="1212"/>
      <c r="E458" s="1212"/>
      <c r="F458" s="1208"/>
      <c r="G458" s="1208"/>
      <c r="H458" s="1208"/>
      <c r="I458" s="1209"/>
      <c r="J458" s="1209"/>
      <c r="K458" s="1210">
        <f t="shared" si="128"/>
        <v>1.05</v>
      </c>
      <c r="L458" s="1210">
        <f t="shared" si="125"/>
        <v>0</v>
      </c>
      <c r="M458" s="1197">
        <f t="shared" si="126"/>
        <v>0</v>
      </c>
      <c r="N458" s="1211">
        <f t="shared" si="127"/>
        <v>0</v>
      </c>
      <c r="O458" s="1212"/>
      <c r="P458" s="1200"/>
      <c r="Q458" s="1200"/>
      <c r="R458" s="1213"/>
      <c r="S458" s="1213"/>
      <c r="T458" s="1213"/>
      <c r="U458" s="1213"/>
      <c r="V458" s="1213"/>
    </row>
    <row r="459" spans="1:22" ht="15" thickTop="1" thickBot="1" x14ac:dyDescent="0.3">
      <c r="A459" s="1207"/>
      <c r="B459" s="1212"/>
      <c r="C459" s="1212"/>
      <c r="D459" s="1212"/>
      <c r="E459" s="1212"/>
      <c r="F459" s="1208"/>
      <c r="G459" s="1208"/>
      <c r="H459" s="1208"/>
      <c r="I459" s="1209"/>
      <c r="J459" s="1209"/>
      <c r="K459" s="1210">
        <f t="shared" si="128"/>
        <v>1.05</v>
      </c>
      <c r="L459" s="1210">
        <f t="shared" si="125"/>
        <v>0</v>
      </c>
      <c r="M459" s="1197">
        <f t="shared" si="126"/>
        <v>0</v>
      </c>
      <c r="N459" s="1211">
        <f t="shared" si="127"/>
        <v>0</v>
      </c>
      <c r="O459" s="1212"/>
      <c r="P459" s="1200"/>
      <c r="Q459" s="1200"/>
      <c r="R459" s="1213"/>
      <c r="S459" s="1213"/>
      <c r="T459" s="1213"/>
      <c r="U459" s="1213"/>
      <c r="V459" s="1213"/>
    </row>
    <row r="460" spans="1:22" ht="15" thickTop="1" thickBot="1" x14ac:dyDescent="0.3">
      <c r="A460" s="1207"/>
      <c r="B460" s="1212"/>
      <c r="C460" s="1212"/>
      <c r="D460" s="1212"/>
      <c r="E460" s="1212"/>
      <c r="F460" s="1208"/>
      <c r="G460" s="1208"/>
      <c r="H460" s="1208"/>
      <c r="I460" s="1209"/>
      <c r="J460" s="1209"/>
      <c r="K460" s="1210">
        <f t="shared" si="128"/>
        <v>1.05</v>
      </c>
      <c r="L460" s="1210">
        <f t="shared" si="125"/>
        <v>0</v>
      </c>
      <c r="M460" s="1197">
        <f t="shared" si="126"/>
        <v>0</v>
      </c>
      <c r="N460" s="1211">
        <f t="shared" si="127"/>
        <v>0</v>
      </c>
      <c r="O460" s="1212"/>
      <c r="P460" s="1200"/>
      <c r="Q460" s="1200"/>
      <c r="R460" s="1213"/>
      <c r="S460" s="1213"/>
      <c r="T460" s="1213"/>
      <c r="U460" s="1213"/>
      <c r="V460" s="1213"/>
    </row>
    <row r="461" spans="1:22" ht="15" thickTop="1" thickBot="1" x14ac:dyDescent="0.3">
      <c r="A461" s="1207"/>
      <c r="B461" s="1212"/>
      <c r="C461" s="1212"/>
      <c r="D461" s="1212"/>
      <c r="E461" s="1212"/>
      <c r="F461" s="1208"/>
      <c r="G461" s="1208"/>
      <c r="H461" s="1208"/>
      <c r="I461" s="1209"/>
      <c r="J461" s="1209"/>
      <c r="K461" s="1210">
        <f t="shared" si="128"/>
        <v>1.05</v>
      </c>
      <c r="L461" s="1210">
        <f t="shared" si="125"/>
        <v>0</v>
      </c>
      <c r="M461" s="1197">
        <f t="shared" si="126"/>
        <v>0</v>
      </c>
      <c r="N461" s="1211">
        <f t="shared" si="127"/>
        <v>0</v>
      </c>
      <c r="O461" s="1212"/>
      <c r="P461" s="1200"/>
      <c r="Q461" s="1200"/>
      <c r="R461" s="1213"/>
      <c r="S461" s="1213"/>
      <c r="T461" s="1213"/>
      <c r="U461" s="1213"/>
      <c r="V461" s="1213"/>
    </row>
    <row r="462" spans="1:22" ht="15" thickTop="1" thickBot="1" x14ac:dyDescent="0.3">
      <c r="A462" s="1207"/>
      <c r="B462" s="1212"/>
      <c r="C462" s="1212"/>
      <c r="D462" s="1212"/>
      <c r="E462" s="1212"/>
      <c r="F462" s="1208"/>
      <c r="G462" s="1208"/>
      <c r="H462" s="1208"/>
      <c r="I462" s="1209"/>
      <c r="J462" s="1209"/>
      <c r="K462" s="1210"/>
      <c r="L462" s="1210"/>
      <c r="M462" s="1197"/>
      <c r="N462" s="1211"/>
      <c r="O462" s="1212"/>
      <c r="P462" s="1200"/>
      <c r="Q462" s="1200"/>
      <c r="R462" s="1213"/>
      <c r="S462" s="1213"/>
      <c r="T462" s="1213"/>
      <c r="U462" s="1213"/>
      <c r="V462" s="1213"/>
    </row>
    <row r="463" spans="1:22" ht="15" thickTop="1" thickBot="1" x14ac:dyDescent="0.3">
      <c r="A463" s="1207"/>
      <c r="B463" s="1212"/>
      <c r="C463" s="1212"/>
      <c r="D463" s="1212"/>
      <c r="E463" s="1212"/>
      <c r="F463" s="1208"/>
      <c r="G463" s="1208"/>
      <c r="H463" s="1208"/>
      <c r="I463" s="1209"/>
      <c r="J463" s="1209"/>
      <c r="K463" s="1210"/>
      <c r="L463" s="1210"/>
      <c r="M463" s="1197"/>
      <c r="N463" s="1211"/>
      <c r="O463" s="1212"/>
      <c r="P463" s="1200"/>
      <c r="Q463" s="1200"/>
      <c r="R463" s="1213"/>
      <c r="S463" s="1213"/>
      <c r="T463" s="1213"/>
      <c r="U463" s="1213"/>
      <c r="V463" s="1213"/>
    </row>
    <row r="464" spans="1:22" ht="15" thickTop="1" thickBot="1" x14ac:dyDescent="0.3">
      <c r="A464" s="1207"/>
      <c r="B464" s="1212"/>
      <c r="C464" s="1212"/>
      <c r="D464" s="1212"/>
      <c r="E464" s="1212"/>
      <c r="F464" s="1208"/>
      <c r="G464" s="1208"/>
      <c r="H464" s="1208"/>
      <c r="I464" s="1209"/>
      <c r="J464" s="1209"/>
      <c r="K464" s="1210"/>
      <c r="L464" s="1210"/>
      <c r="M464" s="1197"/>
      <c r="N464" s="1211"/>
      <c r="O464" s="1212"/>
      <c r="P464" s="1200"/>
      <c r="Q464" s="1200"/>
      <c r="R464" s="1213"/>
      <c r="S464" s="1213"/>
      <c r="T464" s="1213"/>
      <c r="U464" s="1213"/>
      <c r="V464" s="1213"/>
    </row>
    <row r="465" spans="1:22" ht="15" thickTop="1" thickBot="1" x14ac:dyDescent="0.3">
      <c r="A465" s="1207"/>
      <c r="B465" s="1212"/>
      <c r="C465" s="1212"/>
      <c r="D465" s="1212"/>
      <c r="E465" s="1212"/>
      <c r="F465" s="1208"/>
      <c r="G465" s="1208"/>
      <c r="H465" s="1208"/>
      <c r="I465" s="1209"/>
      <c r="J465" s="1209"/>
      <c r="K465" s="1210"/>
      <c r="L465" s="1210"/>
      <c r="M465" s="1197"/>
      <c r="N465" s="1211"/>
      <c r="O465" s="1212"/>
      <c r="P465" s="1200"/>
      <c r="Q465" s="1200"/>
      <c r="R465" s="1213"/>
      <c r="S465" s="1213"/>
      <c r="T465" s="1213"/>
      <c r="U465" s="1213"/>
      <c r="V465" s="1213"/>
    </row>
    <row r="466" spans="1:22" ht="15" thickTop="1" thickBot="1" x14ac:dyDescent="0.3">
      <c r="A466" s="1207"/>
      <c r="B466" s="1212"/>
      <c r="C466" s="1212"/>
      <c r="D466" s="1212"/>
      <c r="E466" s="1212"/>
      <c r="F466" s="1208"/>
      <c r="G466" s="1208"/>
      <c r="H466" s="1208"/>
      <c r="I466" s="1209"/>
      <c r="J466" s="1209"/>
      <c r="K466" s="1210"/>
      <c r="L466" s="1210"/>
      <c r="M466" s="1197"/>
      <c r="N466" s="1211"/>
      <c r="O466" s="1212"/>
      <c r="P466" s="1200"/>
      <c r="Q466" s="1200"/>
      <c r="R466" s="1213"/>
      <c r="S466" s="1213"/>
      <c r="T466" s="1213"/>
      <c r="U466" s="1213"/>
      <c r="V466" s="1213"/>
    </row>
    <row r="467" spans="1:22" ht="15" thickTop="1" thickBot="1" x14ac:dyDescent="0.3">
      <c r="A467" s="1207"/>
      <c r="B467" s="1212"/>
      <c r="C467" s="1212"/>
      <c r="D467" s="1212"/>
      <c r="E467" s="1212"/>
      <c r="F467" s="1208"/>
      <c r="G467" s="1208"/>
      <c r="H467" s="1208"/>
      <c r="I467" s="1209"/>
      <c r="J467" s="1209"/>
      <c r="K467" s="1210"/>
      <c r="L467" s="1210"/>
      <c r="M467" s="1197"/>
      <c r="N467" s="1211"/>
      <c r="O467" s="1212"/>
      <c r="P467" s="1200"/>
      <c r="Q467" s="1200"/>
      <c r="R467" s="1213"/>
      <c r="S467" s="1213"/>
      <c r="T467" s="1213"/>
      <c r="U467" s="1213"/>
      <c r="V467" s="1213"/>
    </row>
    <row r="468" spans="1:22" ht="15" thickTop="1" thickBot="1" x14ac:dyDescent="0.3">
      <c r="A468" s="1207"/>
      <c r="B468" s="1212"/>
      <c r="C468" s="1212"/>
      <c r="D468" s="1212"/>
      <c r="E468" s="1212"/>
      <c r="F468" s="1208"/>
      <c r="G468" s="1208"/>
      <c r="H468" s="1208"/>
      <c r="I468" s="1209"/>
      <c r="J468" s="1209"/>
      <c r="K468" s="1210"/>
      <c r="L468" s="1210"/>
      <c r="M468" s="1197"/>
      <c r="N468" s="1211"/>
      <c r="O468" s="1212"/>
      <c r="P468" s="1200"/>
      <c r="Q468" s="1200"/>
      <c r="R468" s="1213"/>
      <c r="S468" s="1213"/>
      <c r="T468" s="1213"/>
      <c r="U468" s="1213"/>
      <c r="V468" s="1213"/>
    </row>
    <row r="469" spans="1:22" ht="15" thickTop="1" thickBot="1" x14ac:dyDescent="0.3">
      <c r="A469" s="1207"/>
      <c r="B469" s="1212"/>
      <c r="C469" s="1212"/>
      <c r="D469" s="1212"/>
      <c r="E469" s="1212"/>
      <c r="F469" s="1208"/>
      <c r="G469" s="1208"/>
      <c r="H469" s="1208"/>
      <c r="I469" s="1209"/>
      <c r="J469" s="1209"/>
      <c r="K469" s="1210"/>
      <c r="L469" s="1210"/>
      <c r="M469" s="1197"/>
      <c r="N469" s="1211"/>
      <c r="O469" s="1212"/>
      <c r="P469" s="1200"/>
      <c r="Q469" s="1200"/>
      <c r="R469" s="1213"/>
      <c r="S469" s="1213"/>
      <c r="T469" s="1213"/>
      <c r="U469" s="1213"/>
      <c r="V469" s="1213"/>
    </row>
    <row r="470" spans="1:22" ht="15" thickTop="1" thickBot="1" x14ac:dyDescent="0.3">
      <c r="A470" s="1207"/>
      <c r="B470" s="1212"/>
      <c r="C470" s="1212"/>
      <c r="D470" s="1212"/>
      <c r="E470" s="1212"/>
      <c r="F470" s="1208"/>
      <c r="G470" s="1208"/>
      <c r="H470" s="1208"/>
      <c r="I470" s="1209"/>
      <c r="J470" s="1209"/>
      <c r="K470" s="1210">
        <f t="shared" si="128"/>
        <v>1.05</v>
      </c>
      <c r="L470" s="1210">
        <f t="shared" si="125"/>
        <v>0</v>
      </c>
      <c r="M470" s="1197">
        <f t="shared" si="126"/>
        <v>0</v>
      </c>
      <c r="N470" s="1211">
        <f t="shared" si="127"/>
        <v>0</v>
      </c>
      <c r="O470" s="1212"/>
      <c r="P470" s="1200"/>
      <c r="Q470" s="1200"/>
      <c r="R470" s="1213"/>
      <c r="S470" s="1213"/>
      <c r="T470" s="1213"/>
      <c r="U470" s="1213"/>
      <c r="V470" s="1213"/>
    </row>
    <row r="471" spans="1:22" ht="15" thickTop="1" thickBot="1" x14ac:dyDescent="0.3">
      <c r="A471" s="1207"/>
      <c r="B471" s="1212"/>
      <c r="C471" s="1212"/>
      <c r="D471" s="1212"/>
      <c r="E471" s="1212"/>
      <c r="F471" s="1208"/>
      <c r="G471" s="1208"/>
      <c r="H471" s="1208"/>
      <c r="I471" s="1209"/>
      <c r="J471" s="1209"/>
      <c r="K471" s="1210">
        <f t="shared" si="128"/>
        <v>1.05</v>
      </c>
      <c r="L471" s="1210">
        <f t="shared" si="125"/>
        <v>0</v>
      </c>
      <c r="M471" s="1197">
        <f t="shared" si="126"/>
        <v>0</v>
      </c>
      <c r="N471" s="1211">
        <f t="shared" si="127"/>
        <v>0</v>
      </c>
      <c r="O471" s="1212"/>
      <c r="P471" s="1200"/>
      <c r="Q471" s="1200"/>
      <c r="R471" s="1213"/>
      <c r="S471" s="1213"/>
      <c r="T471" s="1213"/>
      <c r="U471" s="1213"/>
      <c r="V471" s="1213"/>
    </row>
    <row r="472" spans="1:22" ht="15" thickTop="1" thickBot="1" x14ac:dyDescent="0.3">
      <c r="A472" s="1207"/>
      <c r="B472" s="1212"/>
      <c r="C472" s="1212"/>
      <c r="D472" s="1212"/>
      <c r="E472" s="1212"/>
      <c r="F472" s="1208"/>
      <c r="G472" s="1208"/>
      <c r="H472" s="1208"/>
      <c r="I472" s="1209"/>
      <c r="J472" s="1209"/>
      <c r="K472" s="1210"/>
      <c r="L472" s="1210"/>
      <c r="M472" s="1197"/>
      <c r="N472" s="1211"/>
      <c r="O472" s="1212"/>
      <c r="P472" s="1200"/>
      <c r="Q472" s="1200"/>
      <c r="R472" s="1213"/>
      <c r="S472" s="1213"/>
      <c r="T472" s="1213"/>
      <c r="U472" s="1213"/>
      <c r="V472" s="1213"/>
    </row>
    <row r="473" spans="1:22" ht="15" thickTop="1" thickBot="1" x14ac:dyDescent="0.3">
      <c r="A473" s="1207"/>
      <c r="B473" s="1212"/>
      <c r="C473" s="1212"/>
      <c r="D473" s="1212"/>
      <c r="E473" s="1212"/>
      <c r="F473" s="1208"/>
      <c r="G473" s="1208"/>
      <c r="H473" s="1208"/>
      <c r="I473" s="1209"/>
      <c r="J473" s="1209"/>
      <c r="K473" s="1210"/>
      <c r="L473" s="1210"/>
      <c r="M473" s="1197"/>
      <c r="N473" s="1211"/>
      <c r="O473" s="1212"/>
      <c r="P473" s="1200"/>
      <c r="Q473" s="1200"/>
      <c r="R473" s="1213"/>
      <c r="S473" s="1213"/>
      <c r="T473" s="1213"/>
      <c r="U473" s="1213"/>
      <c r="V473" s="1213"/>
    </row>
    <row r="474" spans="1:22" ht="15" thickTop="1" thickBot="1" x14ac:dyDescent="0.3">
      <c r="A474" s="1207"/>
      <c r="B474" s="1212"/>
      <c r="C474" s="1212"/>
      <c r="D474" s="1212"/>
      <c r="E474" s="1212"/>
      <c r="F474" s="1208"/>
      <c r="G474" s="1208"/>
      <c r="H474" s="1208"/>
      <c r="I474" s="1209"/>
      <c r="J474" s="1209"/>
      <c r="K474" s="1210"/>
      <c r="L474" s="1210"/>
      <c r="M474" s="1197"/>
      <c r="N474" s="1211"/>
      <c r="O474" s="1212"/>
      <c r="P474" s="1200"/>
      <c r="Q474" s="1200"/>
      <c r="R474" s="1213"/>
      <c r="S474" s="1213"/>
      <c r="T474" s="1213"/>
      <c r="U474" s="1213"/>
      <c r="V474" s="1213"/>
    </row>
    <row r="475" spans="1:22" ht="15" thickTop="1" thickBot="1" x14ac:dyDescent="0.3">
      <c r="A475" s="1207"/>
      <c r="B475" s="1212"/>
      <c r="C475" s="1212"/>
      <c r="D475" s="1212"/>
      <c r="E475" s="1212"/>
      <c r="F475" s="1208"/>
      <c r="G475" s="1208"/>
      <c r="H475" s="1208"/>
      <c r="I475" s="1209"/>
      <c r="J475" s="1209"/>
      <c r="K475" s="1210"/>
      <c r="L475" s="1210"/>
      <c r="M475" s="1197"/>
      <c r="N475" s="1211"/>
      <c r="O475" s="1212"/>
      <c r="P475" s="1200"/>
      <c r="Q475" s="1200"/>
      <c r="R475" s="1213"/>
      <c r="S475" s="1213"/>
      <c r="T475" s="1213"/>
      <c r="U475" s="1213"/>
      <c r="V475" s="1213"/>
    </row>
    <row r="476" spans="1:22" ht="15" thickTop="1" thickBot="1" x14ac:dyDescent="0.3">
      <c r="A476" s="1207"/>
      <c r="B476" s="1212"/>
      <c r="C476" s="1212"/>
      <c r="D476" s="1212"/>
      <c r="E476" s="1212"/>
      <c r="F476" s="1208"/>
      <c r="G476" s="1208"/>
      <c r="H476" s="1208"/>
      <c r="I476" s="1209"/>
      <c r="J476" s="1209"/>
      <c r="K476" s="1210"/>
      <c r="L476" s="1210"/>
      <c r="M476" s="1197"/>
      <c r="N476" s="1211"/>
      <c r="O476" s="1212"/>
      <c r="P476" s="1200"/>
      <c r="Q476" s="1200"/>
      <c r="R476" s="1213"/>
      <c r="S476" s="1213"/>
      <c r="T476" s="1213"/>
      <c r="U476" s="1213"/>
      <c r="V476" s="1213"/>
    </row>
    <row r="477" spans="1:22" ht="15" thickTop="1" thickBot="1" x14ac:dyDescent="0.3">
      <c r="A477" s="1207"/>
      <c r="B477" s="1212"/>
      <c r="C477" s="1212"/>
      <c r="D477" s="1212"/>
      <c r="E477" s="1212"/>
      <c r="F477" s="1208"/>
      <c r="G477" s="1208"/>
      <c r="H477" s="1208"/>
      <c r="I477" s="1209"/>
      <c r="J477" s="1209"/>
      <c r="K477" s="1210"/>
      <c r="L477" s="1210"/>
      <c r="M477" s="1197"/>
      <c r="N477" s="1211"/>
      <c r="O477" s="1212"/>
      <c r="P477" s="1200"/>
      <c r="Q477" s="1200"/>
      <c r="R477" s="1213"/>
      <c r="S477" s="1213"/>
      <c r="T477" s="1213"/>
      <c r="U477" s="1213"/>
      <c r="V477" s="1213"/>
    </row>
    <row r="478" spans="1:22" ht="15" thickTop="1" thickBot="1" x14ac:dyDescent="0.3">
      <c r="A478" s="1207"/>
      <c r="B478" s="1212"/>
      <c r="C478" s="1212"/>
      <c r="D478" s="1212"/>
      <c r="E478" s="1212"/>
      <c r="F478" s="1208"/>
      <c r="G478" s="1208"/>
      <c r="H478" s="1208"/>
      <c r="I478" s="1209"/>
      <c r="J478" s="1209"/>
      <c r="K478" s="1210"/>
      <c r="L478" s="1210"/>
      <c r="M478" s="1197"/>
      <c r="N478" s="1211"/>
      <c r="O478" s="1212"/>
      <c r="P478" s="1200"/>
      <c r="Q478" s="1200"/>
      <c r="R478" s="1213"/>
      <c r="S478" s="1213"/>
      <c r="T478" s="1213"/>
      <c r="U478" s="1213"/>
      <c r="V478" s="1213"/>
    </row>
    <row r="479" spans="1:22" ht="15" thickTop="1" thickBot="1" x14ac:dyDescent="0.3">
      <c r="A479" s="1207"/>
      <c r="B479" s="1212"/>
      <c r="C479" s="1212"/>
      <c r="D479" s="1212"/>
      <c r="E479" s="1212"/>
      <c r="F479" s="1208"/>
      <c r="G479" s="1208"/>
      <c r="H479" s="1208"/>
      <c r="I479" s="1209"/>
      <c r="J479" s="1209"/>
      <c r="K479" s="1210"/>
      <c r="L479" s="1210"/>
      <c r="M479" s="1197"/>
      <c r="N479" s="1211"/>
      <c r="O479" s="1212"/>
      <c r="P479" s="1200"/>
      <c r="Q479" s="1200"/>
      <c r="R479" s="1213"/>
      <c r="S479" s="1213"/>
      <c r="T479" s="1213"/>
      <c r="U479" s="1213"/>
      <c r="V479" s="1213"/>
    </row>
    <row r="480" spans="1:22" ht="15" thickTop="1" thickBot="1" x14ac:dyDescent="0.3">
      <c r="A480" s="1207"/>
      <c r="B480" s="1212"/>
      <c r="C480" s="1212"/>
      <c r="D480" s="1212"/>
      <c r="E480" s="1212"/>
      <c r="F480" s="1208"/>
      <c r="G480" s="1208"/>
      <c r="H480" s="1208"/>
      <c r="I480" s="1209"/>
      <c r="J480" s="1209"/>
      <c r="K480" s="1210"/>
      <c r="L480" s="1210"/>
      <c r="M480" s="1197"/>
      <c r="N480" s="1211"/>
      <c r="O480" s="1212"/>
      <c r="P480" s="1200"/>
      <c r="Q480" s="1200"/>
      <c r="R480" s="1213"/>
      <c r="S480" s="1213"/>
      <c r="T480" s="1213"/>
      <c r="U480" s="1213"/>
      <c r="V480" s="1213"/>
    </row>
    <row r="481" spans="1:22" ht="15" thickTop="1" thickBot="1" x14ac:dyDescent="0.3">
      <c r="A481" s="1207"/>
      <c r="B481" s="1212"/>
      <c r="C481" s="1212"/>
      <c r="D481" s="1212"/>
      <c r="E481" s="1212"/>
      <c r="F481" s="1208"/>
      <c r="G481" s="1208"/>
      <c r="H481" s="1208"/>
      <c r="I481" s="1209"/>
      <c r="J481" s="1209"/>
      <c r="K481" s="1210"/>
      <c r="L481" s="1210"/>
      <c r="M481" s="1197"/>
      <c r="N481" s="1211"/>
      <c r="O481" s="1212"/>
      <c r="P481" s="1200"/>
      <c r="Q481" s="1200"/>
      <c r="R481" s="1213"/>
      <c r="S481" s="1213"/>
      <c r="T481" s="1213"/>
      <c r="U481" s="1213"/>
      <c r="V481" s="1213"/>
    </row>
    <row r="482" spans="1:22" ht="15" thickTop="1" thickBot="1" x14ac:dyDescent="0.3">
      <c r="A482" s="1207"/>
      <c r="B482" s="1212"/>
      <c r="C482" s="1212"/>
      <c r="D482" s="1212"/>
      <c r="E482" s="1212"/>
      <c r="F482" s="1208"/>
      <c r="G482" s="1208"/>
      <c r="H482" s="1208"/>
      <c r="I482" s="1209"/>
      <c r="J482" s="1209"/>
      <c r="K482" s="1210"/>
      <c r="L482" s="1210"/>
      <c r="M482" s="1197"/>
      <c r="N482" s="1211"/>
      <c r="O482" s="1212"/>
      <c r="P482" s="1200"/>
      <c r="Q482" s="1200"/>
      <c r="R482" s="1213"/>
      <c r="S482" s="1213"/>
      <c r="T482" s="1213"/>
      <c r="U482" s="1213"/>
      <c r="V482" s="1213"/>
    </row>
    <row r="483" spans="1:22" ht="15" thickTop="1" thickBot="1" x14ac:dyDescent="0.3">
      <c r="A483" s="1207"/>
      <c r="B483" s="1212"/>
      <c r="C483" s="1212"/>
      <c r="D483" s="1212"/>
      <c r="E483" s="1212"/>
      <c r="F483" s="1208"/>
      <c r="G483" s="1208"/>
      <c r="H483" s="1208"/>
      <c r="I483" s="1209"/>
      <c r="J483" s="1209"/>
      <c r="K483" s="1210"/>
      <c r="L483" s="1210"/>
      <c r="M483" s="1197"/>
      <c r="N483" s="1211"/>
      <c r="O483" s="1212"/>
      <c r="P483" s="1200"/>
      <c r="Q483" s="1200"/>
      <c r="R483" s="1213"/>
      <c r="S483" s="1213"/>
      <c r="T483" s="1213"/>
      <c r="U483" s="1213"/>
      <c r="V483" s="1213"/>
    </row>
    <row r="484" spans="1:22" ht="15" thickTop="1" thickBot="1" x14ac:dyDescent="0.3">
      <c r="A484" s="1207"/>
      <c r="B484" s="1212"/>
      <c r="C484" s="1212"/>
      <c r="D484" s="1212"/>
      <c r="E484" s="1212"/>
      <c r="F484" s="1208"/>
      <c r="G484" s="1208"/>
      <c r="H484" s="1208"/>
      <c r="I484" s="1209"/>
      <c r="J484" s="1209"/>
      <c r="K484" s="1210"/>
      <c r="L484" s="1210"/>
      <c r="M484" s="1197"/>
      <c r="N484" s="1211"/>
      <c r="O484" s="1212"/>
      <c r="P484" s="1200"/>
      <c r="Q484" s="1200"/>
      <c r="R484" s="1213"/>
      <c r="S484" s="1213"/>
      <c r="T484" s="1213"/>
      <c r="U484" s="1213"/>
      <c r="V484" s="1213"/>
    </row>
    <row r="485" spans="1:22" ht="15" thickTop="1" thickBot="1" x14ac:dyDescent="0.3">
      <c r="A485" s="1207"/>
      <c r="B485" s="1212"/>
      <c r="C485" s="1212"/>
      <c r="D485" s="1212"/>
      <c r="E485" s="1212"/>
      <c r="F485" s="1208"/>
      <c r="G485" s="1208"/>
      <c r="H485" s="1208"/>
      <c r="I485" s="1209"/>
      <c r="J485" s="1209"/>
      <c r="K485" s="1210"/>
      <c r="L485" s="1210"/>
      <c r="M485" s="1197"/>
      <c r="N485" s="1211"/>
      <c r="O485" s="1212"/>
      <c r="P485" s="1200"/>
      <c r="Q485" s="1200"/>
      <c r="R485" s="1213"/>
      <c r="S485" s="1213"/>
      <c r="T485" s="1213"/>
      <c r="U485" s="1213"/>
      <c r="V485" s="1213"/>
    </row>
    <row r="486" spans="1:22" ht="15" thickTop="1" thickBot="1" x14ac:dyDescent="0.3">
      <c r="A486" s="1207"/>
      <c r="B486" s="1212"/>
      <c r="C486" s="1212"/>
      <c r="D486" s="1212"/>
      <c r="E486" s="1212"/>
      <c r="F486" s="1208"/>
      <c r="G486" s="1208"/>
      <c r="H486" s="1208"/>
      <c r="I486" s="1209"/>
      <c r="J486" s="1209"/>
      <c r="K486" s="1210"/>
      <c r="L486" s="1210"/>
      <c r="M486" s="1197"/>
      <c r="N486" s="1211"/>
      <c r="O486" s="1212"/>
      <c r="P486" s="1200"/>
      <c r="Q486" s="1200"/>
      <c r="R486" s="1213"/>
      <c r="S486" s="1213"/>
      <c r="T486" s="1213"/>
      <c r="U486" s="1213"/>
      <c r="V486" s="1213"/>
    </row>
    <row r="487" spans="1:22" ht="15" thickTop="1" thickBot="1" x14ac:dyDescent="0.3">
      <c r="A487" s="1207"/>
      <c r="B487" s="1212"/>
      <c r="C487" s="1212"/>
      <c r="D487" s="1212"/>
      <c r="E487" s="1212"/>
      <c r="F487" s="1208"/>
      <c r="G487" s="1208"/>
      <c r="H487" s="1208"/>
      <c r="I487" s="1209"/>
      <c r="J487" s="1209"/>
      <c r="K487" s="1210"/>
      <c r="L487" s="1210"/>
      <c r="M487" s="1197"/>
      <c r="N487" s="1211"/>
      <c r="O487" s="1212"/>
      <c r="P487" s="1200"/>
      <c r="Q487" s="1200"/>
      <c r="R487" s="1213"/>
      <c r="S487" s="1213"/>
      <c r="T487" s="1213"/>
      <c r="U487" s="1213"/>
      <c r="V487" s="1213"/>
    </row>
    <row r="488" spans="1:22" ht="15" thickTop="1" thickBot="1" x14ac:dyDescent="0.3">
      <c r="A488" s="1207"/>
      <c r="B488" s="1212"/>
      <c r="C488" s="1212"/>
      <c r="D488" s="1212"/>
      <c r="E488" s="1212"/>
      <c r="F488" s="1208"/>
      <c r="G488" s="1208"/>
      <c r="H488" s="1208"/>
      <c r="I488" s="1209"/>
      <c r="J488" s="1209"/>
      <c r="K488" s="1210"/>
      <c r="L488" s="1210"/>
      <c r="M488" s="1197"/>
      <c r="N488" s="1211"/>
      <c r="O488" s="1212"/>
      <c r="P488" s="1200"/>
      <c r="Q488" s="1200"/>
      <c r="R488" s="1213"/>
      <c r="S488" s="1213"/>
      <c r="T488" s="1213"/>
      <c r="U488" s="1213"/>
      <c r="V488" s="1213"/>
    </row>
    <row r="489" spans="1:22" ht="15" thickTop="1" thickBot="1" x14ac:dyDescent="0.3">
      <c r="A489" s="1207"/>
      <c r="B489" s="1212"/>
      <c r="C489" s="1212"/>
      <c r="D489" s="1212"/>
      <c r="E489" s="1212"/>
      <c r="F489" s="1208"/>
      <c r="G489" s="1208"/>
      <c r="H489" s="1208"/>
      <c r="I489" s="1209"/>
      <c r="J489" s="1209"/>
      <c r="K489" s="1210"/>
      <c r="L489" s="1210"/>
      <c r="M489" s="1197"/>
      <c r="N489" s="1211"/>
      <c r="O489" s="1212"/>
      <c r="P489" s="1200"/>
      <c r="Q489" s="1200"/>
      <c r="R489" s="1213"/>
      <c r="S489" s="1213"/>
      <c r="T489" s="1213"/>
      <c r="U489" s="1213"/>
      <c r="V489" s="1213"/>
    </row>
    <row r="490" spans="1:22" ht="15" thickTop="1" thickBot="1" x14ac:dyDescent="0.3">
      <c r="A490" s="1207"/>
      <c r="B490" s="1212"/>
      <c r="C490" s="1212"/>
      <c r="D490" s="1212"/>
      <c r="E490" s="1212"/>
      <c r="F490" s="1208"/>
      <c r="G490" s="1208"/>
      <c r="H490" s="1208"/>
      <c r="I490" s="1209"/>
      <c r="J490" s="1209"/>
      <c r="K490" s="1210"/>
      <c r="L490" s="1210"/>
      <c r="M490" s="1197"/>
      <c r="N490" s="1211"/>
      <c r="O490" s="1212"/>
      <c r="P490" s="1200"/>
      <c r="Q490" s="1200"/>
      <c r="R490" s="1213"/>
      <c r="S490" s="1213"/>
      <c r="T490" s="1213"/>
      <c r="U490" s="1213"/>
      <c r="V490" s="1213"/>
    </row>
    <row r="491" spans="1:22" ht="15" thickTop="1" thickBot="1" x14ac:dyDescent="0.3">
      <c r="A491" s="1207"/>
      <c r="B491" s="1212"/>
      <c r="C491" s="1212"/>
      <c r="D491" s="1212"/>
      <c r="E491" s="1212"/>
      <c r="F491" s="1208"/>
      <c r="G491" s="1208"/>
      <c r="H491" s="1208"/>
      <c r="I491" s="1209"/>
      <c r="J491" s="1209"/>
      <c r="K491" s="1210"/>
      <c r="L491" s="1210"/>
      <c r="M491" s="1197"/>
      <c r="N491" s="1211"/>
      <c r="O491" s="1212"/>
      <c r="P491" s="1200"/>
      <c r="Q491" s="1200"/>
      <c r="R491" s="1213"/>
      <c r="S491" s="1213"/>
      <c r="T491" s="1213"/>
      <c r="U491" s="1213"/>
      <c r="V491" s="1213"/>
    </row>
    <row r="492" spans="1:22" ht="15" thickTop="1" thickBot="1" x14ac:dyDescent="0.3">
      <c r="A492" s="1207"/>
      <c r="B492" s="1212"/>
      <c r="C492" s="1212"/>
      <c r="D492" s="1212"/>
      <c r="E492" s="1212"/>
      <c r="F492" s="1208"/>
      <c r="G492" s="1208"/>
      <c r="H492" s="1208"/>
      <c r="I492" s="1209"/>
      <c r="J492" s="1209"/>
      <c r="K492" s="1210"/>
      <c r="L492" s="1210"/>
      <c r="M492" s="1197"/>
      <c r="N492" s="1211"/>
      <c r="O492" s="1212"/>
      <c r="P492" s="1200"/>
      <c r="Q492" s="1200"/>
      <c r="R492" s="1213"/>
      <c r="S492" s="1213"/>
      <c r="T492" s="1213"/>
      <c r="U492" s="1213"/>
      <c r="V492" s="1213"/>
    </row>
    <row r="493" spans="1:22" ht="15" thickTop="1" thickBot="1" x14ac:dyDescent="0.3">
      <c r="A493" s="1207"/>
      <c r="B493" s="1212"/>
      <c r="C493" s="1212"/>
      <c r="D493" s="1212"/>
      <c r="E493" s="1212"/>
      <c r="F493" s="1208"/>
      <c r="G493" s="1208"/>
      <c r="H493" s="1208"/>
      <c r="I493" s="1209"/>
      <c r="J493" s="1209"/>
      <c r="K493" s="1210"/>
      <c r="L493" s="1210"/>
      <c r="M493" s="1197"/>
      <c r="N493" s="1211"/>
      <c r="O493" s="1212"/>
      <c r="P493" s="1200"/>
      <c r="Q493" s="1200"/>
      <c r="R493" s="1213"/>
      <c r="S493" s="1213"/>
      <c r="T493" s="1213"/>
      <c r="U493" s="1213"/>
      <c r="V493" s="1213"/>
    </row>
    <row r="494" spans="1:22" ht="15" thickTop="1" thickBot="1" x14ac:dyDescent="0.3">
      <c r="A494" s="1207"/>
      <c r="B494" s="1212"/>
      <c r="C494" s="1212"/>
      <c r="D494" s="1212"/>
      <c r="E494" s="1212"/>
      <c r="F494" s="1208"/>
      <c r="G494" s="1208"/>
      <c r="H494" s="1208"/>
      <c r="I494" s="1209"/>
      <c r="J494" s="1209"/>
      <c r="K494" s="1210"/>
      <c r="L494" s="1210"/>
      <c r="M494" s="1197"/>
      <c r="N494" s="1211"/>
      <c r="O494" s="1212"/>
      <c r="P494" s="1200"/>
      <c r="Q494" s="1200"/>
      <c r="R494" s="1213"/>
      <c r="S494" s="1213"/>
      <c r="T494" s="1213"/>
      <c r="U494" s="1213"/>
      <c r="V494" s="1213"/>
    </row>
    <row r="495" spans="1:22" ht="15" thickTop="1" thickBot="1" x14ac:dyDescent="0.3">
      <c r="A495" s="1207"/>
      <c r="B495" s="1212"/>
      <c r="C495" s="1212"/>
      <c r="D495" s="1212"/>
      <c r="E495" s="1212"/>
      <c r="F495" s="1208"/>
      <c r="G495" s="1208"/>
      <c r="H495" s="1208"/>
      <c r="I495" s="1209"/>
      <c r="J495" s="1209"/>
      <c r="K495" s="1210">
        <f t="shared" si="128"/>
        <v>1.05</v>
      </c>
      <c r="L495" s="1210">
        <f t="shared" ref="L495:L606" si="129">K495*J495</f>
        <v>0</v>
      </c>
      <c r="M495" s="1197">
        <f t="shared" ref="M495:M606" si="130">ROUND(L495,1)</f>
        <v>0</v>
      </c>
      <c r="N495" s="1211">
        <f t="shared" ref="N495:N606" si="131">ROUNDUP(M495,0)</f>
        <v>0</v>
      </c>
      <c r="O495" s="1212"/>
      <c r="P495" s="1200"/>
      <c r="Q495" s="1200"/>
      <c r="R495" s="1213"/>
      <c r="S495" s="1213"/>
      <c r="T495" s="1213"/>
      <c r="U495" s="1213"/>
      <c r="V495" s="1213"/>
    </row>
    <row r="496" spans="1:22" ht="15" thickTop="1" thickBot="1" x14ac:dyDescent="0.3">
      <c r="A496" s="1207"/>
      <c r="B496" s="1212"/>
      <c r="C496" s="1212"/>
      <c r="D496" s="1212"/>
      <c r="E496" s="1212"/>
      <c r="F496" s="1208"/>
      <c r="G496" s="1208"/>
      <c r="H496" s="1208"/>
      <c r="I496" s="1209"/>
      <c r="J496" s="1209"/>
      <c r="K496" s="1210">
        <f t="shared" si="128"/>
        <v>1.05</v>
      </c>
      <c r="L496" s="1210">
        <f t="shared" si="129"/>
        <v>0</v>
      </c>
      <c r="M496" s="1197">
        <f t="shared" si="130"/>
        <v>0</v>
      </c>
      <c r="N496" s="1211">
        <f t="shared" si="131"/>
        <v>0</v>
      </c>
      <c r="O496" s="1212"/>
      <c r="P496" s="1200"/>
      <c r="Q496" s="1200"/>
      <c r="R496" s="1213"/>
      <c r="S496" s="1213"/>
      <c r="T496" s="1213"/>
      <c r="U496" s="1213"/>
      <c r="V496" s="1213"/>
    </row>
    <row r="497" spans="1:22" ht="15" thickTop="1" thickBot="1" x14ac:dyDescent="0.3">
      <c r="A497" s="1207"/>
      <c r="B497" s="1212"/>
      <c r="C497" s="1212"/>
      <c r="D497" s="1212"/>
      <c r="E497" s="1212"/>
      <c r="F497" s="1208"/>
      <c r="G497" s="1208"/>
      <c r="H497" s="1208"/>
      <c r="I497" s="1209"/>
      <c r="J497" s="1209"/>
      <c r="K497" s="1210">
        <f t="shared" si="128"/>
        <v>1.05</v>
      </c>
      <c r="L497" s="1210">
        <f t="shared" si="129"/>
        <v>0</v>
      </c>
      <c r="M497" s="1197">
        <f t="shared" si="130"/>
        <v>0</v>
      </c>
      <c r="N497" s="1211">
        <f t="shared" si="131"/>
        <v>0</v>
      </c>
      <c r="O497" s="1212"/>
      <c r="P497" s="1200"/>
      <c r="Q497" s="1200"/>
      <c r="R497" s="1213"/>
      <c r="S497" s="1213"/>
      <c r="T497" s="1213"/>
      <c r="U497" s="1213"/>
      <c r="V497" s="1213"/>
    </row>
    <row r="498" spans="1:22" ht="15" thickTop="1" thickBot="1" x14ac:dyDescent="0.3">
      <c r="A498" s="1207"/>
      <c r="B498" s="1212"/>
      <c r="C498" s="1212"/>
      <c r="D498" s="1212"/>
      <c r="E498" s="1212"/>
      <c r="F498" s="1208"/>
      <c r="G498" s="1208"/>
      <c r="H498" s="1208"/>
      <c r="I498" s="1209"/>
      <c r="J498" s="1209"/>
      <c r="K498" s="1210">
        <f t="shared" si="128"/>
        <v>1.05</v>
      </c>
      <c r="L498" s="1210">
        <f t="shared" si="129"/>
        <v>0</v>
      </c>
      <c r="M498" s="1197">
        <f t="shared" si="130"/>
        <v>0</v>
      </c>
      <c r="N498" s="1211">
        <f t="shared" si="131"/>
        <v>0</v>
      </c>
      <c r="O498" s="1212"/>
      <c r="P498" s="1200"/>
      <c r="Q498" s="1200"/>
      <c r="R498" s="1213"/>
      <c r="S498" s="1213"/>
      <c r="T498" s="1213"/>
      <c r="U498" s="1213"/>
      <c r="V498" s="1213"/>
    </row>
    <row r="499" spans="1:22" ht="15" thickTop="1" thickBot="1" x14ac:dyDescent="0.3">
      <c r="A499" s="1207"/>
      <c r="B499" s="1212"/>
      <c r="C499" s="1212"/>
      <c r="D499" s="1212"/>
      <c r="E499" s="1212"/>
      <c r="F499" s="1208"/>
      <c r="G499" s="1208"/>
      <c r="H499" s="1208"/>
      <c r="I499" s="1209"/>
      <c r="J499" s="1209"/>
      <c r="K499" s="1210">
        <f t="shared" si="128"/>
        <v>1.05</v>
      </c>
      <c r="L499" s="1210">
        <f t="shared" si="129"/>
        <v>0</v>
      </c>
      <c r="M499" s="1197">
        <f t="shared" si="130"/>
        <v>0</v>
      </c>
      <c r="N499" s="1211">
        <f t="shared" si="131"/>
        <v>0</v>
      </c>
      <c r="O499" s="1212"/>
      <c r="P499" s="1200"/>
      <c r="Q499" s="1200"/>
      <c r="R499" s="1213"/>
      <c r="S499" s="1213"/>
      <c r="T499" s="1213"/>
      <c r="U499" s="1213"/>
      <c r="V499" s="1213"/>
    </row>
    <row r="500" spans="1:22" ht="15" thickTop="1" thickBot="1" x14ac:dyDescent="0.3">
      <c r="A500" s="1207"/>
      <c r="B500" s="1212"/>
      <c r="C500" s="1212"/>
      <c r="D500" s="1212"/>
      <c r="E500" s="1212"/>
      <c r="F500" s="1208"/>
      <c r="G500" s="1208"/>
      <c r="H500" s="1208"/>
      <c r="I500" s="1209"/>
      <c r="J500" s="1209"/>
      <c r="K500" s="1210">
        <f t="shared" si="128"/>
        <v>1.05</v>
      </c>
      <c r="L500" s="1210">
        <f t="shared" ref="L500:L563" si="132">K500*J500</f>
        <v>0</v>
      </c>
      <c r="M500" s="1197">
        <f t="shared" ref="M500:M563" si="133">ROUND(L500,1)</f>
        <v>0</v>
      </c>
      <c r="N500" s="1211">
        <f t="shared" ref="N500:N563" si="134">ROUNDUP(M500,0)</f>
        <v>0</v>
      </c>
      <c r="O500" s="1212"/>
      <c r="P500" s="1200"/>
      <c r="Q500" s="1200"/>
      <c r="R500" s="1213"/>
      <c r="S500" s="1213"/>
      <c r="T500" s="1213"/>
      <c r="U500" s="1213"/>
      <c r="V500" s="1213"/>
    </row>
    <row r="501" spans="1:22" ht="15" thickTop="1" thickBot="1" x14ac:dyDescent="0.3">
      <c r="A501" s="1207"/>
      <c r="B501" s="1212"/>
      <c r="C501" s="1212"/>
      <c r="D501" s="1212"/>
      <c r="E501" s="1212"/>
      <c r="F501" s="1208"/>
      <c r="G501" s="1208"/>
      <c r="H501" s="1208"/>
      <c r="I501" s="1209"/>
      <c r="J501" s="1209"/>
      <c r="K501" s="1210">
        <f t="shared" si="128"/>
        <v>1.05</v>
      </c>
      <c r="L501" s="1210">
        <f t="shared" si="132"/>
        <v>0</v>
      </c>
      <c r="M501" s="1197">
        <f t="shared" si="133"/>
        <v>0</v>
      </c>
      <c r="N501" s="1211">
        <f t="shared" si="134"/>
        <v>0</v>
      </c>
      <c r="O501" s="1212"/>
      <c r="P501" s="1200"/>
      <c r="Q501" s="1200"/>
      <c r="R501" s="1213"/>
      <c r="S501" s="1213"/>
      <c r="T501" s="1213"/>
      <c r="U501" s="1213"/>
      <c r="V501" s="1213"/>
    </row>
    <row r="502" spans="1:22" ht="15" thickTop="1" thickBot="1" x14ac:dyDescent="0.3">
      <c r="A502" s="1207"/>
      <c r="B502" s="1212"/>
      <c r="C502" s="1212"/>
      <c r="D502" s="1212"/>
      <c r="E502" s="1212"/>
      <c r="F502" s="1208"/>
      <c r="G502" s="1208"/>
      <c r="H502" s="1208"/>
      <c r="I502" s="1209"/>
      <c r="J502" s="1209"/>
      <c r="K502" s="1210">
        <f t="shared" si="128"/>
        <v>1.05</v>
      </c>
      <c r="L502" s="1210">
        <f t="shared" si="132"/>
        <v>0</v>
      </c>
      <c r="M502" s="1197">
        <f t="shared" si="133"/>
        <v>0</v>
      </c>
      <c r="N502" s="1211">
        <f t="shared" si="134"/>
        <v>0</v>
      </c>
      <c r="O502" s="1212"/>
      <c r="P502" s="1200"/>
      <c r="Q502" s="1200"/>
      <c r="R502" s="1213"/>
      <c r="S502" s="1213"/>
      <c r="T502" s="1213"/>
      <c r="U502" s="1213"/>
      <c r="V502" s="1213"/>
    </row>
    <row r="503" spans="1:22" ht="15" thickTop="1" thickBot="1" x14ac:dyDescent="0.3">
      <c r="A503" s="1207"/>
      <c r="B503" s="1212"/>
      <c r="C503" s="1212"/>
      <c r="D503" s="1212"/>
      <c r="E503" s="1212"/>
      <c r="F503" s="1208"/>
      <c r="G503" s="1208"/>
      <c r="H503" s="1208"/>
      <c r="I503" s="1209"/>
      <c r="J503" s="1209"/>
      <c r="K503" s="1210">
        <f t="shared" si="128"/>
        <v>1.05</v>
      </c>
      <c r="L503" s="1210">
        <f t="shared" si="132"/>
        <v>0</v>
      </c>
      <c r="M503" s="1197">
        <f t="shared" si="133"/>
        <v>0</v>
      </c>
      <c r="N503" s="1211">
        <f t="shared" si="134"/>
        <v>0</v>
      </c>
      <c r="O503" s="1212"/>
      <c r="P503" s="1200"/>
      <c r="Q503" s="1200"/>
      <c r="R503" s="1213"/>
      <c r="S503" s="1213"/>
      <c r="T503" s="1213"/>
      <c r="U503" s="1213"/>
      <c r="V503" s="1213"/>
    </row>
    <row r="504" spans="1:22" ht="15" thickTop="1" thickBot="1" x14ac:dyDescent="0.3">
      <c r="A504" s="1207"/>
      <c r="B504" s="1212"/>
      <c r="C504" s="1212"/>
      <c r="D504" s="1212"/>
      <c r="E504" s="1212"/>
      <c r="F504" s="1208"/>
      <c r="G504" s="1208"/>
      <c r="H504" s="1208"/>
      <c r="I504" s="1209"/>
      <c r="J504" s="1209"/>
      <c r="K504" s="1210">
        <f t="shared" si="128"/>
        <v>1.05</v>
      </c>
      <c r="L504" s="1210">
        <f t="shared" si="132"/>
        <v>0</v>
      </c>
      <c r="M504" s="1197">
        <f t="shared" si="133"/>
        <v>0</v>
      </c>
      <c r="N504" s="1211">
        <f t="shared" si="134"/>
        <v>0</v>
      </c>
      <c r="O504" s="1212"/>
      <c r="P504" s="1200"/>
      <c r="Q504" s="1200"/>
      <c r="R504" s="1213"/>
      <c r="S504" s="1213"/>
      <c r="T504" s="1213"/>
      <c r="U504" s="1213"/>
      <c r="V504" s="1213"/>
    </row>
    <row r="505" spans="1:22" ht="15" thickTop="1" thickBot="1" x14ac:dyDescent="0.3">
      <c r="A505" s="1207"/>
      <c r="B505" s="1212"/>
      <c r="C505" s="1212"/>
      <c r="D505" s="1212"/>
      <c r="E505" s="1212"/>
      <c r="F505" s="1208"/>
      <c r="G505" s="1208"/>
      <c r="H505" s="1208"/>
      <c r="I505" s="1209"/>
      <c r="J505" s="1209"/>
      <c r="K505" s="1210">
        <f t="shared" si="128"/>
        <v>1.05</v>
      </c>
      <c r="L505" s="1210">
        <f t="shared" si="132"/>
        <v>0</v>
      </c>
      <c r="M505" s="1197">
        <f t="shared" si="133"/>
        <v>0</v>
      </c>
      <c r="N505" s="1211">
        <f t="shared" si="134"/>
        <v>0</v>
      </c>
      <c r="O505" s="1212"/>
      <c r="P505" s="1200"/>
      <c r="Q505" s="1200"/>
      <c r="R505" s="1213"/>
      <c r="S505" s="1213"/>
      <c r="T505" s="1213"/>
      <c r="U505" s="1213"/>
      <c r="V505" s="1213"/>
    </row>
    <row r="506" spans="1:22" ht="15" thickTop="1" thickBot="1" x14ac:dyDescent="0.3">
      <c r="A506" s="1207"/>
      <c r="B506" s="1212"/>
      <c r="C506" s="1212"/>
      <c r="D506" s="1212"/>
      <c r="E506" s="1212"/>
      <c r="F506" s="1208"/>
      <c r="G506" s="1208"/>
      <c r="H506" s="1208"/>
      <c r="I506" s="1209"/>
      <c r="J506" s="1209"/>
      <c r="K506" s="1210">
        <f t="shared" si="128"/>
        <v>1.05</v>
      </c>
      <c r="L506" s="1210">
        <f t="shared" si="132"/>
        <v>0</v>
      </c>
      <c r="M506" s="1197">
        <f t="shared" si="133"/>
        <v>0</v>
      </c>
      <c r="N506" s="1211">
        <f t="shared" si="134"/>
        <v>0</v>
      </c>
      <c r="O506" s="1212"/>
      <c r="P506" s="1200"/>
      <c r="Q506" s="1200"/>
      <c r="R506" s="1213"/>
      <c r="S506" s="1213"/>
      <c r="T506" s="1213"/>
      <c r="U506" s="1213"/>
      <c r="V506" s="1213"/>
    </row>
    <row r="507" spans="1:22" ht="15" thickTop="1" thickBot="1" x14ac:dyDescent="0.3">
      <c r="A507" s="1207"/>
      <c r="B507" s="1212"/>
      <c r="C507" s="1212"/>
      <c r="D507" s="1212"/>
      <c r="E507" s="1212"/>
      <c r="F507" s="1208"/>
      <c r="G507" s="1208"/>
      <c r="H507" s="1208"/>
      <c r="I507" s="1209"/>
      <c r="J507" s="1209"/>
      <c r="K507" s="1210">
        <f t="shared" si="128"/>
        <v>1.05</v>
      </c>
      <c r="L507" s="1210">
        <f t="shared" si="132"/>
        <v>0</v>
      </c>
      <c r="M507" s="1197">
        <f t="shared" si="133"/>
        <v>0</v>
      </c>
      <c r="N507" s="1211">
        <f t="shared" si="134"/>
        <v>0</v>
      </c>
      <c r="O507" s="1212"/>
      <c r="P507" s="1200"/>
      <c r="Q507" s="1200"/>
      <c r="R507" s="1213"/>
      <c r="S507" s="1213"/>
      <c r="T507" s="1213"/>
      <c r="U507" s="1213"/>
      <c r="V507" s="1213"/>
    </row>
    <row r="508" spans="1:22" ht="15" thickTop="1" thickBot="1" x14ac:dyDescent="0.3">
      <c r="A508" s="1207"/>
      <c r="B508" s="1212"/>
      <c r="C508" s="1212"/>
      <c r="D508" s="1212"/>
      <c r="E508" s="1212"/>
      <c r="F508" s="1208"/>
      <c r="G508" s="1208"/>
      <c r="H508" s="1208"/>
      <c r="I508" s="1209"/>
      <c r="J508" s="1209"/>
      <c r="K508" s="1210">
        <f t="shared" si="128"/>
        <v>1.05</v>
      </c>
      <c r="L508" s="1210">
        <f t="shared" si="132"/>
        <v>0</v>
      </c>
      <c r="M508" s="1197">
        <f t="shared" si="133"/>
        <v>0</v>
      </c>
      <c r="N508" s="1211">
        <f t="shared" si="134"/>
        <v>0</v>
      </c>
      <c r="O508" s="1212"/>
      <c r="P508" s="1200"/>
      <c r="Q508" s="1200"/>
      <c r="R508" s="1213"/>
      <c r="S508" s="1213"/>
      <c r="T508" s="1213"/>
      <c r="U508" s="1213"/>
      <c r="V508" s="1213"/>
    </row>
    <row r="509" spans="1:22" ht="15" thickTop="1" thickBot="1" x14ac:dyDescent="0.3">
      <c r="A509" s="1207"/>
      <c r="B509" s="1212"/>
      <c r="C509" s="1212"/>
      <c r="D509" s="1212"/>
      <c r="E509" s="1212"/>
      <c r="F509" s="1208"/>
      <c r="G509" s="1208"/>
      <c r="H509" s="1208"/>
      <c r="I509" s="1209"/>
      <c r="J509" s="1209"/>
      <c r="K509" s="1210">
        <f t="shared" si="128"/>
        <v>1.05</v>
      </c>
      <c r="L509" s="1210">
        <f t="shared" si="132"/>
        <v>0</v>
      </c>
      <c r="M509" s="1197">
        <f t="shared" si="133"/>
        <v>0</v>
      </c>
      <c r="N509" s="1211">
        <f t="shared" si="134"/>
        <v>0</v>
      </c>
      <c r="O509" s="1212"/>
      <c r="P509" s="1200"/>
      <c r="Q509" s="1200"/>
      <c r="R509" s="1213"/>
      <c r="S509" s="1213"/>
      <c r="T509" s="1213"/>
      <c r="U509" s="1213"/>
      <c r="V509" s="1213"/>
    </row>
    <row r="510" spans="1:22" ht="15" thickTop="1" thickBot="1" x14ac:dyDescent="0.3">
      <c r="A510" s="1207"/>
      <c r="B510" s="1212"/>
      <c r="C510" s="1212"/>
      <c r="D510" s="1212"/>
      <c r="E510" s="1212"/>
      <c r="F510" s="1208"/>
      <c r="G510" s="1208"/>
      <c r="H510" s="1208"/>
      <c r="I510" s="1209"/>
      <c r="J510" s="1209"/>
      <c r="K510" s="1210">
        <f t="shared" si="128"/>
        <v>1.05</v>
      </c>
      <c r="L510" s="1210">
        <f t="shared" si="132"/>
        <v>0</v>
      </c>
      <c r="M510" s="1197">
        <f t="shared" si="133"/>
        <v>0</v>
      </c>
      <c r="N510" s="1211">
        <f t="shared" si="134"/>
        <v>0</v>
      </c>
      <c r="O510" s="1212"/>
      <c r="P510" s="1200"/>
      <c r="Q510" s="1200"/>
      <c r="R510" s="1213"/>
      <c r="S510" s="1213"/>
      <c r="T510" s="1213"/>
      <c r="U510" s="1213"/>
      <c r="V510" s="1213"/>
    </row>
    <row r="511" spans="1:22" ht="15" thickTop="1" thickBot="1" x14ac:dyDescent="0.3">
      <c r="A511" s="1207"/>
      <c r="B511" s="1212"/>
      <c r="C511" s="1212"/>
      <c r="D511" s="1212"/>
      <c r="E511" s="1212"/>
      <c r="F511" s="1208"/>
      <c r="G511" s="1208"/>
      <c r="H511" s="1208"/>
      <c r="I511" s="1209"/>
      <c r="J511" s="1209"/>
      <c r="K511" s="1210">
        <f t="shared" si="128"/>
        <v>1.05</v>
      </c>
      <c r="L511" s="1210">
        <f t="shared" si="132"/>
        <v>0</v>
      </c>
      <c r="M511" s="1197">
        <f t="shared" si="133"/>
        <v>0</v>
      </c>
      <c r="N511" s="1211">
        <f t="shared" si="134"/>
        <v>0</v>
      </c>
      <c r="O511" s="1212"/>
      <c r="P511" s="1200"/>
      <c r="Q511" s="1200"/>
      <c r="R511" s="1213"/>
      <c r="S511" s="1213"/>
      <c r="T511" s="1213"/>
      <c r="U511" s="1213"/>
      <c r="V511" s="1213"/>
    </row>
    <row r="512" spans="1:22" ht="15" thickTop="1" thickBot="1" x14ac:dyDescent="0.3">
      <c r="A512" s="1207"/>
      <c r="B512" s="1212"/>
      <c r="C512" s="1212"/>
      <c r="D512" s="1212"/>
      <c r="E512" s="1212"/>
      <c r="F512" s="1208"/>
      <c r="G512" s="1208"/>
      <c r="H512" s="1208"/>
      <c r="I512" s="1209"/>
      <c r="J512" s="1209"/>
      <c r="K512" s="1210">
        <f t="shared" si="128"/>
        <v>1.05</v>
      </c>
      <c r="L512" s="1210">
        <f t="shared" si="132"/>
        <v>0</v>
      </c>
      <c r="M512" s="1197">
        <f t="shared" si="133"/>
        <v>0</v>
      </c>
      <c r="N512" s="1211">
        <f t="shared" si="134"/>
        <v>0</v>
      </c>
      <c r="O512" s="1212"/>
      <c r="P512" s="1200"/>
      <c r="Q512" s="1200"/>
      <c r="R512" s="1213"/>
      <c r="S512" s="1213"/>
      <c r="T512" s="1213"/>
      <c r="U512" s="1213"/>
      <c r="V512" s="1213"/>
    </row>
    <row r="513" spans="1:22" ht="15" thickTop="1" thickBot="1" x14ac:dyDescent="0.3">
      <c r="A513" s="1207"/>
      <c r="B513" s="1212"/>
      <c r="C513" s="1212"/>
      <c r="D513" s="1212"/>
      <c r="E513" s="1212"/>
      <c r="F513" s="1208"/>
      <c r="G513" s="1208"/>
      <c r="H513" s="1208"/>
      <c r="I513" s="1209"/>
      <c r="J513" s="1209"/>
      <c r="K513" s="1210">
        <f t="shared" si="128"/>
        <v>1.05</v>
      </c>
      <c r="L513" s="1210">
        <f t="shared" si="132"/>
        <v>0</v>
      </c>
      <c r="M513" s="1197">
        <f t="shared" si="133"/>
        <v>0</v>
      </c>
      <c r="N513" s="1211">
        <f t="shared" si="134"/>
        <v>0</v>
      </c>
      <c r="O513" s="1212"/>
      <c r="P513" s="1200"/>
      <c r="Q513" s="1200"/>
      <c r="R513" s="1213"/>
      <c r="S513" s="1213"/>
      <c r="T513" s="1213"/>
      <c r="U513" s="1213"/>
      <c r="V513" s="1213"/>
    </row>
    <row r="514" spans="1:22" ht="15" thickTop="1" thickBot="1" x14ac:dyDescent="0.3">
      <c r="A514" s="1207"/>
      <c r="B514" s="1212"/>
      <c r="C514" s="1212"/>
      <c r="D514" s="1212"/>
      <c r="E514" s="1212"/>
      <c r="F514" s="1208"/>
      <c r="G514" s="1208"/>
      <c r="H514" s="1208"/>
      <c r="I514" s="1209"/>
      <c r="J514" s="1209"/>
      <c r="K514" s="1210">
        <f t="shared" si="128"/>
        <v>1.05</v>
      </c>
      <c r="L514" s="1210">
        <f t="shared" si="132"/>
        <v>0</v>
      </c>
      <c r="M514" s="1197">
        <f t="shared" si="133"/>
        <v>0</v>
      </c>
      <c r="N514" s="1211">
        <f t="shared" si="134"/>
        <v>0</v>
      </c>
      <c r="O514" s="1212"/>
      <c r="P514" s="1200"/>
      <c r="Q514" s="1200"/>
      <c r="R514" s="1213"/>
      <c r="S514" s="1213"/>
      <c r="T514" s="1213"/>
      <c r="U514" s="1213"/>
      <c r="V514" s="1213"/>
    </row>
    <row r="515" spans="1:22" ht="15" thickTop="1" thickBot="1" x14ac:dyDescent="0.3">
      <c r="A515" s="1207"/>
      <c r="B515" s="1212"/>
      <c r="C515" s="1212"/>
      <c r="D515" s="1212"/>
      <c r="E515" s="1212"/>
      <c r="F515" s="1208"/>
      <c r="G515" s="1208"/>
      <c r="H515" s="1208"/>
      <c r="I515" s="1209"/>
      <c r="J515" s="1209"/>
      <c r="K515" s="1210">
        <f t="shared" si="128"/>
        <v>1.05</v>
      </c>
      <c r="L515" s="1210">
        <f t="shared" si="132"/>
        <v>0</v>
      </c>
      <c r="M515" s="1197">
        <f t="shared" si="133"/>
        <v>0</v>
      </c>
      <c r="N515" s="1211">
        <f t="shared" si="134"/>
        <v>0</v>
      </c>
      <c r="O515" s="1212"/>
      <c r="P515" s="1200"/>
      <c r="Q515" s="1200"/>
      <c r="R515" s="1213"/>
      <c r="S515" s="1213"/>
      <c r="T515" s="1213"/>
      <c r="U515" s="1213"/>
      <c r="V515" s="1213"/>
    </row>
    <row r="516" spans="1:22" ht="15" thickTop="1" thickBot="1" x14ac:dyDescent="0.3">
      <c r="A516" s="1207"/>
      <c r="B516" s="1212"/>
      <c r="C516" s="1212"/>
      <c r="D516" s="1212"/>
      <c r="E516" s="1212"/>
      <c r="F516" s="1208"/>
      <c r="G516" s="1208"/>
      <c r="H516" s="1208"/>
      <c r="I516" s="1209"/>
      <c r="J516" s="1209"/>
      <c r="K516" s="1210">
        <f t="shared" si="128"/>
        <v>1.05</v>
      </c>
      <c r="L516" s="1210">
        <f t="shared" si="132"/>
        <v>0</v>
      </c>
      <c r="M516" s="1197">
        <f t="shared" si="133"/>
        <v>0</v>
      </c>
      <c r="N516" s="1211">
        <f t="shared" si="134"/>
        <v>0</v>
      </c>
      <c r="O516" s="1212"/>
      <c r="P516" s="1200"/>
      <c r="Q516" s="1200"/>
      <c r="R516" s="1213"/>
      <c r="S516" s="1213"/>
      <c r="T516" s="1213"/>
      <c r="U516" s="1213"/>
      <c r="V516" s="1213"/>
    </row>
    <row r="517" spans="1:22" ht="15" thickTop="1" thickBot="1" x14ac:dyDescent="0.3">
      <c r="A517" s="1207"/>
      <c r="B517" s="1212"/>
      <c r="C517" s="1212"/>
      <c r="D517" s="1212"/>
      <c r="E517" s="1212"/>
      <c r="F517" s="1208"/>
      <c r="G517" s="1208"/>
      <c r="H517" s="1208"/>
      <c r="I517" s="1209"/>
      <c r="J517" s="1209"/>
      <c r="K517" s="1210">
        <f t="shared" si="128"/>
        <v>1.05</v>
      </c>
      <c r="L517" s="1210">
        <f t="shared" si="132"/>
        <v>0</v>
      </c>
      <c r="M517" s="1197">
        <f t="shared" si="133"/>
        <v>0</v>
      </c>
      <c r="N517" s="1211">
        <f t="shared" si="134"/>
        <v>0</v>
      </c>
      <c r="O517" s="1212"/>
      <c r="P517" s="1200"/>
      <c r="Q517" s="1200"/>
      <c r="R517" s="1213"/>
      <c r="S517" s="1213"/>
      <c r="T517" s="1213"/>
      <c r="U517" s="1213"/>
      <c r="V517" s="1213"/>
    </row>
    <row r="518" spans="1:22" ht="15" thickTop="1" thickBot="1" x14ac:dyDescent="0.3">
      <c r="A518" s="1207"/>
      <c r="B518" s="1212"/>
      <c r="C518" s="1212"/>
      <c r="D518" s="1212"/>
      <c r="E518" s="1212"/>
      <c r="F518" s="1208"/>
      <c r="G518" s="1208"/>
      <c r="H518" s="1208"/>
      <c r="I518" s="1209"/>
      <c r="J518" s="1209"/>
      <c r="K518" s="1210">
        <f t="shared" si="128"/>
        <v>1.05</v>
      </c>
      <c r="L518" s="1210">
        <f t="shared" si="132"/>
        <v>0</v>
      </c>
      <c r="M518" s="1197">
        <f t="shared" si="133"/>
        <v>0</v>
      </c>
      <c r="N518" s="1211">
        <f t="shared" si="134"/>
        <v>0</v>
      </c>
      <c r="O518" s="1212"/>
      <c r="P518" s="1200"/>
      <c r="Q518" s="1200"/>
      <c r="R518" s="1213"/>
      <c r="S518" s="1213"/>
      <c r="T518" s="1213"/>
      <c r="U518" s="1213"/>
      <c r="V518" s="1213"/>
    </row>
    <row r="519" spans="1:22" ht="15" thickTop="1" thickBot="1" x14ac:dyDescent="0.3">
      <c r="A519" s="1207"/>
      <c r="B519" s="1212"/>
      <c r="C519" s="1212"/>
      <c r="D519" s="1212"/>
      <c r="E519" s="1212"/>
      <c r="F519" s="1208"/>
      <c r="G519" s="1208"/>
      <c r="H519" s="1208"/>
      <c r="I519" s="1209"/>
      <c r="J519" s="1209"/>
      <c r="K519" s="1210">
        <f t="shared" si="128"/>
        <v>1.05</v>
      </c>
      <c r="L519" s="1210">
        <f t="shared" si="132"/>
        <v>0</v>
      </c>
      <c r="M519" s="1197">
        <f t="shared" si="133"/>
        <v>0</v>
      </c>
      <c r="N519" s="1211">
        <f t="shared" si="134"/>
        <v>0</v>
      </c>
      <c r="O519" s="1212"/>
      <c r="P519" s="1200"/>
      <c r="Q519" s="1200"/>
      <c r="R519" s="1213"/>
      <c r="S519" s="1213"/>
      <c r="T519" s="1213"/>
      <c r="U519" s="1213"/>
      <c r="V519" s="1213"/>
    </row>
    <row r="520" spans="1:22" ht="15" thickTop="1" thickBot="1" x14ac:dyDescent="0.3">
      <c r="A520" s="1207"/>
      <c r="B520" s="1212"/>
      <c r="C520" s="1212"/>
      <c r="D520" s="1212"/>
      <c r="E520" s="1212"/>
      <c r="F520" s="1208"/>
      <c r="G520" s="1208"/>
      <c r="H520" s="1208"/>
      <c r="I520" s="1209"/>
      <c r="J520" s="1209"/>
      <c r="K520" s="1210">
        <f t="shared" si="128"/>
        <v>1.05</v>
      </c>
      <c r="L520" s="1210">
        <f t="shared" si="132"/>
        <v>0</v>
      </c>
      <c r="M520" s="1197">
        <f t="shared" si="133"/>
        <v>0</v>
      </c>
      <c r="N520" s="1211">
        <f t="shared" si="134"/>
        <v>0</v>
      </c>
      <c r="O520" s="1212"/>
      <c r="P520" s="1200"/>
      <c r="Q520" s="1200"/>
      <c r="R520" s="1213"/>
      <c r="S520" s="1213"/>
      <c r="T520" s="1213"/>
      <c r="U520" s="1213"/>
      <c r="V520" s="1213"/>
    </row>
    <row r="521" spans="1:22" ht="15" thickTop="1" thickBot="1" x14ac:dyDescent="0.3">
      <c r="A521" s="1207"/>
      <c r="B521" s="1212"/>
      <c r="C521" s="1212"/>
      <c r="D521" s="1212"/>
      <c r="E521" s="1212"/>
      <c r="F521" s="1208"/>
      <c r="G521" s="1208"/>
      <c r="H521" s="1208"/>
      <c r="I521" s="1209"/>
      <c r="J521" s="1209"/>
      <c r="K521" s="1210">
        <f t="shared" si="128"/>
        <v>1.05</v>
      </c>
      <c r="L521" s="1210">
        <f t="shared" si="132"/>
        <v>0</v>
      </c>
      <c r="M521" s="1197">
        <f t="shared" si="133"/>
        <v>0</v>
      </c>
      <c r="N521" s="1211">
        <f t="shared" si="134"/>
        <v>0</v>
      </c>
      <c r="O521" s="1212"/>
      <c r="P521" s="1200"/>
      <c r="Q521" s="1200"/>
      <c r="R521" s="1213"/>
      <c r="S521" s="1213"/>
      <c r="T521" s="1213"/>
      <c r="U521" s="1213"/>
      <c r="V521" s="1213"/>
    </row>
    <row r="522" spans="1:22" ht="15" thickTop="1" thickBot="1" x14ac:dyDescent="0.3">
      <c r="A522" s="1207"/>
      <c r="B522" s="1212"/>
      <c r="C522" s="1212"/>
      <c r="D522" s="1212"/>
      <c r="E522" s="1212"/>
      <c r="F522" s="1208"/>
      <c r="G522" s="1208"/>
      <c r="H522" s="1208"/>
      <c r="I522" s="1209"/>
      <c r="J522" s="1209"/>
      <c r="K522" s="1210">
        <f t="shared" si="128"/>
        <v>1.05</v>
      </c>
      <c r="L522" s="1210">
        <f t="shared" si="132"/>
        <v>0</v>
      </c>
      <c r="M522" s="1197">
        <f t="shared" si="133"/>
        <v>0</v>
      </c>
      <c r="N522" s="1211">
        <f t="shared" si="134"/>
        <v>0</v>
      </c>
      <c r="O522" s="1212"/>
      <c r="P522" s="1200"/>
      <c r="Q522" s="1200"/>
      <c r="R522" s="1213"/>
      <c r="S522" s="1213"/>
      <c r="T522" s="1213"/>
      <c r="U522" s="1213"/>
      <c r="V522" s="1213"/>
    </row>
    <row r="523" spans="1:22" ht="15" thickTop="1" thickBot="1" x14ac:dyDescent="0.3">
      <c r="A523" s="1207"/>
      <c r="B523" s="1212"/>
      <c r="C523" s="1212"/>
      <c r="D523" s="1212"/>
      <c r="E523" s="1212"/>
      <c r="F523" s="1208"/>
      <c r="G523" s="1208"/>
      <c r="H523" s="1208"/>
      <c r="I523" s="1209"/>
      <c r="J523" s="1209"/>
      <c r="K523" s="1210">
        <f t="shared" si="128"/>
        <v>1.05</v>
      </c>
      <c r="L523" s="1210">
        <f t="shared" si="132"/>
        <v>0</v>
      </c>
      <c r="M523" s="1197">
        <f t="shared" si="133"/>
        <v>0</v>
      </c>
      <c r="N523" s="1211">
        <f t="shared" si="134"/>
        <v>0</v>
      </c>
      <c r="O523" s="1212"/>
      <c r="P523" s="1200"/>
      <c r="Q523" s="1200"/>
      <c r="R523" s="1213"/>
      <c r="S523" s="1213"/>
      <c r="T523" s="1213"/>
      <c r="U523" s="1213"/>
      <c r="V523" s="1213"/>
    </row>
    <row r="524" spans="1:22" ht="15" thickTop="1" thickBot="1" x14ac:dyDescent="0.3">
      <c r="A524" s="1207"/>
      <c r="B524" s="1212"/>
      <c r="C524" s="1212"/>
      <c r="D524" s="1212"/>
      <c r="E524" s="1212"/>
      <c r="F524" s="1208"/>
      <c r="G524" s="1208"/>
      <c r="H524" s="1208"/>
      <c r="I524" s="1209"/>
      <c r="J524" s="1209"/>
      <c r="K524" s="1210">
        <f t="shared" si="128"/>
        <v>1.05</v>
      </c>
      <c r="L524" s="1210">
        <f t="shared" si="132"/>
        <v>0</v>
      </c>
      <c r="M524" s="1197">
        <f t="shared" si="133"/>
        <v>0</v>
      </c>
      <c r="N524" s="1211">
        <f t="shared" si="134"/>
        <v>0</v>
      </c>
      <c r="O524" s="1212"/>
      <c r="P524" s="1200"/>
      <c r="Q524" s="1200"/>
      <c r="R524" s="1213"/>
      <c r="S524" s="1213"/>
      <c r="T524" s="1213"/>
      <c r="U524" s="1213"/>
      <c r="V524" s="1213"/>
    </row>
    <row r="525" spans="1:22" ht="15" thickTop="1" thickBot="1" x14ac:dyDescent="0.3">
      <c r="A525" s="1207"/>
      <c r="B525" s="1212"/>
      <c r="C525" s="1212"/>
      <c r="D525" s="1212"/>
      <c r="E525" s="1212"/>
      <c r="F525" s="1208"/>
      <c r="G525" s="1208"/>
      <c r="H525" s="1208"/>
      <c r="I525" s="1209"/>
      <c r="J525" s="1209"/>
      <c r="K525" s="1210">
        <f t="shared" si="128"/>
        <v>1.05</v>
      </c>
      <c r="L525" s="1210">
        <f t="shared" si="132"/>
        <v>0</v>
      </c>
      <c r="M525" s="1197">
        <f t="shared" si="133"/>
        <v>0</v>
      </c>
      <c r="N525" s="1211">
        <f t="shared" si="134"/>
        <v>0</v>
      </c>
      <c r="O525" s="1212"/>
      <c r="P525" s="1200"/>
      <c r="Q525" s="1200"/>
      <c r="R525" s="1213"/>
      <c r="S525" s="1213"/>
      <c r="T525" s="1213"/>
      <c r="U525" s="1213"/>
      <c r="V525" s="1213"/>
    </row>
    <row r="526" spans="1:22" ht="15" thickTop="1" thickBot="1" x14ac:dyDescent="0.3">
      <c r="A526" s="1207"/>
      <c r="B526" s="1212"/>
      <c r="C526" s="1212"/>
      <c r="D526" s="1212"/>
      <c r="E526" s="1212"/>
      <c r="F526" s="1208"/>
      <c r="G526" s="1208"/>
      <c r="H526" s="1208"/>
      <c r="I526" s="1209"/>
      <c r="J526" s="1209"/>
      <c r="K526" s="1210">
        <f t="shared" si="128"/>
        <v>1.05</v>
      </c>
      <c r="L526" s="1210">
        <f t="shared" si="132"/>
        <v>0</v>
      </c>
      <c r="M526" s="1197">
        <f t="shared" si="133"/>
        <v>0</v>
      </c>
      <c r="N526" s="1211">
        <f t="shared" si="134"/>
        <v>0</v>
      </c>
      <c r="O526" s="1212"/>
      <c r="P526" s="1200"/>
      <c r="Q526" s="1200"/>
      <c r="R526" s="1213"/>
      <c r="S526" s="1213"/>
      <c r="T526" s="1213"/>
      <c r="U526" s="1213"/>
      <c r="V526" s="1213"/>
    </row>
    <row r="527" spans="1:22" ht="15" thickTop="1" thickBot="1" x14ac:dyDescent="0.3">
      <c r="A527" s="1207"/>
      <c r="B527" s="1212"/>
      <c r="C527" s="1212"/>
      <c r="D527" s="1212"/>
      <c r="E527" s="1212"/>
      <c r="F527" s="1208"/>
      <c r="G527" s="1208"/>
      <c r="H527" s="1208"/>
      <c r="I527" s="1209"/>
      <c r="J527" s="1209"/>
      <c r="K527" s="1210">
        <f t="shared" si="128"/>
        <v>1.05</v>
      </c>
      <c r="L527" s="1210">
        <f t="shared" si="132"/>
        <v>0</v>
      </c>
      <c r="M527" s="1197">
        <f t="shared" si="133"/>
        <v>0</v>
      </c>
      <c r="N527" s="1211">
        <f t="shared" si="134"/>
        <v>0</v>
      </c>
      <c r="O527" s="1212"/>
      <c r="P527" s="1200"/>
      <c r="Q527" s="1200"/>
      <c r="R527" s="1213"/>
      <c r="S527" s="1213"/>
      <c r="T527" s="1213"/>
      <c r="U527" s="1213"/>
      <c r="V527" s="1213"/>
    </row>
    <row r="528" spans="1:22" ht="15" thickTop="1" thickBot="1" x14ac:dyDescent="0.3">
      <c r="A528" s="1207"/>
      <c r="B528" s="1212"/>
      <c r="C528" s="1212"/>
      <c r="D528" s="1212"/>
      <c r="E528" s="1212"/>
      <c r="F528" s="1208"/>
      <c r="G528" s="1208"/>
      <c r="H528" s="1208"/>
      <c r="I528" s="1209"/>
      <c r="J528" s="1209"/>
      <c r="K528" s="1210">
        <f t="shared" si="128"/>
        <v>1.05</v>
      </c>
      <c r="L528" s="1210">
        <f t="shared" si="132"/>
        <v>0</v>
      </c>
      <c r="M528" s="1197">
        <f t="shared" si="133"/>
        <v>0</v>
      </c>
      <c r="N528" s="1211">
        <f t="shared" si="134"/>
        <v>0</v>
      </c>
      <c r="O528" s="1212"/>
      <c r="P528" s="1200"/>
      <c r="Q528" s="1200"/>
      <c r="R528" s="1213"/>
      <c r="S528" s="1213"/>
      <c r="T528" s="1213"/>
      <c r="U528" s="1213"/>
      <c r="V528" s="1213"/>
    </row>
    <row r="529" spans="1:22" ht="15" thickTop="1" thickBot="1" x14ac:dyDescent="0.3">
      <c r="A529" s="1207"/>
      <c r="B529" s="1212"/>
      <c r="C529" s="1212"/>
      <c r="D529" s="1212"/>
      <c r="E529" s="1212"/>
      <c r="F529" s="1208"/>
      <c r="G529" s="1208"/>
      <c r="H529" s="1208"/>
      <c r="I529" s="1209"/>
      <c r="J529" s="1209"/>
      <c r="K529" s="1210">
        <f t="shared" si="128"/>
        <v>1.05</v>
      </c>
      <c r="L529" s="1210">
        <f t="shared" si="132"/>
        <v>0</v>
      </c>
      <c r="M529" s="1197">
        <f t="shared" si="133"/>
        <v>0</v>
      </c>
      <c r="N529" s="1211">
        <f t="shared" si="134"/>
        <v>0</v>
      </c>
      <c r="O529" s="1212"/>
      <c r="P529" s="1200"/>
      <c r="Q529" s="1200"/>
      <c r="R529" s="1213"/>
      <c r="S529" s="1213"/>
      <c r="T529" s="1213"/>
      <c r="U529" s="1213"/>
      <c r="V529" s="1213"/>
    </row>
    <row r="530" spans="1:22" ht="15" thickTop="1" thickBot="1" x14ac:dyDescent="0.3">
      <c r="A530" s="1207"/>
      <c r="B530" s="1212"/>
      <c r="C530" s="1212"/>
      <c r="D530" s="1212"/>
      <c r="E530" s="1212"/>
      <c r="F530" s="1208"/>
      <c r="G530" s="1208"/>
      <c r="H530" s="1208"/>
      <c r="I530" s="1209"/>
      <c r="J530" s="1209"/>
      <c r="K530" s="1210">
        <f t="shared" si="128"/>
        <v>1.05</v>
      </c>
      <c r="L530" s="1210">
        <f t="shared" si="132"/>
        <v>0</v>
      </c>
      <c r="M530" s="1197">
        <f t="shared" si="133"/>
        <v>0</v>
      </c>
      <c r="N530" s="1211">
        <f t="shared" si="134"/>
        <v>0</v>
      </c>
      <c r="O530" s="1212"/>
      <c r="P530" s="1200"/>
      <c r="Q530" s="1200"/>
      <c r="R530" s="1213"/>
      <c r="S530" s="1213"/>
      <c r="T530" s="1213"/>
      <c r="U530" s="1213"/>
      <c r="V530" s="1213"/>
    </row>
    <row r="531" spans="1:22" ht="15" thickTop="1" thickBot="1" x14ac:dyDescent="0.3">
      <c r="A531" s="1207"/>
      <c r="B531" s="1212"/>
      <c r="C531" s="1212"/>
      <c r="D531" s="1212"/>
      <c r="E531" s="1212"/>
      <c r="F531" s="1208"/>
      <c r="G531" s="1208"/>
      <c r="H531" s="1208"/>
      <c r="I531" s="1209"/>
      <c r="J531" s="1209"/>
      <c r="K531" s="1210">
        <f t="shared" si="128"/>
        <v>1.05</v>
      </c>
      <c r="L531" s="1210">
        <f t="shared" si="132"/>
        <v>0</v>
      </c>
      <c r="M531" s="1197">
        <f t="shared" si="133"/>
        <v>0</v>
      </c>
      <c r="N531" s="1211">
        <f t="shared" si="134"/>
        <v>0</v>
      </c>
      <c r="O531" s="1212"/>
      <c r="P531" s="1200"/>
      <c r="Q531" s="1200"/>
      <c r="R531" s="1213"/>
      <c r="S531" s="1213"/>
      <c r="T531" s="1213"/>
      <c r="U531" s="1213"/>
      <c r="V531" s="1213"/>
    </row>
    <row r="532" spans="1:22" ht="15" thickTop="1" thickBot="1" x14ac:dyDescent="0.3">
      <c r="A532" s="1207"/>
      <c r="B532" s="1212"/>
      <c r="C532" s="1212"/>
      <c r="D532" s="1212"/>
      <c r="E532" s="1212"/>
      <c r="F532" s="1208"/>
      <c r="G532" s="1208"/>
      <c r="H532" s="1208"/>
      <c r="I532" s="1209"/>
      <c r="J532" s="1209"/>
      <c r="K532" s="1210">
        <f t="shared" si="128"/>
        <v>1.05</v>
      </c>
      <c r="L532" s="1210">
        <f t="shared" si="132"/>
        <v>0</v>
      </c>
      <c r="M532" s="1197">
        <f t="shared" si="133"/>
        <v>0</v>
      </c>
      <c r="N532" s="1211">
        <f t="shared" si="134"/>
        <v>0</v>
      </c>
      <c r="O532" s="1212"/>
      <c r="P532" s="1200"/>
      <c r="Q532" s="1200"/>
      <c r="R532" s="1213"/>
      <c r="S532" s="1213"/>
      <c r="T532" s="1213"/>
      <c r="U532" s="1213"/>
      <c r="V532" s="1213"/>
    </row>
    <row r="533" spans="1:22" ht="15" thickTop="1" thickBot="1" x14ac:dyDescent="0.3">
      <c r="A533" s="1207"/>
      <c r="B533" s="1212"/>
      <c r="C533" s="1212"/>
      <c r="D533" s="1212"/>
      <c r="E533" s="1212"/>
      <c r="F533" s="1208"/>
      <c r="G533" s="1208"/>
      <c r="H533" s="1208"/>
      <c r="I533" s="1209"/>
      <c r="J533" s="1209"/>
      <c r="K533" s="1210">
        <f t="shared" si="128"/>
        <v>1.05</v>
      </c>
      <c r="L533" s="1210">
        <f t="shared" si="132"/>
        <v>0</v>
      </c>
      <c r="M533" s="1197">
        <f t="shared" si="133"/>
        <v>0</v>
      </c>
      <c r="N533" s="1211">
        <f t="shared" si="134"/>
        <v>0</v>
      </c>
      <c r="O533" s="1212"/>
      <c r="P533" s="1200"/>
      <c r="Q533" s="1200"/>
      <c r="R533" s="1213"/>
      <c r="S533" s="1213"/>
      <c r="T533" s="1213"/>
      <c r="U533" s="1213"/>
      <c r="V533" s="1213"/>
    </row>
    <row r="534" spans="1:22" ht="15" thickTop="1" thickBot="1" x14ac:dyDescent="0.3">
      <c r="A534" s="1207"/>
      <c r="B534" s="1212"/>
      <c r="C534" s="1212"/>
      <c r="D534" s="1212"/>
      <c r="E534" s="1212"/>
      <c r="F534" s="1208"/>
      <c r="G534" s="1208"/>
      <c r="H534" s="1208"/>
      <c r="I534" s="1209"/>
      <c r="J534" s="1209"/>
      <c r="K534" s="1210">
        <f t="shared" si="128"/>
        <v>1.05</v>
      </c>
      <c r="L534" s="1210">
        <f t="shared" si="132"/>
        <v>0</v>
      </c>
      <c r="M534" s="1197">
        <f t="shared" si="133"/>
        <v>0</v>
      </c>
      <c r="N534" s="1211">
        <f t="shared" si="134"/>
        <v>0</v>
      </c>
      <c r="O534" s="1212"/>
      <c r="P534" s="1200"/>
      <c r="Q534" s="1200"/>
      <c r="R534" s="1213"/>
      <c r="S534" s="1213"/>
      <c r="T534" s="1213"/>
      <c r="U534" s="1213"/>
      <c r="V534" s="1213"/>
    </row>
    <row r="535" spans="1:22" ht="15" thickTop="1" thickBot="1" x14ac:dyDescent="0.3">
      <c r="A535" s="1207"/>
      <c r="B535" s="1212"/>
      <c r="C535" s="1212"/>
      <c r="D535" s="1212"/>
      <c r="E535" s="1212"/>
      <c r="F535" s="1208"/>
      <c r="G535" s="1208"/>
      <c r="H535" s="1208"/>
      <c r="I535" s="1209"/>
      <c r="J535" s="1209"/>
      <c r="K535" s="1210">
        <f t="shared" si="128"/>
        <v>1.05</v>
      </c>
      <c r="L535" s="1210">
        <f t="shared" si="132"/>
        <v>0</v>
      </c>
      <c r="M535" s="1197">
        <f t="shared" si="133"/>
        <v>0</v>
      </c>
      <c r="N535" s="1211">
        <f t="shared" si="134"/>
        <v>0</v>
      </c>
      <c r="O535" s="1212"/>
      <c r="P535" s="1200"/>
      <c r="Q535" s="1200"/>
      <c r="R535" s="1213"/>
      <c r="S535" s="1213"/>
      <c r="T535" s="1213"/>
      <c r="U535" s="1213"/>
      <c r="V535" s="1213"/>
    </row>
    <row r="536" spans="1:22" ht="15" thickTop="1" thickBot="1" x14ac:dyDescent="0.3">
      <c r="A536" s="1207"/>
      <c r="B536" s="1212"/>
      <c r="C536" s="1212"/>
      <c r="D536" s="1212"/>
      <c r="E536" s="1212"/>
      <c r="F536" s="1208"/>
      <c r="G536" s="1208"/>
      <c r="H536" s="1208"/>
      <c r="I536" s="1209"/>
      <c r="J536" s="1209"/>
      <c r="K536" s="1210">
        <f t="shared" si="128"/>
        <v>1.05</v>
      </c>
      <c r="L536" s="1210">
        <f t="shared" si="132"/>
        <v>0</v>
      </c>
      <c r="M536" s="1197">
        <f t="shared" si="133"/>
        <v>0</v>
      </c>
      <c r="N536" s="1211">
        <f t="shared" si="134"/>
        <v>0</v>
      </c>
      <c r="O536" s="1212"/>
      <c r="P536" s="1200"/>
      <c r="Q536" s="1200"/>
      <c r="R536" s="1213"/>
      <c r="S536" s="1213"/>
      <c r="T536" s="1213"/>
      <c r="U536" s="1213"/>
      <c r="V536" s="1213"/>
    </row>
    <row r="537" spans="1:22" ht="15" thickTop="1" thickBot="1" x14ac:dyDescent="0.3">
      <c r="A537" s="1207"/>
      <c r="B537" s="1212"/>
      <c r="C537" s="1212"/>
      <c r="D537" s="1212"/>
      <c r="E537" s="1212"/>
      <c r="F537" s="1208"/>
      <c r="G537" s="1208"/>
      <c r="H537" s="1208"/>
      <c r="I537" s="1209"/>
      <c r="J537" s="1209"/>
      <c r="K537" s="1210">
        <f t="shared" si="128"/>
        <v>1.05</v>
      </c>
      <c r="L537" s="1210">
        <f t="shared" si="132"/>
        <v>0</v>
      </c>
      <c r="M537" s="1197">
        <f t="shared" si="133"/>
        <v>0</v>
      </c>
      <c r="N537" s="1211">
        <f t="shared" si="134"/>
        <v>0</v>
      </c>
      <c r="O537" s="1212"/>
      <c r="P537" s="1200"/>
      <c r="Q537" s="1200"/>
      <c r="R537" s="1213"/>
      <c r="S537" s="1213"/>
      <c r="T537" s="1213"/>
      <c r="U537" s="1213"/>
      <c r="V537" s="1213"/>
    </row>
    <row r="538" spans="1:22" ht="15" thickTop="1" thickBot="1" x14ac:dyDescent="0.3">
      <c r="A538" s="1207"/>
      <c r="B538" s="1212"/>
      <c r="C538" s="1212"/>
      <c r="D538" s="1212"/>
      <c r="E538" s="1212"/>
      <c r="F538" s="1208"/>
      <c r="G538" s="1208"/>
      <c r="H538" s="1208"/>
      <c r="I538" s="1209"/>
      <c r="J538" s="1209"/>
      <c r="K538" s="1210">
        <f t="shared" si="128"/>
        <v>1.05</v>
      </c>
      <c r="L538" s="1210">
        <f t="shared" si="132"/>
        <v>0</v>
      </c>
      <c r="M538" s="1197">
        <f t="shared" si="133"/>
        <v>0</v>
      </c>
      <c r="N538" s="1211">
        <f t="shared" si="134"/>
        <v>0</v>
      </c>
      <c r="O538" s="1212"/>
      <c r="P538" s="1200"/>
      <c r="Q538" s="1200"/>
      <c r="R538" s="1213"/>
      <c r="S538" s="1213"/>
      <c r="T538" s="1213"/>
      <c r="U538" s="1213"/>
      <c r="V538" s="1213"/>
    </row>
    <row r="539" spans="1:22" ht="15" thickTop="1" thickBot="1" x14ac:dyDescent="0.3">
      <c r="A539" s="1207"/>
      <c r="B539" s="1212"/>
      <c r="C539" s="1212"/>
      <c r="D539" s="1212"/>
      <c r="E539" s="1212"/>
      <c r="F539" s="1208"/>
      <c r="G539" s="1208"/>
      <c r="H539" s="1208"/>
      <c r="I539" s="1209"/>
      <c r="J539" s="1209"/>
      <c r="K539" s="1210">
        <f t="shared" si="128"/>
        <v>1.05</v>
      </c>
      <c r="L539" s="1210">
        <f t="shared" si="132"/>
        <v>0</v>
      </c>
      <c r="M539" s="1197">
        <f t="shared" si="133"/>
        <v>0</v>
      </c>
      <c r="N539" s="1211">
        <f t="shared" si="134"/>
        <v>0</v>
      </c>
      <c r="O539" s="1212"/>
      <c r="P539" s="1200"/>
      <c r="Q539" s="1200"/>
      <c r="R539" s="1213"/>
      <c r="S539" s="1213"/>
      <c r="T539" s="1213"/>
      <c r="U539" s="1213"/>
      <c r="V539" s="1213"/>
    </row>
    <row r="540" spans="1:22" ht="15" thickTop="1" thickBot="1" x14ac:dyDescent="0.3">
      <c r="A540" s="1207"/>
      <c r="B540" s="1212"/>
      <c r="C540" s="1212"/>
      <c r="D540" s="1212"/>
      <c r="E540" s="1212"/>
      <c r="F540" s="1208"/>
      <c r="G540" s="1208"/>
      <c r="H540" s="1208"/>
      <c r="I540" s="1209"/>
      <c r="J540" s="1209"/>
      <c r="K540" s="1210">
        <f t="shared" si="128"/>
        <v>1.05</v>
      </c>
      <c r="L540" s="1210">
        <f t="shared" si="132"/>
        <v>0</v>
      </c>
      <c r="M540" s="1197">
        <f t="shared" si="133"/>
        <v>0</v>
      </c>
      <c r="N540" s="1211">
        <f t="shared" si="134"/>
        <v>0</v>
      </c>
      <c r="O540" s="1212"/>
      <c r="P540" s="1200"/>
      <c r="Q540" s="1200"/>
      <c r="R540" s="1213"/>
      <c r="S540" s="1213"/>
      <c r="T540" s="1213"/>
      <c r="U540" s="1213"/>
      <c r="V540" s="1213"/>
    </row>
    <row r="541" spans="1:22" ht="15" thickTop="1" thickBot="1" x14ac:dyDescent="0.3">
      <c r="A541" s="1207"/>
      <c r="B541" s="1212"/>
      <c r="C541" s="1212"/>
      <c r="D541" s="1212"/>
      <c r="E541" s="1212"/>
      <c r="F541" s="1208"/>
      <c r="G541" s="1208"/>
      <c r="H541" s="1208"/>
      <c r="I541" s="1209"/>
      <c r="J541" s="1209"/>
      <c r="K541" s="1210">
        <f t="shared" si="128"/>
        <v>1.05</v>
      </c>
      <c r="L541" s="1210">
        <f t="shared" si="132"/>
        <v>0</v>
      </c>
      <c r="M541" s="1197">
        <f t="shared" si="133"/>
        <v>0</v>
      </c>
      <c r="N541" s="1211">
        <f t="shared" si="134"/>
        <v>0</v>
      </c>
      <c r="O541" s="1212"/>
      <c r="P541" s="1200"/>
      <c r="Q541" s="1200"/>
      <c r="R541" s="1213"/>
      <c r="S541" s="1213"/>
      <c r="T541" s="1213"/>
      <c r="U541" s="1213"/>
      <c r="V541" s="1213"/>
    </row>
    <row r="542" spans="1:22" ht="15" thickTop="1" thickBot="1" x14ac:dyDescent="0.3">
      <c r="A542" s="1207"/>
      <c r="B542" s="1212"/>
      <c r="C542" s="1212"/>
      <c r="D542" s="1212"/>
      <c r="E542" s="1212"/>
      <c r="F542" s="1208"/>
      <c r="G542" s="1208"/>
      <c r="H542" s="1208"/>
      <c r="I542" s="1209"/>
      <c r="J542" s="1209"/>
      <c r="K542" s="1210">
        <f t="shared" si="128"/>
        <v>1.05</v>
      </c>
      <c r="L542" s="1210">
        <f t="shared" si="132"/>
        <v>0</v>
      </c>
      <c r="M542" s="1197">
        <f t="shared" si="133"/>
        <v>0</v>
      </c>
      <c r="N542" s="1211">
        <f t="shared" si="134"/>
        <v>0</v>
      </c>
      <c r="O542" s="1212"/>
      <c r="P542" s="1200"/>
      <c r="Q542" s="1200"/>
      <c r="R542" s="1213"/>
      <c r="S542" s="1213"/>
      <c r="T542" s="1213"/>
      <c r="U542" s="1213"/>
      <c r="V542" s="1213"/>
    </row>
    <row r="543" spans="1:22" ht="15" thickTop="1" thickBot="1" x14ac:dyDescent="0.3">
      <c r="A543" s="1207"/>
      <c r="B543" s="1212"/>
      <c r="C543" s="1212"/>
      <c r="D543" s="1212"/>
      <c r="E543" s="1212"/>
      <c r="F543" s="1208"/>
      <c r="G543" s="1208"/>
      <c r="H543" s="1208"/>
      <c r="I543" s="1209"/>
      <c r="J543" s="1209"/>
      <c r="K543" s="1210">
        <f t="shared" si="128"/>
        <v>1.05</v>
      </c>
      <c r="L543" s="1210">
        <f t="shared" si="132"/>
        <v>0</v>
      </c>
      <c r="M543" s="1197">
        <f t="shared" si="133"/>
        <v>0</v>
      </c>
      <c r="N543" s="1211">
        <f t="shared" si="134"/>
        <v>0</v>
      </c>
      <c r="O543" s="1212"/>
      <c r="P543" s="1200"/>
      <c r="Q543" s="1200"/>
      <c r="R543" s="1213"/>
      <c r="S543" s="1213"/>
      <c r="T543" s="1213"/>
      <c r="U543" s="1213"/>
      <c r="V543" s="1213"/>
    </row>
    <row r="544" spans="1:22" ht="15" thickTop="1" thickBot="1" x14ac:dyDescent="0.3">
      <c r="A544" s="1207"/>
      <c r="B544" s="1212"/>
      <c r="C544" s="1212"/>
      <c r="D544" s="1212"/>
      <c r="E544" s="1212"/>
      <c r="F544" s="1208"/>
      <c r="G544" s="1208"/>
      <c r="H544" s="1208"/>
      <c r="I544" s="1209"/>
      <c r="J544" s="1209"/>
      <c r="K544" s="1210">
        <f t="shared" si="128"/>
        <v>1.05</v>
      </c>
      <c r="L544" s="1210">
        <f t="shared" si="132"/>
        <v>0</v>
      </c>
      <c r="M544" s="1197">
        <f t="shared" si="133"/>
        <v>0</v>
      </c>
      <c r="N544" s="1211">
        <f t="shared" si="134"/>
        <v>0</v>
      </c>
      <c r="O544" s="1212"/>
      <c r="P544" s="1200"/>
      <c r="Q544" s="1200"/>
      <c r="R544" s="1213"/>
      <c r="S544" s="1213"/>
      <c r="T544" s="1213"/>
      <c r="U544" s="1213"/>
      <c r="V544" s="1213"/>
    </row>
    <row r="545" spans="1:22" ht="15" thickTop="1" thickBot="1" x14ac:dyDescent="0.3">
      <c r="A545" s="1207"/>
      <c r="B545" s="1212"/>
      <c r="C545" s="1212"/>
      <c r="D545" s="1212"/>
      <c r="E545" s="1212"/>
      <c r="F545" s="1208"/>
      <c r="G545" s="1208"/>
      <c r="H545" s="1208"/>
      <c r="I545" s="1209"/>
      <c r="J545" s="1209"/>
      <c r="K545" s="1210">
        <f t="shared" si="128"/>
        <v>1.05</v>
      </c>
      <c r="L545" s="1210">
        <f t="shared" si="132"/>
        <v>0</v>
      </c>
      <c r="M545" s="1197">
        <f t="shared" si="133"/>
        <v>0</v>
      </c>
      <c r="N545" s="1211">
        <f t="shared" si="134"/>
        <v>0</v>
      </c>
      <c r="O545" s="1212"/>
      <c r="P545" s="1200"/>
      <c r="Q545" s="1200"/>
      <c r="R545" s="1213"/>
      <c r="S545" s="1213"/>
      <c r="T545" s="1213"/>
      <c r="U545" s="1213"/>
      <c r="V545" s="1213"/>
    </row>
    <row r="546" spans="1:22" ht="15" thickTop="1" thickBot="1" x14ac:dyDescent="0.3">
      <c r="A546" s="1207"/>
      <c r="B546" s="1212"/>
      <c r="C546" s="1212"/>
      <c r="D546" s="1212"/>
      <c r="E546" s="1212"/>
      <c r="F546" s="1208"/>
      <c r="G546" s="1208"/>
      <c r="H546" s="1208"/>
      <c r="I546" s="1209"/>
      <c r="J546" s="1209"/>
      <c r="K546" s="1210">
        <f t="shared" si="128"/>
        <v>1.05</v>
      </c>
      <c r="L546" s="1210">
        <f t="shared" si="132"/>
        <v>0</v>
      </c>
      <c r="M546" s="1197">
        <f t="shared" si="133"/>
        <v>0</v>
      </c>
      <c r="N546" s="1211">
        <f t="shared" si="134"/>
        <v>0</v>
      </c>
      <c r="O546" s="1212"/>
      <c r="P546" s="1200"/>
      <c r="Q546" s="1200"/>
      <c r="R546" s="1213"/>
      <c r="S546" s="1213"/>
      <c r="T546" s="1213"/>
      <c r="U546" s="1213"/>
      <c r="V546" s="1213"/>
    </row>
    <row r="547" spans="1:22" ht="15" thickTop="1" thickBot="1" x14ac:dyDescent="0.3">
      <c r="A547" s="1207"/>
      <c r="B547" s="1212"/>
      <c r="C547" s="1212"/>
      <c r="D547" s="1212"/>
      <c r="E547" s="1212"/>
      <c r="F547" s="1208"/>
      <c r="G547" s="1208"/>
      <c r="H547" s="1208"/>
      <c r="I547" s="1209"/>
      <c r="J547" s="1209"/>
      <c r="K547" s="1210">
        <f t="shared" si="128"/>
        <v>1.05</v>
      </c>
      <c r="L547" s="1210">
        <f t="shared" si="132"/>
        <v>0</v>
      </c>
      <c r="M547" s="1197">
        <f t="shared" si="133"/>
        <v>0</v>
      </c>
      <c r="N547" s="1211">
        <f t="shared" si="134"/>
        <v>0</v>
      </c>
      <c r="O547" s="1212"/>
      <c r="P547" s="1200"/>
      <c r="Q547" s="1200"/>
      <c r="R547" s="1213"/>
      <c r="S547" s="1213"/>
      <c r="T547" s="1213"/>
      <c r="U547" s="1213"/>
      <c r="V547" s="1213"/>
    </row>
    <row r="548" spans="1:22" ht="15" thickTop="1" thickBot="1" x14ac:dyDescent="0.3">
      <c r="A548" s="1207"/>
      <c r="B548" s="1212"/>
      <c r="C548" s="1212"/>
      <c r="D548" s="1212"/>
      <c r="E548" s="1212"/>
      <c r="F548" s="1208"/>
      <c r="G548" s="1208"/>
      <c r="H548" s="1208"/>
      <c r="I548" s="1209"/>
      <c r="J548" s="1209"/>
      <c r="K548" s="1210">
        <f t="shared" si="128"/>
        <v>1.05</v>
      </c>
      <c r="L548" s="1210">
        <f t="shared" si="132"/>
        <v>0</v>
      </c>
      <c r="M548" s="1197">
        <f t="shared" si="133"/>
        <v>0</v>
      </c>
      <c r="N548" s="1211">
        <f t="shared" si="134"/>
        <v>0</v>
      </c>
      <c r="O548" s="1212"/>
      <c r="P548" s="1200"/>
      <c r="Q548" s="1200"/>
      <c r="R548" s="1213"/>
      <c r="S548" s="1213"/>
      <c r="T548" s="1213"/>
      <c r="U548" s="1213"/>
      <c r="V548" s="1213"/>
    </row>
    <row r="549" spans="1:22" ht="15" thickTop="1" thickBot="1" x14ac:dyDescent="0.3">
      <c r="A549" s="1207"/>
      <c r="B549" s="1212"/>
      <c r="C549" s="1212"/>
      <c r="D549" s="1212"/>
      <c r="E549" s="1212"/>
      <c r="F549" s="1208"/>
      <c r="G549" s="1208"/>
      <c r="H549" s="1208"/>
      <c r="I549" s="1209"/>
      <c r="J549" s="1209"/>
      <c r="K549" s="1210">
        <f t="shared" si="128"/>
        <v>1.05</v>
      </c>
      <c r="L549" s="1210">
        <f t="shared" si="132"/>
        <v>0</v>
      </c>
      <c r="M549" s="1197">
        <f t="shared" si="133"/>
        <v>0</v>
      </c>
      <c r="N549" s="1211">
        <f t="shared" si="134"/>
        <v>0</v>
      </c>
      <c r="O549" s="1212"/>
      <c r="P549" s="1200"/>
      <c r="Q549" s="1200"/>
      <c r="R549" s="1213"/>
      <c r="S549" s="1213"/>
      <c r="T549" s="1213"/>
      <c r="U549" s="1213"/>
      <c r="V549" s="1213"/>
    </row>
    <row r="550" spans="1:22" ht="15" thickTop="1" thickBot="1" x14ac:dyDescent="0.3">
      <c r="A550" s="1207"/>
      <c r="B550" s="1212"/>
      <c r="C550" s="1212"/>
      <c r="D550" s="1212"/>
      <c r="E550" s="1212"/>
      <c r="F550" s="1208"/>
      <c r="G550" s="1208"/>
      <c r="H550" s="1208"/>
      <c r="I550" s="1209"/>
      <c r="J550" s="1209"/>
      <c r="K550" s="1210">
        <f t="shared" si="128"/>
        <v>1.05</v>
      </c>
      <c r="L550" s="1210">
        <f t="shared" si="132"/>
        <v>0</v>
      </c>
      <c r="M550" s="1197">
        <f t="shared" si="133"/>
        <v>0</v>
      </c>
      <c r="N550" s="1211">
        <f t="shared" si="134"/>
        <v>0</v>
      </c>
      <c r="O550" s="1212"/>
      <c r="P550" s="1200"/>
      <c r="Q550" s="1200"/>
      <c r="R550" s="1213"/>
      <c r="S550" s="1213"/>
      <c r="T550" s="1213"/>
      <c r="U550" s="1213"/>
      <c r="V550" s="1213"/>
    </row>
    <row r="551" spans="1:22" ht="15" thickTop="1" thickBot="1" x14ac:dyDescent="0.3">
      <c r="A551" s="1207"/>
      <c r="B551" s="1212"/>
      <c r="C551" s="1212"/>
      <c r="D551" s="1212"/>
      <c r="E551" s="1212"/>
      <c r="F551" s="1208"/>
      <c r="G551" s="1208"/>
      <c r="H551" s="1208"/>
      <c r="I551" s="1209"/>
      <c r="J551" s="1209"/>
      <c r="K551" s="1210">
        <f t="shared" si="128"/>
        <v>1.05</v>
      </c>
      <c r="L551" s="1210">
        <f t="shared" si="132"/>
        <v>0</v>
      </c>
      <c r="M551" s="1197">
        <f t="shared" si="133"/>
        <v>0</v>
      </c>
      <c r="N551" s="1211">
        <f t="shared" si="134"/>
        <v>0</v>
      </c>
      <c r="O551" s="1212"/>
      <c r="P551" s="1200"/>
      <c r="Q551" s="1200"/>
      <c r="R551" s="1213"/>
      <c r="S551" s="1213"/>
      <c r="T551" s="1213"/>
      <c r="U551" s="1213"/>
      <c r="V551" s="1213"/>
    </row>
    <row r="552" spans="1:22" ht="15" thickTop="1" thickBot="1" x14ac:dyDescent="0.3">
      <c r="A552" s="1207"/>
      <c r="B552" s="1212"/>
      <c r="C552" s="1212"/>
      <c r="D552" s="1212"/>
      <c r="E552" s="1212"/>
      <c r="F552" s="1208"/>
      <c r="G552" s="1208"/>
      <c r="H552" s="1208"/>
      <c r="I552" s="1209"/>
      <c r="J552" s="1209"/>
      <c r="K552" s="1210">
        <f t="shared" si="128"/>
        <v>1.05</v>
      </c>
      <c r="L552" s="1210">
        <f t="shared" si="132"/>
        <v>0</v>
      </c>
      <c r="M552" s="1197">
        <f t="shared" si="133"/>
        <v>0</v>
      </c>
      <c r="N552" s="1211">
        <f t="shared" si="134"/>
        <v>0</v>
      </c>
      <c r="O552" s="1212"/>
      <c r="P552" s="1200"/>
      <c r="Q552" s="1200"/>
      <c r="R552" s="1213"/>
      <c r="S552" s="1213"/>
      <c r="T552" s="1213"/>
      <c r="U552" s="1213"/>
      <c r="V552" s="1213"/>
    </row>
    <row r="553" spans="1:22" ht="15" thickTop="1" thickBot="1" x14ac:dyDescent="0.3">
      <c r="A553" s="1207"/>
      <c r="B553" s="1212"/>
      <c r="C553" s="1212"/>
      <c r="D553" s="1212"/>
      <c r="E553" s="1212"/>
      <c r="F553" s="1208"/>
      <c r="G553" s="1208"/>
      <c r="H553" s="1208"/>
      <c r="I553" s="1209"/>
      <c r="J553" s="1209"/>
      <c r="K553" s="1210">
        <f t="shared" si="128"/>
        <v>1.05</v>
      </c>
      <c r="L553" s="1210">
        <f t="shared" si="132"/>
        <v>0</v>
      </c>
      <c r="M553" s="1197">
        <f t="shared" si="133"/>
        <v>0</v>
      </c>
      <c r="N553" s="1211">
        <f t="shared" si="134"/>
        <v>0</v>
      </c>
      <c r="O553" s="1212"/>
      <c r="P553" s="1200"/>
      <c r="Q553" s="1200"/>
      <c r="R553" s="1213"/>
      <c r="S553" s="1213"/>
      <c r="T553" s="1213"/>
      <c r="U553" s="1213"/>
      <c r="V553" s="1213"/>
    </row>
    <row r="554" spans="1:22" ht="15" thickTop="1" thickBot="1" x14ac:dyDescent="0.3">
      <c r="A554" s="1207"/>
      <c r="B554" s="1212"/>
      <c r="C554" s="1212"/>
      <c r="D554" s="1212"/>
      <c r="E554" s="1212"/>
      <c r="F554" s="1208"/>
      <c r="G554" s="1208"/>
      <c r="H554" s="1208"/>
      <c r="I554" s="1209"/>
      <c r="J554" s="1209"/>
      <c r="K554" s="1210">
        <f t="shared" si="128"/>
        <v>1.05</v>
      </c>
      <c r="L554" s="1210">
        <f t="shared" si="132"/>
        <v>0</v>
      </c>
      <c r="M554" s="1197">
        <f t="shared" si="133"/>
        <v>0</v>
      </c>
      <c r="N554" s="1211">
        <f t="shared" si="134"/>
        <v>0</v>
      </c>
      <c r="O554" s="1212"/>
      <c r="P554" s="1200"/>
      <c r="Q554" s="1200"/>
      <c r="R554" s="1213"/>
      <c r="S554" s="1213"/>
      <c r="T554" s="1213"/>
      <c r="U554" s="1213"/>
      <c r="V554" s="1213"/>
    </row>
    <row r="555" spans="1:22" ht="15" thickTop="1" thickBot="1" x14ac:dyDescent="0.3">
      <c r="A555" s="1207"/>
      <c r="B555" s="1212"/>
      <c r="C555" s="1212"/>
      <c r="D555" s="1212"/>
      <c r="E555" s="1212"/>
      <c r="F555" s="1208"/>
      <c r="G555" s="1208"/>
      <c r="H555" s="1208"/>
      <c r="I555" s="1209"/>
      <c r="J555" s="1209"/>
      <c r="K555" s="1210">
        <f t="shared" si="128"/>
        <v>1.05</v>
      </c>
      <c r="L555" s="1210">
        <f t="shared" si="132"/>
        <v>0</v>
      </c>
      <c r="M555" s="1197">
        <f t="shared" si="133"/>
        <v>0</v>
      </c>
      <c r="N555" s="1211">
        <f t="shared" si="134"/>
        <v>0</v>
      </c>
      <c r="O555" s="1212"/>
      <c r="P555" s="1200"/>
      <c r="Q555" s="1200"/>
      <c r="R555" s="1213"/>
      <c r="S555" s="1213"/>
      <c r="T555" s="1213"/>
      <c r="U555" s="1213"/>
      <c r="V555" s="1213"/>
    </row>
    <row r="556" spans="1:22" ht="15" thickTop="1" thickBot="1" x14ac:dyDescent="0.3">
      <c r="A556" s="1207"/>
      <c r="B556" s="1212"/>
      <c r="C556" s="1212"/>
      <c r="D556" s="1212"/>
      <c r="E556" s="1212"/>
      <c r="F556" s="1208"/>
      <c r="G556" s="1208"/>
      <c r="H556" s="1208"/>
      <c r="I556" s="1209"/>
      <c r="J556" s="1209"/>
      <c r="K556" s="1210">
        <f t="shared" si="128"/>
        <v>1.05</v>
      </c>
      <c r="L556" s="1210">
        <f t="shared" si="132"/>
        <v>0</v>
      </c>
      <c r="M556" s="1197">
        <f t="shared" si="133"/>
        <v>0</v>
      </c>
      <c r="N556" s="1211">
        <f t="shared" si="134"/>
        <v>0</v>
      </c>
      <c r="O556" s="1212"/>
      <c r="P556" s="1200"/>
      <c r="Q556" s="1200"/>
      <c r="R556" s="1213"/>
      <c r="S556" s="1213"/>
      <c r="T556" s="1213"/>
      <c r="U556" s="1213"/>
      <c r="V556" s="1213"/>
    </row>
    <row r="557" spans="1:22" ht="15" thickTop="1" thickBot="1" x14ac:dyDescent="0.3">
      <c r="A557" s="1207"/>
      <c r="B557" s="1212"/>
      <c r="C557" s="1212"/>
      <c r="D557" s="1212"/>
      <c r="E557" s="1212"/>
      <c r="F557" s="1208"/>
      <c r="G557" s="1208"/>
      <c r="H557" s="1208"/>
      <c r="I557" s="1209"/>
      <c r="J557" s="1209"/>
      <c r="K557" s="1210">
        <f t="shared" si="128"/>
        <v>1.05</v>
      </c>
      <c r="L557" s="1210">
        <f t="shared" si="132"/>
        <v>0</v>
      </c>
      <c r="M557" s="1197">
        <f t="shared" si="133"/>
        <v>0</v>
      </c>
      <c r="N557" s="1211">
        <f t="shared" si="134"/>
        <v>0</v>
      </c>
      <c r="O557" s="1212"/>
      <c r="P557" s="1200"/>
      <c r="Q557" s="1200"/>
      <c r="R557" s="1213"/>
      <c r="S557" s="1213"/>
      <c r="T557" s="1213"/>
      <c r="U557" s="1213"/>
      <c r="V557" s="1213"/>
    </row>
    <row r="558" spans="1:22" ht="15" thickTop="1" thickBot="1" x14ac:dyDescent="0.3">
      <c r="A558" s="1207"/>
      <c r="B558" s="1212"/>
      <c r="C558" s="1212"/>
      <c r="D558" s="1212"/>
      <c r="E558" s="1212"/>
      <c r="F558" s="1208"/>
      <c r="G558" s="1208"/>
      <c r="H558" s="1208"/>
      <c r="I558" s="1209"/>
      <c r="J558" s="1209"/>
      <c r="K558" s="1210">
        <f t="shared" si="128"/>
        <v>1.05</v>
      </c>
      <c r="L558" s="1210">
        <f t="shared" si="132"/>
        <v>0</v>
      </c>
      <c r="M558" s="1197">
        <f t="shared" si="133"/>
        <v>0</v>
      </c>
      <c r="N558" s="1211">
        <f t="shared" si="134"/>
        <v>0</v>
      </c>
      <c r="O558" s="1212"/>
      <c r="P558" s="1200"/>
      <c r="Q558" s="1200"/>
      <c r="R558" s="1213"/>
      <c r="S558" s="1213"/>
      <c r="T558" s="1213"/>
      <c r="U558" s="1213"/>
      <c r="V558" s="1213"/>
    </row>
    <row r="559" spans="1:22" ht="15" thickTop="1" thickBot="1" x14ac:dyDescent="0.3">
      <c r="A559" s="1207"/>
      <c r="B559" s="1212"/>
      <c r="C559" s="1212"/>
      <c r="D559" s="1212"/>
      <c r="E559" s="1212"/>
      <c r="F559" s="1208"/>
      <c r="G559" s="1208"/>
      <c r="H559" s="1208"/>
      <c r="I559" s="1209"/>
      <c r="J559" s="1209"/>
      <c r="K559" s="1210">
        <f t="shared" si="128"/>
        <v>1.05</v>
      </c>
      <c r="L559" s="1210">
        <f t="shared" si="132"/>
        <v>0</v>
      </c>
      <c r="M559" s="1197">
        <f t="shared" si="133"/>
        <v>0</v>
      </c>
      <c r="N559" s="1211">
        <f t="shared" si="134"/>
        <v>0</v>
      </c>
      <c r="O559" s="1212"/>
      <c r="P559" s="1200"/>
      <c r="Q559" s="1200"/>
      <c r="R559" s="1213"/>
      <c r="S559" s="1213"/>
      <c r="T559" s="1213"/>
      <c r="U559" s="1213"/>
      <c r="V559" s="1213"/>
    </row>
    <row r="560" spans="1:22" ht="15" thickTop="1" thickBot="1" x14ac:dyDescent="0.3">
      <c r="A560" s="1207"/>
      <c r="B560" s="1212"/>
      <c r="C560" s="1212"/>
      <c r="D560" s="1212"/>
      <c r="E560" s="1212"/>
      <c r="F560" s="1208"/>
      <c r="G560" s="1208"/>
      <c r="H560" s="1208"/>
      <c r="I560" s="1209"/>
      <c r="J560" s="1209"/>
      <c r="K560" s="1210">
        <f t="shared" si="128"/>
        <v>1.05</v>
      </c>
      <c r="L560" s="1210">
        <f t="shared" si="132"/>
        <v>0</v>
      </c>
      <c r="M560" s="1197">
        <f t="shared" si="133"/>
        <v>0</v>
      </c>
      <c r="N560" s="1211">
        <f t="shared" si="134"/>
        <v>0</v>
      </c>
      <c r="O560" s="1212"/>
      <c r="P560" s="1200"/>
      <c r="Q560" s="1200"/>
      <c r="R560" s="1213"/>
      <c r="S560" s="1213"/>
      <c r="T560" s="1213"/>
      <c r="U560" s="1213"/>
      <c r="V560" s="1213"/>
    </row>
    <row r="561" spans="1:22" ht="15" thickTop="1" thickBot="1" x14ac:dyDescent="0.3">
      <c r="A561" s="1207"/>
      <c r="B561" s="1212"/>
      <c r="C561" s="1212"/>
      <c r="D561" s="1212"/>
      <c r="E561" s="1212"/>
      <c r="F561" s="1208"/>
      <c r="G561" s="1208"/>
      <c r="H561" s="1208"/>
      <c r="I561" s="1209"/>
      <c r="J561" s="1209"/>
      <c r="K561" s="1210">
        <f t="shared" si="128"/>
        <v>1.05</v>
      </c>
      <c r="L561" s="1210">
        <f t="shared" si="132"/>
        <v>0</v>
      </c>
      <c r="M561" s="1197">
        <f t="shared" si="133"/>
        <v>0</v>
      </c>
      <c r="N561" s="1211">
        <f t="shared" si="134"/>
        <v>0</v>
      </c>
      <c r="O561" s="1212"/>
      <c r="P561" s="1200"/>
      <c r="Q561" s="1200"/>
      <c r="R561" s="1213"/>
      <c r="S561" s="1213"/>
      <c r="T561" s="1213"/>
      <c r="U561" s="1213"/>
      <c r="V561" s="1213"/>
    </row>
    <row r="562" spans="1:22" ht="15" thickTop="1" thickBot="1" x14ac:dyDescent="0.3">
      <c r="A562" s="1207"/>
      <c r="B562" s="1212"/>
      <c r="C562" s="1212"/>
      <c r="D562" s="1212"/>
      <c r="E562" s="1212"/>
      <c r="F562" s="1208"/>
      <c r="G562" s="1208"/>
      <c r="H562" s="1208"/>
      <c r="I562" s="1209"/>
      <c r="J562" s="1209"/>
      <c r="K562" s="1210">
        <f t="shared" si="128"/>
        <v>1.05</v>
      </c>
      <c r="L562" s="1210">
        <f t="shared" si="132"/>
        <v>0</v>
      </c>
      <c r="M562" s="1197">
        <f t="shared" si="133"/>
        <v>0</v>
      </c>
      <c r="N562" s="1211">
        <f t="shared" si="134"/>
        <v>0</v>
      </c>
      <c r="O562" s="1212"/>
      <c r="P562" s="1200"/>
      <c r="Q562" s="1200"/>
      <c r="R562" s="1213"/>
      <c r="S562" s="1213"/>
      <c r="T562" s="1213"/>
      <c r="U562" s="1213"/>
      <c r="V562" s="1213"/>
    </row>
    <row r="563" spans="1:22" ht="15" thickTop="1" thickBot="1" x14ac:dyDescent="0.3">
      <c r="A563" s="1207"/>
      <c r="B563" s="1212"/>
      <c r="C563" s="1212"/>
      <c r="D563" s="1212"/>
      <c r="E563" s="1212"/>
      <c r="F563" s="1208"/>
      <c r="G563" s="1208"/>
      <c r="H563" s="1208"/>
      <c r="I563" s="1209"/>
      <c r="J563" s="1209"/>
      <c r="K563" s="1210">
        <f t="shared" si="128"/>
        <v>1.05</v>
      </c>
      <c r="L563" s="1210">
        <f t="shared" si="132"/>
        <v>0</v>
      </c>
      <c r="M563" s="1197">
        <f t="shared" si="133"/>
        <v>0</v>
      </c>
      <c r="N563" s="1211">
        <f t="shared" si="134"/>
        <v>0</v>
      </c>
      <c r="O563" s="1212"/>
      <c r="P563" s="1200"/>
      <c r="Q563" s="1200"/>
      <c r="R563" s="1213"/>
      <c r="S563" s="1213"/>
      <c r="T563" s="1213"/>
      <c r="U563" s="1213"/>
      <c r="V563" s="1213"/>
    </row>
    <row r="564" spans="1:22" ht="15" thickTop="1" thickBot="1" x14ac:dyDescent="0.3">
      <c r="A564" s="1207"/>
      <c r="B564" s="1212"/>
      <c r="C564" s="1212"/>
      <c r="D564" s="1212"/>
      <c r="E564" s="1212"/>
      <c r="F564" s="1208"/>
      <c r="G564" s="1208"/>
      <c r="H564" s="1208"/>
      <c r="I564" s="1209"/>
      <c r="J564" s="1209"/>
      <c r="K564" s="1210">
        <f t="shared" si="128"/>
        <v>1.05</v>
      </c>
      <c r="L564" s="1210">
        <f t="shared" ref="L564:L572" si="135">K564*J564</f>
        <v>0</v>
      </c>
      <c r="M564" s="1197">
        <f t="shared" ref="M564:M572" si="136">ROUND(L564,1)</f>
        <v>0</v>
      </c>
      <c r="N564" s="1211">
        <f t="shared" ref="N564:N572" si="137">ROUNDUP(M564,0)</f>
        <v>0</v>
      </c>
      <c r="O564" s="1212"/>
      <c r="P564" s="1200"/>
      <c r="Q564" s="1200"/>
      <c r="R564" s="1213"/>
      <c r="S564" s="1213"/>
      <c r="T564" s="1213"/>
      <c r="U564" s="1213"/>
      <c r="V564" s="1213"/>
    </row>
    <row r="565" spans="1:22" ht="15" thickTop="1" thickBot="1" x14ac:dyDescent="0.3">
      <c r="A565" s="1207"/>
      <c r="B565" s="1212"/>
      <c r="C565" s="1212"/>
      <c r="D565" s="1212"/>
      <c r="E565" s="1212"/>
      <c r="F565" s="1208"/>
      <c r="G565" s="1208"/>
      <c r="H565" s="1208"/>
      <c r="I565" s="1209"/>
      <c r="J565" s="1209"/>
      <c r="K565" s="1210">
        <f t="shared" si="128"/>
        <v>1.05</v>
      </c>
      <c r="L565" s="1210">
        <f t="shared" si="135"/>
        <v>0</v>
      </c>
      <c r="M565" s="1197">
        <f t="shared" si="136"/>
        <v>0</v>
      </c>
      <c r="N565" s="1211">
        <f t="shared" si="137"/>
        <v>0</v>
      </c>
      <c r="O565" s="1212"/>
      <c r="P565" s="1200"/>
      <c r="Q565" s="1200"/>
      <c r="R565" s="1213"/>
      <c r="S565" s="1213"/>
      <c r="T565" s="1213"/>
      <c r="U565" s="1213"/>
      <c r="V565" s="1213"/>
    </row>
    <row r="566" spans="1:22" ht="15" thickTop="1" thickBot="1" x14ac:dyDescent="0.3">
      <c r="A566" s="1207"/>
      <c r="B566" s="1212"/>
      <c r="C566" s="1212"/>
      <c r="D566" s="1212"/>
      <c r="E566" s="1212"/>
      <c r="F566" s="1208"/>
      <c r="G566" s="1208"/>
      <c r="H566" s="1208"/>
      <c r="I566" s="1209"/>
      <c r="J566" s="1209"/>
      <c r="K566" s="1210">
        <f t="shared" si="128"/>
        <v>1.05</v>
      </c>
      <c r="L566" s="1210">
        <f t="shared" si="135"/>
        <v>0</v>
      </c>
      <c r="M566" s="1197">
        <f t="shared" si="136"/>
        <v>0</v>
      </c>
      <c r="N566" s="1211">
        <f t="shared" si="137"/>
        <v>0</v>
      </c>
      <c r="O566" s="1212"/>
      <c r="P566" s="1200"/>
      <c r="Q566" s="1200"/>
      <c r="R566" s="1213"/>
      <c r="S566" s="1213"/>
      <c r="T566" s="1213"/>
      <c r="U566" s="1213"/>
      <c r="V566" s="1213"/>
    </row>
    <row r="567" spans="1:22" ht="15" thickTop="1" thickBot="1" x14ac:dyDescent="0.3">
      <c r="A567" s="1207"/>
      <c r="B567" s="1212"/>
      <c r="C567" s="1212"/>
      <c r="D567" s="1212"/>
      <c r="E567" s="1212"/>
      <c r="F567" s="1208"/>
      <c r="G567" s="1208"/>
      <c r="H567" s="1208"/>
      <c r="I567" s="1209"/>
      <c r="J567" s="1209"/>
      <c r="K567" s="1210">
        <f t="shared" si="128"/>
        <v>1.05</v>
      </c>
      <c r="L567" s="1210">
        <f t="shared" si="135"/>
        <v>0</v>
      </c>
      <c r="M567" s="1197">
        <f t="shared" si="136"/>
        <v>0</v>
      </c>
      <c r="N567" s="1211">
        <f t="shared" si="137"/>
        <v>0</v>
      </c>
      <c r="O567" s="1212"/>
      <c r="P567" s="1200"/>
      <c r="Q567" s="1200"/>
      <c r="R567" s="1213"/>
      <c r="S567" s="1213"/>
      <c r="T567" s="1213"/>
      <c r="U567" s="1213"/>
      <c r="V567" s="1213"/>
    </row>
    <row r="568" spans="1:22" ht="15" thickTop="1" thickBot="1" x14ac:dyDescent="0.3">
      <c r="A568" s="1207"/>
      <c r="B568" s="1212"/>
      <c r="C568" s="1212"/>
      <c r="D568" s="1212"/>
      <c r="E568" s="1212"/>
      <c r="F568" s="1208"/>
      <c r="G568" s="1208"/>
      <c r="H568" s="1208"/>
      <c r="I568" s="1209"/>
      <c r="J568" s="1209"/>
      <c r="K568" s="1210">
        <f t="shared" si="128"/>
        <v>1.05</v>
      </c>
      <c r="L568" s="1210">
        <f t="shared" si="135"/>
        <v>0</v>
      </c>
      <c r="M568" s="1197">
        <f t="shared" si="136"/>
        <v>0</v>
      </c>
      <c r="N568" s="1211">
        <f t="shared" si="137"/>
        <v>0</v>
      </c>
      <c r="O568" s="1212"/>
      <c r="P568" s="1200"/>
      <c r="Q568" s="1200"/>
      <c r="R568" s="1213"/>
      <c r="S568" s="1213"/>
      <c r="T568" s="1213"/>
      <c r="U568" s="1213"/>
      <c r="V568" s="1213"/>
    </row>
    <row r="569" spans="1:22" ht="15" thickTop="1" thickBot="1" x14ac:dyDescent="0.3">
      <c r="A569" s="1207"/>
      <c r="B569" s="1212"/>
      <c r="C569" s="1212"/>
      <c r="D569" s="1212"/>
      <c r="E569" s="1212"/>
      <c r="F569" s="1208"/>
      <c r="G569" s="1208"/>
      <c r="H569" s="1208"/>
      <c r="I569" s="1209"/>
      <c r="J569" s="1209"/>
      <c r="K569" s="1210">
        <f t="shared" si="128"/>
        <v>1.05</v>
      </c>
      <c r="L569" s="1210">
        <f t="shared" si="135"/>
        <v>0</v>
      </c>
      <c r="M569" s="1197">
        <f t="shared" si="136"/>
        <v>0</v>
      </c>
      <c r="N569" s="1211">
        <f t="shared" si="137"/>
        <v>0</v>
      </c>
      <c r="O569" s="1212"/>
      <c r="P569" s="1200"/>
      <c r="Q569" s="1200"/>
      <c r="R569" s="1213"/>
      <c r="S569" s="1213"/>
      <c r="T569" s="1213"/>
      <c r="U569" s="1213"/>
      <c r="V569" s="1213"/>
    </row>
    <row r="570" spans="1:22" ht="15" thickTop="1" thickBot="1" x14ac:dyDescent="0.3">
      <c r="A570" s="1207"/>
      <c r="B570" s="1212"/>
      <c r="C570" s="1212"/>
      <c r="D570" s="1212"/>
      <c r="E570" s="1212"/>
      <c r="F570" s="1208"/>
      <c r="G570" s="1208"/>
      <c r="H570" s="1208"/>
      <c r="I570" s="1209"/>
      <c r="J570" s="1209"/>
      <c r="K570" s="1210">
        <f t="shared" si="128"/>
        <v>1.05</v>
      </c>
      <c r="L570" s="1210">
        <f t="shared" si="135"/>
        <v>0</v>
      </c>
      <c r="M570" s="1197">
        <f t="shared" si="136"/>
        <v>0</v>
      </c>
      <c r="N570" s="1211">
        <f t="shared" si="137"/>
        <v>0</v>
      </c>
      <c r="O570" s="1212"/>
      <c r="P570" s="1200"/>
      <c r="Q570" s="1200"/>
      <c r="R570" s="1213"/>
      <c r="S570" s="1213"/>
      <c r="T570" s="1213"/>
      <c r="U570" s="1213"/>
      <c r="V570" s="1213"/>
    </row>
    <row r="571" spans="1:22" ht="15" thickTop="1" thickBot="1" x14ac:dyDescent="0.3">
      <c r="A571" s="1207"/>
      <c r="B571" s="1212"/>
      <c r="C571" s="1212"/>
      <c r="D571" s="1212"/>
      <c r="E571" s="1212"/>
      <c r="F571" s="1208"/>
      <c r="G571" s="1208"/>
      <c r="H571" s="1208"/>
      <c r="I571" s="1209"/>
      <c r="J571" s="1209"/>
      <c r="K571" s="1210">
        <f t="shared" si="128"/>
        <v>1.05</v>
      </c>
      <c r="L571" s="1210">
        <f t="shared" si="135"/>
        <v>0</v>
      </c>
      <c r="M571" s="1197">
        <f t="shared" si="136"/>
        <v>0</v>
      </c>
      <c r="N571" s="1211">
        <f t="shared" si="137"/>
        <v>0</v>
      </c>
      <c r="O571" s="1212"/>
      <c r="P571" s="1200"/>
      <c r="Q571" s="1200"/>
      <c r="R571" s="1213"/>
      <c r="S571" s="1213"/>
      <c r="T571" s="1213"/>
      <c r="U571" s="1213"/>
      <c r="V571" s="1213"/>
    </row>
    <row r="572" spans="1:22" ht="15" thickTop="1" thickBot="1" x14ac:dyDescent="0.3">
      <c r="A572" s="1207"/>
      <c r="B572" s="1212"/>
      <c r="C572" s="1212"/>
      <c r="D572" s="1212"/>
      <c r="E572" s="1212"/>
      <c r="F572" s="1208"/>
      <c r="G572" s="1208"/>
      <c r="H572" s="1208"/>
      <c r="I572" s="1209"/>
      <c r="J572" s="1209"/>
      <c r="K572" s="1210">
        <f t="shared" si="128"/>
        <v>1.05</v>
      </c>
      <c r="L572" s="1210">
        <f t="shared" si="135"/>
        <v>0</v>
      </c>
      <c r="M572" s="1197">
        <f t="shared" si="136"/>
        <v>0</v>
      </c>
      <c r="N572" s="1211">
        <f t="shared" si="137"/>
        <v>0</v>
      </c>
      <c r="O572" s="1212"/>
      <c r="P572" s="1200"/>
      <c r="Q572" s="1200"/>
      <c r="R572" s="1213"/>
      <c r="S572" s="1213"/>
      <c r="T572" s="1213"/>
      <c r="U572" s="1213"/>
      <c r="V572" s="1213"/>
    </row>
    <row r="573" spans="1:22" ht="15" thickTop="1" thickBot="1" x14ac:dyDescent="0.3">
      <c r="A573" s="1207"/>
      <c r="B573" s="1212"/>
      <c r="C573" s="1212"/>
      <c r="D573" s="1212"/>
      <c r="E573" s="1212"/>
      <c r="F573" s="1208"/>
      <c r="G573" s="1208"/>
      <c r="H573" s="1208"/>
      <c r="I573" s="1209"/>
      <c r="J573" s="1209"/>
      <c r="K573" s="1210"/>
      <c r="L573" s="1210"/>
      <c r="M573" s="1197"/>
      <c r="N573" s="1211"/>
      <c r="O573" s="1212"/>
      <c r="P573" s="1200"/>
      <c r="Q573" s="1200"/>
      <c r="R573" s="1213"/>
      <c r="S573" s="1213"/>
      <c r="T573" s="1213"/>
      <c r="U573" s="1213"/>
      <c r="V573" s="1213"/>
    </row>
    <row r="574" spans="1:22" ht="15" thickTop="1" thickBot="1" x14ac:dyDescent="0.3">
      <c r="A574" s="1207"/>
      <c r="B574" s="1212"/>
      <c r="C574" s="1212"/>
      <c r="D574" s="1212"/>
      <c r="E574" s="1212"/>
      <c r="F574" s="1208"/>
      <c r="G574" s="1208"/>
      <c r="H574" s="1208"/>
      <c r="I574" s="1209"/>
      <c r="J574" s="1209"/>
      <c r="K574" s="1210"/>
      <c r="L574" s="1210"/>
      <c r="M574" s="1197"/>
      <c r="N574" s="1211"/>
      <c r="O574" s="1212"/>
      <c r="P574" s="1200"/>
      <c r="Q574" s="1200"/>
      <c r="R574" s="1213"/>
      <c r="S574" s="1213"/>
      <c r="T574" s="1213"/>
      <c r="U574" s="1213"/>
      <c r="V574" s="1213"/>
    </row>
    <row r="575" spans="1:22" ht="15" thickTop="1" thickBot="1" x14ac:dyDescent="0.3">
      <c r="A575" s="1207"/>
      <c r="B575" s="1212"/>
      <c r="C575" s="1212"/>
      <c r="D575" s="1212"/>
      <c r="E575" s="1212"/>
      <c r="F575" s="1208"/>
      <c r="G575" s="1208"/>
      <c r="H575" s="1208"/>
      <c r="I575" s="1209"/>
      <c r="J575" s="1209"/>
      <c r="K575" s="1210"/>
      <c r="L575" s="1210"/>
      <c r="M575" s="1197"/>
      <c r="N575" s="1211"/>
      <c r="O575" s="1212"/>
      <c r="P575" s="1200"/>
      <c r="Q575" s="1200"/>
      <c r="R575" s="1213"/>
      <c r="S575" s="1213"/>
      <c r="T575" s="1213"/>
      <c r="U575" s="1213"/>
      <c r="V575" s="1213"/>
    </row>
    <row r="576" spans="1:22" ht="15" thickTop="1" thickBot="1" x14ac:dyDescent="0.3">
      <c r="A576" s="1207"/>
      <c r="B576" s="1212"/>
      <c r="C576" s="1212"/>
      <c r="D576" s="1212"/>
      <c r="E576" s="1212"/>
      <c r="F576" s="1208"/>
      <c r="G576" s="1208"/>
      <c r="H576" s="1208"/>
      <c r="I576" s="1209"/>
      <c r="J576" s="1209"/>
      <c r="K576" s="1210"/>
      <c r="L576" s="1210"/>
      <c r="M576" s="1197"/>
      <c r="N576" s="1211"/>
      <c r="O576" s="1212"/>
      <c r="P576" s="1200"/>
      <c r="Q576" s="1200"/>
      <c r="R576" s="1213"/>
      <c r="S576" s="1213"/>
      <c r="T576" s="1213"/>
      <c r="U576" s="1213"/>
      <c r="V576" s="1213"/>
    </row>
    <row r="577" spans="1:22" ht="15" thickTop="1" thickBot="1" x14ac:dyDescent="0.3">
      <c r="A577" s="1207"/>
      <c r="B577" s="1212"/>
      <c r="C577" s="1212"/>
      <c r="D577" s="1212"/>
      <c r="E577" s="1212"/>
      <c r="F577" s="1208"/>
      <c r="G577" s="1208"/>
      <c r="H577" s="1208"/>
      <c r="I577" s="1209"/>
      <c r="J577" s="1209"/>
      <c r="K577" s="1210"/>
      <c r="L577" s="1210"/>
      <c r="M577" s="1197"/>
      <c r="N577" s="1211"/>
      <c r="O577" s="1212"/>
      <c r="P577" s="1200"/>
      <c r="Q577" s="1200"/>
      <c r="R577" s="1213"/>
      <c r="S577" s="1213"/>
      <c r="T577" s="1213"/>
      <c r="U577" s="1213"/>
      <c r="V577" s="1213"/>
    </row>
    <row r="578" spans="1:22" ht="15" thickTop="1" thickBot="1" x14ac:dyDescent="0.3">
      <c r="A578" s="1207"/>
      <c r="B578" s="1212"/>
      <c r="C578" s="1212"/>
      <c r="D578" s="1212"/>
      <c r="E578" s="1212"/>
      <c r="F578" s="1208"/>
      <c r="G578" s="1208"/>
      <c r="H578" s="1208"/>
      <c r="I578" s="1209"/>
      <c r="J578" s="1209"/>
      <c r="K578" s="1210"/>
      <c r="L578" s="1210"/>
      <c r="M578" s="1197"/>
      <c r="N578" s="1211"/>
      <c r="O578" s="1212"/>
      <c r="P578" s="1200"/>
      <c r="Q578" s="1200"/>
      <c r="R578" s="1213"/>
      <c r="S578" s="1213"/>
      <c r="T578" s="1213"/>
      <c r="U578" s="1213"/>
      <c r="V578" s="1213"/>
    </row>
    <row r="579" spans="1:22" ht="15" thickTop="1" thickBot="1" x14ac:dyDescent="0.3">
      <c r="A579" s="1207"/>
      <c r="B579" s="1212"/>
      <c r="C579" s="1212"/>
      <c r="D579" s="1212"/>
      <c r="E579" s="1212"/>
      <c r="F579" s="1208"/>
      <c r="G579" s="1208"/>
      <c r="H579" s="1208"/>
      <c r="I579" s="1209"/>
      <c r="J579" s="1209"/>
      <c r="K579" s="1210"/>
      <c r="L579" s="1210"/>
      <c r="M579" s="1197"/>
      <c r="N579" s="1211"/>
      <c r="O579" s="1212"/>
      <c r="P579" s="1200"/>
      <c r="Q579" s="1200"/>
      <c r="R579" s="1213"/>
      <c r="S579" s="1213"/>
      <c r="T579" s="1213"/>
      <c r="U579" s="1213"/>
      <c r="V579" s="1213"/>
    </row>
    <row r="580" spans="1:22" ht="15" thickTop="1" thickBot="1" x14ac:dyDescent="0.3">
      <c r="A580" s="1207"/>
      <c r="B580" s="1212"/>
      <c r="C580" s="1212"/>
      <c r="D580" s="1212"/>
      <c r="E580" s="1212"/>
      <c r="F580" s="1208"/>
      <c r="G580" s="1208"/>
      <c r="H580" s="1208"/>
      <c r="I580" s="1209"/>
      <c r="J580" s="1209"/>
      <c r="K580" s="1210"/>
      <c r="L580" s="1210"/>
      <c r="M580" s="1197"/>
      <c r="N580" s="1211"/>
      <c r="O580" s="1212"/>
      <c r="P580" s="1200"/>
      <c r="Q580" s="1200"/>
      <c r="R580" s="1213"/>
      <c r="S580" s="1213"/>
      <c r="T580" s="1213"/>
      <c r="U580" s="1213"/>
      <c r="V580" s="1213"/>
    </row>
    <row r="581" spans="1:22" ht="15" thickTop="1" thickBot="1" x14ac:dyDescent="0.3">
      <c r="A581" s="1207"/>
      <c r="B581" s="1212"/>
      <c r="C581" s="1212"/>
      <c r="D581" s="1212"/>
      <c r="E581" s="1212"/>
      <c r="F581" s="1208"/>
      <c r="G581" s="1208"/>
      <c r="H581" s="1208"/>
      <c r="I581" s="1209"/>
      <c r="J581" s="1209"/>
      <c r="K581" s="1210"/>
      <c r="L581" s="1210"/>
      <c r="M581" s="1197"/>
      <c r="N581" s="1211"/>
      <c r="O581" s="1212"/>
      <c r="P581" s="1200"/>
      <c r="Q581" s="1200"/>
      <c r="R581" s="1213"/>
      <c r="S581" s="1213"/>
      <c r="T581" s="1213"/>
      <c r="U581" s="1213"/>
      <c r="V581" s="1213"/>
    </row>
    <row r="582" spans="1:22" ht="15" thickTop="1" thickBot="1" x14ac:dyDescent="0.3">
      <c r="A582" s="1207"/>
      <c r="B582" s="1212"/>
      <c r="C582" s="1212"/>
      <c r="D582" s="1212"/>
      <c r="E582" s="1212"/>
      <c r="F582" s="1208"/>
      <c r="G582" s="1208"/>
      <c r="H582" s="1208"/>
      <c r="I582" s="1209"/>
      <c r="J582" s="1209"/>
      <c r="K582" s="1210"/>
      <c r="L582" s="1210"/>
      <c r="M582" s="1197"/>
      <c r="N582" s="1211"/>
      <c r="O582" s="1212"/>
      <c r="P582" s="1200"/>
      <c r="Q582" s="1200"/>
      <c r="R582" s="1213"/>
      <c r="S582" s="1213"/>
      <c r="T582" s="1213"/>
      <c r="U582" s="1213"/>
      <c r="V582" s="1213"/>
    </row>
    <row r="583" spans="1:22" ht="15" thickTop="1" thickBot="1" x14ac:dyDescent="0.3">
      <c r="A583" s="1207"/>
      <c r="B583" s="1212"/>
      <c r="C583" s="1212"/>
      <c r="D583" s="1212"/>
      <c r="E583" s="1212"/>
      <c r="F583" s="1208"/>
      <c r="G583" s="1208"/>
      <c r="H583" s="1208"/>
      <c r="I583" s="1209"/>
      <c r="J583" s="1209"/>
      <c r="K583" s="1210"/>
      <c r="L583" s="1210"/>
      <c r="M583" s="1197"/>
      <c r="N583" s="1211"/>
      <c r="O583" s="1212"/>
      <c r="P583" s="1200"/>
      <c r="Q583" s="1200"/>
      <c r="R583" s="1213"/>
      <c r="S583" s="1213"/>
      <c r="T583" s="1213"/>
      <c r="U583" s="1213"/>
      <c r="V583" s="1213"/>
    </row>
    <row r="584" spans="1:22" ht="15" thickTop="1" thickBot="1" x14ac:dyDescent="0.3">
      <c r="A584" s="1207"/>
      <c r="B584" s="1212"/>
      <c r="C584" s="1212"/>
      <c r="D584" s="1212"/>
      <c r="E584" s="1212"/>
      <c r="F584" s="1208"/>
      <c r="G584" s="1208"/>
      <c r="H584" s="1208"/>
      <c r="I584" s="1209"/>
      <c r="J584" s="1209"/>
      <c r="K584" s="1210"/>
      <c r="L584" s="1210"/>
      <c r="M584" s="1197"/>
      <c r="N584" s="1211"/>
      <c r="O584" s="1212"/>
      <c r="P584" s="1200"/>
      <c r="Q584" s="1200"/>
      <c r="R584" s="1213"/>
      <c r="S584" s="1213"/>
      <c r="T584" s="1213"/>
      <c r="U584" s="1213"/>
      <c r="V584" s="1213"/>
    </row>
    <row r="585" spans="1:22" ht="15" thickTop="1" thickBot="1" x14ac:dyDescent="0.3">
      <c r="A585" s="1207"/>
      <c r="B585" s="1212"/>
      <c r="C585" s="1212"/>
      <c r="D585" s="1212"/>
      <c r="E585" s="1212"/>
      <c r="F585" s="1208"/>
      <c r="G585" s="1208"/>
      <c r="H585" s="1208"/>
      <c r="I585" s="1209"/>
      <c r="J585" s="1209"/>
      <c r="K585" s="1210"/>
      <c r="L585" s="1210"/>
      <c r="M585" s="1197"/>
      <c r="N585" s="1211"/>
      <c r="O585" s="1212"/>
      <c r="P585" s="1200"/>
      <c r="Q585" s="1200"/>
      <c r="R585" s="1213"/>
      <c r="S585" s="1213"/>
      <c r="T585" s="1213"/>
      <c r="U585" s="1213"/>
      <c r="V585" s="1213"/>
    </row>
    <row r="586" spans="1:22" ht="15" thickTop="1" thickBot="1" x14ac:dyDescent="0.3">
      <c r="A586" s="1207"/>
      <c r="B586" s="1212"/>
      <c r="C586" s="1212"/>
      <c r="D586" s="1212"/>
      <c r="E586" s="1212"/>
      <c r="F586" s="1208"/>
      <c r="G586" s="1208"/>
      <c r="H586" s="1208"/>
      <c r="I586" s="1209"/>
      <c r="J586" s="1209"/>
      <c r="K586" s="1210"/>
      <c r="L586" s="1210"/>
      <c r="M586" s="1197"/>
      <c r="N586" s="1211"/>
      <c r="O586" s="1212"/>
      <c r="P586" s="1200"/>
      <c r="Q586" s="1200"/>
      <c r="R586" s="1213"/>
      <c r="S586" s="1213"/>
      <c r="T586" s="1213"/>
      <c r="U586" s="1213"/>
      <c r="V586" s="1213"/>
    </row>
    <row r="587" spans="1:22" ht="15" thickTop="1" thickBot="1" x14ac:dyDescent="0.3">
      <c r="A587" s="1207"/>
      <c r="B587" s="1212"/>
      <c r="C587" s="1212"/>
      <c r="D587" s="1212"/>
      <c r="E587" s="1212"/>
      <c r="F587" s="1208"/>
      <c r="G587" s="1208"/>
      <c r="H587" s="1208"/>
      <c r="I587" s="1209"/>
      <c r="J587" s="1209"/>
      <c r="K587" s="1210"/>
      <c r="L587" s="1210"/>
      <c r="M587" s="1197"/>
      <c r="N587" s="1211"/>
      <c r="O587" s="1212"/>
      <c r="P587" s="1200"/>
      <c r="Q587" s="1200"/>
      <c r="R587" s="1213"/>
      <c r="S587" s="1213"/>
      <c r="T587" s="1213"/>
      <c r="U587" s="1213"/>
      <c r="V587" s="1213"/>
    </row>
    <row r="588" spans="1:22" ht="15" thickTop="1" thickBot="1" x14ac:dyDescent="0.3">
      <c r="A588" s="1207"/>
      <c r="B588" s="1212"/>
      <c r="C588" s="1212"/>
      <c r="D588" s="1212"/>
      <c r="E588" s="1212"/>
      <c r="F588" s="1208"/>
      <c r="G588" s="1208"/>
      <c r="H588" s="1208"/>
      <c r="I588" s="1209"/>
      <c r="J588" s="1209"/>
      <c r="K588" s="1210"/>
      <c r="L588" s="1210"/>
      <c r="M588" s="1197"/>
      <c r="N588" s="1211"/>
      <c r="O588" s="1212"/>
      <c r="P588" s="1200"/>
      <c r="Q588" s="1200"/>
      <c r="R588" s="1213"/>
      <c r="S588" s="1213"/>
      <c r="T588" s="1213"/>
      <c r="U588" s="1213"/>
      <c r="V588" s="1213"/>
    </row>
    <row r="589" spans="1:22" ht="15" thickTop="1" thickBot="1" x14ac:dyDescent="0.3">
      <c r="A589" s="1207"/>
      <c r="B589" s="1212"/>
      <c r="C589" s="1212"/>
      <c r="D589" s="1212"/>
      <c r="E589" s="1212"/>
      <c r="F589" s="1208"/>
      <c r="G589" s="1208"/>
      <c r="H589" s="1208"/>
      <c r="I589" s="1209"/>
      <c r="J589" s="1209"/>
      <c r="K589" s="1210"/>
      <c r="L589" s="1210"/>
      <c r="M589" s="1197"/>
      <c r="N589" s="1211"/>
      <c r="O589" s="1212"/>
      <c r="P589" s="1200"/>
      <c r="Q589" s="1200"/>
      <c r="R589" s="1213"/>
      <c r="S589" s="1213"/>
      <c r="T589" s="1213"/>
      <c r="U589" s="1213"/>
      <c r="V589" s="1213"/>
    </row>
    <row r="590" spans="1:22" ht="15" thickTop="1" thickBot="1" x14ac:dyDescent="0.3">
      <c r="A590" s="1207"/>
      <c r="B590" s="1212"/>
      <c r="C590" s="1212"/>
      <c r="D590" s="1212"/>
      <c r="E590" s="1212"/>
      <c r="F590" s="1208"/>
      <c r="G590" s="1208"/>
      <c r="H590" s="1208"/>
      <c r="I590" s="1209"/>
      <c r="J590" s="1209"/>
      <c r="K590" s="1210"/>
      <c r="L590" s="1210"/>
      <c r="M590" s="1197"/>
      <c r="N590" s="1211"/>
      <c r="O590" s="1212"/>
      <c r="P590" s="1200"/>
      <c r="Q590" s="1200"/>
      <c r="R590" s="1213"/>
      <c r="S590" s="1213"/>
      <c r="T590" s="1213"/>
      <c r="U590" s="1213"/>
      <c r="V590" s="1213"/>
    </row>
    <row r="591" spans="1:22" ht="15" thickTop="1" thickBot="1" x14ac:dyDescent="0.3">
      <c r="A591" s="1207"/>
      <c r="B591" s="1212"/>
      <c r="C591" s="1212"/>
      <c r="D591" s="1212"/>
      <c r="E591" s="1212"/>
      <c r="F591" s="1208"/>
      <c r="G591" s="1208"/>
      <c r="H591" s="1208"/>
      <c r="I591" s="1209"/>
      <c r="J591" s="1209"/>
      <c r="K591" s="1210"/>
      <c r="L591" s="1210"/>
      <c r="M591" s="1197"/>
      <c r="N591" s="1211"/>
      <c r="O591" s="1212"/>
      <c r="P591" s="1200"/>
      <c r="Q591" s="1200"/>
      <c r="R591" s="1213"/>
      <c r="S591" s="1213"/>
      <c r="T591" s="1213"/>
      <c r="U591" s="1213"/>
      <c r="V591" s="1213"/>
    </row>
    <row r="592" spans="1:22" ht="15" thickTop="1" thickBot="1" x14ac:dyDescent="0.3">
      <c r="A592" s="1207"/>
      <c r="B592" s="1212"/>
      <c r="C592" s="1212"/>
      <c r="D592" s="1212"/>
      <c r="E592" s="1212"/>
      <c r="F592" s="1208"/>
      <c r="G592" s="1208"/>
      <c r="H592" s="1208"/>
      <c r="I592" s="1209"/>
      <c r="J592" s="1209"/>
      <c r="K592" s="1210"/>
      <c r="L592" s="1210"/>
      <c r="M592" s="1197"/>
      <c r="N592" s="1211"/>
      <c r="O592" s="1212"/>
      <c r="P592" s="1200"/>
      <c r="Q592" s="1200"/>
      <c r="R592" s="1213"/>
      <c r="S592" s="1213"/>
      <c r="T592" s="1213"/>
      <c r="U592" s="1213"/>
      <c r="V592" s="1213"/>
    </row>
    <row r="593" spans="1:22" ht="15" thickTop="1" thickBot="1" x14ac:dyDescent="0.3">
      <c r="A593" s="1207"/>
      <c r="B593" s="1212" t="s">
        <v>2430</v>
      </c>
      <c r="C593" s="1212"/>
      <c r="D593" s="1212"/>
      <c r="E593" s="1212"/>
      <c r="F593" s="1208"/>
      <c r="G593" s="1208"/>
      <c r="H593" s="1208"/>
      <c r="I593" s="1209"/>
      <c r="J593" s="1209"/>
      <c r="K593" s="1210">
        <f t="shared" si="128"/>
        <v>1.05</v>
      </c>
      <c r="L593" s="1210">
        <f t="shared" si="129"/>
        <v>0</v>
      </c>
      <c r="M593" s="1197">
        <f t="shared" si="130"/>
        <v>0</v>
      </c>
      <c r="N593" s="1211">
        <f t="shared" si="131"/>
        <v>0</v>
      </c>
      <c r="O593" s="1212"/>
      <c r="P593" s="1200"/>
      <c r="Q593" s="1200"/>
      <c r="R593" s="1213"/>
      <c r="S593" s="1213"/>
      <c r="T593" s="1213"/>
      <c r="U593" s="1213"/>
      <c r="V593" s="1213"/>
    </row>
    <row r="594" spans="1:22" ht="15" thickTop="1" thickBot="1" x14ac:dyDescent="0.3">
      <c r="A594" s="1207"/>
      <c r="B594" s="1212" t="s">
        <v>1627</v>
      </c>
      <c r="C594" s="1212"/>
      <c r="D594" s="1212"/>
      <c r="E594" s="1212">
        <v>2</v>
      </c>
      <c r="F594" s="1208">
        <f t="shared" ref="F594:F609" si="138">F441+F441+G441+G441</f>
        <v>0</v>
      </c>
      <c r="G594" s="1208"/>
      <c r="H594" s="1208">
        <v>3</v>
      </c>
      <c r="I594" s="1209">
        <f>H594*F594*E594</f>
        <v>0</v>
      </c>
      <c r="J594" s="1209"/>
      <c r="K594" s="1210">
        <f t="shared" si="128"/>
        <v>1.05</v>
      </c>
      <c r="L594" s="1210">
        <f t="shared" si="129"/>
        <v>0</v>
      </c>
      <c r="M594" s="1197">
        <f t="shared" si="130"/>
        <v>0</v>
      </c>
      <c r="N594" s="1211">
        <f t="shared" si="131"/>
        <v>0</v>
      </c>
      <c r="O594" s="1212"/>
      <c r="P594" s="1200"/>
      <c r="Q594" s="1200"/>
      <c r="R594" s="1213"/>
      <c r="S594" s="1213"/>
      <c r="T594" s="1213"/>
      <c r="U594" s="1213"/>
      <c r="V594" s="1213"/>
    </row>
    <row r="595" spans="1:22" ht="15" thickTop="1" thickBot="1" x14ac:dyDescent="0.3">
      <c r="A595" s="1207"/>
      <c r="B595" s="1212" t="s">
        <v>3202</v>
      </c>
      <c r="C595" s="1212"/>
      <c r="D595" s="1212"/>
      <c r="E595" s="1212">
        <v>1</v>
      </c>
      <c r="F595" s="1208">
        <f t="shared" si="138"/>
        <v>0</v>
      </c>
      <c r="G595" s="1208"/>
      <c r="H595" s="1208">
        <v>3</v>
      </c>
      <c r="I595" s="1209">
        <f t="shared" ref="I595:I609" si="139">H595*F595*E595</f>
        <v>0</v>
      </c>
      <c r="J595" s="1209"/>
      <c r="K595" s="1210">
        <f t="shared" si="128"/>
        <v>1.05</v>
      </c>
      <c r="L595" s="1210">
        <f t="shared" si="129"/>
        <v>0</v>
      </c>
      <c r="M595" s="1197">
        <f t="shared" si="130"/>
        <v>0</v>
      </c>
      <c r="N595" s="1211">
        <f t="shared" si="131"/>
        <v>0</v>
      </c>
      <c r="O595" s="1212"/>
      <c r="P595" s="1200"/>
      <c r="Q595" s="1200"/>
      <c r="R595" s="1213"/>
      <c r="S595" s="1213"/>
      <c r="T595" s="1213"/>
      <c r="U595" s="1213"/>
      <c r="V595" s="1213"/>
    </row>
    <row r="596" spans="1:22" ht="15" thickTop="1" thickBot="1" x14ac:dyDescent="0.3">
      <c r="A596" s="1207"/>
      <c r="B596" s="1212" t="s">
        <v>1628</v>
      </c>
      <c r="C596" s="1212"/>
      <c r="D596" s="1212"/>
      <c r="E596" s="1212">
        <v>1</v>
      </c>
      <c r="F596" s="1208">
        <f t="shared" si="138"/>
        <v>0</v>
      </c>
      <c r="G596" s="1208"/>
      <c r="H596" s="1208">
        <v>3</v>
      </c>
      <c r="I596" s="1209">
        <f t="shared" si="139"/>
        <v>0</v>
      </c>
      <c r="J596" s="1209"/>
      <c r="K596" s="1210">
        <f t="shared" si="128"/>
        <v>1.05</v>
      </c>
      <c r="L596" s="1210">
        <f t="shared" si="129"/>
        <v>0</v>
      </c>
      <c r="M596" s="1197">
        <f t="shared" si="130"/>
        <v>0</v>
      </c>
      <c r="N596" s="1211">
        <f t="shared" si="131"/>
        <v>0</v>
      </c>
      <c r="O596" s="1212"/>
      <c r="P596" s="1200"/>
      <c r="Q596" s="1200"/>
      <c r="R596" s="1213"/>
      <c r="S596" s="1213"/>
      <c r="T596" s="1213"/>
      <c r="U596" s="1213"/>
      <c r="V596" s="1213"/>
    </row>
    <row r="597" spans="1:22" ht="15" thickTop="1" thickBot="1" x14ac:dyDescent="0.3">
      <c r="A597" s="1207"/>
      <c r="B597" s="1212" t="s">
        <v>2137</v>
      </c>
      <c r="C597" s="1212"/>
      <c r="D597" s="1212"/>
      <c r="E597" s="1212">
        <v>1</v>
      </c>
      <c r="F597" s="1208">
        <f t="shared" si="138"/>
        <v>0</v>
      </c>
      <c r="G597" s="1208"/>
      <c r="H597" s="1208">
        <v>3</v>
      </c>
      <c r="I597" s="1209">
        <f t="shared" si="139"/>
        <v>0</v>
      </c>
      <c r="J597" s="1209"/>
      <c r="K597" s="1210">
        <f t="shared" si="128"/>
        <v>1.05</v>
      </c>
      <c r="L597" s="1210">
        <f t="shared" si="129"/>
        <v>0</v>
      </c>
      <c r="M597" s="1197">
        <f t="shared" si="130"/>
        <v>0</v>
      </c>
      <c r="N597" s="1211">
        <f t="shared" si="131"/>
        <v>0</v>
      </c>
      <c r="O597" s="1212"/>
      <c r="P597" s="1200"/>
      <c r="Q597" s="1200"/>
      <c r="R597" s="1213"/>
      <c r="S597" s="1213"/>
      <c r="T597" s="1213"/>
      <c r="U597" s="1213"/>
      <c r="V597" s="1213"/>
    </row>
    <row r="598" spans="1:22" ht="15" thickTop="1" thickBot="1" x14ac:dyDescent="0.3">
      <c r="A598" s="1207"/>
      <c r="B598" s="1212" t="s">
        <v>2138</v>
      </c>
      <c r="C598" s="1212"/>
      <c r="D598" s="1212"/>
      <c r="E598" s="1212">
        <v>2</v>
      </c>
      <c r="F598" s="1208">
        <f t="shared" si="138"/>
        <v>0</v>
      </c>
      <c r="G598" s="1208"/>
      <c r="H598" s="1208">
        <v>3</v>
      </c>
      <c r="I598" s="1209">
        <f t="shared" si="139"/>
        <v>0</v>
      </c>
      <c r="J598" s="1209"/>
      <c r="K598" s="1210">
        <f t="shared" si="128"/>
        <v>1.05</v>
      </c>
      <c r="L598" s="1210">
        <f t="shared" si="129"/>
        <v>0</v>
      </c>
      <c r="M598" s="1197">
        <f t="shared" si="130"/>
        <v>0</v>
      </c>
      <c r="N598" s="1211">
        <f t="shared" si="131"/>
        <v>0</v>
      </c>
      <c r="O598" s="1212"/>
      <c r="P598" s="1200"/>
      <c r="Q598" s="1200"/>
      <c r="R598" s="1213"/>
      <c r="S598" s="1213"/>
      <c r="T598" s="1213"/>
      <c r="U598" s="1213"/>
      <c r="V598" s="1213"/>
    </row>
    <row r="599" spans="1:22" ht="15" thickTop="1" thickBot="1" x14ac:dyDescent="0.3">
      <c r="A599" s="1207"/>
      <c r="B599" s="1212" t="s">
        <v>2139</v>
      </c>
      <c r="C599" s="1212"/>
      <c r="D599" s="1212"/>
      <c r="E599" s="1212">
        <v>1</v>
      </c>
      <c r="F599" s="1208">
        <f t="shared" si="138"/>
        <v>0</v>
      </c>
      <c r="G599" s="1208"/>
      <c r="H599" s="1208">
        <v>3</v>
      </c>
      <c r="I599" s="1209">
        <f t="shared" si="139"/>
        <v>0</v>
      </c>
      <c r="J599" s="1209"/>
      <c r="K599" s="1210">
        <f t="shared" si="128"/>
        <v>1.05</v>
      </c>
      <c r="L599" s="1210">
        <f t="shared" si="129"/>
        <v>0</v>
      </c>
      <c r="M599" s="1197">
        <f t="shared" si="130"/>
        <v>0</v>
      </c>
      <c r="N599" s="1211">
        <f t="shared" si="131"/>
        <v>0</v>
      </c>
      <c r="O599" s="1212"/>
      <c r="P599" s="1200"/>
      <c r="Q599" s="1200"/>
      <c r="R599" s="1213"/>
      <c r="S599" s="1213"/>
      <c r="T599" s="1213"/>
      <c r="U599" s="1213"/>
      <c r="V599" s="1213"/>
    </row>
    <row r="600" spans="1:22" ht="15" thickTop="1" thickBot="1" x14ac:dyDescent="0.3">
      <c r="A600" s="1207"/>
      <c r="B600" s="1212" t="s">
        <v>2140</v>
      </c>
      <c r="C600" s="1212"/>
      <c r="D600" s="1212"/>
      <c r="E600" s="1212">
        <v>1</v>
      </c>
      <c r="F600" s="1208">
        <f t="shared" si="138"/>
        <v>0</v>
      </c>
      <c r="G600" s="1208"/>
      <c r="H600" s="1208">
        <v>3</v>
      </c>
      <c r="I600" s="1209">
        <f t="shared" si="139"/>
        <v>0</v>
      </c>
      <c r="J600" s="1209"/>
      <c r="K600" s="1210">
        <f t="shared" si="128"/>
        <v>1.05</v>
      </c>
      <c r="L600" s="1210">
        <f t="shared" si="129"/>
        <v>0</v>
      </c>
      <c r="M600" s="1197">
        <f t="shared" si="130"/>
        <v>0</v>
      </c>
      <c r="N600" s="1211">
        <f t="shared" si="131"/>
        <v>0</v>
      </c>
      <c r="O600" s="1212"/>
      <c r="P600" s="1200"/>
      <c r="Q600" s="1200"/>
      <c r="R600" s="1213"/>
      <c r="S600" s="1213"/>
      <c r="T600" s="1213"/>
      <c r="U600" s="1213"/>
      <c r="V600" s="1213"/>
    </row>
    <row r="601" spans="1:22" ht="15" thickTop="1" thickBot="1" x14ac:dyDescent="0.3">
      <c r="A601" s="1207"/>
      <c r="B601" s="1212" t="s">
        <v>2141</v>
      </c>
      <c r="C601" s="1212"/>
      <c r="D601" s="1212"/>
      <c r="E601" s="1212">
        <v>1</v>
      </c>
      <c r="F601" s="1208">
        <f t="shared" si="138"/>
        <v>0</v>
      </c>
      <c r="G601" s="1208"/>
      <c r="H601" s="1208">
        <v>3</v>
      </c>
      <c r="I601" s="1209">
        <f t="shared" si="139"/>
        <v>0</v>
      </c>
      <c r="J601" s="1209"/>
      <c r="K601" s="1210">
        <f t="shared" si="128"/>
        <v>1.05</v>
      </c>
      <c r="L601" s="1210">
        <f t="shared" si="129"/>
        <v>0</v>
      </c>
      <c r="M601" s="1197">
        <f t="shared" si="130"/>
        <v>0</v>
      </c>
      <c r="N601" s="1211">
        <f t="shared" si="131"/>
        <v>0</v>
      </c>
      <c r="O601" s="1212"/>
      <c r="P601" s="1200"/>
      <c r="Q601" s="1200"/>
      <c r="R601" s="1213"/>
      <c r="S601" s="1213"/>
      <c r="T601" s="1213"/>
      <c r="U601" s="1213"/>
      <c r="V601" s="1213"/>
    </row>
    <row r="602" spans="1:22" ht="15" thickTop="1" thickBot="1" x14ac:dyDescent="0.3">
      <c r="A602" s="1207"/>
      <c r="B602" s="1212" t="s">
        <v>2142</v>
      </c>
      <c r="C602" s="1212"/>
      <c r="D602" s="1212"/>
      <c r="E602" s="1212">
        <v>2</v>
      </c>
      <c r="F602" s="1208">
        <f t="shared" si="138"/>
        <v>0</v>
      </c>
      <c r="G602" s="1208"/>
      <c r="H602" s="1208">
        <v>3</v>
      </c>
      <c r="I602" s="1209">
        <f t="shared" si="139"/>
        <v>0</v>
      </c>
      <c r="J602" s="1209"/>
      <c r="K602" s="1210">
        <f t="shared" si="128"/>
        <v>1.05</v>
      </c>
      <c r="L602" s="1210">
        <f t="shared" si="129"/>
        <v>0</v>
      </c>
      <c r="M602" s="1197">
        <f t="shared" si="130"/>
        <v>0</v>
      </c>
      <c r="N602" s="1211">
        <f t="shared" si="131"/>
        <v>0</v>
      </c>
      <c r="O602" s="1212"/>
      <c r="P602" s="1200"/>
      <c r="Q602" s="1200"/>
      <c r="R602" s="1213"/>
      <c r="S602" s="1213"/>
      <c r="T602" s="1213"/>
      <c r="U602" s="1213"/>
      <c r="V602" s="1213"/>
    </row>
    <row r="603" spans="1:22" ht="15" thickTop="1" thickBot="1" x14ac:dyDescent="0.3">
      <c r="A603" s="1207"/>
      <c r="B603" s="1212" t="s">
        <v>2143</v>
      </c>
      <c r="C603" s="1212"/>
      <c r="D603" s="1212"/>
      <c r="E603" s="1212">
        <v>3</v>
      </c>
      <c r="F603" s="1208">
        <f t="shared" si="138"/>
        <v>0</v>
      </c>
      <c r="G603" s="1208"/>
      <c r="H603" s="1208">
        <v>3</v>
      </c>
      <c r="I603" s="1209">
        <f t="shared" si="139"/>
        <v>0</v>
      </c>
      <c r="J603" s="1209"/>
      <c r="K603" s="1210">
        <f t="shared" si="128"/>
        <v>1.05</v>
      </c>
      <c r="L603" s="1210">
        <f t="shared" si="129"/>
        <v>0</v>
      </c>
      <c r="M603" s="1197">
        <f t="shared" si="130"/>
        <v>0</v>
      </c>
      <c r="N603" s="1211">
        <f t="shared" si="131"/>
        <v>0</v>
      </c>
      <c r="O603" s="1212"/>
      <c r="P603" s="1200"/>
      <c r="Q603" s="1200"/>
      <c r="R603" s="1213"/>
      <c r="S603" s="1213"/>
      <c r="T603" s="1213"/>
      <c r="U603" s="1213"/>
      <c r="V603" s="1213"/>
    </row>
    <row r="604" spans="1:22" ht="15" thickTop="1" thickBot="1" x14ac:dyDescent="0.3">
      <c r="A604" s="1207"/>
      <c r="B604" s="1212" t="s">
        <v>3203</v>
      </c>
      <c r="C604" s="1212"/>
      <c r="D604" s="1212"/>
      <c r="E604" s="1212">
        <v>1</v>
      </c>
      <c r="F604" s="1208">
        <f t="shared" si="138"/>
        <v>0</v>
      </c>
      <c r="G604" s="1208"/>
      <c r="H604" s="1208">
        <v>3</v>
      </c>
      <c r="I604" s="1209">
        <f t="shared" si="139"/>
        <v>0</v>
      </c>
      <c r="J604" s="1209"/>
      <c r="K604" s="1210">
        <f t="shared" si="128"/>
        <v>1.05</v>
      </c>
      <c r="L604" s="1210">
        <f t="shared" si="129"/>
        <v>0</v>
      </c>
      <c r="M604" s="1197">
        <f t="shared" si="130"/>
        <v>0</v>
      </c>
      <c r="N604" s="1211">
        <f t="shared" si="131"/>
        <v>0</v>
      </c>
      <c r="O604" s="1212"/>
      <c r="P604" s="1200"/>
      <c r="Q604" s="1200"/>
      <c r="R604" s="1213"/>
      <c r="S604" s="1213"/>
      <c r="T604" s="1213"/>
      <c r="U604" s="1213"/>
      <c r="V604" s="1213"/>
    </row>
    <row r="605" spans="1:22" ht="15" thickTop="1" thickBot="1" x14ac:dyDescent="0.3">
      <c r="A605" s="1207"/>
      <c r="B605" s="1212" t="s">
        <v>2144</v>
      </c>
      <c r="C605" s="1212"/>
      <c r="D605" s="1212"/>
      <c r="E605" s="1212">
        <v>3</v>
      </c>
      <c r="F605" s="1208">
        <f t="shared" si="138"/>
        <v>0</v>
      </c>
      <c r="G605" s="1208"/>
      <c r="H605" s="1208">
        <v>3</v>
      </c>
      <c r="I605" s="1209">
        <f t="shared" si="139"/>
        <v>0</v>
      </c>
      <c r="J605" s="1209"/>
      <c r="K605" s="1210">
        <f t="shared" si="128"/>
        <v>1.05</v>
      </c>
      <c r="L605" s="1210">
        <f t="shared" si="129"/>
        <v>0</v>
      </c>
      <c r="M605" s="1197">
        <f t="shared" si="130"/>
        <v>0</v>
      </c>
      <c r="N605" s="1211">
        <f t="shared" si="131"/>
        <v>0</v>
      </c>
      <c r="O605" s="1212"/>
      <c r="P605" s="1200"/>
      <c r="Q605" s="1200"/>
      <c r="R605" s="1213"/>
      <c r="S605" s="1213"/>
      <c r="T605" s="1213"/>
      <c r="U605" s="1213"/>
      <c r="V605" s="1213"/>
    </row>
    <row r="606" spans="1:22" ht="15" thickTop="1" thickBot="1" x14ac:dyDescent="0.3">
      <c r="A606" s="1207"/>
      <c r="B606" s="1212" t="s">
        <v>2145</v>
      </c>
      <c r="C606" s="1212"/>
      <c r="D606" s="1212"/>
      <c r="E606" s="1212">
        <v>4</v>
      </c>
      <c r="F606" s="1208">
        <f t="shared" si="138"/>
        <v>0</v>
      </c>
      <c r="G606" s="1208"/>
      <c r="H606" s="1208">
        <v>3</v>
      </c>
      <c r="I606" s="1209">
        <f t="shared" si="139"/>
        <v>0</v>
      </c>
      <c r="J606" s="1209"/>
      <c r="K606" s="1210">
        <f t="shared" si="128"/>
        <v>1.05</v>
      </c>
      <c r="L606" s="1210">
        <f t="shared" si="129"/>
        <v>0</v>
      </c>
      <c r="M606" s="1197">
        <f t="shared" si="130"/>
        <v>0</v>
      </c>
      <c r="N606" s="1211">
        <f t="shared" si="131"/>
        <v>0</v>
      </c>
      <c r="O606" s="1212"/>
      <c r="P606" s="1200"/>
      <c r="Q606" s="1200"/>
      <c r="R606" s="1213"/>
      <c r="S606" s="1213"/>
      <c r="T606" s="1213"/>
      <c r="U606" s="1213"/>
      <c r="V606" s="1213"/>
    </row>
    <row r="607" spans="1:22" ht="15" thickTop="1" thickBot="1" x14ac:dyDescent="0.3">
      <c r="A607" s="1207"/>
      <c r="B607" s="1212" t="s">
        <v>2146</v>
      </c>
      <c r="C607" s="1212"/>
      <c r="D607" s="1212"/>
      <c r="E607" s="1212">
        <v>2</v>
      </c>
      <c r="F607" s="1208">
        <f t="shared" si="138"/>
        <v>0</v>
      </c>
      <c r="G607" s="1208"/>
      <c r="H607" s="1208">
        <v>3</v>
      </c>
      <c r="I607" s="1209">
        <f t="shared" si="139"/>
        <v>0</v>
      </c>
      <c r="J607" s="1209"/>
      <c r="K607" s="1210">
        <f t="shared" si="128"/>
        <v>1.05</v>
      </c>
      <c r="L607" s="1210">
        <f t="shared" si="125"/>
        <v>0</v>
      </c>
      <c r="M607" s="1197">
        <f t="shared" si="126"/>
        <v>0</v>
      </c>
      <c r="N607" s="1211">
        <f t="shared" si="127"/>
        <v>0</v>
      </c>
      <c r="O607" s="1212"/>
      <c r="P607" s="1200"/>
      <c r="Q607" s="1200"/>
      <c r="R607" s="1213"/>
      <c r="S607" s="1213"/>
      <c r="T607" s="1213"/>
      <c r="U607" s="1213"/>
      <c r="V607" s="1213"/>
    </row>
    <row r="608" spans="1:22" ht="15" thickTop="1" thickBot="1" x14ac:dyDescent="0.3">
      <c r="A608" s="1207"/>
      <c r="B608" s="1212" t="s">
        <v>2147</v>
      </c>
      <c r="C608" s="1212"/>
      <c r="D608" s="1212"/>
      <c r="E608" s="1212">
        <v>2</v>
      </c>
      <c r="F608" s="1208">
        <f t="shared" si="138"/>
        <v>0</v>
      </c>
      <c r="G608" s="1208"/>
      <c r="H608" s="1208">
        <v>3</v>
      </c>
      <c r="I608" s="1209">
        <f t="shared" si="139"/>
        <v>0</v>
      </c>
      <c r="J608" s="1209"/>
      <c r="K608" s="1210">
        <f t="shared" si="128"/>
        <v>1.05</v>
      </c>
      <c r="L608" s="1210">
        <f t="shared" si="125"/>
        <v>0</v>
      </c>
      <c r="M608" s="1197">
        <f t="shared" si="126"/>
        <v>0</v>
      </c>
      <c r="N608" s="1211">
        <f t="shared" si="127"/>
        <v>0</v>
      </c>
      <c r="O608" s="1212"/>
      <c r="P608" s="1200"/>
      <c r="Q608" s="1200"/>
      <c r="R608" s="1213"/>
      <c r="S608" s="1213"/>
      <c r="T608" s="1213"/>
      <c r="U608" s="1213"/>
      <c r="V608" s="1213"/>
    </row>
    <row r="609" spans="1:22" ht="15" thickTop="1" thickBot="1" x14ac:dyDescent="0.3">
      <c r="A609" s="1207"/>
      <c r="B609" s="1212" t="s">
        <v>2148</v>
      </c>
      <c r="C609" s="1212"/>
      <c r="D609" s="1212"/>
      <c r="E609" s="1212">
        <v>2</v>
      </c>
      <c r="F609" s="1208">
        <f t="shared" si="138"/>
        <v>0</v>
      </c>
      <c r="G609" s="1208"/>
      <c r="H609" s="1208">
        <v>3</v>
      </c>
      <c r="I609" s="1209">
        <f t="shared" si="139"/>
        <v>0</v>
      </c>
      <c r="J609" s="1209"/>
      <c r="K609" s="1210">
        <f t="shared" si="128"/>
        <v>1.05</v>
      </c>
      <c r="L609" s="1210">
        <f t="shared" si="125"/>
        <v>0</v>
      </c>
      <c r="M609" s="1197">
        <f t="shared" si="126"/>
        <v>0</v>
      </c>
      <c r="N609" s="1211">
        <f t="shared" si="127"/>
        <v>0</v>
      </c>
      <c r="O609" s="1212"/>
      <c r="P609" s="1200"/>
      <c r="Q609" s="1200"/>
      <c r="R609" s="1213"/>
      <c r="S609" s="1213"/>
      <c r="T609" s="1213"/>
      <c r="U609" s="1213"/>
      <c r="V609" s="1213"/>
    </row>
    <row r="610" spans="1:22" ht="15" thickTop="1" thickBot="1" x14ac:dyDescent="0.3">
      <c r="A610" s="1207"/>
      <c r="B610" s="1212"/>
      <c r="C610" s="1212"/>
      <c r="D610" s="1212"/>
      <c r="E610" s="1212"/>
      <c r="F610" s="1208"/>
      <c r="G610" s="1208"/>
      <c r="H610" s="1208"/>
      <c r="I610" s="1209"/>
      <c r="J610" s="1209">
        <f>SUM(I594:I609)</f>
        <v>0</v>
      </c>
      <c r="K610" s="1210">
        <f t="shared" si="128"/>
        <v>1.05</v>
      </c>
      <c r="L610" s="1210">
        <f t="shared" si="125"/>
        <v>0</v>
      </c>
      <c r="M610" s="1197">
        <f t="shared" si="126"/>
        <v>0</v>
      </c>
      <c r="N610" s="1211">
        <f t="shared" si="127"/>
        <v>0</v>
      </c>
      <c r="O610" s="1212"/>
      <c r="P610" s="1200"/>
      <c r="Q610" s="1200"/>
      <c r="R610" s="1213"/>
      <c r="S610" s="1213"/>
      <c r="T610" s="1213"/>
      <c r="U610" s="1213"/>
      <c r="V610" s="1213"/>
    </row>
    <row r="611" spans="1:22" ht="15" thickTop="1" thickBot="1" x14ac:dyDescent="0.3">
      <c r="A611" s="1207"/>
      <c r="B611" s="1212"/>
      <c r="C611" s="1212"/>
      <c r="D611" s="1212"/>
      <c r="E611" s="1212"/>
      <c r="F611" s="1208"/>
      <c r="G611" s="1208"/>
      <c r="H611" s="1208"/>
      <c r="I611" s="1209"/>
      <c r="J611" s="1209"/>
      <c r="K611" s="1210">
        <f t="shared" si="128"/>
        <v>1.05</v>
      </c>
      <c r="L611" s="1210">
        <f t="shared" ref="L611:L631" si="140">K611*J611</f>
        <v>0</v>
      </c>
      <c r="M611" s="1197">
        <f t="shared" ref="M611:M631" si="141">ROUND(L611,1)</f>
        <v>0</v>
      </c>
      <c r="N611" s="1211">
        <f t="shared" ref="N611:N631" si="142">ROUNDUP(M611,0)</f>
        <v>0</v>
      </c>
      <c r="O611" s="1212"/>
      <c r="P611" s="1200"/>
      <c r="Q611" s="1200"/>
      <c r="R611" s="1213"/>
      <c r="S611" s="1213"/>
      <c r="T611" s="1213"/>
      <c r="U611" s="1213"/>
      <c r="V611" s="1213"/>
    </row>
    <row r="612" spans="1:22" ht="15" thickTop="1" thickBot="1" x14ac:dyDescent="0.3">
      <c r="A612" s="1207"/>
      <c r="B612" s="1212" t="s">
        <v>3207</v>
      </c>
      <c r="C612" s="1212"/>
      <c r="D612" s="1212"/>
      <c r="E612" s="1212"/>
      <c r="F612" s="1208"/>
      <c r="G612" s="1208"/>
      <c r="H612" s="1208"/>
      <c r="I612" s="1209"/>
      <c r="J612" s="1209"/>
      <c r="K612" s="1210">
        <f t="shared" si="128"/>
        <v>1.05</v>
      </c>
      <c r="L612" s="1210">
        <f t="shared" si="140"/>
        <v>0</v>
      </c>
      <c r="M612" s="1197">
        <f t="shared" si="141"/>
        <v>0</v>
      </c>
      <c r="N612" s="1211">
        <f t="shared" si="142"/>
        <v>0</v>
      </c>
      <c r="O612" s="1212"/>
      <c r="P612" s="1200"/>
      <c r="Q612" s="1200"/>
      <c r="R612" s="1213"/>
      <c r="S612" s="1213"/>
      <c r="T612" s="1213"/>
      <c r="U612" s="1213"/>
      <c r="V612" s="1213"/>
    </row>
    <row r="613" spans="1:22" ht="15" thickTop="1" thickBot="1" x14ac:dyDescent="0.3">
      <c r="A613" s="1207"/>
      <c r="B613" s="1212" t="s">
        <v>1627</v>
      </c>
      <c r="C613" s="1212"/>
      <c r="D613" s="1212"/>
      <c r="E613" s="1212">
        <v>2</v>
      </c>
      <c r="F613" s="1208">
        <f t="shared" ref="F613:F618" si="143">1+0.3</f>
        <v>1.3</v>
      </c>
      <c r="G613" s="1208">
        <f>1.2+0.3</f>
        <v>1.5</v>
      </c>
      <c r="H613" s="1208">
        <v>2</v>
      </c>
      <c r="I613" s="1209">
        <f>H613*G613*F613*E613</f>
        <v>7.8000000000000007</v>
      </c>
      <c r="J613" s="1209"/>
      <c r="K613" s="1210">
        <f t="shared" si="128"/>
        <v>1.05</v>
      </c>
      <c r="L613" s="1210">
        <f t="shared" si="140"/>
        <v>0</v>
      </c>
      <c r="M613" s="1197">
        <f t="shared" si="141"/>
        <v>0</v>
      </c>
      <c r="N613" s="1211">
        <f t="shared" si="142"/>
        <v>0</v>
      </c>
      <c r="O613" s="1212"/>
      <c r="P613" s="1200"/>
      <c r="Q613" s="1200"/>
      <c r="R613" s="1213"/>
      <c r="S613" s="1213"/>
      <c r="T613" s="1213"/>
      <c r="U613" s="1213"/>
      <c r="V613" s="1213"/>
    </row>
    <row r="614" spans="1:22" ht="15" thickTop="1" thickBot="1" x14ac:dyDescent="0.3">
      <c r="A614" s="1207"/>
      <c r="B614" s="1212" t="s">
        <v>3202</v>
      </c>
      <c r="C614" s="1212"/>
      <c r="D614" s="1212"/>
      <c r="E614" s="1212">
        <v>1</v>
      </c>
      <c r="F614" s="1208">
        <f t="shared" si="143"/>
        <v>1.3</v>
      </c>
      <c r="G614" s="1208">
        <f>1.2+0.3</f>
        <v>1.5</v>
      </c>
      <c r="H614" s="1208">
        <v>2</v>
      </c>
      <c r="I614" s="1209">
        <f t="shared" ref="I614:I628" si="144">H614*G614*F614*E614</f>
        <v>3.9000000000000004</v>
      </c>
      <c r="J614" s="1209"/>
      <c r="K614" s="1210">
        <f t="shared" si="128"/>
        <v>1.05</v>
      </c>
      <c r="L614" s="1210">
        <f t="shared" si="140"/>
        <v>0</v>
      </c>
      <c r="M614" s="1197">
        <f t="shared" si="141"/>
        <v>0</v>
      </c>
      <c r="N614" s="1211">
        <f t="shared" si="142"/>
        <v>0</v>
      </c>
      <c r="O614" s="1212"/>
      <c r="P614" s="1200"/>
      <c r="Q614" s="1200"/>
      <c r="R614" s="1213"/>
      <c r="S614" s="1213"/>
      <c r="T614" s="1213"/>
      <c r="U614" s="1213"/>
      <c r="V614" s="1213"/>
    </row>
    <row r="615" spans="1:22" ht="15" thickTop="1" thickBot="1" x14ac:dyDescent="0.3">
      <c r="A615" s="1207"/>
      <c r="B615" s="1212" t="s">
        <v>1628</v>
      </c>
      <c r="C615" s="1212"/>
      <c r="D615" s="1212"/>
      <c r="E615" s="1212">
        <v>1</v>
      </c>
      <c r="F615" s="1208">
        <f t="shared" si="143"/>
        <v>1.3</v>
      </c>
      <c r="G615" s="1208">
        <f>1+0.3</f>
        <v>1.3</v>
      </c>
      <c r="H615" s="1208">
        <v>2</v>
      </c>
      <c r="I615" s="1209">
        <f t="shared" si="144"/>
        <v>3.3800000000000003</v>
      </c>
      <c r="J615" s="1209"/>
      <c r="K615" s="1210">
        <f t="shared" si="128"/>
        <v>1.05</v>
      </c>
      <c r="L615" s="1210">
        <f t="shared" si="140"/>
        <v>0</v>
      </c>
      <c r="M615" s="1197">
        <f t="shared" si="141"/>
        <v>0</v>
      </c>
      <c r="N615" s="1211">
        <f t="shared" si="142"/>
        <v>0</v>
      </c>
      <c r="O615" s="1212"/>
      <c r="P615" s="1200"/>
      <c r="Q615" s="1200"/>
      <c r="R615" s="1213"/>
      <c r="S615" s="1213"/>
      <c r="T615" s="1213"/>
      <c r="U615" s="1213"/>
      <c r="V615" s="1213"/>
    </row>
    <row r="616" spans="1:22" ht="15" thickTop="1" thickBot="1" x14ac:dyDescent="0.3">
      <c r="A616" s="1207"/>
      <c r="B616" s="1212" t="s">
        <v>2137</v>
      </c>
      <c r="C616" s="1212"/>
      <c r="D616" s="1212"/>
      <c r="E616" s="1212">
        <v>1</v>
      </c>
      <c r="F616" s="1208">
        <f t="shared" si="143"/>
        <v>1.3</v>
      </c>
      <c r="G616" s="1208">
        <f>1.2+0.3</f>
        <v>1.5</v>
      </c>
      <c r="H616" s="1208">
        <v>2</v>
      </c>
      <c r="I616" s="1209">
        <f t="shared" si="144"/>
        <v>3.9000000000000004</v>
      </c>
      <c r="J616" s="1209"/>
      <c r="K616" s="1210">
        <f t="shared" si="128"/>
        <v>1.05</v>
      </c>
      <c r="L616" s="1210">
        <f t="shared" si="140"/>
        <v>0</v>
      </c>
      <c r="M616" s="1197">
        <f t="shared" si="141"/>
        <v>0</v>
      </c>
      <c r="N616" s="1211">
        <f t="shared" si="142"/>
        <v>0</v>
      </c>
      <c r="O616" s="1212"/>
      <c r="P616" s="1200"/>
      <c r="Q616" s="1200"/>
      <c r="R616" s="1213"/>
      <c r="S616" s="1213"/>
      <c r="T616" s="1213"/>
      <c r="U616" s="1213"/>
      <c r="V616" s="1213"/>
    </row>
    <row r="617" spans="1:22" ht="15" thickTop="1" thickBot="1" x14ac:dyDescent="0.3">
      <c r="A617" s="1207"/>
      <c r="B617" s="1212" t="s">
        <v>2138</v>
      </c>
      <c r="C617" s="1212"/>
      <c r="D617" s="1212"/>
      <c r="E617" s="1212">
        <v>2</v>
      </c>
      <c r="F617" s="1208">
        <f t="shared" si="143"/>
        <v>1.3</v>
      </c>
      <c r="G617" s="1208">
        <f>1+0.3</f>
        <v>1.3</v>
      </c>
      <c r="H617" s="1208">
        <v>2</v>
      </c>
      <c r="I617" s="1209">
        <f t="shared" si="144"/>
        <v>6.7600000000000007</v>
      </c>
      <c r="J617" s="1209"/>
      <c r="K617" s="1210">
        <f t="shared" si="128"/>
        <v>1.05</v>
      </c>
      <c r="L617" s="1210">
        <f t="shared" si="140"/>
        <v>0</v>
      </c>
      <c r="M617" s="1197">
        <f t="shared" si="141"/>
        <v>0</v>
      </c>
      <c r="N617" s="1211">
        <f t="shared" si="142"/>
        <v>0</v>
      </c>
      <c r="O617" s="1212"/>
      <c r="P617" s="1200"/>
      <c r="Q617" s="1200"/>
      <c r="R617" s="1213"/>
      <c r="S617" s="1213"/>
      <c r="T617" s="1213"/>
      <c r="U617" s="1213"/>
      <c r="V617" s="1213"/>
    </row>
    <row r="618" spans="1:22" ht="15" thickTop="1" thickBot="1" x14ac:dyDescent="0.3">
      <c r="A618" s="1207"/>
      <c r="B618" s="1212" t="s">
        <v>2139</v>
      </c>
      <c r="C618" s="1212"/>
      <c r="D618" s="1212"/>
      <c r="E618" s="1212">
        <v>1</v>
      </c>
      <c r="F618" s="1208">
        <f t="shared" si="143"/>
        <v>1.3</v>
      </c>
      <c r="G618" s="1208">
        <f>1+0.3</f>
        <v>1.3</v>
      </c>
      <c r="H618" s="1208">
        <v>2</v>
      </c>
      <c r="I618" s="1209">
        <f t="shared" si="144"/>
        <v>3.3800000000000003</v>
      </c>
      <c r="J618" s="1209"/>
      <c r="K618" s="1210">
        <f t="shared" si="128"/>
        <v>1.05</v>
      </c>
      <c r="L618" s="1210">
        <f t="shared" si="140"/>
        <v>0</v>
      </c>
      <c r="M618" s="1197">
        <f t="shared" si="141"/>
        <v>0</v>
      </c>
      <c r="N618" s="1211">
        <f t="shared" si="142"/>
        <v>0</v>
      </c>
      <c r="O618" s="1212"/>
      <c r="P618" s="1200"/>
      <c r="Q618" s="1200"/>
      <c r="R618" s="1213"/>
      <c r="S618" s="1213"/>
      <c r="T618" s="1213"/>
      <c r="U618" s="1213"/>
      <c r="V618" s="1213"/>
    </row>
    <row r="619" spans="1:22" ht="15" thickTop="1" thickBot="1" x14ac:dyDescent="0.3">
      <c r="A619" s="1207"/>
      <c r="B619" s="1212" t="s">
        <v>2140</v>
      </c>
      <c r="C619" s="1212"/>
      <c r="D619" s="1212"/>
      <c r="E619" s="1212">
        <v>1</v>
      </c>
      <c r="F619" s="1208">
        <f>1.35+0.3</f>
        <v>1.6500000000000001</v>
      </c>
      <c r="G619" s="1208">
        <f>1.35+0.3</f>
        <v>1.6500000000000001</v>
      </c>
      <c r="H619" s="1208">
        <v>2</v>
      </c>
      <c r="I619" s="1209">
        <f t="shared" si="144"/>
        <v>5.4450000000000012</v>
      </c>
      <c r="J619" s="1209"/>
      <c r="K619" s="1210">
        <f t="shared" si="128"/>
        <v>1.05</v>
      </c>
      <c r="L619" s="1210">
        <f t="shared" si="140"/>
        <v>0</v>
      </c>
      <c r="M619" s="1197">
        <f t="shared" si="141"/>
        <v>0</v>
      </c>
      <c r="N619" s="1211">
        <f t="shared" si="142"/>
        <v>0</v>
      </c>
      <c r="O619" s="1212"/>
      <c r="P619" s="1200"/>
      <c r="Q619" s="1200"/>
      <c r="R619" s="1213"/>
      <c r="S619" s="1213"/>
      <c r="T619" s="1213"/>
      <c r="U619" s="1213"/>
      <c r="V619" s="1213"/>
    </row>
    <row r="620" spans="1:22" ht="15" thickTop="1" thickBot="1" x14ac:dyDescent="0.3">
      <c r="A620" s="1207"/>
      <c r="B620" s="1212" t="s">
        <v>2141</v>
      </c>
      <c r="C620" s="1212"/>
      <c r="D620" s="1212"/>
      <c r="E620" s="1212">
        <v>1</v>
      </c>
      <c r="F620" s="1208">
        <f>1.3+0.3</f>
        <v>1.6</v>
      </c>
      <c r="G620" s="1208">
        <f>1.3+0.3</f>
        <v>1.6</v>
      </c>
      <c r="H620" s="1208">
        <v>2</v>
      </c>
      <c r="I620" s="1209">
        <f t="shared" si="144"/>
        <v>5.120000000000001</v>
      </c>
      <c r="J620" s="1209"/>
      <c r="K620" s="1210">
        <f t="shared" si="128"/>
        <v>1.05</v>
      </c>
      <c r="L620" s="1210">
        <f t="shared" si="140"/>
        <v>0</v>
      </c>
      <c r="M620" s="1197">
        <f t="shared" si="141"/>
        <v>0</v>
      </c>
      <c r="N620" s="1211">
        <f t="shared" si="142"/>
        <v>0</v>
      </c>
      <c r="O620" s="1212"/>
      <c r="P620" s="1200"/>
      <c r="Q620" s="1200"/>
      <c r="R620" s="1213"/>
      <c r="S620" s="1213"/>
      <c r="T620" s="1213"/>
      <c r="U620" s="1213"/>
      <c r="V620" s="1213"/>
    </row>
    <row r="621" spans="1:22" ht="15" thickTop="1" thickBot="1" x14ac:dyDescent="0.3">
      <c r="A621" s="1207"/>
      <c r="B621" s="1212" t="s">
        <v>2142</v>
      </c>
      <c r="C621" s="1212"/>
      <c r="D621" s="1212"/>
      <c r="E621" s="1212">
        <v>2</v>
      </c>
      <c r="F621" s="1208">
        <f>1.5+0.3</f>
        <v>1.8</v>
      </c>
      <c r="G621" s="1208">
        <f>1.5+0.3</f>
        <v>1.8</v>
      </c>
      <c r="H621" s="1208">
        <v>2</v>
      </c>
      <c r="I621" s="1209">
        <f t="shared" si="144"/>
        <v>12.96</v>
      </c>
      <c r="J621" s="1209"/>
      <c r="K621" s="1210">
        <f t="shared" si="128"/>
        <v>1.05</v>
      </c>
      <c r="L621" s="1210">
        <f t="shared" si="140"/>
        <v>0</v>
      </c>
      <c r="M621" s="1197">
        <f t="shared" si="141"/>
        <v>0</v>
      </c>
      <c r="N621" s="1211">
        <f t="shared" si="142"/>
        <v>0</v>
      </c>
      <c r="O621" s="1212"/>
      <c r="P621" s="1200"/>
      <c r="Q621" s="1200"/>
      <c r="R621" s="1213"/>
      <c r="S621" s="1213"/>
      <c r="T621" s="1213"/>
      <c r="U621" s="1213"/>
      <c r="V621" s="1213"/>
    </row>
    <row r="622" spans="1:22" ht="15" thickTop="1" thickBot="1" x14ac:dyDescent="0.3">
      <c r="A622" s="1207"/>
      <c r="B622" s="1212" t="s">
        <v>2143</v>
      </c>
      <c r="C622" s="1212"/>
      <c r="D622" s="1212"/>
      <c r="E622" s="1212">
        <v>3</v>
      </c>
      <c r="F622" s="1208">
        <f>1.65+0.3</f>
        <v>1.95</v>
      </c>
      <c r="G622" s="1208">
        <f>1.65+0.3</f>
        <v>1.95</v>
      </c>
      <c r="H622" s="1208">
        <v>2</v>
      </c>
      <c r="I622" s="1209">
        <f t="shared" si="144"/>
        <v>22.814999999999998</v>
      </c>
      <c r="J622" s="1209"/>
      <c r="K622" s="1210">
        <f t="shared" si="128"/>
        <v>1.05</v>
      </c>
      <c r="L622" s="1210">
        <f t="shared" si="140"/>
        <v>0</v>
      </c>
      <c r="M622" s="1197">
        <f t="shared" si="141"/>
        <v>0</v>
      </c>
      <c r="N622" s="1211">
        <f t="shared" si="142"/>
        <v>0</v>
      </c>
      <c r="O622" s="1212"/>
      <c r="P622" s="1200"/>
      <c r="Q622" s="1200"/>
      <c r="R622" s="1213"/>
      <c r="S622" s="1213"/>
      <c r="T622" s="1213"/>
      <c r="U622" s="1213"/>
      <c r="V622" s="1213"/>
    </row>
    <row r="623" spans="1:22" ht="15" thickTop="1" thickBot="1" x14ac:dyDescent="0.3">
      <c r="A623" s="1207"/>
      <c r="B623" s="1212" t="s">
        <v>3203</v>
      </c>
      <c r="C623" s="1212"/>
      <c r="D623" s="1212"/>
      <c r="E623" s="1212">
        <v>1</v>
      </c>
      <c r="F623" s="1208">
        <f>1.65+0.3</f>
        <v>1.95</v>
      </c>
      <c r="G623" s="1208">
        <f>1.65+0.3</f>
        <v>1.95</v>
      </c>
      <c r="H623" s="1208">
        <v>2</v>
      </c>
      <c r="I623" s="1209">
        <f t="shared" si="144"/>
        <v>7.6049999999999995</v>
      </c>
      <c r="J623" s="1209"/>
      <c r="K623" s="1210">
        <f t="shared" si="128"/>
        <v>1.05</v>
      </c>
      <c r="L623" s="1210">
        <f t="shared" si="140"/>
        <v>0</v>
      </c>
      <c r="M623" s="1197">
        <f t="shared" si="141"/>
        <v>0</v>
      </c>
      <c r="N623" s="1211">
        <f t="shared" si="142"/>
        <v>0</v>
      </c>
      <c r="O623" s="1212"/>
      <c r="P623" s="1200"/>
      <c r="Q623" s="1200"/>
      <c r="R623" s="1213"/>
      <c r="S623" s="1213"/>
      <c r="T623" s="1213"/>
      <c r="U623" s="1213"/>
      <c r="V623" s="1213"/>
    </row>
    <row r="624" spans="1:22" ht="15" thickTop="1" thickBot="1" x14ac:dyDescent="0.3">
      <c r="A624" s="1207"/>
      <c r="B624" s="1212" t="s">
        <v>2144</v>
      </c>
      <c r="C624" s="1212"/>
      <c r="D624" s="1212"/>
      <c r="E624" s="1212">
        <v>3</v>
      </c>
      <c r="F624" s="1208">
        <f>1.2+0.3</f>
        <v>1.5</v>
      </c>
      <c r="G624" s="1208">
        <f>1.2+0.3</f>
        <v>1.5</v>
      </c>
      <c r="H624" s="1208">
        <v>2</v>
      </c>
      <c r="I624" s="1209">
        <f t="shared" si="144"/>
        <v>13.5</v>
      </c>
      <c r="J624" s="1209"/>
      <c r="K624" s="1210">
        <f t="shared" si="128"/>
        <v>1.05</v>
      </c>
      <c r="L624" s="1210">
        <f t="shared" si="140"/>
        <v>0</v>
      </c>
      <c r="M624" s="1197">
        <f t="shared" si="141"/>
        <v>0</v>
      </c>
      <c r="N624" s="1211">
        <f t="shared" si="142"/>
        <v>0</v>
      </c>
      <c r="O624" s="1212"/>
      <c r="P624" s="1200"/>
      <c r="Q624" s="1200"/>
      <c r="R624" s="1213"/>
      <c r="S624" s="1213"/>
      <c r="T624" s="1213"/>
      <c r="U624" s="1213"/>
      <c r="V624" s="1213"/>
    </row>
    <row r="625" spans="1:22" ht="15" thickTop="1" thickBot="1" x14ac:dyDescent="0.3">
      <c r="A625" s="1207"/>
      <c r="B625" s="1212" t="s">
        <v>2145</v>
      </c>
      <c r="C625" s="1212"/>
      <c r="D625" s="1212"/>
      <c r="E625" s="1212">
        <v>4</v>
      </c>
      <c r="F625" s="1208">
        <f>1.2+0.3</f>
        <v>1.5</v>
      </c>
      <c r="G625" s="1208">
        <f>1.3+0.3</f>
        <v>1.6</v>
      </c>
      <c r="H625" s="1208">
        <v>2</v>
      </c>
      <c r="I625" s="1209">
        <f t="shared" si="144"/>
        <v>19.200000000000003</v>
      </c>
      <c r="J625" s="1209"/>
      <c r="K625" s="1210">
        <f t="shared" si="128"/>
        <v>1.05</v>
      </c>
      <c r="L625" s="1210">
        <f t="shared" si="140"/>
        <v>0</v>
      </c>
      <c r="M625" s="1197">
        <f t="shared" si="141"/>
        <v>0</v>
      </c>
      <c r="N625" s="1211">
        <f t="shared" si="142"/>
        <v>0</v>
      </c>
      <c r="O625" s="1212"/>
      <c r="P625" s="1200"/>
      <c r="Q625" s="1200"/>
      <c r="R625" s="1213"/>
      <c r="S625" s="1213"/>
      <c r="T625" s="1213"/>
      <c r="U625" s="1213"/>
      <c r="V625" s="1213"/>
    </row>
    <row r="626" spans="1:22" ht="15" thickTop="1" thickBot="1" x14ac:dyDescent="0.3">
      <c r="A626" s="1207"/>
      <c r="B626" s="1212" t="s">
        <v>2146</v>
      </c>
      <c r="C626" s="1212"/>
      <c r="D626" s="1212"/>
      <c r="E626" s="1212">
        <v>2</v>
      </c>
      <c r="F626" s="1208">
        <f>1+0.3</f>
        <v>1.3</v>
      </c>
      <c r="G626" s="1208">
        <f>1.2+0.3</f>
        <v>1.5</v>
      </c>
      <c r="H626" s="1208">
        <v>2</v>
      </c>
      <c r="I626" s="1209">
        <f t="shared" si="144"/>
        <v>7.8000000000000007</v>
      </c>
      <c r="J626" s="1209"/>
      <c r="K626" s="1210">
        <f t="shared" si="128"/>
        <v>1.05</v>
      </c>
      <c r="L626" s="1210">
        <f t="shared" si="140"/>
        <v>0</v>
      </c>
      <c r="M626" s="1197">
        <f t="shared" si="141"/>
        <v>0</v>
      </c>
      <c r="N626" s="1211">
        <f t="shared" si="142"/>
        <v>0</v>
      </c>
      <c r="O626" s="1212"/>
      <c r="P626" s="1200"/>
      <c r="Q626" s="1200"/>
      <c r="R626" s="1213"/>
      <c r="S626" s="1213"/>
      <c r="T626" s="1213"/>
      <c r="U626" s="1213"/>
      <c r="V626" s="1213"/>
    </row>
    <row r="627" spans="1:22" ht="15" thickTop="1" thickBot="1" x14ac:dyDescent="0.3">
      <c r="A627" s="1207"/>
      <c r="B627" s="1212" t="s">
        <v>2147</v>
      </c>
      <c r="C627" s="1212"/>
      <c r="D627" s="1212"/>
      <c r="E627" s="1212">
        <v>2</v>
      </c>
      <c r="F627" s="1208">
        <f>1.2+0.3</f>
        <v>1.5</v>
      </c>
      <c r="G627" s="1208">
        <f>1.2+0.3</f>
        <v>1.5</v>
      </c>
      <c r="H627" s="1208">
        <v>2</v>
      </c>
      <c r="I627" s="1209">
        <f t="shared" si="144"/>
        <v>9</v>
      </c>
      <c r="J627" s="1209"/>
      <c r="K627" s="1210">
        <f t="shared" si="128"/>
        <v>1.05</v>
      </c>
      <c r="L627" s="1210">
        <f t="shared" si="140"/>
        <v>0</v>
      </c>
      <c r="M627" s="1197">
        <f t="shared" si="141"/>
        <v>0</v>
      </c>
      <c r="N627" s="1211">
        <f t="shared" si="142"/>
        <v>0</v>
      </c>
      <c r="O627" s="1212"/>
      <c r="P627" s="1200"/>
      <c r="Q627" s="1200"/>
      <c r="R627" s="1213"/>
      <c r="S627" s="1213"/>
      <c r="T627" s="1213"/>
      <c r="U627" s="1213"/>
      <c r="V627" s="1213"/>
    </row>
    <row r="628" spans="1:22" ht="15" thickTop="1" thickBot="1" x14ac:dyDescent="0.3">
      <c r="A628" s="1207"/>
      <c r="B628" s="1212" t="s">
        <v>2148</v>
      </c>
      <c r="C628" s="1212"/>
      <c r="D628" s="1212"/>
      <c r="E628" s="1212">
        <v>2</v>
      </c>
      <c r="F628" s="1208">
        <f>0.9+0.3</f>
        <v>1.2</v>
      </c>
      <c r="G628" s="1208">
        <f>0.9+0.3</f>
        <v>1.2</v>
      </c>
      <c r="H628" s="1208">
        <v>2</v>
      </c>
      <c r="I628" s="1209">
        <f t="shared" si="144"/>
        <v>5.76</v>
      </c>
      <c r="J628" s="1209"/>
      <c r="K628" s="1210">
        <f t="shared" si="128"/>
        <v>1.05</v>
      </c>
      <c r="L628" s="1210">
        <f t="shared" si="140"/>
        <v>0</v>
      </c>
      <c r="M628" s="1197">
        <f t="shared" si="141"/>
        <v>0</v>
      </c>
      <c r="N628" s="1211">
        <f t="shared" si="142"/>
        <v>0</v>
      </c>
      <c r="O628" s="1212"/>
      <c r="P628" s="1200"/>
      <c r="Q628" s="1200"/>
      <c r="R628" s="1213"/>
      <c r="S628" s="1213"/>
      <c r="T628" s="1213"/>
      <c r="U628" s="1213"/>
      <c r="V628" s="1213"/>
    </row>
    <row r="629" spans="1:22" ht="15" thickTop="1" thickBot="1" x14ac:dyDescent="0.3">
      <c r="A629" s="1207"/>
      <c r="B629" s="1212"/>
      <c r="C629" s="1212"/>
      <c r="D629" s="1212"/>
      <c r="E629" s="1212"/>
      <c r="F629" s="1208"/>
      <c r="G629" s="1208"/>
      <c r="H629" s="1208"/>
      <c r="I629" s="1209"/>
      <c r="J629" s="1209">
        <f>SUM(I613:I628)</f>
        <v>138.32499999999999</v>
      </c>
      <c r="K629" s="1210">
        <f t="shared" si="128"/>
        <v>1.05</v>
      </c>
      <c r="L629" s="1210">
        <f t="shared" si="140"/>
        <v>145.24125000000001</v>
      </c>
      <c r="M629" s="1197">
        <f t="shared" si="141"/>
        <v>145.19999999999999</v>
      </c>
      <c r="N629" s="1211">
        <f t="shared" si="142"/>
        <v>146</v>
      </c>
      <c r="O629" s="1212"/>
      <c r="P629" s="1200"/>
      <c r="Q629" s="1200"/>
      <c r="R629" s="1213"/>
      <c r="S629" s="1213"/>
      <c r="T629" s="1213"/>
      <c r="U629" s="1213"/>
      <c r="V629" s="1213"/>
    </row>
    <row r="630" spans="1:22" ht="15" thickTop="1" thickBot="1" x14ac:dyDescent="0.3">
      <c r="A630" s="1207"/>
      <c r="B630" s="1212"/>
      <c r="C630" s="1212"/>
      <c r="D630" s="1212"/>
      <c r="E630" s="1212"/>
      <c r="F630" s="1208"/>
      <c r="G630" s="1208"/>
      <c r="H630" s="1208"/>
      <c r="I630" s="1209"/>
      <c r="J630" s="1209"/>
      <c r="K630" s="1210">
        <f t="shared" si="128"/>
        <v>1.05</v>
      </c>
      <c r="L630" s="1210">
        <f t="shared" si="140"/>
        <v>0</v>
      </c>
      <c r="M630" s="1197">
        <f t="shared" si="141"/>
        <v>0</v>
      </c>
      <c r="N630" s="1211">
        <f t="shared" si="142"/>
        <v>0</v>
      </c>
      <c r="O630" s="1212"/>
      <c r="P630" s="1200"/>
      <c r="Q630" s="1200"/>
      <c r="R630" s="1213"/>
      <c r="S630" s="1213"/>
      <c r="T630" s="1213"/>
      <c r="U630" s="1213"/>
      <c r="V630" s="1213"/>
    </row>
    <row r="631" spans="1:22" ht="15" thickTop="1" thickBot="1" x14ac:dyDescent="0.3">
      <c r="A631" s="1207"/>
      <c r="B631" s="1212"/>
      <c r="C631" s="1212"/>
      <c r="D631" s="1212"/>
      <c r="E631" s="1212"/>
      <c r="F631" s="1208"/>
      <c r="G631" s="1208"/>
      <c r="H631" s="1208"/>
      <c r="I631" s="1209"/>
      <c r="J631" s="1209"/>
      <c r="K631" s="1210">
        <f t="shared" si="128"/>
        <v>1.05</v>
      </c>
      <c r="L631" s="1210">
        <f t="shared" si="140"/>
        <v>0</v>
      </c>
      <c r="M631" s="1197">
        <f t="shared" si="141"/>
        <v>0</v>
      </c>
      <c r="N631" s="1211">
        <f t="shared" si="142"/>
        <v>0</v>
      </c>
      <c r="O631" s="1212"/>
      <c r="P631" s="1200"/>
      <c r="Q631" s="1200"/>
      <c r="R631" s="1213"/>
      <c r="S631" s="1213"/>
      <c r="T631" s="1213"/>
      <c r="U631" s="1213"/>
      <c r="V631" s="1213"/>
    </row>
    <row r="632" spans="1:22" ht="15" thickTop="1" thickBot="1" x14ac:dyDescent="0.3">
      <c r="A632" s="1207"/>
      <c r="B632" s="1212"/>
      <c r="C632" s="1212"/>
      <c r="D632" s="1212"/>
      <c r="E632" s="1212"/>
      <c r="F632" s="1208"/>
      <c r="G632" s="1208"/>
      <c r="H632" s="1208"/>
      <c r="I632" s="1209"/>
      <c r="J632" s="1209"/>
      <c r="K632" s="1210"/>
      <c r="L632" s="1210"/>
      <c r="M632" s="1197"/>
      <c r="N632" s="1211"/>
      <c r="O632" s="1212"/>
      <c r="P632" s="1200"/>
      <c r="Q632" s="1200"/>
      <c r="R632" s="1213"/>
      <c r="S632" s="1213"/>
      <c r="T632" s="1213"/>
      <c r="U632" s="1213"/>
      <c r="V632" s="1213"/>
    </row>
    <row r="633" spans="1:22" ht="15" thickTop="1" thickBot="1" x14ac:dyDescent="0.3">
      <c r="A633" s="1207"/>
      <c r="B633" s="1212"/>
      <c r="C633" s="1212"/>
      <c r="D633" s="1212"/>
      <c r="E633" s="1212"/>
      <c r="F633" s="1208"/>
      <c r="G633" s="1208"/>
      <c r="H633" s="1208"/>
      <c r="I633" s="1209"/>
      <c r="J633" s="1209"/>
      <c r="K633" s="1210"/>
      <c r="L633" s="1210"/>
      <c r="M633" s="1197"/>
      <c r="N633" s="1211"/>
      <c r="O633" s="1212"/>
      <c r="P633" s="1200"/>
      <c r="Q633" s="1200"/>
      <c r="R633" s="1213"/>
      <c r="S633" s="1213"/>
      <c r="T633" s="1213"/>
      <c r="U633" s="1213"/>
      <c r="V633" s="1213"/>
    </row>
    <row r="634" spans="1:22" ht="15" thickTop="1" thickBot="1" x14ac:dyDescent="0.3">
      <c r="A634" s="1207"/>
      <c r="B634" s="1212"/>
      <c r="C634" s="1212"/>
      <c r="D634" s="1212"/>
      <c r="E634" s="1212"/>
      <c r="F634" s="1208"/>
      <c r="G634" s="1208"/>
      <c r="H634" s="1208"/>
      <c r="I634" s="1209"/>
      <c r="J634" s="1209"/>
      <c r="K634" s="1210"/>
      <c r="L634" s="1210"/>
      <c r="M634" s="1197"/>
      <c r="N634" s="1211"/>
      <c r="O634" s="1212"/>
      <c r="P634" s="1200"/>
      <c r="Q634" s="1200"/>
      <c r="R634" s="1213"/>
      <c r="S634" s="1213"/>
      <c r="T634" s="1213"/>
      <c r="U634" s="1213"/>
      <c r="V634" s="1213"/>
    </row>
    <row r="635" spans="1:22" ht="15" thickTop="1" thickBot="1" x14ac:dyDescent="0.3">
      <c r="A635" s="1207"/>
      <c r="B635" s="1212"/>
      <c r="C635" s="1212"/>
      <c r="D635" s="1212"/>
      <c r="E635" s="1212"/>
      <c r="F635" s="1208"/>
      <c r="G635" s="1208"/>
      <c r="H635" s="1208"/>
      <c r="I635" s="1209"/>
      <c r="J635" s="1209"/>
      <c r="K635" s="1210"/>
      <c r="L635" s="1210"/>
      <c r="M635" s="1197"/>
      <c r="N635" s="1211"/>
      <c r="O635" s="1212"/>
      <c r="P635" s="1200"/>
      <c r="Q635" s="1200"/>
      <c r="R635" s="1213"/>
      <c r="S635" s="1213"/>
      <c r="T635" s="1213"/>
      <c r="U635" s="1213"/>
      <c r="V635" s="1213"/>
    </row>
    <row r="636" spans="1:22" ht="15" thickTop="1" thickBot="1" x14ac:dyDescent="0.3">
      <c r="A636" s="1207"/>
      <c r="B636" s="1212"/>
      <c r="C636" s="1212"/>
      <c r="D636" s="1212"/>
      <c r="E636" s="1212"/>
      <c r="F636" s="1208"/>
      <c r="G636" s="1208"/>
      <c r="H636" s="1208"/>
      <c r="I636" s="1209"/>
      <c r="J636" s="1209"/>
      <c r="K636" s="1210"/>
      <c r="L636" s="1210"/>
      <c r="M636" s="1197"/>
      <c r="N636" s="1211"/>
      <c r="O636" s="1212"/>
      <c r="P636" s="1200"/>
      <c r="Q636" s="1200"/>
      <c r="R636" s="1213"/>
      <c r="S636" s="1213"/>
      <c r="T636" s="1213"/>
      <c r="U636" s="1213"/>
      <c r="V636" s="1213"/>
    </row>
    <row r="637" spans="1:22" ht="15" thickTop="1" thickBot="1" x14ac:dyDescent="0.3">
      <c r="A637" s="1207"/>
      <c r="B637" s="1212"/>
      <c r="C637" s="1212"/>
      <c r="D637" s="1212"/>
      <c r="E637" s="1212"/>
      <c r="F637" s="1208"/>
      <c r="G637" s="1208"/>
      <c r="H637" s="1208"/>
      <c r="I637" s="1209"/>
      <c r="J637" s="1209"/>
      <c r="K637" s="1210"/>
      <c r="L637" s="1210"/>
      <c r="M637" s="1197"/>
      <c r="N637" s="1211"/>
      <c r="O637" s="1212"/>
      <c r="P637" s="1200"/>
      <c r="Q637" s="1200"/>
      <c r="R637" s="1213"/>
      <c r="S637" s="1213"/>
      <c r="T637" s="1213"/>
      <c r="U637" s="1213"/>
      <c r="V637" s="1213"/>
    </row>
    <row r="638" spans="1:22" ht="15" thickTop="1" thickBot="1" x14ac:dyDescent="0.3">
      <c r="A638" s="1207"/>
      <c r="B638" s="1212"/>
      <c r="C638" s="1212"/>
      <c r="D638" s="1212"/>
      <c r="E638" s="1212"/>
      <c r="F638" s="1208"/>
      <c r="G638" s="1208"/>
      <c r="H638" s="1208"/>
      <c r="I638" s="1209"/>
      <c r="J638" s="1209"/>
      <c r="K638" s="1210"/>
      <c r="L638" s="1210"/>
      <c r="M638" s="1197"/>
      <c r="N638" s="1211"/>
      <c r="O638" s="1212"/>
      <c r="P638" s="1200"/>
      <c r="Q638" s="1200"/>
      <c r="R638" s="1213"/>
      <c r="S638" s="1213"/>
      <c r="T638" s="1213"/>
      <c r="U638" s="1213"/>
      <c r="V638" s="1213"/>
    </row>
    <row r="639" spans="1:22" ht="15" thickTop="1" thickBot="1" x14ac:dyDescent="0.3">
      <c r="A639" s="1207"/>
      <c r="B639" s="1212"/>
      <c r="C639" s="1212"/>
      <c r="D639" s="1212"/>
      <c r="E639" s="1212"/>
      <c r="F639" s="1208"/>
      <c r="G639" s="1208"/>
      <c r="H639" s="1208"/>
      <c r="I639" s="1209"/>
      <c r="J639" s="1209"/>
      <c r="K639" s="1210"/>
      <c r="L639" s="1210"/>
      <c r="M639" s="1197"/>
      <c r="N639" s="1211"/>
      <c r="O639" s="1212"/>
      <c r="P639" s="1200"/>
      <c r="Q639" s="1200"/>
      <c r="R639" s="1213"/>
      <c r="S639" s="1213"/>
      <c r="T639" s="1213"/>
      <c r="U639" s="1213"/>
      <c r="V639" s="1213"/>
    </row>
    <row r="640" spans="1:22" ht="15" thickTop="1" thickBot="1" x14ac:dyDescent="0.3">
      <c r="A640" s="1207"/>
      <c r="B640" s="1212"/>
      <c r="C640" s="1212"/>
      <c r="D640" s="1212"/>
      <c r="E640" s="1212"/>
      <c r="F640" s="1208"/>
      <c r="G640" s="1208"/>
      <c r="H640" s="1208"/>
      <c r="I640" s="1209"/>
      <c r="J640" s="1209"/>
      <c r="K640" s="1210"/>
      <c r="L640" s="1210"/>
      <c r="M640" s="1197"/>
      <c r="N640" s="1211"/>
      <c r="O640" s="1212"/>
      <c r="P640" s="1200"/>
      <c r="Q640" s="1200"/>
      <c r="R640" s="1213"/>
      <c r="S640" s="1213"/>
      <c r="T640" s="1213"/>
      <c r="U640" s="1213"/>
      <c r="V640" s="1213"/>
    </row>
    <row r="641" spans="1:22" ht="15" thickTop="1" thickBot="1" x14ac:dyDescent="0.3">
      <c r="A641" s="1207"/>
      <c r="B641" s="1212"/>
      <c r="C641" s="1212"/>
      <c r="D641" s="1212"/>
      <c r="E641" s="1212"/>
      <c r="F641" s="1208"/>
      <c r="G641" s="1208"/>
      <c r="H641" s="1208"/>
      <c r="I641" s="1209"/>
      <c r="J641" s="1209"/>
      <c r="K641" s="1210"/>
      <c r="L641" s="1210"/>
      <c r="M641" s="1197"/>
      <c r="N641" s="1211"/>
      <c r="O641" s="1212"/>
      <c r="P641" s="1200"/>
      <c r="Q641" s="1200"/>
      <c r="R641" s="1213"/>
      <c r="S641" s="1213"/>
      <c r="T641" s="1213"/>
      <c r="U641" s="1213"/>
      <c r="V641" s="1213"/>
    </row>
    <row r="642" spans="1:22" ht="15" thickTop="1" thickBot="1" x14ac:dyDescent="0.3">
      <c r="A642" s="1207"/>
      <c r="B642" s="1212"/>
      <c r="C642" s="1212"/>
      <c r="D642" s="1212"/>
      <c r="E642" s="1212"/>
      <c r="F642" s="1208"/>
      <c r="G642" s="1208"/>
      <c r="H642" s="1208"/>
      <c r="I642" s="1209"/>
      <c r="J642" s="1209"/>
      <c r="K642" s="1210"/>
      <c r="L642" s="1210"/>
      <c r="M642" s="1197"/>
      <c r="N642" s="1211"/>
      <c r="O642" s="1212"/>
      <c r="P642" s="1200"/>
      <c r="Q642" s="1200"/>
      <c r="R642" s="1213"/>
      <c r="S642" s="1213"/>
      <c r="T642" s="1213"/>
      <c r="U642" s="1213"/>
      <c r="V642" s="1213"/>
    </row>
    <row r="643" spans="1:22" ht="15" thickTop="1" thickBot="1" x14ac:dyDescent="0.3">
      <c r="A643" s="1207"/>
      <c r="B643" s="1212"/>
      <c r="C643" s="1212"/>
      <c r="D643" s="1212"/>
      <c r="E643" s="1212"/>
      <c r="F643" s="1208"/>
      <c r="G643" s="1208"/>
      <c r="H643" s="1208"/>
      <c r="I643" s="1209"/>
      <c r="J643" s="1209"/>
      <c r="K643" s="1210"/>
      <c r="L643" s="1210"/>
      <c r="M643" s="1197"/>
      <c r="N643" s="1211"/>
      <c r="O643" s="1212"/>
      <c r="P643" s="1200"/>
      <c r="Q643" s="1200"/>
      <c r="R643" s="1213"/>
      <c r="S643" s="1213"/>
      <c r="T643" s="1213"/>
      <c r="U643" s="1213"/>
      <c r="V643" s="1213"/>
    </row>
    <row r="644" spans="1:22" ht="15" thickTop="1" thickBot="1" x14ac:dyDescent="0.3">
      <c r="A644" s="1207"/>
      <c r="B644" s="1212"/>
      <c r="C644" s="1212"/>
      <c r="D644" s="1212"/>
      <c r="E644" s="1212"/>
      <c r="F644" s="1208"/>
      <c r="G644" s="1208"/>
      <c r="H644" s="1208"/>
      <c r="I644" s="1209"/>
      <c r="J644" s="1209"/>
      <c r="K644" s="1210"/>
      <c r="L644" s="1210"/>
      <c r="M644" s="1197"/>
      <c r="N644" s="1211"/>
      <c r="O644" s="1212"/>
      <c r="P644" s="1200"/>
      <c r="Q644" s="1200"/>
      <c r="R644" s="1213"/>
      <c r="S644" s="1213"/>
      <c r="T644" s="1213"/>
      <c r="U644" s="1213"/>
      <c r="V644" s="1213"/>
    </row>
    <row r="645" spans="1:22" ht="15" thickTop="1" thickBot="1" x14ac:dyDescent="0.3">
      <c r="A645" s="1207"/>
      <c r="B645" s="1212" t="s">
        <v>1744</v>
      </c>
      <c r="C645" s="1212"/>
      <c r="D645" s="1212"/>
      <c r="E645" s="1212"/>
      <c r="F645" s="1208"/>
      <c r="G645" s="1208"/>
      <c r="H645" s="1208"/>
      <c r="I645" s="1209"/>
      <c r="J645" s="1209"/>
      <c r="K645" s="1210">
        <f t="shared" si="128"/>
        <v>1.05</v>
      </c>
      <c r="L645" s="1210">
        <f t="shared" si="125"/>
        <v>0</v>
      </c>
      <c r="M645" s="1197">
        <f t="shared" si="126"/>
        <v>0</v>
      </c>
      <c r="N645" s="1211">
        <f t="shared" si="127"/>
        <v>0</v>
      </c>
      <c r="O645" s="1212"/>
      <c r="P645" s="1200"/>
      <c r="Q645" s="1200"/>
      <c r="R645" s="1213"/>
      <c r="S645" s="1213"/>
      <c r="T645" s="1213"/>
      <c r="U645" s="1213"/>
      <c r="V645" s="1213"/>
    </row>
    <row r="646" spans="1:22" ht="15" thickTop="1" thickBot="1" x14ac:dyDescent="0.3">
      <c r="A646" s="1207"/>
      <c r="B646" s="1212" t="s">
        <v>1627</v>
      </c>
      <c r="C646" s="1212"/>
      <c r="D646" s="1212"/>
      <c r="E646" s="1212">
        <v>2</v>
      </c>
      <c r="F646" s="1208">
        <f>1</f>
        <v>1</v>
      </c>
      <c r="G646" s="1208">
        <f>1.2</f>
        <v>1.2</v>
      </c>
      <c r="H646" s="1208"/>
      <c r="I646" s="1209">
        <f>G646*F646*E646</f>
        <v>2.4</v>
      </c>
      <c r="J646" s="1209"/>
      <c r="K646" s="1210">
        <f t="shared" si="128"/>
        <v>1.05</v>
      </c>
      <c r="L646" s="1210">
        <f t="shared" si="125"/>
        <v>0</v>
      </c>
      <c r="M646" s="1197">
        <f t="shared" si="126"/>
        <v>0</v>
      </c>
      <c r="N646" s="1211">
        <f t="shared" si="127"/>
        <v>0</v>
      </c>
      <c r="O646" s="1212"/>
      <c r="P646" s="1200"/>
      <c r="Q646" s="1200"/>
      <c r="R646" s="1213"/>
      <c r="S646" s="1213"/>
      <c r="T646" s="1213"/>
      <c r="U646" s="1213"/>
      <c r="V646" s="1213"/>
    </row>
    <row r="647" spans="1:22" ht="15" thickTop="1" thickBot="1" x14ac:dyDescent="0.3">
      <c r="A647" s="1207"/>
      <c r="B647" s="1212" t="s">
        <v>3202</v>
      </c>
      <c r="C647" s="1212"/>
      <c r="D647" s="1212"/>
      <c r="E647" s="1212">
        <v>1</v>
      </c>
      <c r="F647" s="1208">
        <v>1</v>
      </c>
      <c r="G647" s="1208">
        <v>1.2</v>
      </c>
      <c r="H647" s="1208"/>
      <c r="I647" s="1209">
        <f t="shared" ref="I647:I661" si="145">G647*F647*E647</f>
        <v>1.2</v>
      </c>
      <c r="J647" s="1209"/>
      <c r="K647" s="1210">
        <f t="shared" si="128"/>
        <v>1.05</v>
      </c>
      <c r="L647" s="1210">
        <f t="shared" si="125"/>
        <v>0</v>
      </c>
      <c r="M647" s="1197">
        <f t="shared" si="126"/>
        <v>0</v>
      </c>
      <c r="N647" s="1211">
        <f t="shared" si="127"/>
        <v>0</v>
      </c>
      <c r="O647" s="1212"/>
      <c r="P647" s="1200"/>
      <c r="Q647" s="1200"/>
      <c r="R647" s="1213"/>
      <c r="S647" s="1213"/>
      <c r="T647" s="1213"/>
      <c r="U647" s="1213"/>
      <c r="V647" s="1213"/>
    </row>
    <row r="648" spans="1:22" ht="15" thickTop="1" thickBot="1" x14ac:dyDescent="0.3">
      <c r="A648" s="1207"/>
      <c r="B648" s="1212" t="s">
        <v>1628</v>
      </c>
      <c r="C648" s="1212"/>
      <c r="D648" s="1212"/>
      <c r="E648" s="1212">
        <v>1</v>
      </c>
      <c r="F648" s="1208">
        <v>1</v>
      </c>
      <c r="G648" s="1208">
        <v>1</v>
      </c>
      <c r="H648" s="1208"/>
      <c r="I648" s="1209">
        <f t="shared" si="145"/>
        <v>1</v>
      </c>
      <c r="J648" s="1209"/>
      <c r="K648" s="1210">
        <f t="shared" si="128"/>
        <v>1.05</v>
      </c>
      <c r="L648" s="1210">
        <f t="shared" si="125"/>
        <v>0</v>
      </c>
      <c r="M648" s="1197">
        <f t="shared" si="126"/>
        <v>0</v>
      </c>
      <c r="N648" s="1211">
        <f t="shared" si="127"/>
        <v>0</v>
      </c>
      <c r="O648" s="1212"/>
      <c r="P648" s="1200"/>
      <c r="Q648" s="1200"/>
      <c r="R648" s="1213"/>
      <c r="S648" s="1213"/>
      <c r="T648" s="1213"/>
      <c r="U648" s="1213"/>
      <c r="V648" s="1213"/>
    </row>
    <row r="649" spans="1:22" ht="15" thickTop="1" thickBot="1" x14ac:dyDescent="0.3">
      <c r="A649" s="1207"/>
      <c r="B649" s="1212" t="s">
        <v>2137</v>
      </c>
      <c r="C649" s="1212"/>
      <c r="D649" s="1212"/>
      <c r="E649" s="1212">
        <v>1</v>
      </c>
      <c r="F649" s="1208">
        <v>1</v>
      </c>
      <c r="G649" s="1208">
        <v>1.2</v>
      </c>
      <c r="H649" s="1208"/>
      <c r="I649" s="1209">
        <f t="shared" si="145"/>
        <v>1.2</v>
      </c>
      <c r="J649" s="1209"/>
      <c r="K649" s="1210">
        <f t="shared" si="128"/>
        <v>1.05</v>
      </c>
      <c r="L649" s="1210">
        <f t="shared" si="125"/>
        <v>0</v>
      </c>
      <c r="M649" s="1197">
        <f t="shared" si="126"/>
        <v>0</v>
      </c>
      <c r="N649" s="1211">
        <f t="shared" si="127"/>
        <v>0</v>
      </c>
      <c r="O649" s="1212"/>
      <c r="P649" s="1200"/>
      <c r="Q649" s="1200"/>
      <c r="R649" s="1213"/>
      <c r="S649" s="1213"/>
      <c r="T649" s="1213"/>
      <c r="U649" s="1213"/>
      <c r="V649" s="1213"/>
    </row>
    <row r="650" spans="1:22" ht="15" thickTop="1" thickBot="1" x14ac:dyDescent="0.3">
      <c r="A650" s="1207"/>
      <c r="B650" s="1212" t="s">
        <v>2138</v>
      </c>
      <c r="C650" s="1212"/>
      <c r="D650" s="1212"/>
      <c r="E650" s="1212">
        <v>2</v>
      </c>
      <c r="F650" s="1208">
        <v>1</v>
      </c>
      <c r="G650" s="1208">
        <v>1</v>
      </c>
      <c r="H650" s="1208"/>
      <c r="I650" s="1209">
        <f t="shared" si="145"/>
        <v>2</v>
      </c>
      <c r="J650" s="1209"/>
      <c r="K650" s="1210">
        <f t="shared" si="128"/>
        <v>1.05</v>
      </c>
      <c r="L650" s="1210">
        <f t="shared" si="125"/>
        <v>0</v>
      </c>
      <c r="M650" s="1197">
        <f t="shared" si="126"/>
        <v>0</v>
      </c>
      <c r="N650" s="1211">
        <f t="shared" si="127"/>
        <v>0</v>
      </c>
      <c r="O650" s="1212"/>
      <c r="P650" s="1200"/>
      <c r="Q650" s="1200"/>
      <c r="R650" s="1213"/>
      <c r="S650" s="1213"/>
      <c r="T650" s="1213"/>
      <c r="U650" s="1213"/>
      <c r="V650" s="1213"/>
    </row>
    <row r="651" spans="1:22" ht="15" thickTop="1" thickBot="1" x14ac:dyDescent="0.3">
      <c r="A651" s="1207"/>
      <c r="B651" s="1212" t="s">
        <v>2139</v>
      </c>
      <c r="C651" s="1212"/>
      <c r="D651" s="1212"/>
      <c r="E651" s="1212">
        <v>1</v>
      </c>
      <c r="F651" s="1208">
        <v>1</v>
      </c>
      <c r="G651" s="1208">
        <v>1</v>
      </c>
      <c r="H651" s="1208"/>
      <c r="I651" s="1209">
        <f t="shared" si="145"/>
        <v>1</v>
      </c>
      <c r="J651" s="1209"/>
      <c r="K651" s="1210">
        <f t="shared" si="128"/>
        <v>1.05</v>
      </c>
      <c r="L651" s="1210">
        <f t="shared" si="125"/>
        <v>0</v>
      </c>
      <c r="M651" s="1197">
        <f t="shared" si="126"/>
        <v>0</v>
      </c>
      <c r="N651" s="1211">
        <f t="shared" si="127"/>
        <v>0</v>
      </c>
      <c r="O651" s="1212"/>
      <c r="P651" s="1200"/>
      <c r="Q651" s="1200"/>
      <c r="R651" s="1213"/>
      <c r="S651" s="1213"/>
      <c r="T651" s="1213"/>
      <c r="U651" s="1213"/>
      <c r="V651" s="1213"/>
    </row>
    <row r="652" spans="1:22" ht="15" thickTop="1" thickBot="1" x14ac:dyDescent="0.3">
      <c r="A652" s="1207"/>
      <c r="B652" s="1212" t="s">
        <v>2140</v>
      </c>
      <c r="C652" s="1212"/>
      <c r="D652" s="1212"/>
      <c r="E652" s="1212">
        <v>1</v>
      </c>
      <c r="F652" s="1208">
        <v>1.35</v>
      </c>
      <c r="G652" s="1208">
        <v>1.35</v>
      </c>
      <c r="H652" s="1208"/>
      <c r="I652" s="1209">
        <f t="shared" si="145"/>
        <v>1.8225000000000002</v>
      </c>
      <c r="J652" s="1209"/>
      <c r="K652" s="1210">
        <f t="shared" si="128"/>
        <v>1.05</v>
      </c>
      <c r="L652" s="1210">
        <f t="shared" si="125"/>
        <v>0</v>
      </c>
      <c r="M652" s="1197">
        <f t="shared" si="126"/>
        <v>0</v>
      </c>
      <c r="N652" s="1211">
        <f t="shared" si="127"/>
        <v>0</v>
      </c>
      <c r="O652" s="1212"/>
      <c r="P652" s="1200"/>
      <c r="Q652" s="1200"/>
      <c r="R652" s="1213"/>
      <c r="S652" s="1213"/>
      <c r="T652" s="1213"/>
      <c r="U652" s="1213"/>
      <c r="V652" s="1213"/>
    </row>
    <row r="653" spans="1:22" ht="15" thickTop="1" thickBot="1" x14ac:dyDescent="0.3">
      <c r="A653" s="1207"/>
      <c r="B653" s="1212" t="s">
        <v>2141</v>
      </c>
      <c r="C653" s="1212"/>
      <c r="D653" s="1212"/>
      <c r="E653" s="1212">
        <v>1</v>
      </c>
      <c r="F653" s="1208">
        <v>1.3</v>
      </c>
      <c r="G653" s="1208">
        <v>1.3</v>
      </c>
      <c r="H653" s="1208"/>
      <c r="I653" s="1209">
        <f t="shared" si="145"/>
        <v>1.6900000000000002</v>
      </c>
      <c r="J653" s="1209"/>
      <c r="K653" s="1210">
        <f t="shared" si="128"/>
        <v>1.05</v>
      </c>
      <c r="L653" s="1210">
        <f t="shared" si="125"/>
        <v>0</v>
      </c>
      <c r="M653" s="1197">
        <f t="shared" si="126"/>
        <v>0</v>
      </c>
      <c r="N653" s="1211">
        <f t="shared" si="127"/>
        <v>0</v>
      </c>
      <c r="O653" s="1212"/>
      <c r="P653" s="1200"/>
      <c r="Q653" s="1200"/>
      <c r="R653" s="1213"/>
      <c r="S653" s="1213"/>
      <c r="T653" s="1213"/>
      <c r="U653" s="1213"/>
      <c r="V653" s="1213"/>
    </row>
    <row r="654" spans="1:22" ht="15" thickTop="1" thickBot="1" x14ac:dyDescent="0.3">
      <c r="A654" s="1207"/>
      <c r="B654" s="1212" t="s">
        <v>2142</v>
      </c>
      <c r="C654" s="1212"/>
      <c r="D654" s="1212"/>
      <c r="E654" s="1212">
        <v>2</v>
      </c>
      <c r="F654" s="1208">
        <v>1.5</v>
      </c>
      <c r="G654" s="1208">
        <v>1.5</v>
      </c>
      <c r="H654" s="1208"/>
      <c r="I654" s="1209">
        <f t="shared" si="145"/>
        <v>4.5</v>
      </c>
      <c r="J654" s="1209"/>
      <c r="K654" s="1210">
        <f t="shared" si="128"/>
        <v>1.05</v>
      </c>
      <c r="L654" s="1210">
        <f t="shared" si="125"/>
        <v>0</v>
      </c>
      <c r="M654" s="1197">
        <f t="shared" si="126"/>
        <v>0</v>
      </c>
      <c r="N654" s="1211">
        <f t="shared" si="127"/>
        <v>0</v>
      </c>
      <c r="O654" s="1212"/>
      <c r="P654" s="1200"/>
      <c r="Q654" s="1200"/>
      <c r="R654" s="1213"/>
      <c r="S654" s="1213"/>
      <c r="T654" s="1213"/>
      <c r="U654" s="1213"/>
      <c r="V654" s="1213"/>
    </row>
    <row r="655" spans="1:22" ht="15" thickTop="1" thickBot="1" x14ac:dyDescent="0.3">
      <c r="A655" s="1207"/>
      <c r="B655" s="1212" t="s">
        <v>2143</v>
      </c>
      <c r="C655" s="1212"/>
      <c r="D655" s="1212"/>
      <c r="E655" s="1212">
        <v>3</v>
      </c>
      <c r="F655" s="1208">
        <v>1.65</v>
      </c>
      <c r="G655" s="1208">
        <v>1.65</v>
      </c>
      <c r="H655" s="1208"/>
      <c r="I655" s="1209">
        <f t="shared" si="145"/>
        <v>8.1674999999999986</v>
      </c>
      <c r="J655" s="1209"/>
      <c r="K655" s="1210">
        <f t="shared" si="128"/>
        <v>1.05</v>
      </c>
      <c r="L655" s="1210">
        <f t="shared" si="125"/>
        <v>0</v>
      </c>
      <c r="M655" s="1197">
        <f t="shared" si="126"/>
        <v>0</v>
      </c>
      <c r="N655" s="1211">
        <f t="shared" si="127"/>
        <v>0</v>
      </c>
      <c r="O655" s="1212"/>
      <c r="P655" s="1200"/>
      <c r="Q655" s="1200"/>
      <c r="R655" s="1213"/>
      <c r="S655" s="1213"/>
      <c r="T655" s="1213"/>
      <c r="U655" s="1213"/>
      <c r="V655" s="1213"/>
    </row>
    <row r="656" spans="1:22" ht="15" thickTop="1" thickBot="1" x14ac:dyDescent="0.3">
      <c r="A656" s="1207"/>
      <c r="B656" s="1212" t="s">
        <v>3203</v>
      </c>
      <c r="C656" s="1212"/>
      <c r="D656" s="1212"/>
      <c r="E656" s="1212">
        <v>1</v>
      </c>
      <c r="F656" s="1208">
        <v>1.65</v>
      </c>
      <c r="G656" s="1208">
        <v>1.65</v>
      </c>
      <c r="H656" s="1208"/>
      <c r="I656" s="1209">
        <f t="shared" si="145"/>
        <v>2.7224999999999997</v>
      </c>
      <c r="J656" s="1209"/>
      <c r="K656" s="1210">
        <f t="shared" si="128"/>
        <v>1.05</v>
      </c>
      <c r="L656" s="1210">
        <f t="shared" si="125"/>
        <v>0</v>
      </c>
      <c r="M656" s="1197">
        <f t="shared" si="126"/>
        <v>0</v>
      </c>
      <c r="N656" s="1211">
        <f t="shared" si="127"/>
        <v>0</v>
      </c>
      <c r="O656" s="1212"/>
      <c r="P656" s="1200"/>
      <c r="Q656" s="1200"/>
      <c r="R656" s="1213"/>
      <c r="S656" s="1213"/>
      <c r="T656" s="1213"/>
      <c r="U656" s="1213"/>
      <c r="V656" s="1213"/>
    </row>
    <row r="657" spans="1:22" ht="15" thickTop="1" thickBot="1" x14ac:dyDescent="0.3">
      <c r="A657" s="1207"/>
      <c r="B657" s="1212" t="s">
        <v>2144</v>
      </c>
      <c r="C657" s="1212"/>
      <c r="D657" s="1212"/>
      <c r="E657" s="1212">
        <v>3</v>
      </c>
      <c r="F657" s="1208">
        <v>1.2</v>
      </c>
      <c r="G657" s="1208">
        <v>1.2</v>
      </c>
      <c r="H657" s="1208"/>
      <c r="I657" s="1209">
        <f t="shared" si="145"/>
        <v>4.32</v>
      </c>
      <c r="J657" s="1209"/>
      <c r="K657" s="1210">
        <f t="shared" si="128"/>
        <v>1.05</v>
      </c>
      <c r="L657" s="1210">
        <f t="shared" si="125"/>
        <v>0</v>
      </c>
      <c r="M657" s="1197">
        <f t="shared" si="126"/>
        <v>0</v>
      </c>
      <c r="N657" s="1211">
        <f t="shared" si="127"/>
        <v>0</v>
      </c>
      <c r="O657" s="1212"/>
      <c r="P657" s="1200"/>
      <c r="Q657" s="1200"/>
      <c r="R657" s="1213"/>
      <c r="S657" s="1213"/>
      <c r="T657" s="1213"/>
      <c r="U657" s="1213"/>
      <c r="V657" s="1213"/>
    </row>
    <row r="658" spans="1:22" ht="15" thickTop="1" thickBot="1" x14ac:dyDescent="0.3">
      <c r="A658" s="1207"/>
      <c r="B658" s="1212" t="s">
        <v>2145</v>
      </c>
      <c r="C658" s="1212"/>
      <c r="D658" s="1212"/>
      <c r="E658" s="1212">
        <v>4</v>
      </c>
      <c r="F658" s="1208">
        <v>1.2</v>
      </c>
      <c r="G658" s="1208">
        <v>1.3</v>
      </c>
      <c r="H658" s="1208"/>
      <c r="I658" s="1209">
        <f t="shared" si="145"/>
        <v>6.24</v>
      </c>
      <c r="J658" s="1209"/>
      <c r="K658" s="1210">
        <f t="shared" si="128"/>
        <v>1.05</v>
      </c>
      <c r="L658" s="1210">
        <f t="shared" si="125"/>
        <v>0</v>
      </c>
      <c r="M658" s="1197">
        <f t="shared" si="126"/>
        <v>0</v>
      </c>
      <c r="N658" s="1211">
        <f t="shared" si="127"/>
        <v>0</v>
      </c>
      <c r="O658" s="1212"/>
      <c r="P658" s="1200"/>
      <c r="Q658" s="1200"/>
      <c r="R658" s="1213"/>
      <c r="S658" s="1213"/>
      <c r="T658" s="1213"/>
      <c r="U658" s="1213"/>
      <c r="V658" s="1213"/>
    </row>
    <row r="659" spans="1:22" ht="15" thickTop="1" thickBot="1" x14ac:dyDescent="0.3">
      <c r="A659" s="1207"/>
      <c r="B659" s="1212" t="s">
        <v>2146</v>
      </c>
      <c r="C659" s="1212"/>
      <c r="D659" s="1212"/>
      <c r="E659" s="1212">
        <v>2</v>
      </c>
      <c r="F659" s="1208">
        <v>1</v>
      </c>
      <c r="G659" s="1208">
        <v>1.2</v>
      </c>
      <c r="H659" s="1208"/>
      <c r="I659" s="1209">
        <f t="shared" si="145"/>
        <v>2.4</v>
      </c>
      <c r="J659" s="1209"/>
      <c r="K659" s="1210">
        <f t="shared" si="128"/>
        <v>1.05</v>
      </c>
      <c r="L659" s="1210">
        <f t="shared" si="125"/>
        <v>0</v>
      </c>
      <c r="M659" s="1197">
        <f t="shared" si="126"/>
        <v>0</v>
      </c>
      <c r="N659" s="1211">
        <f t="shared" si="127"/>
        <v>0</v>
      </c>
      <c r="O659" s="1212"/>
      <c r="P659" s="1200"/>
      <c r="Q659" s="1200"/>
      <c r="R659" s="1213"/>
      <c r="S659" s="1213"/>
      <c r="T659" s="1213"/>
      <c r="U659" s="1213"/>
      <c r="V659" s="1213"/>
    </row>
    <row r="660" spans="1:22" ht="15" thickTop="1" thickBot="1" x14ac:dyDescent="0.3">
      <c r="A660" s="1207"/>
      <c r="B660" s="1212" t="s">
        <v>2147</v>
      </c>
      <c r="C660" s="1212"/>
      <c r="D660" s="1212"/>
      <c r="E660" s="1212">
        <v>2</v>
      </c>
      <c r="F660" s="1208">
        <v>1.2</v>
      </c>
      <c r="G660" s="1208">
        <v>1.2</v>
      </c>
      <c r="H660" s="1208"/>
      <c r="I660" s="1209">
        <f t="shared" si="145"/>
        <v>2.88</v>
      </c>
      <c r="J660" s="1209"/>
      <c r="K660" s="1210">
        <f t="shared" si="128"/>
        <v>1.05</v>
      </c>
      <c r="L660" s="1210">
        <f t="shared" si="125"/>
        <v>0</v>
      </c>
      <c r="M660" s="1197">
        <f t="shared" si="126"/>
        <v>0</v>
      </c>
      <c r="N660" s="1211">
        <f t="shared" si="127"/>
        <v>0</v>
      </c>
      <c r="O660" s="1212"/>
      <c r="P660" s="1200"/>
      <c r="Q660" s="1200"/>
      <c r="R660" s="1213"/>
      <c r="S660" s="1213"/>
      <c r="T660" s="1213"/>
      <c r="U660" s="1213"/>
      <c r="V660" s="1213"/>
    </row>
    <row r="661" spans="1:22" ht="15" thickTop="1" thickBot="1" x14ac:dyDescent="0.3">
      <c r="A661" s="1207"/>
      <c r="B661" s="1212" t="s">
        <v>2148</v>
      </c>
      <c r="C661" s="1212"/>
      <c r="D661" s="1212"/>
      <c r="E661" s="1212">
        <v>2</v>
      </c>
      <c r="F661" s="1208">
        <v>0.9</v>
      </c>
      <c r="G661" s="1208">
        <v>0.9</v>
      </c>
      <c r="H661" s="1208"/>
      <c r="I661" s="1209">
        <f t="shared" si="145"/>
        <v>1.62</v>
      </c>
      <c r="J661" s="1209"/>
      <c r="K661" s="1210">
        <f t="shared" si="128"/>
        <v>1.05</v>
      </c>
      <c r="L661" s="1210">
        <f t="shared" ref="L661:L816" si="146">K661*J661</f>
        <v>0</v>
      </c>
      <c r="M661" s="1197">
        <f t="shared" ref="M661:M816" si="147">ROUND(L661,1)</f>
        <v>0</v>
      </c>
      <c r="N661" s="1211">
        <f t="shared" ref="N661:N816" si="148">ROUNDUP(M661,0)</f>
        <v>0</v>
      </c>
      <c r="O661" s="1212"/>
      <c r="P661" s="1200"/>
      <c r="Q661" s="1200"/>
      <c r="R661" s="1213"/>
      <c r="S661" s="1213"/>
      <c r="T661" s="1213"/>
      <c r="U661" s="1213"/>
      <c r="V661" s="1213"/>
    </row>
    <row r="662" spans="1:22" ht="15" thickTop="1" thickBot="1" x14ac:dyDescent="0.3">
      <c r="A662" s="1207"/>
      <c r="B662" s="1212"/>
      <c r="C662" s="1212"/>
      <c r="D662" s="1212"/>
      <c r="E662" s="1212"/>
      <c r="F662" s="1208"/>
      <c r="G662" s="1208"/>
      <c r="H662" s="1208"/>
      <c r="I662" s="1209"/>
      <c r="J662" s="1209"/>
      <c r="K662" s="1210"/>
      <c r="L662" s="1210"/>
      <c r="M662" s="1197"/>
      <c r="N662" s="1211"/>
      <c r="O662" s="1212"/>
      <c r="P662" s="1200"/>
      <c r="Q662" s="1200"/>
      <c r="R662" s="1213"/>
      <c r="S662" s="1213"/>
      <c r="T662" s="1213"/>
      <c r="U662" s="1213"/>
      <c r="V662" s="1213"/>
    </row>
    <row r="663" spans="1:22" ht="15" thickTop="1" thickBot="1" x14ac:dyDescent="0.3">
      <c r="A663" s="1207"/>
      <c r="B663" s="1212" t="s">
        <v>698</v>
      </c>
      <c r="C663" s="1212"/>
      <c r="D663" s="1212"/>
      <c r="E663" s="1212"/>
      <c r="F663" s="1208"/>
      <c r="G663" s="1208"/>
      <c r="H663" s="1208"/>
      <c r="I663" s="1209"/>
      <c r="J663" s="1209"/>
      <c r="K663" s="1210">
        <f t="shared" si="128"/>
        <v>1.05</v>
      </c>
      <c r="L663" s="1210">
        <f t="shared" si="146"/>
        <v>0</v>
      </c>
      <c r="M663" s="1197">
        <f t="shared" si="147"/>
        <v>0</v>
      </c>
      <c r="N663" s="1211">
        <f t="shared" si="148"/>
        <v>0</v>
      </c>
      <c r="O663" s="1212"/>
      <c r="P663" s="1200"/>
      <c r="Q663" s="1200"/>
      <c r="R663" s="1213"/>
      <c r="S663" s="1213"/>
      <c r="T663" s="1213"/>
      <c r="U663" s="1213"/>
      <c r="V663" s="1213"/>
    </row>
    <row r="664" spans="1:22" ht="15" thickTop="1" thickBot="1" x14ac:dyDescent="0.3">
      <c r="A664" s="1207"/>
      <c r="B664" s="1212" t="s">
        <v>1622</v>
      </c>
      <c r="C664" s="1212"/>
      <c r="D664" s="1212"/>
      <c r="E664" s="1212"/>
      <c r="F664" s="1208">
        <v>3.5779999999999998</v>
      </c>
      <c r="G664" s="1208">
        <v>0.45</v>
      </c>
      <c r="H664" s="1208"/>
      <c r="I664" s="1209">
        <f>G664*F664</f>
        <v>1.6100999999999999</v>
      </c>
      <c r="J664" s="1209"/>
      <c r="K664" s="1210">
        <f t="shared" si="128"/>
        <v>1.05</v>
      </c>
      <c r="L664" s="1210">
        <f t="shared" si="146"/>
        <v>0</v>
      </c>
      <c r="M664" s="1197">
        <f t="shared" si="147"/>
        <v>0</v>
      </c>
      <c r="N664" s="1211">
        <f t="shared" si="148"/>
        <v>0</v>
      </c>
      <c r="O664" s="1212"/>
      <c r="P664" s="1200"/>
      <c r="Q664" s="1200"/>
      <c r="R664" s="1213"/>
      <c r="S664" s="1213"/>
      <c r="T664" s="1213"/>
      <c r="U664" s="1213"/>
      <c r="V664" s="1213"/>
    </row>
    <row r="665" spans="1:22" ht="15" thickTop="1" thickBot="1" x14ac:dyDescent="0.3">
      <c r="A665" s="1207"/>
      <c r="B665" s="1212"/>
      <c r="C665" s="1212"/>
      <c r="D665" s="1212"/>
      <c r="E665" s="1212"/>
      <c r="F665" s="1208">
        <v>8.0190000000000001</v>
      </c>
      <c r="G665" s="1208">
        <v>0.45</v>
      </c>
      <c r="H665" s="1208"/>
      <c r="I665" s="1209">
        <f t="shared" ref="I665:I690" si="149">G665*F665</f>
        <v>3.6085500000000001</v>
      </c>
      <c r="J665" s="1209"/>
      <c r="K665" s="1210">
        <f t="shared" si="128"/>
        <v>1.05</v>
      </c>
      <c r="L665" s="1210">
        <f t="shared" si="146"/>
        <v>0</v>
      </c>
      <c r="M665" s="1197">
        <f t="shared" si="147"/>
        <v>0</v>
      </c>
      <c r="N665" s="1211">
        <f t="shared" si="148"/>
        <v>0</v>
      </c>
      <c r="O665" s="1212"/>
      <c r="P665" s="1200"/>
      <c r="Q665" s="1200"/>
      <c r="R665" s="1213"/>
      <c r="S665" s="1213"/>
      <c r="T665" s="1213"/>
      <c r="U665" s="1213"/>
      <c r="V665" s="1213"/>
    </row>
    <row r="666" spans="1:22" ht="15" thickTop="1" thickBot="1" x14ac:dyDescent="0.3">
      <c r="A666" s="1207"/>
      <c r="B666" s="1212"/>
      <c r="C666" s="1212"/>
      <c r="D666" s="1212"/>
      <c r="E666" s="1212"/>
      <c r="F666" s="1208">
        <v>8.1750000000000007</v>
      </c>
      <c r="G666" s="1208">
        <v>0.45</v>
      </c>
      <c r="H666" s="1208"/>
      <c r="I666" s="1209">
        <f t="shared" si="149"/>
        <v>3.6787500000000004</v>
      </c>
      <c r="J666" s="1209"/>
      <c r="K666" s="1210">
        <f t="shared" si="128"/>
        <v>1.05</v>
      </c>
      <c r="L666" s="1210">
        <f t="shared" si="146"/>
        <v>0</v>
      </c>
      <c r="M666" s="1197">
        <f t="shared" si="147"/>
        <v>0</v>
      </c>
      <c r="N666" s="1211">
        <f t="shared" si="148"/>
        <v>0</v>
      </c>
      <c r="O666" s="1212"/>
      <c r="P666" s="1200"/>
      <c r="Q666" s="1200"/>
      <c r="R666" s="1213"/>
      <c r="S666" s="1213"/>
      <c r="T666" s="1213"/>
      <c r="U666" s="1213"/>
      <c r="V666" s="1213"/>
    </row>
    <row r="667" spans="1:22" ht="15" thickTop="1" thickBot="1" x14ac:dyDescent="0.3">
      <c r="A667" s="1207"/>
      <c r="B667" s="1212"/>
      <c r="C667" s="1212"/>
      <c r="D667" s="1212"/>
      <c r="E667" s="1212"/>
      <c r="F667" s="1208">
        <v>3.8130000000000002</v>
      </c>
      <c r="G667" s="1208">
        <v>0.45</v>
      </c>
      <c r="H667" s="1208"/>
      <c r="I667" s="1209">
        <f t="shared" si="149"/>
        <v>1.7158500000000001</v>
      </c>
      <c r="J667" s="1209"/>
      <c r="K667" s="1210">
        <f t="shared" si="128"/>
        <v>1.05</v>
      </c>
      <c r="L667" s="1210">
        <f t="shared" si="146"/>
        <v>0</v>
      </c>
      <c r="M667" s="1197">
        <f t="shared" si="147"/>
        <v>0</v>
      </c>
      <c r="N667" s="1211">
        <f t="shared" si="148"/>
        <v>0</v>
      </c>
      <c r="O667" s="1212"/>
      <c r="P667" s="1200"/>
      <c r="Q667" s="1200"/>
      <c r="R667" s="1213"/>
      <c r="S667" s="1213"/>
      <c r="T667" s="1213"/>
      <c r="U667" s="1213"/>
      <c r="V667" s="1213"/>
    </row>
    <row r="668" spans="1:22" ht="15" thickTop="1" thickBot="1" x14ac:dyDescent="0.3">
      <c r="A668" s="1207"/>
      <c r="B668" s="1212"/>
      <c r="C668" s="1212"/>
      <c r="D668" s="1212"/>
      <c r="E668" s="1212"/>
      <c r="F668" s="1208">
        <v>4.3</v>
      </c>
      <c r="G668" s="1208">
        <v>0.45</v>
      </c>
      <c r="H668" s="1208"/>
      <c r="I668" s="1209">
        <f t="shared" si="149"/>
        <v>1.9350000000000001</v>
      </c>
      <c r="J668" s="1209"/>
      <c r="K668" s="1210">
        <f t="shared" si="128"/>
        <v>1.05</v>
      </c>
      <c r="L668" s="1210">
        <f t="shared" si="146"/>
        <v>0</v>
      </c>
      <c r="M668" s="1197">
        <f t="shared" si="147"/>
        <v>0</v>
      </c>
      <c r="N668" s="1211">
        <f t="shared" si="148"/>
        <v>0</v>
      </c>
      <c r="O668" s="1212"/>
      <c r="P668" s="1200"/>
      <c r="Q668" s="1200"/>
      <c r="R668" s="1213"/>
      <c r="S668" s="1213"/>
      <c r="T668" s="1213"/>
      <c r="U668" s="1213"/>
      <c r="V668" s="1213"/>
    </row>
    <row r="669" spans="1:22" ht="15" thickTop="1" thickBot="1" x14ac:dyDescent="0.3">
      <c r="A669" s="1207"/>
      <c r="B669" s="1212"/>
      <c r="C669" s="1212"/>
      <c r="D669" s="1212"/>
      <c r="E669" s="1212"/>
      <c r="F669" s="1208">
        <v>5.39</v>
      </c>
      <c r="G669" s="1208">
        <v>0.45</v>
      </c>
      <c r="H669" s="1208"/>
      <c r="I669" s="1209">
        <f t="shared" si="149"/>
        <v>2.4255</v>
      </c>
      <c r="J669" s="1209"/>
      <c r="K669" s="1210">
        <f t="shared" si="128"/>
        <v>1.05</v>
      </c>
      <c r="L669" s="1210">
        <f t="shared" si="146"/>
        <v>0</v>
      </c>
      <c r="M669" s="1197">
        <f t="shared" si="147"/>
        <v>0</v>
      </c>
      <c r="N669" s="1211">
        <f t="shared" si="148"/>
        <v>0</v>
      </c>
      <c r="O669" s="1212"/>
      <c r="P669" s="1200"/>
      <c r="Q669" s="1200"/>
      <c r="R669" s="1213"/>
      <c r="S669" s="1213"/>
      <c r="T669" s="1213"/>
      <c r="U669" s="1213"/>
      <c r="V669" s="1213"/>
    </row>
    <row r="670" spans="1:22" ht="15" thickTop="1" thickBot="1" x14ac:dyDescent="0.3">
      <c r="A670" s="1207"/>
      <c r="B670" s="1212"/>
      <c r="C670" s="1212"/>
      <c r="D670" s="1212"/>
      <c r="E670" s="1212"/>
      <c r="F670" s="1208">
        <v>5.6</v>
      </c>
      <c r="G670" s="1208">
        <v>0.45</v>
      </c>
      <c r="H670" s="1208"/>
      <c r="I670" s="1209">
        <f t="shared" si="149"/>
        <v>2.52</v>
      </c>
      <c r="J670" s="1209"/>
      <c r="K670" s="1210">
        <f t="shared" si="128"/>
        <v>1.05</v>
      </c>
      <c r="L670" s="1210">
        <f t="shared" si="146"/>
        <v>0</v>
      </c>
      <c r="M670" s="1197">
        <f t="shared" si="147"/>
        <v>0</v>
      </c>
      <c r="N670" s="1211">
        <f t="shared" si="148"/>
        <v>0</v>
      </c>
      <c r="O670" s="1212"/>
      <c r="P670" s="1200"/>
      <c r="Q670" s="1200"/>
      <c r="R670" s="1213"/>
      <c r="S670" s="1213"/>
      <c r="T670" s="1213"/>
      <c r="U670" s="1213"/>
      <c r="V670" s="1213"/>
    </row>
    <row r="671" spans="1:22" ht="15" thickTop="1" thickBot="1" x14ac:dyDescent="0.3">
      <c r="A671" s="1207"/>
      <c r="B671" s="1212"/>
      <c r="C671" s="1212"/>
      <c r="D671" s="1212"/>
      <c r="E671" s="1212"/>
      <c r="F671" s="1208">
        <v>3.65</v>
      </c>
      <c r="G671" s="1208">
        <v>0.45</v>
      </c>
      <c r="H671" s="1208"/>
      <c r="I671" s="1209">
        <f t="shared" si="149"/>
        <v>1.6425000000000001</v>
      </c>
      <c r="J671" s="1209"/>
      <c r="K671" s="1210">
        <f t="shared" si="128"/>
        <v>1.05</v>
      </c>
      <c r="L671" s="1210">
        <f t="shared" si="146"/>
        <v>0</v>
      </c>
      <c r="M671" s="1197">
        <f t="shared" si="147"/>
        <v>0</v>
      </c>
      <c r="N671" s="1211">
        <f t="shared" si="148"/>
        <v>0</v>
      </c>
      <c r="O671" s="1212"/>
      <c r="P671" s="1200"/>
      <c r="Q671" s="1200"/>
      <c r="R671" s="1213"/>
      <c r="S671" s="1213"/>
      <c r="T671" s="1213"/>
      <c r="U671" s="1213"/>
      <c r="V671" s="1213"/>
    </row>
    <row r="672" spans="1:22" ht="15" thickTop="1" thickBot="1" x14ac:dyDescent="0.3">
      <c r="A672" s="1207"/>
      <c r="B672" s="1212"/>
      <c r="C672" s="1212"/>
      <c r="D672" s="1212"/>
      <c r="E672" s="1212"/>
      <c r="F672" s="1208">
        <v>5.3</v>
      </c>
      <c r="G672" s="1208">
        <v>0.45</v>
      </c>
      <c r="H672" s="1208"/>
      <c r="I672" s="1209">
        <f t="shared" si="149"/>
        <v>2.3849999999999998</v>
      </c>
      <c r="J672" s="1209"/>
      <c r="K672" s="1210">
        <f t="shared" si="128"/>
        <v>1.05</v>
      </c>
      <c r="L672" s="1210">
        <f t="shared" si="146"/>
        <v>0</v>
      </c>
      <c r="M672" s="1197">
        <f t="shared" si="147"/>
        <v>0</v>
      </c>
      <c r="N672" s="1211">
        <f t="shared" si="148"/>
        <v>0</v>
      </c>
      <c r="O672" s="1212"/>
      <c r="P672" s="1200"/>
      <c r="Q672" s="1200"/>
      <c r="R672" s="1213"/>
      <c r="S672" s="1213"/>
      <c r="T672" s="1213"/>
      <c r="U672" s="1213"/>
      <c r="V672" s="1213"/>
    </row>
    <row r="673" spans="1:22" ht="15" thickTop="1" thickBot="1" x14ac:dyDescent="0.3">
      <c r="A673" s="1207"/>
      <c r="B673" s="1212"/>
      <c r="C673" s="1212"/>
      <c r="D673" s="1212"/>
      <c r="E673" s="1212"/>
      <c r="F673" s="1208">
        <v>1.5</v>
      </c>
      <c r="G673" s="1208">
        <v>0.45</v>
      </c>
      <c r="H673" s="1208"/>
      <c r="I673" s="1209">
        <f t="shared" si="149"/>
        <v>0.67500000000000004</v>
      </c>
      <c r="J673" s="1209"/>
      <c r="K673" s="1210">
        <f t="shared" si="128"/>
        <v>1.05</v>
      </c>
      <c r="L673" s="1210">
        <f t="shared" si="146"/>
        <v>0</v>
      </c>
      <c r="M673" s="1197">
        <f t="shared" si="147"/>
        <v>0</v>
      </c>
      <c r="N673" s="1211">
        <f t="shared" si="148"/>
        <v>0</v>
      </c>
      <c r="O673" s="1212"/>
      <c r="P673" s="1200"/>
      <c r="Q673" s="1200"/>
      <c r="R673" s="1213"/>
      <c r="S673" s="1213"/>
      <c r="T673" s="1213"/>
      <c r="U673" s="1213"/>
      <c r="V673" s="1213"/>
    </row>
    <row r="674" spans="1:22" ht="15" thickTop="1" thickBot="1" x14ac:dyDescent="0.3">
      <c r="A674" s="1207"/>
      <c r="B674" s="1212"/>
      <c r="C674" s="1212"/>
      <c r="D674" s="1212"/>
      <c r="E674" s="1212"/>
      <c r="F674" s="1208">
        <v>9.7360000000000007</v>
      </c>
      <c r="G674" s="1208">
        <v>0.45</v>
      </c>
      <c r="H674" s="1208"/>
      <c r="I674" s="1209">
        <f t="shared" si="149"/>
        <v>4.3812000000000006</v>
      </c>
      <c r="J674" s="1209"/>
      <c r="K674" s="1210">
        <f t="shared" si="128"/>
        <v>1.05</v>
      </c>
      <c r="L674" s="1210">
        <f t="shared" si="146"/>
        <v>0</v>
      </c>
      <c r="M674" s="1197">
        <f t="shared" si="147"/>
        <v>0</v>
      </c>
      <c r="N674" s="1211">
        <f t="shared" si="148"/>
        <v>0</v>
      </c>
      <c r="O674" s="1212"/>
      <c r="P674" s="1200"/>
      <c r="Q674" s="1200"/>
      <c r="R674" s="1213"/>
      <c r="S674" s="1213"/>
      <c r="T674" s="1213"/>
      <c r="U674" s="1213"/>
      <c r="V674" s="1213"/>
    </row>
    <row r="675" spans="1:22" ht="15" thickTop="1" thickBot="1" x14ac:dyDescent="0.3">
      <c r="A675" s="1207"/>
      <c r="B675" s="1212"/>
      <c r="C675" s="1212"/>
      <c r="D675" s="1212"/>
      <c r="E675" s="1212"/>
      <c r="F675" s="1208"/>
      <c r="G675" s="1208"/>
      <c r="H675" s="1208"/>
      <c r="I675" s="1209">
        <f t="shared" si="149"/>
        <v>0</v>
      </c>
      <c r="J675" s="1209"/>
      <c r="K675" s="1210">
        <f t="shared" si="128"/>
        <v>1.05</v>
      </c>
      <c r="L675" s="1210">
        <f t="shared" si="146"/>
        <v>0</v>
      </c>
      <c r="M675" s="1197">
        <f t="shared" si="147"/>
        <v>0</v>
      </c>
      <c r="N675" s="1211">
        <f t="shared" si="148"/>
        <v>0</v>
      </c>
      <c r="O675" s="1212"/>
      <c r="P675" s="1200"/>
      <c r="Q675" s="1200"/>
      <c r="R675" s="1213"/>
      <c r="S675" s="1213"/>
      <c r="T675" s="1213"/>
      <c r="U675" s="1213"/>
      <c r="V675" s="1213"/>
    </row>
    <row r="676" spans="1:22" ht="15" thickTop="1" thickBot="1" x14ac:dyDescent="0.3">
      <c r="A676" s="1207"/>
      <c r="B676" s="1212" t="s">
        <v>1623</v>
      </c>
      <c r="C676" s="1212"/>
      <c r="D676" s="1212"/>
      <c r="E676" s="1212"/>
      <c r="F676" s="1208">
        <v>1.25</v>
      </c>
      <c r="G676" s="1208">
        <v>0.32500000000000001</v>
      </c>
      <c r="H676" s="1208"/>
      <c r="I676" s="1209">
        <f t="shared" si="149"/>
        <v>0.40625</v>
      </c>
      <c r="J676" s="1209"/>
      <c r="K676" s="1210">
        <f t="shared" si="128"/>
        <v>1.05</v>
      </c>
      <c r="L676" s="1210">
        <f t="shared" si="146"/>
        <v>0</v>
      </c>
      <c r="M676" s="1197">
        <f t="shared" si="147"/>
        <v>0</v>
      </c>
      <c r="N676" s="1211">
        <f t="shared" si="148"/>
        <v>0</v>
      </c>
      <c r="O676" s="1212"/>
      <c r="P676" s="1200"/>
      <c r="Q676" s="1200"/>
      <c r="R676" s="1213"/>
      <c r="S676" s="1213"/>
      <c r="T676" s="1213"/>
      <c r="U676" s="1213"/>
      <c r="V676" s="1213"/>
    </row>
    <row r="677" spans="1:22" ht="15" thickTop="1" thickBot="1" x14ac:dyDescent="0.3">
      <c r="A677" s="1207"/>
      <c r="B677" s="1212"/>
      <c r="C677" s="1212"/>
      <c r="D677" s="1212"/>
      <c r="E677" s="1212"/>
      <c r="F677" s="1208">
        <v>1.3</v>
      </c>
      <c r="G677" s="1208">
        <v>0.32500000000000001</v>
      </c>
      <c r="H677" s="1208"/>
      <c r="I677" s="1209">
        <f t="shared" si="149"/>
        <v>0.42250000000000004</v>
      </c>
      <c r="J677" s="1209"/>
      <c r="K677" s="1210">
        <f t="shared" si="128"/>
        <v>1.05</v>
      </c>
      <c r="L677" s="1210">
        <f t="shared" si="146"/>
        <v>0</v>
      </c>
      <c r="M677" s="1197">
        <f t="shared" si="147"/>
        <v>0</v>
      </c>
      <c r="N677" s="1211">
        <f t="shared" si="148"/>
        <v>0</v>
      </c>
      <c r="O677" s="1212"/>
      <c r="P677" s="1200"/>
      <c r="Q677" s="1200"/>
      <c r="R677" s="1213"/>
      <c r="S677" s="1213"/>
      <c r="T677" s="1213"/>
      <c r="U677" s="1213"/>
      <c r="V677" s="1213"/>
    </row>
    <row r="678" spans="1:22" ht="15" thickTop="1" thickBot="1" x14ac:dyDescent="0.3">
      <c r="A678" s="1207"/>
      <c r="B678" s="1212"/>
      <c r="C678" s="1212"/>
      <c r="D678" s="1212"/>
      <c r="E678" s="1212"/>
      <c r="F678" s="1208">
        <v>1</v>
      </c>
      <c r="G678" s="1208">
        <v>0.32500000000000001</v>
      </c>
      <c r="H678" s="1208"/>
      <c r="I678" s="1209">
        <f t="shared" si="149"/>
        <v>0.32500000000000001</v>
      </c>
      <c r="J678" s="1209"/>
      <c r="K678" s="1210">
        <f t="shared" si="128"/>
        <v>1.05</v>
      </c>
      <c r="L678" s="1210">
        <f t="shared" si="146"/>
        <v>0</v>
      </c>
      <c r="M678" s="1197">
        <f t="shared" si="147"/>
        <v>0</v>
      </c>
      <c r="N678" s="1211">
        <f t="shared" si="148"/>
        <v>0</v>
      </c>
      <c r="O678" s="1212"/>
      <c r="P678" s="1200"/>
      <c r="Q678" s="1200"/>
      <c r="R678" s="1213"/>
      <c r="S678" s="1213"/>
      <c r="T678" s="1213"/>
      <c r="U678" s="1213"/>
      <c r="V678" s="1213"/>
    </row>
    <row r="679" spans="1:22" ht="15" thickTop="1" thickBot="1" x14ac:dyDescent="0.3">
      <c r="A679" s="1207"/>
      <c r="B679" s="1212"/>
      <c r="C679" s="1212"/>
      <c r="D679" s="1212"/>
      <c r="E679" s="1212"/>
      <c r="F679" s="1208">
        <v>2.0499999999999998</v>
      </c>
      <c r="G679" s="1208">
        <v>0.32500000000000001</v>
      </c>
      <c r="H679" s="1208"/>
      <c r="I679" s="1209">
        <f t="shared" si="149"/>
        <v>0.66625000000000001</v>
      </c>
      <c r="J679" s="1209"/>
      <c r="K679" s="1210">
        <f t="shared" si="128"/>
        <v>1.05</v>
      </c>
      <c r="L679" s="1210">
        <f t="shared" si="146"/>
        <v>0</v>
      </c>
      <c r="M679" s="1197">
        <f t="shared" si="147"/>
        <v>0</v>
      </c>
      <c r="N679" s="1211">
        <f t="shared" si="148"/>
        <v>0</v>
      </c>
      <c r="O679" s="1212"/>
      <c r="P679" s="1200"/>
      <c r="Q679" s="1200"/>
      <c r="R679" s="1213"/>
      <c r="S679" s="1213"/>
      <c r="T679" s="1213"/>
      <c r="U679" s="1213"/>
      <c r="V679" s="1213"/>
    </row>
    <row r="680" spans="1:22" ht="15" thickTop="1" thickBot="1" x14ac:dyDescent="0.3">
      <c r="A680" s="1207"/>
      <c r="B680" s="1212"/>
      <c r="C680" s="1212"/>
      <c r="D680" s="1212"/>
      <c r="E680" s="1212"/>
      <c r="F680" s="1208">
        <v>1.5</v>
      </c>
      <c r="G680" s="1208">
        <v>0.32500000000000001</v>
      </c>
      <c r="H680" s="1208"/>
      <c r="I680" s="1209">
        <f t="shared" si="149"/>
        <v>0.48750000000000004</v>
      </c>
      <c r="J680" s="1209"/>
      <c r="K680" s="1210">
        <f t="shared" si="128"/>
        <v>1.05</v>
      </c>
      <c r="L680" s="1210">
        <f t="shared" si="146"/>
        <v>0</v>
      </c>
      <c r="M680" s="1197">
        <f t="shared" si="147"/>
        <v>0</v>
      </c>
      <c r="N680" s="1211">
        <f t="shared" si="148"/>
        <v>0</v>
      </c>
      <c r="O680" s="1212"/>
      <c r="P680" s="1200"/>
      <c r="Q680" s="1200"/>
      <c r="R680" s="1213"/>
      <c r="S680" s="1213"/>
      <c r="T680" s="1213"/>
      <c r="U680" s="1213"/>
      <c r="V680" s="1213"/>
    </row>
    <row r="681" spans="1:22" ht="15" thickTop="1" thickBot="1" x14ac:dyDescent="0.3">
      <c r="A681" s="1207"/>
      <c r="B681" s="1212"/>
      <c r="C681" s="1212"/>
      <c r="D681" s="1212"/>
      <c r="E681" s="1212"/>
      <c r="F681" s="1208">
        <v>3.16</v>
      </c>
      <c r="G681" s="1208">
        <v>0.32500000000000001</v>
      </c>
      <c r="H681" s="1208"/>
      <c r="I681" s="1209">
        <f t="shared" si="149"/>
        <v>1.0270000000000001</v>
      </c>
      <c r="J681" s="1209"/>
      <c r="K681" s="1210">
        <f t="shared" si="128"/>
        <v>1.05</v>
      </c>
      <c r="L681" s="1210">
        <f t="shared" si="146"/>
        <v>0</v>
      </c>
      <c r="M681" s="1197">
        <f t="shared" si="147"/>
        <v>0</v>
      </c>
      <c r="N681" s="1211">
        <f t="shared" si="148"/>
        <v>0</v>
      </c>
      <c r="O681" s="1212"/>
      <c r="P681" s="1200"/>
      <c r="Q681" s="1200"/>
      <c r="R681" s="1213"/>
      <c r="S681" s="1213"/>
      <c r="T681" s="1213"/>
      <c r="U681" s="1213"/>
      <c r="V681" s="1213"/>
    </row>
    <row r="682" spans="1:22" ht="15" thickTop="1" thickBot="1" x14ac:dyDescent="0.3">
      <c r="A682" s="1207"/>
      <c r="B682" s="1212"/>
      <c r="C682" s="1212"/>
      <c r="D682" s="1212"/>
      <c r="E682" s="1212"/>
      <c r="F682" s="1208">
        <v>3.7250000000000001</v>
      </c>
      <c r="G682" s="1208">
        <v>0.32500000000000001</v>
      </c>
      <c r="H682" s="1208"/>
      <c r="I682" s="1209">
        <f t="shared" si="149"/>
        <v>1.2106250000000001</v>
      </c>
      <c r="J682" s="1209"/>
      <c r="K682" s="1210"/>
      <c r="L682" s="1210"/>
      <c r="M682" s="1197"/>
      <c r="N682" s="1211"/>
      <c r="O682" s="1212"/>
      <c r="P682" s="1200"/>
      <c r="Q682" s="1200"/>
      <c r="R682" s="1213"/>
      <c r="S682" s="1213"/>
      <c r="T682" s="1213"/>
      <c r="U682" s="1213"/>
      <c r="V682" s="1213"/>
    </row>
    <row r="683" spans="1:22" ht="15" thickTop="1" thickBot="1" x14ac:dyDescent="0.3">
      <c r="A683" s="1207"/>
      <c r="B683" s="1212"/>
      <c r="C683" s="1212"/>
      <c r="D683" s="1212"/>
      <c r="E683" s="1212"/>
      <c r="F683" s="1208"/>
      <c r="G683" s="1208"/>
      <c r="H683" s="1208"/>
      <c r="I683" s="1209">
        <f t="shared" si="149"/>
        <v>0</v>
      </c>
      <c r="J683" s="1209"/>
      <c r="K683" s="1210">
        <f t="shared" si="128"/>
        <v>1.05</v>
      </c>
      <c r="L683" s="1210">
        <f t="shared" si="146"/>
        <v>0</v>
      </c>
      <c r="M683" s="1197">
        <f t="shared" si="147"/>
        <v>0</v>
      </c>
      <c r="N683" s="1211">
        <f t="shared" si="148"/>
        <v>0</v>
      </c>
      <c r="O683" s="1212"/>
      <c r="P683" s="1200"/>
      <c r="Q683" s="1200"/>
      <c r="R683" s="1213"/>
      <c r="S683" s="1213"/>
      <c r="T683" s="1213"/>
      <c r="U683" s="1213"/>
      <c r="V683" s="1213"/>
    </row>
    <row r="684" spans="1:22" ht="15" thickTop="1" thickBot="1" x14ac:dyDescent="0.3">
      <c r="A684" s="1207"/>
      <c r="B684" s="1212" t="s">
        <v>1624</v>
      </c>
      <c r="C684" s="1212"/>
      <c r="D684" s="1212"/>
      <c r="E684" s="1212"/>
      <c r="F684" s="1208">
        <v>3.4209999999999998</v>
      </c>
      <c r="G684" s="1208">
        <v>0.32500000000000001</v>
      </c>
      <c r="H684" s="1208"/>
      <c r="I684" s="1209">
        <f t="shared" si="149"/>
        <v>1.1118250000000001</v>
      </c>
      <c r="J684" s="1209"/>
      <c r="K684" s="1210">
        <f t="shared" si="128"/>
        <v>1.05</v>
      </c>
      <c r="L684" s="1210">
        <f t="shared" si="146"/>
        <v>0</v>
      </c>
      <c r="M684" s="1197">
        <f t="shared" si="147"/>
        <v>0</v>
      </c>
      <c r="N684" s="1211">
        <f t="shared" si="148"/>
        <v>0</v>
      </c>
      <c r="O684" s="1212"/>
      <c r="P684" s="1200"/>
      <c r="Q684" s="1200"/>
      <c r="R684" s="1213"/>
      <c r="S684" s="1213"/>
      <c r="T684" s="1213"/>
      <c r="U684" s="1213"/>
      <c r="V684" s="1213"/>
    </row>
    <row r="685" spans="1:22" ht="15" thickTop="1" thickBot="1" x14ac:dyDescent="0.3">
      <c r="A685" s="1207"/>
      <c r="B685" s="1212"/>
      <c r="C685" s="1212"/>
      <c r="D685" s="1212"/>
      <c r="E685" s="1212"/>
      <c r="F685" s="1208">
        <v>4.5220000000000002</v>
      </c>
      <c r="G685" s="1208">
        <v>0.32500000000000001</v>
      </c>
      <c r="H685" s="1208"/>
      <c r="I685" s="1209">
        <f t="shared" si="149"/>
        <v>1.4696500000000001</v>
      </c>
      <c r="J685" s="1209"/>
      <c r="K685" s="1210">
        <f t="shared" si="128"/>
        <v>1.05</v>
      </c>
      <c r="L685" s="1210">
        <f t="shared" si="146"/>
        <v>0</v>
      </c>
      <c r="M685" s="1197">
        <f t="shared" si="147"/>
        <v>0</v>
      </c>
      <c r="N685" s="1211">
        <f t="shared" si="148"/>
        <v>0</v>
      </c>
      <c r="O685" s="1212"/>
      <c r="P685" s="1200"/>
      <c r="Q685" s="1200"/>
      <c r="R685" s="1213"/>
      <c r="S685" s="1213"/>
      <c r="T685" s="1213"/>
      <c r="U685" s="1213"/>
      <c r="V685" s="1213"/>
    </row>
    <row r="686" spans="1:22" ht="15" thickTop="1" thickBot="1" x14ac:dyDescent="0.3">
      <c r="A686" s="1207"/>
      <c r="B686" s="1212"/>
      <c r="C686" s="1212"/>
      <c r="D686" s="1212"/>
      <c r="E686" s="1212"/>
      <c r="F686" s="1208">
        <v>11.218999999999999</v>
      </c>
      <c r="G686" s="1208">
        <v>0.32500000000000001</v>
      </c>
      <c r="H686" s="1208"/>
      <c r="I686" s="1209">
        <f t="shared" si="149"/>
        <v>3.6461749999999999</v>
      </c>
      <c r="J686" s="1209"/>
      <c r="K686" s="1210">
        <f t="shared" si="128"/>
        <v>1.05</v>
      </c>
      <c r="L686" s="1210">
        <f t="shared" si="146"/>
        <v>0</v>
      </c>
      <c r="M686" s="1197">
        <f t="shared" si="147"/>
        <v>0</v>
      </c>
      <c r="N686" s="1211">
        <f t="shared" si="148"/>
        <v>0</v>
      </c>
      <c r="O686" s="1212"/>
      <c r="P686" s="1200"/>
      <c r="Q686" s="1200"/>
      <c r="R686" s="1213"/>
      <c r="S686" s="1213"/>
      <c r="T686" s="1213"/>
      <c r="U686" s="1213"/>
      <c r="V686" s="1213"/>
    </row>
    <row r="687" spans="1:22" ht="15" thickTop="1" thickBot="1" x14ac:dyDescent="0.3">
      <c r="A687" s="1207"/>
      <c r="B687" s="1212"/>
      <c r="C687" s="1212"/>
      <c r="D687" s="1212"/>
      <c r="E687" s="1212"/>
      <c r="F687" s="1208">
        <v>4.58</v>
      </c>
      <c r="G687" s="1208">
        <v>0.32500000000000001</v>
      </c>
      <c r="H687" s="1208"/>
      <c r="I687" s="1209">
        <f t="shared" si="149"/>
        <v>1.4885000000000002</v>
      </c>
      <c r="J687" s="1209"/>
      <c r="K687" s="1210">
        <f t="shared" si="128"/>
        <v>1.05</v>
      </c>
      <c r="L687" s="1210">
        <f t="shared" si="146"/>
        <v>0</v>
      </c>
      <c r="M687" s="1197">
        <f t="shared" si="147"/>
        <v>0</v>
      </c>
      <c r="N687" s="1211">
        <f t="shared" si="148"/>
        <v>0</v>
      </c>
      <c r="O687" s="1212"/>
      <c r="P687" s="1200"/>
      <c r="Q687" s="1200"/>
      <c r="R687" s="1213"/>
      <c r="S687" s="1213"/>
      <c r="T687" s="1213"/>
      <c r="U687" s="1213"/>
      <c r="V687" s="1213"/>
    </row>
    <row r="688" spans="1:22" ht="15" thickTop="1" thickBot="1" x14ac:dyDescent="0.3">
      <c r="A688" s="1207"/>
      <c r="B688" s="1212"/>
      <c r="C688" s="1212"/>
      <c r="D688" s="1212"/>
      <c r="E688" s="1212"/>
      <c r="F688" s="1208"/>
      <c r="G688" s="1208"/>
      <c r="H688" s="1208"/>
      <c r="I688" s="1209">
        <f t="shared" si="149"/>
        <v>0</v>
      </c>
      <c r="J688" s="1209"/>
      <c r="K688" s="1210">
        <f t="shared" ref="K688:K891" si="150">$K$2</f>
        <v>1.05</v>
      </c>
      <c r="L688" s="1210">
        <f t="shared" si="146"/>
        <v>0</v>
      </c>
      <c r="M688" s="1197">
        <f t="shared" si="147"/>
        <v>0</v>
      </c>
      <c r="N688" s="1211">
        <f t="shared" si="148"/>
        <v>0</v>
      </c>
      <c r="O688" s="1212"/>
      <c r="P688" s="1200"/>
      <c r="Q688" s="1200"/>
      <c r="R688" s="1213"/>
      <c r="S688" s="1213"/>
      <c r="T688" s="1213"/>
      <c r="U688" s="1213"/>
      <c r="V688" s="1213"/>
    </row>
    <row r="689" spans="1:22" ht="15" thickTop="1" thickBot="1" x14ac:dyDescent="0.3">
      <c r="A689" s="1207"/>
      <c r="B689" s="1212" t="s">
        <v>3204</v>
      </c>
      <c r="C689" s="1212"/>
      <c r="D689" s="1212"/>
      <c r="E689" s="1212"/>
      <c r="F689" s="1208">
        <v>16.149999999999999</v>
      </c>
      <c r="G689" s="1208">
        <v>0.6</v>
      </c>
      <c r="H689" s="1208"/>
      <c r="I689" s="1209">
        <f t="shared" si="149"/>
        <v>9.69</v>
      </c>
      <c r="J689" s="1209"/>
      <c r="K689" s="1210">
        <f t="shared" si="150"/>
        <v>1.05</v>
      </c>
      <c r="L689" s="1210">
        <f t="shared" si="146"/>
        <v>0</v>
      </c>
      <c r="M689" s="1197">
        <f t="shared" si="147"/>
        <v>0</v>
      </c>
      <c r="N689" s="1211">
        <f t="shared" si="148"/>
        <v>0</v>
      </c>
      <c r="O689" s="1212"/>
      <c r="P689" s="1200"/>
      <c r="Q689" s="1200"/>
      <c r="R689" s="1213"/>
      <c r="S689" s="1213"/>
      <c r="T689" s="1213"/>
      <c r="U689" s="1213"/>
      <c r="V689" s="1213"/>
    </row>
    <row r="690" spans="1:22" ht="15" thickTop="1" thickBot="1" x14ac:dyDescent="0.3">
      <c r="A690" s="1207"/>
      <c r="B690" s="1212"/>
      <c r="C690" s="1212"/>
      <c r="D690" s="1212"/>
      <c r="E690" s="1212"/>
      <c r="F690" s="1208">
        <v>4.7</v>
      </c>
      <c r="G690" s="1208">
        <v>0.6</v>
      </c>
      <c r="H690" s="1208"/>
      <c r="I690" s="1209">
        <f t="shared" si="149"/>
        <v>2.82</v>
      </c>
      <c r="J690" s="1209"/>
      <c r="K690" s="1210">
        <f t="shared" si="150"/>
        <v>1.05</v>
      </c>
      <c r="L690" s="1210">
        <f t="shared" si="146"/>
        <v>0</v>
      </c>
      <c r="M690" s="1197">
        <f t="shared" si="147"/>
        <v>0</v>
      </c>
      <c r="N690" s="1211">
        <f t="shared" si="148"/>
        <v>0</v>
      </c>
      <c r="O690" s="1212"/>
      <c r="P690" s="1200"/>
      <c r="Q690" s="1200"/>
      <c r="R690" s="1213"/>
      <c r="S690" s="1213"/>
      <c r="T690" s="1213"/>
      <c r="U690" s="1213"/>
      <c r="V690" s="1213"/>
    </row>
    <row r="691" spans="1:22" ht="15" thickTop="1" thickBot="1" x14ac:dyDescent="0.3">
      <c r="A691" s="1207"/>
      <c r="B691" s="1212"/>
      <c r="C691" s="1212"/>
      <c r="D691" s="1212"/>
      <c r="E691" s="1212"/>
      <c r="F691" s="1208"/>
      <c r="G691" s="1208"/>
      <c r="H691" s="1208"/>
      <c r="I691" s="1209"/>
      <c r="J691" s="1209">
        <f>SUM(I646:I690)</f>
        <v>96.51122500000001</v>
      </c>
      <c r="K691" s="1210">
        <f t="shared" si="150"/>
        <v>1.05</v>
      </c>
      <c r="L691" s="1210">
        <f t="shared" si="146"/>
        <v>101.33678625000002</v>
      </c>
      <c r="M691" s="1197">
        <f t="shared" si="147"/>
        <v>101.3</v>
      </c>
      <c r="N691" s="1211">
        <f t="shared" si="148"/>
        <v>102</v>
      </c>
      <c r="O691" s="1212"/>
      <c r="P691" s="1200"/>
      <c r="Q691" s="1200"/>
      <c r="R691" s="1213"/>
      <c r="S691" s="1213"/>
      <c r="T691" s="1213"/>
      <c r="U691" s="1213"/>
      <c r="V691" s="1213"/>
    </row>
    <row r="692" spans="1:22" ht="15" thickTop="1" thickBot="1" x14ac:dyDescent="0.3">
      <c r="A692" s="1207"/>
      <c r="B692" s="1212"/>
      <c r="C692" s="1212"/>
      <c r="D692" s="1212"/>
      <c r="E692" s="1212"/>
      <c r="F692" s="1208"/>
      <c r="G692" s="1208"/>
      <c r="H692" s="1208"/>
      <c r="I692" s="1209"/>
      <c r="J692" s="1209"/>
      <c r="K692" s="1210">
        <f t="shared" si="150"/>
        <v>1.05</v>
      </c>
      <c r="L692" s="1210">
        <f t="shared" si="146"/>
        <v>0</v>
      </c>
      <c r="M692" s="1197">
        <f t="shared" si="147"/>
        <v>0</v>
      </c>
      <c r="N692" s="1211">
        <f t="shared" si="148"/>
        <v>0</v>
      </c>
      <c r="O692" s="1212"/>
      <c r="P692" s="1200"/>
      <c r="Q692" s="1200"/>
      <c r="R692" s="1213"/>
      <c r="S692" s="1213"/>
      <c r="T692" s="1213"/>
      <c r="U692" s="1213"/>
      <c r="V692" s="1213"/>
    </row>
    <row r="693" spans="1:22" ht="15" thickTop="1" thickBot="1" x14ac:dyDescent="0.3">
      <c r="A693" s="1207"/>
      <c r="B693" s="1212"/>
      <c r="C693" s="1212"/>
      <c r="D693" s="1212"/>
      <c r="E693" s="1212"/>
      <c r="F693" s="1208"/>
      <c r="G693" s="1208"/>
      <c r="H693" s="1208"/>
      <c r="I693" s="1209"/>
      <c r="J693" s="1209"/>
      <c r="K693" s="1210"/>
      <c r="L693" s="1210"/>
      <c r="M693" s="1197"/>
      <c r="N693" s="1211"/>
      <c r="O693" s="1212"/>
      <c r="P693" s="1200"/>
      <c r="Q693" s="1200"/>
      <c r="R693" s="1213"/>
      <c r="S693" s="1213"/>
      <c r="T693" s="1213"/>
      <c r="U693" s="1213"/>
      <c r="V693" s="1213"/>
    </row>
    <row r="694" spans="1:22" ht="15" thickTop="1" thickBot="1" x14ac:dyDescent="0.3">
      <c r="A694" s="1207"/>
      <c r="B694" s="1212" t="s">
        <v>3274</v>
      </c>
      <c r="C694" s="1212"/>
      <c r="D694" s="1212"/>
      <c r="E694" s="1212"/>
      <c r="F694" s="1208"/>
      <c r="G694" s="1208"/>
      <c r="H694" s="1208"/>
      <c r="I694" s="1209"/>
      <c r="J694" s="1209"/>
      <c r="K694" s="1210"/>
      <c r="L694" s="1210"/>
      <c r="M694" s="1197"/>
      <c r="N694" s="1211"/>
      <c r="O694" s="1212"/>
      <c r="P694" s="1200"/>
      <c r="Q694" s="1200"/>
      <c r="R694" s="1213"/>
      <c r="S694" s="1213"/>
      <c r="T694" s="1213"/>
      <c r="U694" s="1213"/>
      <c r="V694" s="1213"/>
    </row>
    <row r="695" spans="1:22" ht="15" thickTop="1" thickBot="1" x14ac:dyDescent="0.3">
      <c r="A695" s="1207"/>
      <c r="B695" s="1212"/>
      <c r="C695" s="1212"/>
      <c r="D695" s="1212"/>
      <c r="E695" s="1212"/>
      <c r="F695" s="1208"/>
      <c r="G695" s="1208"/>
      <c r="H695" s="1208"/>
      <c r="I695" s="1209"/>
      <c r="J695" s="1209"/>
      <c r="K695" s="1210"/>
      <c r="L695" s="1210"/>
      <c r="M695" s="1197"/>
      <c r="N695" s="1211"/>
      <c r="O695" s="1212"/>
      <c r="P695" s="1200"/>
      <c r="Q695" s="1200"/>
      <c r="R695" s="1213"/>
      <c r="S695" s="1213"/>
      <c r="T695" s="1213"/>
      <c r="U695" s="1213"/>
      <c r="V695" s="1213"/>
    </row>
    <row r="696" spans="1:22" ht="15" thickTop="1" thickBot="1" x14ac:dyDescent="0.3">
      <c r="A696" s="1207"/>
      <c r="B696" s="1212"/>
      <c r="C696" s="1212"/>
      <c r="D696" s="1212"/>
      <c r="E696" s="1212"/>
      <c r="F696" s="1208"/>
      <c r="G696" s="1208"/>
      <c r="H696" s="1208"/>
      <c r="I696" s="1209"/>
      <c r="J696" s="1209"/>
      <c r="K696" s="1210"/>
      <c r="L696" s="1210"/>
      <c r="M696" s="1197"/>
      <c r="N696" s="1211"/>
      <c r="O696" s="1212"/>
      <c r="P696" s="1200"/>
      <c r="Q696" s="1200"/>
      <c r="R696" s="1213"/>
      <c r="S696" s="1213"/>
      <c r="T696" s="1213"/>
      <c r="U696" s="1213"/>
      <c r="V696" s="1213"/>
    </row>
    <row r="697" spans="1:22" ht="15" thickTop="1" thickBot="1" x14ac:dyDescent="0.3">
      <c r="A697" s="1207"/>
      <c r="B697" s="1212"/>
      <c r="C697" s="1212"/>
      <c r="D697" s="1212"/>
      <c r="E697" s="1212"/>
      <c r="F697" s="1208"/>
      <c r="G697" s="1208"/>
      <c r="H697" s="1208"/>
      <c r="I697" s="1209"/>
      <c r="J697" s="1209"/>
      <c r="K697" s="1210"/>
      <c r="L697" s="1210"/>
      <c r="M697" s="1197"/>
      <c r="N697" s="1211"/>
      <c r="O697" s="1212"/>
      <c r="P697" s="1200"/>
      <c r="Q697" s="1200"/>
      <c r="R697" s="1213"/>
      <c r="S697" s="1213"/>
      <c r="T697" s="1213"/>
      <c r="U697" s="1213"/>
      <c r="V697" s="1213"/>
    </row>
    <row r="698" spans="1:22" ht="15" thickTop="1" thickBot="1" x14ac:dyDescent="0.3">
      <c r="A698" s="1207"/>
      <c r="B698" s="1212"/>
      <c r="C698" s="1212"/>
      <c r="D698" s="1212"/>
      <c r="E698" s="1212"/>
      <c r="F698" s="1208"/>
      <c r="G698" s="1208"/>
      <c r="H698" s="1208"/>
      <c r="I698" s="1209"/>
      <c r="J698" s="1209"/>
      <c r="K698" s="1210"/>
      <c r="L698" s="1210"/>
      <c r="M698" s="1197"/>
      <c r="N698" s="1211"/>
      <c r="O698" s="1212"/>
      <c r="P698" s="1200"/>
      <c r="Q698" s="1200"/>
      <c r="R698" s="1213"/>
      <c r="S698" s="1213"/>
      <c r="T698" s="1213"/>
      <c r="U698" s="1213"/>
      <c r="V698" s="1213"/>
    </row>
    <row r="699" spans="1:22" ht="15" thickTop="1" thickBot="1" x14ac:dyDescent="0.3">
      <c r="A699" s="1207"/>
      <c r="B699" s="1212"/>
      <c r="C699" s="1212"/>
      <c r="D699" s="1212"/>
      <c r="E699" s="1212"/>
      <c r="F699" s="1208"/>
      <c r="G699" s="1208"/>
      <c r="H699" s="1208"/>
      <c r="I699" s="1209"/>
      <c r="J699" s="1209"/>
      <c r="K699" s="1210"/>
      <c r="L699" s="1210"/>
      <c r="M699" s="1197"/>
      <c r="N699" s="1211"/>
      <c r="O699" s="1212"/>
      <c r="P699" s="1200"/>
      <c r="Q699" s="1200"/>
      <c r="R699" s="1213"/>
      <c r="S699" s="1213"/>
      <c r="T699" s="1213"/>
      <c r="U699" s="1213"/>
      <c r="V699" s="1213"/>
    </row>
    <row r="700" spans="1:22" ht="15" thickTop="1" thickBot="1" x14ac:dyDescent="0.3">
      <c r="A700" s="1207"/>
      <c r="B700" s="1212"/>
      <c r="C700" s="1212"/>
      <c r="D700" s="1212"/>
      <c r="E700" s="1212"/>
      <c r="F700" s="1208"/>
      <c r="G700" s="1208"/>
      <c r="H700" s="1208"/>
      <c r="I700" s="1209"/>
      <c r="J700" s="1209"/>
      <c r="K700" s="1210"/>
      <c r="L700" s="1210"/>
      <c r="M700" s="1197"/>
      <c r="N700" s="1211"/>
      <c r="O700" s="1212"/>
      <c r="P700" s="1200"/>
      <c r="Q700" s="1200"/>
      <c r="R700" s="1213"/>
      <c r="S700" s="1213"/>
      <c r="T700" s="1213"/>
      <c r="U700" s="1213"/>
      <c r="V700" s="1213"/>
    </row>
    <row r="701" spans="1:22" ht="15" thickTop="1" thickBot="1" x14ac:dyDescent="0.3">
      <c r="A701" s="1207"/>
      <c r="B701" s="1212"/>
      <c r="C701" s="1212"/>
      <c r="D701" s="1212"/>
      <c r="E701" s="1212"/>
      <c r="F701" s="1208"/>
      <c r="G701" s="1208"/>
      <c r="H701" s="1208"/>
      <c r="I701" s="1209"/>
      <c r="J701" s="1209"/>
      <c r="K701" s="1210"/>
      <c r="L701" s="1210"/>
      <c r="M701" s="1197"/>
      <c r="N701" s="1211"/>
      <c r="O701" s="1212"/>
      <c r="P701" s="1200"/>
      <c r="Q701" s="1200"/>
      <c r="R701" s="1213"/>
      <c r="S701" s="1213"/>
      <c r="T701" s="1213"/>
      <c r="U701" s="1213"/>
      <c r="V701" s="1213"/>
    </row>
    <row r="702" spans="1:22" ht="15" thickTop="1" thickBot="1" x14ac:dyDescent="0.3">
      <c r="A702" s="1207"/>
      <c r="B702" s="1212"/>
      <c r="C702" s="1212"/>
      <c r="D702" s="1212"/>
      <c r="E702" s="1212"/>
      <c r="F702" s="1208"/>
      <c r="G702" s="1208"/>
      <c r="H702" s="1208"/>
      <c r="I702" s="1209"/>
      <c r="J702" s="1209"/>
      <c r="K702" s="1210"/>
      <c r="L702" s="1210"/>
      <c r="M702" s="1197"/>
      <c r="N702" s="1211"/>
      <c r="O702" s="1212"/>
      <c r="P702" s="1200"/>
      <c r="Q702" s="1200"/>
      <c r="R702" s="1213"/>
      <c r="S702" s="1213"/>
      <c r="T702" s="1213"/>
      <c r="U702" s="1213"/>
      <c r="V702" s="1213"/>
    </row>
    <row r="703" spans="1:22" ht="15" thickTop="1" thickBot="1" x14ac:dyDescent="0.3">
      <c r="A703" s="1207"/>
      <c r="B703" s="1212"/>
      <c r="C703" s="1212"/>
      <c r="D703" s="1212"/>
      <c r="E703" s="1212"/>
      <c r="F703" s="1208"/>
      <c r="G703" s="1208"/>
      <c r="H703" s="1208"/>
      <c r="I703" s="1209"/>
      <c r="J703" s="1209"/>
      <c r="K703" s="1210"/>
      <c r="L703" s="1210"/>
      <c r="M703" s="1197"/>
      <c r="N703" s="1211"/>
      <c r="O703" s="1212"/>
      <c r="P703" s="1200"/>
      <c r="Q703" s="1200"/>
      <c r="R703" s="1213"/>
      <c r="S703" s="1213"/>
      <c r="T703" s="1213"/>
      <c r="U703" s="1213"/>
      <c r="V703" s="1213"/>
    </row>
    <row r="704" spans="1:22" ht="15" thickTop="1" thickBot="1" x14ac:dyDescent="0.3">
      <c r="A704" s="1207"/>
      <c r="B704" s="1212"/>
      <c r="C704" s="1212"/>
      <c r="D704" s="1212"/>
      <c r="E704" s="1212"/>
      <c r="F704" s="1208"/>
      <c r="G704" s="1208"/>
      <c r="H704" s="1208"/>
      <c r="I704" s="1209"/>
      <c r="J704" s="1209"/>
      <c r="K704" s="1210"/>
      <c r="L704" s="1210"/>
      <c r="M704" s="1197"/>
      <c r="N704" s="1211"/>
      <c r="O704" s="1212"/>
      <c r="P704" s="1200"/>
      <c r="Q704" s="1200"/>
      <c r="R704" s="1213"/>
      <c r="S704" s="1213"/>
      <c r="T704" s="1213"/>
      <c r="U704" s="1213"/>
      <c r="V704" s="1213"/>
    </row>
    <row r="705" spans="1:22" ht="15" thickTop="1" thickBot="1" x14ac:dyDescent="0.3">
      <c r="A705" s="1207"/>
      <c r="B705" s="1212"/>
      <c r="C705" s="1212"/>
      <c r="D705" s="1212"/>
      <c r="E705" s="1212"/>
      <c r="F705" s="1208"/>
      <c r="G705" s="1208"/>
      <c r="H705" s="1208"/>
      <c r="I705" s="1209"/>
      <c r="J705" s="1209"/>
      <c r="K705" s="1210"/>
      <c r="L705" s="1210"/>
      <c r="M705" s="1197"/>
      <c r="N705" s="1211"/>
      <c r="O705" s="1212"/>
      <c r="P705" s="1200"/>
      <c r="Q705" s="1200"/>
      <c r="R705" s="1213"/>
      <c r="S705" s="1213"/>
      <c r="T705" s="1213"/>
      <c r="U705" s="1213"/>
      <c r="V705" s="1213"/>
    </row>
    <row r="706" spans="1:22" ht="15" thickTop="1" thickBot="1" x14ac:dyDescent="0.3">
      <c r="A706" s="1207"/>
      <c r="B706" s="1212"/>
      <c r="C706" s="1212"/>
      <c r="D706" s="1212"/>
      <c r="E706" s="1212"/>
      <c r="F706" s="1208"/>
      <c r="G706" s="1208"/>
      <c r="H706" s="1208"/>
      <c r="I706" s="1209"/>
      <c r="J706" s="1209"/>
      <c r="K706" s="1210"/>
      <c r="L706" s="1210"/>
      <c r="M706" s="1197"/>
      <c r="N706" s="1211"/>
      <c r="O706" s="1212"/>
      <c r="P706" s="1200"/>
      <c r="Q706" s="1200"/>
      <c r="R706" s="1213"/>
      <c r="S706" s="1213"/>
      <c r="T706" s="1213"/>
      <c r="U706" s="1213"/>
      <c r="V706" s="1213"/>
    </row>
    <row r="707" spans="1:22" ht="15" thickTop="1" thickBot="1" x14ac:dyDescent="0.3">
      <c r="A707" s="1207"/>
      <c r="B707" s="1212"/>
      <c r="C707" s="1212"/>
      <c r="D707" s="1212"/>
      <c r="E707" s="1212"/>
      <c r="F707" s="1208"/>
      <c r="G707" s="1208"/>
      <c r="H707" s="1208"/>
      <c r="I707" s="1209"/>
      <c r="J707" s="1209"/>
      <c r="K707" s="1210"/>
      <c r="L707" s="1210"/>
      <c r="M707" s="1197"/>
      <c r="N707" s="1211"/>
      <c r="O707" s="1212"/>
      <c r="P707" s="1200"/>
      <c r="Q707" s="1200"/>
      <c r="R707" s="1213"/>
      <c r="S707" s="1213"/>
      <c r="T707" s="1213"/>
      <c r="U707" s="1213"/>
      <c r="V707" s="1213"/>
    </row>
    <row r="708" spans="1:22" ht="15" thickTop="1" thickBot="1" x14ac:dyDescent="0.3">
      <c r="A708" s="1207"/>
      <c r="B708" s="1212"/>
      <c r="C708" s="1212"/>
      <c r="D708" s="1212"/>
      <c r="E708" s="1212"/>
      <c r="F708" s="1208"/>
      <c r="G708" s="1208"/>
      <c r="H708" s="1208"/>
      <c r="I708" s="1209"/>
      <c r="J708" s="1209"/>
      <c r="K708" s="1210"/>
      <c r="L708" s="1210"/>
      <c r="M708" s="1197"/>
      <c r="N708" s="1211"/>
      <c r="O708" s="1212"/>
      <c r="P708" s="1200"/>
      <c r="Q708" s="1200"/>
      <c r="R708" s="1213"/>
      <c r="S708" s="1213"/>
      <c r="T708" s="1213"/>
      <c r="U708" s="1213"/>
      <c r="V708" s="1213"/>
    </row>
    <row r="709" spans="1:22" ht="15" thickTop="1" thickBot="1" x14ac:dyDescent="0.3">
      <c r="A709" s="1207"/>
      <c r="B709" s="1212"/>
      <c r="C709" s="1212"/>
      <c r="D709" s="1212"/>
      <c r="E709" s="1212"/>
      <c r="F709" s="1208"/>
      <c r="G709" s="1208"/>
      <c r="H709" s="1208"/>
      <c r="I709" s="1209"/>
      <c r="J709" s="1209"/>
      <c r="K709" s="1210"/>
      <c r="L709" s="1210"/>
      <c r="M709" s="1197"/>
      <c r="N709" s="1211"/>
      <c r="O709" s="1212"/>
      <c r="P709" s="1200"/>
      <c r="Q709" s="1200"/>
      <c r="R709" s="1213"/>
      <c r="S709" s="1213"/>
      <c r="T709" s="1213"/>
      <c r="U709" s="1213"/>
      <c r="V709" s="1213"/>
    </row>
    <row r="710" spans="1:22" ht="15" thickTop="1" thickBot="1" x14ac:dyDescent="0.3">
      <c r="A710" s="1207"/>
      <c r="B710" s="1212"/>
      <c r="C710" s="1212"/>
      <c r="D710" s="1212"/>
      <c r="E710" s="1212"/>
      <c r="F710" s="1208"/>
      <c r="G710" s="1208"/>
      <c r="H710" s="1208"/>
      <c r="I710" s="1209"/>
      <c r="J710" s="1209"/>
      <c r="K710" s="1210"/>
      <c r="L710" s="1210"/>
      <c r="M710" s="1197"/>
      <c r="N710" s="1211"/>
      <c r="O710" s="1212"/>
      <c r="P710" s="1200"/>
      <c r="Q710" s="1200"/>
      <c r="R710" s="1213"/>
      <c r="S710" s="1213"/>
      <c r="T710" s="1213"/>
      <c r="U710" s="1213"/>
      <c r="V710" s="1213"/>
    </row>
    <row r="711" spans="1:22" ht="15" thickTop="1" thickBot="1" x14ac:dyDescent="0.3">
      <c r="A711" s="1207"/>
      <c r="B711" s="1212"/>
      <c r="C711" s="1212"/>
      <c r="D711" s="1212"/>
      <c r="E711" s="1212"/>
      <c r="F711" s="1208"/>
      <c r="G711" s="1208"/>
      <c r="H711" s="1208"/>
      <c r="I711" s="1209"/>
      <c r="J711" s="1209"/>
      <c r="K711" s="1210"/>
      <c r="L711" s="1210"/>
      <c r="M711" s="1197"/>
      <c r="N711" s="1211"/>
      <c r="O711" s="1212"/>
      <c r="P711" s="1200"/>
      <c r="Q711" s="1200"/>
      <c r="R711" s="1213"/>
      <c r="S711" s="1213"/>
      <c r="T711" s="1213"/>
      <c r="U711" s="1213"/>
      <c r="V711" s="1213"/>
    </row>
    <row r="712" spans="1:22" ht="15" thickTop="1" thickBot="1" x14ac:dyDescent="0.3">
      <c r="A712" s="1207"/>
      <c r="B712" s="1212"/>
      <c r="C712" s="1212"/>
      <c r="D712" s="1212"/>
      <c r="E712" s="1212"/>
      <c r="F712" s="1208"/>
      <c r="G712" s="1208"/>
      <c r="H712" s="1208"/>
      <c r="I712" s="1209"/>
      <c r="J712" s="1209"/>
      <c r="K712" s="1210"/>
      <c r="L712" s="1210"/>
      <c r="M712" s="1197"/>
      <c r="N712" s="1211"/>
      <c r="O712" s="1212"/>
      <c r="P712" s="1200"/>
      <c r="Q712" s="1200"/>
      <c r="R712" s="1213"/>
      <c r="S712" s="1213"/>
      <c r="T712" s="1213"/>
      <c r="U712" s="1213"/>
      <c r="V712" s="1213"/>
    </row>
    <row r="713" spans="1:22" ht="15" thickTop="1" thickBot="1" x14ac:dyDescent="0.3">
      <c r="A713" s="1207"/>
      <c r="B713" s="1212"/>
      <c r="C713" s="1212"/>
      <c r="D713" s="1212"/>
      <c r="E713" s="1212"/>
      <c r="F713" s="1208"/>
      <c r="G713" s="1208"/>
      <c r="H713" s="1208"/>
      <c r="I713" s="1209"/>
      <c r="J713" s="1209"/>
      <c r="K713" s="1210"/>
      <c r="L713" s="1210"/>
      <c r="M713" s="1197"/>
      <c r="N713" s="1211"/>
      <c r="O713" s="1212"/>
      <c r="P713" s="1200"/>
      <c r="Q713" s="1200"/>
      <c r="R713" s="1213"/>
      <c r="S713" s="1213"/>
      <c r="T713" s="1213"/>
      <c r="U713" s="1213"/>
      <c r="V713" s="1213"/>
    </row>
    <row r="714" spans="1:22" ht="15" thickTop="1" thickBot="1" x14ac:dyDescent="0.3">
      <c r="A714" s="1207"/>
      <c r="B714" s="1212"/>
      <c r="C714" s="1212"/>
      <c r="D714" s="1212"/>
      <c r="E714" s="1212"/>
      <c r="F714" s="1208"/>
      <c r="G714" s="1208"/>
      <c r="H714" s="1208"/>
      <c r="I714" s="1209"/>
      <c r="J714" s="1209"/>
      <c r="K714" s="1210"/>
      <c r="L714" s="1210"/>
      <c r="M714" s="1197"/>
      <c r="N714" s="1211"/>
      <c r="O714" s="1212"/>
      <c r="P714" s="1200"/>
      <c r="Q714" s="1200"/>
      <c r="R714" s="1213"/>
      <c r="S714" s="1213"/>
      <c r="T714" s="1213"/>
      <c r="U714" s="1213"/>
      <c r="V714" s="1213"/>
    </row>
    <row r="715" spans="1:22" ht="15" thickTop="1" thickBot="1" x14ac:dyDescent="0.3">
      <c r="A715" s="1207"/>
      <c r="B715" s="1212"/>
      <c r="C715" s="1212"/>
      <c r="D715" s="1212"/>
      <c r="E715" s="1212"/>
      <c r="F715" s="1208"/>
      <c r="G715" s="1208"/>
      <c r="H715" s="1208"/>
      <c r="I715" s="1209"/>
      <c r="J715" s="1209"/>
      <c r="K715" s="1210"/>
      <c r="L715" s="1210"/>
      <c r="M715" s="1197"/>
      <c r="N715" s="1211"/>
      <c r="O715" s="1212"/>
      <c r="P715" s="1200"/>
      <c r="Q715" s="1200"/>
      <c r="R715" s="1213"/>
      <c r="S715" s="1213"/>
      <c r="T715" s="1213"/>
      <c r="U715" s="1213"/>
      <c r="V715" s="1213"/>
    </row>
    <row r="716" spans="1:22" ht="15" thickTop="1" thickBot="1" x14ac:dyDescent="0.3">
      <c r="A716" s="1207"/>
      <c r="B716" s="1212"/>
      <c r="C716" s="1212"/>
      <c r="D716" s="1212"/>
      <c r="E716" s="1212"/>
      <c r="F716" s="1208"/>
      <c r="G716" s="1208"/>
      <c r="H716" s="1208"/>
      <c r="I716" s="1209"/>
      <c r="J716" s="1209"/>
      <c r="K716" s="1210"/>
      <c r="L716" s="1210"/>
      <c r="M716" s="1197"/>
      <c r="N716" s="1211"/>
      <c r="O716" s="1212"/>
      <c r="P716" s="1200"/>
      <c r="Q716" s="1200"/>
      <c r="R716" s="1213"/>
      <c r="S716" s="1213"/>
      <c r="T716" s="1213"/>
      <c r="U716" s="1213"/>
      <c r="V716" s="1213"/>
    </row>
    <row r="717" spans="1:22" ht="15" thickTop="1" thickBot="1" x14ac:dyDescent="0.3">
      <c r="A717" s="1207"/>
      <c r="B717" s="1212"/>
      <c r="C717" s="1212"/>
      <c r="D717" s="1212"/>
      <c r="E717" s="1212"/>
      <c r="F717" s="1208"/>
      <c r="G717" s="1208"/>
      <c r="H717" s="1208"/>
      <c r="I717" s="1209"/>
      <c r="J717" s="1209"/>
      <c r="K717" s="1210"/>
      <c r="L717" s="1210"/>
      <c r="M717" s="1197"/>
      <c r="N717" s="1211"/>
      <c r="O717" s="1212"/>
      <c r="P717" s="1200"/>
      <c r="Q717" s="1200"/>
      <c r="R717" s="1213"/>
      <c r="S717" s="1213"/>
      <c r="T717" s="1213"/>
      <c r="U717" s="1213"/>
      <c r="V717" s="1213"/>
    </row>
    <row r="718" spans="1:22" ht="15" thickTop="1" thickBot="1" x14ac:dyDescent="0.3">
      <c r="A718" s="1207"/>
      <c r="B718" s="1212"/>
      <c r="C718" s="1212"/>
      <c r="D718" s="1212"/>
      <c r="E718" s="1212"/>
      <c r="F718" s="1208"/>
      <c r="G718" s="1208"/>
      <c r="H718" s="1208"/>
      <c r="I718" s="1209"/>
      <c r="J718" s="1209"/>
      <c r="K718" s="1210"/>
      <c r="L718" s="1210"/>
      <c r="M718" s="1197"/>
      <c r="N718" s="1211"/>
      <c r="O718" s="1212"/>
      <c r="P718" s="1200"/>
      <c r="Q718" s="1200"/>
      <c r="R718" s="1213"/>
      <c r="S718" s="1213"/>
      <c r="T718" s="1213"/>
      <c r="U718" s="1213"/>
      <c r="V718" s="1213"/>
    </row>
    <row r="719" spans="1:22" ht="15" thickTop="1" thickBot="1" x14ac:dyDescent="0.3">
      <c r="A719" s="1207"/>
      <c r="B719" s="1212"/>
      <c r="C719" s="1212"/>
      <c r="D719" s="1212"/>
      <c r="E719" s="1212"/>
      <c r="F719" s="1208"/>
      <c r="G719" s="1208"/>
      <c r="H719" s="1208"/>
      <c r="I719" s="1209"/>
      <c r="J719" s="1209"/>
      <c r="K719" s="1210"/>
      <c r="L719" s="1210"/>
      <c r="M719" s="1197"/>
      <c r="N719" s="1211"/>
      <c r="O719" s="1212"/>
      <c r="P719" s="1200"/>
      <c r="Q719" s="1200"/>
      <c r="R719" s="1213"/>
      <c r="S719" s="1213"/>
      <c r="T719" s="1213"/>
      <c r="U719" s="1213"/>
      <c r="V719" s="1213"/>
    </row>
    <row r="720" spans="1:22" ht="15" thickTop="1" thickBot="1" x14ac:dyDescent="0.3">
      <c r="A720" s="1207"/>
      <c r="B720" s="1212"/>
      <c r="C720" s="1212"/>
      <c r="D720" s="1212"/>
      <c r="E720" s="1212"/>
      <c r="F720" s="1208"/>
      <c r="G720" s="1208"/>
      <c r="H720" s="1208"/>
      <c r="I720" s="1209"/>
      <c r="J720" s="1209"/>
      <c r="K720" s="1210"/>
      <c r="L720" s="1210"/>
      <c r="M720" s="1197"/>
      <c r="N720" s="1211"/>
      <c r="O720" s="1212"/>
      <c r="P720" s="1200"/>
      <c r="Q720" s="1200"/>
      <c r="R720" s="1213"/>
      <c r="S720" s="1213"/>
      <c r="T720" s="1213"/>
      <c r="U720" s="1213"/>
      <c r="V720" s="1213"/>
    </row>
    <row r="721" spans="1:22" ht="15" thickTop="1" thickBot="1" x14ac:dyDescent="0.3">
      <c r="A721" s="1207"/>
      <c r="B721" s="1212"/>
      <c r="C721" s="1212"/>
      <c r="D721" s="1212"/>
      <c r="E721" s="1212"/>
      <c r="F721" s="1208"/>
      <c r="G721" s="1208"/>
      <c r="H721" s="1208"/>
      <c r="I721" s="1209"/>
      <c r="J721" s="1209"/>
      <c r="K721" s="1210"/>
      <c r="L721" s="1210"/>
      <c r="M721" s="1197"/>
      <c r="N721" s="1211"/>
      <c r="O721" s="1212"/>
      <c r="P721" s="1200"/>
      <c r="Q721" s="1200"/>
      <c r="R721" s="1213"/>
      <c r="S721" s="1213"/>
      <c r="T721" s="1213"/>
      <c r="U721" s="1213"/>
      <c r="V721" s="1213"/>
    </row>
    <row r="722" spans="1:22" ht="15" thickTop="1" thickBot="1" x14ac:dyDescent="0.3">
      <c r="A722" s="1207"/>
      <c r="B722" s="1212"/>
      <c r="C722" s="1212"/>
      <c r="D722" s="1212"/>
      <c r="E722" s="1212"/>
      <c r="F722" s="1208"/>
      <c r="G722" s="1208"/>
      <c r="H722" s="1208"/>
      <c r="I722" s="1209"/>
      <c r="J722" s="1209"/>
      <c r="K722" s="1210"/>
      <c r="L722" s="1210"/>
      <c r="M722" s="1197"/>
      <c r="N722" s="1211"/>
      <c r="O722" s="1212"/>
      <c r="P722" s="1200"/>
      <c r="Q722" s="1200"/>
      <c r="R722" s="1213"/>
      <c r="S722" s="1213"/>
      <c r="T722" s="1213"/>
      <c r="U722" s="1213"/>
      <c r="V722" s="1213"/>
    </row>
    <row r="723" spans="1:22" ht="15" thickTop="1" thickBot="1" x14ac:dyDescent="0.3">
      <c r="A723" s="1207"/>
      <c r="B723" s="1212"/>
      <c r="C723" s="1212"/>
      <c r="D723" s="1212"/>
      <c r="E723" s="1212"/>
      <c r="F723" s="1208"/>
      <c r="G723" s="1208"/>
      <c r="H723" s="1208"/>
      <c r="I723" s="1209"/>
      <c r="J723" s="1209"/>
      <c r="K723" s="1210"/>
      <c r="L723" s="1210"/>
      <c r="M723" s="1197"/>
      <c r="N723" s="1211"/>
      <c r="O723" s="1212"/>
      <c r="P723" s="1200"/>
      <c r="Q723" s="1200"/>
      <c r="R723" s="1213"/>
      <c r="S723" s="1213"/>
      <c r="T723" s="1213"/>
      <c r="U723" s="1213"/>
      <c r="V723" s="1213"/>
    </row>
    <row r="724" spans="1:22" ht="15" thickTop="1" thickBot="1" x14ac:dyDescent="0.3">
      <c r="A724" s="1207"/>
      <c r="B724" s="1212"/>
      <c r="C724" s="1212"/>
      <c r="D724" s="1212"/>
      <c r="E724" s="1212"/>
      <c r="F724" s="1208"/>
      <c r="G724" s="1208"/>
      <c r="H724" s="1208"/>
      <c r="I724" s="1209"/>
      <c r="J724" s="1209"/>
      <c r="K724" s="1210"/>
      <c r="L724" s="1210"/>
      <c r="M724" s="1197"/>
      <c r="N724" s="1211"/>
      <c r="O724" s="1212"/>
      <c r="P724" s="1200"/>
      <c r="Q724" s="1200"/>
      <c r="R724" s="1213"/>
      <c r="S724" s="1213"/>
      <c r="T724" s="1213"/>
      <c r="U724" s="1213"/>
      <c r="V724" s="1213"/>
    </row>
    <row r="725" spans="1:22" ht="15" thickTop="1" thickBot="1" x14ac:dyDescent="0.3">
      <c r="A725" s="1207"/>
      <c r="B725" s="1212"/>
      <c r="C725" s="1212"/>
      <c r="D725" s="1212"/>
      <c r="E725" s="1212"/>
      <c r="F725" s="1208"/>
      <c r="G725" s="1208"/>
      <c r="H725" s="1208"/>
      <c r="I725" s="1209"/>
      <c r="J725" s="1209"/>
      <c r="K725" s="1210"/>
      <c r="L725" s="1210"/>
      <c r="M725" s="1197"/>
      <c r="N725" s="1211"/>
      <c r="O725" s="1212"/>
      <c r="P725" s="1200"/>
      <c r="Q725" s="1200"/>
      <c r="R725" s="1213"/>
      <c r="S725" s="1213"/>
      <c r="T725" s="1213"/>
      <c r="U725" s="1213"/>
      <c r="V725" s="1213"/>
    </row>
    <row r="726" spans="1:22" ht="15" thickTop="1" thickBot="1" x14ac:dyDescent="0.3">
      <c r="A726" s="1207"/>
      <c r="B726" s="1212"/>
      <c r="C726" s="1212"/>
      <c r="D726" s="1212"/>
      <c r="E726" s="1212"/>
      <c r="F726" s="1208"/>
      <c r="G726" s="1208"/>
      <c r="H726" s="1208"/>
      <c r="I726" s="1209"/>
      <c r="J726" s="1209"/>
      <c r="K726" s="1210"/>
      <c r="L726" s="1210"/>
      <c r="M726" s="1197"/>
      <c r="N726" s="1211"/>
      <c r="O726" s="1212"/>
      <c r="P726" s="1200"/>
      <c r="Q726" s="1200"/>
      <c r="R726" s="1213"/>
      <c r="S726" s="1213"/>
      <c r="T726" s="1213"/>
      <c r="U726" s="1213"/>
      <c r="V726" s="1213"/>
    </row>
    <row r="727" spans="1:22" ht="15" thickTop="1" thickBot="1" x14ac:dyDescent="0.3">
      <c r="A727" s="1207"/>
      <c r="B727" s="1212"/>
      <c r="C727" s="1212"/>
      <c r="D727" s="1212"/>
      <c r="E727" s="1212"/>
      <c r="F727" s="1208"/>
      <c r="G727" s="1208"/>
      <c r="H727" s="1208"/>
      <c r="I727" s="1209"/>
      <c r="J727" s="1209"/>
      <c r="K727" s="1210"/>
      <c r="L727" s="1210"/>
      <c r="M727" s="1197"/>
      <c r="N727" s="1211"/>
      <c r="O727" s="1212"/>
      <c r="P727" s="1200"/>
      <c r="Q727" s="1200"/>
      <c r="R727" s="1213"/>
      <c r="S727" s="1213"/>
      <c r="T727" s="1213"/>
      <c r="U727" s="1213"/>
      <c r="V727" s="1213"/>
    </row>
    <row r="728" spans="1:22" ht="15" thickTop="1" thickBot="1" x14ac:dyDescent="0.3">
      <c r="A728" s="1207"/>
      <c r="B728" s="1212"/>
      <c r="C728" s="1212"/>
      <c r="D728" s="1212"/>
      <c r="E728" s="1212"/>
      <c r="F728" s="1208"/>
      <c r="G728" s="1208"/>
      <c r="H728" s="1208"/>
      <c r="I728" s="1209"/>
      <c r="J728" s="1209"/>
      <c r="K728" s="1210"/>
      <c r="L728" s="1210"/>
      <c r="M728" s="1197"/>
      <c r="N728" s="1211"/>
      <c r="O728" s="1212"/>
      <c r="P728" s="1200"/>
      <c r="Q728" s="1200"/>
      <c r="R728" s="1213"/>
      <c r="S728" s="1213"/>
      <c r="T728" s="1213"/>
      <c r="U728" s="1213"/>
      <c r="V728" s="1213"/>
    </row>
    <row r="729" spans="1:22" ht="15" thickTop="1" thickBot="1" x14ac:dyDescent="0.3">
      <c r="A729" s="1207"/>
      <c r="B729" s="1212"/>
      <c r="C729" s="1212"/>
      <c r="D729" s="1212"/>
      <c r="E729" s="1212"/>
      <c r="F729" s="1208"/>
      <c r="G729" s="1208"/>
      <c r="H729" s="1208"/>
      <c r="I729" s="1209"/>
      <c r="J729" s="1209"/>
      <c r="K729" s="1210"/>
      <c r="L729" s="1210"/>
      <c r="M729" s="1197"/>
      <c r="N729" s="1211"/>
      <c r="O729" s="1212"/>
      <c r="P729" s="1200"/>
      <c r="Q729" s="1200"/>
      <c r="R729" s="1213"/>
      <c r="S729" s="1213"/>
      <c r="T729" s="1213"/>
      <c r="U729" s="1213"/>
      <c r="V729" s="1213"/>
    </row>
    <row r="730" spans="1:22" ht="15" thickTop="1" thickBot="1" x14ac:dyDescent="0.3">
      <c r="A730" s="1207"/>
      <c r="B730" s="1212"/>
      <c r="C730" s="1212"/>
      <c r="D730" s="1212"/>
      <c r="E730" s="1212"/>
      <c r="F730" s="1208"/>
      <c r="G730" s="1208"/>
      <c r="H730" s="1208"/>
      <c r="I730" s="1209"/>
      <c r="J730" s="1209"/>
      <c r="K730" s="1210"/>
      <c r="L730" s="1210"/>
      <c r="M730" s="1197"/>
      <c r="N730" s="1211"/>
      <c r="O730" s="1212"/>
      <c r="P730" s="1200"/>
      <c r="Q730" s="1200"/>
      <c r="R730" s="1213"/>
      <c r="S730" s="1213"/>
      <c r="T730" s="1213"/>
      <c r="U730" s="1213"/>
      <c r="V730" s="1213"/>
    </row>
    <row r="731" spans="1:22" ht="15" thickTop="1" thickBot="1" x14ac:dyDescent="0.3">
      <c r="A731" s="1207"/>
      <c r="B731" s="1212"/>
      <c r="C731" s="1212"/>
      <c r="D731" s="1212"/>
      <c r="E731" s="1212"/>
      <c r="F731" s="1208"/>
      <c r="G731" s="1208"/>
      <c r="H731" s="1208"/>
      <c r="I731" s="1209"/>
      <c r="J731" s="1209"/>
      <c r="K731" s="1210"/>
      <c r="L731" s="1210"/>
      <c r="M731" s="1197"/>
      <c r="N731" s="1211"/>
      <c r="O731" s="1212"/>
      <c r="P731" s="1200"/>
      <c r="Q731" s="1200"/>
      <c r="R731" s="1213"/>
      <c r="S731" s="1213"/>
      <c r="T731" s="1213"/>
      <c r="U731" s="1213"/>
      <c r="V731" s="1213"/>
    </row>
    <row r="732" spans="1:22" ht="15" thickTop="1" thickBot="1" x14ac:dyDescent="0.3">
      <c r="A732" s="1207"/>
      <c r="B732" s="1212"/>
      <c r="C732" s="1212"/>
      <c r="D732" s="1212"/>
      <c r="E732" s="1212"/>
      <c r="F732" s="1208"/>
      <c r="G732" s="1208"/>
      <c r="H732" s="1208"/>
      <c r="I732" s="1209"/>
      <c r="J732" s="1209"/>
      <c r="K732" s="1210"/>
      <c r="L732" s="1210"/>
      <c r="M732" s="1197"/>
      <c r="N732" s="1211"/>
      <c r="O732" s="1212"/>
      <c r="P732" s="1200"/>
      <c r="Q732" s="1200"/>
      <c r="R732" s="1213"/>
      <c r="S732" s="1213"/>
      <c r="T732" s="1213"/>
      <c r="U732" s="1213"/>
      <c r="V732" s="1213"/>
    </row>
    <row r="733" spans="1:22" ht="15" thickTop="1" thickBot="1" x14ac:dyDescent="0.3">
      <c r="A733" s="1207"/>
      <c r="B733" s="1212"/>
      <c r="C733" s="1212"/>
      <c r="D733" s="1212"/>
      <c r="E733" s="1212"/>
      <c r="F733" s="1208"/>
      <c r="G733" s="1208"/>
      <c r="H733" s="1208"/>
      <c r="I733" s="1209"/>
      <c r="J733" s="1209"/>
      <c r="K733" s="1210"/>
      <c r="L733" s="1210"/>
      <c r="M733" s="1197"/>
      <c r="N733" s="1211"/>
      <c r="O733" s="1212"/>
      <c r="P733" s="1200"/>
      <c r="Q733" s="1200"/>
      <c r="R733" s="1213"/>
      <c r="S733" s="1213"/>
      <c r="T733" s="1213"/>
      <c r="U733" s="1213"/>
      <c r="V733" s="1213"/>
    </row>
    <row r="734" spans="1:22" ht="15" thickTop="1" thickBot="1" x14ac:dyDescent="0.3">
      <c r="A734" s="1207"/>
      <c r="B734" s="1212"/>
      <c r="C734" s="1212"/>
      <c r="D734" s="1212"/>
      <c r="E734" s="1212"/>
      <c r="F734" s="1208"/>
      <c r="G734" s="1208"/>
      <c r="H734" s="1208"/>
      <c r="I734" s="1209"/>
      <c r="J734" s="1209"/>
      <c r="K734" s="1210"/>
      <c r="L734" s="1210"/>
      <c r="M734" s="1197"/>
      <c r="N734" s="1211"/>
      <c r="O734" s="1212"/>
      <c r="P734" s="1200"/>
      <c r="Q734" s="1200"/>
      <c r="R734" s="1213"/>
      <c r="S734" s="1213"/>
      <c r="T734" s="1213"/>
      <c r="U734" s="1213"/>
      <c r="V734" s="1213"/>
    </row>
    <row r="735" spans="1:22" ht="15" thickTop="1" thickBot="1" x14ac:dyDescent="0.3">
      <c r="A735" s="1207"/>
      <c r="B735" s="1212"/>
      <c r="C735" s="1212"/>
      <c r="D735" s="1212"/>
      <c r="E735" s="1212"/>
      <c r="F735" s="1208"/>
      <c r="G735" s="1208"/>
      <c r="H735" s="1208"/>
      <c r="I735" s="1209"/>
      <c r="J735" s="1209"/>
      <c r="K735" s="1210"/>
      <c r="L735" s="1210"/>
      <c r="M735" s="1197"/>
      <c r="N735" s="1211"/>
      <c r="O735" s="1212"/>
      <c r="P735" s="1200"/>
      <c r="Q735" s="1200"/>
      <c r="R735" s="1213"/>
      <c r="S735" s="1213"/>
      <c r="T735" s="1213"/>
      <c r="U735" s="1213"/>
      <c r="V735" s="1213"/>
    </row>
    <row r="736" spans="1:22" ht="15" thickTop="1" thickBot="1" x14ac:dyDescent="0.3">
      <c r="A736" s="1207"/>
      <c r="B736" s="1212"/>
      <c r="C736" s="1212"/>
      <c r="D736" s="1212"/>
      <c r="E736" s="1212"/>
      <c r="F736" s="1208"/>
      <c r="G736" s="1208"/>
      <c r="H736" s="1208"/>
      <c r="I736" s="1209"/>
      <c r="J736" s="1209"/>
      <c r="K736" s="1210"/>
      <c r="L736" s="1210"/>
      <c r="M736" s="1197"/>
      <c r="N736" s="1211"/>
      <c r="O736" s="1212"/>
      <c r="P736" s="1200"/>
      <c r="Q736" s="1200"/>
      <c r="R736" s="1213"/>
      <c r="S736" s="1213"/>
      <c r="T736" s="1213"/>
      <c r="U736" s="1213"/>
      <c r="V736" s="1213"/>
    </row>
    <row r="737" spans="1:22" ht="15" thickTop="1" thickBot="1" x14ac:dyDescent="0.3">
      <c r="A737" s="1207"/>
      <c r="B737" s="1212"/>
      <c r="C737" s="1212"/>
      <c r="D737" s="1212"/>
      <c r="E737" s="1212"/>
      <c r="F737" s="1208"/>
      <c r="G737" s="1208"/>
      <c r="H737" s="1208"/>
      <c r="I737" s="1209"/>
      <c r="J737" s="1209"/>
      <c r="K737" s="1210"/>
      <c r="L737" s="1210"/>
      <c r="M737" s="1197"/>
      <c r="N737" s="1211"/>
      <c r="O737" s="1212"/>
      <c r="P737" s="1200"/>
      <c r="Q737" s="1200"/>
      <c r="R737" s="1213"/>
      <c r="S737" s="1213"/>
      <c r="T737" s="1213"/>
      <c r="U737" s="1213"/>
      <c r="V737" s="1213"/>
    </row>
    <row r="738" spans="1:22" ht="15" thickTop="1" thickBot="1" x14ac:dyDescent="0.3">
      <c r="A738" s="1207"/>
      <c r="B738" s="1212"/>
      <c r="C738" s="1212"/>
      <c r="D738" s="1212"/>
      <c r="E738" s="1212"/>
      <c r="F738" s="1208"/>
      <c r="G738" s="1208"/>
      <c r="H738" s="1208"/>
      <c r="I738" s="1209"/>
      <c r="J738" s="1209"/>
      <c r="K738" s="1210"/>
      <c r="L738" s="1210"/>
      <c r="M738" s="1197"/>
      <c r="N738" s="1211"/>
      <c r="O738" s="1212"/>
      <c r="P738" s="1200"/>
      <c r="Q738" s="1200"/>
      <c r="R738" s="1213"/>
      <c r="S738" s="1213"/>
      <c r="T738" s="1213"/>
      <c r="U738" s="1213"/>
      <c r="V738" s="1213"/>
    </row>
    <row r="739" spans="1:22" ht="15" thickTop="1" thickBot="1" x14ac:dyDescent="0.3">
      <c r="A739" s="1207"/>
      <c r="B739" s="1212"/>
      <c r="C739" s="1212"/>
      <c r="D739" s="1212"/>
      <c r="E739" s="1212"/>
      <c r="F739" s="1208"/>
      <c r="G739" s="1208"/>
      <c r="H739" s="1208"/>
      <c r="I739" s="1209"/>
      <c r="J739" s="1209"/>
      <c r="K739" s="1210"/>
      <c r="L739" s="1210"/>
      <c r="M739" s="1197"/>
      <c r="N739" s="1211"/>
      <c r="O739" s="1212"/>
      <c r="P739" s="1200"/>
      <c r="Q739" s="1200"/>
      <c r="R739" s="1213"/>
      <c r="S739" s="1213"/>
      <c r="T739" s="1213"/>
      <c r="U739" s="1213"/>
      <c r="V739" s="1213"/>
    </row>
    <row r="740" spans="1:22" ht="15" thickTop="1" thickBot="1" x14ac:dyDescent="0.3">
      <c r="A740" s="1207"/>
      <c r="B740" s="1212"/>
      <c r="C740" s="1212"/>
      <c r="D740" s="1212"/>
      <c r="E740" s="1212"/>
      <c r="F740" s="1208"/>
      <c r="G740" s="1208"/>
      <c r="H740" s="1208"/>
      <c r="I740" s="1209"/>
      <c r="J740" s="1209"/>
      <c r="K740" s="1210"/>
      <c r="L740" s="1210"/>
      <c r="M740" s="1197"/>
      <c r="N740" s="1211"/>
      <c r="O740" s="1212"/>
      <c r="P740" s="1200"/>
      <c r="Q740" s="1200"/>
      <c r="R740" s="1213"/>
      <c r="S740" s="1213"/>
      <c r="T740" s="1213"/>
      <c r="U740" s="1213"/>
      <c r="V740" s="1213"/>
    </row>
    <row r="741" spans="1:22" ht="15" thickTop="1" thickBot="1" x14ac:dyDescent="0.3">
      <c r="A741" s="1207"/>
      <c r="B741" s="1212"/>
      <c r="C741" s="1212"/>
      <c r="D741" s="1212"/>
      <c r="E741" s="1212"/>
      <c r="F741" s="1208"/>
      <c r="G741" s="1208"/>
      <c r="H741" s="1208"/>
      <c r="I741" s="1209"/>
      <c r="J741" s="1209"/>
      <c r="K741" s="1210"/>
      <c r="L741" s="1210"/>
      <c r="M741" s="1197"/>
      <c r="N741" s="1211"/>
      <c r="O741" s="1212"/>
      <c r="P741" s="1200"/>
      <c r="Q741" s="1200"/>
      <c r="R741" s="1213"/>
      <c r="S741" s="1213"/>
      <c r="T741" s="1213"/>
      <c r="U741" s="1213"/>
      <c r="V741" s="1213"/>
    </row>
    <row r="742" spans="1:22" ht="15" thickTop="1" thickBot="1" x14ac:dyDescent="0.3">
      <c r="A742" s="1207"/>
      <c r="B742" s="1212"/>
      <c r="C742" s="1212"/>
      <c r="D742" s="1212"/>
      <c r="E742" s="1212"/>
      <c r="F742" s="1208"/>
      <c r="G742" s="1208"/>
      <c r="H742" s="1208"/>
      <c r="I742" s="1209"/>
      <c r="J742" s="1209"/>
      <c r="K742" s="1210"/>
      <c r="L742" s="1210"/>
      <c r="M742" s="1197"/>
      <c r="N742" s="1211"/>
      <c r="O742" s="1212"/>
      <c r="P742" s="1200"/>
      <c r="Q742" s="1200"/>
      <c r="R742" s="1213"/>
      <c r="S742" s="1213"/>
      <c r="T742" s="1213"/>
      <c r="U742" s="1213"/>
      <c r="V742" s="1213"/>
    </row>
    <row r="743" spans="1:22" ht="15" thickTop="1" thickBot="1" x14ac:dyDescent="0.3">
      <c r="A743" s="1207"/>
      <c r="B743" s="1212"/>
      <c r="C743" s="1212"/>
      <c r="D743" s="1212"/>
      <c r="E743" s="1212"/>
      <c r="F743" s="1208"/>
      <c r="G743" s="1208"/>
      <c r="H743" s="1208"/>
      <c r="I743" s="1209"/>
      <c r="J743" s="1209"/>
      <c r="K743" s="1210"/>
      <c r="L743" s="1210"/>
      <c r="M743" s="1197"/>
      <c r="N743" s="1211"/>
      <c r="O743" s="1212"/>
      <c r="P743" s="1200"/>
      <c r="Q743" s="1200"/>
      <c r="R743" s="1213"/>
      <c r="S743" s="1213"/>
      <c r="T743" s="1213"/>
      <c r="U743" s="1213"/>
      <c r="V743" s="1213"/>
    </row>
    <row r="744" spans="1:22" ht="15" thickTop="1" thickBot="1" x14ac:dyDescent="0.3">
      <c r="A744" s="1207"/>
      <c r="B744" s="1212"/>
      <c r="C744" s="1212"/>
      <c r="D744" s="1212"/>
      <c r="E744" s="1212"/>
      <c r="F744" s="1208"/>
      <c r="G744" s="1208"/>
      <c r="H744" s="1208"/>
      <c r="I744" s="1209"/>
      <c r="J744" s="1209"/>
      <c r="K744" s="1210"/>
      <c r="L744" s="1210"/>
      <c r="M744" s="1197"/>
      <c r="N744" s="1211"/>
      <c r="O744" s="1212"/>
      <c r="P744" s="1200"/>
      <c r="Q744" s="1200"/>
      <c r="R744" s="1213"/>
      <c r="S744" s="1213"/>
      <c r="T744" s="1213"/>
      <c r="U744" s="1213"/>
      <c r="V744" s="1213"/>
    </row>
    <row r="745" spans="1:22" ht="15" thickTop="1" thickBot="1" x14ac:dyDescent="0.3">
      <c r="A745" s="1207"/>
      <c r="B745" s="1212"/>
      <c r="C745" s="1212"/>
      <c r="D745" s="1212"/>
      <c r="E745" s="1212"/>
      <c r="F745" s="1208"/>
      <c r="G745" s="1208"/>
      <c r="H745" s="1208"/>
      <c r="I745" s="1209"/>
      <c r="J745" s="1209"/>
      <c r="K745" s="1210"/>
      <c r="L745" s="1210"/>
      <c r="M745" s="1197"/>
      <c r="N745" s="1211"/>
      <c r="O745" s="1212"/>
      <c r="P745" s="1200"/>
      <c r="Q745" s="1200"/>
      <c r="R745" s="1213"/>
      <c r="S745" s="1213"/>
      <c r="T745" s="1213"/>
      <c r="U745" s="1213"/>
      <c r="V745" s="1213"/>
    </row>
    <row r="746" spans="1:22" ht="15" thickTop="1" thickBot="1" x14ac:dyDescent="0.3">
      <c r="A746" s="1207"/>
      <c r="B746" s="1212"/>
      <c r="C746" s="1212"/>
      <c r="D746" s="1212"/>
      <c r="E746" s="1212"/>
      <c r="F746" s="1208"/>
      <c r="G746" s="1208"/>
      <c r="H746" s="1208"/>
      <c r="I746" s="1209"/>
      <c r="J746" s="1209"/>
      <c r="K746" s="1210"/>
      <c r="L746" s="1210"/>
      <c r="M746" s="1197"/>
      <c r="N746" s="1211"/>
      <c r="O746" s="1212"/>
      <c r="P746" s="1200"/>
      <c r="Q746" s="1200"/>
      <c r="R746" s="1213"/>
      <c r="S746" s="1213"/>
      <c r="T746" s="1213"/>
      <c r="U746" s="1213"/>
      <c r="V746" s="1213"/>
    </row>
    <row r="747" spans="1:22" ht="15" thickTop="1" thickBot="1" x14ac:dyDescent="0.3">
      <c r="A747" s="1207"/>
      <c r="B747" s="1212"/>
      <c r="C747" s="1212"/>
      <c r="D747" s="1212"/>
      <c r="E747" s="1212"/>
      <c r="F747" s="1208"/>
      <c r="G747" s="1208"/>
      <c r="H747" s="1208"/>
      <c r="I747" s="1209"/>
      <c r="J747" s="1209"/>
      <c r="K747" s="1210"/>
      <c r="L747" s="1210"/>
      <c r="M747" s="1197"/>
      <c r="N747" s="1211"/>
      <c r="O747" s="1212"/>
      <c r="P747" s="1200"/>
      <c r="Q747" s="1200"/>
      <c r="R747" s="1213"/>
      <c r="S747" s="1213"/>
      <c r="T747" s="1213"/>
      <c r="U747" s="1213"/>
      <c r="V747" s="1213"/>
    </row>
    <row r="748" spans="1:22" ht="15" thickTop="1" thickBot="1" x14ac:dyDescent="0.3">
      <c r="A748" s="1207"/>
      <c r="B748" s="1212"/>
      <c r="C748" s="1212"/>
      <c r="D748" s="1212"/>
      <c r="E748" s="1212"/>
      <c r="F748" s="1208"/>
      <c r="G748" s="1208"/>
      <c r="H748" s="1208"/>
      <c r="I748" s="1209"/>
      <c r="J748" s="1209"/>
      <c r="K748" s="1210"/>
      <c r="L748" s="1210"/>
      <c r="M748" s="1197"/>
      <c r="N748" s="1211"/>
      <c r="O748" s="1212"/>
      <c r="P748" s="1200"/>
      <c r="Q748" s="1200"/>
      <c r="R748" s="1213"/>
      <c r="S748" s="1213"/>
      <c r="T748" s="1213"/>
      <c r="U748" s="1213"/>
      <c r="V748" s="1213"/>
    </row>
    <row r="749" spans="1:22" ht="15" thickTop="1" thickBot="1" x14ac:dyDescent="0.3">
      <c r="A749" s="1207"/>
      <c r="B749" s="1212"/>
      <c r="C749" s="1212"/>
      <c r="D749" s="1212"/>
      <c r="E749" s="1212"/>
      <c r="F749" s="1208"/>
      <c r="G749" s="1208"/>
      <c r="H749" s="1208"/>
      <c r="I749" s="1209"/>
      <c r="J749" s="1209"/>
      <c r="K749" s="1210"/>
      <c r="L749" s="1210"/>
      <c r="M749" s="1197"/>
      <c r="N749" s="1211"/>
      <c r="O749" s="1212"/>
      <c r="P749" s="1200"/>
      <c r="Q749" s="1200"/>
      <c r="R749" s="1213"/>
      <c r="S749" s="1213"/>
      <c r="T749" s="1213"/>
      <c r="U749" s="1213"/>
      <c r="V749" s="1213"/>
    </row>
    <row r="750" spans="1:22" ht="15" thickTop="1" thickBot="1" x14ac:dyDescent="0.3">
      <c r="A750" s="1207"/>
      <c r="B750" s="1212"/>
      <c r="C750" s="1212"/>
      <c r="D750" s="1212"/>
      <c r="E750" s="1212"/>
      <c r="F750" s="1208"/>
      <c r="G750" s="1208"/>
      <c r="H750" s="1208"/>
      <c r="I750" s="1209"/>
      <c r="J750" s="1209"/>
      <c r="K750" s="1210"/>
      <c r="L750" s="1210"/>
      <c r="M750" s="1197"/>
      <c r="N750" s="1211"/>
      <c r="O750" s="1212"/>
      <c r="P750" s="1200"/>
      <c r="Q750" s="1200"/>
      <c r="R750" s="1213"/>
      <c r="S750" s="1213"/>
      <c r="T750" s="1213"/>
      <c r="U750" s="1213"/>
      <c r="V750" s="1213"/>
    </row>
    <row r="751" spans="1:22" ht="15" thickTop="1" thickBot="1" x14ac:dyDescent="0.3">
      <c r="A751" s="1207"/>
      <c r="B751" s="1212"/>
      <c r="C751" s="1212"/>
      <c r="D751" s="1212"/>
      <c r="E751" s="1212"/>
      <c r="F751" s="1208"/>
      <c r="G751" s="1208"/>
      <c r="H751" s="1208"/>
      <c r="I751" s="1209"/>
      <c r="J751" s="1209"/>
      <c r="K751" s="1210"/>
      <c r="L751" s="1210"/>
      <c r="M751" s="1197"/>
      <c r="N751" s="1211"/>
      <c r="O751" s="1212"/>
      <c r="P751" s="1200"/>
      <c r="Q751" s="1200"/>
      <c r="R751" s="1213"/>
      <c r="S751" s="1213"/>
      <c r="T751" s="1213"/>
      <c r="U751" s="1213"/>
      <c r="V751" s="1213"/>
    </row>
    <row r="752" spans="1:22" ht="15" thickTop="1" thickBot="1" x14ac:dyDescent="0.3">
      <c r="A752" s="1207"/>
      <c r="B752" s="1212"/>
      <c r="C752" s="1212"/>
      <c r="D752" s="1212"/>
      <c r="E752" s="1212"/>
      <c r="F752" s="1208"/>
      <c r="G752" s="1208"/>
      <c r="H752" s="1208"/>
      <c r="I752" s="1209"/>
      <c r="J752" s="1209"/>
      <c r="K752" s="1210"/>
      <c r="L752" s="1210"/>
      <c r="M752" s="1197"/>
      <c r="N752" s="1211"/>
      <c r="O752" s="1212"/>
      <c r="P752" s="1200"/>
      <c r="Q752" s="1200"/>
      <c r="R752" s="1213"/>
      <c r="S752" s="1213"/>
      <c r="T752" s="1213"/>
      <c r="U752" s="1213"/>
      <c r="V752" s="1213"/>
    </row>
    <row r="753" spans="1:22" ht="15" thickTop="1" thickBot="1" x14ac:dyDescent="0.3">
      <c r="A753" s="1207"/>
      <c r="B753" s="1212"/>
      <c r="C753" s="1212"/>
      <c r="D753" s="1212"/>
      <c r="E753" s="1212"/>
      <c r="F753" s="1208"/>
      <c r="G753" s="1208"/>
      <c r="H753" s="1208"/>
      <c r="I753" s="1209"/>
      <c r="J753" s="1209"/>
      <c r="K753" s="1210"/>
      <c r="L753" s="1210"/>
      <c r="M753" s="1197"/>
      <c r="N753" s="1211"/>
      <c r="O753" s="1212"/>
      <c r="P753" s="1200"/>
      <c r="Q753" s="1200"/>
      <c r="R753" s="1213"/>
      <c r="S753" s="1213"/>
      <c r="T753" s="1213"/>
      <c r="U753" s="1213"/>
      <c r="V753" s="1213"/>
    </row>
    <row r="754" spans="1:22" ht="15" thickTop="1" thickBot="1" x14ac:dyDescent="0.3">
      <c r="A754" s="1207"/>
      <c r="B754" s="1212" t="s">
        <v>710</v>
      </c>
      <c r="C754" s="1212"/>
      <c r="D754" s="1212"/>
      <c r="E754" s="1212"/>
      <c r="F754" s="1208"/>
      <c r="G754" s="1208"/>
      <c r="H754" s="1208"/>
      <c r="I754" s="1209"/>
      <c r="J754" s="1209"/>
      <c r="K754" s="1210">
        <f t="shared" si="150"/>
        <v>1.05</v>
      </c>
      <c r="L754" s="1210">
        <f t="shared" si="146"/>
        <v>0</v>
      </c>
      <c r="M754" s="1197">
        <f t="shared" si="147"/>
        <v>0</v>
      </c>
      <c r="N754" s="1211">
        <f t="shared" si="148"/>
        <v>0</v>
      </c>
      <c r="O754" s="1212"/>
      <c r="P754" s="1200"/>
      <c r="Q754" s="1200"/>
      <c r="R754" s="1213"/>
      <c r="S754" s="1213"/>
      <c r="T754" s="1213"/>
      <c r="U754" s="1213"/>
      <c r="V754" s="1213"/>
    </row>
    <row r="755" spans="1:22" ht="15" thickTop="1" thickBot="1" x14ac:dyDescent="0.3">
      <c r="A755" s="1207"/>
      <c r="B755" s="1212" t="s">
        <v>1627</v>
      </c>
      <c r="C755" s="1212"/>
      <c r="D755" s="1212"/>
      <c r="E755" s="1212">
        <v>2</v>
      </c>
      <c r="F755" s="1208">
        <f>1</f>
        <v>1</v>
      </c>
      <c r="G755" s="1208">
        <f>1.2</f>
        <v>1.2</v>
      </c>
      <c r="H755" s="1208">
        <v>0.3</v>
      </c>
      <c r="I755" s="1209">
        <f>H755*G755*F755*E755</f>
        <v>0.72</v>
      </c>
      <c r="J755" s="1209"/>
      <c r="K755" s="1210">
        <f t="shared" si="150"/>
        <v>1.05</v>
      </c>
      <c r="L755" s="1210">
        <f t="shared" si="146"/>
        <v>0</v>
      </c>
      <c r="M755" s="1197">
        <f t="shared" si="147"/>
        <v>0</v>
      </c>
      <c r="N755" s="1211">
        <f t="shared" si="148"/>
        <v>0</v>
      </c>
      <c r="O755" s="1212"/>
      <c r="P755" s="1200"/>
      <c r="Q755" s="1200"/>
      <c r="R755" s="1213"/>
      <c r="S755" s="1213"/>
      <c r="T755" s="1213"/>
      <c r="U755" s="1213"/>
      <c r="V755" s="1213"/>
    </row>
    <row r="756" spans="1:22" ht="15" thickTop="1" thickBot="1" x14ac:dyDescent="0.3">
      <c r="A756" s="1207"/>
      <c r="B756" s="1212" t="s">
        <v>3202</v>
      </c>
      <c r="C756" s="1212"/>
      <c r="D756" s="1212"/>
      <c r="E756" s="1212">
        <v>1</v>
      </c>
      <c r="F756" s="1208">
        <v>1</v>
      </c>
      <c r="G756" s="1208">
        <v>1.2</v>
      </c>
      <c r="H756" s="1208">
        <v>0.3</v>
      </c>
      <c r="I756" s="1209">
        <f t="shared" ref="I756:I770" si="151">H756*G756*F756*E756</f>
        <v>0.36</v>
      </c>
      <c r="J756" s="1209"/>
      <c r="K756" s="1210">
        <f t="shared" si="150"/>
        <v>1.05</v>
      </c>
      <c r="L756" s="1210">
        <f t="shared" si="146"/>
        <v>0</v>
      </c>
      <c r="M756" s="1197">
        <f t="shared" si="147"/>
        <v>0</v>
      </c>
      <c r="N756" s="1211">
        <f t="shared" si="148"/>
        <v>0</v>
      </c>
      <c r="O756" s="1212"/>
      <c r="P756" s="1200"/>
      <c r="Q756" s="1200"/>
      <c r="R756" s="1213"/>
      <c r="S756" s="1213"/>
      <c r="T756" s="1213"/>
      <c r="U756" s="1213"/>
      <c r="V756" s="1213"/>
    </row>
    <row r="757" spans="1:22" ht="15" thickTop="1" thickBot="1" x14ac:dyDescent="0.3">
      <c r="A757" s="1207"/>
      <c r="B757" s="1212" t="s">
        <v>1628</v>
      </c>
      <c r="C757" s="1212"/>
      <c r="D757" s="1212"/>
      <c r="E757" s="1212">
        <v>1</v>
      </c>
      <c r="F757" s="1208">
        <v>1</v>
      </c>
      <c r="G757" s="1208">
        <v>1</v>
      </c>
      <c r="H757" s="1208">
        <v>0.3</v>
      </c>
      <c r="I757" s="1209">
        <f t="shared" si="151"/>
        <v>0.3</v>
      </c>
      <c r="J757" s="1209"/>
      <c r="K757" s="1210">
        <f t="shared" si="150"/>
        <v>1.05</v>
      </c>
      <c r="L757" s="1210">
        <f t="shared" si="146"/>
        <v>0</v>
      </c>
      <c r="M757" s="1197">
        <f t="shared" si="147"/>
        <v>0</v>
      </c>
      <c r="N757" s="1211">
        <f t="shared" si="148"/>
        <v>0</v>
      </c>
      <c r="O757" s="1212"/>
      <c r="P757" s="1200"/>
      <c r="Q757" s="1200"/>
      <c r="R757" s="1213"/>
      <c r="S757" s="1213"/>
      <c r="T757" s="1213"/>
      <c r="U757" s="1213"/>
      <c r="V757" s="1213"/>
    </row>
    <row r="758" spans="1:22" ht="15" thickTop="1" thickBot="1" x14ac:dyDescent="0.3">
      <c r="A758" s="1207"/>
      <c r="B758" s="1212" t="s">
        <v>2137</v>
      </c>
      <c r="C758" s="1212"/>
      <c r="D758" s="1212"/>
      <c r="E758" s="1212">
        <v>1</v>
      </c>
      <c r="F758" s="1208">
        <v>1</v>
      </c>
      <c r="G758" s="1208">
        <v>1.2</v>
      </c>
      <c r="H758" s="1208">
        <v>0.3</v>
      </c>
      <c r="I758" s="1209">
        <f t="shared" si="151"/>
        <v>0.36</v>
      </c>
      <c r="J758" s="1209"/>
      <c r="K758" s="1210">
        <f t="shared" si="150"/>
        <v>1.05</v>
      </c>
      <c r="L758" s="1210">
        <f t="shared" si="146"/>
        <v>0</v>
      </c>
      <c r="M758" s="1197">
        <f t="shared" si="147"/>
        <v>0</v>
      </c>
      <c r="N758" s="1211">
        <f t="shared" si="148"/>
        <v>0</v>
      </c>
      <c r="O758" s="1212"/>
      <c r="P758" s="1200"/>
      <c r="Q758" s="1200"/>
      <c r="R758" s="1213"/>
      <c r="S758" s="1213"/>
      <c r="T758" s="1213"/>
      <c r="U758" s="1213"/>
      <c r="V758" s="1213"/>
    </row>
    <row r="759" spans="1:22" ht="15" thickTop="1" thickBot="1" x14ac:dyDescent="0.3">
      <c r="A759" s="1207"/>
      <c r="B759" s="1212" t="s">
        <v>2138</v>
      </c>
      <c r="C759" s="1212"/>
      <c r="D759" s="1212"/>
      <c r="E759" s="1212">
        <v>2</v>
      </c>
      <c r="F759" s="1208">
        <v>1</v>
      </c>
      <c r="G759" s="1208">
        <v>1</v>
      </c>
      <c r="H759" s="1208">
        <v>0.3</v>
      </c>
      <c r="I759" s="1209">
        <f t="shared" si="151"/>
        <v>0.6</v>
      </c>
      <c r="J759" s="1209"/>
      <c r="K759" s="1210">
        <f t="shared" si="150"/>
        <v>1.05</v>
      </c>
      <c r="L759" s="1210">
        <f t="shared" si="146"/>
        <v>0</v>
      </c>
      <c r="M759" s="1197">
        <f t="shared" si="147"/>
        <v>0</v>
      </c>
      <c r="N759" s="1211">
        <f t="shared" si="148"/>
        <v>0</v>
      </c>
      <c r="O759" s="1212"/>
      <c r="P759" s="1200"/>
      <c r="Q759" s="1200"/>
      <c r="R759" s="1213"/>
      <c r="S759" s="1213"/>
      <c r="T759" s="1213"/>
      <c r="U759" s="1213"/>
      <c r="V759" s="1213"/>
    </row>
    <row r="760" spans="1:22" ht="15" thickTop="1" thickBot="1" x14ac:dyDescent="0.3">
      <c r="A760" s="1207"/>
      <c r="B760" s="1212" t="s">
        <v>2139</v>
      </c>
      <c r="C760" s="1212"/>
      <c r="D760" s="1212"/>
      <c r="E760" s="1212">
        <v>1</v>
      </c>
      <c r="F760" s="1208">
        <v>1</v>
      </c>
      <c r="G760" s="1208">
        <v>1</v>
      </c>
      <c r="H760" s="1208">
        <v>0.3</v>
      </c>
      <c r="I760" s="1209">
        <f t="shared" si="151"/>
        <v>0.3</v>
      </c>
      <c r="J760" s="1209"/>
      <c r="K760" s="1210">
        <f t="shared" si="150"/>
        <v>1.05</v>
      </c>
      <c r="L760" s="1210">
        <f t="shared" si="146"/>
        <v>0</v>
      </c>
      <c r="M760" s="1197">
        <f t="shared" si="147"/>
        <v>0</v>
      </c>
      <c r="N760" s="1211">
        <f t="shared" si="148"/>
        <v>0</v>
      </c>
      <c r="O760" s="1212"/>
      <c r="P760" s="1200"/>
      <c r="Q760" s="1200"/>
      <c r="R760" s="1213"/>
      <c r="S760" s="1213"/>
      <c r="T760" s="1213"/>
      <c r="U760" s="1213"/>
      <c r="V760" s="1213"/>
    </row>
    <row r="761" spans="1:22" ht="15" thickTop="1" thickBot="1" x14ac:dyDescent="0.3">
      <c r="A761" s="1207"/>
      <c r="B761" s="1212" t="s">
        <v>2140</v>
      </c>
      <c r="C761" s="1212"/>
      <c r="D761" s="1212"/>
      <c r="E761" s="1212">
        <v>1</v>
      </c>
      <c r="F761" s="1208">
        <v>1.35</v>
      </c>
      <c r="G761" s="1208">
        <v>1.35</v>
      </c>
      <c r="H761" s="1208">
        <v>0.3</v>
      </c>
      <c r="I761" s="1209">
        <f t="shared" si="151"/>
        <v>0.54675000000000007</v>
      </c>
      <c r="J761" s="1209"/>
      <c r="K761" s="1210">
        <f t="shared" si="150"/>
        <v>1.05</v>
      </c>
      <c r="L761" s="1210">
        <f t="shared" si="146"/>
        <v>0</v>
      </c>
      <c r="M761" s="1197">
        <f t="shared" si="147"/>
        <v>0</v>
      </c>
      <c r="N761" s="1211">
        <f t="shared" si="148"/>
        <v>0</v>
      </c>
      <c r="O761" s="1212"/>
      <c r="P761" s="1200"/>
      <c r="Q761" s="1200"/>
      <c r="R761" s="1213"/>
      <c r="S761" s="1213"/>
      <c r="T761" s="1213"/>
      <c r="U761" s="1213"/>
      <c r="V761" s="1213"/>
    </row>
    <row r="762" spans="1:22" ht="15" thickTop="1" thickBot="1" x14ac:dyDescent="0.3">
      <c r="A762" s="1207"/>
      <c r="B762" s="1212" t="s">
        <v>2141</v>
      </c>
      <c r="C762" s="1212"/>
      <c r="D762" s="1212"/>
      <c r="E762" s="1212">
        <v>1</v>
      </c>
      <c r="F762" s="1208">
        <v>1.3</v>
      </c>
      <c r="G762" s="1208">
        <v>1.3</v>
      </c>
      <c r="H762" s="1208">
        <v>0.3</v>
      </c>
      <c r="I762" s="1209">
        <f t="shared" si="151"/>
        <v>0.50700000000000001</v>
      </c>
      <c r="J762" s="1209"/>
      <c r="K762" s="1210">
        <f t="shared" si="150"/>
        <v>1.05</v>
      </c>
      <c r="L762" s="1210">
        <f t="shared" si="146"/>
        <v>0</v>
      </c>
      <c r="M762" s="1197">
        <f t="shared" si="147"/>
        <v>0</v>
      </c>
      <c r="N762" s="1211">
        <f t="shared" si="148"/>
        <v>0</v>
      </c>
      <c r="O762" s="1212"/>
      <c r="P762" s="1200"/>
      <c r="Q762" s="1200"/>
      <c r="R762" s="1213"/>
      <c r="S762" s="1213"/>
      <c r="T762" s="1213"/>
      <c r="U762" s="1213"/>
      <c r="V762" s="1213"/>
    </row>
    <row r="763" spans="1:22" ht="15" thickTop="1" thickBot="1" x14ac:dyDescent="0.3">
      <c r="A763" s="1207"/>
      <c r="B763" s="1212" t="s">
        <v>2142</v>
      </c>
      <c r="C763" s="1212"/>
      <c r="D763" s="1212"/>
      <c r="E763" s="1212">
        <v>2</v>
      </c>
      <c r="F763" s="1208">
        <v>1.5</v>
      </c>
      <c r="G763" s="1208">
        <v>1.5</v>
      </c>
      <c r="H763" s="1208">
        <v>0.375</v>
      </c>
      <c r="I763" s="1209">
        <f t="shared" si="151"/>
        <v>1.6875</v>
      </c>
      <c r="J763" s="1209"/>
      <c r="K763" s="1210">
        <f t="shared" si="150"/>
        <v>1.05</v>
      </c>
      <c r="L763" s="1210">
        <f t="shared" si="146"/>
        <v>0</v>
      </c>
      <c r="M763" s="1197">
        <f t="shared" si="147"/>
        <v>0</v>
      </c>
      <c r="N763" s="1211">
        <f t="shared" si="148"/>
        <v>0</v>
      </c>
      <c r="O763" s="1212"/>
      <c r="P763" s="1200"/>
      <c r="Q763" s="1200"/>
      <c r="R763" s="1213"/>
      <c r="S763" s="1213"/>
      <c r="T763" s="1213"/>
      <c r="U763" s="1213"/>
      <c r="V763" s="1213"/>
    </row>
    <row r="764" spans="1:22" ht="15" thickTop="1" thickBot="1" x14ac:dyDescent="0.3">
      <c r="A764" s="1207"/>
      <c r="B764" s="1212" t="s">
        <v>2143</v>
      </c>
      <c r="C764" s="1212"/>
      <c r="D764" s="1212"/>
      <c r="E764" s="1212">
        <v>3</v>
      </c>
      <c r="F764" s="1208">
        <v>1.65</v>
      </c>
      <c r="G764" s="1208">
        <v>1.65</v>
      </c>
      <c r="H764" s="1208">
        <v>0.3</v>
      </c>
      <c r="I764" s="1209">
        <f t="shared" si="151"/>
        <v>2.4502499999999996</v>
      </c>
      <c r="J764" s="1209"/>
      <c r="K764" s="1210">
        <f t="shared" si="150"/>
        <v>1.05</v>
      </c>
      <c r="L764" s="1210">
        <f t="shared" si="146"/>
        <v>0</v>
      </c>
      <c r="M764" s="1197">
        <f t="shared" si="147"/>
        <v>0</v>
      </c>
      <c r="N764" s="1211">
        <f t="shared" si="148"/>
        <v>0</v>
      </c>
      <c r="O764" s="1212"/>
      <c r="P764" s="1200"/>
      <c r="Q764" s="1200"/>
      <c r="R764" s="1213"/>
      <c r="S764" s="1213"/>
      <c r="T764" s="1213"/>
      <c r="U764" s="1213"/>
      <c r="V764" s="1213"/>
    </row>
    <row r="765" spans="1:22" ht="15" thickTop="1" thickBot="1" x14ac:dyDescent="0.3">
      <c r="A765" s="1207"/>
      <c r="B765" s="1212" t="s">
        <v>3203</v>
      </c>
      <c r="C765" s="1212"/>
      <c r="D765" s="1212"/>
      <c r="E765" s="1212">
        <v>1</v>
      </c>
      <c r="F765" s="1208">
        <v>1.65</v>
      </c>
      <c r="G765" s="1208">
        <v>1.65</v>
      </c>
      <c r="H765" s="1208">
        <v>0.3</v>
      </c>
      <c r="I765" s="1209">
        <f t="shared" si="151"/>
        <v>0.81674999999999986</v>
      </c>
      <c r="J765" s="1209"/>
      <c r="K765" s="1210">
        <f t="shared" si="150"/>
        <v>1.05</v>
      </c>
      <c r="L765" s="1210">
        <f t="shared" si="146"/>
        <v>0</v>
      </c>
      <c r="M765" s="1197">
        <f t="shared" si="147"/>
        <v>0</v>
      </c>
      <c r="N765" s="1211">
        <f t="shared" si="148"/>
        <v>0</v>
      </c>
      <c r="O765" s="1212"/>
      <c r="P765" s="1200"/>
      <c r="Q765" s="1200"/>
      <c r="R765" s="1213"/>
      <c r="S765" s="1213"/>
      <c r="T765" s="1213"/>
      <c r="U765" s="1213"/>
      <c r="V765" s="1213"/>
    </row>
    <row r="766" spans="1:22" ht="15" thickTop="1" thickBot="1" x14ac:dyDescent="0.3">
      <c r="A766" s="1207"/>
      <c r="B766" s="1212" t="s">
        <v>2144</v>
      </c>
      <c r="C766" s="1212"/>
      <c r="D766" s="1212"/>
      <c r="E766" s="1212">
        <v>3</v>
      </c>
      <c r="F766" s="1208">
        <v>1.2</v>
      </c>
      <c r="G766" s="1208">
        <v>1.2</v>
      </c>
      <c r="H766" s="1208">
        <v>0.3</v>
      </c>
      <c r="I766" s="1209">
        <f t="shared" si="151"/>
        <v>1.296</v>
      </c>
      <c r="J766" s="1209"/>
      <c r="K766" s="1210">
        <f t="shared" si="150"/>
        <v>1.05</v>
      </c>
      <c r="L766" s="1210">
        <f t="shared" si="146"/>
        <v>0</v>
      </c>
      <c r="M766" s="1197">
        <f t="shared" si="147"/>
        <v>0</v>
      </c>
      <c r="N766" s="1211">
        <f t="shared" si="148"/>
        <v>0</v>
      </c>
      <c r="O766" s="1212"/>
      <c r="P766" s="1200"/>
      <c r="Q766" s="1200"/>
      <c r="R766" s="1213"/>
      <c r="S766" s="1213"/>
      <c r="T766" s="1213"/>
      <c r="U766" s="1213"/>
      <c r="V766" s="1213"/>
    </row>
    <row r="767" spans="1:22" ht="15" thickTop="1" thickBot="1" x14ac:dyDescent="0.3">
      <c r="A767" s="1207"/>
      <c r="B767" s="1212" t="s">
        <v>2145</v>
      </c>
      <c r="C767" s="1212"/>
      <c r="D767" s="1212"/>
      <c r="E767" s="1212">
        <v>4</v>
      </c>
      <c r="F767" s="1208">
        <v>1.2</v>
      </c>
      <c r="G767" s="1208">
        <v>1.3</v>
      </c>
      <c r="H767" s="1208">
        <v>0.3</v>
      </c>
      <c r="I767" s="1209">
        <f t="shared" si="151"/>
        <v>1.8719999999999999</v>
      </c>
      <c r="J767" s="1209"/>
      <c r="K767" s="1210">
        <f t="shared" si="150"/>
        <v>1.05</v>
      </c>
      <c r="L767" s="1210">
        <f t="shared" si="146"/>
        <v>0</v>
      </c>
      <c r="M767" s="1197">
        <f t="shared" si="147"/>
        <v>0</v>
      </c>
      <c r="N767" s="1211">
        <f t="shared" si="148"/>
        <v>0</v>
      </c>
      <c r="O767" s="1212"/>
      <c r="P767" s="1200"/>
      <c r="Q767" s="1200"/>
      <c r="R767" s="1213"/>
      <c r="S767" s="1213"/>
      <c r="T767" s="1213"/>
      <c r="U767" s="1213"/>
      <c r="V767" s="1213"/>
    </row>
    <row r="768" spans="1:22" ht="15" thickTop="1" thickBot="1" x14ac:dyDescent="0.3">
      <c r="A768" s="1207"/>
      <c r="B768" s="1212" t="s">
        <v>2146</v>
      </c>
      <c r="C768" s="1212"/>
      <c r="D768" s="1212"/>
      <c r="E768" s="1212">
        <v>2</v>
      </c>
      <c r="F768" s="1208">
        <v>1</v>
      </c>
      <c r="G768" s="1208">
        <v>1.2</v>
      </c>
      <c r="H768" s="1208">
        <v>0.3</v>
      </c>
      <c r="I768" s="1209">
        <f t="shared" si="151"/>
        <v>0.72</v>
      </c>
      <c r="J768" s="1209"/>
      <c r="K768" s="1210">
        <f t="shared" si="150"/>
        <v>1.05</v>
      </c>
      <c r="L768" s="1210">
        <f t="shared" si="146"/>
        <v>0</v>
      </c>
      <c r="M768" s="1197">
        <f t="shared" si="147"/>
        <v>0</v>
      </c>
      <c r="N768" s="1211">
        <f t="shared" si="148"/>
        <v>0</v>
      </c>
      <c r="O768" s="1212"/>
      <c r="P768" s="1200"/>
      <c r="Q768" s="1200"/>
      <c r="R768" s="1213"/>
      <c r="S768" s="1213"/>
      <c r="T768" s="1213"/>
      <c r="U768" s="1213"/>
      <c r="V768" s="1213"/>
    </row>
    <row r="769" spans="1:22" ht="15" thickTop="1" thickBot="1" x14ac:dyDescent="0.3">
      <c r="A769" s="1207"/>
      <c r="B769" s="1212" t="s">
        <v>2147</v>
      </c>
      <c r="C769" s="1212"/>
      <c r="D769" s="1212"/>
      <c r="E769" s="1212">
        <v>2</v>
      </c>
      <c r="F769" s="1208">
        <v>1.2</v>
      </c>
      <c r="G769" s="1208">
        <v>1.2</v>
      </c>
      <c r="H769" s="1208">
        <v>0.3</v>
      </c>
      <c r="I769" s="1209">
        <f t="shared" si="151"/>
        <v>0.86399999999999999</v>
      </c>
      <c r="J769" s="1209"/>
      <c r="K769" s="1210">
        <f t="shared" si="150"/>
        <v>1.05</v>
      </c>
      <c r="L769" s="1210">
        <f t="shared" si="146"/>
        <v>0</v>
      </c>
      <c r="M769" s="1197">
        <f t="shared" si="147"/>
        <v>0</v>
      </c>
      <c r="N769" s="1211">
        <f t="shared" si="148"/>
        <v>0</v>
      </c>
      <c r="O769" s="1212"/>
      <c r="P769" s="1200"/>
      <c r="Q769" s="1200"/>
      <c r="R769" s="1213"/>
      <c r="S769" s="1213"/>
      <c r="T769" s="1213"/>
      <c r="U769" s="1213"/>
      <c r="V769" s="1213"/>
    </row>
    <row r="770" spans="1:22" ht="15" thickTop="1" thickBot="1" x14ac:dyDescent="0.3">
      <c r="A770" s="1207"/>
      <c r="B770" s="1212" t="s">
        <v>2148</v>
      </c>
      <c r="C770" s="1212"/>
      <c r="D770" s="1212"/>
      <c r="E770" s="1212">
        <v>2</v>
      </c>
      <c r="F770" s="1208">
        <v>0.9</v>
      </c>
      <c r="G770" s="1208">
        <v>0.9</v>
      </c>
      <c r="H770" s="1208">
        <v>0.3</v>
      </c>
      <c r="I770" s="1209">
        <f t="shared" si="151"/>
        <v>0.48600000000000004</v>
      </c>
      <c r="J770" s="1209"/>
      <c r="K770" s="1210">
        <f t="shared" si="150"/>
        <v>1.05</v>
      </c>
      <c r="L770" s="1210">
        <f t="shared" si="146"/>
        <v>0</v>
      </c>
      <c r="M770" s="1197">
        <f t="shared" si="147"/>
        <v>0</v>
      </c>
      <c r="N770" s="1211">
        <f t="shared" si="148"/>
        <v>0</v>
      </c>
      <c r="O770" s="1212"/>
      <c r="P770" s="1200"/>
      <c r="Q770" s="1200"/>
      <c r="R770" s="1213"/>
      <c r="S770" s="1213"/>
      <c r="T770" s="1213"/>
      <c r="U770" s="1213"/>
      <c r="V770" s="1213"/>
    </row>
    <row r="771" spans="1:22" ht="15" thickTop="1" thickBot="1" x14ac:dyDescent="0.3">
      <c r="A771" s="1207"/>
      <c r="B771" s="1212"/>
      <c r="C771" s="1212"/>
      <c r="D771" s="1212"/>
      <c r="E771" s="1212"/>
      <c r="F771" s="1208"/>
      <c r="G771" s="1208"/>
      <c r="H771" s="1208"/>
      <c r="I771" s="1209"/>
      <c r="J771" s="1209">
        <f>SUM(I755:I770)</f>
        <v>13.88625</v>
      </c>
      <c r="K771" s="1210">
        <f t="shared" si="150"/>
        <v>1.05</v>
      </c>
      <c r="L771" s="1210">
        <f t="shared" si="146"/>
        <v>14.580562500000001</v>
      </c>
      <c r="M771" s="1197">
        <f t="shared" si="147"/>
        <v>14.6</v>
      </c>
      <c r="N771" s="1211">
        <f t="shared" si="148"/>
        <v>15</v>
      </c>
      <c r="O771" s="1212"/>
      <c r="P771" s="1200"/>
      <c r="Q771" s="1200"/>
      <c r="R771" s="1213"/>
      <c r="S771" s="1213"/>
      <c r="T771" s="1213"/>
      <c r="U771" s="1213"/>
      <c r="V771" s="1213"/>
    </row>
    <row r="772" spans="1:22" ht="15" thickTop="1" thickBot="1" x14ac:dyDescent="0.3">
      <c r="A772" s="1207"/>
      <c r="B772" s="1212"/>
      <c r="C772" s="1212"/>
      <c r="D772" s="1212"/>
      <c r="E772" s="1212"/>
      <c r="F772" s="1208"/>
      <c r="G772" s="1208"/>
      <c r="H772" s="1208"/>
      <c r="I772" s="1209"/>
      <c r="J772" s="1209"/>
      <c r="K772" s="1210">
        <f t="shared" si="150"/>
        <v>1.05</v>
      </c>
      <c r="L772" s="1210">
        <f t="shared" ref="L772:L777" si="152">K772*J772</f>
        <v>0</v>
      </c>
      <c r="M772" s="1197">
        <f t="shared" ref="M772:M777" si="153">ROUND(L772,1)</f>
        <v>0</v>
      </c>
      <c r="N772" s="1211">
        <f t="shared" ref="N772:N777" si="154">ROUNDUP(M772,0)</f>
        <v>0</v>
      </c>
      <c r="O772" s="1212"/>
      <c r="P772" s="1200"/>
      <c r="Q772" s="1200"/>
      <c r="R772" s="1213"/>
      <c r="S772" s="1213"/>
      <c r="T772" s="1213"/>
      <c r="U772" s="1213"/>
      <c r="V772" s="1213"/>
    </row>
    <row r="773" spans="1:22" ht="15" thickTop="1" thickBot="1" x14ac:dyDescent="0.3">
      <c r="A773" s="1207"/>
      <c r="B773" s="1212" t="s">
        <v>3266</v>
      </c>
      <c r="C773" s="1212"/>
      <c r="D773" s="1212">
        <v>2</v>
      </c>
      <c r="E773" s="1212">
        <v>8</v>
      </c>
      <c r="F773" s="1208">
        <v>1</v>
      </c>
      <c r="G773" s="1208">
        <v>0.88900000000000001</v>
      </c>
      <c r="H773" s="1208"/>
      <c r="I773" s="1209">
        <f>G773*F773*E773*D773</f>
        <v>14.224</v>
      </c>
      <c r="J773" s="1209"/>
      <c r="K773" s="1210">
        <f t="shared" si="150"/>
        <v>1.05</v>
      </c>
      <c r="L773" s="1210">
        <f t="shared" si="152"/>
        <v>0</v>
      </c>
      <c r="M773" s="1197">
        <f t="shared" si="153"/>
        <v>0</v>
      </c>
      <c r="N773" s="1211">
        <f t="shared" si="154"/>
        <v>0</v>
      </c>
      <c r="O773" s="1212"/>
      <c r="P773" s="1200"/>
      <c r="Q773" s="1992">
        <f>F757/0.15</f>
        <v>6.666666666666667</v>
      </c>
      <c r="R773" s="1213"/>
      <c r="S773" s="1213"/>
      <c r="T773" s="1213"/>
      <c r="U773" s="1213"/>
      <c r="V773" s="1213"/>
    </row>
    <row r="774" spans="1:22" ht="15" thickTop="1" thickBot="1" x14ac:dyDescent="0.3">
      <c r="A774" s="1207"/>
      <c r="B774" s="1212"/>
      <c r="C774" s="1212"/>
      <c r="D774" s="1212"/>
      <c r="E774" s="1212"/>
      <c r="F774" s="1208"/>
      <c r="G774" s="1208"/>
      <c r="H774" s="1208"/>
      <c r="I774" s="1209"/>
      <c r="J774" s="1209">
        <f>J771*I773</f>
        <v>197.51802000000001</v>
      </c>
      <c r="K774" s="1210">
        <f t="shared" si="150"/>
        <v>1.05</v>
      </c>
      <c r="L774" s="1210">
        <f t="shared" si="152"/>
        <v>207.39392100000001</v>
      </c>
      <c r="M774" s="1197">
        <f t="shared" si="153"/>
        <v>207.4</v>
      </c>
      <c r="N774" s="1211">
        <f t="shared" si="154"/>
        <v>208</v>
      </c>
      <c r="O774" s="1212"/>
      <c r="P774" s="1200"/>
      <c r="Q774" s="1200"/>
      <c r="R774" s="1213"/>
      <c r="S774" s="1213"/>
      <c r="T774" s="1213"/>
      <c r="U774" s="1213"/>
      <c r="V774" s="1213"/>
    </row>
    <row r="775" spans="1:22" ht="15" thickTop="1" thickBot="1" x14ac:dyDescent="0.3">
      <c r="A775" s="1207"/>
      <c r="B775" s="1212"/>
      <c r="C775" s="1212"/>
      <c r="D775" s="1212"/>
      <c r="E775" s="1212"/>
      <c r="F775" s="1208"/>
      <c r="G775" s="1208"/>
      <c r="H775" s="1208"/>
      <c r="I775" s="1209"/>
      <c r="J775" s="1209"/>
      <c r="K775" s="1210">
        <f t="shared" si="150"/>
        <v>1.05</v>
      </c>
      <c r="L775" s="1210">
        <f t="shared" si="152"/>
        <v>0</v>
      </c>
      <c r="M775" s="1197">
        <f t="shared" si="153"/>
        <v>0</v>
      </c>
      <c r="N775" s="1211">
        <f t="shared" si="154"/>
        <v>0</v>
      </c>
      <c r="O775" s="1212"/>
      <c r="P775" s="1200"/>
      <c r="Q775" s="1200"/>
      <c r="R775" s="1213"/>
      <c r="S775" s="1213"/>
      <c r="T775" s="1213"/>
      <c r="U775" s="1213"/>
      <c r="V775" s="1213"/>
    </row>
    <row r="776" spans="1:22" ht="15" thickTop="1" thickBot="1" x14ac:dyDescent="0.3">
      <c r="A776" s="1207"/>
      <c r="B776" s="1212"/>
      <c r="C776" s="1212"/>
      <c r="D776" s="1212"/>
      <c r="E776" s="1212"/>
      <c r="F776" s="1208"/>
      <c r="G776" s="1208"/>
      <c r="H776" s="1208"/>
      <c r="I776" s="1209"/>
      <c r="J776" s="1209"/>
      <c r="K776" s="1210">
        <f t="shared" si="150"/>
        <v>1.05</v>
      </c>
      <c r="L776" s="1210">
        <f t="shared" si="152"/>
        <v>0</v>
      </c>
      <c r="M776" s="1197">
        <f t="shared" si="153"/>
        <v>0</v>
      </c>
      <c r="N776" s="1211">
        <f t="shared" si="154"/>
        <v>0</v>
      </c>
      <c r="O776" s="1212"/>
      <c r="P776" s="1200"/>
      <c r="Q776" s="1200"/>
      <c r="R776" s="1213"/>
      <c r="S776" s="1213"/>
      <c r="T776" s="1213"/>
      <c r="U776" s="1213"/>
      <c r="V776" s="1213"/>
    </row>
    <row r="777" spans="1:22" ht="15" thickTop="1" thickBot="1" x14ac:dyDescent="0.3">
      <c r="A777" s="1207"/>
      <c r="B777" s="1212"/>
      <c r="C777" s="1212"/>
      <c r="D777" s="1212"/>
      <c r="E777" s="1212"/>
      <c r="F777" s="1208"/>
      <c r="G777" s="1208"/>
      <c r="H777" s="1208"/>
      <c r="I777" s="1209"/>
      <c r="J777" s="1209"/>
      <c r="K777" s="1210">
        <f t="shared" si="150"/>
        <v>1.05</v>
      </c>
      <c r="L777" s="1210">
        <f t="shared" si="152"/>
        <v>0</v>
      </c>
      <c r="M777" s="1197">
        <f t="shared" si="153"/>
        <v>0</v>
      </c>
      <c r="N777" s="1211">
        <f t="shared" si="154"/>
        <v>0</v>
      </c>
      <c r="O777" s="1212"/>
      <c r="P777" s="1200"/>
      <c r="Q777" s="1200"/>
      <c r="R777" s="1213"/>
      <c r="S777" s="1213"/>
      <c r="T777" s="1213"/>
      <c r="U777" s="1213"/>
      <c r="V777" s="1213"/>
    </row>
    <row r="778" spans="1:22" ht="15" thickTop="1" thickBot="1" x14ac:dyDescent="0.3">
      <c r="A778" s="1207"/>
      <c r="B778" s="1212"/>
      <c r="C778" s="1212"/>
      <c r="D778" s="1212"/>
      <c r="E778" s="1212"/>
      <c r="F778" s="1208"/>
      <c r="G778" s="1208"/>
      <c r="H778" s="1208"/>
      <c r="I778" s="1209"/>
      <c r="J778" s="1209"/>
      <c r="K778" s="1210">
        <f t="shared" si="150"/>
        <v>1.05</v>
      </c>
      <c r="L778" s="1210">
        <f t="shared" ref="L778:L797" si="155">K778*J778</f>
        <v>0</v>
      </c>
      <c r="M778" s="1197">
        <f t="shared" ref="M778:M797" si="156">ROUND(L778,1)</f>
        <v>0</v>
      </c>
      <c r="N778" s="1211">
        <f t="shared" ref="N778:N797" si="157">ROUNDUP(M778,0)</f>
        <v>0</v>
      </c>
      <c r="O778" s="1212"/>
      <c r="P778" s="1200"/>
      <c r="Q778" s="1200"/>
      <c r="R778" s="1213"/>
      <c r="S778" s="1213"/>
      <c r="T778" s="1213"/>
      <c r="U778" s="1213"/>
      <c r="V778" s="1213"/>
    </row>
    <row r="779" spans="1:22" ht="15" thickTop="1" thickBot="1" x14ac:dyDescent="0.3">
      <c r="A779" s="1207"/>
      <c r="B779" s="1212" t="s">
        <v>3257</v>
      </c>
      <c r="C779" s="1212"/>
      <c r="D779" s="1212"/>
      <c r="E779" s="1212"/>
      <c r="F779" s="1208"/>
      <c r="G779" s="1208"/>
      <c r="H779" s="1208"/>
      <c r="I779" s="1209"/>
      <c r="J779" s="1209"/>
      <c r="K779" s="1210">
        <f t="shared" si="150"/>
        <v>1.05</v>
      </c>
      <c r="L779" s="1210">
        <f t="shared" si="155"/>
        <v>0</v>
      </c>
      <c r="M779" s="1197">
        <f t="shared" si="156"/>
        <v>0</v>
      </c>
      <c r="N779" s="1211">
        <f t="shared" si="157"/>
        <v>0</v>
      </c>
      <c r="O779" s="1212"/>
      <c r="P779" s="1200"/>
      <c r="Q779" s="1200"/>
      <c r="R779" s="1213"/>
      <c r="S779" s="1213"/>
      <c r="T779" s="1213"/>
      <c r="U779" s="1213"/>
      <c r="V779" s="1213"/>
    </row>
    <row r="780" spans="1:22" ht="15" thickTop="1" thickBot="1" x14ac:dyDescent="0.3">
      <c r="A780" s="1207"/>
      <c r="B780" s="1212" t="s">
        <v>1627</v>
      </c>
      <c r="C780" s="1212"/>
      <c r="D780" s="1212"/>
      <c r="E780" s="1212">
        <v>2</v>
      </c>
      <c r="F780" s="1208">
        <f t="shared" ref="F780:F795" si="158">F755+F755+G755+G755</f>
        <v>4.4000000000000004</v>
      </c>
      <c r="G780" s="1208"/>
      <c r="H780" s="1208">
        <f t="shared" ref="H780:H795" si="159">H755</f>
        <v>0.3</v>
      </c>
      <c r="I780" s="1209">
        <f>H780*F780*E780</f>
        <v>2.64</v>
      </c>
      <c r="J780" s="1209"/>
      <c r="K780" s="1210">
        <f t="shared" si="150"/>
        <v>1.05</v>
      </c>
      <c r="L780" s="1210">
        <f t="shared" si="155"/>
        <v>0</v>
      </c>
      <c r="M780" s="1197">
        <f t="shared" si="156"/>
        <v>0</v>
      </c>
      <c r="N780" s="1211">
        <f t="shared" si="157"/>
        <v>0</v>
      </c>
      <c r="O780" s="1212"/>
      <c r="P780" s="1200"/>
      <c r="Q780" s="1200"/>
      <c r="R780" s="1213"/>
      <c r="S780" s="1213"/>
      <c r="T780" s="1213"/>
      <c r="U780" s="1213"/>
      <c r="V780" s="1213"/>
    </row>
    <row r="781" spans="1:22" ht="15" thickTop="1" thickBot="1" x14ac:dyDescent="0.3">
      <c r="A781" s="1207"/>
      <c r="B781" s="1212" t="s">
        <v>3202</v>
      </c>
      <c r="C781" s="1212"/>
      <c r="D781" s="1212"/>
      <c r="E781" s="1212">
        <v>1</v>
      </c>
      <c r="F781" s="1208">
        <f t="shared" si="158"/>
        <v>4.4000000000000004</v>
      </c>
      <c r="G781" s="1208"/>
      <c r="H781" s="1208">
        <f t="shared" si="159"/>
        <v>0.3</v>
      </c>
      <c r="I781" s="1209">
        <f t="shared" ref="I781:I795" si="160">H781*F781*E781</f>
        <v>1.32</v>
      </c>
      <c r="J781" s="1209"/>
      <c r="K781" s="1210">
        <f t="shared" si="150"/>
        <v>1.05</v>
      </c>
      <c r="L781" s="1210">
        <f t="shared" si="155"/>
        <v>0</v>
      </c>
      <c r="M781" s="1197">
        <f t="shared" si="156"/>
        <v>0</v>
      </c>
      <c r="N781" s="1211">
        <f t="shared" si="157"/>
        <v>0</v>
      </c>
      <c r="O781" s="1212"/>
      <c r="P781" s="1200"/>
      <c r="Q781" s="1200"/>
      <c r="R781" s="1213"/>
      <c r="S781" s="1213"/>
      <c r="T781" s="1213"/>
      <c r="U781" s="1213"/>
      <c r="V781" s="1213"/>
    </row>
    <row r="782" spans="1:22" ht="15" thickTop="1" thickBot="1" x14ac:dyDescent="0.3">
      <c r="A782" s="1207"/>
      <c r="B782" s="1212" t="s">
        <v>1628</v>
      </c>
      <c r="C782" s="1212"/>
      <c r="D782" s="1212"/>
      <c r="E782" s="1212">
        <v>1</v>
      </c>
      <c r="F782" s="1208">
        <f t="shared" si="158"/>
        <v>4</v>
      </c>
      <c r="G782" s="1208"/>
      <c r="H782" s="1208">
        <f t="shared" si="159"/>
        <v>0.3</v>
      </c>
      <c r="I782" s="1209">
        <f t="shared" si="160"/>
        <v>1.2</v>
      </c>
      <c r="J782" s="1209"/>
      <c r="K782" s="1210">
        <f t="shared" si="150"/>
        <v>1.05</v>
      </c>
      <c r="L782" s="1210">
        <f t="shared" si="155"/>
        <v>0</v>
      </c>
      <c r="M782" s="1197">
        <f t="shared" si="156"/>
        <v>0</v>
      </c>
      <c r="N782" s="1211">
        <f t="shared" si="157"/>
        <v>0</v>
      </c>
      <c r="O782" s="1212"/>
      <c r="P782" s="1200"/>
      <c r="Q782" s="1200"/>
      <c r="R782" s="1213"/>
      <c r="S782" s="1213"/>
      <c r="T782" s="1213"/>
      <c r="U782" s="1213"/>
      <c r="V782" s="1213"/>
    </row>
    <row r="783" spans="1:22" ht="15" thickTop="1" thickBot="1" x14ac:dyDescent="0.3">
      <c r="A783" s="1207"/>
      <c r="B783" s="1212" t="s">
        <v>2137</v>
      </c>
      <c r="C783" s="1212"/>
      <c r="D783" s="1212"/>
      <c r="E783" s="1212">
        <v>1</v>
      </c>
      <c r="F783" s="1208">
        <f t="shared" si="158"/>
        <v>4.4000000000000004</v>
      </c>
      <c r="G783" s="1208"/>
      <c r="H783" s="1208">
        <f t="shared" si="159"/>
        <v>0.3</v>
      </c>
      <c r="I783" s="1209">
        <f t="shared" si="160"/>
        <v>1.32</v>
      </c>
      <c r="J783" s="1209"/>
      <c r="K783" s="1210">
        <f t="shared" si="150"/>
        <v>1.05</v>
      </c>
      <c r="L783" s="1210">
        <f t="shared" si="155"/>
        <v>0</v>
      </c>
      <c r="M783" s="1197">
        <f t="shared" si="156"/>
        <v>0</v>
      </c>
      <c r="N783" s="1211">
        <f t="shared" si="157"/>
        <v>0</v>
      </c>
      <c r="O783" s="1212"/>
      <c r="P783" s="1200"/>
      <c r="Q783" s="1200"/>
      <c r="R783" s="1213"/>
      <c r="S783" s="1213"/>
      <c r="T783" s="1213"/>
      <c r="U783" s="1213"/>
      <c r="V783" s="1213"/>
    </row>
    <row r="784" spans="1:22" ht="15" thickTop="1" thickBot="1" x14ac:dyDescent="0.3">
      <c r="A784" s="1207"/>
      <c r="B784" s="1212" t="s">
        <v>2138</v>
      </c>
      <c r="C784" s="1212"/>
      <c r="D784" s="1212"/>
      <c r="E784" s="1212">
        <v>2</v>
      </c>
      <c r="F784" s="1208">
        <f t="shared" si="158"/>
        <v>4</v>
      </c>
      <c r="G784" s="1208"/>
      <c r="H784" s="1208">
        <f t="shared" si="159"/>
        <v>0.3</v>
      </c>
      <c r="I784" s="1209">
        <f t="shared" si="160"/>
        <v>2.4</v>
      </c>
      <c r="J784" s="1209"/>
      <c r="K784" s="1210">
        <f t="shared" si="150"/>
        <v>1.05</v>
      </c>
      <c r="L784" s="1210">
        <f t="shared" si="155"/>
        <v>0</v>
      </c>
      <c r="M784" s="1197">
        <f t="shared" si="156"/>
        <v>0</v>
      </c>
      <c r="N784" s="1211">
        <f t="shared" si="157"/>
        <v>0</v>
      </c>
      <c r="O784" s="1212"/>
      <c r="P784" s="1200"/>
      <c r="Q784" s="1200"/>
      <c r="R784" s="1213"/>
      <c r="S784" s="1213"/>
      <c r="T784" s="1213"/>
      <c r="U784" s="1213"/>
      <c r="V784" s="1213"/>
    </row>
    <row r="785" spans="1:22" ht="15" thickTop="1" thickBot="1" x14ac:dyDescent="0.3">
      <c r="A785" s="1207"/>
      <c r="B785" s="1212" t="s">
        <v>2139</v>
      </c>
      <c r="C785" s="1212"/>
      <c r="D785" s="1212"/>
      <c r="E785" s="1212">
        <v>1</v>
      </c>
      <c r="F785" s="1208">
        <f t="shared" si="158"/>
        <v>4</v>
      </c>
      <c r="G785" s="1208"/>
      <c r="H785" s="1208">
        <f t="shared" si="159"/>
        <v>0.3</v>
      </c>
      <c r="I785" s="1209">
        <f t="shared" si="160"/>
        <v>1.2</v>
      </c>
      <c r="J785" s="1209"/>
      <c r="K785" s="1210">
        <f t="shared" si="150"/>
        <v>1.05</v>
      </c>
      <c r="L785" s="1210">
        <f t="shared" si="155"/>
        <v>0</v>
      </c>
      <c r="M785" s="1197">
        <f t="shared" si="156"/>
        <v>0</v>
      </c>
      <c r="N785" s="1211">
        <f t="shared" si="157"/>
        <v>0</v>
      </c>
      <c r="O785" s="1212"/>
      <c r="P785" s="1200"/>
      <c r="Q785" s="1200"/>
      <c r="R785" s="1213"/>
      <c r="S785" s="1213"/>
      <c r="T785" s="1213"/>
      <c r="U785" s="1213"/>
      <c r="V785" s="1213"/>
    </row>
    <row r="786" spans="1:22" ht="15" thickTop="1" thickBot="1" x14ac:dyDescent="0.3">
      <c r="A786" s="1207"/>
      <c r="B786" s="1212" t="s">
        <v>2140</v>
      </c>
      <c r="C786" s="1212"/>
      <c r="D786" s="1212"/>
      <c r="E786" s="1212">
        <v>1</v>
      </c>
      <c r="F786" s="1208">
        <f t="shared" si="158"/>
        <v>5.4</v>
      </c>
      <c r="G786" s="1208"/>
      <c r="H786" s="1208">
        <f t="shared" si="159"/>
        <v>0.3</v>
      </c>
      <c r="I786" s="1209">
        <f t="shared" si="160"/>
        <v>1.62</v>
      </c>
      <c r="J786" s="1209"/>
      <c r="K786" s="1210">
        <f t="shared" si="150"/>
        <v>1.05</v>
      </c>
      <c r="L786" s="1210">
        <f t="shared" si="155"/>
        <v>0</v>
      </c>
      <c r="M786" s="1197">
        <f t="shared" si="156"/>
        <v>0</v>
      </c>
      <c r="N786" s="1211">
        <f t="shared" si="157"/>
        <v>0</v>
      </c>
      <c r="O786" s="1212"/>
      <c r="P786" s="1200"/>
      <c r="Q786" s="1200"/>
      <c r="R786" s="1213"/>
      <c r="S786" s="1213"/>
      <c r="T786" s="1213"/>
      <c r="U786" s="1213"/>
      <c r="V786" s="1213"/>
    </row>
    <row r="787" spans="1:22" ht="15" thickTop="1" thickBot="1" x14ac:dyDescent="0.3">
      <c r="A787" s="1207"/>
      <c r="B787" s="1212" t="s">
        <v>2141</v>
      </c>
      <c r="C787" s="1212"/>
      <c r="D787" s="1212"/>
      <c r="E787" s="1212">
        <v>1</v>
      </c>
      <c r="F787" s="1208">
        <f t="shared" si="158"/>
        <v>5.2</v>
      </c>
      <c r="G787" s="1208"/>
      <c r="H787" s="1208">
        <f t="shared" si="159"/>
        <v>0.3</v>
      </c>
      <c r="I787" s="1209">
        <f t="shared" si="160"/>
        <v>1.56</v>
      </c>
      <c r="J787" s="1209"/>
      <c r="K787" s="1210">
        <f t="shared" si="150"/>
        <v>1.05</v>
      </c>
      <c r="L787" s="1210">
        <f t="shared" si="155"/>
        <v>0</v>
      </c>
      <c r="M787" s="1197">
        <f t="shared" si="156"/>
        <v>0</v>
      </c>
      <c r="N787" s="1211">
        <f t="shared" si="157"/>
        <v>0</v>
      </c>
      <c r="O787" s="1212"/>
      <c r="P787" s="1200"/>
      <c r="Q787" s="1200"/>
      <c r="R787" s="1213"/>
      <c r="S787" s="1213"/>
      <c r="T787" s="1213"/>
      <c r="U787" s="1213"/>
      <c r="V787" s="1213"/>
    </row>
    <row r="788" spans="1:22" ht="15" thickTop="1" thickBot="1" x14ac:dyDescent="0.3">
      <c r="A788" s="1207"/>
      <c r="B788" s="1212" t="s">
        <v>2142</v>
      </c>
      <c r="C788" s="1212"/>
      <c r="D788" s="1212"/>
      <c r="E788" s="1212">
        <v>2</v>
      </c>
      <c r="F788" s="1208">
        <f t="shared" si="158"/>
        <v>6</v>
      </c>
      <c r="G788" s="1208"/>
      <c r="H788" s="1208">
        <f t="shared" si="159"/>
        <v>0.375</v>
      </c>
      <c r="I788" s="1209">
        <f t="shared" si="160"/>
        <v>4.5</v>
      </c>
      <c r="J788" s="1209"/>
      <c r="K788" s="1210">
        <f t="shared" si="150"/>
        <v>1.05</v>
      </c>
      <c r="L788" s="1210">
        <f t="shared" si="155"/>
        <v>0</v>
      </c>
      <c r="M788" s="1197">
        <f t="shared" si="156"/>
        <v>0</v>
      </c>
      <c r="N788" s="1211">
        <f t="shared" si="157"/>
        <v>0</v>
      </c>
      <c r="O788" s="1212"/>
      <c r="P788" s="1200"/>
      <c r="Q788" s="1200"/>
      <c r="R788" s="1213"/>
      <c r="S788" s="1213"/>
      <c r="T788" s="1213"/>
      <c r="U788" s="1213"/>
      <c r="V788" s="1213"/>
    </row>
    <row r="789" spans="1:22" ht="15" thickTop="1" thickBot="1" x14ac:dyDescent="0.3">
      <c r="A789" s="1207"/>
      <c r="B789" s="1212" t="s">
        <v>2143</v>
      </c>
      <c r="C789" s="1212"/>
      <c r="D789" s="1212"/>
      <c r="E789" s="1212">
        <v>3</v>
      </c>
      <c r="F789" s="1208">
        <f t="shared" si="158"/>
        <v>6.6</v>
      </c>
      <c r="G789" s="1208"/>
      <c r="H789" s="1208">
        <f t="shared" si="159"/>
        <v>0.3</v>
      </c>
      <c r="I789" s="1209">
        <f t="shared" si="160"/>
        <v>5.9399999999999995</v>
      </c>
      <c r="J789" s="1209"/>
      <c r="K789" s="1210">
        <f t="shared" si="150"/>
        <v>1.05</v>
      </c>
      <c r="L789" s="1210">
        <f t="shared" si="155"/>
        <v>0</v>
      </c>
      <c r="M789" s="1197">
        <f t="shared" si="156"/>
        <v>0</v>
      </c>
      <c r="N789" s="1211">
        <f t="shared" si="157"/>
        <v>0</v>
      </c>
      <c r="O789" s="1212"/>
      <c r="P789" s="1200"/>
      <c r="Q789" s="1200"/>
      <c r="R789" s="1213"/>
      <c r="S789" s="1213"/>
      <c r="T789" s="1213"/>
      <c r="U789" s="1213"/>
      <c r="V789" s="1213"/>
    </row>
    <row r="790" spans="1:22" ht="15" thickTop="1" thickBot="1" x14ac:dyDescent="0.3">
      <c r="A790" s="1207"/>
      <c r="B790" s="1212" t="s">
        <v>3203</v>
      </c>
      <c r="C790" s="1212"/>
      <c r="D790" s="1212"/>
      <c r="E790" s="1212">
        <v>1</v>
      </c>
      <c r="F790" s="1208">
        <f t="shared" si="158"/>
        <v>6.6</v>
      </c>
      <c r="G790" s="1208"/>
      <c r="H790" s="1208">
        <f t="shared" si="159"/>
        <v>0.3</v>
      </c>
      <c r="I790" s="1209">
        <f t="shared" si="160"/>
        <v>1.9799999999999998</v>
      </c>
      <c r="J790" s="1209"/>
      <c r="K790" s="1210">
        <f t="shared" si="150"/>
        <v>1.05</v>
      </c>
      <c r="L790" s="1210">
        <f t="shared" si="155"/>
        <v>0</v>
      </c>
      <c r="M790" s="1197">
        <f t="shared" si="156"/>
        <v>0</v>
      </c>
      <c r="N790" s="1211">
        <f t="shared" si="157"/>
        <v>0</v>
      </c>
      <c r="O790" s="1212"/>
      <c r="P790" s="1200"/>
      <c r="Q790" s="1200"/>
      <c r="R790" s="1213"/>
      <c r="S790" s="1213"/>
      <c r="T790" s="1213"/>
      <c r="U790" s="1213"/>
      <c r="V790" s="1213"/>
    </row>
    <row r="791" spans="1:22" ht="15" thickTop="1" thickBot="1" x14ac:dyDescent="0.3">
      <c r="A791" s="1207"/>
      <c r="B791" s="1212" t="s">
        <v>2144</v>
      </c>
      <c r="C791" s="1212"/>
      <c r="D791" s="1212"/>
      <c r="E791" s="1212">
        <v>3</v>
      </c>
      <c r="F791" s="1208">
        <f t="shared" si="158"/>
        <v>4.8</v>
      </c>
      <c r="G791" s="1208"/>
      <c r="H791" s="1208">
        <f t="shared" si="159"/>
        <v>0.3</v>
      </c>
      <c r="I791" s="1209">
        <f t="shared" si="160"/>
        <v>4.32</v>
      </c>
      <c r="J791" s="1209"/>
      <c r="K791" s="1210">
        <f t="shared" si="150"/>
        <v>1.05</v>
      </c>
      <c r="L791" s="1210">
        <f t="shared" si="155"/>
        <v>0</v>
      </c>
      <c r="M791" s="1197">
        <f t="shared" si="156"/>
        <v>0</v>
      </c>
      <c r="N791" s="1211">
        <f t="shared" si="157"/>
        <v>0</v>
      </c>
      <c r="O791" s="1212"/>
      <c r="P791" s="1200"/>
      <c r="Q791" s="1200"/>
      <c r="R791" s="1213"/>
      <c r="S791" s="1213"/>
      <c r="T791" s="1213"/>
      <c r="U791" s="1213"/>
      <c r="V791" s="1213"/>
    </row>
    <row r="792" spans="1:22" ht="15" thickTop="1" thickBot="1" x14ac:dyDescent="0.3">
      <c r="A792" s="1207"/>
      <c r="B792" s="1212" t="s">
        <v>2145</v>
      </c>
      <c r="C792" s="1212"/>
      <c r="D792" s="1212"/>
      <c r="E792" s="1212">
        <v>4</v>
      </c>
      <c r="F792" s="1208">
        <f t="shared" si="158"/>
        <v>5</v>
      </c>
      <c r="G792" s="1208"/>
      <c r="H792" s="1208">
        <f t="shared" si="159"/>
        <v>0.3</v>
      </c>
      <c r="I792" s="1209">
        <f t="shared" si="160"/>
        <v>6</v>
      </c>
      <c r="J792" s="1209"/>
      <c r="K792" s="1210">
        <f t="shared" si="150"/>
        <v>1.05</v>
      </c>
      <c r="L792" s="1210">
        <f t="shared" si="155"/>
        <v>0</v>
      </c>
      <c r="M792" s="1197">
        <f t="shared" si="156"/>
        <v>0</v>
      </c>
      <c r="N792" s="1211">
        <f t="shared" si="157"/>
        <v>0</v>
      </c>
      <c r="O792" s="1212"/>
      <c r="P792" s="1200"/>
      <c r="Q792" s="1200"/>
      <c r="R792" s="1213"/>
      <c r="S792" s="1213"/>
      <c r="T792" s="1213"/>
      <c r="U792" s="1213"/>
      <c r="V792" s="1213"/>
    </row>
    <row r="793" spans="1:22" ht="15" thickTop="1" thickBot="1" x14ac:dyDescent="0.3">
      <c r="A793" s="1207"/>
      <c r="B793" s="1212" t="s">
        <v>2146</v>
      </c>
      <c r="C793" s="1212"/>
      <c r="D793" s="1212"/>
      <c r="E793" s="1212">
        <v>2</v>
      </c>
      <c r="F793" s="1208">
        <f t="shared" si="158"/>
        <v>4.4000000000000004</v>
      </c>
      <c r="G793" s="1208"/>
      <c r="H793" s="1208">
        <f t="shared" si="159"/>
        <v>0.3</v>
      </c>
      <c r="I793" s="1209">
        <f t="shared" si="160"/>
        <v>2.64</v>
      </c>
      <c r="J793" s="1209"/>
      <c r="K793" s="1210">
        <f t="shared" si="150"/>
        <v>1.05</v>
      </c>
      <c r="L793" s="1210">
        <f t="shared" si="155"/>
        <v>0</v>
      </c>
      <c r="M793" s="1197">
        <f t="shared" si="156"/>
        <v>0</v>
      </c>
      <c r="N793" s="1211">
        <f t="shared" si="157"/>
        <v>0</v>
      </c>
      <c r="O793" s="1212"/>
      <c r="P793" s="1200"/>
      <c r="Q793" s="1200"/>
      <c r="R793" s="1213"/>
      <c r="S793" s="1213"/>
      <c r="T793" s="1213"/>
      <c r="U793" s="1213"/>
      <c r="V793" s="1213"/>
    </row>
    <row r="794" spans="1:22" ht="15" thickTop="1" thickBot="1" x14ac:dyDescent="0.3">
      <c r="A794" s="1207"/>
      <c r="B794" s="1212" t="s">
        <v>2147</v>
      </c>
      <c r="C794" s="1212"/>
      <c r="D794" s="1212"/>
      <c r="E794" s="1212">
        <v>2</v>
      </c>
      <c r="F794" s="1208">
        <f t="shared" si="158"/>
        <v>4.8</v>
      </c>
      <c r="G794" s="1208"/>
      <c r="H794" s="1208">
        <f t="shared" si="159"/>
        <v>0.3</v>
      </c>
      <c r="I794" s="1209">
        <f t="shared" si="160"/>
        <v>2.88</v>
      </c>
      <c r="J794" s="1209"/>
      <c r="K794" s="1210">
        <f t="shared" si="150"/>
        <v>1.05</v>
      </c>
      <c r="L794" s="1210">
        <f t="shared" si="155"/>
        <v>0</v>
      </c>
      <c r="M794" s="1197">
        <f t="shared" si="156"/>
        <v>0</v>
      </c>
      <c r="N794" s="1211">
        <f t="shared" si="157"/>
        <v>0</v>
      </c>
      <c r="O794" s="1212"/>
      <c r="P794" s="1200"/>
      <c r="Q794" s="1200"/>
      <c r="R794" s="1213"/>
      <c r="S794" s="1213"/>
      <c r="T794" s="1213"/>
      <c r="U794" s="1213"/>
      <c r="V794" s="1213"/>
    </row>
    <row r="795" spans="1:22" ht="15" thickTop="1" thickBot="1" x14ac:dyDescent="0.3">
      <c r="A795" s="1207"/>
      <c r="B795" s="1212" t="s">
        <v>2148</v>
      </c>
      <c r="C795" s="1212"/>
      <c r="D795" s="1212"/>
      <c r="E795" s="1212">
        <v>2</v>
      </c>
      <c r="F795" s="1208">
        <f t="shared" si="158"/>
        <v>3.6</v>
      </c>
      <c r="G795" s="1208"/>
      <c r="H795" s="1208">
        <f t="shared" si="159"/>
        <v>0.3</v>
      </c>
      <c r="I795" s="1209">
        <f t="shared" si="160"/>
        <v>2.16</v>
      </c>
      <c r="J795" s="1209"/>
      <c r="K795" s="1210">
        <f t="shared" si="150"/>
        <v>1.05</v>
      </c>
      <c r="L795" s="1210">
        <f t="shared" si="155"/>
        <v>0</v>
      </c>
      <c r="M795" s="1197">
        <f t="shared" si="156"/>
        <v>0</v>
      </c>
      <c r="N795" s="1211">
        <f t="shared" si="157"/>
        <v>0</v>
      </c>
      <c r="O795" s="1212"/>
      <c r="P795" s="1200"/>
      <c r="Q795" s="1200"/>
      <c r="R795" s="1213"/>
      <c r="S795" s="1213"/>
      <c r="T795" s="1213"/>
      <c r="U795" s="1213"/>
      <c r="V795" s="1213"/>
    </row>
    <row r="796" spans="1:22" ht="15" thickTop="1" thickBot="1" x14ac:dyDescent="0.3">
      <c r="A796" s="1207"/>
      <c r="B796" s="1212"/>
      <c r="C796" s="1212"/>
      <c r="D796" s="1212"/>
      <c r="E796" s="1212"/>
      <c r="F796" s="1208"/>
      <c r="G796" s="1208"/>
      <c r="H796" s="1208"/>
      <c r="I796" s="1209"/>
      <c r="J796" s="1209">
        <f>SUM(I780:I795)</f>
        <v>43.680000000000007</v>
      </c>
      <c r="K796" s="1210">
        <f t="shared" si="150"/>
        <v>1.05</v>
      </c>
      <c r="L796" s="1210">
        <f t="shared" si="155"/>
        <v>45.864000000000011</v>
      </c>
      <c r="M796" s="1197">
        <f t="shared" si="156"/>
        <v>45.9</v>
      </c>
      <c r="N796" s="1211">
        <f t="shared" si="157"/>
        <v>46</v>
      </c>
      <c r="O796" s="1212"/>
      <c r="P796" s="1200"/>
      <c r="Q796" s="1200"/>
      <c r="R796" s="1213"/>
      <c r="S796" s="1213"/>
      <c r="T796" s="1213"/>
      <c r="U796" s="1213"/>
      <c r="V796" s="1213"/>
    </row>
    <row r="797" spans="1:22" ht="15" thickTop="1" thickBot="1" x14ac:dyDescent="0.3">
      <c r="A797" s="1207"/>
      <c r="B797" s="1212"/>
      <c r="C797" s="1212"/>
      <c r="D797" s="1212"/>
      <c r="E797" s="1212"/>
      <c r="F797" s="1208"/>
      <c r="G797" s="1208"/>
      <c r="H797" s="1208"/>
      <c r="I797" s="1209"/>
      <c r="J797" s="1209"/>
      <c r="K797" s="1210">
        <f t="shared" si="150"/>
        <v>1.05</v>
      </c>
      <c r="L797" s="1210">
        <f t="shared" si="155"/>
        <v>0</v>
      </c>
      <c r="M797" s="1197">
        <f t="shared" si="156"/>
        <v>0</v>
      </c>
      <c r="N797" s="1211">
        <f t="shared" si="157"/>
        <v>0</v>
      </c>
      <c r="O797" s="1212"/>
      <c r="P797" s="1200"/>
      <c r="Q797" s="1200"/>
      <c r="R797" s="1213"/>
      <c r="S797" s="1213"/>
      <c r="T797" s="1213"/>
      <c r="U797" s="1213"/>
      <c r="V797" s="1213"/>
    </row>
    <row r="798" spans="1:22" ht="15" thickTop="1" thickBot="1" x14ac:dyDescent="0.3">
      <c r="A798" s="1207"/>
      <c r="B798" s="1212"/>
      <c r="C798" s="1212"/>
      <c r="D798" s="1212"/>
      <c r="E798" s="1212"/>
      <c r="F798" s="1208"/>
      <c r="G798" s="1208"/>
      <c r="H798" s="1208"/>
      <c r="I798" s="1209"/>
      <c r="J798" s="1209"/>
      <c r="K798" s="1210"/>
      <c r="L798" s="1210"/>
      <c r="M798" s="1197"/>
      <c r="N798" s="1211"/>
      <c r="O798" s="1212"/>
      <c r="P798" s="1200"/>
      <c r="Q798" s="1200"/>
      <c r="R798" s="1213"/>
      <c r="S798" s="1213"/>
      <c r="T798" s="1213"/>
      <c r="U798" s="1213"/>
      <c r="V798" s="1213"/>
    </row>
    <row r="799" spans="1:22" ht="15" thickTop="1" thickBot="1" x14ac:dyDescent="0.3">
      <c r="A799" s="1207"/>
      <c r="B799" s="1212"/>
      <c r="C799" s="1212"/>
      <c r="D799" s="1212"/>
      <c r="E799" s="1212"/>
      <c r="F799" s="1208"/>
      <c r="G799" s="1208"/>
      <c r="H799" s="1208"/>
      <c r="I799" s="1209"/>
      <c r="J799" s="1209"/>
      <c r="K799" s="1210"/>
      <c r="L799" s="1210"/>
      <c r="M799" s="1197"/>
      <c r="N799" s="1211"/>
      <c r="O799" s="1212"/>
      <c r="P799" s="1200"/>
      <c r="Q799" s="1200"/>
      <c r="R799" s="1213"/>
      <c r="S799" s="1213"/>
      <c r="T799" s="1213"/>
      <c r="U799" s="1213"/>
      <c r="V799" s="1213"/>
    </row>
    <row r="800" spans="1:22" ht="15" thickTop="1" thickBot="1" x14ac:dyDescent="0.3">
      <c r="A800" s="1207"/>
      <c r="B800" s="1212"/>
      <c r="C800" s="1212"/>
      <c r="D800" s="1212"/>
      <c r="E800" s="1212"/>
      <c r="F800" s="1208"/>
      <c r="G800" s="1208"/>
      <c r="H800" s="1208"/>
      <c r="I800" s="1209"/>
      <c r="J800" s="1209"/>
      <c r="K800" s="1210"/>
      <c r="L800" s="1210"/>
      <c r="M800" s="1197"/>
      <c r="N800" s="1211"/>
      <c r="O800" s="1212"/>
      <c r="P800" s="1200"/>
      <c r="Q800" s="1200"/>
      <c r="R800" s="1213"/>
      <c r="S800" s="1213"/>
      <c r="T800" s="1213"/>
      <c r="U800" s="1213"/>
      <c r="V800" s="1213"/>
    </row>
    <row r="801" spans="1:22" ht="15" thickTop="1" thickBot="1" x14ac:dyDescent="0.3">
      <c r="A801" s="1207"/>
      <c r="B801" s="1212"/>
      <c r="C801" s="1212"/>
      <c r="D801" s="1212"/>
      <c r="E801" s="1212"/>
      <c r="F801" s="1208"/>
      <c r="G801" s="1208"/>
      <c r="H801" s="1208"/>
      <c r="I801" s="1209"/>
      <c r="J801" s="1209"/>
      <c r="K801" s="1210"/>
      <c r="L801" s="1210"/>
      <c r="M801" s="1197"/>
      <c r="N801" s="1211"/>
      <c r="O801" s="1212"/>
      <c r="P801" s="1200"/>
      <c r="Q801" s="1200"/>
      <c r="R801" s="1213"/>
      <c r="S801" s="1213"/>
      <c r="T801" s="1213"/>
      <c r="U801" s="1213"/>
      <c r="V801" s="1213"/>
    </row>
    <row r="802" spans="1:22" ht="15" thickTop="1" thickBot="1" x14ac:dyDescent="0.3">
      <c r="A802" s="1207"/>
      <c r="B802" s="1212" t="s">
        <v>3208</v>
      </c>
      <c r="C802" s="1212"/>
      <c r="D802" s="1212"/>
      <c r="E802" s="1212">
        <f>SUM(E755:E778)</f>
        <v>37</v>
      </c>
      <c r="F802" s="1208">
        <v>0.22500000000000001</v>
      </c>
      <c r="G802" s="1208">
        <v>0.3</v>
      </c>
      <c r="H802" s="1208">
        <f>1-0.3+0.225</f>
        <v>0.92499999999999993</v>
      </c>
      <c r="I802" s="1209"/>
      <c r="J802" s="1209">
        <f>H802*G802*F802*E802</f>
        <v>2.3101874999999996</v>
      </c>
      <c r="K802" s="1210">
        <f t="shared" si="150"/>
        <v>1.05</v>
      </c>
      <c r="L802" s="1210">
        <f t="shared" si="146"/>
        <v>2.4256968749999999</v>
      </c>
      <c r="M802" s="1197">
        <f t="shared" si="147"/>
        <v>2.4</v>
      </c>
      <c r="N802" s="1211">
        <f t="shared" si="148"/>
        <v>3</v>
      </c>
      <c r="O802" s="1212"/>
      <c r="P802" s="1200"/>
      <c r="Q802" s="1200">
        <f>SUM(E769:E821)</f>
        <v>129</v>
      </c>
      <c r="R802" s="1213"/>
      <c r="S802" s="1213"/>
      <c r="T802" s="1213"/>
      <c r="U802" s="1213"/>
      <c r="V802" s="1213"/>
    </row>
    <row r="803" spans="1:22" ht="15" thickTop="1" thickBot="1" x14ac:dyDescent="0.3">
      <c r="A803" s="1207"/>
      <c r="B803" s="1212"/>
      <c r="C803" s="1212"/>
      <c r="D803" s="1212"/>
      <c r="E803" s="1212"/>
      <c r="F803" s="1208"/>
      <c r="G803" s="1208"/>
      <c r="H803" s="1208"/>
      <c r="I803" s="1209"/>
      <c r="J803" s="1209"/>
      <c r="K803" s="1210">
        <f t="shared" si="150"/>
        <v>1.05</v>
      </c>
      <c r="L803" s="1210">
        <f t="shared" si="146"/>
        <v>0</v>
      </c>
      <c r="M803" s="1197">
        <f t="shared" si="147"/>
        <v>0</v>
      </c>
      <c r="N803" s="1211">
        <f t="shared" si="148"/>
        <v>0</v>
      </c>
      <c r="O803" s="1212"/>
      <c r="P803" s="1200"/>
      <c r="Q803" s="1200"/>
      <c r="R803" s="1213"/>
      <c r="S803" s="1213"/>
      <c r="T803" s="1213"/>
      <c r="U803" s="1213"/>
      <c r="V803" s="1213"/>
    </row>
    <row r="804" spans="1:22" ht="15" thickTop="1" thickBot="1" x14ac:dyDescent="0.3">
      <c r="A804" s="1207"/>
      <c r="B804" s="1212" t="s">
        <v>3268</v>
      </c>
      <c r="C804" s="1212"/>
      <c r="D804" s="1212"/>
      <c r="E804" s="1212">
        <v>4</v>
      </c>
      <c r="F804" s="1208">
        <v>1.9</v>
      </c>
      <c r="G804" s="1208">
        <v>1.58</v>
      </c>
      <c r="H804" s="1208">
        <f>G804*F804*E804</f>
        <v>12.007999999999999</v>
      </c>
      <c r="I804" s="1209"/>
      <c r="J804" s="1209"/>
      <c r="K804" s="1210">
        <f t="shared" si="150"/>
        <v>1.05</v>
      </c>
      <c r="L804" s="1210">
        <f t="shared" ref="L804:L810" si="161">K804*J804</f>
        <v>0</v>
      </c>
      <c r="M804" s="1197">
        <f t="shared" ref="M804:M810" si="162">ROUND(L804,1)</f>
        <v>0</v>
      </c>
      <c r="N804" s="1211">
        <f t="shared" ref="N804:N810" si="163">ROUNDUP(M804,0)</f>
        <v>0</v>
      </c>
      <c r="O804" s="1212"/>
      <c r="P804" s="1200"/>
      <c r="Q804" s="1992">
        <f>H802/0.15</f>
        <v>6.1666666666666661</v>
      </c>
      <c r="R804" s="1213"/>
      <c r="S804" s="1213"/>
      <c r="T804" s="1213"/>
      <c r="U804" s="1213"/>
      <c r="V804" s="1213"/>
    </row>
    <row r="805" spans="1:22" ht="15" thickTop="1" thickBot="1" x14ac:dyDescent="0.3">
      <c r="A805" s="1207"/>
      <c r="B805" s="1212"/>
      <c r="C805" s="1212"/>
      <c r="D805" s="1212"/>
      <c r="E805" s="1212">
        <v>2</v>
      </c>
      <c r="F805" s="1208">
        <v>1.9</v>
      </c>
      <c r="G805" s="1208">
        <v>0.88900000000000001</v>
      </c>
      <c r="H805" s="1208">
        <f>G805*F805*E805</f>
        <v>3.3782000000000001</v>
      </c>
      <c r="I805" s="1209"/>
      <c r="J805" s="1209"/>
      <c r="K805" s="1210">
        <f t="shared" si="150"/>
        <v>1.05</v>
      </c>
      <c r="L805" s="1210">
        <f t="shared" si="161"/>
        <v>0</v>
      </c>
      <c r="M805" s="1197">
        <f t="shared" si="162"/>
        <v>0</v>
      </c>
      <c r="N805" s="1211">
        <f t="shared" si="163"/>
        <v>0</v>
      </c>
      <c r="O805" s="1212"/>
      <c r="P805" s="1200"/>
      <c r="Q805" s="1200"/>
      <c r="R805" s="1213"/>
      <c r="S805" s="1213">
        <f>F802*G802*H802</f>
        <v>6.24375E-2</v>
      </c>
      <c r="T805" s="1213"/>
      <c r="U805" s="1213"/>
      <c r="V805" s="1213"/>
    </row>
    <row r="806" spans="1:22" ht="15" thickTop="1" thickBot="1" x14ac:dyDescent="0.3">
      <c r="A806" s="1207"/>
      <c r="B806" s="1212" t="s">
        <v>3269</v>
      </c>
      <c r="C806" s="1212"/>
      <c r="D806" s="1212"/>
      <c r="E806" s="1212">
        <v>8</v>
      </c>
      <c r="F806" s="1208">
        <f>0.2+0.2+0.3+0.3</f>
        <v>1</v>
      </c>
      <c r="G806" s="1208">
        <v>0.21</v>
      </c>
      <c r="H806" s="1208">
        <f>G806*F806*E806</f>
        <v>1.68</v>
      </c>
      <c r="I806" s="1209">
        <f>SUM(H804:H806)</f>
        <v>17.066199999999998</v>
      </c>
      <c r="J806" s="1209"/>
      <c r="K806" s="1210">
        <f t="shared" si="150"/>
        <v>1.05</v>
      </c>
      <c r="L806" s="1210">
        <f t="shared" si="161"/>
        <v>0</v>
      </c>
      <c r="M806" s="1197">
        <f t="shared" si="162"/>
        <v>0</v>
      </c>
      <c r="N806" s="1211">
        <f t="shared" si="163"/>
        <v>0</v>
      </c>
      <c r="O806" s="1212"/>
      <c r="P806" s="1200"/>
      <c r="Q806" s="1200">
        <f>6*6/162</f>
        <v>0.22222222222222221</v>
      </c>
      <c r="R806" s="1213"/>
      <c r="S806" s="1213">
        <f>I806/S805</f>
        <v>273.33253253253253</v>
      </c>
      <c r="T806" s="1213"/>
      <c r="U806" s="1213"/>
      <c r="V806" s="1213"/>
    </row>
    <row r="807" spans="1:22" ht="15" thickTop="1" thickBot="1" x14ac:dyDescent="0.3">
      <c r="A807" s="1207"/>
      <c r="B807" s="1212"/>
      <c r="C807" s="1212"/>
      <c r="D807" s="1212"/>
      <c r="E807" s="1212"/>
      <c r="F807" s="1208"/>
      <c r="G807" s="1208"/>
      <c r="H807" s="1208"/>
      <c r="I807" s="1209">
        <f>I806*E802</f>
        <v>631.44939999999997</v>
      </c>
      <c r="J807" s="1209">
        <f>I807</f>
        <v>631.44939999999997</v>
      </c>
      <c r="K807" s="1210">
        <f t="shared" si="150"/>
        <v>1.05</v>
      </c>
      <c r="L807" s="1210">
        <f t="shared" si="161"/>
        <v>663.02187000000004</v>
      </c>
      <c r="M807" s="1197">
        <f t="shared" si="162"/>
        <v>663</v>
      </c>
      <c r="N807" s="1211">
        <f t="shared" si="163"/>
        <v>663</v>
      </c>
      <c r="O807" s="1212"/>
      <c r="P807" s="1200"/>
      <c r="Q807" s="1200"/>
      <c r="R807" s="1213"/>
      <c r="S807" s="1213">
        <f>J802*S806</f>
        <v>631.44939999999986</v>
      </c>
      <c r="T807" s="1213"/>
      <c r="U807" s="1213"/>
      <c r="V807" s="1213"/>
    </row>
    <row r="808" spans="1:22" ht="15" thickTop="1" thickBot="1" x14ac:dyDescent="0.3">
      <c r="A808" s="1207"/>
      <c r="B808" s="1212"/>
      <c r="C808" s="1212"/>
      <c r="D808" s="1212"/>
      <c r="E808" s="1212"/>
      <c r="F808" s="1208"/>
      <c r="G808" s="1208"/>
      <c r="H808" s="1208"/>
      <c r="I808" s="1209"/>
      <c r="J808" s="1209"/>
      <c r="K808" s="1210">
        <f t="shared" si="150"/>
        <v>1.05</v>
      </c>
      <c r="L808" s="1210">
        <f t="shared" si="161"/>
        <v>0</v>
      </c>
      <c r="M808" s="1197">
        <f t="shared" si="162"/>
        <v>0</v>
      </c>
      <c r="N808" s="1211">
        <f t="shared" si="163"/>
        <v>0</v>
      </c>
      <c r="O808" s="1212"/>
      <c r="P808" s="1200"/>
      <c r="Q808" s="1200"/>
      <c r="R808" s="1213"/>
      <c r="S808" s="1213"/>
      <c r="T808" s="1213"/>
      <c r="U808" s="1213"/>
      <c r="V808" s="1213"/>
    </row>
    <row r="809" spans="1:22" ht="15" thickTop="1" thickBot="1" x14ac:dyDescent="0.3">
      <c r="A809" s="1207"/>
      <c r="B809" s="1212"/>
      <c r="C809" s="1212"/>
      <c r="D809" s="1212"/>
      <c r="E809" s="1212"/>
      <c r="F809" s="1208"/>
      <c r="G809" s="1208"/>
      <c r="H809" s="1208"/>
      <c r="I809" s="1209"/>
      <c r="J809" s="1209"/>
      <c r="K809" s="1210">
        <f t="shared" si="150"/>
        <v>1.05</v>
      </c>
      <c r="L809" s="1210">
        <f t="shared" si="161"/>
        <v>0</v>
      </c>
      <c r="M809" s="1197">
        <f t="shared" si="162"/>
        <v>0</v>
      </c>
      <c r="N809" s="1211">
        <f t="shared" si="163"/>
        <v>0</v>
      </c>
      <c r="O809" s="1212"/>
      <c r="P809" s="1200"/>
      <c r="Q809" s="1200"/>
      <c r="R809" s="1213"/>
      <c r="S809" s="1213"/>
      <c r="T809" s="1213"/>
      <c r="U809" s="1213"/>
      <c r="V809" s="1213"/>
    </row>
    <row r="810" spans="1:22" ht="15" thickTop="1" thickBot="1" x14ac:dyDescent="0.3">
      <c r="A810" s="1207"/>
      <c r="B810" s="1212"/>
      <c r="C810" s="1212"/>
      <c r="D810" s="1212"/>
      <c r="E810" s="1212"/>
      <c r="F810" s="1208"/>
      <c r="G810" s="1208"/>
      <c r="H810" s="1208"/>
      <c r="I810" s="1209"/>
      <c r="J810" s="1209"/>
      <c r="K810" s="1210">
        <f t="shared" si="150"/>
        <v>1.05</v>
      </c>
      <c r="L810" s="1210">
        <f t="shared" si="161"/>
        <v>0</v>
      </c>
      <c r="M810" s="1197">
        <f t="shared" si="162"/>
        <v>0</v>
      </c>
      <c r="N810" s="1211">
        <f t="shared" si="163"/>
        <v>0</v>
      </c>
      <c r="O810" s="1212"/>
      <c r="P810" s="1200"/>
      <c r="Q810" s="1200"/>
      <c r="R810" s="1213"/>
      <c r="S810" s="1213"/>
      <c r="T810" s="1213"/>
      <c r="U810" s="1213"/>
      <c r="V810" s="1213"/>
    </row>
    <row r="811" spans="1:22" ht="15" thickTop="1" thickBot="1" x14ac:dyDescent="0.3">
      <c r="A811" s="1207"/>
      <c r="B811" s="1212"/>
      <c r="C811" s="1212"/>
      <c r="D811" s="1212"/>
      <c r="E811" s="1212"/>
      <c r="F811" s="1208"/>
      <c r="G811" s="1208"/>
      <c r="H811" s="1208"/>
      <c r="I811" s="1209"/>
      <c r="J811" s="1209"/>
      <c r="K811" s="1210"/>
      <c r="L811" s="1210"/>
      <c r="M811" s="1197"/>
      <c r="N811" s="1211"/>
      <c r="O811" s="1212"/>
      <c r="P811" s="1200"/>
      <c r="Q811" s="1200"/>
      <c r="R811" s="1213"/>
      <c r="S811" s="1213"/>
      <c r="T811" s="1213"/>
      <c r="U811" s="1213"/>
      <c r="V811" s="1213"/>
    </row>
    <row r="812" spans="1:22" ht="15" thickTop="1" thickBot="1" x14ac:dyDescent="0.3">
      <c r="A812" s="1207"/>
      <c r="B812" s="1212" t="s">
        <v>3259</v>
      </c>
      <c r="C812" s="1212"/>
      <c r="D812" s="1212"/>
      <c r="E812" s="1212">
        <f>E802</f>
        <v>37</v>
      </c>
      <c r="F812" s="1208">
        <f>F802+F802+G802+G802</f>
        <v>1.05</v>
      </c>
      <c r="G812" s="1208"/>
      <c r="H812" s="1208">
        <f>H802</f>
        <v>0.92499999999999993</v>
      </c>
      <c r="I812" s="1209"/>
      <c r="J812" s="1209">
        <f>H812*F812*E812</f>
        <v>35.936250000000001</v>
      </c>
      <c r="K812" s="1210">
        <f t="shared" si="150"/>
        <v>1.05</v>
      </c>
      <c r="L812" s="1210">
        <f t="shared" ref="L812:L815" si="164">K812*J812</f>
        <v>37.733062500000003</v>
      </c>
      <c r="M812" s="1197">
        <f t="shared" ref="M812:M815" si="165">ROUND(L812,1)</f>
        <v>37.700000000000003</v>
      </c>
      <c r="N812" s="1211">
        <f t="shared" ref="N812:N815" si="166">ROUNDUP(M812,0)</f>
        <v>38</v>
      </c>
      <c r="O812" s="1212"/>
      <c r="P812" s="1200"/>
      <c r="Q812" s="1200"/>
      <c r="R812" s="1213"/>
      <c r="S812" s="1213"/>
      <c r="T812" s="1213"/>
      <c r="U812" s="1213"/>
      <c r="V812" s="1213"/>
    </row>
    <row r="813" spans="1:22" ht="15" thickTop="1" thickBot="1" x14ac:dyDescent="0.3">
      <c r="A813" s="1207"/>
      <c r="B813" s="1212"/>
      <c r="C813" s="1212"/>
      <c r="D813" s="1212"/>
      <c r="E813" s="1212"/>
      <c r="F813" s="1208"/>
      <c r="G813" s="1208"/>
      <c r="H813" s="1208"/>
      <c r="I813" s="1209"/>
      <c r="J813" s="1209"/>
      <c r="K813" s="1210">
        <f t="shared" si="150"/>
        <v>1.05</v>
      </c>
      <c r="L813" s="1210">
        <f t="shared" si="164"/>
        <v>0</v>
      </c>
      <c r="M813" s="1197">
        <f t="shared" si="165"/>
        <v>0</v>
      </c>
      <c r="N813" s="1211">
        <f t="shared" si="166"/>
        <v>0</v>
      </c>
      <c r="O813" s="1212"/>
      <c r="P813" s="1200"/>
      <c r="Q813" s="1200"/>
      <c r="R813" s="1213"/>
      <c r="S813" s="1213"/>
      <c r="T813" s="1213"/>
      <c r="U813" s="1213"/>
      <c r="V813" s="1213"/>
    </row>
    <row r="814" spans="1:22" ht="15" thickTop="1" thickBot="1" x14ac:dyDescent="0.3">
      <c r="A814" s="1207"/>
      <c r="B814" s="1212"/>
      <c r="C814" s="1212"/>
      <c r="D814" s="1212"/>
      <c r="E814" s="1212"/>
      <c r="F814" s="1208"/>
      <c r="G814" s="1208"/>
      <c r="H814" s="1208"/>
      <c r="I814" s="1209"/>
      <c r="J814" s="1209"/>
      <c r="K814" s="1210">
        <f t="shared" si="150"/>
        <v>1.05</v>
      </c>
      <c r="L814" s="1210">
        <f t="shared" si="164"/>
        <v>0</v>
      </c>
      <c r="M814" s="1197">
        <f t="shared" si="165"/>
        <v>0</v>
      </c>
      <c r="N814" s="1211">
        <f t="shared" si="166"/>
        <v>0</v>
      </c>
      <c r="O814" s="1212"/>
      <c r="P814" s="1200"/>
      <c r="Q814" s="1200"/>
      <c r="R814" s="1213"/>
      <c r="S814" s="1213"/>
      <c r="T814" s="1213"/>
      <c r="U814" s="1213"/>
      <c r="V814" s="1213"/>
    </row>
    <row r="815" spans="1:22" ht="15" thickTop="1" thickBot="1" x14ac:dyDescent="0.3">
      <c r="A815" s="1207"/>
      <c r="B815" s="1212"/>
      <c r="C815" s="1212"/>
      <c r="D815" s="1212"/>
      <c r="E815" s="1212"/>
      <c r="F815" s="1208"/>
      <c r="G815" s="1208"/>
      <c r="H815" s="1208"/>
      <c r="I815" s="1209"/>
      <c r="J815" s="1209"/>
      <c r="K815" s="1210">
        <f t="shared" si="150"/>
        <v>1.05</v>
      </c>
      <c r="L815" s="1210">
        <f t="shared" si="164"/>
        <v>0</v>
      </c>
      <c r="M815" s="1197">
        <f t="shared" si="165"/>
        <v>0</v>
      </c>
      <c r="N815" s="1211">
        <f t="shared" si="166"/>
        <v>0</v>
      </c>
      <c r="O815" s="1212"/>
      <c r="P815" s="1200"/>
      <c r="Q815" s="1200"/>
      <c r="R815" s="1213"/>
      <c r="S815" s="1213"/>
      <c r="T815" s="1213"/>
      <c r="U815" s="1213"/>
      <c r="V815" s="1213"/>
    </row>
    <row r="816" spans="1:22" ht="15" thickTop="1" thickBot="1" x14ac:dyDescent="0.3">
      <c r="A816" s="1207"/>
      <c r="B816" s="1212" t="s">
        <v>3209</v>
      </c>
      <c r="C816" s="1212"/>
      <c r="D816" s="1212"/>
      <c r="E816" s="1212"/>
      <c r="F816" s="1208"/>
      <c r="G816" s="1208"/>
      <c r="H816" s="1208"/>
      <c r="I816" s="1209"/>
      <c r="J816" s="1209"/>
      <c r="K816" s="1210">
        <f t="shared" si="150"/>
        <v>1.05</v>
      </c>
      <c r="L816" s="1210">
        <f t="shared" si="146"/>
        <v>0</v>
      </c>
      <c r="M816" s="1197">
        <f t="shared" si="147"/>
        <v>0</v>
      </c>
      <c r="N816" s="1211">
        <f t="shared" si="148"/>
        <v>0</v>
      </c>
      <c r="O816" s="1212"/>
      <c r="P816" s="1200"/>
      <c r="Q816" s="1200"/>
      <c r="R816" s="1213"/>
      <c r="S816" s="1213"/>
      <c r="T816" s="1213"/>
      <c r="U816" s="1213"/>
      <c r="V816" s="1213"/>
    </row>
    <row r="817" spans="1:22" ht="15" thickTop="1" thickBot="1" x14ac:dyDescent="0.3">
      <c r="A817" s="1207"/>
      <c r="B817" s="1212" t="s">
        <v>1622</v>
      </c>
      <c r="C817" s="1212"/>
      <c r="D817" s="1212"/>
      <c r="E817" s="1212"/>
      <c r="F817" s="1208">
        <v>3.5779999999999998</v>
      </c>
      <c r="G817" s="1208">
        <v>0.22500000000000001</v>
      </c>
      <c r="H817" s="1208">
        <v>0.22500000000000001</v>
      </c>
      <c r="I817" s="1209">
        <f>H817*G817*F817</f>
        <v>0.18113625</v>
      </c>
      <c r="J817" s="1209"/>
      <c r="K817" s="1210">
        <f t="shared" si="150"/>
        <v>1.05</v>
      </c>
      <c r="L817" s="1210">
        <f t="shared" ref="L817:L941" si="167">K817*J817</f>
        <v>0</v>
      </c>
      <c r="M817" s="1197">
        <f t="shared" ref="M817:M941" si="168">ROUND(L817,1)</f>
        <v>0</v>
      </c>
      <c r="N817" s="1211">
        <f t="shared" ref="N817:N941" si="169">ROUNDUP(M817,0)</f>
        <v>0</v>
      </c>
      <c r="O817" s="1212"/>
      <c r="P817" s="1200"/>
      <c r="Q817" s="1200"/>
      <c r="R817" s="1213"/>
      <c r="S817" s="1213"/>
      <c r="T817" s="1213"/>
      <c r="U817" s="1213"/>
      <c r="V817" s="1213"/>
    </row>
    <row r="818" spans="1:22" ht="15" thickTop="1" thickBot="1" x14ac:dyDescent="0.3">
      <c r="A818" s="1207"/>
      <c r="B818" s="1212"/>
      <c r="C818" s="1212"/>
      <c r="D818" s="1212"/>
      <c r="E818" s="1212"/>
      <c r="F818" s="1208">
        <v>8.0190000000000001</v>
      </c>
      <c r="G818" s="1208">
        <v>0.22500000000000001</v>
      </c>
      <c r="H818" s="1208">
        <v>0.22500000000000001</v>
      </c>
      <c r="I818" s="1209">
        <f t="shared" ref="I818:I827" si="170">H818*G818*F818</f>
        <v>0.40596187500000003</v>
      </c>
      <c r="J818" s="1209"/>
      <c r="K818" s="1210">
        <f t="shared" si="150"/>
        <v>1.05</v>
      </c>
      <c r="L818" s="1210">
        <f t="shared" si="167"/>
        <v>0</v>
      </c>
      <c r="M818" s="1197">
        <f t="shared" si="168"/>
        <v>0</v>
      </c>
      <c r="N818" s="1211">
        <f t="shared" si="169"/>
        <v>0</v>
      </c>
      <c r="O818" s="1212"/>
      <c r="P818" s="1200"/>
      <c r="Q818" s="1200"/>
      <c r="R818" s="1213"/>
      <c r="S818" s="1213"/>
      <c r="T818" s="1213"/>
      <c r="U818" s="1213"/>
      <c r="V818" s="1213"/>
    </row>
    <row r="819" spans="1:22" ht="15" thickTop="1" thickBot="1" x14ac:dyDescent="0.3">
      <c r="A819" s="1207"/>
      <c r="B819" s="1212"/>
      <c r="C819" s="1212"/>
      <c r="D819" s="1212"/>
      <c r="E819" s="1212"/>
      <c r="F819" s="1208">
        <v>8.1750000000000007</v>
      </c>
      <c r="G819" s="1208">
        <v>0.22500000000000001</v>
      </c>
      <c r="H819" s="1208">
        <v>0.22500000000000001</v>
      </c>
      <c r="I819" s="1209">
        <f t="shared" si="170"/>
        <v>0.41385937500000008</v>
      </c>
      <c r="J819" s="1209"/>
      <c r="K819" s="1210">
        <f t="shared" si="150"/>
        <v>1.05</v>
      </c>
      <c r="L819" s="1210">
        <f t="shared" si="167"/>
        <v>0</v>
      </c>
      <c r="M819" s="1197">
        <f t="shared" si="168"/>
        <v>0</v>
      </c>
      <c r="N819" s="1211">
        <f t="shared" si="169"/>
        <v>0</v>
      </c>
      <c r="O819" s="1212"/>
      <c r="P819" s="1200"/>
      <c r="Q819" s="1200"/>
      <c r="R819" s="1213"/>
      <c r="S819" s="1213"/>
      <c r="T819" s="1213"/>
      <c r="U819" s="1213"/>
      <c r="V819" s="1213"/>
    </row>
    <row r="820" spans="1:22" ht="15" thickTop="1" thickBot="1" x14ac:dyDescent="0.3">
      <c r="A820" s="1207"/>
      <c r="B820" s="1212"/>
      <c r="C820" s="1212"/>
      <c r="D820" s="1212"/>
      <c r="E820" s="1212"/>
      <c r="F820" s="1208">
        <v>3.8130000000000002</v>
      </c>
      <c r="G820" s="1208">
        <v>0.22500000000000001</v>
      </c>
      <c r="H820" s="1208">
        <v>0.22500000000000001</v>
      </c>
      <c r="I820" s="1209">
        <f t="shared" si="170"/>
        <v>0.19303312500000003</v>
      </c>
      <c r="J820" s="1209"/>
      <c r="K820" s="1210">
        <f t="shared" si="150"/>
        <v>1.05</v>
      </c>
      <c r="L820" s="1210">
        <f t="shared" si="167"/>
        <v>0</v>
      </c>
      <c r="M820" s="1197">
        <f t="shared" si="168"/>
        <v>0</v>
      </c>
      <c r="N820" s="1211">
        <f t="shared" si="169"/>
        <v>0</v>
      </c>
      <c r="O820" s="1212"/>
      <c r="P820" s="1200"/>
      <c r="Q820" s="1200"/>
      <c r="R820" s="1213"/>
      <c r="S820" s="1213"/>
      <c r="T820" s="1213"/>
      <c r="U820" s="1213"/>
      <c r="V820" s="1213"/>
    </row>
    <row r="821" spans="1:22" ht="15" thickTop="1" thickBot="1" x14ac:dyDescent="0.3">
      <c r="A821" s="1207"/>
      <c r="B821" s="1212"/>
      <c r="C821" s="1212"/>
      <c r="D821" s="1212"/>
      <c r="E821" s="1212"/>
      <c r="F821" s="1208">
        <v>4.3</v>
      </c>
      <c r="G821" s="1208">
        <v>0.22500000000000001</v>
      </c>
      <c r="H821" s="1208">
        <v>0.22500000000000001</v>
      </c>
      <c r="I821" s="1209">
        <f t="shared" si="170"/>
        <v>0.21768750000000001</v>
      </c>
      <c r="J821" s="1209"/>
      <c r="K821" s="1210">
        <f t="shared" si="150"/>
        <v>1.05</v>
      </c>
      <c r="L821" s="1210">
        <f t="shared" si="167"/>
        <v>0</v>
      </c>
      <c r="M821" s="1197">
        <f t="shared" si="168"/>
        <v>0</v>
      </c>
      <c r="N821" s="1211">
        <f t="shared" si="169"/>
        <v>0</v>
      </c>
      <c r="O821" s="1212"/>
      <c r="P821" s="1200"/>
      <c r="Q821" s="1200"/>
      <c r="R821" s="1213"/>
      <c r="S821" s="1213"/>
      <c r="T821" s="1213"/>
      <c r="U821" s="1213"/>
      <c r="V821" s="1213"/>
    </row>
    <row r="822" spans="1:22" ht="15" thickTop="1" thickBot="1" x14ac:dyDescent="0.3">
      <c r="A822" s="1207"/>
      <c r="B822" s="1212"/>
      <c r="C822" s="1212"/>
      <c r="D822" s="1212"/>
      <c r="E822" s="1212"/>
      <c r="F822" s="1208">
        <v>5.39</v>
      </c>
      <c r="G822" s="1208">
        <v>0.22500000000000001</v>
      </c>
      <c r="H822" s="1208">
        <v>0.22500000000000001</v>
      </c>
      <c r="I822" s="1209">
        <f t="shared" si="170"/>
        <v>0.27286874999999999</v>
      </c>
      <c r="J822" s="1209"/>
      <c r="K822" s="1210">
        <f t="shared" si="150"/>
        <v>1.05</v>
      </c>
      <c r="L822" s="1210">
        <f t="shared" si="167"/>
        <v>0</v>
      </c>
      <c r="M822" s="1197">
        <f t="shared" si="168"/>
        <v>0</v>
      </c>
      <c r="N822" s="1211">
        <f t="shared" si="169"/>
        <v>0</v>
      </c>
      <c r="O822" s="1212"/>
      <c r="P822" s="1200"/>
      <c r="Q822" s="1200"/>
      <c r="R822" s="1213"/>
      <c r="S822" s="1213"/>
      <c r="T822" s="1213"/>
      <c r="U822" s="1213"/>
      <c r="V822" s="1213"/>
    </row>
    <row r="823" spans="1:22" ht="15" thickTop="1" thickBot="1" x14ac:dyDescent="0.3">
      <c r="A823" s="1207"/>
      <c r="B823" s="1212"/>
      <c r="C823" s="1212"/>
      <c r="D823" s="1212"/>
      <c r="E823" s="1212"/>
      <c r="F823" s="1208">
        <v>5.6</v>
      </c>
      <c r="G823" s="1208">
        <v>0.22500000000000001</v>
      </c>
      <c r="H823" s="1208">
        <v>0.22500000000000001</v>
      </c>
      <c r="I823" s="1209">
        <f t="shared" si="170"/>
        <v>0.28349999999999997</v>
      </c>
      <c r="J823" s="1209"/>
      <c r="K823" s="1210">
        <f t="shared" si="150"/>
        <v>1.05</v>
      </c>
      <c r="L823" s="1210">
        <f t="shared" si="167"/>
        <v>0</v>
      </c>
      <c r="M823" s="1197">
        <f t="shared" si="168"/>
        <v>0</v>
      </c>
      <c r="N823" s="1211">
        <f t="shared" si="169"/>
        <v>0</v>
      </c>
      <c r="O823" s="1212"/>
      <c r="P823" s="1208">
        <v>45.5</v>
      </c>
      <c r="Q823" s="1992">
        <f>P823*0.3</f>
        <v>13.65</v>
      </c>
      <c r="R823" s="1213"/>
      <c r="S823" s="1213"/>
      <c r="T823" s="1213"/>
      <c r="U823" s="1213"/>
      <c r="V823" s="1213"/>
    </row>
    <row r="824" spans="1:22" ht="15" thickTop="1" thickBot="1" x14ac:dyDescent="0.3">
      <c r="A824" s="1207"/>
      <c r="B824" s="1212"/>
      <c r="C824" s="1212"/>
      <c r="D824" s="1212"/>
      <c r="E824" s="1212"/>
      <c r="F824" s="1208">
        <v>3.65</v>
      </c>
      <c r="G824" s="1208">
        <v>0.22500000000000001</v>
      </c>
      <c r="H824" s="1208">
        <v>0.22500000000000001</v>
      </c>
      <c r="I824" s="1209">
        <f t="shared" si="170"/>
        <v>0.18478125000000001</v>
      </c>
      <c r="J824" s="1209"/>
      <c r="K824" s="1210">
        <f t="shared" si="150"/>
        <v>1.05</v>
      </c>
      <c r="L824" s="1210">
        <f t="shared" si="167"/>
        <v>0</v>
      </c>
      <c r="M824" s="1197">
        <f t="shared" si="168"/>
        <v>0</v>
      </c>
      <c r="N824" s="1211">
        <f t="shared" si="169"/>
        <v>0</v>
      </c>
      <c r="O824" s="1212"/>
      <c r="P824" s="1208">
        <v>5.75</v>
      </c>
      <c r="Q824" s="1992">
        <f t="shared" ref="Q824:Q830" si="171">P824*0.3</f>
        <v>1.7249999999999999</v>
      </c>
      <c r="R824" s="1213"/>
      <c r="S824" s="1213"/>
      <c r="T824" s="1213"/>
      <c r="U824" s="1213"/>
      <c r="V824" s="1213"/>
    </row>
    <row r="825" spans="1:22" ht="15" thickTop="1" thickBot="1" x14ac:dyDescent="0.3">
      <c r="A825" s="1207"/>
      <c r="B825" s="1212"/>
      <c r="C825" s="1212"/>
      <c r="D825" s="1212"/>
      <c r="E825" s="1212"/>
      <c r="F825" s="1208">
        <v>5.3</v>
      </c>
      <c r="G825" s="1208">
        <v>0.22500000000000001</v>
      </c>
      <c r="H825" s="1208">
        <v>0.22500000000000001</v>
      </c>
      <c r="I825" s="1209">
        <f t="shared" si="170"/>
        <v>0.26831250000000001</v>
      </c>
      <c r="J825" s="1209"/>
      <c r="K825" s="1210">
        <f t="shared" si="150"/>
        <v>1.05</v>
      </c>
      <c r="L825" s="1210">
        <f t="shared" si="167"/>
        <v>0</v>
      </c>
      <c r="M825" s="1197">
        <f t="shared" si="168"/>
        <v>0</v>
      </c>
      <c r="N825" s="1211">
        <f t="shared" si="169"/>
        <v>0</v>
      </c>
      <c r="O825" s="1212"/>
      <c r="P825" s="1208">
        <v>8.25</v>
      </c>
      <c r="Q825" s="1992">
        <f t="shared" si="171"/>
        <v>2.4750000000000001</v>
      </c>
      <c r="R825" s="1213"/>
      <c r="S825" s="1213"/>
      <c r="T825" s="1213"/>
      <c r="U825" s="1213"/>
      <c r="V825" s="1213"/>
    </row>
    <row r="826" spans="1:22" ht="15" thickTop="1" thickBot="1" x14ac:dyDescent="0.3">
      <c r="A826" s="1207"/>
      <c r="B826" s="1212"/>
      <c r="C826" s="1212"/>
      <c r="D826" s="1212"/>
      <c r="E826" s="1212"/>
      <c r="F826" s="1208">
        <v>1.5</v>
      </c>
      <c r="G826" s="1208">
        <v>0.22500000000000001</v>
      </c>
      <c r="H826" s="1208">
        <v>0.22500000000000001</v>
      </c>
      <c r="I826" s="1209">
        <f t="shared" si="170"/>
        <v>7.5937500000000005E-2</v>
      </c>
      <c r="J826" s="1209"/>
      <c r="K826" s="1210">
        <f t="shared" si="150"/>
        <v>1.05</v>
      </c>
      <c r="L826" s="1210">
        <f t="shared" si="167"/>
        <v>0</v>
      </c>
      <c r="M826" s="1197">
        <f t="shared" si="168"/>
        <v>0</v>
      </c>
      <c r="N826" s="1211">
        <f t="shared" si="169"/>
        <v>0</v>
      </c>
      <c r="O826" s="1212"/>
      <c r="P826" s="1208">
        <v>10.5</v>
      </c>
      <c r="Q826" s="1992">
        <f t="shared" si="171"/>
        <v>3.15</v>
      </c>
      <c r="R826" s="1213"/>
      <c r="S826" s="1213"/>
      <c r="T826" s="1213"/>
      <c r="U826" s="1213"/>
      <c r="V826" s="1213"/>
    </row>
    <row r="827" spans="1:22" ht="15" thickTop="1" thickBot="1" x14ac:dyDescent="0.3">
      <c r="A827" s="1207"/>
      <c r="B827" s="1212"/>
      <c r="C827" s="1212"/>
      <c r="D827" s="1212"/>
      <c r="E827" s="1212"/>
      <c r="F827" s="1208">
        <v>9.7360000000000007</v>
      </c>
      <c r="G827" s="1208">
        <v>0.22500000000000001</v>
      </c>
      <c r="H827" s="1208">
        <v>0.22500000000000001</v>
      </c>
      <c r="I827" s="1209">
        <f t="shared" si="170"/>
        <v>0.49288500000000007</v>
      </c>
      <c r="J827" s="1209"/>
      <c r="K827" s="1210">
        <f t="shared" si="150"/>
        <v>1.05</v>
      </c>
      <c r="L827" s="1210">
        <f t="shared" si="167"/>
        <v>0</v>
      </c>
      <c r="M827" s="1197">
        <f t="shared" si="168"/>
        <v>0</v>
      </c>
      <c r="N827" s="1211">
        <f t="shared" si="169"/>
        <v>0</v>
      </c>
      <c r="O827" s="1212"/>
      <c r="P827" s="1208">
        <v>13.25</v>
      </c>
      <c r="Q827" s="1992">
        <f t="shared" si="171"/>
        <v>3.9749999999999996</v>
      </c>
      <c r="R827" s="1213"/>
      <c r="S827" s="1213"/>
      <c r="T827" s="1213"/>
      <c r="U827" s="1213"/>
      <c r="V827" s="1213"/>
    </row>
    <row r="828" spans="1:22" ht="15" thickTop="1" thickBot="1" x14ac:dyDescent="0.3">
      <c r="A828" s="1207"/>
      <c r="B828" s="1212"/>
      <c r="C828" s="1212"/>
      <c r="D828" s="1212"/>
      <c r="E828" s="1212"/>
      <c r="F828" s="1208"/>
      <c r="G828" s="1208"/>
      <c r="H828" s="1208"/>
      <c r="I828" s="1209"/>
      <c r="J828" s="1209"/>
      <c r="K828" s="1210">
        <f t="shared" si="150"/>
        <v>1.05</v>
      </c>
      <c r="L828" s="1210">
        <f t="shared" si="167"/>
        <v>0</v>
      </c>
      <c r="M828" s="1197">
        <f t="shared" si="168"/>
        <v>0</v>
      </c>
      <c r="N828" s="1211">
        <f t="shared" si="169"/>
        <v>0</v>
      </c>
      <c r="O828" s="1212"/>
      <c r="P828" s="1208">
        <v>14</v>
      </c>
      <c r="Q828" s="1992">
        <f t="shared" si="171"/>
        <v>4.2</v>
      </c>
      <c r="R828" s="1213"/>
      <c r="S828" s="1213"/>
      <c r="T828" s="1213"/>
      <c r="U828" s="1213"/>
      <c r="V828" s="1213"/>
    </row>
    <row r="829" spans="1:22" ht="15" thickTop="1" thickBot="1" x14ac:dyDescent="0.3">
      <c r="A829" s="1207"/>
      <c r="B829" s="1212" t="s">
        <v>1623</v>
      </c>
      <c r="C829" s="1212"/>
      <c r="D829" s="1212"/>
      <c r="E829" s="1212"/>
      <c r="F829" s="1208">
        <v>1.25</v>
      </c>
      <c r="G829" s="1208">
        <v>0.22500000000000001</v>
      </c>
      <c r="H829" s="1208">
        <v>0.22500000000000001</v>
      </c>
      <c r="I829" s="1209">
        <f t="shared" ref="I829:I835" si="172">H829*G829*F829</f>
        <v>6.3281250000000011E-2</v>
      </c>
      <c r="J829" s="1209"/>
      <c r="K829" s="1210">
        <f t="shared" si="150"/>
        <v>1.05</v>
      </c>
      <c r="L829" s="1210">
        <f t="shared" si="167"/>
        <v>0</v>
      </c>
      <c r="M829" s="1197">
        <f t="shared" si="168"/>
        <v>0</v>
      </c>
      <c r="N829" s="1211">
        <f t="shared" si="169"/>
        <v>0</v>
      </c>
      <c r="O829" s="1212"/>
      <c r="P829" s="1208">
        <v>18.25</v>
      </c>
      <c r="Q829" s="1992">
        <f t="shared" si="171"/>
        <v>5.4749999999999996</v>
      </c>
      <c r="R829" s="1213"/>
      <c r="S829" s="1213"/>
      <c r="T829" s="1213"/>
      <c r="U829" s="1213"/>
      <c r="V829" s="1213"/>
    </row>
    <row r="830" spans="1:22" ht="15" thickTop="1" thickBot="1" x14ac:dyDescent="0.3">
      <c r="A830" s="1207"/>
      <c r="B830" s="1212"/>
      <c r="C830" s="1212"/>
      <c r="D830" s="1212"/>
      <c r="E830" s="1212"/>
      <c r="F830" s="1208">
        <v>1.3</v>
      </c>
      <c r="G830" s="1208">
        <v>0.22500000000000001</v>
      </c>
      <c r="H830" s="1208">
        <v>0.22500000000000001</v>
      </c>
      <c r="I830" s="1209">
        <f t="shared" si="172"/>
        <v>6.581250000000001E-2</v>
      </c>
      <c r="J830" s="1209"/>
      <c r="K830" s="1210">
        <f t="shared" si="150"/>
        <v>1.05</v>
      </c>
      <c r="L830" s="1210">
        <f t="shared" si="167"/>
        <v>0</v>
      </c>
      <c r="M830" s="1197">
        <f t="shared" si="168"/>
        <v>0</v>
      </c>
      <c r="N830" s="1211">
        <f t="shared" si="169"/>
        <v>0</v>
      </c>
      <c r="O830" s="1212"/>
      <c r="P830" s="1208">
        <v>23.25</v>
      </c>
      <c r="Q830" s="1992">
        <f t="shared" si="171"/>
        <v>6.9749999999999996</v>
      </c>
      <c r="R830" s="1213"/>
      <c r="S830" s="1213"/>
      <c r="T830" s="1213"/>
      <c r="U830" s="1213"/>
      <c r="V830" s="1213"/>
    </row>
    <row r="831" spans="1:22" ht="15" thickTop="1" thickBot="1" x14ac:dyDescent="0.3">
      <c r="A831" s="1207"/>
      <c r="B831" s="1212"/>
      <c r="C831" s="1212"/>
      <c r="D831" s="1212"/>
      <c r="E831" s="1212"/>
      <c r="F831" s="1208">
        <v>1</v>
      </c>
      <c r="G831" s="1208">
        <v>0.22500000000000001</v>
      </c>
      <c r="H831" s="1208">
        <v>0.22500000000000001</v>
      </c>
      <c r="I831" s="1209">
        <f t="shared" si="172"/>
        <v>5.0625000000000003E-2</v>
      </c>
      <c r="J831" s="1209"/>
      <c r="K831" s="1210">
        <f t="shared" si="150"/>
        <v>1.05</v>
      </c>
      <c r="L831" s="1210">
        <f t="shared" si="167"/>
        <v>0</v>
      </c>
      <c r="M831" s="1197">
        <f t="shared" si="168"/>
        <v>0</v>
      </c>
      <c r="N831" s="1211">
        <f t="shared" si="169"/>
        <v>0</v>
      </c>
      <c r="O831" s="1212"/>
      <c r="P831" s="1200"/>
      <c r="Q831" s="1200"/>
      <c r="R831" s="1213"/>
      <c r="S831" s="1213"/>
      <c r="T831" s="1213"/>
      <c r="U831" s="1213"/>
      <c r="V831" s="1213"/>
    </row>
    <row r="832" spans="1:22" ht="15" thickTop="1" thickBot="1" x14ac:dyDescent="0.3">
      <c r="A832" s="1207"/>
      <c r="B832" s="1212"/>
      <c r="C832" s="1212"/>
      <c r="D832" s="1212"/>
      <c r="E832" s="1212"/>
      <c r="F832" s="1208">
        <v>2.0499999999999998</v>
      </c>
      <c r="G832" s="1208">
        <v>0.22500000000000001</v>
      </c>
      <c r="H832" s="1208">
        <v>0.22500000000000001</v>
      </c>
      <c r="I832" s="1209">
        <f t="shared" si="172"/>
        <v>0.10378124999999999</v>
      </c>
      <c r="J832" s="1209"/>
      <c r="K832" s="1210">
        <f t="shared" si="150"/>
        <v>1.05</v>
      </c>
      <c r="L832" s="1210">
        <f t="shared" si="167"/>
        <v>0</v>
      </c>
      <c r="M832" s="1197">
        <f t="shared" si="168"/>
        <v>0</v>
      </c>
      <c r="N832" s="1211">
        <f t="shared" si="169"/>
        <v>0</v>
      </c>
      <c r="O832" s="1212"/>
      <c r="P832" s="1200"/>
      <c r="Q832" s="1200"/>
      <c r="R832" s="1213"/>
      <c r="S832" s="1213"/>
      <c r="T832" s="1213"/>
      <c r="U832" s="1213"/>
      <c r="V832" s="1213"/>
    </row>
    <row r="833" spans="1:22" ht="15" thickTop="1" thickBot="1" x14ac:dyDescent="0.3">
      <c r="A833" s="1207"/>
      <c r="B833" s="1212"/>
      <c r="C833" s="1212"/>
      <c r="D833" s="1212"/>
      <c r="E833" s="1212"/>
      <c r="F833" s="1208">
        <v>1.5</v>
      </c>
      <c r="G833" s="1208">
        <v>0.22500000000000001</v>
      </c>
      <c r="H833" s="1208">
        <v>0.22500000000000001</v>
      </c>
      <c r="I833" s="1209">
        <f t="shared" si="172"/>
        <v>7.5937500000000005E-2</v>
      </c>
      <c r="J833" s="1209"/>
      <c r="K833" s="1210">
        <f t="shared" si="150"/>
        <v>1.05</v>
      </c>
      <c r="L833" s="1210">
        <f t="shared" si="167"/>
        <v>0</v>
      </c>
      <c r="M833" s="1197">
        <f t="shared" si="168"/>
        <v>0</v>
      </c>
      <c r="N833" s="1211">
        <f t="shared" si="169"/>
        <v>0</v>
      </c>
      <c r="O833" s="1212"/>
      <c r="P833" s="1200"/>
      <c r="Q833" s="1200"/>
      <c r="R833" s="1213"/>
      <c r="S833" s="1213"/>
      <c r="T833" s="1213"/>
      <c r="U833" s="1213"/>
      <c r="V833" s="1213"/>
    </row>
    <row r="834" spans="1:22" ht="15" thickTop="1" thickBot="1" x14ac:dyDescent="0.3">
      <c r="A834" s="1207"/>
      <c r="B834" s="1212"/>
      <c r="C834" s="1212"/>
      <c r="D834" s="1212"/>
      <c r="E834" s="1212"/>
      <c r="F834" s="1208">
        <v>3.16</v>
      </c>
      <c r="G834" s="1208">
        <v>0.22500000000000001</v>
      </c>
      <c r="H834" s="1208">
        <v>0.22500000000000001</v>
      </c>
      <c r="I834" s="1209">
        <f t="shared" si="172"/>
        <v>0.15997500000000001</v>
      </c>
      <c r="J834" s="1209"/>
      <c r="K834" s="1210">
        <f t="shared" si="150"/>
        <v>1.05</v>
      </c>
      <c r="L834" s="1210">
        <f t="shared" si="167"/>
        <v>0</v>
      </c>
      <c r="M834" s="1197">
        <f t="shared" si="168"/>
        <v>0</v>
      </c>
      <c r="N834" s="1211">
        <f t="shared" si="169"/>
        <v>0</v>
      </c>
      <c r="O834" s="1212"/>
      <c r="P834" s="1200"/>
      <c r="Q834" s="1200"/>
      <c r="R834" s="1213"/>
      <c r="S834" s="1213"/>
      <c r="T834" s="1213"/>
      <c r="U834" s="1213"/>
      <c r="V834" s="1213"/>
    </row>
    <row r="835" spans="1:22" ht="15" thickTop="1" thickBot="1" x14ac:dyDescent="0.3">
      <c r="A835" s="1207"/>
      <c r="B835" s="1212"/>
      <c r="C835" s="1212"/>
      <c r="D835" s="1212"/>
      <c r="E835" s="1212"/>
      <c r="F835" s="1208">
        <v>3.7250000000000001</v>
      </c>
      <c r="G835" s="1208">
        <v>0.22500000000000001</v>
      </c>
      <c r="H835" s="1208">
        <v>0.22500000000000001</v>
      </c>
      <c r="I835" s="1209">
        <f t="shared" si="172"/>
        <v>0.18857812500000001</v>
      </c>
      <c r="J835" s="1209"/>
      <c r="K835" s="1210">
        <f t="shared" si="150"/>
        <v>1.05</v>
      </c>
      <c r="L835" s="1210">
        <f t="shared" si="167"/>
        <v>0</v>
      </c>
      <c r="M835" s="1197">
        <f t="shared" si="168"/>
        <v>0</v>
      </c>
      <c r="N835" s="1211">
        <f t="shared" si="169"/>
        <v>0</v>
      </c>
      <c r="O835" s="1212"/>
      <c r="P835" s="1200"/>
      <c r="Q835" s="1200"/>
      <c r="R835" s="1213"/>
      <c r="S835" s="1213"/>
      <c r="T835" s="1213"/>
      <c r="U835" s="1213"/>
      <c r="V835" s="1213"/>
    </row>
    <row r="836" spans="1:22" ht="15" thickTop="1" thickBot="1" x14ac:dyDescent="0.3">
      <c r="A836" s="1207"/>
      <c r="B836" s="1212"/>
      <c r="C836" s="1212"/>
      <c r="D836" s="1212"/>
      <c r="E836" s="1212"/>
      <c r="F836" s="1208"/>
      <c r="G836" s="1208"/>
      <c r="H836" s="1208"/>
      <c r="I836" s="1209"/>
      <c r="J836" s="1209"/>
      <c r="K836" s="1210">
        <f t="shared" si="150"/>
        <v>1.05</v>
      </c>
      <c r="L836" s="1210">
        <f t="shared" si="167"/>
        <v>0</v>
      </c>
      <c r="M836" s="1197">
        <f t="shared" si="168"/>
        <v>0</v>
      </c>
      <c r="N836" s="1211">
        <f t="shared" si="169"/>
        <v>0</v>
      </c>
      <c r="O836" s="1212"/>
      <c r="P836" s="1200"/>
      <c r="Q836" s="1200"/>
      <c r="R836" s="1213"/>
      <c r="S836" s="1213"/>
      <c r="T836" s="1213"/>
      <c r="U836" s="1213"/>
      <c r="V836" s="1213"/>
    </row>
    <row r="837" spans="1:22" ht="15" thickTop="1" thickBot="1" x14ac:dyDescent="0.3">
      <c r="A837" s="1207"/>
      <c r="B837" s="1212"/>
      <c r="C837" s="1212"/>
      <c r="D837" s="1212"/>
      <c r="E837" s="1212"/>
      <c r="F837" s="1208"/>
      <c r="G837" s="1208"/>
      <c r="H837" s="1208"/>
      <c r="I837" s="1209"/>
      <c r="J837" s="1209"/>
      <c r="K837" s="1210">
        <f t="shared" si="150"/>
        <v>1.05</v>
      </c>
      <c r="L837" s="1210">
        <f t="shared" si="167"/>
        <v>0</v>
      </c>
      <c r="M837" s="1197">
        <f t="shared" si="168"/>
        <v>0</v>
      </c>
      <c r="N837" s="1211">
        <f t="shared" si="169"/>
        <v>0</v>
      </c>
      <c r="O837" s="1212"/>
      <c r="P837" s="1200"/>
      <c r="Q837" s="1200"/>
      <c r="R837" s="1213"/>
      <c r="S837" s="1213"/>
      <c r="T837" s="1213"/>
      <c r="U837" s="1213"/>
      <c r="V837" s="1213"/>
    </row>
    <row r="838" spans="1:22" ht="15" thickTop="1" thickBot="1" x14ac:dyDescent="0.3">
      <c r="A838" s="1207"/>
      <c r="B838" s="1212" t="s">
        <v>3204</v>
      </c>
      <c r="C838" s="1212"/>
      <c r="D838" s="1212"/>
      <c r="E838" s="1212"/>
      <c r="F838" s="1208">
        <v>16.149999999999999</v>
      </c>
      <c r="G838" s="1208">
        <v>0.22500000000000001</v>
      </c>
      <c r="H838" s="1208">
        <v>0.22500000000000001</v>
      </c>
      <c r="I838" s="1209">
        <f t="shared" ref="I838:I839" si="173">H838*G838*F838</f>
        <v>0.81759375000000001</v>
      </c>
      <c r="J838" s="1209"/>
      <c r="K838" s="1210">
        <f t="shared" si="150"/>
        <v>1.05</v>
      </c>
      <c r="L838" s="1210">
        <f t="shared" si="167"/>
        <v>0</v>
      </c>
      <c r="M838" s="1197">
        <f t="shared" si="168"/>
        <v>0</v>
      </c>
      <c r="N838" s="1211">
        <f t="shared" si="169"/>
        <v>0</v>
      </c>
      <c r="O838" s="1212"/>
      <c r="P838" s="1200"/>
      <c r="Q838" s="1200"/>
      <c r="R838" s="1213"/>
      <c r="S838" s="1213"/>
      <c r="T838" s="1213"/>
      <c r="U838" s="1213"/>
      <c r="V838" s="1213"/>
    </row>
    <row r="839" spans="1:22" ht="15" thickTop="1" thickBot="1" x14ac:dyDescent="0.3">
      <c r="A839" s="1207"/>
      <c r="B839" s="1212"/>
      <c r="C839" s="1212"/>
      <c r="D839" s="1212"/>
      <c r="E839" s="1212"/>
      <c r="F839" s="1208">
        <v>4.7</v>
      </c>
      <c r="G839" s="1208">
        <v>0.22500000000000001</v>
      </c>
      <c r="H839" s="1208">
        <v>0.22500000000000001</v>
      </c>
      <c r="I839" s="1209">
        <f t="shared" si="173"/>
        <v>0.23793750000000002</v>
      </c>
      <c r="J839" s="1209"/>
      <c r="K839" s="1210">
        <f t="shared" si="150"/>
        <v>1.05</v>
      </c>
      <c r="L839" s="1210">
        <f t="shared" si="167"/>
        <v>0</v>
      </c>
      <c r="M839" s="1197">
        <f t="shared" si="168"/>
        <v>0</v>
      </c>
      <c r="N839" s="1211">
        <f t="shared" si="169"/>
        <v>0</v>
      </c>
      <c r="O839" s="1212"/>
      <c r="P839" s="1200"/>
      <c r="Q839" s="1200"/>
      <c r="R839" s="1213"/>
      <c r="S839" s="1213"/>
      <c r="T839" s="1213"/>
      <c r="U839" s="1213"/>
      <c r="V839" s="1213"/>
    </row>
    <row r="840" spans="1:22" ht="15" thickTop="1" thickBot="1" x14ac:dyDescent="0.3">
      <c r="A840" s="1207"/>
      <c r="B840" s="1212"/>
      <c r="C840" s="1212"/>
      <c r="D840" s="1212"/>
      <c r="E840" s="1212"/>
      <c r="F840" s="1992"/>
      <c r="G840" s="1208"/>
      <c r="H840" s="1208"/>
      <c r="I840" s="1209"/>
      <c r="J840" s="1209">
        <f>SUM(I817:I839)</f>
        <v>4.7534850000000013</v>
      </c>
      <c r="K840" s="1210">
        <f t="shared" si="150"/>
        <v>1.05</v>
      </c>
      <c r="L840" s="1210">
        <f t="shared" si="167"/>
        <v>4.9911592500000017</v>
      </c>
      <c r="M840" s="1197">
        <f t="shared" si="168"/>
        <v>5</v>
      </c>
      <c r="N840" s="1211">
        <f t="shared" si="169"/>
        <v>5</v>
      </c>
      <c r="O840" s="1212"/>
      <c r="P840" s="1200"/>
      <c r="Q840" s="1200"/>
      <c r="R840" s="1213"/>
      <c r="S840" s="1213"/>
      <c r="T840" s="1213"/>
      <c r="U840" s="1213"/>
      <c r="V840" s="1213"/>
    </row>
    <row r="841" spans="1:22" ht="15" thickTop="1" thickBot="1" x14ac:dyDescent="0.3">
      <c r="A841" s="1207"/>
      <c r="B841" s="1212" t="s">
        <v>3265</v>
      </c>
      <c r="C841" s="1212"/>
      <c r="D841" s="1212"/>
      <c r="E841" s="1212"/>
      <c r="F841" s="1992">
        <v>6</v>
      </c>
      <c r="G841" s="1208">
        <v>0.22500000000000001</v>
      </c>
      <c r="H841" s="1208">
        <v>0.22500000000000001</v>
      </c>
      <c r="I841" s="1209">
        <f>H841*G841*F841</f>
        <v>0.30375000000000002</v>
      </c>
      <c r="J841" s="1209"/>
      <c r="K841" s="1210">
        <f t="shared" si="150"/>
        <v>1.05</v>
      </c>
      <c r="L841" s="1210">
        <f t="shared" ref="L841:L848" si="174">K841*J841</f>
        <v>0</v>
      </c>
      <c r="M841" s="1197">
        <f t="shared" ref="M841:M848" si="175">ROUND(L841,1)</f>
        <v>0</v>
      </c>
      <c r="N841" s="1211">
        <f t="shared" ref="N841:N848" si="176">ROUNDUP(M841,0)</f>
        <v>0</v>
      </c>
      <c r="O841" s="1212"/>
      <c r="P841" s="1200"/>
      <c r="Q841" s="1200">
        <f>12*12/162</f>
        <v>0.88888888888888884</v>
      </c>
      <c r="R841" s="1213"/>
      <c r="S841" s="1213"/>
      <c r="T841" s="1213"/>
      <c r="U841" s="1213"/>
      <c r="V841" s="1213"/>
    </row>
    <row r="842" spans="1:22" ht="15" thickTop="1" thickBot="1" x14ac:dyDescent="0.3">
      <c r="A842" s="1207"/>
      <c r="B842" s="1212"/>
      <c r="C842" s="1212"/>
      <c r="D842" s="1212"/>
      <c r="E842" s="1212">
        <v>4</v>
      </c>
      <c r="F842" s="1992">
        <v>6</v>
      </c>
      <c r="G842" s="1208"/>
      <c r="H842" s="1208">
        <v>0.88900000000000001</v>
      </c>
      <c r="I842" s="1209">
        <f>H842*F842*E842</f>
        <v>21.335999999999999</v>
      </c>
      <c r="J842" s="1209"/>
      <c r="K842" s="1210">
        <f t="shared" si="150"/>
        <v>1.05</v>
      </c>
      <c r="L842" s="1210">
        <f t="shared" si="174"/>
        <v>0</v>
      </c>
      <c r="M842" s="1197">
        <f t="shared" si="175"/>
        <v>0</v>
      </c>
      <c r="N842" s="1211">
        <f t="shared" si="176"/>
        <v>0</v>
      </c>
      <c r="O842" s="1212"/>
      <c r="P842" s="1200"/>
      <c r="Q842" s="1992">
        <f>F841/0.15</f>
        <v>40</v>
      </c>
      <c r="R842" s="1213">
        <f>6*6/162</f>
        <v>0.22222222222222221</v>
      </c>
      <c r="S842" s="1213"/>
      <c r="T842" s="1213"/>
      <c r="U842" s="1213"/>
      <c r="V842" s="1213"/>
    </row>
    <row r="843" spans="1:22" ht="15" thickTop="1" thickBot="1" x14ac:dyDescent="0.3">
      <c r="A843" s="1207"/>
      <c r="B843" s="1212"/>
      <c r="C843" s="1212"/>
      <c r="D843" s="1212"/>
      <c r="E843" s="1212">
        <v>40</v>
      </c>
      <c r="F843" s="1992">
        <f>0.2*4</f>
        <v>0.8</v>
      </c>
      <c r="G843" s="1208"/>
      <c r="H843" s="1208">
        <v>0.22</v>
      </c>
      <c r="I843" s="1209">
        <f>H843*F843*E843</f>
        <v>7.0400000000000009</v>
      </c>
      <c r="J843" s="1209"/>
      <c r="K843" s="1210">
        <f t="shared" si="150"/>
        <v>1.05</v>
      </c>
      <c r="L843" s="1210">
        <f t="shared" si="174"/>
        <v>0</v>
      </c>
      <c r="M843" s="1197">
        <f t="shared" si="175"/>
        <v>0</v>
      </c>
      <c r="N843" s="1211">
        <f t="shared" si="176"/>
        <v>0</v>
      </c>
      <c r="O843" s="1212"/>
      <c r="P843" s="1200"/>
      <c r="Q843" s="1200"/>
      <c r="R843" s="1213"/>
      <c r="S843" s="1213"/>
      <c r="T843" s="1213"/>
      <c r="U843" s="1213"/>
      <c r="V843" s="1213"/>
    </row>
    <row r="844" spans="1:22" ht="15" thickTop="1" thickBot="1" x14ac:dyDescent="0.3">
      <c r="A844" s="1207"/>
      <c r="B844" s="1212"/>
      <c r="C844" s="1212"/>
      <c r="D844" s="1212"/>
      <c r="E844" s="1212"/>
      <c r="F844" s="1992"/>
      <c r="G844" s="1208"/>
      <c r="H844" s="1208"/>
      <c r="I844" s="1209">
        <f>SUM(I842:I843)</f>
        <v>28.375999999999998</v>
      </c>
      <c r="J844" s="1209"/>
      <c r="K844" s="1210">
        <f t="shared" si="150"/>
        <v>1.05</v>
      </c>
      <c r="L844" s="1210">
        <f t="shared" si="174"/>
        <v>0</v>
      </c>
      <c r="M844" s="1197">
        <f t="shared" si="175"/>
        <v>0</v>
      </c>
      <c r="N844" s="1211">
        <f t="shared" si="176"/>
        <v>0</v>
      </c>
      <c r="O844" s="1212"/>
      <c r="P844" s="1200"/>
      <c r="Q844" s="1200"/>
      <c r="R844" s="1213"/>
      <c r="S844" s="1213"/>
      <c r="T844" s="1213"/>
      <c r="U844" s="1213"/>
      <c r="V844" s="1213"/>
    </row>
    <row r="845" spans="1:22" ht="15" thickTop="1" thickBot="1" x14ac:dyDescent="0.3">
      <c r="A845" s="1207"/>
      <c r="B845" s="1212"/>
      <c r="C845" s="1212"/>
      <c r="D845" s="1212"/>
      <c r="E845" s="1212"/>
      <c r="F845" s="1992"/>
      <c r="G845" s="1208"/>
      <c r="H845" s="1208"/>
      <c r="I845" s="1209">
        <f>I844/I841</f>
        <v>93.418930041152251</v>
      </c>
      <c r="J845" s="1209">
        <f>J840*I845</f>
        <v>444.06548266666675</v>
      </c>
      <c r="K845" s="1210">
        <f t="shared" si="150"/>
        <v>1.05</v>
      </c>
      <c r="L845" s="1210">
        <f t="shared" si="174"/>
        <v>466.26875680000012</v>
      </c>
      <c r="M845" s="1197">
        <f t="shared" si="175"/>
        <v>466.3</v>
      </c>
      <c r="N845" s="1211">
        <f t="shared" si="176"/>
        <v>467</v>
      </c>
      <c r="O845" s="1212"/>
      <c r="P845" s="1200"/>
      <c r="Q845" s="1200"/>
      <c r="R845" s="1213"/>
      <c r="S845" s="1213"/>
      <c r="T845" s="1213"/>
      <c r="U845" s="1213"/>
      <c r="V845" s="1213"/>
    </row>
    <row r="846" spans="1:22" ht="15" thickTop="1" thickBot="1" x14ac:dyDescent="0.3">
      <c r="A846" s="1207"/>
      <c r="B846" s="1212"/>
      <c r="C846" s="1212"/>
      <c r="D846" s="1212"/>
      <c r="E846" s="1212"/>
      <c r="F846" s="1992"/>
      <c r="G846" s="1208"/>
      <c r="H846" s="1208"/>
      <c r="I846" s="1209"/>
      <c r="J846" s="1209"/>
      <c r="K846" s="1210">
        <f t="shared" si="150"/>
        <v>1.05</v>
      </c>
      <c r="L846" s="1210">
        <f t="shared" si="174"/>
        <v>0</v>
      </c>
      <c r="M846" s="1197">
        <f t="shared" si="175"/>
        <v>0</v>
      </c>
      <c r="N846" s="1211">
        <f t="shared" si="176"/>
        <v>0</v>
      </c>
      <c r="O846" s="1212"/>
      <c r="P846" s="1200"/>
      <c r="Q846" s="1200"/>
      <c r="R846" s="1213"/>
      <c r="S846" s="1213"/>
      <c r="T846" s="1213"/>
      <c r="U846" s="1213"/>
      <c r="V846" s="1213"/>
    </row>
    <row r="847" spans="1:22" ht="15" thickTop="1" thickBot="1" x14ac:dyDescent="0.3">
      <c r="A847" s="1207"/>
      <c r="B847" s="1212"/>
      <c r="C847" s="1212"/>
      <c r="D847" s="1212"/>
      <c r="E847" s="1212"/>
      <c r="F847" s="1992"/>
      <c r="G847" s="1208"/>
      <c r="H847" s="1208"/>
      <c r="I847" s="1209"/>
      <c r="J847" s="1209"/>
      <c r="K847" s="1210">
        <f t="shared" si="150"/>
        <v>1.05</v>
      </c>
      <c r="L847" s="1210">
        <f t="shared" si="174"/>
        <v>0</v>
      </c>
      <c r="M847" s="1197">
        <f t="shared" si="175"/>
        <v>0</v>
      </c>
      <c r="N847" s="1211">
        <f t="shared" si="176"/>
        <v>0</v>
      </c>
      <c r="O847" s="1212"/>
      <c r="P847" s="1200"/>
      <c r="Q847" s="1200"/>
      <c r="R847" s="1213"/>
      <c r="S847" s="1213"/>
      <c r="T847" s="1213"/>
      <c r="U847" s="1213"/>
      <c r="V847" s="1213"/>
    </row>
    <row r="848" spans="1:22" ht="15" thickTop="1" thickBot="1" x14ac:dyDescent="0.3">
      <c r="A848" s="1207"/>
      <c r="B848" s="1212"/>
      <c r="C848" s="1212"/>
      <c r="D848" s="1212"/>
      <c r="E848" s="1212"/>
      <c r="F848" s="1992"/>
      <c r="G848" s="1208"/>
      <c r="H848" s="1208"/>
      <c r="I848" s="1209"/>
      <c r="J848" s="1209"/>
      <c r="K848" s="1210">
        <f t="shared" si="150"/>
        <v>1.05</v>
      </c>
      <c r="L848" s="1210">
        <f t="shared" si="174"/>
        <v>0</v>
      </c>
      <c r="M848" s="1197">
        <f t="shared" si="175"/>
        <v>0</v>
      </c>
      <c r="N848" s="1211">
        <f t="shared" si="176"/>
        <v>0</v>
      </c>
      <c r="O848" s="1212"/>
      <c r="P848" s="1200"/>
      <c r="Q848" s="1200"/>
      <c r="R848" s="1213"/>
      <c r="S848" s="1213"/>
      <c r="T848" s="1213"/>
      <c r="U848" s="1213"/>
      <c r="V848" s="1213"/>
    </row>
    <row r="849" spans="1:22" ht="15" thickTop="1" thickBot="1" x14ac:dyDescent="0.3">
      <c r="A849" s="1207"/>
      <c r="B849" s="1212" t="s">
        <v>3260</v>
      </c>
      <c r="C849" s="1212"/>
      <c r="D849" s="1212"/>
      <c r="E849" s="1212"/>
      <c r="F849" s="1992"/>
      <c r="G849" s="1208"/>
      <c r="H849" s="1208"/>
      <c r="I849" s="1209"/>
      <c r="J849" s="1209"/>
      <c r="K849" s="1210">
        <f t="shared" si="150"/>
        <v>1.05</v>
      </c>
      <c r="L849" s="1210">
        <f t="shared" ref="L849:L875" si="177">K849*J849</f>
        <v>0</v>
      </c>
      <c r="M849" s="1197">
        <f t="shared" ref="M849:M875" si="178">ROUND(L849,1)</f>
        <v>0</v>
      </c>
      <c r="N849" s="1211">
        <f t="shared" ref="N849:N875" si="179">ROUNDUP(M849,0)</f>
        <v>0</v>
      </c>
      <c r="O849" s="1212"/>
      <c r="P849" s="1200"/>
      <c r="Q849" s="1200"/>
      <c r="R849" s="1213"/>
      <c r="S849" s="1213"/>
      <c r="T849" s="1213"/>
      <c r="U849" s="1213"/>
      <c r="V849" s="1213"/>
    </row>
    <row r="850" spans="1:22" ht="15" thickTop="1" thickBot="1" x14ac:dyDescent="0.3">
      <c r="A850" s="1207"/>
      <c r="B850" s="1212" t="s">
        <v>1622</v>
      </c>
      <c r="C850" s="1212"/>
      <c r="D850" s="1212"/>
      <c r="E850" s="1212">
        <v>2</v>
      </c>
      <c r="F850" s="1208">
        <v>3.5779999999999998</v>
      </c>
      <c r="G850" s="1208"/>
      <c r="H850" s="1208">
        <f>H817</f>
        <v>0.22500000000000001</v>
      </c>
      <c r="I850" s="1209">
        <f>H850*F850*E850</f>
        <v>1.6100999999999999</v>
      </c>
      <c r="J850" s="1209"/>
      <c r="K850" s="1210">
        <f t="shared" si="150"/>
        <v>1.05</v>
      </c>
      <c r="L850" s="1210">
        <f t="shared" si="177"/>
        <v>0</v>
      </c>
      <c r="M850" s="1197">
        <f t="shared" si="178"/>
        <v>0</v>
      </c>
      <c r="N850" s="1211">
        <f t="shared" si="179"/>
        <v>0</v>
      </c>
      <c r="O850" s="1212"/>
      <c r="P850" s="1200"/>
      <c r="Q850" s="1200"/>
      <c r="R850" s="1213"/>
      <c r="S850" s="1213"/>
      <c r="T850" s="1213"/>
      <c r="U850" s="1213"/>
      <c r="V850" s="1213"/>
    </row>
    <row r="851" spans="1:22" ht="15" thickTop="1" thickBot="1" x14ac:dyDescent="0.3">
      <c r="A851" s="1207"/>
      <c r="B851" s="1212"/>
      <c r="C851" s="1212"/>
      <c r="D851" s="1212"/>
      <c r="E851" s="1212">
        <v>2</v>
      </c>
      <c r="F851" s="1208">
        <v>8.0190000000000001</v>
      </c>
      <c r="G851" s="1208"/>
      <c r="H851" s="1208">
        <f t="shared" ref="H851:H872" si="180">H818</f>
        <v>0.22500000000000001</v>
      </c>
      <c r="I851" s="1209">
        <f t="shared" ref="I851:I872" si="181">H851*F851*E851</f>
        <v>3.6085500000000001</v>
      </c>
      <c r="J851" s="1209"/>
      <c r="K851" s="1210">
        <f t="shared" si="150"/>
        <v>1.05</v>
      </c>
      <c r="L851" s="1210">
        <f t="shared" si="177"/>
        <v>0</v>
      </c>
      <c r="M851" s="1197">
        <f t="shared" si="178"/>
        <v>0</v>
      </c>
      <c r="N851" s="1211">
        <f t="shared" si="179"/>
        <v>0</v>
      </c>
      <c r="O851" s="1212"/>
      <c r="P851" s="1200"/>
      <c r="Q851" s="1200"/>
      <c r="R851" s="1213"/>
      <c r="S851" s="1213"/>
      <c r="T851" s="1213"/>
      <c r="U851" s="1213"/>
      <c r="V851" s="1213"/>
    </row>
    <row r="852" spans="1:22" ht="15" thickTop="1" thickBot="1" x14ac:dyDescent="0.3">
      <c r="A852" s="1207"/>
      <c r="B852" s="1212"/>
      <c r="C852" s="1212"/>
      <c r="D852" s="1212"/>
      <c r="E852" s="1212">
        <v>2</v>
      </c>
      <c r="F852" s="1208">
        <v>8.1750000000000007</v>
      </c>
      <c r="G852" s="1208"/>
      <c r="H852" s="1208">
        <f t="shared" si="180"/>
        <v>0.22500000000000001</v>
      </c>
      <c r="I852" s="1209">
        <f t="shared" si="181"/>
        <v>3.6787500000000004</v>
      </c>
      <c r="J852" s="1209"/>
      <c r="K852" s="1210">
        <f t="shared" si="150"/>
        <v>1.05</v>
      </c>
      <c r="L852" s="1210">
        <f t="shared" si="177"/>
        <v>0</v>
      </c>
      <c r="M852" s="1197">
        <f t="shared" si="178"/>
        <v>0</v>
      </c>
      <c r="N852" s="1211">
        <f t="shared" si="179"/>
        <v>0</v>
      </c>
      <c r="O852" s="1212"/>
      <c r="P852" s="1200"/>
      <c r="Q852" s="1200"/>
      <c r="R852" s="1213"/>
      <c r="S852" s="1213"/>
      <c r="T852" s="1213"/>
      <c r="U852" s="1213"/>
      <c r="V852" s="1213"/>
    </row>
    <row r="853" spans="1:22" ht="15" thickTop="1" thickBot="1" x14ac:dyDescent="0.3">
      <c r="A853" s="1207"/>
      <c r="B853" s="1212"/>
      <c r="C853" s="1212"/>
      <c r="D853" s="1212"/>
      <c r="E853" s="1212">
        <v>2</v>
      </c>
      <c r="F853" s="1208">
        <v>3.8130000000000002</v>
      </c>
      <c r="G853" s="1208"/>
      <c r="H853" s="1208">
        <f t="shared" si="180"/>
        <v>0.22500000000000001</v>
      </c>
      <c r="I853" s="1209">
        <f t="shared" si="181"/>
        <v>1.7158500000000001</v>
      </c>
      <c r="J853" s="1209"/>
      <c r="K853" s="1210">
        <f t="shared" si="150"/>
        <v>1.05</v>
      </c>
      <c r="L853" s="1210">
        <f t="shared" si="177"/>
        <v>0</v>
      </c>
      <c r="M853" s="1197">
        <f t="shared" si="178"/>
        <v>0</v>
      </c>
      <c r="N853" s="1211">
        <f t="shared" si="179"/>
        <v>0</v>
      </c>
      <c r="O853" s="1212"/>
      <c r="P853" s="1200"/>
      <c r="Q853" s="1200"/>
      <c r="R853" s="1213"/>
      <c r="S853" s="1213"/>
      <c r="T853" s="1213"/>
      <c r="U853" s="1213"/>
      <c r="V853" s="1213"/>
    </row>
    <row r="854" spans="1:22" ht="15" thickTop="1" thickBot="1" x14ac:dyDescent="0.3">
      <c r="A854" s="1207"/>
      <c r="B854" s="1212"/>
      <c r="C854" s="1212"/>
      <c r="D854" s="1212"/>
      <c r="E854" s="1212">
        <v>2</v>
      </c>
      <c r="F854" s="1208">
        <v>4.3</v>
      </c>
      <c r="G854" s="1208"/>
      <c r="H854" s="1208">
        <f t="shared" si="180"/>
        <v>0.22500000000000001</v>
      </c>
      <c r="I854" s="1209">
        <f t="shared" si="181"/>
        <v>1.9350000000000001</v>
      </c>
      <c r="J854" s="1209"/>
      <c r="K854" s="1210">
        <f t="shared" si="150"/>
        <v>1.05</v>
      </c>
      <c r="L854" s="1210">
        <f t="shared" si="177"/>
        <v>0</v>
      </c>
      <c r="M854" s="1197">
        <f t="shared" si="178"/>
        <v>0</v>
      </c>
      <c r="N854" s="1211">
        <f t="shared" si="179"/>
        <v>0</v>
      </c>
      <c r="O854" s="1212"/>
      <c r="P854" s="1200"/>
      <c r="Q854" s="1200"/>
      <c r="R854" s="1213"/>
      <c r="S854" s="1213"/>
      <c r="T854" s="1213"/>
      <c r="U854" s="1213"/>
      <c r="V854" s="1213"/>
    </row>
    <row r="855" spans="1:22" ht="15" thickTop="1" thickBot="1" x14ac:dyDescent="0.3">
      <c r="A855" s="1207"/>
      <c r="B855" s="1212"/>
      <c r="C855" s="1212"/>
      <c r="D855" s="1212"/>
      <c r="E855" s="1212">
        <v>2</v>
      </c>
      <c r="F855" s="1208">
        <v>5.39</v>
      </c>
      <c r="G855" s="1208"/>
      <c r="H855" s="1208">
        <f t="shared" si="180"/>
        <v>0.22500000000000001</v>
      </c>
      <c r="I855" s="1209">
        <f t="shared" si="181"/>
        <v>2.4255</v>
      </c>
      <c r="J855" s="1209"/>
      <c r="K855" s="1210">
        <f t="shared" si="150"/>
        <v>1.05</v>
      </c>
      <c r="L855" s="1210">
        <f t="shared" si="177"/>
        <v>0</v>
      </c>
      <c r="M855" s="1197">
        <f t="shared" si="178"/>
        <v>0</v>
      </c>
      <c r="N855" s="1211">
        <f t="shared" si="179"/>
        <v>0</v>
      </c>
      <c r="O855" s="1212"/>
      <c r="P855" s="1200"/>
      <c r="Q855" s="1200"/>
      <c r="R855" s="1213"/>
      <c r="S855" s="1213"/>
      <c r="T855" s="1213"/>
      <c r="U855" s="1213"/>
      <c r="V855" s="1213"/>
    </row>
    <row r="856" spans="1:22" ht="15" thickTop="1" thickBot="1" x14ac:dyDescent="0.3">
      <c r="A856" s="1207"/>
      <c r="B856" s="1212"/>
      <c r="C856" s="1212"/>
      <c r="D856" s="1212"/>
      <c r="E856" s="1212">
        <v>2</v>
      </c>
      <c r="F856" s="1208">
        <v>5.6</v>
      </c>
      <c r="G856" s="1208"/>
      <c r="H856" s="1208">
        <f t="shared" si="180"/>
        <v>0.22500000000000001</v>
      </c>
      <c r="I856" s="1209">
        <f t="shared" si="181"/>
        <v>2.52</v>
      </c>
      <c r="J856" s="1209"/>
      <c r="K856" s="1210">
        <f t="shared" si="150"/>
        <v>1.05</v>
      </c>
      <c r="L856" s="1210">
        <f t="shared" si="177"/>
        <v>0</v>
      </c>
      <c r="M856" s="1197">
        <f t="shared" si="178"/>
        <v>0</v>
      </c>
      <c r="N856" s="1211">
        <f t="shared" si="179"/>
        <v>0</v>
      </c>
      <c r="O856" s="1212"/>
      <c r="P856" s="1200"/>
      <c r="Q856" s="1200"/>
      <c r="R856" s="1213"/>
      <c r="S856" s="1213"/>
      <c r="T856" s="1213"/>
      <c r="U856" s="1213"/>
      <c r="V856" s="1213"/>
    </row>
    <row r="857" spans="1:22" ht="15" thickTop="1" thickBot="1" x14ac:dyDescent="0.3">
      <c r="A857" s="1207"/>
      <c r="B857" s="1212"/>
      <c r="C857" s="1212"/>
      <c r="D857" s="1212"/>
      <c r="E857" s="1212">
        <v>2</v>
      </c>
      <c r="F857" s="1208">
        <v>3.65</v>
      </c>
      <c r="G857" s="1208"/>
      <c r="H857" s="1208">
        <f t="shared" si="180"/>
        <v>0.22500000000000001</v>
      </c>
      <c r="I857" s="1209">
        <f t="shared" si="181"/>
        <v>1.6425000000000001</v>
      </c>
      <c r="J857" s="1209"/>
      <c r="K857" s="1210">
        <f t="shared" si="150"/>
        <v>1.05</v>
      </c>
      <c r="L857" s="1210">
        <f t="shared" si="177"/>
        <v>0</v>
      </c>
      <c r="M857" s="1197">
        <f t="shared" si="178"/>
        <v>0</v>
      </c>
      <c r="N857" s="1211">
        <f t="shared" si="179"/>
        <v>0</v>
      </c>
      <c r="O857" s="1212"/>
      <c r="P857" s="1200"/>
      <c r="Q857" s="1200"/>
      <c r="R857" s="1213"/>
      <c r="S857" s="1213"/>
      <c r="T857" s="1213"/>
      <c r="U857" s="1213"/>
      <c r="V857" s="1213"/>
    </row>
    <row r="858" spans="1:22" ht="15" thickTop="1" thickBot="1" x14ac:dyDescent="0.3">
      <c r="A858" s="1207"/>
      <c r="B858" s="1212"/>
      <c r="C858" s="1212"/>
      <c r="D858" s="1212"/>
      <c r="E858" s="1212">
        <v>2</v>
      </c>
      <c r="F858" s="1208">
        <v>5.3</v>
      </c>
      <c r="G858" s="1208"/>
      <c r="H858" s="1208">
        <f t="shared" si="180"/>
        <v>0.22500000000000001</v>
      </c>
      <c r="I858" s="1209">
        <f t="shared" si="181"/>
        <v>2.3849999999999998</v>
      </c>
      <c r="J858" s="1209"/>
      <c r="K858" s="1210">
        <f t="shared" si="150"/>
        <v>1.05</v>
      </c>
      <c r="L858" s="1210">
        <f t="shared" si="177"/>
        <v>0</v>
      </c>
      <c r="M858" s="1197">
        <f t="shared" si="178"/>
        <v>0</v>
      </c>
      <c r="N858" s="1211">
        <f t="shared" si="179"/>
        <v>0</v>
      </c>
      <c r="O858" s="1212"/>
      <c r="P858" s="1200"/>
      <c r="Q858" s="1200"/>
      <c r="R858" s="1213"/>
      <c r="S858" s="1213"/>
      <c r="T858" s="1213"/>
      <c r="U858" s="1213"/>
      <c r="V858" s="1213"/>
    </row>
    <row r="859" spans="1:22" ht="15" thickTop="1" thickBot="1" x14ac:dyDescent="0.3">
      <c r="A859" s="1207"/>
      <c r="B859" s="1212"/>
      <c r="C859" s="1212"/>
      <c r="D859" s="1212"/>
      <c r="E859" s="1212">
        <v>2</v>
      </c>
      <c r="F859" s="1208">
        <v>1.5</v>
      </c>
      <c r="G859" s="1208"/>
      <c r="H859" s="1208">
        <f t="shared" si="180"/>
        <v>0.22500000000000001</v>
      </c>
      <c r="I859" s="1209">
        <f t="shared" si="181"/>
        <v>0.67500000000000004</v>
      </c>
      <c r="J859" s="1209"/>
      <c r="K859" s="1210">
        <f t="shared" si="150"/>
        <v>1.05</v>
      </c>
      <c r="L859" s="1210">
        <f t="shared" si="177"/>
        <v>0</v>
      </c>
      <c r="M859" s="1197">
        <f t="shared" si="178"/>
        <v>0</v>
      </c>
      <c r="N859" s="1211">
        <f t="shared" si="179"/>
        <v>0</v>
      </c>
      <c r="O859" s="1212"/>
      <c r="P859" s="1200"/>
      <c r="Q859" s="1200"/>
      <c r="R859" s="1213"/>
      <c r="S859" s="1213"/>
      <c r="T859" s="1213"/>
      <c r="U859" s="1213"/>
      <c r="V859" s="1213"/>
    </row>
    <row r="860" spans="1:22" ht="15" thickTop="1" thickBot="1" x14ac:dyDescent="0.3">
      <c r="A860" s="1207"/>
      <c r="B860" s="1212"/>
      <c r="C860" s="1212"/>
      <c r="D860" s="1212"/>
      <c r="E860" s="1212">
        <v>2</v>
      </c>
      <c r="F860" s="1208">
        <v>9.7360000000000007</v>
      </c>
      <c r="G860" s="1208"/>
      <c r="H860" s="1208">
        <f t="shared" si="180"/>
        <v>0.22500000000000001</v>
      </c>
      <c r="I860" s="1209">
        <f t="shared" si="181"/>
        <v>4.3812000000000006</v>
      </c>
      <c r="J860" s="1209"/>
      <c r="K860" s="1210">
        <f t="shared" si="150"/>
        <v>1.05</v>
      </c>
      <c r="L860" s="1210">
        <f t="shared" si="177"/>
        <v>0</v>
      </c>
      <c r="M860" s="1197">
        <f t="shared" si="178"/>
        <v>0</v>
      </c>
      <c r="N860" s="1211">
        <f t="shared" si="179"/>
        <v>0</v>
      </c>
      <c r="O860" s="1212"/>
      <c r="P860" s="1200"/>
      <c r="Q860" s="1200"/>
      <c r="R860" s="1213"/>
      <c r="S860" s="1213"/>
      <c r="T860" s="1213"/>
      <c r="U860" s="1213"/>
      <c r="V860" s="1213"/>
    </row>
    <row r="861" spans="1:22" ht="15" thickTop="1" thickBot="1" x14ac:dyDescent="0.3">
      <c r="A861" s="1207"/>
      <c r="B861" s="1212"/>
      <c r="C861" s="1212"/>
      <c r="D861" s="1212"/>
      <c r="E861" s="1212">
        <v>2</v>
      </c>
      <c r="F861" s="1208"/>
      <c r="G861" s="1208"/>
      <c r="H861" s="1208">
        <f t="shared" si="180"/>
        <v>0</v>
      </c>
      <c r="I861" s="1209">
        <f t="shared" si="181"/>
        <v>0</v>
      </c>
      <c r="J861" s="1209"/>
      <c r="K861" s="1210">
        <f t="shared" si="150"/>
        <v>1.05</v>
      </c>
      <c r="L861" s="1210">
        <f t="shared" si="177"/>
        <v>0</v>
      </c>
      <c r="M861" s="1197">
        <f t="shared" si="178"/>
        <v>0</v>
      </c>
      <c r="N861" s="1211">
        <f t="shared" si="179"/>
        <v>0</v>
      </c>
      <c r="O861" s="1212"/>
      <c r="P861" s="1200"/>
      <c r="Q861" s="1200"/>
      <c r="R861" s="1213"/>
      <c r="S861" s="1213"/>
      <c r="T861" s="1213"/>
      <c r="U861" s="1213"/>
      <c r="V861" s="1213"/>
    </row>
    <row r="862" spans="1:22" ht="15" thickTop="1" thickBot="1" x14ac:dyDescent="0.3">
      <c r="A862" s="1207"/>
      <c r="B862" s="1212" t="s">
        <v>1623</v>
      </c>
      <c r="C862" s="1212"/>
      <c r="D862" s="1212"/>
      <c r="E862" s="1212">
        <v>2</v>
      </c>
      <c r="F862" s="1208">
        <v>1.25</v>
      </c>
      <c r="G862" s="1208"/>
      <c r="H862" s="1208">
        <f t="shared" si="180"/>
        <v>0.22500000000000001</v>
      </c>
      <c r="I862" s="1209">
        <f t="shared" si="181"/>
        <v>0.5625</v>
      </c>
      <c r="J862" s="1209"/>
      <c r="K862" s="1210">
        <f t="shared" si="150"/>
        <v>1.05</v>
      </c>
      <c r="L862" s="1210">
        <f t="shared" si="177"/>
        <v>0</v>
      </c>
      <c r="M862" s="1197">
        <f t="shared" si="178"/>
        <v>0</v>
      </c>
      <c r="N862" s="1211">
        <f t="shared" si="179"/>
        <v>0</v>
      </c>
      <c r="O862" s="1212"/>
      <c r="P862" s="1200"/>
      <c r="Q862" s="1200"/>
      <c r="R862" s="1213"/>
      <c r="S862" s="1213"/>
      <c r="T862" s="1213"/>
      <c r="U862" s="1213"/>
      <c r="V862" s="1213"/>
    </row>
    <row r="863" spans="1:22" ht="15" thickTop="1" thickBot="1" x14ac:dyDescent="0.3">
      <c r="A863" s="1207"/>
      <c r="B863" s="1212"/>
      <c r="C863" s="1212"/>
      <c r="D863" s="1212"/>
      <c r="E863" s="1212">
        <v>2</v>
      </c>
      <c r="F863" s="1208">
        <v>1.3</v>
      </c>
      <c r="G863" s="1208"/>
      <c r="H863" s="1208">
        <f t="shared" si="180"/>
        <v>0.22500000000000001</v>
      </c>
      <c r="I863" s="1209">
        <f t="shared" si="181"/>
        <v>0.58500000000000008</v>
      </c>
      <c r="J863" s="1209"/>
      <c r="K863" s="1210">
        <f t="shared" si="150"/>
        <v>1.05</v>
      </c>
      <c r="L863" s="1210">
        <f t="shared" si="177"/>
        <v>0</v>
      </c>
      <c r="M863" s="1197">
        <f t="shared" si="178"/>
        <v>0</v>
      </c>
      <c r="N863" s="1211">
        <f t="shared" si="179"/>
        <v>0</v>
      </c>
      <c r="O863" s="1212"/>
      <c r="P863" s="1200"/>
      <c r="Q863" s="1200"/>
      <c r="R863" s="1213"/>
      <c r="S863" s="1213"/>
      <c r="T863" s="1213"/>
      <c r="U863" s="1213"/>
      <c r="V863" s="1213"/>
    </row>
    <row r="864" spans="1:22" ht="15" thickTop="1" thickBot="1" x14ac:dyDescent="0.3">
      <c r="A864" s="1207"/>
      <c r="B864" s="1212"/>
      <c r="C864" s="1212"/>
      <c r="D864" s="1212"/>
      <c r="E864" s="1212">
        <v>2</v>
      </c>
      <c r="F864" s="1208">
        <v>1</v>
      </c>
      <c r="G864" s="1208"/>
      <c r="H864" s="1208">
        <f t="shared" si="180"/>
        <v>0.22500000000000001</v>
      </c>
      <c r="I864" s="1209">
        <f t="shared" si="181"/>
        <v>0.45</v>
      </c>
      <c r="J864" s="1209"/>
      <c r="K864" s="1210">
        <f t="shared" si="150"/>
        <v>1.05</v>
      </c>
      <c r="L864" s="1210">
        <f t="shared" si="177"/>
        <v>0</v>
      </c>
      <c r="M864" s="1197">
        <f t="shared" si="178"/>
        <v>0</v>
      </c>
      <c r="N864" s="1211">
        <f t="shared" si="179"/>
        <v>0</v>
      </c>
      <c r="O864" s="1212"/>
      <c r="P864" s="1200"/>
      <c r="Q864" s="1200"/>
      <c r="R864" s="1213"/>
      <c r="S864" s="1213"/>
      <c r="T864" s="1213"/>
      <c r="U864" s="1213"/>
      <c r="V864" s="1213"/>
    </row>
    <row r="865" spans="1:22" ht="15" thickTop="1" thickBot="1" x14ac:dyDescent="0.3">
      <c r="A865" s="1207"/>
      <c r="B865" s="1212"/>
      <c r="C865" s="1212"/>
      <c r="D865" s="1212"/>
      <c r="E865" s="1212">
        <v>2</v>
      </c>
      <c r="F865" s="1208">
        <v>2.0499999999999998</v>
      </c>
      <c r="G865" s="1208"/>
      <c r="H865" s="1208">
        <f t="shared" si="180"/>
        <v>0.22500000000000001</v>
      </c>
      <c r="I865" s="1209">
        <f t="shared" si="181"/>
        <v>0.92249999999999999</v>
      </c>
      <c r="J865" s="1209"/>
      <c r="K865" s="1210">
        <f t="shared" si="150"/>
        <v>1.05</v>
      </c>
      <c r="L865" s="1210">
        <f t="shared" si="177"/>
        <v>0</v>
      </c>
      <c r="M865" s="1197">
        <f t="shared" si="178"/>
        <v>0</v>
      </c>
      <c r="N865" s="1211">
        <f t="shared" si="179"/>
        <v>0</v>
      </c>
      <c r="O865" s="1212"/>
      <c r="P865" s="1200"/>
      <c r="Q865" s="1200"/>
      <c r="R865" s="1213"/>
      <c r="S865" s="1213"/>
      <c r="T865" s="1213"/>
      <c r="U865" s="1213"/>
      <c r="V865" s="1213"/>
    </row>
    <row r="866" spans="1:22" ht="15" thickTop="1" thickBot="1" x14ac:dyDescent="0.3">
      <c r="A866" s="1207"/>
      <c r="B866" s="1212"/>
      <c r="C866" s="1212"/>
      <c r="D866" s="1212"/>
      <c r="E866" s="1212">
        <v>2</v>
      </c>
      <c r="F866" s="1208">
        <v>1.5</v>
      </c>
      <c r="G866" s="1208"/>
      <c r="H866" s="1208">
        <f t="shared" si="180"/>
        <v>0.22500000000000001</v>
      </c>
      <c r="I866" s="1209">
        <f t="shared" si="181"/>
        <v>0.67500000000000004</v>
      </c>
      <c r="J866" s="1209"/>
      <c r="K866" s="1210">
        <f t="shared" si="150"/>
        <v>1.05</v>
      </c>
      <c r="L866" s="1210">
        <f t="shared" si="177"/>
        <v>0</v>
      </c>
      <c r="M866" s="1197">
        <f t="shared" si="178"/>
        <v>0</v>
      </c>
      <c r="N866" s="1211">
        <f t="shared" si="179"/>
        <v>0</v>
      </c>
      <c r="O866" s="1212"/>
      <c r="P866" s="1200"/>
      <c r="Q866" s="1200"/>
      <c r="R866" s="1213"/>
      <c r="S866" s="1213"/>
      <c r="T866" s="1213"/>
      <c r="U866" s="1213"/>
      <c r="V866" s="1213"/>
    </row>
    <row r="867" spans="1:22" ht="15" thickTop="1" thickBot="1" x14ac:dyDescent="0.3">
      <c r="A867" s="1207"/>
      <c r="B867" s="1212"/>
      <c r="C867" s="1212"/>
      <c r="D867" s="1212"/>
      <c r="E867" s="1212">
        <v>2</v>
      </c>
      <c r="F867" s="1208">
        <v>3.16</v>
      </c>
      <c r="G867" s="1208"/>
      <c r="H867" s="1208">
        <f t="shared" si="180"/>
        <v>0.22500000000000001</v>
      </c>
      <c r="I867" s="1209">
        <f t="shared" si="181"/>
        <v>1.4220000000000002</v>
      </c>
      <c r="J867" s="1209"/>
      <c r="K867" s="1210">
        <f t="shared" si="150"/>
        <v>1.05</v>
      </c>
      <c r="L867" s="1210">
        <f t="shared" si="177"/>
        <v>0</v>
      </c>
      <c r="M867" s="1197">
        <f t="shared" si="178"/>
        <v>0</v>
      </c>
      <c r="N867" s="1211">
        <f t="shared" si="179"/>
        <v>0</v>
      </c>
      <c r="O867" s="1212"/>
      <c r="P867" s="1200"/>
      <c r="Q867" s="1200"/>
      <c r="R867" s="1213"/>
      <c r="S867" s="1213"/>
      <c r="T867" s="1213"/>
      <c r="U867" s="1213"/>
      <c r="V867" s="1213"/>
    </row>
    <row r="868" spans="1:22" ht="15" thickTop="1" thickBot="1" x14ac:dyDescent="0.3">
      <c r="A868" s="1207"/>
      <c r="B868" s="1212"/>
      <c r="C868" s="1212"/>
      <c r="D868" s="1212"/>
      <c r="E868" s="1212">
        <v>2</v>
      </c>
      <c r="F868" s="1208">
        <v>3.7250000000000001</v>
      </c>
      <c r="G868" s="1208"/>
      <c r="H868" s="1208">
        <f t="shared" si="180"/>
        <v>0.22500000000000001</v>
      </c>
      <c r="I868" s="1209">
        <f t="shared" si="181"/>
        <v>1.67625</v>
      </c>
      <c r="J868" s="1209"/>
      <c r="K868" s="1210">
        <f t="shared" si="150"/>
        <v>1.05</v>
      </c>
      <c r="L868" s="1210">
        <f t="shared" si="177"/>
        <v>0</v>
      </c>
      <c r="M868" s="1197">
        <f t="shared" si="178"/>
        <v>0</v>
      </c>
      <c r="N868" s="1211">
        <f t="shared" si="179"/>
        <v>0</v>
      </c>
      <c r="O868" s="1212"/>
      <c r="P868" s="1200"/>
      <c r="Q868" s="1200"/>
      <c r="R868" s="1213"/>
      <c r="S868" s="1213"/>
      <c r="T868" s="1213"/>
      <c r="U868" s="1213"/>
      <c r="V868" s="1213"/>
    </row>
    <row r="869" spans="1:22" ht="15" thickTop="1" thickBot="1" x14ac:dyDescent="0.3">
      <c r="A869" s="1207"/>
      <c r="B869" s="1212"/>
      <c r="C869" s="1212"/>
      <c r="D869" s="1212"/>
      <c r="E869" s="1212">
        <v>2</v>
      </c>
      <c r="F869" s="1208"/>
      <c r="G869" s="1208"/>
      <c r="H869" s="1208">
        <f t="shared" si="180"/>
        <v>0</v>
      </c>
      <c r="I869" s="1209">
        <f t="shared" si="181"/>
        <v>0</v>
      </c>
      <c r="J869" s="1209"/>
      <c r="K869" s="1210">
        <f t="shared" si="150"/>
        <v>1.05</v>
      </c>
      <c r="L869" s="1210">
        <f t="shared" si="177"/>
        <v>0</v>
      </c>
      <c r="M869" s="1197">
        <f t="shared" si="178"/>
        <v>0</v>
      </c>
      <c r="N869" s="1211">
        <f t="shared" si="179"/>
        <v>0</v>
      </c>
      <c r="O869" s="1212"/>
      <c r="P869" s="1200"/>
      <c r="Q869" s="1200"/>
      <c r="R869" s="1213"/>
      <c r="S869" s="1213"/>
      <c r="T869" s="1213"/>
      <c r="U869" s="1213"/>
      <c r="V869" s="1213"/>
    </row>
    <row r="870" spans="1:22" ht="15" thickTop="1" thickBot="1" x14ac:dyDescent="0.3">
      <c r="A870" s="1207"/>
      <c r="B870" s="1212"/>
      <c r="C870" s="1212"/>
      <c r="D870" s="1212"/>
      <c r="E870" s="1212">
        <v>2</v>
      </c>
      <c r="F870" s="1208"/>
      <c r="G870" s="1208"/>
      <c r="H870" s="1208">
        <f t="shared" si="180"/>
        <v>0</v>
      </c>
      <c r="I870" s="1209">
        <f t="shared" si="181"/>
        <v>0</v>
      </c>
      <c r="J870" s="1209"/>
      <c r="K870" s="1210">
        <f t="shared" si="150"/>
        <v>1.05</v>
      </c>
      <c r="L870" s="1210">
        <f t="shared" si="177"/>
        <v>0</v>
      </c>
      <c r="M870" s="1197">
        <f t="shared" si="178"/>
        <v>0</v>
      </c>
      <c r="N870" s="1211">
        <f t="shared" si="179"/>
        <v>0</v>
      </c>
      <c r="O870" s="1212"/>
      <c r="P870" s="1200"/>
      <c r="Q870" s="1200"/>
      <c r="R870" s="1213"/>
      <c r="S870" s="1213"/>
      <c r="T870" s="1213"/>
      <c r="U870" s="1213"/>
      <c r="V870" s="1213"/>
    </row>
    <row r="871" spans="1:22" ht="15" thickTop="1" thickBot="1" x14ac:dyDescent="0.3">
      <c r="A871" s="1207"/>
      <c r="B871" s="1212" t="s">
        <v>3204</v>
      </c>
      <c r="C871" s="1212"/>
      <c r="D871" s="1212"/>
      <c r="E871" s="1212">
        <v>2</v>
      </c>
      <c r="F871" s="1208">
        <v>16.149999999999999</v>
      </c>
      <c r="G871" s="1208"/>
      <c r="H871" s="1208">
        <f t="shared" si="180"/>
        <v>0.22500000000000001</v>
      </c>
      <c r="I871" s="1209">
        <f t="shared" si="181"/>
        <v>7.2674999999999992</v>
      </c>
      <c r="J871" s="1209"/>
      <c r="K871" s="1210">
        <f t="shared" si="150"/>
        <v>1.05</v>
      </c>
      <c r="L871" s="1210">
        <f t="shared" si="177"/>
        <v>0</v>
      </c>
      <c r="M871" s="1197">
        <f t="shared" si="178"/>
        <v>0</v>
      </c>
      <c r="N871" s="1211">
        <f t="shared" si="179"/>
        <v>0</v>
      </c>
      <c r="O871" s="1212"/>
      <c r="P871" s="1200"/>
      <c r="Q871" s="1200"/>
      <c r="R871" s="1213"/>
      <c r="S871" s="1213"/>
      <c r="T871" s="1213"/>
      <c r="U871" s="1213"/>
      <c r="V871" s="1213"/>
    </row>
    <row r="872" spans="1:22" ht="15" thickTop="1" thickBot="1" x14ac:dyDescent="0.3">
      <c r="A872" s="1207"/>
      <c r="B872" s="1212"/>
      <c r="C872" s="1212"/>
      <c r="D872" s="1212"/>
      <c r="E872" s="1212">
        <v>2</v>
      </c>
      <c r="F872" s="1208">
        <v>4.7</v>
      </c>
      <c r="G872" s="1208"/>
      <c r="H872" s="1208">
        <f t="shared" si="180"/>
        <v>0.22500000000000001</v>
      </c>
      <c r="I872" s="1209">
        <f t="shared" si="181"/>
        <v>2.1150000000000002</v>
      </c>
      <c r="J872" s="1209"/>
      <c r="K872" s="1210">
        <f t="shared" si="150"/>
        <v>1.05</v>
      </c>
      <c r="L872" s="1210">
        <f t="shared" si="177"/>
        <v>0</v>
      </c>
      <c r="M872" s="1197">
        <f t="shared" si="178"/>
        <v>0</v>
      </c>
      <c r="N872" s="1211">
        <f t="shared" si="179"/>
        <v>0</v>
      </c>
      <c r="O872" s="1212"/>
      <c r="P872" s="1200"/>
      <c r="Q872" s="1200"/>
      <c r="R872" s="1213"/>
      <c r="S872" s="1213"/>
      <c r="T872" s="1213"/>
      <c r="U872" s="1213"/>
      <c r="V872" s="1213"/>
    </row>
    <row r="873" spans="1:22" ht="15" thickTop="1" thickBot="1" x14ac:dyDescent="0.3">
      <c r="A873" s="1207"/>
      <c r="B873" s="1212"/>
      <c r="C873" s="1212"/>
      <c r="D873" s="1212"/>
      <c r="E873" s="1212"/>
      <c r="F873" s="1992"/>
      <c r="G873" s="1208"/>
      <c r="H873" s="1208"/>
      <c r="I873" s="1209"/>
      <c r="J873" s="1209">
        <f>SUM(I850:I872)</f>
        <v>42.253200000000007</v>
      </c>
      <c r="K873" s="1210">
        <f t="shared" si="150"/>
        <v>1.05</v>
      </c>
      <c r="L873" s="1210">
        <f t="shared" si="177"/>
        <v>44.365860000000012</v>
      </c>
      <c r="M873" s="1197">
        <f t="shared" si="178"/>
        <v>44.4</v>
      </c>
      <c r="N873" s="1211">
        <f t="shared" si="179"/>
        <v>45</v>
      </c>
      <c r="O873" s="1212"/>
      <c r="P873" s="1200"/>
      <c r="Q873" s="1200"/>
      <c r="R873" s="1213"/>
      <c r="S873" s="1213"/>
      <c r="T873" s="1213"/>
      <c r="U873" s="1213"/>
      <c r="V873" s="1213"/>
    </row>
    <row r="874" spans="1:22" ht="15" thickTop="1" thickBot="1" x14ac:dyDescent="0.3">
      <c r="A874" s="1207"/>
      <c r="B874" s="1212"/>
      <c r="C874" s="1212"/>
      <c r="D874" s="1212"/>
      <c r="E874" s="1212"/>
      <c r="F874" s="1992"/>
      <c r="G874" s="1208"/>
      <c r="H874" s="1208"/>
      <c r="I874" s="1209"/>
      <c r="J874" s="1209"/>
      <c r="K874" s="1210">
        <f t="shared" si="150"/>
        <v>1.05</v>
      </c>
      <c r="L874" s="1210">
        <f t="shared" si="177"/>
        <v>0</v>
      </c>
      <c r="M874" s="1197">
        <f t="shared" si="178"/>
        <v>0</v>
      </c>
      <c r="N874" s="1211">
        <f t="shared" si="179"/>
        <v>0</v>
      </c>
      <c r="O874" s="1212"/>
      <c r="P874" s="1200"/>
      <c r="Q874" s="1200"/>
      <c r="R874" s="1213"/>
      <c r="S874" s="1213"/>
      <c r="T874" s="1213"/>
      <c r="U874" s="1213"/>
      <c r="V874" s="1213"/>
    </row>
    <row r="875" spans="1:22" ht="15" thickTop="1" thickBot="1" x14ac:dyDescent="0.3">
      <c r="A875" s="1207"/>
      <c r="B875" s="1212"/>
      <c r="C875" s="1212"/>
      <c r="D875" s="1212"/>
      <c r="E875" s="1212"/>
      <c r="F875" s="1992"/>
      <c r="G875" s="1208"/>
      <c r="H875" s="1208"/>
      <c r="I875" s="1209"/>
      <c r="J875" s="1209"/>
      <c r="K875" s="1210">
        <f t="shared" si="150"/>
        <v>1.05</v>
      </c>
      <c r="L875" s="1210">
        <f t="shared" si="177"/>
        <v>0</v>
      </c>
      <c r="M875" s="1197">
        <f t="shared" si="178"/>
        <v>0</v>
      </c>
      <c r="N875" s="1211">
        <f t="shared" si="179"/>
        <v>0</v>
      </c>
      <c r="O875" s="1212"/>
      <c r="P875" s="1200"/>
      <c r="Q875" s="1200"/>
      <c r="R875" s="1213"/>
      <c r="S875" s="1213"/>
      <c r="T875" s="1213"/>
      <c r="U875" s="1213"/>
      <c r="V875" s="1213"/>
    </row>
    <row r="876" spans="1:22" ht="15" thickTop="1" thickBot="1" x14ac:dyDescent="0.3">
      <c r="A876" s="1207"/>
      <c r="B876" s="1212"/>
      <c r="C876" s="1212"/>
      <c r="D876" s="1212"/>
      <c r="E876" s="1212"/>
      <c r="F876" s="1992"/>
      <c r="G876" s="1208"/>
      <c r="H876" s="1208"/>
      <c r="I876" s="1209"/>
      <c r="J876" s="1209"/>
      <c r="K876" s="1210"/>
      <c r="L876" s="1210"/>
      <c r="M876" s="1197"/>
      <c r="N876" s="1211"/>
      <c r="O876" s="1212"/>
      <c r="P876" s="1200"/>
      <c r="Q876" s="1200"/>
      <c r="R876" s="1213"/>
      <c r="S876" s="1213"/>
      <c r="T876" s="1213"/>
      <c r="U876" s="1213"/>
      <c r="V876" s="1213"/>
    </row>
    <row r="877" spans="1:22" ht="15" thickTop="1" thickBot="1" x14ac:dyDescent="0.3">
      <c r="A877" s="1207"/>
      <c r="B877" s="1212"/>
      <c r="C877" s="1212"/>
      <c r="D877" s="1212"/>
      <c r="E877" s="1212"/>
      <c r="F877" s="1992"/>
      <c r="G877" s="1208"/>
      <c r="H877" s="1208"/>
      <c r="I877" s="1209"/>
      <c r="J877" s="1209"/>
      <c r="K877" s="1210"/>
      <c r="L877" s="1210"/>
      <c r="M877" s="1197"/>
      <c r="N877" s="1211"/>
      <c r="O877" s="1212"/>
      <c r="P877" s="1200"/>
      <c r="Q877" s="1200"/>
      <c r="R877" s="1213"/>
      <c r="S877" s="1213"/>
      <c r="T877" s="1213"/>
      <c r="U877" s="1213"/>
      <c r="V877" s="1213"/>
    </row>
    <row r="878" spans="1:22" ht="15" thickTop="1" thickBot="1" x14ac:dyDescent="0.3">
      <c r="A878" s="1207"/>
      <c r="B878" s="1212"/>
      <c r="C878" s="1212"/>
      <c r="D878" s="1212"/>
      <c r="E878" s="1212"/>
      <c r="F878" s="1992"/>
      <c r="G878" s="1208"/>
      <c r="H878" s="1208"/>
      <c r="I878" s="1209"/>
      <c r="J878" s="1209"/>
      <c r="K878" s="1210"/>
      <c r="L878" s="1210"/>
      <c r="M878" s="1197"/>
      <c r="N878" s="1211"/>
      <c r="O878" s="1212"/>
      <c r="P878" s="1200"/>
      <c r="Q878" s="1200"/>
      <c r="R878" s="1213"/>
      <c r="S878" s="1213"/>
      <c r="T878" s="1213"/>
      <c r="U878" s="1213"/>
      <c r="V878" s="1213"/>
    </row>
    <row r="879" spans="1:22" ht="15" thickTop="1" thickBot="1" x14ac:dyDescent="0.3">
      <c r="A879" s="1207"/>
      <c r="B879" s="1212"/>
      <c r="C879" s="1212"/>
      <c r="D879" s="1212"/>
      <c r="E879" s="1212"/>
      <c r="F879" s="1992"/>
      <c r="G879" s="1208"/>
      <c r="H879" s="1208"/>
      <c r="I879" s="1209"/>
      <c r="J879" s="1209"/>
      <c r="K879" s="1210"/>
      <c r="L879" s="1210"/>
      <c r="M879" s="1197"/>
      <c r="N879" s="1211"/>
      <c r="O879" s="1212"/>
      <c r="P879" s="1200"/>
      <c r="Q879" s="1200"/>
      <c r="R879" s="1213"/>
      <c r="S879" s="1213"/>
      <c r="T879" s="1213"/>
      <c r="U879" s="1213"/>
      <c r="V879" s="1213"/>
    </row>
    <row r="880" spans="1:22" ht="15" thickTop="1" thickBot="1" x14ac:dyDescent="0.3">
      <c r="A880" s="1207"/>
      <c r="B880" s="1212"/>
      <c r="C880" s="1212"/>
      <c r="D880" s="1212"/>
      <c r="E880" s="1212"/>
      <c r="F880" s="1992"/>
      <c r="G880" s="1208"/>
      <c r="H880" s="1208"/>
      <c r="I880" s="1209"/>
      <c r="J880" s="1209"/>
      <c r="K880" s="1210"/>
      <c r="L880" s="1210"/>
      <c r="M880" s="1197"/>
      <c r="N880" s="1211"/>
      <c r="O880" s="1212"/>
      <c r="P880" s="1200"/>
      <c r="Q880" s="1200"/>
      <c r="R880" s="1213"/>
      <c r="S880" s="1213"/>
      <c r="T880" s="1213"/>
      <c r="U880" s="1213"/>
      <c r="V880" s="1213"/>
    </row>
    <row r="881" spans="1:22" ht="15" thickTop="1" thickBot="1" x14ac:dyDescent="0.3">
      <c r="A881" s="1207"/>
      <c r="B881" s="1212" t="s">
        <v>3210</v>
      </c>
      <c r="C881" s="1212"/>
      <c r="D881" s="1212"/>
      <c r="E881" s="1212"/>
      <c r="F881" s="1992">
        <v>132</v>
      </c>
      <c r="G881" s="1208"/>
      <c r="H881" s="1208">
        <v>7.4999999999999997E-2</v>
      </c>
      <c r="I881" s="1209"/>
      <c r="J881" s="1209">
        <f>H881*F881</f>
        <v>9.9</v>
      </c>
      <c r="K881" s="1210">
        <f t="shared" si="150"/>
        <v>1.05</v>
      </c>
      <c r="L881" s="1210">
        <f t="shared" si="167"/>
        <v>10.395000000000001</v>
      </c>
      <c r="M881" s="1197">
        <f t="shared" si="168"/>
        <v>10.4</v>
      </c>
      <c r="N881" s="1211">
        <f t="shared" si="169"/>
        <v>11</v>
      </c>
      <c r="O881" s="1212"/>
      <c r="P881" s="1200"/>
      <c r="Q881" s="1200"/>
      <c r="R881" s="1213"/>
      <c r="S881" s="1213"/>
      <c r="T881" s="1213"/>
      <c r="U881" s="1213"/>
      <c r="V881" s="1213"/>
    </row>
    <row r="882" spans="1:22" ht="15" thickTop="1" thickBot="1" x14ac:dyDescent="0.3">
      <c r="A882" s="1207"/>
      <c r="B882" s="1212"/>
      <c r="C882" s="1212"/>
      <c r="D882" s="1212"/>
      <c r="E882" s="1212"/>
      <c r="F882" s="1208"/>
      <c r="G882" s="1208"/>
      <c r="H882" s="1208"/>
      <c r="I882" s="1209"/>
      <c r="J882" s="1209"/>
      <c r="K882" s="1210">
        <f t="shared" si="150"/>
        <v>1.05</v>
      </c>
      <c r="L882" s="1210">
        <f t="shared" si="167"/>
        <v>0</v>
      </c>
      <c r="M882" s="1197">
        <f t="shared" si="168"/>
        <v>0</v>
      </c>
      <c r="N882" s="1211">
        <f t="shared" si="169"/>
        <v>0</v>
      </c>
      <c r="O882" s="1212"/>
      <c r="P882" s="1200"/>
      <c r="Q882" s="1200"/>
      <c r="R882" s="1213"/>
      <c r="S882" s="1213"/>
      <c r="T882" s="1213"/>
      <c r="U882" s="1213"/>
      <c r="V882" s="1213"/>
    </row>
    <row r="883" spans="1:22" ht="15" thickTop="1" thickBot="1" x14ac:dyDescent="0.3">
      <c r="A883" s="1207"/>
      <c r="B883" s="1212" t="s">
        <v>2136</v>
      </c>
      <c r="C883" s="1212"/>
      <c r="D883" s="1212"/>
      <c r="E883" s="1212">
        <f>E802</f>
        <v>37</v>
      </c>
      <c r="F883" s="1208">
        <v>0.22500000000000001</v>
      </c>
      <c r="G883" s="1208">
        <v>0.3</v>
      </c>
      <c r="H883" s="1208">
        <v>4.3499999999999996</v>
      </c>
      <c r="I883" s="1209"/>
      <c r="J883" s="1209">
        <f>H883*G883*F883*E883</f>
        <v>10.864125</v>
      </c>
      <c r="K883" s="1210">
        <f t="shared" si="150"/>
        <v>1.05</v>
      </c>
      <c r="L883" s="1210">
        <f t="shared" si="167"/>
        <v>11.40733125</v>
      </c>
      <c r="M883" s="1197">
        <f t="shared" si="168"/>
        <v>11.4</v>
      </c>
      <c r="N883" s="1211">
        <f t="shared" si="169"/>
        <v>12</v>
      </c>
      <c r="O883" s="1212"/>
      <c r="P883" s="1200"/>
      <c r="Q883" s="1200"/>
      <c r="R883" s="1213"/>
      <c r="S883" s="1213"/>
      <c r="T883" s="1213"/>
      <c r="U883" s="1213"/>
      <c r="V883" s="1213"/>
    </row>
    <row r="884" spans="1:22" ht="15" thickTop="1" thickBot="1" x14ac:dyDescent="0.3">
      <c r="A884" s="1207"/>
      <c r="B884" s="1212"/>
      <c r="C884" s="1212"/>
      <c r="D884" s="1212"/>
      <c r="E884" s="1212"/>
      <c r="F884" s="1208"/>
      <c r="G884" s="1208"/>
      <c r="H884" s="1208"/>
      <c r="I884" s="1209"/>
      <c r="J884" s="1209"/>
      <c r="K884" s="1210">
        <f t="shared" si="150"/>
        <v>1.05</v>
      </c>
      <c r="L884" s="1210">
        <f t="shared" si="167"/>
        <v>0</v>
      </c>
      <c r="M884" s="1197">
        <f t="shared" si="168"/>
        <v>0</v>
      </c>
      <c r="N884" s="1211">
        <f t="shared" si="169"/>
        <v>0</v>
      </c>
      <c r="O884" s="1212"/>
      <c r="P884" s="1200"/>
      <c r="Q884" s="1200"/>
      <c r="R884" s="1213"/>
      <c r="S884" s="1213"/>
      <c r="T884" s="1213"/>
      <c r="U884" s="1213"/>
      <c r="V884" s="1213"/>
    </row>
    <row r="885" spans="1:22" ht="15" thickTop="1" thickBot="1" x14ac:dyDescent="0.3">
      <c r="A885" s="1207"/>
      <c r="B885" s="1212" t="s">
        <v>3270</v>
      </c>
      <c r="C885" s="1212"/>
      <c r="D885" s="1212"/>
      <c r="E885" s="1212"/>
      <c r="F885" s="1208"/>
      <c r="G885" s="1208"/>
      <c r="H885" s="1208">
        <f>J883</f>
        <v>10.864125</v>
      </c>
      <c r="I885" s="1209">
        <f>S806</f>
        <v>273.33253253253253</v>
      </c>
      <c r="J885" s="1209">
        <f>I885*H885</f>
        <v>2969.5187999999998</v>
      </c>
      <c r="K885" s="1210">
        <v>1</v>
      </c>
      <c r="L885" s="1210">
        <f t="shared" ref="L885:L887" si="182">K885*J885</f>
        <v>2969.5187999999998</v>
      </c>
      <c r="M885" s="1197">
        <f t="shared" ref="M885:M887" si="183">ROUND(L885,1)</f>
        <v>2969.5</v>
      </c>
      <c r="N885" s="1211">
        <f t="shared" ref="N885:N887" si="184">ROUNDUP(M885,0)</f>
        <v>2970</v>
      </c>
      <c r="O885" s="1212"/>
      <c r="P885" s="1200"/>
      <c r="Q885" s="1200"/>
      <c r="R885" s="1213"/>
      <c r="S885" s="1213"/>
      <c r="T885" s="1213"/>
      <c r="U885" s="1213"/>
      <c r="V885" s="1213"/>
    </row>
    <row r="886" spans="1:22" ht="15" thickTop="1" thickBot="1" x14ac:dyDescent="0.3">
      <c r="A886" s="1207"/>
      <c r="B886" s="1212"/>
      <c r="C886" s="1212"/>
      <c r="D886" s="1212"/>
      <c r="E886" s="1212"/>
      <c r="F886" s="1208"/>
      <c r="G886" s="1208"/>
      <c r="H886" s="1208"/>
      <c r="I886" s="1209"/>
      <c r="J886" s="1209"/>
      <c r="K886" s="1210">
        <f t="shared" si="150"/>
        <v>1.05</v>
      </c>
      <c r="L886" s="1210">
        <f t="shared" si="182"/>
        <v>0</v>
      </c>
      <c r="M886" s="1197">
        <f t="shared" si="183"/>
        <v>0</v>
      </c>
      <c r="N886" s="1211">
        <f t="shared" si="184"/>
        <v>0</v>
      </c>
      <c r="O886" s="1212"/>
      <c r="P886" s="1200"/>
      <c r="Q886" s="1200"/>
      <c r="R886" s="1213"/>
      <c r="S886" s="1213"/>
      <c r="T886" s="1213"/>
      <c r="U886" s="1213"/>
      <c r="V886" s="1213"/>
    </row>
    <row r="887" spans="1:22" ht="15" thickTop="1" thickBot="1" x14ac:dyDescent="0.3">
      <c r="A887" s="1207"/>
      <c r="B887" s="1212"/>
      <c r="C887" s="1212"/>
      <c r="D887" s="1212"/>
      <c r="E887" s="1212"/>
      <c r="F887" s="1208"/>
      <c r="G887" s="1208"/>
      <c r="H887" s="1208"/>
      <c r="I887" s="1209"/>
      <c r="J887" s="1209"/>
      <c r="K887" s="1210">
        <f t="shared" si="150"/>
        <v>1.05</v>
      </c>
      <c r="L887" s="1210">
        <f t="shared" si="182"/>
        <v>0</v>
      </c>
      <c r="M887" s="1197">
        <f t="shared" si="183"/>
        <v>0</v>
      </c>
      <c r="N887" s="1211">
        <f t="shared" si="184"/>
        <v>0</v>
      </c>
      <c r="O887" s="1212"/>
      <c r="P887" s="1200"/>
      <c r="Q887" s="1200"/>
      <c r="R887" s="1213"/>
      <c r="S887" s="1213"/>
      <c r="T887" s="1213"/>
      <c r="U887" s="1213"/>
      <c r="V887" s="1213"/>
    </row>
    <row r="888" spans="1:22" ht="15" thickTop="1" thickBot="1" x14ac:dyDescent="0.3">
      <c r="A888" s="1207"/>
      <c r="B888" s="1212"/>
      <c r="C888" s="1212"/>
      <c r="D888" s="1212"/>
      <c r="E888" s="1212"/>
      <c r="F888" s="1208"/>
      <c r="G888" s="1208"/>
      <c r="H888" s="1208"/>
      <c r="I888" s="1209"/>
      <c r="J888" s="1209"/>
      <c r="K888" s="1210"/>
      <c r="L888" s="1210"/>
      <c r="M888" s="1197"/>
      <c r="N888" s="1211"/>
      <c r="O888" s="1212"/>
      <c r="P888" s="1200"/>
      <c r="Q888" s="1200"/>
      <c r="R888" s="1213"/>
      <c r="S888" s="1213"/>
      <c r="T888" s="1213"/>
      <c r="U888" s="1213"/>
      <c r="V888" s="1213"/>
    </row>
    <row r="889" spans="1:22" ht="15" thickTop="1" thickBot="1" x14ac:dyDescent="0.3">
      <c r="A889" s="1207"/>
      <c r="B889" s="1212" t="s">
        <v>3261</v>
      </c>
      <c r="C889" s="1212"/>
      <c r="D889" s="1212"/>
      <c r="E889" s="1212">
        <f>E883</f>
        <v>37</v>
      </c>
      <c r="F889" s="1208">
        <f>F883+F883+G883+G883</f>
        <v>1.05</v>
      </c>
      <c r="G889" s="1208"/>
      <c r="H889" s="1208">
        <f>H883</f>
        <v>4.3499999999999996</v>
      </c>
      <c r="I889" s="1209"/>
      <c r="J889" s="1209">
        <f>H889*F889*E889</f>
        <v>168.9975</v>
      </c>
      <c r="K889" s="1210">
        <f t="shared" si="150"/>
        <v>1.05</v>
      </c>
      <c r="L889" s="1210">
        <f t="shared" ref="L889:L890" si="185">K889*J889</f>
        <v>177.44737500000002</v>
      </c>
      <c r="M889" s="1197">
        <f t="shared" ref="M889:M890" si="186">ROUND(L889,1)</f>
        <v>177.4</v>
      </c>
      <c r="N889" s="1211">
        <f t="shared" ref="N889:N890" si="187">ROUNDUP(M889,0)</f>
        <v>178</v>
      </c>
      <c r="O889" s="1212"/>
      <c r="P889" s="1200"/>
      <c r="Q889" s="1200"/>
      <c r="R889" s="1213"/>
      <c r="S889" s="1213"/>
      <c r="T889" s="1213"/>
      <c r="U889" s="1213"/>
      <c r="V889" s="1213"/>
    </row>
    <row r="890" spans="1:22" ht="15" thickTop="1" thickBot="1" x14ac:dyDescent="0.3">
      <c r="A890" s="1207"/>
      <c r="B890" s="1212"/>
      <c r="C890" s="1212"/>
      <c r="D890" s="1212"/>
      <c r="E890" s="1212"/>
      <c r="F890" s="1208"/>
      <c r="G890" s="1208"/>
      <c r="H890" s="1208"/>
      <c r="I890" s="1209"/>
      <c r="J890" s="1209"/>
      <c r="K890" s="1210">
        <f t="shared" si="150"/>
        <v>1.05</v>
      </c>
      <c r="L890" s="1210">
        <f t="shared" si="185"/>
        <v>0</v>
      </c>
      <c r="M890" s="1197">
        <f t="shared" si="186"/>
        <v>0</v>
      </c>
      <c r="N890" s="1211">
        <f t="shared" si="187"/>
        <v>0</v>
      </c>
      <c r="O890" s="1212"/>
      <c r="P890" s="1200"/>
      <c r="Q890" s="1200"/>
      <c r="R890" s="1213"/>
      <c r="S890" s="1213"/>
      <c r="T890" s="1213"/>
      <c r="U890" s="1213"/>
      <c r="V890" s="1213"/>
    </row>
    <row r="891" spans="1:22" ht="15" thickTop="1" thickBot="1" x14ac:dyDescent="0.3">
      <c r="A891" s="1207"/>
      <c r="B891" s="1212"/>
      <c r="C891" s="1212"/>
      <c r="D891" s="1212"/>
      <c r="E891" s="1212"/>
      <c r="F891" s="1208"/>
      <c r="G891" s="1208"/>
      <c r="H891" s="1208"/>
      <c r="I891" s="1209"/>
      <c r="J891" s="1209"/>
      <c r="K891" s="1210">
        <f t="shared" si="150"/>
        <v>1.05</v>
      </c>
      <c r="L891" s="1210">
        <f t="shared" si="167"/>
        <v>0</v>
      </c>
      <c r="M891" s="1197">
        <f t="shared" si="168"/>
        <v>0</v>
      </c>
      <c r="N891" s="1211">
        <f t="shared" si="169"/>
        <v>0</v>
      </c>
      <c r="O891" s="1212"/>
      <c r="P891" s="1200"/>
      <c r="Q891" s="1200"/>
      <c r="R891" s="1213"/>
      <c r="S891" s="1213"/>
      <c r="T891" s="1213"/>
      <c r="U891" s="1213"/>
      <c r="V891" s="1213"/>
    </row>
    <row r="892" spans="1:22" ht="15" thickTop="1" thickBot="1" x14ac:dyDescent="0.3">
      <c r="A892" s="1207"/>
      <c r="B892" s="1212" t="s">
        <v>3211</v>
      </c>
      <c r="C892" s="1212"/>
      <c r="D892" s="1212"/>
      <c r="E892" s="1212"/>
      <c r="F892" s="1208"/>
      <c r="G892" s="1208"/>
      <c r="H892" s="1208"/>
      <c r="I892" s="1209"/>
      <c r="J892" s="1209"/>
      <c r="K892" s="1210">
        <f t="shared" ref="K892:K974" si="188">$K$2</f>
        <v>1.05</v>
      </c>
      <c r="L892" s="1210">
        <f t="shared" si="167"/>
        <v>0</v>
      </c>
      <c r="M892" s="1197">
        <f t="shared" si="168"/>
        <v>0</v>
      </c>
      <c r="N892" s="1211">
        <f t="shared" si="169"/>
        <v>0</v>
      </c>
      <c r="O892" s="1212"/>
      <c r="P892" s="1200"/>
      <c r="Q892" s="1200"/>
      <c r="R892" s="1213"/>
      <c r="S892" s="1213"/>
      <c r="T892" s="1213"/>
      <c r="U892" s="1213"/>
      <c r="V892" s="1213"/>
    </row>
    <row r="893" spans="1:22" ht="15" thickTop="1" thickBot="1" x14ac:dyDescent="0.3">
      <c r="A893" s="1207"/>
      <c r="B893" s="1212" t="s">
        <v>1473</v>
      </c>
      <c r="C893" s="1212"/>
      <c r="D893" s="1212"/>
      <c r="E893" s="1212"/>
      <c r="F893" s="1992"/>
      <c r="G893" s="1208"/>
      <c r="H893" s="1208"/>
      <c r="I893" s="1209"/>
      <c r="J893" s="1209"/>
      <c r="K893" s="1210">
        <f t="shared" si="188"/>
        <v>1.05</v>
      </c>
      <c r="L893" s="1210">
        <f t="shared" si="167"/>
        <v>0</v>
      </c>
      <c r="M893" s="1197">
        <f t="shared" si="168"/>
        <v>0</v>
      </c>
      <c r="N893" s="1211">
        <f t="shared" si="169"/>
        <v>0</v>
      </c>
      <c r="O893" s="1212"/>
      <c r="P893" s="1200"/>
      <c r="Q893" s="1200"/>
      <c r="R893" s="1213"/>
      <c r="S893" s="1213"/>
      <c r="T893" s="1213"/>
      <c r="U893" s="1213"/>
      <c r="V893" s="1213"/>
    </row>
    <row r="894" spans="1:22" ht="15" thickTop="1" thickBot="1" x14ac:dyDescent="0.3">
      <c r="A894" s="1207"/>
      <c r="B894" s="1212" t="s">
        <v>3212</v>
      </c>
      <c r="C894" s="1212"/>
      <c r="D894" s="1212"/>
      <c r="E894" s="1212"/>
      <c r="F894" s="1992">
        <v>4.1779999999999999</v>
      </c>
      <c r="G894" s="1208">
        <v>0.22500000000000001</v>
      </c>
      <c r="H894" s="1208">
        <v>0.375</v>
      </c>
      <c r="I894" s="1209">
        <f>H894*G894*F894</f>
        <v>0.35251874999999999</v>
      </c>
      <c r="J894" s="1209"/>
      <c r="K894" s="1210">
        <f t="shared" si="188"/>
        <v>1.05</v>
      </c>
      <c r="L894" s="1210">
        <f t="shared" si="167"/>
        <v>0</v>
      </c>
      <c r="M894" s="1197">
        <f t="shared" si="168"/>
        <v>0</v>
      </c>
      <c r="N894" s="1211">
        <f t="shared" si="169"/>
        <v>0</v>
      </c>
      <c r="O894" s="1212"/>
      <c r="P894" s="1200"/>
      <c r="Q894" s="1200"/>
      <c r="R894" s="1213"/>
      <c r="S894" s="1213"/>
      <c r="T894" s="1213"/>
      <c r="U894" s="1213"/>
      <c r="V894" s="1213"/>
    </row>
    <row r="895" spans="1:22" ht="15" thickTop="1" thickBot="1" x14ac:dyDescent="0.3">
      <c r="A895" s="1207"/>
      <c r="B895" s="1212" t="s">
        <v>3213</v>
      </c>
      <c r="C895" s="1212"/>
      <c r="D895" s="1212"/>
      <c r="E895" s="1212"/>
      <c r="F895" s="1992">
        <v>8.1359999999999992</v>
      </c>
      <c r="G895" s="1208">
        <v>0.22500000000000001</v>
      </c>
      <c r="H895" s="1208">
        <v>0.375</v>
      </c>
      <c r="I895" s="1209">
        <f>H895*G895*F895</f>
        <v>0.68647499999999995</v>
      </c>
      <c r="J895" s="1209"/>
      <c r="K895" s="1210">
        <f t="shared" si="188"/>
        <v>1.05</v>
      </c>
      <c r="L895" s="1210">
        <f t="shared" si="167"/>
        <v>0</v>
      </c>
      <c r="M895" s="1197">
        <f t="shared" si="168"/>
        <v>0</v>
      </c>
      <c r="N895" s="1211">
        <f t="shared" si="169"/>
        <v>0</v>
      </c>
      <c r="O895" s="1212"/>
      <c r="P895" s="1200"/>
      <c r="Q895" s="1200"/>
      <c r="R895" s="1213"/>
      <c r="S895" s="1213"/>
      <c r="T895" s="1213"/>
      <c r="U895" s="1213"/>
      <c r="V895" s="1213"/>
    </row>
    <row r="896" spans="1:22" ht="15" thickTop="1" thickBot="1" x14ac:dyDescent="0.3">
      <c r="A896" s="1207"/>
      <c r="B896" s="1212" t="s">
        <v>3214</v>
      </c>
      <c r="C896" s="1212"/>
      <c r="D896" s="1212"/>
      <c r="E896" s="1212"/>
      <c r="F896" s="1992">
        <v>1.425</v>
      </c>
      <c r="G896" s="1208">
        <v>0.22500000000000001</v>
      </c>
      <c r="H896" s="1208">
        <v>0.375</v>
      </c>
      <c r="I896" s="1209">
        <f t="shared" ref="I896:I900" si="189">H896*G896*F896</f>
        <v>0.12023437500000002</v>
      </c>
      <c r="J896" s="1209"/>
      <c r="K896" s="1210">
        <f t="shared" si="188"/>
        <v>1.05</v>
      </c>
      <c r="L896" s="1210">
        <f t="shared" si="167"/>
        <v>0</v>
      </c>
      <c r="M896" s="1197">
        <f t="shared" si="168"/>
        <v>0</v>
      </c>
      <c r="N896" s="1211">
        <f t="shared" si="169"/>
        <v>0</v>
      </c>
      <c r="O896" s="1212"/>
      <c r="P896" s="1200"/>
      <c r="Q896" s="1200"/>
      <c r="R896" s="1213"/>
      <c r="S896" s="1213"/>
      <c r="T896" s="1213"/>
      <c r="U896" s="1213"/>
      <c r="V896" s="1213"/>
    </row>
    <row r="897" spans="1:22" ht="15" thickTop="1" thickBot="1" x14ac:dyDescent="0.3">
      <c r="A897" s="1207"/>
      <c r="B897" s="1212" t="s">
        <v>3215</v>
      </c>
      <c r="C897" s="1212"/>
      <c r="D897" s="1212"/>
      <c r="E897" s="1212"/>
      <c r="F897" s="1992">
        <v>2.2250000000000001</v>
      </c>
      <c r="G897" s="1208">
        <v>0.22500000000000001</v>
      </c>
      <c r="H897" s="1208">
        <v>0.375</v>
      </c>
      <c r="I897" s="1209">
        <f t="shared" si="189"/>
        <v>0.18773437500000001</v>
      </c>
      <c r="J897" s="1209"/>
      <c r="K897" s="1210">
        <f t="shared" si="188"/>
        <v>1.05</v>
      </c>
      <c r="L897" s="1210">
        <f t="shared" si="167"/>
        <v>0</v>
      </c>
      <c r="M897" s="1197">
        <f t="shared" si="168"/>
        <v>0</v>
      </c>
      <c r="N897" s="1211">
        <f t="shared" si="169"/>
        <v>0</v>
      </c>
      <c r="O897" s="1212"/>
      <c r="P897" s="1200"/>
      <c r="Q897" s="1200"/>
      <c r="R897" s="1213"/>
      <c r="S897" s="1213"/>
      <c r="T897" s="1213"/>
      <c r="U897" s="1213"/>
      <c r="V897" s="1213"/>
    </row>
    <row r="898" spans="1:22" ht="15" thickTop="1" thickBot="1" x14ac:dyDescent="0.3">
      <c r="A898" s="1207"/>
      <c r="B898" s="1212" t="s">
        <v>3216</v>
      </c>
      <c r="C898" s="1212"/>
      <c r="D898" s="1212"/>
      <c r="E898" s="1212"/>
      <c r="F898" s="1992">
        <v>5.585</v>
      </c>
      <c r="G898" s="1208">
        <v>0.22500000000000001</v>
      </c>
      <c r="H898" s="1208">
        <v>0.375</v>
      </c>
      <c r="I898" s="1209">
        <f t="shared" si="189"/>
        <v>0.47123437500000004</v>
      </c>
      <c r="J898" s="1209"/>
      <c r="K898" s="1210">
        <f t="shared" si="188"/>
        <v>1.05</v>
      </c>
      <c r="L898" s="1210">
        <f t="shared" si="167"/>
        <v>0</v>
      </c>
      <c r="M898" s="1197">
        <f t="shared" si="168"/>
        <v>0</v>
      </c>
      <c r="N898" s="1211">
        <f t="shared" si="169"/>
        <v>0</v>
      </c>
      <c r="O898" s="1212"/>
      <c r="P898" s="1200"/>
      <c r="Q898" s="1200"/>
      <c r="R898" s="1213"/>
      <c r="S898" s="1213"/>
      <c r="T898" s="1213"/>
      <c r="U898" s="1213"/>
      <c r="V898" s="1213"/>
    </row>
    <row r="899" spans="1:22" ht="15" thickTop="1" thickBot="1" x14ac:dyDescent="0.3">
      <c r="A899" s="1207"/>
      <c r="B899" s="1212" t="s">
        <v>3217</v>
      </c>
      <c r="C899" s="1212"/>
      <c r="D899" s="1212"/>
      <c r="E899" s="1212"/>
      <c r="F899" s="1992">
        <v>9.3689999999999998</v>
      </c>
      <c r="G899" s="1208">
        <v>0.22500000000000001</v>
      </c>
      <c r="H899" s="1208">
        <v>0.375</v>
      </c>
      <c r="I899" s="1209">
        <f t="shared" si="189"/>
        <v>0.79050937500000007</v>
      </c>
      <c r="J899" s="1209"/>
      <c r="K899" s="1210">
        <f t="shared" si="188"/>
        <v>1.05</v>
      </c>
      <c r="L899" s="1210">
        <f t="shared" si="167"/>
        <v>0</v>
      </c>
      <c r="M899" s="1197">
        <f t="shared" si="168"/>
        <v>0</v>
      </c>
      <c r="N899" s="1211">
        <f t="shared" si="169"/>
        <v>0</v>
      </c>
      <c r="O899" s="1212"/>
      <c r="P899" s="1200"/>
      <c r="Q899" s="1200"/>
      <c r="R899" s="1213"/>
      <c r="S899" s="1213"/>
      <c r="T899" s="1213"/>
      <c r="U899" s="1213"/>
      <c r="V899" s="1213"/>
    </row>
    <row r="900" spans="1:22" ht="15" thickTop="1" thickBot="1" x14ac:dyDescent="0.3">
      <c r="A900" s="1207"/>
      <c r="B900" s="1212" t="s">
        <v>3218</v>
      </c>
      <c r="C900" s="1212"/>
      <c r="D900" s="1212"/>
      <c r="E900" s="1212"/>
      <c r="F900" s="1992">
        <v>3.65</v>
      </c>
      <c r="G900" s="1208">
        <v>0.22500000000000001</v>
      </c>
      <c r="H900" s="1208">
        <v>0.55000000000000004</v>
      </c>
      <c r="I900" s="1209">
        <f t="shared" si="189"/>
        <v>0.45168750000000002</v>
      </c>
      <c r="J900" s="1209"/>
      <c r="K900" s="1210">
        <f t="shared" si="188"/>
        <v>1.05</v>
      </c>
      <c r="L900" s="1210">
        <f t="shared" si="167"/>
        <v>0</v>
      </c>
      <c r="M900" s="1197">
        <f t="shared" si="168"/>
        <v>0</v>
      </c>
      <c r="N900" s="1211">
        <f t="shared" si="169"/>
        <v>0</v>
      </c>
      <c r="O900" s="1212"/>
      <c r="P900" s="1200"/>
      <c r="Q900" s="1200"/>
      <c r="R900" s="1213"/>
      <c r="S900" s="1213"/>
      <c r="T900" s="1213"/>
      <c r="U900" s="1213"/>
      <c r="V900" s="1213"/>
    </row>
    <row r="901" spans="1:22" ht="15" thickTop="1" thickBot="1" x14ac:dyDescent="0.3">
      <c r="A901" s="1207"/>
      <c r="B901" s="1212" t="s">
        <v>3219</v>
      </c>
      <c r="C901" s="1212"/>
      <c r="D901" s="1212"/>
      <c r="E901" s="1212"/>
      <c r="F901" s="1208">
        <v>10.063000000000001</v>
      </c>
      <c r="G901" s="1208">
        <v>0.22500000000000001</v>
      </c>
      <c r="H901" s="1208">
        <v>0.375</v>
      </c>
      <c r="I901" s="1209">
        <f t="shared" ref="I901:I915" si="190">H901*G901*F901</f>
        <v>0.84906562500000016</v>
      </c>
      <c r="J901" s="1209"/>
      <c r="K901" s="1210">
        <f t="shared" si="188"/>
        <v>1.05</v>
      </c>
      <c r="L901" s="1210">
        <f t="shared" si="167"/>
        <v>0</v>
      </c>
      <c r="M901" s="1197">
        <f t="shared" si="168"/>
        <v>0</v>
      </c>
      <c r="N901" s="1211">
        <f t="shared" si="169"/>
        <v>0</v>
      </c>
      <c r="O901" s="1212"/>
      <c r="P901" s="1200"/>
      <c r="Q901" s="1200"/>
      <c r="R901" s="1213"/>
      <c r="S901" s="1213"/>
      <c r="T901" s="1213"/>
      <c r="U901" s="1213"/>
      <c r="V901" s="1213"/>
    </row>
    <row r="902" spans="1:22" ht="15" thickTop="1" thickBot="1" x14ac:dyDescent="0.3">
      <c r="A902" s="1207"/>
      <c r="B902" s="1212" t="s">
        <v>3220</v>
      </c>
      <c r="C902" s="1212"/>
      <c r="D902" s="1212"/>
      <c r="E902" s="1212"/>
      <c r="F902" s="1208">
        <v>5.9909999999999997</v>
      </c>
      <c r="G902" s="1208">
        <v>0.22500000000000001</v>
      </c>
      <c r="H902" s="1208">
        <v>0.375</v>
      </c>
      <c r="I902" s="1209">
        <f t="shared" si="190"/>
        <v>0.50549062499999997</v>
      </c>
      <c r="J902" s="1209"/>
      <c r="K902" s="1210">
        <f t="shared" si="188"/>
        <v>1.05</v>
      </c>
      <c r="L902" s="1210">
        <f t="shared" si="167"/>
        <v>0</v>
      </c>
      <c r="M902" s="1197">
        <f t="shared" si="168"/>
        <v>0</v>
      </c>
      <c r="N902" s="1211">
        <f t="shared" si="169"/>
        <v>0</v>
      </c>
      <c r="O902" s="1212"/>
      <c r="P902" s="1200"/>
      <c r="Q902" s="1200"/>
      <c r="R902" s="1213"/>
      <c r="S902" s="1213"/>
      <c r="T902" s="1213"/>
      <c r="U902" s="1213"/>
      <c r="V902" s="1213"/>
    </row>
    <row r="903" spans="1:22" ht="15" thickTop="1" thickBot="1" x14ac:dyDescent="0.3">
      <c r="A903" s="1207"/>
      <c r="B903" s="1212" t="s">
        <v>3221</v>
      </c>
      <c r="C903" s="1212"/>
      <c r="D903" s="1212"/>
      <c r="E903" s="1212"/>
      <c r="F903" s="1208">
        <v>2.9590000000000001</v>
      </c>
      <c r="G903" s="1208">
        <v>0.22500000000000001</v>
      </c>
      <c r="H903" s="1208">
        <v>0.375</v>
      </c>
      <c r="I903" s="1209">
        <f t="shared" si="190"/>
        <v>0.24966562500000003</v>
      </c>
      <c r="J903" s="1209"/>
      <c r="K903" s="1210">
        <f t="shared" si="188"/>
        <v>1.05</v>
      </c>
      <c r="L903" s="1210">
        <f t="shared" si="167"/>
        <v>0</v>
      </c>
      <c r="M903" s="1197">
        <f t="shared" si="168"/>
        <v>0</v>
      </c>
      <c r="N903" s="1211">
        <f t="shared" si="169"/>
        <v>0</v>
      </c>
      <c r="O903" s="1212"/>
      <c r="P903" s="1200"/>
      <c r="Q903" s="1200"/>
      <c r="R903" s="1213"/>
      <c r="S903" s="1213"/>
      <c r="T903" s="1213"/>
      <c r="U903" s="1213"/>
      <c r="V903" s="1213"/>
    </row>
    <row r="904" spans="1:22" ht="15" thickTop="1" thickBot="1" x14ac:dyDescent="0.3">
      <c r="A904" s="1207"/>
      <c r="B904" s="1212" t="s">
        <v>3222</v>
      </c>
      <c r="C904" s="1212"/>
      <c r="D904" s="1212"/>
      <c r="E904" s="1212"/>
      <c r="F904" s="1208">
        <v>19.75</v>
      </c>
      <c r="G904" s="1208">
        <v>0.22500000000000001</v>
      </c>
      <c r="H904" s="1208">
        <v>0.375</v>
      </c>
      <c r="I904" s="1209">
        <f t="shared" si="190"/>
        <v>1.6664062500000001</v>
      </c>
      <c r="J904" s="1209"/>
      <c r="K904" s="1210">
        <f t="shared" si="188"/>
        <v>1.05</v>
      </c>
      <c r="L904" s="1210">
        <f t="shared" si="167"/>
        <v>0</v>
      </c>
      <c r="M904" s="1197">
        <f t="shared" si="168"/>
        <v>0</v>
      </c>
      <c r="N904" s="1211">
        <f t="shared" si="169"/>
        <v>0</v>
      </c>
      <c r="O904" s="1212"/>
      <c r="P904" s="1200"/>
      <c r="Q904" s="1200"/>
      <c r="R904" s="1213"/>
      <c r="S904" s="1213"/>
      <c r="T904" s="1213"/>
      <c r="U904" s="1213"/>
      <c r="V904" s="1213"/>
    </row>
    <row r="905" spans="1:22" ht="15" thickTop="1" thickBot="1" x14ac:dyDescent="0.3">
      <c r="A905" s="1207"/>
      <c r="B905" s="1212" t="s">
        <v>3232</v>
      </c>
      <c r="C905" s="1212"/>
      <c r="D905" s="1212"/>
      <c r="E905" s="1212"/>
      <c r="F905" s="1208">
        <v>3.3370000000000002</v>
      </c>
      <c r="G905" s="1208">
        <v>0.22500000000000001</v>
      </c>
      <c r="H905" s="1208">
        <v>0.375</v>
      </c>
      <c r="I905" s="1209">
        <f t="shared" si="190"/>
        <v>0.28155937500000006</v>
      </c>
      <c r="J905" s="1209"/>
      <c r="K905" s="1210"/>
      <c r="L905" s="1210"/>
      <c r="M905" s="1197"/>
      <c r="N905" s="1211"/>
      <c r="O905" s="1212"/>
      <c r="P905" s="1200"/>
      <c r="Q905" s="1200"/>
      <c r="R905" s="1213"/>
      <c r="S905" s="1213"/>
      <c r="T905" s="1213"/>
      <c r="U905" s="1213"/>
      <c r="V905" s="1213"/>
    </row>
    <row r="906" spans="1:22" ht="15" thickTop="1" thickBot="1" x14ac:dyDescent="0.3">
      <c r="A906" s="1207"/>
      <c r="B906" s="1212" t="s">
        <v>3223</v>
      </c>
      <c r="C906" s="1212"/>
      <c r="D906" s="1212"/>
      <c r="E906" s="1212"/>
      <c r="F906" s="1208">
        <v>8.4749999999999996</v>
      </c>
      <c r="G906" s="1208">
        <v>0.22500000000000001</v>
      </c>
      <c r="H906" s="1208">
        <v>0.375</v>
      </c>
      <c r="I906" s="1209">
        <f t="shared" si="190"/>
        <v>0.71507812500000001</v>
      </c>
      <c r="J906" s="1209"/>
      <c r="K906" s="1210">
        <f t="shared" si="188"/>
        <v>1.05</v>
      </c>
      <c r="L906" s="1210">
        <f t="shared" si="167"/>
        <v>0</v>
      </c>
      <c r="M906" s="1197">
        <f t="shared" si="168"/>
        <v>0</v>
      </c>
      <c r="N906" s="1211">
        <f t="shared" si="169"/>
        <v>0</v>
      </c>
      <c r="O906" s="1212"/>
      <c r="P906" s="1200"/>
      <c r="Q906" s="1200"/>
      <c r="R906" s="1213"/>
      <c r="S906" s="1213"/>
      <c r="T906" s="1213"/>
      <c r="U906" s="1213"/>
      <c r="V906" s="1213"/>
    </row>
    <row r="907" spans="1:22" ht="15" thickTop="1" thickBot="1" x14ac:dyDescent="0.3">
      <c r="A907" s="1207"/>
      <c r="B907" s="1212" t="s">
        <v>3224</v>
      </c>
      <c r="C907" s="1212"/>
      <c r="D907" s="1212"/>
      <c r="E907" s="1212"/>
      <c r="F907" s="1208">
        <v>1.35</v>
      </c>
      <c r="G907" s="1208">
        <v>0.22500000000000001</v>
      </c>
      <c r="H907" s="1208">
        <v>0.375</v>
      </c>
      <c r="I907" s="1209">
        <f t="shared" si="190"/>
        <v>0.11390625000000001</v>
      </c>
      <c r="J907" s="1209"/>
      <c r="K907" s="1210">
        <f t="shared" si="188"/>
        <v>1.05</v>
      </c>
      <c r="L907" s="1210">
        <f t="shared" si="167"/>
        <v>0</v>
      </c>
      <c r="M907" s="1197">
        <f t="shared" si="168"/>
        <v>0</v>
      </c>
      <c r="N907" s="1211">
        <f t="shared" si="169"/>
        <v>0</v>
      </c>
      <c r="O907" s="1212"/>
      <c r="P907" s="1200"/>
      <c r="Q907" s="1200"/>
      <c r="R907" s="1213"/>
      <c r="S907" s="1213"/>
      <c r="T907" s="1213"/>
      <c r="U907" s="1213"/>
      <c r="V907" s="1213"/>
    </row>
    <row r="908" spans="1:22" ht="15" thickTop="1" thickBot="1" x14ac:dyDescent="0.3">
      <c r="A908" s="1207"/>
      <c r="B908" s="1212" t="s">
        <v>3225</v>
      </c>
      <c r="C908" s="1212"/>
      <c r="D908" s="1212"/>
      <c r="E908" s="1212"/>
      <c r="F908" s="1208">
        <v>2.2440000000000002</v>
      </c>
      <c r="G908" s="1208">
        <v>0.22500000000000001</v>
      </c>
      <c r="H908" s="1208">
        <v>0.375</v>
      </c>
      <c r="I908" s="1209">
        <f t="shared" si="190"/>
        <v>0.18933750000000002</v>
      </c>
      <c r="J908" s="1209"/>
      <c r="K908" s="1210">
        <f t="shared" si="188"/>
        <v>1.05</v>
      </c>
      <c r="L908" s="1210">
        <f t="shared" si="167"/>
        <v>0</v>
      </c>
      <c r="M908" s="1197">
        <f t="shared" si="168"/>
        <v>0</v>
      </c>
      <c r="N908" s="1211">
        <f t="shared" si="169"/>
        <v>0</v>
      </c>
      <c r="O908" s="1212"/>
      <c r="P908" s="1200"/>
      <c r="Q908" s="1200"/>
      <c r="R908" s="1213"/>
      <c r="S908" s="1213"/>
      <c r="T908" s="1213"/>
      <c r="U908" s="1213"/>
      <c r="V908" s="1213"/>
    </row>
    <row r="909" spans="1:22" ht="15" thickTop="1" thickBot="1" x14ac:dyDescent="0.3">
      <c r="A909" s="1207"/>
      <c r="B909" s="1212" t="s">
        <v>3226</v>
      </c>
      <c r="C909" s="1212"/>
      <c r="D909" s="1212"/>
      <c r="E909" s="1212"/>
      <c r="F909" s="1208">
        <v>4.8380000000000001</v>
      </c>
      <c r="G909" s="1208">
        <v>0.22500000000000001</v>
      </c>
      <c r="H909" s="1208">
        <v>0.375</v>
      </c>
      <c r="I909" s="1209">
        <f t="shared" si="190"/>
        <v>0.40820625000000005</v>
      </c>
      <c r="J909" s="1209"/>
      <c r="K909" s="1210">
        <f t="shared" si="188"/>
        <v>1.05</v>
      </c>
      <c r="L909" s="1210">
        <f t="shared" si="167"/>
        <v>0</v>
      </c>
      <c r="M909" s="1197">
        <f t="shared" si="168"/>
        <v>0</v>
      </c>
      <c r="N909" s="1211">
        <f t="shared" si="169"/>
        <v>0</v>
      </c>
      <c r="O909" s="1212"/>
      <c r="P909" s="1200"/>
      <c r="Q909" s="1200"/>
      <c r="R909" s="1213"/>
      <c r="S909" s="1213"/>
      <c r="T909" s="1213"/>
      <c r="U909" s="1213"/>
      <c r="V909" s="1213"/>
    </row>
    <row r="910" spans="1:22" ht="15" thickTop="1" thickBot="1" x14ac:dyDescent="0.3">
      <c r="A910" s="1207"/>
      <c r="B910" s="1212" t="s">
        <v>3233</v>
      </c>
      <c r="C910" s="1212"/>
      <c r="D910" s="1212"/>
      <c r="E910" s="1212"/>
      <c r="F910" s="1208">
        <v>3.6930000000000001</v>
      </c>
      <c r="G910" s="1208">
        <v>0.22500000000000001</v>
      </c>
      <c r="H910" s="1208">
        <v>0.375</v>
      </c>
      <c r="I910" s="1209">
        <f t="shared" si="190"/>
        <v>0.31159687500000005</v>
      </c>
      <c r="J910" s="1209"/>
      <c r="K910" s="1210"/>
      <c r="L910" s="1210"/>
      <c r="M910" s="1197"/>
      <c r="N910" s="1211"/>
      <c r="O910" s="1212"/>
      <c r="P910" s="1200"/>
      <c r="Q910" s="1200"/>
      <c r="R910" s="1213"/>
      <c r="S910" s="1213"/>
      <c r="T910" s="1213"/>
      <c r="U910" s="1213"/>
      <c r="V910" s="1213"/>
    </row>
    <row r="911" spans="1:22" ht="15" thickTop="1" thickBot="1" x14ac:dyDescent="0.3">
      <c r="A911" s="1207"/>
      <c r="B911" s="1212" t="s">
        <v>3227</v>
      </c>
      <c r="C911" s="1212"/>
      <c r="D911" s="1212"/>
      <c r="E911" s="1212"/>
      <c r="F911" s="1208">
        <v>4.8209999999999997</v>
      </c>
      <c r="G911" s="1208">
        <v>0.22500000000000001</v>
      </c>
      <c r="H911" s="1208">
        <v>0.375</v>
      </c>
      <c r="I911" s="1209">
        <f t="shared" si="190"/>
        <v>0.406771875</v>
      </c>
      <c r="J911" s="1209"/>
      <c r="K911" s="1210">
        <f t="shared" si="188"/>
        <v>1.05</v>
      </c>
      <c r="L911" s="1210">
        <f t="shared" si="167"/>
        <v>0</v>
      </c>
      <c r="M911" s="1197">
        <f t="shared" si="168"/>
        <v>0</v>
      </c>
      <c r="N911" s="1211">
        <f t="shared" si="169"/>
        <v>0</v>
      </c>
      <c r="O911" s="1212"/>
      <c r="P911" s="1200"/>
      <c r="Q911" s="1200"/>
      <c r="R911" s="1213"/>
      <c r="S911" s="1213"/>
      <c r="T911" s="1213"/>
      <c r="U911" s="1213"/>
      <c r="V911" s="1213"/>
    </row>
    <row r="912" spans="1:22" ht="15" thickTop="1" thickBot="1" x14ac:dyDescent="0.3">
      <c r="A912" s="1207"/>
      <c r="B912" s="1212" t="s">
        <v>3228</v>
      </c>
      <c r="C912" s="1212"/>
      <c r="D912" s="1212"/>
      <c r="E912" s="1212"/>
      <c r="F912" s="1208">
        <v>3.7589999999999999</v>
      </c>
      <c r="G912" s="1208">
        <v>0.22500000000000001</v>
      </c>
      <c r="H912" s="1208">
        <v>0.375</v>
      </c>
      <c r="I912" s="1209">
        <f t="shared" si="190"/>
        <v>0.31716562500000001</v>
      </c>
      <c r="J912" s="1209"/>
      <c r="K912" s="1210">
        <f t="shared" si="188"/>
        <v>1.05</v>
      </c>
      <c r="L912" s="1210">
        <f t="shared" si="167"/>
        <v>0</v>
      </c>
      <c r="M912" s="1197">
        <f t="shared" si="168"/>
        <v>0</v>
      </c>
      <c r="N912" s="1211">
        <f t="shared" si="169"/>
        <v>0</v>
      </c>
      <c r="O912" s="1212"/>
      <c r="P912" s="1200"/>
      <c r="Q912" s="1200"/>
      <c r="R912" s="1213"/>
      <c r="S912" s="1213"/>
      <c r="T912" s="1213"/>
      <c r="U912" s="1213"/>
      <c r="V912" s="1213"/>
    </row>
    <row r="913" spans="1:22" ht="15" thickTop="1" thickBot="1" x14ac:dyDescent="0.3">
      <c r="A913" s="1207"/>
      <c r="B913" s="1212" t="s">
        <v>3229</v>
      </c>
      <c r="C913" s="1212"/>
      <c r="D913" s="1212"/>
      <c r="E913" s="1212"/>
      <c r="F913" s="1208">
        <v>10.164999999999999</v>
      </c>
      <c r="G913" s="1208">
        <v>0.22500000000000001</v>
      </c>
      <c r="H913" s="1208">
        <v>0.375</v>
      </c>
      <c r="I913" s="1209">
        <f t="shared" si="190"/>
        <v>0.85767187499999997</v>
      </c>
      <c r="J913" s="1209"/>
      <c r="K913" s="1210">
        <f t="shared" si="188"/>
        <v>1.05</v>
      </c>
      <c r="L913" s="1210">
        <f t="shared" si="167"/>
        <v>0</v>
      </c>
      <c r="M913" s="1197">
        <f t="shared" si="168"/>
        <v>0</v>
      </c>
      <c r="N913" s="1211">
        <f t="shared" si="169"/>
        <v>0</v>
      </c>
      <c r="O913" s="1212"/>
      <c r="P913" s="1200"/>
      <c r="Q913" s="1200"/>
      <c r="R913" s="1213"/>
      <c r="S913" s="1213"/>
      <c r="T913" s="1213"/>
      <c r="U913" s="1213"/>
      <c r="V913" s="1213"/>
    </row>
    <row r="914" spans="1:22" ht="15" thickTop="1" thickBot="1" x14ac:dyDescent="0.3">
      <c r="A914" s="1207"/>
      <c r="B914" s="1212" t="s">
        <v>3230</v>
      </c>
      <c r="C914" s="1212"/>
      <c r="D914" s="1212"/>
      <c r="E914" s="1212"/>
      <c r="F914" s="1208">
        <v>4.3600000000000003</v>
      </c>
      <c r="G914" s="1208">
        <v>0.22500000000000001</v>
      </c>
      <c r="H914" s="1208">
        <v>0.375</v>
      </c>
      <c r="I914" s="1209">
        <f t="shared" si="190"/>
        <v>0.36787500000000006</v>
      </c>
      <c r="J914" s="1209"/>
      <c r="K914" s="1210">
        <f t="shared" si="188"/>
        <v>1.05</v>
      </c>
      <c r="L914" s="1210">
        <f t="shared" si="167"/>
        <v>0</v>
      </c>
      <c r="M914" s="1197">
        <f t="shared" si="168"/>
        <v>0</v>
      </c>
      <c r="N914" s="1211">
        <f t="shared" si="169"/>
        <v>0</v>
      </c>
      <c r="O914" s="1212"/>
      <c r="P914" s="1200"/>
      <c r="Q914" s="1200"/>
      <c r="R914" s="1213"/>
      <c r="S914" s="1213"/>
      <c r="T914" s="1213"/>
      <c r="U914" s="1213"/>
      <c r="V914" s="1213"/>
    </row>
    <row r="915" spans="1:22" ht="15" thickTop="1" thickBot="1" x14ac:dyDescent="0.3">
      <c r="A915" s="1207"/>
      <c r="B915" s="1212" t="s">
        <v>3231</v>
      </c>
      <c r="C915" s="1212"/>
      <c r="D915" s="1212"/>
      <c r="E915" s="1212"/>
      <c r="F915" s="1208">
        <v>4.8499999999999996</v>
      </c>
      <c r="G915" s="1208">
        <v>0.22500000000000001</v>
      </c>
      <c r="H915" s="1208">
        <v>0.375</v>
      </c>
      <c r="I915" s="1209">
        <f t="shared" si="190"/>
        <v>0.40921875000000002</v>
      </c>
      <c r="J915" s="1209"/>
      <c r="K915" s="1210">
        <f t="shared" si="188"/>
        <v>1.05</v>
      </c>
      <c r="L915" s="1210">
        <f t="shared" si="167"/>
        <v>0</v>
      </c>
      <c r="M915" s="1197">
        <f t="shared" si="168"/>
        <v>0</v>
      </c>
      <c r="N915" s="1211">
        <f t="shared" si="169"/>
        <v>0</v>
      </c>
      <c r="O915" s="1212"/>
      <c r="P915" s="1200"/>
      <c r="Q915" s="1200"/>
      <c r="R915" s="1213"/>
      <c r="S915" s="1213"/>
      <c r="T915" s="1213"/>
      <c r="U915" s="1213"/>
      <c r="V915" s="1213"/>
    </row>
    <row r="916" spans="1:22" ht="15" thickTop="1" thickBot="1" x14ac:dyDescent="0.3">
      <c r="A916" s="1207"/>
      <c r="B916" s="1212"/>
      <c r="C916" s="1212"/>
      <c r="D916" s="1212"/>
      <c r="E916" s="1212"/>
      <c r="F916" s="1208"/>
      <c r="G916" s="1208"/>
      <c r="H916" s="1208"/>
      <c r="I916" s="1209"/>
      <c r="J916" s="1209">
        <f>SUM(I894:I915)</f>
        <v>10.709409375</v>
      </c>
      <c r="K916" s="1210">
        <f t="shared" si="188"/>
        <v>1.05</v>
      </c>
      <c r="L916" s="1210">
        <f t="shared" si="167"/>
        <v>11.244879843750001</v>
      </c>
      <c r="M916" s="1197">
        <f t="shared" si="168"/>
        <v>11.2</v>
      </c>
      <c r="N916" s="1211">
        <f t="shared" si="169"/>
        <v>12</v>
      </c>
      <c r="O916" s="1212"/>
      <c r="P916" s="1200"/>
      <c r="Q916" s="1200"/>
      <c r="R916" s="1213"/>
      <c r="S916" s="1213"/>
      <c r="T916" s="1213"/>
      <c r="U916" s="1213"/>
      <c r="V916" s="1213"/>
    </row>
    <row r="917" spans="1:22" ht="15" thickTop="1" thickBot="1" x14ac:dyDescent="0.3">
      <c r="A917" s="1207"/>
      <c r="B917" s="1212"/>
      <c r="C917" s="1212"/>
      <c r="D917" s="1212"/>
      <c r="E917" s="1212"/>
      <c r="F917" s="1208"/>
      <c r="G917" s="1208"/>
      <c r="H917" s="1208"/>
      <c r="I917" s="1209"/>
      <c r="J917" s="1209"/>
      <c r="K917" s="1210">
        <f t="shared" si="188"/>
        <v>1.05</v>
      </c>
      <c r="L917" s="1210">
        <f t="shared" si="167"/>
        <v>0</v>
      </c>
      <c r="M917" s="1197">
        <f t="shared" si="168"/>
        <v>0</v>
      </c>
      <c r="N917" s="1211">
        <f t="shared" si="169"/>
        <v>0</v>
      </c>
      <c r="O917" s="1212"/>
      <c r="P917" s="1200"/>
      <c r="Q917" s="1200"/>
      <c r="R917" s="1213"/>
      <c r="S917" s="1213"/>
      <c r="T917" s="1213"/>
      <c r="U917" s="1213"/>
      <c r="V917" s="1213"/>
    </row>
    <row r="918" spans="1:22" ht="15" thickTop="1" thickBot="1" x14ac:dyDescent="0.3">
      <c r="A918" s="1207"/>
      <c r="B918" s="1212" t="s">
        <v>3272</v>
      </c>
      <c r="C918" s="1212"/>
      <c r="D918" s="1212"/>
      <c r="E918" s="1212"/>
      <c r="F918" s="1208"/>
      <c r="G918" s="1208"/>
      <c r="H918" s="1208"/>
      <c r="I918" s="1209"/>
      <c r="J918" s="1209"/>
      <c r="K918" s="1210">
        <f t="shared" si="188"/>
        <v>1.05</v>
      </c>
      <c r="L918" s="1210">
        <f t="shared" ref="L918:L934" si="191">K918*J918</f>
        <v>0</v>
      </c>
      <c r="M918" s="1197">
        <f t="shared" ref="M918:M934" si="192">ROUND(L918,1)</f>
        <v>0</v>
      </c>
      <c r="N918" s="1211">
        <f t="shared" ref="N918:N934" si="193">ROUNDUP(M918,0)</f>
        <v>0</v>
      </c>
      <c r="O918" s="1212"/>
      <c r="P918" s="1200"/>
      <c r="Q918" s="1200"/>
      <c r="R918" s="1213"/>
      <c r="S918" s="1213"/>
      <c r="T918" s="1213"/>
      <c r="U918" s="1213"/>
      <c r="V918" s="1213"/>
    </row>
    <row r="919" spans="1:22" ht="15" thickTop="1" thickBot="1" x14ac:dyDescent="0.3">
      <c r="A919" s="1207"/>
      <c r="B919" s="1212" t="s">
        <v>3212</v>
      </c>
      <c r="C919" s="1212"/>
      <c r="D919" s="1212"/>
      <c r="E919" s="1212"/>
      <c r="F919" s="1992">
        <v>4.1779999999999999</v>
      </c>
      <c r="G919" s="1208">
        <v>0.22500000000000001</v>
      </c>
      <c r="H919" s="1208">
        <v>0.375</v>
      </c>
      <c r="I919" s="1209">
        <f>H919*G919*F919</f>
        <v>0.35251874999999999</v>
      </c>
      <c r="J919" s="1209"/>
      <c r="K919" s="1210">
        <f t="shared" si="188"/>
        <v>1.05</v>
      </c>
      <c r="L919" s="1210">
        <f t="shared" si="191"/>
        <v>0</v>
      </c>
      <c r="M919" s="1197">
        <f t="shared" si="192"/>
        <v>0</v>
      </c>
      <c r="N919" s="1211">
        <f t="shared" si="193"/>
        <v>0</v>
      </c>
      <c r="O919" s="1212"/>
      <c r="P919" s="1992">
        <f>F919/0.125</f>
        <v>33.423999999999999</v>
      </c>
      <c r="Q919" s="1200"/>
      <c r="R919" s="1213"/>
      <c r="S919" s="1213"/>
      <c r="T919" s="1213"/>
      <c r="U919" s="1213"/>
      <c r="V919" s="1213"/>
    </row>
    <row r="920" spans="1:22" ht="15" thickTop="1" thickBot="1" x14ac:dyDescent="0.3">
      <c r="A920" s="1207"/>
      <c r="B920" s="1212"/>
      <c r="C920" s="1212"/>
      <c r="D920" s="1212"/>
      <c r="E920" s="1212">
        <v>2</v>
      </c>
      <c r="F920" s="1208">
        <f>F919</f>
        <v>4.1779999999999999</v>
      </c>
      <c r="G920" s="1208">
        <v>0.88900000000000001</v>
      </c>
      <c r="H920" s="1208"/>
      <c r="I920" s="1209">
        <f>G920*F920*E920</f>
        <v>7.4284840000000001</v>
      </c>
      <c r="J920" s="1209"/>
      <c r="K920" s="1210">
        <f t="shared" si="188"/>
        <v>1.05</v>
      </c>
      <c r="L920" s="1210">
        <f t="shared" ref="L920:L931" si="194">K920*J920</f>
        <v>0</v>
      </c>
      <c r="M920" s="1197">
        <f t="shared" ref="M920:M931" si="195">ROUND(L920,1)</f>
        <v>0</v>
      </c>
      <c r="N920" s="1211">
        <f t="shared" ref="N920:N931" si="196">ROUNDUP(M920,0)</f>
        <v>0</v>
      </c>
      <c r="O920" s="1212"/>
      <c r="P920" s="1200"/>
      <c r="Q920" s="1200"/>
      <c r="R920" s="1213"/>
      <c r="S920" s="1213"/>
      <c r="T920" s="1213"/>
      <c r="U920" s="1213"/>
      <c r="V920" s="1213"/>
    </row>
    <row r="921" spans="1:22" ht="15" thickTop="1" thickBot="1" x14ac:dyDescent="0.3">
      <c r="A921" s="1207"/>
      <c r="B921" s="1212"/>
      <c r="C921" s="1212"/>
      <c r="D921" s="1212"/>
      <c r="E921" s="1212">
        <v>2</v>
      </c>
      <c r="F921" s="1208">
        <f>F920</f>
        <v>4.1779999999999999</v>
      </c>
      <c r="G921" s="1208">
        <v>0.88900000000000001</v>
      </c>
      <c r="H921" s="1208"/>
      <c r="I921" s="1209">
        <f t="shared" ref="I921:I923" si="197">G921*F921*E921</f>
        <v>7.4284840000000001</v>
      </c>
      <c r="J921" s="1209"/>
      <c r="K921" s="1210">
        <f t="shared" si="188"/>
        <v>1.05</v>
      </c>
      <c r="L921" s="1210">
        <f t="shared" si="194"/>
        <v>0</v>
      </c>
      <c r="M921" s="1197">
        <f t="shared" si="195"/>
        <v>0</v>
      </c>
      <c r="N921" s="1211">
        <f t="shared" si="196"/>
        <v>0</v>
      </c>
      <c r="O921" s="1212"/>
      <c r="P921" s="1200"/>
      <c r="Q921" s="1200">
        <f>6*6/162</f>
        <v>0.22222222222222221</v>
      </c>
      <c r="R921" s="1213"/>
      <c r="S921" s="1213"/>
      <c r="T921" s="1213"/>
      <c r="U921" s="1213"/>
      <c r="V921" s="1213"/>
    </row>
    <row r="922" spans="1:22" ht="15" thickTop="1" thickBot="1" x14ac:dyDescent="0.3">
      <c r="A922" s="1207"/>
      <c r="B922" s="1212"/>
      <c r="C922" s="1212"/>
      <c r="D922" s="1212"/>
      <c r="E922" s="1212">
        <v>1</v>
      </c>
      <c r="F922" s="1208">
        <f>F921</f>
        <v>4.1779999999999999</v>
      </c>
      <c r="G922" s="1208">
        <v>1.58</v>
      </c>
      <c r="H922" s="1208"/>
      <c r="I922" s="1209">
        <f t="shared" si="197"/>
        <v>6.6012399999999998</v>
      </c>
      <c r="J922" s="1209"/>
      <c r="K922" s="1210">
        <f t="shared" si="188"/>
        <v>1.05</v>
      </c>
      <c r="L922" s="1210">
        <f t="shared" si="194"/>
        <v>0</v>
      </c>
      <c r="M922" s="1197">
        <f t="shared" si="195"/>
        <v>0</v>
      </c>
      <c r="N922" s="1211">
        <f t="shared" si="196"/>
        <v>0</v>
      </c>
      <c r="O922" s="1212"/>
      <c r="P922" s="1200"/>
      <c r="Q922" s="1200"/>
      <c r="R922" s="1213"/>
      <c r="S922" s="1213"/>
      <c r="T922" s="1213"/>
      <c r="U922" s="1213"/>
      <c r="V922" s="1213"/>
    </row>
    <row r="923" spans="1:22" ht="15" thickTop="1" thickBot="1" x14ac:dyDescent="0.3">
      <c r="A923" s="1207"/>
      <c r="B923" s="1212"/>
      <c r="C923" s="1212"/>
      <c r="D923" s="1212"/>
      <c r="E923" s="1212">
        <v>35</v>
      </c>
      <c r="F923" s="1208">
        <f>0.225+0.225+0.375+0.375</f>
        <v>1.2</v>
      </c>
      <c r="G923" s="1208">
        <v>0.22</v>
      </c>
      <c r="H923" s="1208"/>
      <c r="I923" s="1209">
        <f t="shared" si="197"/>
        <v>9.24</v>
      </c>
      <c r="J923" s="1209"/>
      <c r="K923" s="1210">
        <f t="shared" si="188"/>
        <v>1.05</v>
      </c>
      <c r="L923" s="1210">
        <f t="shared" si="194"/>
        <v>0</v>
      </c>
      <c r="M923" s="1197">
        <f t="shared" si="195"/>
        <v>0</v>
      </c>
      <c r="N923" s="1211">
        <f t="shared" si="196"/>
        <v>0</v>
      </c>
      <c r="O923" s="1212"/>
      <c r="P923" s="1200"/>
      <c r="Q923" s="1200"/>
      <c r="R923" s="1213"/>
      <c r="S923" s="1213"/>
      <c r="T923" s="1213"/>
      <c r="U923" s="1213"/>
      <c r="V923" s="1213"/>
    </row>
    <row r="924" spans="1:22" ht="15" thickTop="1" thickBot="1" x14ac:dyDescent="0.3">
      <c r="A924" s="1207"/>
      <c r="B924" s="1212"/>
      <c r="C924" s="1212"/>
      <c r="D924" s="1212"/>
      <c r="E924" s="1212"/>
      <c r="F924" s="1208"/>
      <c r="G924" s="1208"/>
      <c r="H924" s="1208"/>
      <c r="I924" s="1209"/>
      <c r="J924" s="1209"/>
      <c r="K924" s="1210">
        <f t="shared" si="188"/>
        <v>1.05</v>
      </c>
      <c r="L924" s="1210">
        <f t="shared" si="194"/>
        <v>0</v>
      </c>
      <c r="M924" s="1197">
        <f t="shared" si="195"/>
        <v>0</v>
      </c>
      <c r="N924" s="1211">
        <f t="shared" si="196"/>
        <v>0</v>
      </c>
      <c r="O924" s="1212"/>
      <c r="P924" s="1200"/>
      <c r="Q924" s="1200"/>
      <c r="R924" s="1213"/>
      <c r="S924" s="1213"/>
      <c r="T924" s="1213"/>
      <c r="U924" s="1213"/>
      <c r="V924" s="1213"/>
    </row>
    <row r="925" spans="1:22" ht="15" thickTop="1" thickBot="1" x14ac:dyDescent="0.3">
      <c r="A925" s="1207"/>
      <c r="B925" s="1212"/>
      <c r="C925" s="1212"/>
      <c r="D925" s="1212"/>
      <c r="E925" s="1212"/>
      <c r="F925" s="1208"/>
      <c r="G925" s="1208"/>
      <c r="H925" s="1208"/>
      <c r="I925" s="1209">
        <f>SUM(I920:I923)</f>
        <v>30.698208000000001</v>
      </c>
      <c r="J925" s="1209"/>
      <c r="K925" s="1210">
        <f t="shared" si="188"/>
        <v>1.05</v>
      </c>
      <c r="L925" s="1210">
        <f t="shared" si="194"/>
        <v>0</v>
      </c>
      <c r="M925" s="1197">
        <f t="shared" si="195"/>
        <v>0</v>
      </c>
      <c r="N925" s="1211">
        <f t="shared" si="196"/>
        <v>0</v>
      </c>
      <c r="O925" s="1212"/>
      <c r="P925" s="1200"/>
      <c r="Q925" s="1200"/>
      <c r="R925" s="1213"/>
      <c r="S925" s="1213"/>
      <c r="T925" s="1213"/>
      <c r="U925" s="1213"/>
      <c r="V925" s="1213"/>
    </row>
    <row r="926" spans="1:22" ht="15" thickTop="1" thickBot="1" x14ac:dyDescent="0.3">
      <c r="A926" s="1207"/>
      <c r="B926" s="1212"/>
      <c r="C926" s="1212"/>
      <c r="D926" s="1212"/>
      <c r="E926" s="1212"/>
      <c r="F926" s="1208"/>
      <c r="G926" s="1208"/>
      <c r="H926" s="1208"/>
      <c r="I926" s="1209">
        <f>I925/I919</f>
        <v>87.082482846657101</v>
      </c>
      <c r="J926" s="1209"/>
      <c r="K926" s="1210">
        <f t="shared" si="188"/>
        <v>1.05</v>
      </c>
      <c r="L926" s="1210">
        <f t="shared" si="194"/>
        <v>0</v>
      </c>
      <c r="M926" s="1197">
        <f t="shared" si="195"/>
        <v>0</v>
      </c>
      <c r="N926" s="1211">
        <f t="shared" si="196"/>
        <v>0</v>
      </c>
      <c r="O926" s="1212"/>
      <c r="P926" s="1200"/>
      <c r="Q926" s="1200"/>
      <c r="R926" s="1213"/>
      <c r="S926" s="1213"/>
      <c r="T926" s="1213"/>
      <c r="U926" s="1213"/>
      <c r="V926" s="1213"/>
    </row>
    <row r="927" spans="1:22" ht="15" thickTop="1" thickBot="1" x14ac:dyDescent="0.3">
      <c r="A927" s="1207"/>
      <c r="B927" s="1212"/>
      <c r="C927" s="1212"/>
      <c r="D927" s="1212"/>
      <c r="E927" s="1212"/>
      <c r="F927" s="1208"/>
      <c r="G927" s="1208"/>
      <c r="H927" s="1208"/>
      <c r="I927" s="1209"/>
      <c r="J927" s="1209"/>
      <c r="K927" s="1210">
        <f t="shared" si="188"/>
        <v>1.05</v>
      </c>
      <c r="L927" s="1210">
        <f t="shared" si="194"/>
        <v>0</v>
      </c>
      <c r="M927" s="1197">
        <f t="shared" si="195"/>
        <v>0</v>
      </c>
      <c r="N927" s="1211">
        <f t="shared" si="196"/>
        <v>0</v>
      </c>
      <c r="O927" s="1212"/>
      <c r="P927" s="1200"/>
      <c r="Q927" s="1200"/>
      <c r="R927" s="1213"/>
      <c r="S927" s="1213"/>
      <c r="T927" s="1213"/>
      <c r="U927" s="1213"/>
      <c r="V927" s="1213"/>
    </row>
    <row r="928" spans="1:22" ht="15" thickTop="1" thickBot="1" x14ac:dyDescent="0.3">
      <c r="A928" s="1207"/>
      <c r="B928" s="1212"/>
      <c r="C928" s="1212"/>
      <c r="D928" s="1212"/>
      <c r="E928" s="1212"/>
      <c r="F928" s="1208"/>
      <c r="G928" s="1208"/>
      <c r="H928" s="1208">
        <f>J916</f>
        <v>10.709409375</v>
      </c>
      <c r="I928" s="1209">
        <v>105</v>
      </c>
      <c r="J928" s="1209">
        <f>I928*H928</f>
        <v>1124.487984375</v>
      </c>
      <c r="K928" s="1210">
        <f t="shared" si="188"/>
        <v>1.05</v>
      </c>
      <c r="L928" s="1210">
        <f t="shared" si="194"/>
        <v>1180.71238359375</v>
      </c>
      <c r="M928" s="1197">
        <f t="shared" si="195"/>
        <v>1180.7</v>
      </c>
      <c r="N928" s="1211">
        <f t="shared" si="196"/>
        <v>1181</v>
      </c>
      <c r="O928" s="1212"/>
      <c r="P928" s="1200"/>
      <c r="Q928" s="1200"/>
      <c r="R928" s="1213"/>
      <c r="S928" s="1213"/>
      <c r="T928" s="1213"/>
      <c r="U928" s="1213"/>
      <c r="V928" s="1213"/>
    </row>
    <row r="929" spans="1:22" ht="15" thickTop="1" thickBot="1" x14ac:dyDescent="0.3">
      <c r="A929" s="1207"/>
      <c r="B929" s="1212"/>
      <c r="C929" s="1212"/>
      <c r="D929" s="1212"/>
      <c r="E929" s="1212"/>
      <c r="F929" s="1208"/>
      <c r="G929" s="1208"/>
      <c r="H929" s="1208"/>
      <c r="I929" s="1209"/>
      <c r="J929" s="1209"/>
      <c r="K929" s="1210">
        <f t="shared" si="188"/>
        <v>1.05</v>
      </c>
      <c r="L929" s="1210">
        <f t="shared" si="194"/>
        <v>0</v>
      </c>
      <c r="M929" s="1197">
        <f t="shared" si="195"/>
        <v>0</v>
      </c>
      <c r="N929" s="1211">
        <f t="shared" si="196"/>
        <v>0</v>
      </c>
      <c r="O929" s="1212"/>
      <c r="P929" s="1200"/>
      <c r="Q929" s="1200"/>
      <c r="R929" s="1213"/>
      <c r="S929" s="1213"/>
      <c r="T929" s="1213"/>
      <c r="U929" s="1213"/>
      <c r="V929" s="1213"/>
    </row>
    <row r="930" spans="1:22" ht="15" thickTop="1" thickBot="1" x14ac:dyDescent="0.3">
      <c r="A930" s="1207"/>
      <c r="B930" s="1212"/>
      <c r="C930" s="1212"/>
      <c r="D930" s="1212"/>
      <c r="E930" s="1212"/>
      <c r="F930" s="1208"/>
      <c r="G930" s="1208"/>
      <c r="H930" s="1208"/>
      <c r="I930" s="1209"/>
      <c r="J930" s="1209"/>
      <c r="K930" s="1210">
        <f t="shared" si="188"/>
        <v>1.05</v>
      </c>
      <c r="L930" s="1210">
        <f t="shared" si="194"/>
        <v>0</v>
      </c>
      <c r="M930" s="1197">
        <f t="shared" si="195"/>
        <v>0</v>
      </c>
      <c r="N930" s="1211">
        <f t="shared" si="196"/>
        <v>0</v>
      </c>
      <c r="O930" s="1212"/>
      <c r="P930" s="1200"/>
      <c r="Q930" s="1200"/>
      <c r="R930" s="1213"/>
      <c r="S930" s="1213"/>
      <c r="T930" s="1213"/>
      <c r="U930" s="1213"/>
      <c r="V930" s="1213"/>
    </row>
    <row r="931" spans="1:22" ht="15" thickTop="1" thickBot="1" x14ac:dyDescent="0.3">
      <c r="A931" s="1207"/>
      <c r="B931" s="1212"/>
      <c r="C931" s="1212"/>
      <c r="D931" s="1212"/>
      <c r="E931" s="1212"/>
      <c r="F931" s="1208"/>
      <c r="G931" s="1208"/>
      <c r="H931" s="1208"/>
      <c r="I931" s="1209"/>
      <c r="J931" s="1209"/>
      <c r="K931" s="1210">
        <f t="shared" si="188"/>
        <v>1.05</v>
      </c>
      <c r="L931" s="1210">
        <f t="shared" si="194"/>
        <v>0</v>
      </c>
      <c r="M931" s="1197">
        <f t="shared" si="195"/>
        <v>0</v>
      </c>
      <c r="N931" s="1211">
        <f t="shared" si="196"/>
        <v>0</v>
      </c>
      <c r="O931" s="1212"/>
      <c r="P931" s="1200"/>
      <c r="Q931" s="1200"/>
      <c r="R931" s="1213"/>
      <c r="S931" s="1213"/>
      <c r="T931" s="1213"/>
      <c r="U931" s="1213"/>
      <c r="V931" s="1213"/>
    </row>
    <row r="932" spans="1:22" ht="15" thickTop="1" thickBot="1" x14ac:dyDescent="0.3">
      <c r="A932" s="1207"/>
      <c r="B932" s="1212"/>
      <c r="C932" s="1212"/>
      <c r="D932" s="1212"/>
      <c r="E932" s="1212"/>
      <c r="F932" s="1208"/>
      <c r="G932" s="1208"/>
      <c r="H932" s="1208"/>
      <c r="I932" s="1209"/>
      <c r="J932" s="1209"/>
      <c r="K932" s="1210">
        <f t="shared" si="188"/>
        <v>1.05</v>
      </c>
      <c r="L932" s="1210">
        <f t="shared" si="191"/>
        <v>0</v>
      </c>
      <c r="M932" s="1197">
        <f t="shared" si="192"/>
        <v>0</v>
      </c>
      <c r="N932" s="1211">
        <f t="shared" si="193"/>
        <v>0</v>
      </c>
      <c r="O932" s="1212"/>
      <c r="P932" s="1200"/>
      <c r="Q932" s="1200"/>
      <c r="R932" s="1213"/>
      <c r="S932" s="1213"/>
      <c r="T932" s="1213"/>
      <c r="U932" s="1213"/>
      <c r="V932" s="1213"/>
    </row>
    <row r="933" spans="1:22" ht="15" thickTop="1" thickBot="1" x14ac:dyDescent="0.3">
      <c r="A933" s="1207"/>
      <c r="B933" s="1212"/>
      <c r="C933" s="1212"/>
      <c r="D933" s="1212"/>
      <c r="E933" s="1212"/>
      <c r="F933" s="1208"/>
      <c r="G933" s="1208"/>
      <c r="H933" s="1208"/>
      <c r="I933" s="1209"/>
      <c r="J933" s="1209"/>
      <c r="K933" s="1210">
        <f t="shared" si="188"/>
        <v>1.05</v>
      </c>
      <c r="L933" s="1210">
        <f t="shared" si="191"/>
        <v>0</v>
      </c>
      <c r="M933" s="1197">
        <f t="shared" si="192"/>
        <v>0</v>
      </c>
      <c r="N933" s="1211">
        <f t="shared" si="193"/>
        <v>0</v>
      </c>
      <c r="O933" s="1212"/>
      <c r="P933" s="1200"/>
      <c r="Q933" s="1200"/>
      <c r="R933" s="1213"/>
      <c r="S933" s="1213"/>
      <c r="T933" s="1213"/>
      <c r="U933" s="1213"/>
      <c r="V933" s="1213"/>
    </row>
    <row r="934" spans="1:22" ht="15" thickTop="1" thickBot="1" x14ac:dyDescent="0.3">
      <c r="A934" s="1207"/>
      <c r="B934" s="1212"/>
      <c r="C934" s="1212"/>
      <c r="D934" s="1212"/>
      <c r="E934" s="1212"/>
      <c r="F934" s="1208"/>
      <c r="G934" s="1208"/>
      <c r="H934" s="1208"/>
      <c r="I934" s="1209"/>
      <c r="J934" s="1209"/>
      <c r="K934" s="1210">
        <f t="shared" si="188"/>
        <v>1.05</v>
      </c>
      <c r="L934" s="1210">
        <f t="shared" si="191"/>
        <v>0</v>
      </c>
      <c r="M934" s="1197">
        <f t="shared" si="192"/>
        <v>0</v>
      </c>
      <c r="N934" s="1211">
        <f t="shared" si="193"/>
        <v>0</v>
      </c>
      <c r="O934" s="1212"/>
      <c r="P934" s="1200"/>
      <c r="Q934" s="1200"/>
      <c r="R934" s="1213"/>
      <c r="S934" s="1213"/>
      <c r="T934" s="1213"/>
      <c r="U934" s="1213"/>
      <c r="V934" s="1213"/>
    </row>
    <row r="935" spans="1:22" ht="15" thickTop="1" thickBot="1" x14ac:dyDescent="0.3">
      <c r="A935" s="1207"/>
      <c r="B935" s="1212" t="s">
        <v>3234</v>
      </c>
      <c r="C935" s="1212"/>
      <c r="D935" s="1212"/>
      <c r="E935" s="1212"/>
      <c r="F935" s="1208"/>
      <c r="G935" s="1208"/>
      <c r="H935" s="1208"/>
      <c r="I935" s="1209"/>
      <c r="J935" s="1209"/>
      <c r="K935" s="1210">
        <f t="shared" si="188"/>
        <v>1.05</v>
      </c>
      <c r="L935" s="1210">
        <f t="shared" si="167"/>
        <v>0</v>
      </c>
      <c r="M935" s="1197">
        <f t="shared" si="168"/>
        <v>0</v>
      </c>
      <c r="N935" s="1211">
        <f t="shared" si="169"/>
        <v>0</v>
      </c>
      <c r="O935" s="1212"/>
      <c r="P935" s="1200"/>
      <c r="Q935" s="1200"/>
      <c r="R935" s="1213"/>
      <c r="S935" s="1213"/>
      <c r="T935" s="1213"/>
      <c r="U935" s="1213"/>
      <c r="V935" s="1213"/>
    </row>
    <row r="936" spans="1:22" ht="15" thickTop="1" thickBot="1" x14ac:dyDescent="0.3">
      <c r="A936" s="1207"/>
      <c r="B936" s="1212" t="s">
        <v>3212</v>
      </c>
      <c r="C936" s="1212"/>
      <c r="D936" s="1212"/>
      <c r="E936" s="1212"/>
      <c r="F936" s="1992">
        <v>4.1779999999999999</v>
      </c>
      <c r="G936" s="1208"/>
      <c r="H936" s="1208">
        <f t="shared" ref="H936:H957" si="198">G894+H894+H894</f>
        <v>0.97499999999999998</v>
      </c>
      <c r="I936" s="1209">
        <f>H936*F936</f>
        <v>4.07355</v>
      </c>
      <c r="J936" s="1209"/>
      <c r="K936" s="1210">
        <f t="shared" si="188"/>
        <v>1.05</v>
      </c>
      <c r="L936" s="1210">
        <f t="shared" si="167"/>
        <v>0</v>
      </c>
      <c r="M936" s="1197">
        <f t="shared" si="168"/>
        <v>0</v>
      </c>
      <c r="N936" s="1211">
        <f t="shared" si="169"/>
        <v>0</v>
      </c>
      <c r="O936" s="1212"/>
      <c r="P936" s="1200"/>
      <c r="Q936" s="1200"/>
      <c r="R936" s="1213"/>
      <c r="S936" s="1213"/>
      <c r="T936" s="1213"/>
      <c r="U936" s="1213"/>
      <c r="V936" s="1213"/>
    </row>
    <row r="937" spans="1:22" ht="15" thickTop="1" thickBot="1" x14ac:dyDescent="0.3">
      <c r="A937" s="1207"/>
      <c r="B937" s="1212" t="s">
        <v>3213</v>
      </c>
      <c r="C937" s="1212"/>
      <c r="D937" s="1212"/>
      <c r="E937" s="1212"/>
      <c r="F937" s="1992">
        <v>8.1359999999999992</v>
      </c>
      <c r="G937" s="1208"/>
      <c r="H937" s="1208">
        <f t="shared" si="198"/>
        <v>0.97499999999999998</v>
      </c>
      <c r="I937" s="1209">
        <f t="shared" ref="I937:I957" si="199">H937*F937</f>
        <v>7.932599999999999</v>
      </c>
      <c r="J937" s="1209"/>
      <c r="K937" s="1210">
        <f t="shared" si="188"/>
        <v>1.05</v>
      </c>
      <c r="L937" s="1210">
        <f t="shared" si="167"/>
        <v>0</v>
      </c>
      <c r="M937" s="1197">
        <f t="shared" si="168"/>
        <v>0</v>
      </c>
      <c r="N937" s="1211">
        <f t="shared" si="169"/>
        <v>0</v>
      </c>
      <c r="O937" s="1212"/>
      <c r="P937" s="1200"/>
      <c r="Q937" s="1200"/>
      <c r="R937" s="1213"/>
      <c r="S937" s="1213"/>
      <c r="T937" s="1213"/>
      <c r="U937" s="1213"/>
      <c r="V937" s="1213"/>
    </row>
    <row r="938" spans="1:22" ht="15" thickTop="1" thickBot="1" x14ac:dyDescent="0.3">
      <c r="A938" s="1207"/>
      <c r="B938" s="1212" t="s">
        <v>3214</v>
      </c>
      <c r="C938" s="1212"/>
      <c r="D938" s="1212"/>
      <c r="E938" s="1212"/>
      <c r="F938" s="1992">
        <v>1.425</v>
      </c>
      <c r="G938" s="1208"/>
      <c r="H938" s="1208">
        <f t="shared" si="198"/>
        <v>0.97499999999999998</v>
      </c>
      <c r="I938" s="1209">
        <f t="shared" si="199"/>
        <v>1.389375</v>
      </c>
      <c r="J938" s="1209"/>
      <c r="K938" s="1210">
        <f t="shared" si="188"/>
        <v>1.05</v>
      </c>
      <c r="L938" s="1210">
        <f t="shared" si="167"/>
        <v>0</v>
      </c>
      <c r="M938" s="1197">
        <f t="shared" si="168"/>
        <v>0</v>
      </c>
      <c r="N938" s="1211">
        <f t="shared" si="169"/>
        <v>0</v>
      </c>
      <c r="O938" s="1212"/>
      <c r="P938" s="1200"/>
      <c r="Q938" s="1200"/>
      <c r="R938" s="1213"/>
      <c r="S938" s="1213"/>
      <c r="T938" s="1213"/>
      <c r="U938" s="1213"/>
      <c r="V938" s="1213"/>
    </row>
    <row r="939" spans="1:22" ht="15" thickTop="1" thickBot="1" x14ac:dyDescent="0.3">
      <c r="A939" s="1207"/>
      <c r="B939" s="1212" t="s">
        <v>3215</v>
      </c>
      <c r="C939" s="1212"/>
      <c r="D939" s="1212"/>
      <c r="E939" s="1212"/>
      <c r="F939" s="1992">
        <v>2.2250000000000001</v>
      </c>
      <c r="G939" s="1208"/>
      <c r="H939" s="1208">
        <f t="shared" si="198"/>
        <v>0.97499999999999998</v>
      </c>
      <c r="I939" s="1209">
        <f t="shared" si="199"/>
        <v>2.1693750000000001</v>
      </c>
      <c r="J939" s="1209"/>
      <c r="K939" s="1210">
        <f t="shared" si="188"/>
        <v>1.05</v>
      </c>
      <c r="L939" s="1210">
        <f t="shared" si="167"/>
        <v>0</v>
      </c>
      <c r="M939" s="1197">
        <f t="shared" si="168"/>
        <v>0</v>
      </c>
      <c r="N939" s="1211">
        <f t="shared" si="169"/>
        <v>0</v>
      </c>
      <c r="O939" s="1212"/>
      <c r="P939" s="1200"/>
      <c r="Q939" s="1200"/>
      <c r="R939" s="1213"/>
      <c r="S939" s="1213"/>
      <c r="T939" s="1213"/>
      <c r="U939" s="1213"/>
      <c r="V939" s="1213"/>
    </row>
    <row r="940" spans="1:22" ht="15" thickTop="1" thickBot="1" x14ac:dyDescent="0.3">
      <c r="A940" s="1207"/>
      <c r="B940" s="1212" t="s">
        <v>3216</v>
      </c>
      <c r="C940" s="1212"/>
      <c r="D940" s="1212"/>
      <c r="E940" s="1212"/>
      <c r="F940" s="1992">
        <v>5.585</v>
      </c>
      <c r="G940" s="1208"/>
      <c r="H940" s="1208">
        <f t="shared" si="198"/>
        <v>0.97499999999999998</v>
      </c>
      <c r="I940" s="1209">
        <f t="shared" si="199"/>
        <v>5.4453749999999994</v>
      </c>
      <c r="J940" s="1209"/>
      <c r="K940" s="1210">
        <f t="shared" si="188"/>
        <v>1.05</v>
      </c>
      <c r="L940" s="1210">
        <f t="shared" si="167"/>
        <v>0</v>
      </c>
      <c r="M940" s="1197">
        <f t="shared" si="168"/>
        <v>0</v>
      </c>
      <c r="N940" s="1211">
        <f t="shared" si="169"/>
        <v>0</v>
      </c>
      <c r="O940" s="1212"/>
      <c r="P940" s="1200"/>
      <c r="Q940" s="1200"/>
      <c r="R940" s="1213"/>
      <c r="S940" s="1213"/>
      <c r="T940" s="1213"/>
      <c r="U940" s="1213"/>
      <c r="V940" s="1213"/>
    </row>
    <row r="941" spans="1:22" ht="15" thickTop="1" thickBot="1" x14ac:dyDescent="0.3">
      <c r="A941" s="1207"/>
      <c r="B941" s="1212" t="s">
        <v>3217</v>
      </c>
      <c r="C941" s="1212"/>
      <c r="D941" s="1212"/>
      <c r="E941" s="1212"/>
      <c r="F941" s="1992">
        <v>9.3689999999999998</v>
      </c>
      <c r="G941" s="1208"/>
      <c r="H941" s="1208">
        <f t="shared" si="198"/>
        <v>0.97499999999999998</v>
      </c>
      <c r="I941" s="1209">
        <f t="shared" si="199"/>
        <v>9.1347749999999994</v>
      </c>
      <c r="J941" s="1209"/>
      <c r="K941" s="1210">
        <f t="shared" si="188"/>
        <v>1.05</v>
      </c>
      <c r="L941" s="1210">
        <f t="shared" si="167"/>
        <v>0</v>
      </c>
      <c r="M941" s="1197">
        <f t="shared" si="168"/>
        <v>0</v>
      </c>
      <c r="N941" s="1211">
        <f t="shared" si="169"/>
        <v>0</v>
      </c>
      <c r="O941" s="1212"/>
      <c r="P941" s="1200"/>
      <c r="Q941" s="1200"/>
      <c r="R941" s="1213"/>
      <c r="S941" s="1213"/>
      <c r="T941" s="1213"/>
      <c r="U941" s="1213"/>
      <c r="V941" s="1213"/>
    </row>
    <row r="942" spans="1:22" ht="15" thickTop="1" thickBot="1" x14ac:dyDescent="0.3">
      <c r="A942" s="1207"/>
      <c r="B942" s="1212" t="s">
        <v>3218</v>
      </c>
      <c r="C942" s="1212"/>
      <c r="D942" s="1212"/>
      <c r="E942" s="1212"/>
      <c r="F942" s="1992">
        <v>3.65</v>
      </c>
      <c r="G942" s="1208"/>
      <c r="H942" s="1208">
        <f t="shared" si="198"/>
        <v>1.3250000000000002</v>
      </c>
      <c r="I942" s="1209">
        <f t="shared" si="199"/>
        <v>4.8362500000000006</v>
      </c>
      <c r="J942" s="1209"/>
      <c r="K942" s="1210">
        <f t="shared" si="188"/>
        <v>1.05</v>
      </c>
      <c r="L942" s="1210">
        <f t="shared" ref="L942:L999" si="200">K942*J942</f>
        <v>0</v>
      </c>
      <c r="M942" s="1197">
        <f t="shared" ref="M942:M999" si="201">ROUND(L942,1)</f>
        <v>0</v>
      </c>
      <c r="N942" s="1211">
        <f t="shared" ref="N942:N999" si="202">ROUNDUP(M942,0)</f>
        <v>0</v>
      </c>
      <c r="O942" s="1212"/>
      <c r="P942" s="1200"/>
      <c r="Q942" s="1200"/>
      <c r="R942" s="1213"/>
      <c r="S942" s="1213"/>
      <c r="T942" s="1213"/>
      <c r="U942" s="1213"/>
      <c r="V942" s="1213"/>
    </row>
    <row r="943" spans="1:22" ht="15" thickTop="1" thickBot="1" x14ac:dyDescent="0.3">
      <c r="A943" s="1207"/>
      <c r="B943" s="1212" t="s">
        <v>3219</v>
      </c>
      <c r="C943" s="1212"/>
      <c r="D943" s="1212"/>
      <c r="E943" s="1212"/>
      <c r="F943" s="1208">
        <v>10.063000000000001</v>
      </c>
      <c r="G943" s="1208"/>
      <c r="H943" s="1208">
        <f t="shared" si="198"/>
        <v>0.97499999999999998</v>
      </c>
      <c r="I943" s="1209">
        <f t="shared" si="199"/>
        <v>9.8114249999999998</v>
      </c>
      <c r="J943" s="1209"/>
      <c r="K943" s="1210">
        <f t="shared" si="188"/>
        <v>1.05</v>
      </c>
      <c r="L943" s="1210">
        <f t="shared" si="200"/>
        <v>0</v>
      </c>
      <c r="M943" s="1197">
        <f t="shared" si="201"/>
        <v>0</v>
      </c>
      <c r="N943" s="1211">
        <f t="shared" si="202"/>
        <v>0</v>
      </c>
      <c r="O943" s="1212"/>
      <c r="P943" s="1200"/>
      <c r="Q943" s="1200"/>
      <c r="R943" s="1213"/>
      <c r="S943" s="1213"/>
      <c r="T943" s="1213"/>
      <c r="U943" s="1213"/>
      <c r="V943" s="1213"/>
    </row>
    <row r="944" spans="1:22" ht="15" thickTop="1" thickBot="1" x14ac:dyDescent="0.3">
      <c r="A944" s="1207"/>
      <c r="B944" s="1212" t="s">
        <v>3220</v>
      </c>
      <c r="C944" s="1212"/>
      <c r="D944" s="1212"/>
      <c r="E944" s="1212"/>
      <c r="F944" s="1208">
        <v>5.9909999999999997</v>
      </c>
      <c r="G944" s="1208"/>
      <c r="H944" s="1208">
        <f t="shared" si="198"/>
        <v>0.97499999999999998</v>
      </c>
      <c r="I944" s="1209">
        <f t="shared" si="199"/>
        <v>5.8412249999999997</v>
      </c>
      <c r="J944" s="1209"/>
      <c r="K944" s="1210">
        <f t="shared" si="188"/>
        <v>1.05</v>
      </c>
      <c r="L944" s="1210">
        <f t="shared" si="200"/>
        <v>0</v>
      </c>
      <c r="M944" s="1197">
        <f t="shared" si="201"/>
        <v>0</v>
      </c>
      <c r="N944" s="1211">
        <f t="shared" si="202"/>
        <v>0</v>
      </c>
      <c r="O944" s="1212"/>
      <c r="P944" s="1200"/>
      <c r="Q944" s="1200"/>
      <c r="R944" s="1213"/>
      <c r="S944" s="1213"/>
      <c r="T944" s="1213"/>
      <c r="U944" s="1213"/>
      <c r="V944" s="1213"/>
    </row>
    <row r="945" spans="1:22" ht="15" thickTop="1" thickBot="1" x14ac:dyDescent="0.3">
      <c r="A945" s="1207"/>
      <c r="B945" s="1212" t="s">
        <v>3221</v>
      </c>
      <c r="C945" s="1212"/>
      <c r="D945" s="1212"/>
      <c r="E945" s="1212"/>
      <c r="F945" s="1208">
        <v>2.9590000000000001</v>
      </c>
      <c r="G945" s="1208"/>
      <c r="H945" s="1208">
        <f t="shared" si="198"/>
        <v>0.97499999999999998</v>
      </c>
      <c r="I945" s="1209">
        <f t="shared" si="199"/>
        <v>2.8850250000000002</v>
      </c>
      <c r="J945" s="1209"/>
      <c r="K945" s="1210">
        <f t="shared" si="188"/>
        <v>1.05</v>
      </c>
      <c r="L945" s="1210">
        <f t="shared" si="200"/>
        <v>0</v>
      </c>
      <c r="M945" s="1197">
        <f t="shared" si="201"/>
        <v>0</v>
      </c>
      <c r="N945" s="1211">
        <f t="shared" si="202"/>
        <v>0</v>
      </c>
      <c r="O945" s="1212"/>
      <c r="P945" s="1200"/>
      <c r="Q945" s="1200"/>
      <c r="R945" s="1213"/>
      <c r="S945" s="1213"/>
      <c r="T945" s="1213"/>
      <c r="U945" s="1213"/>
      <c r="V945" s="1213"/>
    </row>
    <row r="946" spans="1:22" ht="15" thickTop="1" thickBot="1" x14ac:dyDescent="0.3">
      <c r="A946" s="1207"/>
      <c r="B946" s="1212" t="s">
        <v>3222</v>
      </c>
      <c r="C946" s="1212"/>
      <c r="D946" s="1212"/>
      <c r="E946" s="1212"/>
      <c r="F946" s="1208">
        <v>19.75</v>
      </c>
      <c r="G946" s="1208"/>
      <c r="H946" s="1208">
        <f t="shared" si="198"/>
        <v>0.97499999999999998</v>
      </c>
      <c r="I946" s="1209">
        <f t="shared" si="199"/>
        <v>19.256249999999998</v>
      </c>
      <c r="J946" s="1209"/>
      <c r="K946" s="1210">
        <f t="shared" si="188"/>
        <v>1.05</v>
      </c>
      <c r="L946" s="1210">
        <f t="shared" si="200"/>
        <v>0</v>
      </c>
      <c r="M946" s="1197">
        <f t="shared" si="201"/>
        <v>0</v>
      </c>
      <c r="N946" s="1211">
        <f t="shared" si="202"/>
        <v>0</v>
      </c>
      <c r="O946" s="1212"/>
      <c r="P946" s="1200"/>
      <c r="Q946" s="1200"/>
      <c r="R946" s="1213"/>
      <c r="S946" s="1213"/>
      <c r="T946" s="1213"/>
      <c r="U946" s="1213"/>
      <c r="V946" s="1213"/>
    </row>
    <row r="947" spans="1:22" ht="15" thickTop="1" thickBot="1" x14ac:dyDescent="0.3">
      <c r="A947" s="1207"/>
      <c r="B947" s="1212" t="s">
        <v>3232</v>
      </c>
      <c r="C947" s="1212"/>
      <c r="D947" s="1212"/>
      <c r="E947" s="1212"/>
      <c r="F947" s="1208">
        <v>3.3370000000000002</v>
      </c>
      <c r="G947" s="1208"/>
      <c r="H947" s="1208">
        <f t="shared" si="198"/>
        <v>0.97499999999999998</v>
      </c>
      <c r="I947" s="1209">
        <f t="shared" si="199"/>
        <v>3.2535750000000001</v>
      </c>
      <c r="J947" s="1209"/>
      <c r="K947" s="1210">
        <f t="shared" si="188"/>
        <v>1.05</v>
      </c>
      <c r="L947" s="1210">
        <f t="shared" si="200"/>
        <v>0</v>
      </c>
      <c r="M947" s="1197">
        <f t="shared" si="201"/>
        <v>0</v>
      </c>
      <c r="N947" s="1211">
        <f t="shared" si="202"/>
        <v>0</v>
      </c>
      <c r="O947" s="1212"/>
      <c r="P947" s="1200"/>
      <c r="Q947" s="1200"/>
      <c r="R947" s="1213"/>
      <c r="S947" s="1213"/>
      <c r="T947" s="1213"/>
      <c r="U947" s="1213"/>
      <c r="V947" s="1213"/>
    </row>
    <row r="948" spans="1:22" ht="15" thickTop="1" thickBot="1" x14ac:dyDescent="0.3">
      <c r="A948" s="1207"/>
      <c r="B948" s="1212" t="s">
        <v>3223</v>
      </c>
      <c r="C948" s="1212"/>
      <c r="D948" s="1212"/>
      <c r="E948" s="1212"/>
      <c r="F948" s="1208">
        <v>8.4749999999999996</v>
      </c>
      <c r="G948" s="1208"/>
      <c r="H948" s="1208">
        <f t="shared" si="198"/>
        <v>0.97499999999999998</v>
      </c>
      <c r="I948" s="1209">
        <f t="shared" si="199"/>
        <v>8.2631249999999987</v>
      </c>
      <c r="J948" s="1209"/>
      <c r="K948" s="1210">
        <f t="shared" si="188"/>
        <v>1.05</v>
      </c>
      <c r="L948" s="1210">
        <f t="shared" si="200"/>
        <v>0</v>
      </c>
      <c r="M948" s="1197">
        <f t="shared" si="201"/>
        <v>0</v>
      </c>
      <c r="N948" s="1211">
        <f t="shared" si="202"/>
        <v>0</v>
      </c>
      <c r="O948" s="1212"/>
      <c r="P948" s="1200"/>
      <c r="Q948" s="1200"/>
      <c r="R948" s="1213"/>
      <c r="S948" s="1213"/>
      <c r="T948" s="1213"/>
      <c r="U948" s="1213"/>
      <c r="V948" s="1213"/>
    </row>
    <row r="949" spans="1:22" ht="15" thickTop="1" thickBot="1" x14ac:dyDescent="0.3">
      <c r="A949" s="1207"/>
      <c r="B949" s="1212" t="s">
        <v>3224</v>
      </c>
      <c r="C949" s="1212"/>
      <c r="D949" s="1212"/>
      <c r="E949" s="1212"/>
      <c r="F949" s="1208">
        <v>1.35</v>
      </c>
      <c r="G949" s="1208"/>
      <c r="H949" s="1208">
        <f t="shared" si="198"/>
        <v>0.97499999999999998</v>
      </c>
      <c r="I949" s="1209">
        <f t="shared" si="199"/>
        <v>1.3162500000000001</v>
      </c>
      <c r="J949" s="1209"/>
      <c r="K949" s="1210">
        <f t="shared" si="188"/>
        <v>1.05</v>
      </c>
      <c r="L949" s="1210">
        <f t="shared" si="200"/>
        <v>0</v>
      </c>
      <c r="M949" s="1197">
        <f t="shared" si="201"/>
        <v>0</v>
      </c>
      <c r="N949" s="1211">
        <f t="shared" si="202"/>
        <v>0</v>
      </c>
      <c r="O949" s="1212"/>
      <c r="P949" s="1200"/>
      <c r="Q949" s="1200"/>
      <c r="R949" s="1213"/>
      <c r="S949" s="1213"/>
      <c r="T949" s="1213"/>
      <c r="U949" s="1213"/>
      <c r="V949" s="1213"/>
    </row>
    <row r="950" spans="1:22" ht="15" thickTop="1" thickBot="1" x14ac:dyDescent="0.3">
      <c r="A950" s="1207"/>
      <c r="B950" s="1212" t="s">
        <v>3225</v>
      </c>
      <c r="C950" s="1212"/>
      <c r="D950" s="1212"/>
      <c r="E950" s="1212"/>
      <c r="F950" s="1208">
        <v>2.2440000000000002</v>
      </c>
      <c r="G950" s="1208"/>
      <c r="H950" s="1208">
        <f t="shared" si="198"/>
        <v>0.97499999999999998</v>
      </c>
      <c r="I950" s="1209">
        <f t="shared" si="199"/>
        <v>2.1879</v>
      </c>
      <c r="J950" s="1209"/>
      <c r="K950" s="1210">
        <f t="shared" si="188"/>
        <v>1.05</v>
      </c>
      <c r="L950" s="1210">
        <f t="shared" si="200"/>
        <v>0</v>
      </c>
      <c r="M950" s="1197">
        <f t="shared" si="201"/>
        <v>0</v>
      </c>
      <c r="N950" s="1211">
        <f t="shared" si="202"/>
        <v>0</v>
      </c>
      <c r="O950" s="1212"/>
      <c r="P950" s="1200"/>
      <c r="Q950" s="1200"/>
      <c r="R950" s="1213"/>
      <c r="S950" s="1213"/>
      <c r="T950" s="1213"/>
      <c r="U950" s="1213"/>
      <c r="V950" s="1213"/>
    </row>
    <row r="951" spans="1:22" ht="15" thickTop="1" thickBot="1" x14ac:dyDescent="0.3">
      <c r="A951" s="1207"/>
      <c r="B951" s="1212" t="s">
        <v>3226</v>
      </c>
      <c r="C951" s="1212"/>
      <c r="D951" s="1212"/>
      <c r="E951" s="1212"/>
      <c r="F951" s="1208">
        <v>4.8380000000000001</v>
      </c>
      <c r="G951" s="1208"/>
      <c r="H951" s="1208">
        <f t="shared" si="198"/>
        <v>0.97499999999999998</v>
      </c>
      <c r="I951" s="1209">
        <f t="shared" si="199"/>
        <v>4.7170500000000004</v>
      </c>
      <c r="J951" s="1209"/>
      <c r="K951" s="1210">
        <f t="shared" si="188"/>
        <v>1.05</v>
      </c>
      <c r="L951" s="1210">
        <f t="shared" si="200"/>
        <v>0</v>
      </c>
      <c r="M951" s="1197">
        <f t="shared" si="201"/>
        <v>0</v>
      </c>
      <c r="N951" s="1211">
        <f t="shared" si="202"/>
        <v>0</v>
      </c>
      <c r="O951" s="1212"/>
      <c r="P951" s="1200"/>
      <c r="Q951" s="1200"/>
      <c r="R951" s="1213"/>
      <c r="S951" s="1213"/>
      <c r="T951" s="1213"/>
      <c r="U951" s="1213"/>
      <c r="V951" s="1213"/>
    </row>
    <row r="952" spans="1:22" ht="15" thickTop="1" thickBot="1" x14ac:dyDescent="0.3">
      <c r="A952" s="1207"/>
      <c r="B952" s="1212" t="s">
        <v>3233</v>
      </c>
      <c r="C952" s="1212"/>
      <c r="D952" s="1212"/>
      <c r="E952" s="1212"/>
      <c r="F952" s="1208">
        <v>3.6930000000000001</v>
      </c>
      <c r="G952" s="1208"/>
      <c r="H952" s="1208">
        <f t="shared" si="198"/>
        <v>0.97499999999999998</v>
      </c>
      <c r="I952" s="1209">
        <f t="shared" si="199"/>
        <v>3.6006749999999998</v>
      </c>
      <c r="J952" s="1209"/>
      <c r="K952" s="1210">
        <f t="shared" si="188"/>
        <v>1.05</v>
      </c>
      <c r="L952" s="1210">
        <f t="shared" si="200"/>
        <v>0</v>
      </c>
      <c r="M952" s="1197">
        <f t="shared" si="201"/>
        <v>0</v>
      </c>
      <c r="N952" s="1211">
        <f t="shared" si="202"/>
        <v>0</v>
      </c>
      <c r="O952" s="1212"/>
      <c r="P952" s="1200"/>
      <c r="Q952" s="1200"/>
      <c r="R952" s="1213"/>
      <c r="S952" s="1213"/>
      <c r="T952" s="1213"/>
      <c r="U952" s="1213"/>
      <c r="V952" s="1213"/>
    </row>
    <row r="953" spans="1:22" ht="15" thickTop="1" thickBot="1" x14ac:dyDescent="0.3">
      <c r="A953" s="1207"/>
      <c r="B953" s="1212" t="s">
        <v>3227</v>
      </c>
      <c r="C953" s="1212"/>
      <c r="D953" s="1212"/>
      <c r="E953" s="1212"/>
      <c r="F953" s="1208">
        <v>4.8209999999999997</v>
      </c>
      <c r="G953" s="1208"/>
      <c r="H953" s="1208">
        <f t="shared" si="198"/>
        <v>0.97499999999999998</v>
      </c>
      <c r="I953" s="1209">
        <f t="shared" si="199"/>
        <v>4.700475</v>
      </c>
      <c r="J953" s="1209"/>
      <c r="K953" s="1210">
        <f t="shared" si="188"/>
        <v>1.05</v>
      </c>
      <c r="L953" s="1210">
        <f t="shared" si="200"/>
        <v>0</v>
      </c>
      <c r="M953" s="1197">
        <f t="shared" si="201"/>
        <v>0</v>
      </c>
      <c r="N953" s="1211">
        <f t="shared" si="202"/>
        <v>0</v>
      </c>
      <c r="O953" s="1212"/>
      <c r="P953" s="1200"/>
      <c r="Q953" s="1200"/>
      <c r="R953" s="1213"/>
      <c r="S953" s="1213"/>
      <c r="T953" s="1213"/>
      <c r="U953" s="1213"/>
      <c r="V953" s="1213"/>
    </row>
    <row r="954" spans="1:22" ht="15" thickTop="1" thickBot="1" x14ac:dyDescent="0.3">
      <c r="A954" s="1207"/>
      <c r="B954" s="1212" t="s">
        <v>3228</v>
      </c>
      <c r="C954" s="1212"/>
      <c r="D954" s="1212"/>
      <c r="E954" s="1212"/>
      <c r="F954" s="1208">
        <v>3.7589999999999999</v>
      </c>
      <c r="G954" s="1208"/>
      <c r="H954" s="1208">
        <f t="shared" si="198"/>
        <v>0.97499999999999998</v>
      </c>
      <c r="I954" s="1209">
        <f t="shared" si="199"/>
        <v>3.665025</v>
      </c>
      <c r="J954" s="1209"/>
      <c r="K954" s="1210">
        <f t="shared" si="188"/>
        <v>1.05</v>
      </c>
      <c r="L954" s="1210">
        <f t="shared" si="200"/>
        <v>0</v>
      </c>
      <c r="M954" s="1197">
        <f t="shared" si="201"/>
        <v>0</v>
      </c>
      <c r="N954" s="1211">
        <f t="shared" si="202"/>
        <v>0</v>
      </c>
      <c r="O954" s="1212"/>
      <c r="P954" s="1200"/>
      <c r="Q954" s="1200"/>
      <c r="R954" s="1213"/>
      <c r="S954" s="1213"/>
      <c r="T954" s="1213"/>
      <c r="U954" s="1213"/>
      <c r="V954" s="1213"/>
    </row>
    <row r="955" spans="1:22" ht="15" thickTop="1" thickBot="1" x14ac:dyDescent="0.3">
      <c r="A955" s="1207"/>
      <c r="B955" s="1212" t="s">
        <v>3229</v>
      </c>
      <c r="C955" s="1212"/>
      <c r="D955" s="1212"/>
      <c r="E955" s="1212"/>
      <c r="F955" s="1208">
        <v>10.164999999999999</v>
      </c>
      <c r="G955" s="1208"/>
      <c r="H955" s="1208">
        <f t="shared" si="198"/>
        <v>0.97499999999999998</v>
      </c>
      <c r="I955" s="1209">
        <f t="shared" si="199"/>
        <v>9.910874999999999</v>
      </c>
      <c r="J955" s="1209"/>
      <c r="K955" s="1210">
        <f t="shared" si="188"/>
        <v>1.05</v>
      </c>
      <c r="L955" s="1210">
        <f t="shared" si="200"/>
        <v>0</v>
      </c>
      <c r="M955" s="1197">
        <f t="shared" si="201"/>
        <v>0</v>
      </c>
      <c r="N955" s="1211">
        <f t="shared" si="202"/>
        <v>0</v>
      </c>
      <c r="O955" s="1212"/>
      <c r="P955" s="1200"/>
      <c r="Q955" s="1200"/>
      <c r="R955" s="1213"/>
      <c r="S955" s="1213"/>
      <c r="T955" s="1213"/>
      <c r="U955" s="1213"/>
      <c r="V955" s="1213"/>
    </row>
    <row r="956" spans="1:22" ht="15" thickTop="1" thickBot="1" x14ac:dyDescent="0.3">
      <c r="A956" s="1207"/>
      <c r="B956" s="1212" t="s">
        <v>3230</v>
      </c>
      <c r="C956" s="1212"/>
      <c r="D956" s="1212"/>
      <c r="E956" s="1212"/>
      <c r="F956" s="1208">
        <v>4.3600000000000003</v>
      </c>
      <c r="G956" s="1208"/>
      <c r="H956" s="1208">
        <f t="shared" si="198"/>
        <v>0.97499999999999998</v>
      </c>
      <c r="I956" s="1209">
        <f t="shared" si="199"/>
        <v>4.2510000000000003</v>
      </c>
      <c r="J956" s="1209"/>
      <c r="K956" s="1210">
        <f t="shared" si="188"/>
        <v>1.05</v>
      </c>
      <c r="L956" s="1210">
        <f t="shared" si="200"/>
        <v>0</v>
      </c>
      <c r="M956" s="1197">
        <f t="shared" si="201"/>
        <v>0</v>
      </c>
      <c r="N956" s="1211">
        <f t="shared" si="202"/>
        <v>0</v>
      </c>
      <c r="O956" s="1212"/>
      <c r="P956" s="1200"/>
      <c r="Q956" s="1200"/>
      <c r="R956" s="1213"/>
      <c r="S956" s="1213"/>
      <c r="T956" s="1213"/>
      <c r="U956" s="1213"/>
      <c r="V956" s="1213"/>
    </row>
    <row r="957" spans="1:22" ht="15" thickTop="1" thickBot="1" x14ac:dyDescent="0.3">
      <c r="A957" s="1207"/>
      <c r="B957" s="1212" t="s">
        <v>3231</v>
      </c>
      <c r="C957" s="1212"/>
      <c r="D957" s="1212"/>
      <c r="E957" s="1212"/>
      <c r="F957" s="1208">
        <v>4.8499999999999996</v>
      </c>
      <c r="G957" s="1208"/>
      <c r="H957" s="1208">
        <f t="shared" si="198"/>
        <v>0.97499999999999998</v>
      </c>
      <c r="I957" s="1209">
        <f t="shared" si="199"/>
        <v>4.7287499999999998</v>
      </c>
      <c r="J957" s="1209"/>
      <c r="K957" s="1210">
        <f t="shared" si="188"/>
        <v>1.05</v>
      </c>
      <c r="L957" s="1210">
        <f t="shared" si="200"/>
        <v>0</v>
      </c>
      <c r="M957" s="1197">
        <f t="shared" si="201"/>
        <v>0</v>
      </c>
      <c r="N957" s="1211">
        <f t="shared" si="202"/>
        <v>0</v>
      </c>
      <c r="O957" s="1212"/>
      <c r="P957" s="1200"/>
      <c r="Q957" s="1200"/>
      <c r="R957" s="1213"/>
      <c r="S957" s="1213"/>
      <c r="T957" s="1213"/>
      <c r="U957" s="1213"/>
      <c r="V957" s="1213"/>
    </row>
    <row r="958" spans="1:22" ht="15" thickTop="1" thickBot="1" x14ac:dyDescent="0.3">
      <c r="A958" s="1207"/>
      <c r="B958" s="1212"/>
      <c r="C958" s="1212"/>
      <c r="D958" s="1212"/>
      <c r="E958" s="1212"/>
      <c r="F958" s="1208"/>
      <c r="G958" s="1208"/>
      <c r="H958" s="1208"/>
      <c r="I958" s="1209"/>
      <c r="J958" s="1209">
        <f>SUM(I936:I957)</f>
        <v>123.36992499999999</v>
      </c>
      <c r="K958" s="1210">
        <f t="shared" si="188"/>
        <v>1.05</v>
      </c>
      <c r="L958" s="1210">
        <f t="shared" si="200"/>
        <v>129.53842125</v>
      </c>
      <c r="M958" s="1197">
        <f t="shared" si="201"/>
        <v>129.5</v>
      </c>
      <c r="N958" s="1211">
        <f t="shared" si="202"/>
        <v>130</v>
      </c>
      <c r="O958" s="1212"/>
      <c r="P958" s="1200"/>
      <c r="Q958" s="1200"/>
      <c r="R958" s="1213"/>
      <c r="S958" s="1213"/>
      <c r="T958" s="1213"/>
      <c r="U958" s="1213"/>
      <c r="V958" s="1213"/>
    </row>
    <row r="959" spans="1:22" ht="15" thickTop="1" thickBot="1" x14ac:dyDescent="0.3">
      <c r="A959" s="1207"/>
      <c r="B959" s="1212"/>
      <c r="C959" s="1212"/>
      <c r="D959" s="1212"/>
      <c r="E959" s="1212"/>
      <c r="F959" s="1208"/>
      <c r="G959" s="1208"/>
      <c r="H959" s="1208"/>
      <c r="I959" s="1209"/>
      <c r="J959" s="1209"/>
      <c r="K959" s="1210">
        <f t="shared" si="188"/>
        <v>1.05</v>
      </c>
      <c r="L959" s="1210">
        <f t="shared" si="200"/>
        <v>0</v>
      </c>
      <c r="M959" s="1197">
        <f t="shared" si="201"/>
        <v>0</v>
      </c>
      <c r="N959" s="1211">
        <f t="shared" si="202"/>
        <v>0</v>
      </c>
      <c r="O959" s="1212"/>
      <c r="P959" s="1200"/>
      <c r="Q959" s="1200"/>
      <c r="R959" s="1213"/>
      <c r="S959" s="1213"/>
      <c r="T959" s="1213"/>
      <c r="U959" s="1213"/>
      <c r="V959" s="1213"/>
    </row>
    <row r="960" spans="1:22" ht="15" thickTop="1" thickBot="1" x14ac:dyDescent="0.3">
      <c r="A960" s="1207"/>
      <c r="B960" s="1212"/>
      <c r="C960" s="1212"/>
      <c r="D960" s="1212"/>
      <c r="E960" s="1212"/>
      <c r="F960" s="1208"/>
      <c r="G960" s="1208"/>
      <c r="H960" s="1208"/>
      <c r="I960" s="1209"/>
      <c r="J960" s="1209"/>
      <c r="K960" s="1210">
        <f t="shared" si="188"/>
        <v>1.05</v>
      </c>
      <c r="L960" s="1210">
        <f t="shared" si="200"/>
        <v>0</v>
      </c>
      <c r="M960" s="1197">
        <f t="shared" si="201"/>
        <v>0</v>
      </c>
      <c r="N960" s="1211">
        <f t="shared" si="202"/>
        <v>0</v>
      </c>
      <c r="O960" s="1212"/>
      <c r="P960" s="1200"/>
      <c r="Q960" s="1200"/>
      <c r="R960" s="1213"/>
      <c r="S960" s="1213"/>
      <c r="T960" s="1213"/>
      <c r="U960" s="1213"/>
      <c r="V960" s="1213"/>
    </row>
    <row r="961" spans="1:22" ht="15" thickTop="1" thickBot="1" x14ac:dyDescent="0.3">
      <c r="A961" s="1207"/>
      <c r="B961" s="1212"/>
      <c r="C961" s="1212"/>
      <c r="D961" s="1212"/>
      <c r="E961" s="1212"/>
      <c r="F961" s="1208"/>
      <c r="G961" s="1208"/>
      <c r="H961" s="1208"/>
      <c r="I961" s="1209"/>
      <c r="J961" s="1209"/>
      <c r="K961" s="1210">
        <f t="shared" si="188"/>
        <v>1.05</v>
      </c>
      <c r="L961" s="1210">
        <f t="shared" si="200"/>
        <v>0</v>
      </c>
      <c r="M961" s="1197">
        <f t="shared" si="201"/>
        <v>0</v>
      </c>
      <c r="N961" s="1211">
        <f t="shared" si="202"/>
        <v>0</v>
      </c>
      <c r="O961" s="1212"/>
      <c r="P961" s="1200"/>
      <c r="Q961" s="1200"/>
      <c r="R961" s="1213"/>
      <c r="S961" s="1213"/>
      <c r="T961" s="1213"/>
      <c r="U961" s="1213"/>
      <c r="V961" s="1213"/>
    </row>
    <row r="962" spans="1:22" ht="15" thickTop="1" thickBot="1" x14ac:dyDescent="0.3">
      <c r="A962" s="1207"/>
      <c r="B962" s="1212"/>
      <c r="C962" s="1212"/>
      <c r="D962" s="1212"/>
      <c r="E962" s="1212"/>
      <c r="F962" s="1208"/>
      <c r="G962" s="1208"/>
      <c r="H962" s="1208"/>
      <c r="I962" s="1209"/>
      <c r="J962" s="1209"/>
      <c r="K962" s="1210">
        <f t="shared" si="188"/>
        <v>1.05</v>
      </c>
      <c r="L962" s="1210">
        <f t="shared" si="200"/>
        <v>0</v>
      </c>
      <c r="M962" s="1197">
        <f t="shared" si="201"/>
        <v>0</v>
      </c>
      <c r="N962" s="1211">
        <f t="shared" si="202"/>
        <v>0</v>
      </c>
      <c r="O962" s="1212"/>
      <c r="P962" s="1200"/>
      <c r="Q962" s="1200"/>
      <c r="R962" s="1213"/>
      <c r="S962" s="1213"/>
      <c r="T962" s="1213"/>
      <c r="U962" s="1213"/>
      <c r="V962" s="1213"/>
    </row>
    <row r="963" spans="1:22" ht="15" thickTop="1" thickBot="1" x14ac:dyDescent="0.3">
      <c r="A963" s="1207"/>
      <c r="B963" s="1212"/>
      <c r="C963" s="1212"/>
      <c r="D963" s="1212"/>
      <c r="E963" s="1212"/>
      <c r="F963" s="1208"/>
      <c r="G963" s="1208"/>
      <c r="H963" s="1208"/>
      <c r="I963" s="1209"/>
      <c r="J963" s="1209"/>
      <c r="K963" s="1210">
        <f t="shared" si="188"/>
        <v>1.05</v>
      </c>
      <c r="L963" s="1210">
        <f t="shared" si="200"/>
        <v>0</v>
      </c>
      <c r="M963" s="1197">
        <f t="shared" si="201"/>
        <v>0</v>
      </c>
      <c r="N963" s="1211">
        <f t="shared" si="202"/>
        <v>0</v>
      </c>
      <c r="O963" s="1212"/>
      <c r="P963" s="1200"/>
      <c r="Q963" s="1200"/>
      <c r="R963" s="1213"/>
      <c r="S963" s="1213"/>
      <c r="T963" s="1213"/>
      <c r="U963" s="1213"/>
      <c r="V963" s="1213"/>
    </row>
    <row r="964" spans="1:22" ht="15" thickTop="1" thickBot="1" x14ac:dyDescent="0.3">
      <c r="A964" s="1207"/>
      <c r="B964" s="1212" t="s">
        <v>3235</v>
      </c>
      <c r="C964" s="1212"/>
      <c r="D964" s="1212"/>
      <c r="E964" s="1212"/>
      <c r="F964" s="1208"/>
      <c r="G964" s="1208"/>
      <c r="H964" s="1208"/>
      <c r="I964" s="1209"/>
      <c r="J964" s="1209"/>
      <c r="K964" s="1210">
        <f t="shared" si="188"/>
        <v>1.05</v>
      </c>
      <c r="L964" s="1210">
        <f t="shared" si="200"/>
        <v>0</v>
      </c>
      <c r="M964" s="1197">
        <f t="shared" si="201"/>
        <v>0</v>
      </c>
      <c r="N964" s="1211">
        <f t="shared" si="202"/>
        <v>0</v>
      </c>
      <c r="O964" s="1212"/>
      <c r="P964" s="1200"/>
      <c r="Q964" s="1200"/>
      <c r="R964" s="1213"/>
      <c r="S964" s="1213"/>
      <c r="T964" s="1213"/>
      <c r="U964" s="1213"/>
      <c r="V964" s="1213"/>
    </row>
    <row r="965" spans="1:22" ht="15" thickTop="1" thickBot="1" x14ac:dyDescent="0.3">
      <c r="A965" s="1207"/>
      <c r="B965" s="1212" t="s">
        <v>3236</v>
      </c>
      <c r="C965" s="1212"/>
      <c r="D965" s="1212"/>
      <c r="E965" s="1212"/>
      <c r="F965" s="1208">
        <v>8.3610000000000007</v>
      </c>
      <c r="G965" s="1208">
        <v>0.22500000000000001</v>
      </c>
      <c r="H965" s="1208">
        <v>0.375</v>
      </c>
      <c r="I965" s="1209">
        <f t="shared" ref="I965:I966" si="203">H965*G965*F965</f>
        <v>0.70545937500000011</v>
      </c>
      <c r="J965" s="1209"/>
      <c r="K965" s="1210">
        <f t="shared" si="188"/>
        <v>1.05</v>
      </c>
      <c r="L965" s="1210">
        <f t="shared" si="200"/>
        <v>0</v>
      </c>
      <c r="M965" s="1197">
        <f t="shared" si="201"/>
        <v>0</v>
      </c>
      <c r="N965" s="1211">
        <f t="shared" si="202"/>
        <v>0</v>
      </c>
      <c r="O965" s="1212"/>
      <c r="P965" s="1200"/>
      <c r="Q965" s="1200"/>
      <c r="R965" s="1213"/>
      <c r="S965" s="1213"/>
      <c r="T965" s="1213"/>
      <c r="U965" s="1213"/>
      <c r="V965" s="1213"/>
    </row>
    <row r="966" spans="1:22" ht="15" thickTop="1" thickBot="1" x14ac:dyDescent="0.3">
      <c r="A966" s="1207"/>
      <c r="B966" s="1212" t="s">
        <v>3237</v>
      </c>
      <c r="C966" s="1212"/>
      <c r="D966" s="1212"/>
      <c r="E966" s="1212"/>
      <c r="F966" s="1208">
        <v>5.6989999999999998</v>
      </c>
      <c r="G966" s="1208">
        <v>0.22500000000000001</v>
      </c>
      <c r="H966" s="1208">
        <v>0.55000000000000004</v>
      </c>
      <c r="I966" s="1209">
        <f t="shared" si="203"/>
        <v>0.70525125000000011</v>
      </c>
      <c r="J966" s="1209"/>
      <c r="K966" s="1210">
        <f t="shared" si="188"/>
        <v>1.05</v>
      </c>
      <c r="L966" s="1210">
        <f t="shared" si="200"/>
        <v>0</v>
      </c>
      <c r="M966" s="1197">
        <f t="shared" si="201"/>
        <v>0</v>
      </c>
      <c r="N966" s="1211">
        <f t="shared" si="202"/>
        <v>0</v>
      </c>
      <c r="O966" s="1212"/>
      <c r="P966" s="1200"/>
      <c r="Q966" s="1200"/>
      <c r="R966" s="1213"/>
      <c r="S966" s="1213"/>
      <c r="T966" s="1213"/>
      <c r="U966" s="1213"/>
      <c r="V966" s="1213"/>
    </row>
    <row r="967" spans="1:22" ht="15" thickTop="1" thickBot="1" x14ac:dyDescent="0.3">
      <c r="A967" s="1207"/>
      <c r="B967" s="1212" t="s">
        <v>3238</v>
      </c>
      <c r="C967" s="1212"/>
      <c r="D967" s="1212"/>
      <c r="E967" s="1212"/>
      <c r="F967" s="1208">
        <v>2.2250000000000001</v>
      </c>
      <c r="G967" s="1208">
        <v>0.22500000000000001</v>
      </c>
      <c r="H967" s="1208">
        <v>0.375</v>
      </c>
      <c r="I967" s="1209">
        <f t="shared" ref="I967:I972" si="204">H967*G967*F967</f>
        <v>0.18773437500000001</v>
      </c>
      <c r="J967" s="1209"/>
      <c r="K967" s="1210">
        <f t="shared" si="188"/>
        <v>1.05</v>
      </c>
      <c r="L967" s="1210">
        <f t="shared" si="200"/>
        <v>0</v>
      </c>
      <c r="M967" s="1197">
        <f t="shared" si="201"/>
        <v>0</v>
      </c>
      <c r="N967" s="1211">
        <f t="shared" si="202"/>
        <v>0</v>
      </c>
      <c r="O967" s="1212"/>
      <c r="P967" s="1200"/>
      <c r="Q967" s="1200"/>
      <c r="R967" s="1213"/>
      <c r="S967" s="1213"/>
      <c r="T967" s="1213"/>
      <c r="U967" s="1213"/>
      <c r="V967" s="1213"/>
    </row>
    <row r="968" spans="1:22" ht="15" thickTop="1" thickBot="1" x14ac:dyDescent="0.3">
      <c r="A968" s="1207"/>
      <c r="B968" s="1212" t="s">
        <v>3239</v>
      </c>
      <c r="C968" s="1212"/>
      <c r="D968" s="1212"/>
      <c r="E968" s="1212"/>
      <c r="F968" s="1208">
        <v>11.99</v>
      </c>
      <c r="G968" s="1208">
        <v>0.22500000000000001</v>
      </c>
      <c r="H968" s="1208">
        <v>0.375</v>
      </c>
      <c r="I968" s="1209">
        <f t="shared" si="204"/>
        <v>1.0116562500000001</v>
      </c>
      <c r="J968" s="1209"/>
      <c r="K968" s="1210">
        <f t="shared" si="188"/>
        <v>1.05</v>
      </c>
      <c r="L968" s="1210">
        <f t="shared" si="200"/>
        <v>0</v>
      </c>
      <c r="M968" s="1197">
        <f t="shared" si="201"/>
        <v>0</v>
      </c>
      <c r="N968" s="1211">
        <f t="shared" si="202"/>
        <v>0</v>
      </c>
      <c r="O968" s="1212"/>
      <c r="P968" s="1200"/>
      <c r="Q968" s="1200"/>
      <c r="R968" s="1213"/>
      <c r="S968" s="1213"/>
      <c r="T968" s="1213"/>
      <c r="U968" s="1213"/>
      <c r="V968" s="1213"/>
    </row>
    <row r="969" spans="1:22" ht="15" thickTop="1" thickBot="1" x14ac:dyDescent="0.3">
      <c r="A969" s="1207"/>
      <c r="B969" s="1212" t="s">
        <v>3240</v>
      </c>
      <c r="C969" s="1212"/>
      <c r="D969" s="1212"/>
      <c r="E969" s="1212"/>
      <c r="F969" s="1208">
        <v>3.65</v>
      </c>
      <c r="G969" s="1208">
        <v>0.22500000000000001</v>
      </c>
      <c r="H969" s="1208">
        <v>0.375</v>
      </c>
      <c r="I969" s="1209">
        <f t="shared" si="204"/>
        <v>0.30796875000000001</v>
      </c>
      <c r="J969" s="1209"/>
      <c r="K969" s="1210">
        <f t="shared" si="188"/>
        <v>1.05</v>
      </c>
      <c r="L969" s="1210">
        <f t="shared" si="200"/>
        <v>0</v>
      </c>
      <c r="M969" s="1197">
        <f t="shared" si="201"/>
        <v>0</v>
      </c>
      <c r="N969" s="1211">
        <f t="shared" si="202"/>
        <v>0</v>
      </c>
      <c r="O969" s="1212"/>
      <c r="P969" s="1200"/>
      <c r="Q969" s="1200"/>
      <c r="R969" s="1213"/>
      <c r="S969" s="1213"/>
      <c r="T969" s="1213"/>
      <c r="U969" s="1213"/>
      <c r="V969" s="1213"/>
    </row>
    <row r="970" spans="1:22" ht="15" thickTop="1" thickBot="1" x14ac:dyDescent="0.3">
      <c r="A970" s="1207"/>
      <c r="B970" s="1212" t="s">
        <v>3241</v>
      </c>
      <c r="C970" s="1212"/>
      <c r="D970" s="1212"/>
      <c r="E970" s="1212"/>
      <c r="F970" s="1208">
        <v>1.397</v>
      </c>
      <c r="G970" s="1208">
        <v>0.22500000000000001</v>
      </c>
      <c r="H970" s="1208">
        <v>0.375</v>
      </c>
      <c r="I970" s="1209">
        <f t="shared" si="204"/>
        <v>0.11787187500000001</v>
      </c>
      <c r="J970" s="1209"/>
      <c r="K970" s="1210">
        <f t="shared" si="188"/>
        <v>1.05</v>
      </c>
      <c r="L970" s="1210">
        <f t="shared" si="200"/>
        <v>0</v>
      </c>
      <c r="M970" s="1197">
        <f t="shared" si="201"/>
        <v>0</v>
      </c>
      <c r="N970" s="1211">
        <f t="shared" si="202"/>
        <v>0</v>
      </c>
      <c r="O970" s="1212"/>
      <c r="P970" s="1200"/>
      <c r="Q970" s="1200"/>
      <c r="R970" s="1213"/>
      <c r="S970" s="1213"/>
      <c r="T970" s="1213"/>
      <c r="U970" s="1213"/>
      <c r="V970" s="1213"/>
    </row>
    <row r="971" spans="1:22" ht="15" thickTop="1" thickBot="1" x14ac:dyDescent="0.3">
      <c r="A971" s="1207"/>
      <c r="B971" s="1212" t="s">
        <v>3242</v>
      </c>
      <c r="C971" s="1212"/>
      <c r="D971" s="1212"/>
      <c r="E971" s="1212"/>
      <c r="F971" s="1208">
        <v>4.1289999999999996</v>
      </c>
      <c r="G971" s="1208">
        <v>0.22500000000000001</v>
      </c>
      <c r="H971" s="1208">
        <v>0.375</v>
      </c>
      <c r="I971" s="1209">
        <f t="shared" si="204"/>
        <v>0.34838437499999997</v>
      </c>
      <c r="J971" s="1209"/>
      <c r="K971" s="1210">
        <f t="shared" si="188"/>
        <v>1.05</v>
      </c>
      <c r="L971" s="1210">
        <f t="shared" si="200"/>
        <v>0</v>
      </c>
      <c r="M971" s="1197">
        <f t="shared" si="201"/>
        <v>0</v>
      </c>
      <c r="N971" s="1211">
        <f t="shared" si="202"/>
        <v>0</v>
      </c>
      <c r="O971" s="1212"/>
      <c r="P971" s="1200"/>
      <c r="Q971" s="1200"/>
      <c r="R971" s="1213"/>
      <c r="S971" s="1213"/>
      <c r="T971" s="1213"/>
      <c r="U971" s="1213"/>
      <c r="V971" s="1213"/>
    </row>
    <row r="972" spans="1:22" ht="15" thickTop="1" thickBot="1" x14ac:dyDescent="0.3">
      <c r="A972" s="1207"/>
      <c r="B972" s="1212" t="s">
        <v>3243</v>
      </c>
      <c r="C972" s="1212"/>
      <c r="D972" s="1212"/>
      <c r="E972" s="1212"/>
      <c r="F972" s="1208">
        <v>1.7</v>
      </c>
      <c r="G972" s="1208">
        <v>0.22500000000000001</v>
      </c>
      <c r="H972" s="1208">
        <v>0.45</v>
      </c>
      <c r="I972" s="1209">
        <f t="shared" si="204"/>
        <v>0.172125</v>
      </c>
      <c r="J972" s="1209"/>
      <c r="K972" s="1210">
        <f t="shared" si="188"/>
        <v>1.05</v>
      </c>
      <c r="L972" s="1210">
        <f t="shared" si="200"/>
        <v>0</v>
      </c>
      <c r="M972" s="1197">
        <f t="shared" si="201"/>
        <v>0</v>
      </c>
      <c r="N972" s="1211">
        <f t="shared" si="202"/>
        <v>0</v>
      </c>
      <c r="O972" s="1212"/>
      <c r="P972" s="1200"/>
      <c r="Q972" s="1200"/>
      <c r="R972" s="1213"/>
      <c r="S972" s="1213"/>
      <c r="T972" s="1213"/>
      <c r="U972" s="1213"/>
      <c r="V972" s="1213"/>
    </row>
    <row r="973" spans="1:22" ht="15" thickTop="1" thickBot="1" x14ac:dyDescent="0.3">
      <c r="A973" s="1207"/>
      <c r="B973" s="1212" t="s">
        <v>3244</v>
      </c>
      <c r="C973" s="1212"/>
      <c r="D973" s="1212"/>
      <c r="E973" s="1212"/>
      <c r="F973" s="1208">
        <v>10.069000000000001</v>
      </c>
      <c r="G973" s="1208">
        <v>0.22500000000000001</v>
      </c>
      <c r="H973" s="1208">
        <v>0.375</v>
      </c>
      <c r="I973" s="1209">
        <f t="shared" ref="I973:I983" si="205">H973*G973*F973</f>
        <v>0.84957187500000009</v>
      </c>
      <c r="J973" s="1209"/>
      <c r="K973" s="1210">
        <f t="shared" si="188"/>
        <v>1.05</v>
      </c>
      <c r="L973" s="1210">
        <f t="shared" si="200"/>
        <v>0</v>
      </c>
      <c r="M973" s="1197">
        <f t="shared" si="201"/>
        <v>0</v>
      </c>
      <c r="N973" s="1211">
        <f t="shared" si="202"/>
        <v>0</v>
      </c>
      <c r="O973" s="1212"/>
      <c r="P973" s="1200"/>
      <c r="Q973" s="1200"/>
      <c r="R973" s="1213"/>
      <c r="S973" s="1213"/>
      <c r="T973" s="1213"/>
      <c r="U973" s="1213"/>
      <c r="V973" s="1213"/>
    </row>
    <row r="974" spans="1:22" ht="15" thickTop="1" thickBot="1" x14ac:dyDescent="0.3">
      <c r="A974" s="1207"/>
      <c r="B974" s="1212" t="s">
        <v>3245</v>
      </c>
      <c r="C974" s="1212"/>
      <c r="D974" s="1212"/>
      <c r="E974" s="1212"/>
      <c r="F974" s="1208">
        <v>5.8520000000000003</v>
      </c>
      <c r="G974" s="1208">
        <v>0.22500000000000001</v>
      </c>
      <c r="H974" s="1208">
        <v>0.375</v>
      </c>
      <c r="I974" s="1209">
        <f t="shared" si="205"/>
        <v>0.49376250000000005</v>
      </c>
      <c r="J974" s="1209"/>
      <c r="K974" s="1210">
        <f t="shared" si="188"/>
        <v>1.05</v>
      </c>
      <c r="L974" s="1210">
        <f t="shared" si="200"/>
        <v>0</v>
      </c>
      <c r="M974" s="1197">
        <f t="shared" si="201"/>
        <v>0</v>
      </c>
      <c r="N974" s="1211">
        <f t="shared" si="202"/>
        <v>0</v>
      </c>
      <c r="O974" s="1212"/>
      <c r="P974" s="1200"/>
      <c r="Q974" s="1200"/>
      <c r="R974" s="1213"/>
      <c r="S974" s="1213"/>
      <c r="T974" s="1213"/>
      <c r="U974" s="1213"/>
      <c r="V974" s="1213"/>
    </row>
    <row r="975" spans="1:22" ht="15" thickTop="1" thickBot="1" x14ac:dyDescent="0.3">
      <c r="A975" s="1207"/>
      <c r="B975" s="1212" t="s">
        <v>3246</v>
      </c>
      <c r="C975" s="1212"/>
      <c r="D975" s="1212"/>
      <c r="E975" s="1212"/>
      <c r="F975" s="1208">
        <v>2.9660000000000002</v>
      </c>
      <c r="G975" s="1208">
        <v>0.22500000000000001</v>
      </c>
      <c r="H975" s="1208">
        <v>0.375</v>
      </c>
      <c r="I975" s="1209">
        <f t="shared" si="205"/>
        <v>0.25025625000000001</v>
      </c>
      <c r="J975" s="1209"/>
      <c r="K975" s="1210">
        <f t="shared" ref="K975:K1034" si="206">$K$2</f>
        <v>1.05</v>
      </c>
      <c r="L975" s="1210">
        <f t="shared" si="200"/>
        <v>0</v>
      </c>
      <c r="M975" s="1197">
        <f t="shared" si="201"/>
        <v>0</v>
      </c>
      <c r="N975" s="1211">
        <f t="shared" si="202"/>
        <v>0</v>
      </c>
      <c r="O975" s="1212"/>
      <c r="P975" s="1200"/>
      <c r="Q975" s="1200"/>
      <c r="R975" s="1213"/>
      <c r="S975" s="1213"/>
      <c r="T975" s="1213"/>
      <c r="U975" s="1213"/>
      <c r="V975" s="1213"/>
    </row>
    <row r="976" spans="1:22" ht="15" thickTop="1" thickBot="1" x14ac:dyDescent="0.3">
      <c r="A976" s="1207"/>
      <c r="B976" s="1212" t="s">
        <v>3247</v>
      </c>
      <c r="C976" s="1212"/>
      <c r="D976" s="1212"/>
      <c r="E976" s="1212"/>
      <c r="F976" s="1992">
        <v>14.231</v>
      </c>
      <c r="G976" s="1208">
        <v>0.22500000000000001</v>
      </c>
      <c r="H976" s="1208">
        <v>0.375</v>
      </c>
      <c r="I976" s="1209">
        <f t="shared" si="205"/>
        <v>1.2007406250000001</v>
      </c>
      <c r="J976" s="1209"/>
      <c r="K976" s="1210">
        <f t="shared" si="206"/>
        <v>1.05</v>
      </c>
      <c r="L976" s="1210">
        <f t="shared" si="200"/>
        <v>0</v>
      </c>
      <c r="M976" s="1197">
        <f t="shared" si="201"/>
        <v>0</v>
      </c>
      <c r="N976" s="1211">
        <f t="shared" si="202"/>
        <v>0</v>
      </c>
      <c r="O976" s="1212"/>
      <c r="P976" s="1200"/>
      <c r="Q976" s="1200"/>
      <c r="R976" s="1213"/>
      <c r="S976" s="1213"/>
      <c r="T976" s="1213"/>
      <c r="U976" s="1213"/>
      <c r="V976" s="1213"/>
    </row>
    <row r="977" spans="1:22" ht="15" thickTop="1" thickBot="1" x14ac:dyDescent="0.3">
      <c r="A977" s="1207"/>
      <c r="B977" s="1212" t="s">
        <v>3248</v>
      </c>
      <c r="C977" s="1212"/>
      <c r="D977" s="1212"/>
      <c r="E977" s="1212"/>
      <c r="F977" s="1992">
        <v>4.5999999999999996</v>
      </c>
      <c r="G977" s="1208">
        <v>0.22500000000000001</v>
      </c>
      <c r="H977" s="1208">
        <v>0.375</v>
      </c>
      <c r="I977" s="1209">
        <f t="shared" si="205"/>
        <v>0.388125</v>
      </c>
      <c r="J977" s="1209"/>
      <c r="K977" s="1210">
        <f t="shared" si="206"/>
        <v>1.05</v>
      </c>
      <c r="L977" s="1210">
        <f t="shared" si="200"/>
        <v>0</v>
      </c>
      <c r="M977" s="1197">
        <f t="shared" si="201"/>
        <v>0</v>
      </c>
      <c r="N977" s="1211">
        <f t="shared" si="202"/>
        <v>0</v>
      </c>
      <c r="O977" s="1212"/>
      <c r="P977" s="1200"/>
      <c r="Q977" s="1200"/>
      <c r="R977" s="1213"/>
      <c r="S977" s="1213"/>
      <c r="T977" s="1213"/>
      <c r="U977" s="1213"/>
      <c r="V977" s="1213"/>
    </row>
    <row r="978" spans="1:22" ht="15" thickTop="1" thickBot="1" x14ac:dyDescent="0.3">
      <c r="A978" s="1207"/>
      <c r="B978" s="1212" t="s">
        <v>3249</v>
      </c>
      <c r="C978" s="1212"/>
      <c r="D978" s="1212"/>
      <c r="E978" s="1212"/>
      <c r="F978" s="1992">
        <v>3.8</v>
      </c>
      <c r="G978" s="1208">
        <v>0.22500000000000001</v>
      </c>
      <c r="H978" s="1208">
        <v>0.375</v>
      </c>
      <c r="I978" s="1209">
        <f t="shared" si="205"/>
        <v>0.32062499999999999</v>
      </c>
      <c r="J978" s="1209"/>
      <c r="K978" s="1210">
        <f t="shared" si="206"/>
        <v>1.05</v>
      </c>
      <c r="L978" s="1210">
        <f t="shared" si="200"/>
        <v>0</v>
      </c>
      <c r="M978" s="1197">
        <f t="shared" si="201"/>
        <v>0</v>
      </c>
      <c r="N978" s="1211">
        <f t="shared" si="202"/>
        <v>0</v>
      </c>
      <c r="O978" s="1212"/>
      <c r="P978" s="1200"/>
      <c r="Q978" s="1200"/>
      <c r="R978" s="1213"/>
      <c r="S978" s="1213"/>
      <c r="T978" s="1213"/>
      <c r="U978" s="1213"/>
      <c r="V978" s="1213"/>
    </row>
    <row r="979" spans="1:22" ht="15" thickTop="1" thickBot="1" x14ac:dyDescent="0.3">
      <c r="A979" s="1207"/>
      <c r="B979" s="1212" t="s">
        <v>3250</v>
      </c>
      <c r="C979" s="1212"/>
      <c r="D979" s="1212"/>
      <c r="E979" s="1212"/>
      <c r="F979" s="1992">
        <v>13.193</v>
      </c>
      <c r="G979" s="1208">
        <v>0.22500000000000001</v>
      </c>
      <c r="H979" s="1208">
        <v>0.375</v>
      </c>
      <c r="I979" s="1209">
        <f t="shared" si="205"/>
        <v>1.113159375</v>
      </c>
      <c r="J979" s="1209"/>
      <c r="K979" s="1210">
        <f t="shared" si="206"/>
        <v>1.05</v>
      </c>
      <c r="L979" s="1210">
        <f t="shared" si="200"/>
        <v>0</v>
      </c>
      <c r="M979" s="1197">
        <f t="shared" si="201"/>
        <v>0</v>
      </c>
      <c r="N979" s="1211">
        <f t="shared" si="202"/>
        <v>0</v>
      </c>
      <c r="O979" s="1212"/>
      <c r="P979" s="1200"/>
      <c r="Q979" s="1200"/>
      <c r="R979" s="1213"/>
      <c r="S979" s="1213"/>
      <c r="T979" s="1213"/>
      <c r="U979" s="1213"/>
      <c r="V979" s="1213"/>
    </row>
    <row r="980" spans="1:22" ht="15" thickTop="1" thickBot="1" x14ac:dyDescent="0.3">
      <c r="A980" s="1207"/>
      <c r="B980" s="1212" t="s">
        <v>3253</v>
      </c>
      <c r="C980" s="1212"/>
      <c r="D980" s="1212"/>
      <c r="E980" s="1212"/>
      <c r="F980" s="1992">
        <v>3.2250000000000001</v>
      </c>
      <c r="G980" s="1208">
        <v>0.22500000000000001</v>
      </c>
      <c r="H980" s="1208">
        <v>0.375</v>
      </c>
      <c r="I980" s="1209">
        <f t="shared" si="205"/>
        <v>0.27210937500000004</v>
      </c>
      <c r="J980" s="1209"/>
      <c r="K980" s="1210"/>
      <c r="L980" s="1210"/>
      <c r="M980" s="1197"/>
      <c r="N980" s="1211"/>
      <c r="O980" s="1212"/>
      <c r="P980" s="1200"/>
      <c r="Q980" s="1200"/>
      <c r="R980" s="1213"/>
      <c r="S980" s="1213"/>
      <c r="T980" s="1213"/>
      <c r="U980" s="1213"/>
      <c r="V980" s="1213"/>
    </row>
    <row r="981" spans="1:22" ht="15" thickTop="1" thickBot="1" x14ac:dyDescent="0.3">
      <c r="A981" s="1207"/>
      <c r="B981" s="1212" t="s">
        <v>3251</v>
      </c>
      <c r="C981" s="1212"/>
      <c r="D981" s="1212"/>
      <c r="E981" s="1212"/>
      <c r="F981" s="1992">
        <v>3.9249999999999998</v>
      </c>
      <c r="G981" s="1208">
        <v>0.22500000000000001</v>
      </c>
      <c r="H981" s="1208">
        <v>0.375</v>
      </c>
      <c r="I981" s="1209">
        <f t="shared" si="205"/>
        <v>0.331171875</v>
      </c>
      <c r="J981" s="1209"/>
      <c r="K981" s="1210">
        <f t="shared" si="206"/>
        <v>1.05</v>
      </c>
      <c r="L981" s="1210">
        <f t="shared" si="200"/>
        <v>0</v>
      </c>
      <c r="M981" s="1197">
        <f t="shared" si="201"/>
        <v>0</v>
      </c>
      <c r="N981" s="1211">
        <f t="shared" si="202"/>
        <v>0</v>
      </c>
      <c r="O981" s="1212"/>
      <c r="P981" s="1200"/>
      <c r="Q981" s="1200"/>
      <c r="R981" s="1213"/>
      <c r="S981" s="1213"/>
      <c r="T981" s="1213"/>
      <c r="U981" s="1213"/>
      <c r="V981" s="1213"/>
    </row>
    <row r="982" spans="1:22" ht="15" thickTop="1" thickBot="1" x14ac:dyDescent="0.3">
      <c r="A982" s="1207"/>
      <c r="B982" s="1212" t="s">
        <v>3252</v>
      </c>
      <c r="C982" s="1212"/>
      <c r="D982" s="1212"/>
      <c r="E982" s="1212"/>
      <c r="F982" s="1208">
        <v>14.528</v>
      </c>
      <c r="G982" s="1208">
        <v>0.22500000000000001</v>
      </c>
      <c r="H982" s="1208">
        <v>0.375</v>
      </c>
      <c r="I982" s="1209">
        <f t="shared" si="205"/>
        <v>1.2258000000000002</v>
      </c>
      <c r="J982" s="1209"/>
      <c r="K982" s="1210">
        <f t="shared" si="206"/>
        <v>1.05</v>
      </c>
      <c r="L982" s="1210">
        <f t="shared" si="200"/>
        <v>0</v>
      </c>
      <c r="M982" s="1197">
        <f t="shared" si="201"/>
        <v>0</v>
      </c>
      <c r="N982" s="1211">
        <f t="shared" si="202"/>
        <v>0</v>
      </c>
      <c r="O982" s="1212"/>
      <c r="P982" s="1200"/>
      <c r="Q982" s="1200"/>
      <c r="R982" s="1213"/>
      <c r="S982" s="1213"/>
      <c r="T982" s="1213"/>
      <c r="U982" s="1213"/>
      <c r="V982" s="1213"/>
    </row>
    <row r="983" spans="1:22" ht="15" thickTop="1" thickBot="1" x14ac:dyDescent="0.3">
      <c r="A983" s="1207"/>
      <c r="B983" s="1212" t="s">
        <v>3254</v>
      </c>
      <c r="C983" s="1212"/>
      <c r="D983" s="1212"/>
      <c r="E983" s="1212"/>
      <c r="F983" s="1208">
        <v>6.5110000000000001</v>
      </c>
      <c r="G983" s="1208">
        <v>0.22500000000000001</v>
      </c>
      <c r="H983" s="1208">
        <v>0.45</v>
      </c>
      <c r="I983" s="1209">
        <f t="shared" si="205"/>
        <v>0.6592387500000001</v>
      </c>
      <c r="J983" s="1209"/>
      <c r="K983" s="1210">
        <f t="shared" si="206"/>
        <v>1.05</v>
      </c>
      <c r="L983" s="1210">
        <f t="shared" si="200"/>
        <v>0</v>
      </c>
      <c r="M983" s="1197">
        <f t="shared" si="201"/>
        <v>0</v>
      </c>
      <c r="N983" s="1211">
        <f t="shared" si="202"/>
        <v>0</v>
      </c>
      <c r="O983" s="1212"/>
      <c r="P983" s="1200"/>
      <c r="Q983" s="1200"/>
      <c r="R983" s="1213"/>
      <c r="S983" s="1213"/>
      <c r="T983" s="1213"/>
      <c r="U983" s="1213"/>
      <c r="V983" s="1213"/>
    </row>
    <row r="984" spans="1:22" ht="15" thickTop="1" thickBot="1" x14ac:dyDescent="0.3">
      <c r="A984" s="1207"/>
      <c r="B984" s="1212" t="s">
        <v>3255</v>
      </c>
      <c r="C984" s="1212"/>
      <c r="D984" s="1212"/>
      <c r="E984" s="1212"/>
      <c r="F984" s="1208">
        <v>4.4000000000000004</v>
      </c>
      <c r="G984" s="1208">
        <v>0.22500000000000001</v>
      </c>
      <c r="H984" s="1208">
        <v>0.375</v>
      </c>
      <c r="I984" s="1209">
        <f t="shared" ref="I984:I985" si="207">H984*G984*F984</f>
        <v>0.37125000000000008</v>
      </c>
      <c r="J984" s="1209"/>
      <c r="K984" s="1210">
        <f t="shared" si="206"/>
        <v>1.05</v>
      </c>
      <c r="L984" s="1210">
        <f t="shared" si="200"/>
        <v>0</v>
      </c>
      <c r="M984" s="1197">
        <f t="shared" si="201"/>
        <v>0</v>
      </c>
      <c r="N984" s="1211">
        <f t="shared" si="202"/>
        <v>0</v>
      </c>
      <c r="O984" s="1212"/>
      <c r="P984" s="1200"/>
      <c r="Q984" s="1200"/>
      <c r="R984" s="1213"/>
      <c r="S984" s="1213"/>
      <c r="T984" s="1213"/>
      <c r="U984" s="1213"/>
      <c r="V984" s="1213"/>
    </row>
    <row r="985" spans="1:22" ht="15" thickTop="1" thickBot="1" x14ac:dyDescent="0.3">
      <c r="A985" s="1207"/>
      <c r="B985" s="1212" t="s">
        <v>3256</v>
      </c>
      <c r="C985" s="1212"/>
      <c r="D985" s="1212"/>
      <c r="E985" s="1212"/>
      <c r="F985" s="1208">
        <v>4</v>
      </c>
      <c r="G985" s="1208">
        <v>0.22500000000000001</v>
      </c>
      <c r="H985" s="1208">
        <v>0.375</v>
      </c>
      <c r="I985" s="1209">
        <f t="shared" si="207"/>
        <v>0.33750000000000002</v>
      </c>
      <c r="J985" s="1209"/>
      <c r="K985" s="1210">
        <f t="shared" si="206"/>
        <v>1.05</v>
      </c>
      <c r="L985" s="1210">
        <f t="shared" si="200"/>
        <v>0</v>
      </c>
      <c r="M985" s="1197">
        <f t="shared" si="201"/>
        <v>0</v>
      </c>
      <c r="N985" s="1211">
        <f t="shared" si="202"/>
        <v>0</v>
      </c>
      <c r="O985" s="1212"/>
      <c r="P985" s="1200"/>
      <c r="Q985" s="1200"/>
      <c r="R985" s="1213"/>
      <c r="S985" s="1213"/>
      <c r="T985" s="1213"/>
      <c r="U985" s="1213"/>
      <c r="V985" s="1213"/>
    </row>
    <row r="986" spans="1:22" ht="15" thickTop="1" thickBot="1" x14ac:dyDescent="0.3">
      <c r="A986" s="1207"/>
      <c r="B986" s="1212"/>
      <c r="C986" s="1212"/>
      <c r="D986" s="1212"/>
      <c r="E986" s="1212"/>
      <c r="F986" s="1208"/>
      <c r="G986" s="1208"/>
      <c r="H986" s="1208"/>
      <c r="I986" s="1209"/>
      <c r="J986" s="1209">
        <f>SUM(I965:I985)</f>
        <v>11.369761875</v>
      </c>
      <c r="K986" s="1210">
        <f t="shared" si="206"/>
        <v>1.05</v>
      </c>
      <c r="L986" s="1210">
        <f t="shared" si="200"/>
        <v>11.93824996875</v>
      </c>
      <c r="M986" s="1197">
        <f t="shared" si="201"/>
        <v>11.9</v>
      </c>
      <c r="N986" s="1211">
        <f t="shared" si="202"/>
        <v>12</v>
      </c>
      <c r="O986" s="1212"/>
      <c r="P986" s="1200"/>
      <c r="Q986" s="1200"/>
      <c r="R986" s="1213"/>
      <c r="S986" s="1213"/>
      <c r="T986" s="1213"/>
      <c r="U986" s="1213"/>
      <c r="V986" s="1213"/>
    </row>
    <row r="987" spans="1:22" ht="15" thickTop="1" thickBot="1" x14ac:dyDescent="0.3">
      <c r="A987" s="1207"/>
      <c r="B987" s="1212"/>
      <c r="C987" s="1212"/>
      <c r="D987" s="1212"/>
      <c r="E987" s="1212"/>
      <c r="F987" s="1208"/>
      <c r="G987" s="1208"/>
      <c r="H987" s="1208"/>
      <c r="I987" s="1209"/>
      <c r="J987" s="1209"/>
      <c r="K987" s="1210">
        <f t="shared" si="206"/>
        <v>1.05</v>
      </c>
      <c r="L987" s="1210">
        <f t="shared" ref="L987:L990" si="208">K987*J987</f>
        <v>0</v>
      </c>
      <c r="M987" s="1197">
        <f t="shared" ref="M987:M990" si="209">ROUND(L987,1)</f>
        <v>0</v>
      </c>
      <c r="N987" s="1211">
        <f t="shared" ref="N987:N990" si="210">ROUNDUP(M987,0)</f>
        <v>0</v>
      </c>
      <c r="O987" s="1212"/>
      <c r="P987" s="1200"/>
      <c r="Q987" s="1200"/>
      <c r="R987" s="1213"/>
      <c r="S987" s="1213"/>
      <c r="T987" s="1213"/>
      <c r="U987" s="1213"/>
      <c r="V987" s="1213"/>
    </row>
    <row r="988" spans="1:22" ht="15" thickTop="1" thickBot="1" x14ac:dyDescent="0.3">
      <c r="A988" s="1207"/>
      <c r="B988" s="1212"/>
      <c r="C988" s="1212"/>
      <c r="D988" s="1212"/>
      <c r="E988" s="1212"/>
      <c r="F988" s="1208"/>
      <c r="G988" s="1208"/>
      <c r="H988" s="1208">
        <v>105</v>
      </c>
      <c r="I988" s="1209">
        <f>J986</f>
        <v>11.369761875</v>
      </c>
      <c r="J988" s="1209">
        <f>I988*H988</f>
        <v>1193.8249968749999</v>
      </c>
      <c r="K988" s="1210">
        <f t="shared" si="206"/>
        <v>1.05</v>
      </c>
      <c r="L988" s="1210">
        <f t="shared" si="208"/>
        <v>1253.5162467187499</v>
      </c>
      <c r="M988" s="1197">
        <f t="shared" si="209"/>
        <v>1253.5</v>
      </c>
      <c r="N988" s="1211">
        <f t="shared" si="210"/>
        <v>1254</v>
      </c>
      <c r="O988" s="1212"/>
      <c r="P988" s="1200"/>
      <c r="Q988" s="1200"/>
      <c r="R988" s="1213"/>
      <c r="S988" s="1213"/>
      <c r="T988" s="1213"/>
      <c r="U988" s="1213"/>
      <c r="V988" s="1213"/>
    </row>
    <row r="989" spans="1:22" ht="15" thickTop="1" thickBot="1" x14ac:dyDescent="0.3">
      <c r="A989" s="1207"/>
      <c r="B989" s="1212"/>
      <c r="C989" s="1212"/>
      <c r="D989" s="1212"/>
      <c r="E989" s="1212"/>
      <c r="F989" s="1208"/>
      <c r="G989" s="1208"/>
      <c r="H989" s="1208"/>
      <c r="I989" s="1209"/>
      <c r="J989" s="1209"/>
      <c r="K989" s="1210">
        <f t="shared" si="206"/>
        <v>1.05</v>
      </c>
      <c r="L989" s="1210">
        <f t="shared" si="208"/>
        <v>0</v>
      </c>
      <c r="M989" s="1197">
        <f t="shared" si="209"/>
        <v>0</v>
      </c>
      <c r="N989" s="1211">
        <f t="shared" si="210"/>
        <v>0</v>
      </c>
      <c r="O989" s="1212"/>
      <c r="P989" s="1200"/>
      <c r="Q989" s="1200"/>
      <c r="R989" s="1213"/>
      <c r="S989" s="1213"/>
      <c r="T989" s="1213"/>
      <c r="U989" s="1213"/>
      <c r="V989" s="1213"/>
    </row>
    <row r="990" spans="1:22" ht="15" thickTop="1" thickBot="1" x14ac:dyDescent="0.3">
      <c r="A990" s="1207"/>
      <c r="B990" s="1212"/>
      <c r="C990" s="1212"/>
      <c r="D990" s="1212"/>
      <c r="E990" s="1212"/>
      <c r="F990" s="1208"/>
      <c r="G990" s="1208"/>
      <c r="H990" s="1208"/>
      <c r="I990" s="1209"/>
      <c r="J990" s="1209"/>
      <c r="K990" s="1210">
        <f t="shared" si="206"/>
        <v>1.05</v>
      </c>
      <c r="L990" s="1210">
        <f t="shared" si="208"/>
        <v>0</v>
      </c>
      <c r="M990" s="1197">
        <f t="shared" si="209"/>
        <v>0</v>
      </c>
      <c r="N990" s="1211">
        <f t="shared" si="210"/>
        <v>0</v>
      </c>
      <c r="O990" s="1212"/>
      <c r="P990" s="1200"/>
      <c r="Q990" s="1200"/>
      <c r="R990" s="1213"/>
      <c r="S990" s="1213"/>
      <c r="T990" s="1213"/>
      <c r="U990" s="1213"/>
      <c r="V990" s="1213"/>
    </row>
    <row r="991" spans="1:22" ht="15" thickTop="1" thickBot="1" x14ac:dyDescent="0.3">
      <c r="A991" s="1207"/>
      <c r="B991" s="1212"/>
      <c r="C991" s="1212"/>
      <c r="D991" s="1212"/>
      <c r="E991" s="1212"/>
      <c r="F991" s="1208"/>
      <c r="G991" s="1208"/>
      <c r="H991" s="1208"/>
      <c r="I991" s="1209"/>
      <c r="J991" s="1209"/>
      <c r="K991" s="1210">
        <f t="shared" si="206"/>
        <v>1.05</v>
      </c>
      <c r="L991" s="1210">
        <f t="shared" si="200"/>
        <v>0</v>
      </c>
      <c r="M991" s="1197">
        <f t="shared" si="201"/>
        <v>0</v>
      </c>
      <c r="N991" s="1211">
        <f t="shared" si="202"/>
        <v>0</v>
      </c>
      <c r="O991" s="1212"/>
      <c r="P991" s="1200"/>
      <c r="Q991" s="1200"/>
      <c r="R991" s="1213"/>
      <c r="S991" s="1213"/>
      <c r="T991" s="1213"/>
      <c r="U991" s="1213"/>
      <c r="V991" s="1213"/>
    </row>
    <row r="992" spans="1:22" ht="15" thickTop="1" thickBot="1" x14ac:dyDescent="0.3">
      <c r="A992" s="1207"/>
      <c r="B992" s="1212" t="s">
        <v>3234</v>
      </c>
      <c r="C992" s="1212"/>
      <c r="D992" s="1212"/>
      <c r="E992" s="1212"/>
      <c r="F992" s="1208"/>
      <c r="G992" s="1208"/>
      <c r="H992" s="1208"/>
      <c r="I992" s="1209"/>
      <c r="J992" s="1209"/>
      <c r="K992" s="1210">
        <f t="shared" si="206"/>
        <v>1.05</v>
      </c>
      <c r="L992" s="1210">
        <f t="shared" si="200"/>
        <v>0</v>
      </c>
      <c r="M992" s="1197">
        <f t="shared" si="201"/>
        <v>0</v>
      </c>
      <c r="N992" s="1211">
        <f t="shared" si="202"/>
        <v>0</v>
      </c>
      <c r="O992" s="1212"/>
      <c r="P992" s="1200"/>
      <c r="Q992" s="1200"/>
      <c r="R992" s="1213"/>
      <c r="S992" s="1213"/>
      <c r="T992" s="1213"/>
      <c r="U992" s="1213"/>
      <c r="V992" s="1213"/>
    </row>
    <row r="993" spans="1:22" ht="15" thickTop="1" thickBot="1" x14ac:dyDescent="0.3">
      <c r="A993" s="1207"/>
      <c r="B993" s="1212" t="s">
        <v>3236</v>
      </c>
      <c r="C993" s="1212"/>
      <c r="D993" s="1212"/>
      <c r="E993" s="1212"/>
      <c r="F993" s="1208">
        <v>8.3610000000000007</v>
      </c>
      <c r="G993" s="1208"/>
      <c r="H993" s="1208">
        <f t="shared" ref="H993:H1013" si="211">G965+H965+H965</f>
        <v>0.97499999999999998</v>
      </c>
      <c r="I993" s="1209">
        <f>H993*F993</f>
        <v>8.1519750000000002</v>
      </c>
      <c r="J993" s="1209"/>
      <c r="K993" s="1210">
        <f t="shared" si="206"/>
        <v>1.05</v>
      </c>
      <c r="L993" s="1210">
        <f t="shared" si="200"/>
        <v>0</v>
      </c>
      <c r="M993" s="1197">
        <f t="shared" si="201"/>
        <v>0</v>
      </c>
      <c r="N993" s="1211">
        <f t="shared" si="202"/>
        <v>0</v>
      </c>
      <c r="O993" s="1212"/>
      <c r="P993" s="1200"/>
      <c r="Q993" s="1200"/>
      <c r="R993" s="1213"/>
      <c r="S993" s="1213"/>
      <c r="T993" s="1213"/>
      <c r="U993" s="1213"/>
      <c r="V993" s="1213"/>
    </row>
    <row r="994" spans="1:22" ht="15" thickTop="1" thickBot="1" x14ac:dyDescent="0.3">
      <c r="A994" s="1207"/>
      <c r="B994" s="1212" t="s">
        <v>3237</v>
      </c>
      <c r="C994" s="1212"/>
      <c r="D994" s="1212"/>
      <c r="E994" s="1212"/>
      <c r="F994" s="1208">
        <v>5.6989999999999998</v>
      </c>
      <c r="G994" s="1208"/>
      <c r="H994" s="1208">
        <f t="shared" si="211"/>
        <v>1.3250000000000002</v>
      </c>
      <c r="I994" s="1209">
        <f t="shared" ref="I994:I1013" si="212">H994*F994</f>
        <v>7.5511750000000006</v>
      </c>
      <c r="J994" s="1209"/>
      <c r="K994" s="1210">
        <f t="shared" si="206"/>
        <v>1.05</v>
      </c>
      <c r="L994" s="1210">
        <f t="shared" si="200"/>
        <v>0</v>
      </c>
      <c r="M994" s="1197">
        <f t="shared" si="201"/>
        <v>0</v>
      </c>
      <c r="N994" s="1211">
        <f t="shared" si="202"/>
        <v>0</v>
      </c>
      <c r="O994" s="1212"/>
      <c r="P994" s="1200"/>
      <c r="Q994" s="1200"/>
      <c r="R994" s="1213"/>
      <c r="S994" s="1213"/>
      <c r="T994" s="1213"/>
      <c r="U994" s="1213"/>
      <c r="V994" s="1213"/>
    </row>
    <row r="995" spans="1:22" ht="15" thickTop="1" thickBot="1" x14ac:dyDescent="0.3">
      <c r="A995" s="1207"/>
      <c r="B995" s="1212" t="s">
        <v>3238</v>
      </c>
      <c r="C995" s="1212"/>
      <c r="D995" s="1212"/>
      <c r="E995" s="1212"/>
      <c r="F995" s="1208">
        <v>2.2250000000000001</v>
      </c>
      <c r="G995" s="1208"/>
      <c r="H995" s="1208">
        <f t="shared" si="211"/>
        <v>0.97499999999999998</v>
      </c>
      <c r="I995" s="1209">
        <f t="shared" si="212"/>
        <v>2.1693750000000001</v>
      </c>
      <c r="J995" s="1209"/>
      <c r="K995" s="1210">
        <f t="shared" si="206"/>
        <v>1.05</v>
      </c>
      <c r="L995" s="1210">
        <f t="shared" si="200"/>
        <v>0</v>
      </c>
      <c r="M995" s="1197">
        <f t="shared" si="201"/>
        <v>0</v>
      </c>
      <c r="N995" s="1211">
        <f t="shared" si="202"/>
        <v>0</v>
      </c>
      <c r="O995" s="1212"/>
      <c r="P995" s="1200"/>
      <c r="Q995" s="1200"/>
      <c r="R995" s="1213"/>
      <c r="S995" s="1213"/>
      <c r="T995" s="1213"/>
      <c r="U995" s="1213"/>
      <c r="V995" s="1213"/>
    </row>
    <row r="996" spans="1:22" ht="15" thickTop="1" thickBot="1" x14ac:dyDescent="0.3">
      <c r="A996" s="1207"/>
      <c r="B996" s="1212" t="s">
        <v>3239</v>
      </c>
      <c r="C996" s="1212"/>
      <c r="D996" s="1212"/>
      <c r="E996" s="1212"/>
      <c r="F996" s="1208">
        <v>11.99</v>
      </c>
      <c r="G996" s="1208"/>
      <c r="H996" s="1208">
        <f t="shared" si="211"/>
        <v>0.97499999999999998</v>
      </c>
      <c r="I996" s="1209">
        <f t="shared" si="212"/>
        <v>11.690250000000001</v>
      </c>
      <c r="J996" s="1209"/>
      <c r="K996" s="1210">
        <f t="shared" si="206"/>
        <v>1.05</v>
      </c>
      <c r="L996" s="1210">
        <f t="shared" si="200"/>
        <v>0</v>
      </c>
      <c r="M996" s="1197">
        <f t="shared" si="201"/>
        <v>0</v>
      </c>
      <c r="N996" s="1211">
        <f t="shared" si="202"/>
        <v>0</v>
      </c>
      <c r="O996" s="1212"/>
      <c r="P996" s="1200"/>
      <c r="Q996" s="1200"/>
      <c r="R996" s="1213"/>
      <c r="S996" s="1213"/>
      <c r="T996" s="1213"/>
      <c r="U996" s="1213"/>
      <c r="V996" s="1213"/>
    </row>
    <row r="997" spans="1:22" ht="15" thickTop="1" thickBot="1" x14ac:dyDescent="0.3">
      <c r="A997" s="1207"/>
      <c r="B997" s="1212" t="s">
        <v>3240</v>
      </c>
      <c r="C997" s="1212"/>
      <c r="D997" s="1212"/>
      <c r="E997" s="1212"/>
      <c r="F997" s="1208">
        <v>3.65</v>
      </c>
      <c r="G997" s="1208"/>
      <c r="H997" s="1208">
        <f t="shared" si="211"/>
        <v>0.97499999999999998</v>
      </c>
      <c r="I997" s="1209">
        <f t="shared" si="212"/>
        <v>3.5587499999999999</v>
      </c>
      <c r="J997" s="1209"/>
      <c r="K997" s="1210">
        <f t="shared" si="206"/>
        <v>1.05</v>
      </c>
      <c r="L997" s="1210">
        <f t="shared" si="200"/>
        <v>0</v>
      </c>
      <c r="M997" s="1197">
        <f t="shared" si="201"/>
        <v>0</v>
      </c>
      <c r="N997" s="1211">
        <f t="shared" si="202"/>
        <v>0</v>
      </c>
      <c r="O997" s="1212"/>
      <c r="P997" s="1200"/>
      <c r="Q997" s="1200"/>
      <c r="R997" s="1213"/>
      <c r="S997" s="1213"/>
      <c r="T997" s="1213"/>
      <c r="U997" s="1213"/>
      <c r="V997" s="1213"/>
    </row>
    <row r="998" spans="1:22" ht="15" thickTop="1" thickBot="1" x14ac:dyDescent="0.3">
      <c r="A998" s="1207"/>
      <c r="B998" s="1212" t="s">
        <v>3241</v>
      </c>
      <c r="C998" s="1212"/>
      <c r="D998" s="1212"/>
      <c r="E998" s="1212"/>
      <c r="F998" s="1208">
        <v>1.397</v>
      </c>
      <c r="G998" s="1208"/>
      <c r="H998" s="1208">
        <f t="shared" si="211"/>
        <v>0.97499999999999998</v>
      </c>
      <c r="I998" s="1209">
        <f t="shared" si="212"/>
        <v>1.3620749999999999</v>
      </c>
      <c r="J998" s="1209"/>
      <c r="K998" s="1210">
        <f t="shared" si="206"/>
        <v>1.05</v>
      </c>
      <c r="L998" s="1210">
        <f t="shared" si="200"/>
        <v>0</v>
      </c>
      <c r="M998" s="1197">
        <f t="shared" si="201"/>
        <v>0</v>
      </c>
      <c r="N998" s="1211">
        <f t="shared" si="202"/>
        <v>0</v>
      </c>
      <c r="O998" s="1212"/>
      <c r="P998" s="1200"/>
      <c r="Q998" s="1200"/>
      <c r="R998" s="1213"/>
      <c r="S998" s="1213"/>
      <c r="T998" s="1213"/>
      <c r="U998" s="1213"/>
      <c r="V998" s="1213"/>
    </row>
    <row r="999" spans="1:22" ht="15" thickTop="1" thickBot="1" x14ac:dyDescent="0.3">
      <c r="A999" s="1207"/>
      <c r="B999" s="1212" t="s">
        <v>3242</v>
      </c>
      <c r="C999" s="1212"/>
      <c r="D999" s="1212"/>
      <c r="E999" s="1212"/>
      <c r="F999" s="1208">
        <v>4.1289999999999996</v>
      </c>
      <c r="G999" s="1208"/>
      <c r="H999" s="1208">
        <f t="shared" si="211"/>
        <v>0.97499999999999998</v>
      </c>
      <c r="I999" s="1209">
        <f t="shared" si="212"/>
        <v>4.0257749999999994</v>
      </c>
      <c r="J999" s="1209"/>
      <c r="K999" s="1210">
        <f t="shared" si="206"/>
        <v>1.05</v>
      </c>
      <c r="L999" s="1210">
        <f t="shared" si="200"/>
        <v>0</v>
      </c>
      <c r="M999" s="1197">
        <f t="shared" si="201"/>
        <v>0</v>
      </c>
      <c r="N999" s="1211">
        <f t="shared" si="202"/>
        <v>0</v>
      </c>
      <c r="O999" s="1212"/>
      <c r="P999" s="1200"/>
      <c r="Q999" s="1991">
        <f>F998/0.125</f>
        <v>11.176</v>
      </c>
      <c r="R999" s="1213"/>
      <c r="S999" s="1213"/>
      <c r="T999" s="1213"/>
      <c r="U999" s="1213"/>
      <c r="V999" s="1213"/>
    </row>
    <row r="1000" spans="1:22" ht="15" thickTop="1" thickBot="1" x14ac:dyDescent="0.3">
      <c r="A1000" s="1207"/>
      <c r="B1000" s="1212" t="s">
        <v>3243</v>
      </c>
      <c r="C1000" s="1212"/>
      <c r="D1000" s="1212"/>
      <c r="E1000" s="1212"/>
      <c r="F1000" s="1208">
        <v>1.7</v>
      </c>
      <c r="G1000" s="1208"/>
      <c r="H1000" s="1208">
        <f t="shared" si="211"/>
        <v>1.125</v>
      </c>
      <c r="I1000" s="1209">
        <f t="shared" si="212"/>
        <v>1.9124999999999999</v>
      </c>
      <c r="J1000" s="1209"/>
      <c r="K1000" s="1210">
        <f t="shared" si="206"/>
        <v>1.05</v>
      </c>
      <c r="L1000" s="1210">
        <f t="shared" ref="L1000:L1065" si="213">K1000*J1000</f>
        <v>0</v>
      </c>
      <c r="M1000" s="1197">
        <f t="shared" ref="M1000:M1065" si="214">ROUND(L1000,1)</f>
        <v>0</v>
      </c>
      <c r="N1000" s="1211">
        <f t="shared" ref="N1000:N1065" si="215">ROUNDUP(M1000,0)</f>
        <v>0</v>
      </c>
      <c r="O1000" s="1212"/>
      <c r="P1000" s="1200"/>
      <c r="Q1000" s="1200"/>
      <c r="R1000" s="1213"/>
      <c r="S1000" s="1213"/>
      <c r="T1000" s="1213"/>
      <c r="U1000" s="1213"/>
      <c r="V1000" s="1213"/>
    </row>
    <row r="1001" spans="1:22" ht="15" thickTop="1" thickBot="1" x14ac:dyDescent="0.3">
      <c r="A1001" s="1207"/>
      <c r="B1001" s="1212" t="s">
        <v>3244</v>
      </c>
      <c r="C1001" s="1212"/>
      <c r="D1001" s="1212"/>
      <c r="E1001" s="1212"/>
      <c r="F1001" s="1208">
        <v>10.069000000000001</v>
      </c>
      <c r="G1001" s="1208"/>
      <c r="H1001" s="1208">
        <f t="shared" si="211"/>
        <v>0.97499999999999998</v>
      </c>
      <c r="I1001" s="1209">
        <f t="shared" si="212"/>
        <v>9.8172750000000004</v>
      </c>
      <c r="J1001" s="1209"/>
      <c r="K1001" s="1210">
        <f t="shared" si="206"/>
        <v>1.05</v>
      </c>
      <c r="L1001" s="1210">
        <f t="shared" si="213"/>
        <v>0</v>
      </c>
      <c r="M1001" s="1197">
        <f t="shared" si="214"/>
        <v>0</v>
      </c>
      <c r="N1001" s="1211">
        <f t="shared" si="215"/>
        <v>0</v>
      </c>
      <c r="O1001" s="1212"/>
      <c r="P1001" s="1200"/>
      <c r="Q1001" s="1200"/>
      <c r="R1001" s="1213"/>
      <c r="S1001" s="1213"/>
      <c r="T1001" s="1213"/>
      <c r="U1001" s="1213"/>
      <c r="V1001" s="1213"/>
    </row>
    <row r="1002" spans="1:22" ht="15" thickTop="1" thickBot="1" x14ac:dyDescent="0.3">
      <c r="A1002" s="1207"/>
      <c r="B1002" s="1212" t="s">
        <v>3245</v>
      </c>
      <c r="C1002" s="1212"/>
      <c r="D1002" s="1212"/>
      <c r="E1002" s="1212"/>
      <c r="F1002" s="1208">
        <v>5.8520000000000003</v>
      </c>
      <c r="G1002" s="1208"/>
      <c r="H1002" s="1208">
        <f t="shared" si="211"/>
        <v>0.97499999999999998</v>
      </c>
      <c r="I1002" s="1209">
        <f t="shared" si="212"/>
        <v>5.7057000000000002</v>
      </c>
      <c r="J1002" s="1209"/>
      <c r="K1002" s="1210">
        <f t="shared" si="206"/>
        <v>1.05</v>
      </c>
      <c r="L1002" s="1210">
        <f t="shared" si="213"/>
        <v>0</v>
      </c>
      <c r="M1002" s="1197">
        <f t="shared" si="214"/>
        <v>0</v>
      </c>
      <c r="N1002" s="1211">
        <f t="shared" si="215"/>
        <v>0</v>
      </c>
      <c r="O1002" s="1212"/>
      <c r="P1002" s="1200"/>
      <c r="Q1002" s="1200"/>
      <c r="R1002" s="1213"/>
      <c r="S1002" s="1213"/>
      <c r="T1002" s="1213"/>
      <c r="U1002" s="1213"/>
      <c r="V1002" s="1213"/>
    </row>
    <row r="1003" spans="1:22" ht="15" thickTop="1" thickBot="1" x14ac:dyDescent="0.3">
      <c r="A1003" s="1207"/>
      <c r="B1003" s="1212" t="s">
        <v>3246</v>
      </c>
      <c r="C1003" s="1212"/>
      <c r="D1003" s="1212"/>
      <c r="E1003" s="1212"/>
      <c r="F1003" s="1208">
        <v>2.9660000000000002</v>
      </c>
      <c r="G1003" s="1208"/>
      <c r="H1003" s="1208">
        <f t="shared" si="211"/>
        <v>0.97499999999999998</v>
      </c>
      <c r="I1003" s="1209">
        <f t="shared" si="212"/>
        <v>2.8918500000000003</v>
      </c>
      <c r="J1003" s="1209"/>
      <c r="K1003" s="1210">
        <f t="shared" si="206"/>
        <v>1.05</v>
      </c>
      <c r="L1003" s="1210">
        <f t="shared" si="213"/>
        <v>0</v>
      </c>
      <c r="M1003" s="1197">
        <f t="shared" si="214"/>
        <v>0</v>
      </c>
      <c r="N1003" s="1211">
        <f t="shared" si="215"/>
        <v>0</v>
      </c>
      <c r="O1003" s="1212"/>
      <c r="P1003" s="1200"/>
      <c r="Q1003" s="1200"/>
      <c r="R1003" s="1213"/>
      <c r="S1003" s="1213"/>
      <c r="T1003" s="1213"/>
      <c r="U1003" s="1213"/>
      <c r="V1003" s="1213"/>
    </row>
    <row r="1004" spans="1:22" ht="15" thickTop="1" thickBot="1" x14ac:dyDescent="0.3">
      <c r="A1004" s="1207"/>
      <c r="B1004" s="1212" t="s">
        <v>3247</v>
      </c>
      <c r="C1004" s="1212"/>
      <c r="D1004" s="1212"/>
      <c r="E1004" s="1212"/>
      <c r="F1004" s="1992">
        <v>14.231</v>
      </c>
      <c r="G1004" s="1208"/>
      <c r="H1004" s="1208">
        <f t="shared" si="211"/>
        <v>0.97499999999999998</v>
      </c>
      <c r="I1004" s="1209">
        <f t="shared" si="212"/>
        <v>13.875225</v>
      </c>
      <c r="J1004" s="1209"/>
      <c r="K1004" s="1210">
        <f t="shared" si="206"/>
        <v>1.05</v>
      </c>
      <c r="L1004" s="1210">
        <f t="shared" si="213"/>
        <v>0</v>
      </c>
      <c r="M1004" s="1197">
        <f t="shared" si="214"/>
        <v>0</v>
      </c>
      <c r="N1004" s="1211">
        <f t="shared" si="215"/>
        <v>0</v>
      </c>
      <c r="O1004" s="1212"/>
      <c r="P1004" s="1200"/>
      <c r="Q1004" s="1200"/>
      <c r="R1004" s="1213"/>
      <c r="S1004" s="1213"/>
      <c r="T1004" s="1213"/>
      <c r="U1004" s="1213"/>
      <c r="V1004" s="1213"/>
    </row>
    <row r="1005" spans="1:22" ht="15" thickTop="1" thickBot="1" x14ac:dyDescent="0.3">
      <c r="A1005" s="1207"/>
      <c r="B1005" s="1212" t="s">
        <v>3248</v>
      </c>
      <c r="C1005" s="1212"/>
      <c r="D1005" s="1212"/>
      <c r="E1005" s="1212"/>
      <c r="F1005" s="1992">
        <v>4.5999999999999996</v>
      </c>
      <c r="G1005" s="1208"/>
      <c r="H1005" s="1208">
        <f t="shared" si="211"/>
        <v>0.97499999999999998</v>
      </c>
      <c r="I1005" s="1209">
        <f t="shared" si="212"/>
        <v>4.4849999999999994</v>
      </c>
      <c r="J1005" s="1209"/>
      <c r="K1005" s="1210">
        <f t="shared" si="206"/>
        <v>1.05</v>
      </c>
      <c r="L1005" s="1210">
        <f t="shared" si="213"/>
        <v>0</v>
      </c>
      <c r="M1005" s="1197">
        <f t="shared" si="214"/>
        <v>0</v>
      </c>
      <c r="N1005" s="1211">
        <f t="shared" si="215"/>
        <v>0</v>
      </c>
      <c r="O1005" s="1212"/>
      <c r="P1005" s="1200"/>
      <c r="Q1005" s="1200"/>
      <c r="R1005" s="1213"/>
      <c r="S1005" s="1213"/>
      <c r="T1005" s="1213"/>
      <c r="U1005" s="1213"/>
      <c r="V1005" s="1213"/>
    </row>
    <row r="1006" spans="1:22" ht="15" thickTop="1" thickBot="1" x14ac:dyDescent="0.3">
      <c r="A1006" s="1207"/>
      <c r="B1006" s="1212" t="s">
        <v>3249</v>
      </c>
      <c r="C1006" s="1212"/>
      <c r="D1006" s="1212"/>
      <c r="E1006" s="1212"/>
      <c r="F1006" s="1992">
        <v>3.8</v>
      </c>
      <c r="G1006" s="1208"/>
      <c r="H1006" s="1208">
        <f t="shared" si="211"/>
        <v>0.97499999999999998</v>
      </c>
      <c r="I1006" s="1209">
        <f t="shared" si="212"/>
        <v>3.7049999999999996</v>
      </c>
      <c r="J1006" s="1209"/>
      <c r="K1006" s="1210">
        <f t="shared" si="206"/>
        <v>1.05</v>
      </c>
      <c r="L1006" s="1210">
        <f t="shared" si="213"/>
        <v>0</v>
      </c>
      <c r="M1006" s="1197">
        <f t="shared" si="214"/>
        <v>0</v>
      </c>
      <c r="N1006" s="1211">
        <f t="shared" si="215"/>
        <v>0</v>
      </c>
      <c r="O1006" s="1212"/>
      <c r="P1006" s="1200"/>
      <c r="Q1006" s="1200">
        <f>1.3-0.3</f>
        <v>1</v>
      </c>
      <c r="R1006" s="1213"/>
      <c r="S1006" s="1213"/>
      <c r="T1006" s="1213"/>
      <c r="U1006" s="1213"/>
      <c r="V1006" s="1213"/>
    </row>
    <row r="1007" spans="1:22" ht="15" thickTop="1" thickBot="1" x14ac:dyDescent="0.3">
      <c r="A1007" s="1207"/>
      <c r="B1007" s="1212" t="s">
        <v>3250</v>
      </c>
      <c r="C1007" s="1212"/>
      <c r="D1007" s="1212"/>
      <c r="E1007" s="1212"/>
      <c r="F1007" s="1992">
        <v>13.193</v>
      </c>
      <c r="G1007" s="1208"/>
      <c r="H1007" s="1208">
        <f t="shared" si="211"/>
        <v>0.97499999999999998</v>
      </c>
      <c r="I1007" s="1209">
        <f t="shared" si="212"/>
        <v>12.863175</v>
      </c>
      <c r="J1007" s="1209"/>
      <c r="K1007" s="1210">
        <f t="shared" si="206"/>
        <v>1.05</v>
      </c>
      <c r="L1007" s="1210">
        <f t="shared" si="213"/>
        <v>0</v>
      </c>
      <c r="M1007" s="1197">
        <f t="shared" si="214"/>
        <v>0</v>
      </c>
      <c r="N1007" s="1211">
        <f t="shared" si="215"/>
        <v>0</v>
      </c>
      <c r="O1007" s="1212"/>
      <c r="P1007" s="1200"/>
      <c r="Q1007" s="1200"/>
      <c r="R1007" s="1213"/>
      <c r="S1007" s="1213"/>
      <c r="T1007" s="1213"/>
      <c r="U1007" s="1213"/>
      <c r="V1007" s="1213"/>
    </row>
    <row r="1008" spans="1:22" ht="15" thickTop="1" thickBot="1" x14ac:dyDescent="0.3">
      <c r="A1008" s="1207"/>
      <c r="B1008" s="1212" t="s">
        <v>3253</v>
      </c>
      <c r="C1008" s="1212"/>
      <c r="D1008" s="1212"/>
      <c r="E1008" s="1212"/>
      <c r="F1008" s="1992">
        <v>3.2250000000000001</v>
      </c>
      <c r="G1008" s="1208"/>
      <c r="H1008" s="1208">
        <f t="shared" si="211"/>
        <v>0.97499999999999998</v>
      </c>
      <c r="I1008" s="1209">
        <f t="shared" si="212"/>
        <v>3.1443750000000001</v>
      </c>
      <c r="J1008" s="1209"/>
      <c r="K1008" s="1210">
        <f t="shared" si="206"/>
        <v>1.05</v>
      </c>
      <c r="L1008" s="1210">
        <f t="shared" si="213"/>
        <v>0</v>
      </c>
      <c r="M1008" s="1197">
        <f t="shared" si="214"/>
        <v>0</v>
      </c>
      <c r="N1008" s="1211">
        <f t="shared" si="215"/>
        <v>0</v>
      </c>
      <c r="O1008" s="1212"/>
      <c r="P1008" s="1200"/>
      <c r="Q1008" s="1200"/>
      <c r="R1008" s="1213"/>
      <c r="S1008" s="1213"/>
      <c r="T1008" s="1213"/>
      <c r="U1008" s="1213"/>
      <c r="V1008" s="1213"/>
    </row>
    <row r="1009" spans="1:22" ht="15" thickTop="1" thickBot="1" x14ac:dyDescent="0.3">
      <c r="A1009" s="1207"/>
      <c r="B1009" s="1212" t="s">
        <v>3251</v>
      </c>
      <c r="C1009" s="1212"/>
      <c r="D1009" s="1212"/>
      <c r="E1009" s="1212"/>
      <c r="F1009" s="1992">
        <v>3.9249999999999998</v>
      </c>
      <c r="G1009" s="1208"/>
      <c r="H1009" s="1208">
        <f t="shared" si="211"/>
        <v>0.97499999999999998</v>
      </c>
      <c r="I1009" s="1209">
        <f t="shared" si="212"/>
        <v>3.8268749999999998</v>
      </c>
      <c r="J1009" s="1209"/>
      <c r="K1009" s="1210">
        <f t="shared" si="206"/>
        <v>1.05</v>
      </c>
      <c r="L1009" s="1210">
        <f t="shared" si="213"/>
        <v>0</v>
      </c>
      <c r="M1009" s="1197">
        <f t="shared" si="214"/>
        <v>0</v>
      </c>
      <c r="N1009" s="1211">
        <f t="shared" si="215"/>
        <v>0</v>
      </c>
      <c r="O1009" s="1212"/>
      <c r="P1009" s="1200"/>
      <c r="Q1009" s="1200"/>
      <c r="R1009" s="1213"/>
      <c r="S1009" s="1213"/>
      <c r="T1009" s="1213"/>
      <c r="U1009" s="1213"/>
      <c r="V1009" s="1213"/>
    </row>
    <row r="1010" spans="1:22" ht="15" thickTop="1" thickBot="1" x14ac:dyDescent="0.3">
      <c r="A1010" s="1207"/>
      <c r="B1010" s="1212" t="s">
        <v>3252</v>
      </c>
      <c r="C1010" s="1212"/>
      <c r="D1010" s="1212"/>
      <c r="E1010" s="1212"/>
      <c r="F1010" s="1208">
        <v>14.528</v>
      </c>
      <c r="G1010" s="1208"/>
      <c r="H1010" s="1208">
        <f t="shared" si="211"/>
        <v>0.97499999999999998</v>
      </c>
      <c r="I1010" s="1209">
        <f t="shared" si="212"/>
        <v>14.1648</v>
      </c>
      <c r="J1010" s="1209"/>
      <c r="K1010" s="1210">
        <f t="shared" si="206"/>
        <v>1.05</v>
      </c>
      <c r="L1010" s="1210">
        <f t="shared" si="213"/>
        <v>0</v>
      </c>
      <c r="M1010" s="1197">
        <f t="shared" si="214"/>
        <v>0</v>
      </c>
      <c r="N1010" s="1211">
        <f t="shared" si="215"/>
        <v>0</v>
      </c>
      <c r="O1010" s="1212"/>
      <c r="P1010" s="1200"/>
      <c r="Q1010" s="1200"/>
      <c r="R1010" s="1213"/>
      <c r="S1010" s="1213"/>
      <c r="T1010" s="1213"/>
      <c r="U1010" s="1213"/>
      <c r="V1010" s="1213"/>
    </row>
    <row r="1011" spans="1:22" ht="15" thickTop="1" thickBot="1" x14ac:dyDescent="0.3">
      <c r="A1011" s="1207"/>
      <c r="B1011" s="1212" t="s">
        <v>3254</v>
      </c>
      <c r="C1011" s="1212"/>
      <c r="D1011" s="1212"/>
      <c r="E1011" s="1212"/>
      <c r="F1011" s="1208">
        <v>6.5110000000000001</v>
      </c>
      <c r="G1011" s="1208"/>
      <c r="H1011" s="1208">
        <f t="shared" si="211"/>
        <v>1.125</v>
      </c>
      <c r="I1011" s="1209">
        <f t="shared" si="212"/>
        <v>7.3248750000000005</v>
      </c>
      <c r="J1011" s="1209"/>
      <c r="K1011" s="1210">
        <f t="shared" si="206"/>
        <v>1.05</v>
      </c>
      <c r="L1011" s="1210">
        <f t="shared" si="213"/>
        <v>0</v>
      </c>
      <c r="M1011" s="1197">
        <f t="shared" si="214"/>
        <v>0</v>
      </c>
      <c r="N1011" s="1211">
        <f t="shared" si="215"/>
        <v>0</v>
      </c>
      <c r="O1011" s="1212"/>
      <c r="P1011" s="1200"/>
      <c r="Q1011" s="1200"/>
      <c r="R1011" s="1213"/>
      <c r="S1011" s="1213"/>
      <c r="T1011" s="1213"/>
      <c r="U1011" s="1213"/>
      <c r="V1011" s="1213"/>
    </row>
    <row r="1012" spans="1:22" ht="15" thickTop="1" thickBot="1" x14ac:dyDescent="0.3">
      <c r="A1012" s="1207"/>
      <c r="B1012" s="1212" t="s">
        <v>3255</v>
      </c>
      <c r="C1012" s="1212"/>
      <c r="D1012" s="1212"/>
      <c r="E1012" s="1212"/>
      <c r="F1012" s="1208">
        <v>4.4000000000000004</v>
      </c>
      <c r="G1012" s="1208"/>
      <c r="H1012" s="1208">
        <f t="shared" si="211"/>
        <v>0.97499999999999998</v>
      </c>
      <c r="I1012" s="1209">
        <f t="shared" si="212"/>
        <v>4.29</v>
      </c>
      <c r="J1012" s="1209"/>
      <c r="K1012" s="1210">
        <f t="shared" si="206"/>
        <v>1.05</v>
      </c>
      <c r="L1012" s="1210">
        <f t="shared" si="213"/>
        <v>0</v>
      </c>
      <c r="M1012" s="1197">
        <f t="shared" si="214"/>
        <v>0</v>
      </c>
      <c r="N1012" s="1211">
        <f t="shared" si="215"/>
        <v>0</v>
      </c>
      <c r="O1012" s="1212"/>
      <c r="P1012" s="1200"/>
      <c r="Q1012" s="1200"/>
      <c r="R1012" s="1213"/>
      <c r="S1012" s="1213"/>
      <c r="T1012" s="1213"/>
      <c r="U1012" s="1213"/>
      <c r="V1012" s="1213"/>
    </row>
    <row r="1013" spans="1:22" ht="15" thickTop="1" thickBot="1" x14ac:dyDescent="0.3">
      <c r="A1013" s="1207"/>
      <c r="B1013" s="1212" t="s">
        <v>3256</v>
      </c>
      <c r="C1013" s="1212"/>
      <c r="D1013" s="1212"/>
      <c r="E1013" s="1212"/>
      <c r="F1013" s="1208">
        <v>4</v>
      </c>
      <c r="G1013" s="1208"/>
      <c r="H1013" s="1208">
        <f t="shared" si="211"/>
        <v>0.97499999999999998</v>
      </c>
      <c r="I1013" s="1209">
        <f t="shared" si="212"/>
        <v>3.9</v>
      </c>
      <c r="J1013" s="1209"/>
      <c r="K1013" s="1210">
        <f t="shared" si="206"/>
        <v>1.05</v>
      </c>
      <c r="L1013" s="1210">
        <f t="shared" si="213"/>
        <v>0</v>
      </c>
      <c r="M1013" s="1197">
        <f t="shared" si="214"/>
        <v>0</v>
      </c>
      <c r="N1013" s="1211">
        <f t="shared" si="215"/>
        <v>0</v>
      </c>
      <c r="O1013" s="1212"/>
      <c r="P1013" s="1200"/>
      <c r="Q1013" s="1200"/>
      <c r="R1013" s="1213"/>
      <c r="S1013" s="1213"/>
      <c r="T1013" s="1213"/>
      <c r="U1013" s="1213"/>
      <c r="V1013" s="1213"/>
    </row>
    <row r="1014" spans="1:22" ht="15" thickTop="1" thickBot="1" x14ac:dyDescent="0.3">
      <c r="A1014" s="1207"/>
      <c r="B1014" s="1212"/>
      <c r="C1014" s="1212"/>
      <c r="D1014" s="1212"/>
      <c r="E1014" s="1212"/>
      <c r="F1014" s="1208"/>
      <c r="G1014" s="1208"/>
      <c r="H1014" s="1208"/>
      <c r="I1014" s="1209"/>
      <c r="J1014" s="1209">
        <f>SUM(I993:I1013)</f>
        <v>130.41602500000002</v>
      </c>
      <c r="K1014" s="1210">
        <f t="shared" si="206"/>
        <v>1.05</v>
      </c>
      <c r="L1014" s="1210">
        <f t="shared" si="213"/>
        <v>136.93682625000002</v>
      </c>
      <c r="M1014" s="1197">
        <f t="shared" si="214"/>
        <v>136.9</v>
      </c>
      <c r="N1014" s="1211">
        <f t="shared" si="215"/>
        <v>137</v>
      </c>
      <c r="O1014" s="1212"/>
      <c r="P1014" s="1200"/>
      <c r="Q1014" s="1200"/>
      <c r="R1014" s="1213"/>
      <c r="S1014" s="1213"/>
      <c r="T1014" s="1213"/>
      <c r="U1014" s="1213"/>
      <c r="V1014" s="1213"/>
    </row>
    <row r="1015" spans="1:22" ht="15" thickTop="1" thickBot="1" x14ac:dyDescent="0.3">
      <c r="A1015" s="1207"/>
      <c r="B1015" s="1212"/>
      <c r="C1015" s="1212"/>
      <c r="D1015" s="1212"/>
      <c r="E1015" s="1212"/>
      <c r="F1015" s="1208"/>
      <c r="G1015" s="1208"/>
      <c r="H1015" s="1208"/>
      <c r="I1015" s="1209"/>
      <c r="J1015" s="1209"/>
      <c r="K1015" s="1210">
        <f t="shared" si="206"/>
        <v>1.05</v>
      </c>
      <c r="L1015" s="1210">
        <f t="shared" si="213"/>
        <v>0</v>
      </c>
      <c r="M1015" s="1197">
        <f t="shared" si="214"/>
        <v>0</v>
      </c>
      <c r="N1015" s="1211">
        <f t="shared" si="215"/>
        <v>0</v>
      </c>
      <c r="O1015" s="1212"/>
      <c r="P1015" s="1200"/>
      <c r="Q1015" s="1200"/>
      <c r="R1015" s="1213"/>
      <c r="S1015" s="1213"/>
      <c r="T1015" s="1213"/>
      <c r="U1015" s="1213"/>
      <c r="V1015" s="1213"/>
    </row>
    <row r="1016" spans="1:22" ht="15" thickTop="1" thickBot="1" x14ac:dyDescent="0.3">
      <c r="A1016" s="1207"/>
      <c r="B1016" s="1212" t="s">
        <v>3262</v>
      </c>
      <c r="C1016" s="1212"/>
      <c r="D1016" s="1212"/>
      <c r="E1016" s="1212"/>
      <c r="F1016" s="1208">
        <v>158</v>
      </c>
      <c r="G1016" s="1208"/>
      <c r="H1016" s="1208"/>
      <c r="I1016" s="1209">
        <v>0.125</v>
      </c>
      <c r="J1016" s="1209">
        <f>I1016*F1016</f>
        <v>19.75</v>
      </c>
      <c r="K1016" s="1210">
        <f t="shared" si="206"/>
        <v>1.05</v>
      </c>
      <c r="L1016" s="1210">
        <f t="shared" si="213"/>
        <v>20.737500000000001</v>
      </c>
      <c r="M1016" s="1197">
        <f t="shared" si="214"/>
        <v>20.7</v>
      </c>
      <c r="N1016" s="1211">
        <f t="shared" si="215"/>
        <v>21</v>
      </c>
      <c r="O1016" s="1212"/>
      <c r="P1016" s="1200"/>
      <c r="Q1016" s="1200"/>
      <c r="R1016" s="1213"/>
      <c r="S1016" s="1213"/>
      <c r="T1016" s="1213"/>
      <c r="U1016" s="1213"/>
      <c r="V1016" s="1213"/>
    </row>
    <row r="1017" spans="1:22" ht="15" thickTop="1" thickBot="1" x14ac:dyDescent="0.3">
      <c r="A1017" s="1207"/>
      <c r="B1017" s="1212"/>
      <c r="C1017" s="1212"/>
      <c r="D1017" s="1212"/>
      <c r="E1017" s="1212"/>
      <c r="F1017" s="1208"/>
      <c r="G1017" s="1208"/>
      <c r="H1017" s="1208"/>
      <c r="I1017" s="1209"/>
      <c r="J1017" s="1209"/>
      <c r="K1017" s="1210">
        <f t="shared" si="206"/>
        <v>1.05</v>
      </c>
      <c r="L1017" s="1210">
        <f t="shared" ref="L1017:L1019" si="216">K1017*J1017</f>
        <v>0</v>
      </c>
      <c r="M1017" s="1197">
        <f t="shared" ref="M1017:M1019" si="217">ROUND(L1017,1)</f>
        <v>0</v>
      </c>
      <c r="N1017" s="1211">
        <f t="shared" ref="N1017:N1019" si="218">ROUNDUP(M1017,0)</f>
        <v>0</v>
      </c>
      <c r="O1017" s="1212"/>
      <c r="P1017" s="1200"/>
      <c r="Q1017" s="1200"/>
      <c r="R1017" s="1213"/>
      <c r="S1017" s="1213"/>
      <c r="T1017" s="1213"/>
      <c r="U1017" s="1213"/>
      <c r="V1017" s="1213"/>
    </row>
    <row r="1018" spans="1:22" ht="15" thickTop="1" thickBot="1" x14ac:dyDescent="0.3">
      <c r="A1018" s="1207"/>
      <c r="B1018" s="1212" t="s">
        <v>3271</v>
      </c>
      <c r="C1018" s="1212"/>
      <c r="D1018" s="1212"/>
      <c r="E1018" s="1212"/>
      <c r="F1018" s="1208">
        <f>J1016</f>
        <v>19.75</v>
      </c>
      <c r="G1018" s="1208"/>
      <c r="H1018" s="1208"/>
      <c r="I1018" s="1209">
        <v>70</v>
      </c>
      <c r="J1018" s="1209">
        <f>I1018*F1018</f>
        <v>1382.5</v>
      </c>
      <c r="K1018" s="1210">
        <f t="shared" si="206"/>
        <v>1.05</v>
      </c>
      <c r="L1018" s="1210">
        <f t="shared" si="216"/>
        <v>1451.625</v>
      </c>
      <c r="M1018" s="1197">
        <f t="shared" si="217"/>
        <v>1451.6</v>
      </c>
      <c r="N1018" s="1211">
        <f t="shared" si="218"/>
        <v>1452</v>
      </c>
      <c r="O1018" s="1212"/>
      <c r="P1018" s="1200"/>
      <c r="Q1018" s="1200"/>
      <c r="R1018" s="1213"/>
      <c r="S1018" s="1213"/>
      <c r="T1018" s="1213"/>
      <c r="U1018" s="1213"/>
      <c r="V1018" s="1213"/>
    </row>
    <row r="1019" spans="1:22" ht="15" thickTop="1" thickBot="1" x14ac:dyDescent="0.3">
      <c r="A1019" s="1207"/>
      <c r="B1019" s="1212"/>
      <c r="C1019" s="1212"/>
      <c r="D1019" s="1212"/>
      <c r="E1019" s="1212"/>
      <c r="F1019" s="1208"/>
      <c r="G1019" s="1208"/>
      <c r="H1019" s="1208"/>
      <c r="I1019" s="1209"/>
      <c r="J1019" s="1209"/>
      <c r="K1019" s="1210">
        <f t="shared" si="206"/>
        <v>1.05</v>
      </c>
      <c r="L1019" s="1210">
        <f t="shared" si="216"/>
        <v>0</v>
      </c>
      <c r="M1019" s="1197">
        <f t="shared" si="217"/>
        <v>0</v>
      </c>
      <c r="N1019" s="1211">
        <f t="shared" si="218"/>
        <v>0</v>
      </c>
      <c r="O1019" s="1212"/>
      <c r="P1019" s="1200"/>
      <c r="Q1019" s="1200"/>
      <c r="R1019" s="1213"/>
      <c r="S1019" s="1213"/>
      <c r="T1019" s="1213"/>
      <c r="U1019" s="1213"/>
      <c r="V1019" s="1213"/>
    </row>
    <row r="1020" spans="1:22" ht="15" thickTop="1" thickBot="1" x14ac:dyDescent="0.3">
      <c r="A1020" s="1207"/>
      <c r="B1020" s="1212" t="s">
        <v>3263</v>
      </c>
      <c r="C1020" s="1212"/>
      <c r="D1020" s="1212"/>
      <c r="E1020" s="1212"/>
      <c r="F1020" s="1208">
        <f>F1016</f>
        <v>158</v>
      </c>
      <c r="G1020" s="1208"/>
      <c r="H1020" s="1208"/>
      <c r="I1020" s="1209"/>
      <c r="J1020" s="1209">
        <f>F1020</f>
        <v>158</v>
      </c>
      <c r="K1020" s="1210">
        <f t="shared" si="206"/>
        <v>1.05</v>
      </c>
      <c r="L1020" s="1210">
        <f t="shared" si="213"/>
        <v>165.9</v>
      </c>
      <c r="M1020" s="1197">
        <f t="shared" si="214"/>
        <v>165.9</v>
      </c>
      <c r="N1020" s="1211">
        <f t="shared" si="215"/>
        <v>166</v>
      </c>
      <c r="O1020" s="1212"/>
      <c r="P1020" s="1200"/>
      <c r="Q1020" s="1200"/>
      <c r="R1020" s="1213"/>
      <c r="S1020" s="1213"/>
      <c r="T1020" s="1213"/>
      <c r="U1020" s="1213"/>
      <c r="V1020" s="1213"/>
    </row>
    <row r="1021" spans="1:22" ht="15" thickTop="1" thickBot="1" x14ac:dyDescent="0.3">
      <c r="A1021" s="1207"/>
      <c r="B1021" s="1212"/>
      <c r="C1021" s="1212"/>
      <c r="D1021" s="1212"/>
      <c r="E1021" s="1212"/>
      <c r="F1021" s="1208"/>
      <c r="G1021" s="1208"/>
      <c r="H1021" s="1208"/>
      <c r="I1021" s="1209"/>
      <c r="J1021" s="1209"/>
      <c r="K1021" s="1210">
        <f t="shared" si="206"/>
        <v>1.05</v>
      </c>
      <c r="L1021" s="1210">
        <f t="shared" si="213"/>
        <v>0</v>
      </c>
      <c r="M1021" s="1197">
        <f t="shared" si="214"/>
        <v>0</v>
      </c>
      <c r="N1021" s="1211">
        <f t="shared" si="215"/>
        <v>0</v>
      </c>
      <c r="O1021" s="1212"/>
      <c r="P1021" s="1200"/>
      <c r="Q1021" s="1200"/>
      <c r="R1021" s="1213"/>
      <c r="S1021" s="1213"/>
      <c r="T1021" s="1213"/>
      <c r="U1021" s="1213"/>
      <c r="V1021" s="1213"/>
    </row>
    <row r="1022" spans="1:22" ht="15" thickTop="1" thickBot="1" x14ac:dyDescent="0.3">
      <c r="A1022" s="1207"/>
      <c r="B1022" s="1212" t="s">
        <v>3264</v>
      </c>
      <c r="C1022" s="1212"/>
      <c r="D1022" s="1212"/>
      <c r="E1022" s="1212"/>
      <c r="F1022" s="1208">
        <v>158</v>
      </c>
      <c r="G1022" s="1208"/>
      <c r="H1022" s="1208"/>
      <c r="I1022" s="1209">
        <v>0.125</v>
      </c>
      <c r="J1022" s="1209">
        <f>I1022*F1022</f>
        <v>19.75</v>
      </c>
      <c r="K1022" s="1210">
        <f t="shared" si="206"/>
        <v>1.05</v>
      </c>
      <c r="L1022" s="1210">
        <f t="shared" ref="L1022:L1024" si="219">K1022*J1022</f>
        <v>20.737500000000001</v>
      </c>
      <c r="M1022" s="1197">
        <f t="shared" ref="M1022:M1024" si="220">ROUND(L1022,1)</f>
        <v>20.7</v>
      </c>
      <c r="N1022" s="1211">
        <f t="shared" ref="N1022:N1024" si="221">ROUNDUP(M1022,0)</f>
        <v>21</v>
      </c>
      <c r="O1022" s="1212"/>
      <c r="P1022" s="1200"/>
      <c r="Q1022" s="1200"/>
      <c r="R1022" s="1213"/>
      <c r="S1022" s="1213"/>
      <c r="T1022" s="1213"/>
      <c r="U1022" s="1213"/>
      <c r="V1022" s="1213"/>
    </row>
    <row r="1023" spans="1:22" ht="15" thickTop="1" thickBot="1" x14ac:dyDescent="0.3">
      <c r="A1023" s="1207"/>
      <c r="B1023" s="1212"/>
      <c r="C1023" s="1212"/>
      <c r="D1023" s="1212"/>
      <c r="E1023" s="1212"/>
      <c r="F1023" s="1208"/>
      <c r="G1023" s="1208"/>
      <c r="H1023" s="1208"/>
      <c r="I1023" s="1209"/>
      <c r="J1023" s="1209"/>
      <c r="K1023" s="1210">
        <f t="shared" si="206"/>
        <v>1.05</v>
      </c>
      <c r="L1023" s="1210">
        <f t="shared" si="219"/>
        <v>0</v>
      </c>
      <c r="M1023" s="1197">
        <f t="shared" si="220"/>
        <v>0</v>
      </c>
      <c r="N1023" s="1211">
        <f t="shared" si="221"/>
        <v>0</v>
      </c>
      <c r="O1023" s="1212"/>
      <c r="P1023" s="1200"/>
      <c r="Q1023" s="1200"/>
      <c r="R1023" s="1213"/>
      <c r="S1023" s="1213"/>
      <c r="T1023" s="1213"/>
      <c r="U1023" s="1213"/>
      <c r="V1023" s="1213"/>
    </row>
    <row r="1024" spans="1:22" ht="15" thickTop="1" thickBot="1" x14ac:dyDescent="0.3">
      <c r="A1024" s="1207"/>
      <c r="B1024" s="1212" t="s">
        <v>3263</v>
      </c>
      <c r="C1024" s="1212"/>
      <c r="D1024" s="1212"/>
      <c r="E1024" s="1212"/>
      <c r="F1024" s="1208">
        <f>F1022</f>
        <v>158</v>
      </c>
      <c r="G1024" s="1208"/>
      <c r="H1024" s="1208"/>
      <c r="I1024" s="1209"/>
      <c r="J1024" s="1209">
        <f>F1024</f>
        <v>158</v>
      </c>
      <c r="K1024" s="1210">
        <f t="shared" si="206"/>
        <v>1.05</v>
      </c>
      <c r="L1024" s="1210">
        <f t="shared" si="219"/>
        <v>165.9</v>
      </c>
      <c r="M1024" s="1197">
        <f t="shared" si="220"/>
        <v>165.9</v>
      </c>
      <c r="N1024" s="1211">
        <f t="shared" si="221"/>
        <v>166</v>
      </c>
      <c r="O1024" s="1212"/>
      <c r="P1024" s="1200"/>
      <c r="Q1024" s="1200"/>
      <c r="R1024" s="1213"/>
      <c r="S1024" s="1213"/>
      <c r="T1024" s="1213"/>
      <c r="U1024" s="1213"/>
      <c r="V1024" s="1213"/>
    </row>
    <row r="1025" spans="1:22" ht="15" thickTop="1" thickBot="1" x14ac:dyDescent="0.3">
      <c r="A1025" s="1207"/>
      <c r="B1025" s="1212"/>
      <c r="C1025" s="1212"/>
      <c r="D1025" s="1212"/>
      <c r="E1025" s="1212"/>
      <c r="F1025" s="1992"/>
      <c r="G1025" s="1208"/>
      <c r="H1025" s="1208"/>
      <c r="I1025" s="1209"/>
      <c r="J1025" s="1209"/>
      <c r="K1025" s="1210">
        <f t="shared" si="206"/>
        <v>1.05</v>
      </c>
      <c r="L1025" s="1210">
        <f t="shared" si="213"/>
        <v>0</v>
      </c>
      <c r="M1025" s="1197">
        <f t="shared" si="214"/>
        <v>0</v>
      </c>
      <c r="N1025" s="1211">
        <f t="shared" si="215"/>
        <v>0</v>
      </c>
      <c r="O1025" s="1212"/>
      <c r="P1025" s="1200"/>
      <c r="Q1025" s="1200"/>
      <c r="R1025" s="1213"/>
      <c r="S1025" s="1213"/>
      <c r="T1025" s="1213"/>
      <c r="U1025" s="1213"/>
      <c r="V1025" s="1213"/>
    </row>
    <row r="1026" spans="1:22" ht="15" thickTop="1" thickBot="1" x14ac:dyDescent="0.3">
      <c r="A1026" s="1207"/>
      <c r="B1026" s="1212" t="s">
        <v>3273</v>
      </c>
      <c r="C1026" s="1212"/>
      <c r="D1026" s="1212"/>
      <c r="E1026" s="1212"/>
      <c r="F1026" s="1992">
        <v>60</v>
      </c>
      <c r="G1026" s="1208"/>
      <c r="H1026" s="1208"/>
      <c r="I1026" s="1209">
        <v>0.125</v>
      </c>
      <c r="J1026" s="1209">
        <f>I1026*F1026</f>
        <v>7.5</v>
      </c>
      <c r="K1026" s="1210">
        <f t="shared" si="206"/>
        <v>1.05</v>
      </c>
      <c r="L1026" s="1210">
        <f t="shared" si="213"/>
        <v>7.875</v>
      </c>
      <c r="M1026" s="1197">
        <f t="shared" si="214"/>
        <v>7.9</v>
      </c>
      <c r="N1026" s="1211">
        <f t="shared" si="215"/>
        <v>8</v>
      </c>
      <c r="O1026" s="1212"/>
      <c r="P1026" s="1200"/>
      <c r="Q1026" s="1200"/>
      <c r="R1026" s="1213"/>
      <c r="S1026" s="1213"/>
      <c r="T1026" s="1213"/>
      <c r="U1026" s="1213"/>
      <c r="V1026" s="1213"/>
    </row>
    <row r="1027" spans="1:22" ht="15" thickTop="1" thickBot="1" x14ac:dyDescent="0.3">
      <c r="A1027" s="1207"/>
      <c r="B1027" s="1212"/>
      <c r="C1027" s="1212"/>
      <c r="D1027" s="1212"/>
      <c r="E1027" s="1212"/>
      <c r="F1027" s="1992"/>
      <c r="G1027" s="1208"/>
      <c r="H1027" s="1208"/>
      <c r="I1027" s="1209"/>
      <c r="J1027" s="1209"/>
      <c r="K1027" s="1210">
        <f t="shared" si="206"/>
        <v>1.05</v>
      </c>
      <c r="L1027" s="1210">
        <f t="shared" si="213"/>
        <v>0</v>
      </c>
      <c r="M1027" s="1197">
        <f t="shared" si="214"/>
        <v>0</v>
      </c>
      <c r="N1027" s="1211">
        <f t="shared" si="215"/>
        <v>0</v>
      </c>
      <c r="O1027" s="1212"/>
      <c r="P1027" s="1200"/>
      <c r="Q1027" s="1200"/>
      <c r="R1027" s="1213"/>
      <c r="S1027" s="1213"/>
      <c r="T1027" s="1213"/>
      <c r="U1027" s="1213"/>
      <c r="V1027" s="1213"/>
    </row>
    <row r="1028" spans="1:22" ht="15" thickTop="1" thickBot="1" x14ac:dyDescent="0.3">
      <c r="A1028" s="1207"/>
      <c r="B1028" s="1212" t="s">
        <v>3263</v>
      </c>
      <c r="C1028" s="1212"/>
      <c r="D1028" s="1212"/>
      <c r="E1028" s="1212"/>
      <c r="F1028" s="1992">
        <f>F1026</f>
        <v>60</v>
      </c>
      <c r="G1028" s="1208"/>
      <c r="H1028" s="1208"/>
      <c r="I1028" s="1209"/>
      <c r="J1028" s="1209">
        <f>F1028</f>
        <v>60</v>
      </c>
      <c r="K1028" s="1210">
        <f t="shared" si="206"/>
        <v>1.05</v>
      </c>
      <c r="L1028" s="1210">
        <f t="shared" si="213"/>
        <v>63</v>
      </c>
      <c r="M1028" s="1197">
        <f t="shared" si="214"/>
        <v>63</v>
      </c>
      <c r="N1028" s="1211">
        <f t="shared" si="215"/>
        <v>63</v>
      </c>
      <c r="O1028" s="1212"/>
      <c r="P1028" s="1200"/>
      <c r="Q1028" s="1200"/>
      <c r="R1028" s="1213"/>
      <c r="S1028" s="1213"/>
      <c r="T1028" s="1213"/>
      <c r="U1028" s="1213"/>
      <c r="V1028" s="1213"/>
    </row>
    <row r="1029" spans="1:22" ht="15" thickTop="1" thickBot="1" x14ac:dyDescent="0.3">
      <c r="A1029" s="1207"/>
      <c r="B1029" s="1212"/>
      <c r="C1029" s="1212"/>
      <c r="D1029" s="1212"/>
      <c r="E1029" s="1212"/>
      <c r="F1029" s="1992"/>
      <c r="G1029" s="1208"/>
      <c r="H1029" s="1208"/>
      <c r="I1029" s="1209"/>
      <c r="J1029" s="1209"/>
      <c r="K1029" s="1210">
        <f t="shared" si="206"/>
        <v>1.05</v>
      </c>
      <c r="L1029" s="1210">
        <f t="shared" si="213"/>
        <v>0</v>
      </c>
      <c r="M1029" s="1197">
        <f t="shared" si="214"/>
        <v>0</v>
      </c>
      <c r="N1029" s="1211">
        <f t="shared" si="215"/>
        <v>0</v>
      </c>
      <c r="O1029" s="1212"/>
      <c r="P1029" s="1200"/>
      <c r="Q1029" s="1200"/>
      <c r="R1029" s="1213"/>
      <c r="S1029" s="1213"/>
      <c r="T1029" s="1213"/>
      <c r="U1029" s="1213"/>
      <c r="V1029" s="1213"/>
    </row>
    <row r="1030" spans="1:22" ht="15" thickTop="1" thickBot="1" x14ac:dyDescent="0.3">
      <c r="A1030" s="1207"/>
      <c r="B1030" s="1212"/>
      <c r="C1030" s="1212"/>
      <c r="D1030" s="1212"/>
      <c r="E1030" s="1212"/>
      <c r="F1030" s="1208"/>
      <c r="G1030" s="1208"/>
      <c r="H1030" s="1208"/>
      <c r="I1030" s="1209"/>
      <c r="J1030" s="1209"/>
      <c r="K1030" s="1210">
        <f t="shared" si="206"/>
        <v>1.05</v>
      </c>
      <c r="L1030" s="1210">
        <f t="shared" si="213"/>
        <v>0</v>
      </c>
      <c r="M1030" s="1197">
        <f t="shared" si="214"/>
        <v>0</v>
      </c>
      <c r="N1030" s="1211">
        <f t="shared" si="215"/>
        <v>0</v>
      </c>
      <c r="O1030" s="1212"/>
      <c r="P1030" s="1200"/>
      <c r="Q1030" s="1200"/>
      <c r="R1030" s="1213"/>
      <c r="S1030" s="1213"/>
      <c r="T1030" s="1213"/>
      <c r="U1030" s="1213"/>
      <c r="V1030" s="1213"/>
    </row>
    <row r="1031" spans="1:22" ht="15" thickTop="1" thickBot="1" x14ac:dyDescent="0.3">
      <c r="A1031" s="1207"/>
      <c r="B1031" s="1212"/>
      <c r="C1031" s="1212"/>
      <c r="D1031" s="1212"/>
      <c r="E1031" s="1212"/>
      <c r="F1031" s="1208"/>
      <c r="G1031" s="1208"/>
      <c r="H1031" s="1208"/>
      <c r="I1031" s="1209"/>
      <c r="J1031" s="1209"/>
      <c r="K1031" s="1210">
        <f t="shared" si="206"/>
        <v>1.05</v>
      </c>
      <c r="L1031" s="1210">
        <f t="shared" si="213"/>
        <v>0</v>
      </c>
      <c r="M1031" s="1197">
        <f t="shared" si="214"/>
        <v>0</v>
      </c>
      <c r="N1031" s="1211">
        <f t="shared" si="215"/>
        <v>0</v>
      </c>
      <c r="O1031" s="1212"/>
      <c r="P1031" s="1200"/>
      <c r="Q1031" s="1200"/>
      <c r="R1031" s="1213"/>
      <c r="S1031" s="1213"/>
      <c r="T1031" s="1213"/>
      <c r="U1031" s="1213"/>
      <c r="V1031" s="1213"/>
    </row>
    <row r="1032" spans="1:22" ht="15" thickTop="1" thickBot="1" x14ac:dyDescent="0.3">
      <c r="A1032" s="1207"/>
      <c r="B1032" s="1212"/>
      <c r="C1032" s="1212"/>
      <c r="D1032" s="1212"/>
      <c r="E1032" s="1212"/>
      <c r="F1032" s="1208"/>
      <c r="G1032" s="1208"/>
      <c r="H1032" s="1208"/>
      <c r="I1032" s="1209"/>
      <c r="J1032" s="1209"/>
      <c r="K1032" s="1210">
        <f t="shared" si="206"/>
        <v>1.05</v>
      </c>
      <c r="L1032" s="1210">
        <f t="shared" si="213"/>
        <v>0</v>
      </c>
      <c r="M1032" s="1197">
        <f t="shared" si="214"/>
        <v>0</v>
      </c>
      <c r="N1032" s="1211">
        <f t="shared" si="215"/>
        <v>0</v>
      </c>
      <c r="O1032" s="1212"/>
      <c r="P1032" s="1200"/>
      <c r="Q1032" s="1200"/>
      <c r="R1032" s="1213"/>
      <c r="S1032" s="1213"/>
      <c r="T1032" s="1213"/>
      <c r="U1032" s="1213"/>
      <c r="V1032" s="1213"/>
    </row>
    <row r="1033" spans="1:22" ht="15" thickTop="1" thickBot="1" x14ac:dyDescent="0.3">
      <c r="A1033" s="1207"/>
      <c r="B1033" s="1212"/>
      <c r="C1033" s="1212"/>
      <c r="D1033" s="1212"/>
      <c r="E1033" s="1212"/>
      <c r="F1033" s="1208"/>
      <c r="G1033" s="1208"/>
      <c r="H1033" s="1208"/>
      <c r="I1033" s="1209"/>
      <c r="J1033" s="1209"/>
      <c r="K1033" s="1210">
        <f t="shared" si="206"/>
        <v>1.05</v>
      </c>
      <c r="L1033" s="1210">
        <f t="shared" si="213"/>
        <v>0</v>
      </c>
      <c r="M1033" s="1197">
        <f t="shared" si="214"/>
        <v>0</v>
      </c>
      <c r="N1033" s="1211">
        <f t="shared" si="215"/>
        <v>0</v>
      </c>
      <c r="O1033" s="1212"/>
      <c r="P1033" s="1200"/>
      <c r="Q1033" s="1200"/>
      <c r="R1033" s="1213"/>
      <c r="S1033" s="1213"/>
      <c r="T1033" s="1213"/>
      <c r="U1033" s="1213"/>
      <c r="V1033" s="1213"/>
    </row>
    <row r="1034" spans="1:22" ht="15" thickTop="1" thickBot="1" x14ac:dyDescent="0.3">
      <c r="A1034" s="1207"/>
      <c r="B1034" s="1212"/>
      <c r="C1034" s="1212"/>
      <c r="D1034" s="1212"/>
      <c r="E1034" s="1212"/>
      <c r="F1034" s="1208"/>
      <c r="G1034" s="1208"/>
      <c r="H1034" s="1208"/>
      <c r="I1034" s="1209"/>
      <c r="J1034" s="1209"/>
      <c r="K1034" s="1210">
        <f t="shared" si="206"/>
        <v>1.05</v>
      </c>
      <c r="L1034" s="1210">
        <f t="shared" si="213"/>
        <v>0</v>
      </c>
      <c r="M1034" s="1197">
        <f t="shared" si="214"/>
        <v>0</v>
      </c>
      <c r="N1034" s="1211">
        <f t="shared" si="215"/>
        <v>0</v>
      </c>
      <c r="O1034" s="1212"/>
      <c r="P1034" s="1200"/>
      <c r="Q1034" s="1200"/>
      <c r="R1034" s="1213"/>
      <c r="S1034" s="1213"/>
      <c r="T1034" s="1213"/>
      <c r="U1034" s="1213"/>
      <c r="V1034" s="1213"/>
    </row>
    <row r="1035" spans="1:22" ht="15" thickTop="1" thickBot="1" x14ac:dyDescent="0.3">
      <c r="A1035" s="1207"/>
      <c r="B1035" s="1212"/>
      <c r="C1035" s="1212"/>
      <c r="D1035" s="1212"/>
      <c r="E1035" s="1212"/>
      <c r="F1035" s="1208"/>
      <c r="G1035" s="1208"/>
      <c r="H1035" s="1208"/>
      <c r="I1035" s="1209"/>
      <c r="J1035" s="1209"/>
      <c r="K1035" s="1210">
        <f t="shared" ref="K1035:K1098" si="222">$K$2</f>
        <v>1.05</v>
      </c>
      <c r="L1035" s="1210">
        <f t="shared" si="213"/>
        <v>0</v>
      </c>
      <c r="M1035" s="1197">
        <f t="shared" si="214"/>
        <v>0</v>
      </c>
      <c r="N1035" s="1211">
        <f t="shared" si="215"/>
        <v>0</v>
      </c>
      <c r="O1035" s="1212"/>
      <c r="P1035" s="1200"/>
      <c r="Q1035" s="1200"/>
      <c r="R1035" s="1213"/>
      <c r="S1035" s="1213"/>
      <c r="T1035" s="1213"/>
      <c r="U1035" s="1213"/>
      <c r="V1035" s="1213"/>
    </row>
    <row r="1036" spans="1:22" ht="15" thickTop="1" thickBot="1" x14ac:dyDescent="0.3">
      <c r="A1036" s="1207"/>
      <c r="B1036" s="1212"/>
      <c r="C1036" s="1212"/>
      <c r="D1036" s="1212"/>
      <c r="E1036" s="1212"/>
      <c r="F1036" s="1208"/>
      <c r="G1036" s="1208"/>
      <c r="H1036" s="1208"/>
      <c r="I1036" s="1209"/>
      <c r="J1036" s="1209"/>
      <c r="K1036" s="1210">
        <f t="shared" si="222"/>
        <v>1.05</v>
      </c>
      <c r="L1036" s="1210">
        <f t="shared" si="213"/>
        <v>0</v>
      </c>
      <c r="M1036" s="1197">
        <f t="shared" si="214"/>
        <v>0</v>
      </c>
      <c r="N1036" s="1211">
        <f t="shared" si="215"/>
        <v>0</v>
      </c>
      <c r="O1036" s="1212"/>
      <c r="P1036" s="1200"/>
      <c r="Q1036" s="1200"/>
      <c r="R1036" s="1213"/>
      <c r="S1036" s="1213"/>
      <c r="T1036" s="1213"/>
      <c r="U1036" s="1213"/>
      <c r="V1036" s="1213"/>
    </row>
    <row r="1037" spans="1:22" ht="15" thickTop="1" thickBot="1" x14ac:dyDescent="0.3">
      <c r="A1037" s="1207"/>
      <c r="B1037" s="1212"/>
      <c r="C1037" s="1212"/>
      <c r="D1037" s="1212"/>
      <c r="E1037" s="1212"/>
      <c r="F1037" s="1208"/>
      <c r="G1037" s="1208"/>
      <c r="H1037" s="1208"/>
      <c r="I1037" s="1209"/>
      <c r="J1037" s="1209"/>
      <c r="K1037" s="1210">
        <f t="shared" si="222"/>
        <v>1.05</v>
      </c>
      <c r="L1037" s="1210">
        <f t="shared" si="213"/>
        <v>0</v>
      </c>
      <c r="M1037" s="1197">
        <f t="shared" si="214"/>
        <v>0</v>
      </c>
      <c r="N1037" s="1211">
        <f t="shared" si="215"/>
        <v>0</v>
      </c>
      <c r="O1037" s="1212"/>
      <c r="P1037" s="1200"/>
      <c r="Q1037" s="1200"/>
      <c r="R1037" s="1213"/>
      <c r="S1037" s="1213"/>
      <c r="T1037" s="1213"/>
      <c r="U1037" s="1213"/>
      <c r="V1037" s="1213"/>
    </row>
    <row r="1038" spans="1:22" ht="15" thickTop="1" thickBot="1" x14ac:dyDescent="0.3">
      <c r="A1038" s="1207"/>
      <c r="B1038" s="1212"/>
      <c r="C1038" s="1212"/>
      <c r="D1038" s="1212"/>
      <c r="E1038" s="1212"/>
      <c r="F1038" s="1208"/>
      <c r="G1038" s="1208"/>
      <c r="H1038" s="1208"/>
      <c r="I1038" s="1209"/>
      <c r="J1038" s="1209"/>
      <c r="K1038" s="1210">
        <f t="shared" si="222"/>
        <v>1.05</v>
      </c>
      <c r="L1038" s="1210">
        <f t="shared" si="213"/>
        <v>0</v>
      </c>
      <c r="M1038" s="1197">
        <f t="shared" si="214"/>
        <v>0</v>
      </c>
      <c r="N1038" s="1211">
        <f t="shared" si="215"/>
        <v>0</v>
      </c>
      <c r="O1038" s="1212"/>
      <c r="P1038" s="1200"/>
      <c r="Q1038" s="1200"/>
      <c r="R1038" s="1213"/>
      <c r="S1038" s="1213"/>
      <c r="T1038" s="1213"/>
      <c r="U1038" s="1213"/>
      <c r="V1038" s="1213"/>
    </row>
    <row r="1039" spans="1:22" ht="15" thickTop="1" thickBot="1" x14ac:dyDescent="0.3">
      <c r="A1039" s="1207"/>
      <c r="B1039" s="1212"/>
      <c r="C1039" s="1212"/>
      <c r="D1039" s="1212"/>
      <c r="E1039" s="1212"/>
      <c r="F1039" s="1992"/>
      <c r="G1039" s="1208"/>
      <c r="H1039" s="1208"/>
      <c r="I1039" s="1209"/>
      <c r="J1039" s="1209"/>
      <c r="K1039" s="1210">
        <f t="shared" si="222"/>
        <v>1.05</v>
      </c>
      <c r="L1039" s="1210">
        <f t="shared" si="213"/>
        <v>0</v>
      </c>
      <c r="M1039" s="1197">
        <f t="shared" si="214"/>
        <v>0</v>
      </c>
      <c r="N1039" s="1211">
        <f t="shared" si="215"/>
        <v>0</v>
      </c>
      <c r="O1039" s="1212"/>
      <c r="P1039" s="1200"/>
      <c r="Q1039" s="1200"/>
      <c r="R1039" s="1213"/>
      <c r="S1039" s="1213"/>
      <c r="T1039" s="1213"/>
      <c r="U1039" s="1213"/>
      <c r="V1039" s="1213"/>
    </row>
    <row r="1040" spans="1:22" ht="15" thickTop="1" thickBot="1" x14ac:dyDescent="0.3">
      <c r="A1040" s="1207"/>
      <c r="B1040" s="1212"/>
      <c r="C1040" s="1212"/>
      <c r="D1040" s="1212"/>
      <c r="E1040" s="1212"/>
      <c r="F1040" s="1992"/>
      <c r="G1040" s="1208"/>
      <c r="H1040" s="1208"/>
      <c r="I1040" s="1209"/>
      <c r="J1040" s="1209"/>
      <c r="K1040" s="1210">
        <f t="shared" si="222"/>
        <v>1.05</v>
      </c>
      <c r="L1040" s="1210">
        <f t="shared" si="213"/>
        <v>0</v>
      </c>
      <c r="M1040" s="1197">
        <f t="shared" si="214"/>
        <v>0</v>
      </c>
      <c r="N1040" s="1211">
        <f t="shared" si="215"/>
        <v>0</v>
      </c>
      <c r="O1040" s="1212"/>
      <c r="P1040" s="1200"/>
      <c r="Q1040" s="1200"/>
      <c r="R1040" s="1213"/>
      <c r="S1040" s="1213"/>
      <c r="T1040" s="1213"/>
      <c r="U1040" s="1213"/>
      <c r="V1040" s="1213"/>
    </row>
    <row r="1041" spans="1:22" ht="15" thickTop="1" thickBot="1" x14ac:dyDescent="0.3">
      <c r="A1041" s="1207"/>
      <c r="B1041" s="1212"/>
      <c r="C1041" s="1212"/>
      <c r="D1041" s="1212"/>
      <c r="E1041" s="1212"/>
      <c r="F1041" s="1992"/>
      <c r="G1041" s="1208"/>
      <c r="H1041" s="1208"/>
      <c r="I1041" s="1209"/>
      <c r="J1041" s="1209"/>
      <c r="K1041" s="1210">
        <f t="shared" si="222"/>
        <v>1.05</v>
      </c>
      <c r="L1041" s="1210">
        <f t="shared" si="213"/>
        <v>0</v>
      </c>
      <c r="M1041" s="1197">
        <f t="shared" si="214"/>
        <v>0</v>
      </c>
      <c r="N1041" s="1211">
        <f t="shared" si="215"/>
        <v>0</v>
      </c>
      <c r="O1041" s="1212"/>
      <c r="P1041" s="1200"/>
      <c r="Q1041" s="1200"/>
      <c r="R1041" s="1213"/>
      <c r="S1041" s="1213"/>
      <c r="T1041" s="1213"/>
      <c r="U1041" s="1213"/>
      <c r="V1041" s="1213"/>
    </row>
    <row r="1042" spans="1:22" ht="15" thickTop="1" thickBot="1" x14ac:dyDescent="0.3">
      <c r="A1042" s="1207"/>
      <c r="B1042" s="1212"/>
      <c r="C1042" s="1212"/>
      <c r="D1042" s="1212"/>
      <c r="E1042" s="1212"/>
      <c r="F1042" s="1992"/>
      <c r="G1042" s="1208"/>
      <c r="H1042" s="1208"/>
      <c r="I1042" s="1209"/>
      <c r="J1042" s="1209"/>
      <c r="K1042" s="1210">
        <f t="shared" si="222"/>
        <v>1.05</v>
      </c>
      <c r="L1042" s="1210">
        <f t="shared" si="213"/>
        <v>0</v>
      </c>
      <c r="M1042" s="1197">
        <f t="shared" si="214"/>
        <v>0</v>
      </c>
      <c r="N1042" s="1211">
        <f t="shared" si="215"/>
        <v>0</v>
      </c>
      <c r="O1042" s="1212"/>
      <c r="P1042" s="1200"/>
      <c r="Q1042" s="1200"/>
      <c r="R1042" s="1213"/>
      <c r="S1042" s="1213"/>
      <c r="T1042" s="1213"/>
      <c r="U1042" s="1213"/>
      <c r="V1042" s="1213"/>
    </row>
    <row r="1043" spans="1:22" ht="15" thickTop="1" thickBot="1" x14ac:dyDescent="0.3">
      <c r="A1043" s="1207"/>
      <c r="B1043" s="1212"/>
      <c r="C1043" s="1212"/>
      <c r="D1043" s="1212"/>
      <c r="E1043" s="1212"/>
      <c r="F1043" s="1992"/>
      <c r="G1043" s="1208"/>
      <c r="H1043" s="1208"/>
      <c r="I1043" s="1209"/>
      <c r="J1043" s="1209"/>
      <c r="K1043" s="1210">
        <f t="shared" si="222"/>
        <v>1.05</v>
      </c>
      <c r="L1043" s="1210">
        <f t="shared" si="213"/>
        <v>0</v>
      </c>
      <c r="M1043" s="1197">
        <f t="shared" si="214"/>
        <v>0</v>
      </c>
      <c r="N1043" s="1211">
        <f t="shared" si="215"/>
        <v>0</v>
      </c>
      <c r="O1043" s="1212"/>
      <c r="P1043" s="1200"/>
      <c r="Q1043" s="1200"/>
      <c r="R1043" s="1213"/>
      <c r="S1043" s="1213"/>
      <c r="T1043" s="1213"/>
      <c r="U1043" s="1213"/>
      <c r="V1043" s="1213"/>
    </row>
    <row r="1044" spans="1:22" ht="15" thickTop="1" thickBot="1" x14ac:dyDescent="0.3">
      <c r="A1044" s="1207"/>
      <c r="B1044" s="1212"/>
      <c r="C1044" s="1212"/>
      <c r="D1044" s="1212"/>
      <c r="E1044" s="1212"/>
      <c r="F1044" s="1992"/>
      <c r="G1044" s="1208"/>
      <c r="H1044" s="1208"/>
      <c r="I1044" s="1209"/>
      <c r="J1044" s="1209"/>
      <c r="K1044" s="1210">
        <f t="shared" si="222"/>
        <v>1.05</v>
      </c>
      <c r="L1044" s="1210">
        <f t="shared" si="213"/>
        <v>0</v>
      </c>
      <c r="M1044" s="1197">
        <f t="shared" si="214"/>
        <v>0</v>
      </c>
      <c r="N1044" s="1211">
        <f t="shared" si="215"/>
        <v>0</v>
      </c>
      <c r="O1044" s="1212"/>
      <c r="P1044" s="1200"/>
      <c r="Q1044" s="1200"/>
      <c r="R1044" s="1213"/>
      <c r="S1044" s="1213"/>
      <c r="T1044" s="1213"/>
      <c r="U1044" s="1213"/>
      <c r="V1044" s="1213"/>
    </row>
    <row r="1045" spans="1:22" ht="15" thickTop="1" thickBot="1" x14ac:dyDescent="0.3">
      <c r="A1045" s="1207"/>
      <c r="B1045" s="1212"/>
      <c r="C1045" s="1212"/>
      <c r="D1045" s="1212"/>
      <c r="E1045" s="1212"/>
      <c r="F1045" s="1992"/>
      <c r="G1045" s="1208"/>
      <c r="H1045" s="1208"/>
      <c r="I1045" s="1209"/>
      <c r="J1045" s="1209"/>
      <c r="K1045" s="1210">
        <f t="shared" si="222"/>
        <v>1.05</v>
      </c>
      <c r="L1045" s="1210">
        <f t="shared" si="213"/>
        <v>0</v>
      </c>
      <c r="M1045" s="1197">
        <f t="shared" si="214"/>
        <v>0</v>
      </c>
      <c r="N1045" s="1211">
        <f t="shared" si="215"/>
        <v>0</v>
      </c>
      <c r="O1045" s="1212"/>
      <c r="P1045" s="1200"/>
      <c r="Q1045" s="1200"/>
      <c r="R1045" s="1213"/>
      <c r="S1045" s="1213"/>
      <c r="T1045" s="1213"/>
      <c r="U1045" s="1213"/>
      <c r="V1045" s="1213"/>
    </row>
    <row r="1046" spans="1:22" ht="15" thickTop="1" thickBot="1" x14ac:dyDescent="0.3">
      <c r="A1046" s="1207"/>
      <c r="B1046" s="1212"/>
      <c r="C1046" s="1212"/>
      <c r="D1046" s="1212"/>
      <c r="E1046" s="1212"/>
      <c r="F1046" s="1992"/>
      <c r="G1046" s="1208"/>
      <c r="H1046" s="1208"/>
      <c r="I1046" s="1209"/>
      <c r="J1046" s="1209"/>
      <c r="K1046" s="1210">
        <f t="shared" si="222"/>
        <v>1.05</v>
      </c>
      <c r="L1046" s="1210">
        <f t="shared" si="213"/>
        <v>0</v>
      </c>
      <c r="M1046" s="1197">
        <f t="shared" si="214"/>
        <v>0</v>
      </c>
      <c r="N1046" s="1211">
        <f t="shared" si="215"/>
        <v>0</v>
      </c>
      <c r="O1046" s="1212"/>
      <c r="P1046" s="1200"/>
      <c r="Q1046" s="1200"/>
      <c r="R1046" s="1213"/>
      <c r="S1046" s="1213"/>
      <c r="T1046" s="1213"/>
      <c r="U1046" s="1213"/>
      <c r="V1046" s="1213"/>
    </row>
    <row r="1047" spans="1:22" ht="15" thickTop="1" thickBot="1" x14ac:dyDescent="0.3">
      <c r="A1047" s="1207"/>
      <c r="B1047" s="1212"/>
      <c r="C1047" s="1212"/>
      <c r="D1047" s="1212"/>
      <c r="E1047" s="1212"/>
      <c r="F1047" s="1208"/>
      <c r="G1047" s="1208"/>
      <c r="H1047" s="1208"/>
      <c r="I1047" s="1209"/>
      <c r="J1047" s="1209"/>
      <c r="K1047" s="1210">
        <f t="shared" si="222"/>
        <v>1.05</v>
      </c>
      <c r="L1047" s="1210">
        <f t="shared" si="213"/>
        <v>0</v>
      </c>
      <c r="M1047" s="1197">
        <f t="shared" si="214"/>
        <v>0</v>
      </c>
      <c r="N1047" s="1211">
        <f t="shared" si="215"/>
        <v>0</v>
      </c>
      <c r="O1047" s="1212"/>
      <c r="P1047" s="1200"/>
      <c r="Q1047" s="1200"/>
      <c r="R1047" s="1213"/>
      <c r="S1047" s="1213"/>
      <c r="T1047" s="1213"/>
      <c r="U1047" s="1213"/>
      <c r="V1047" s="1213"/>
    </row>
    <row r="1048" spans="1:22" ht="15" thickTop="1" thickBot="1" x14ac:dyDescent="0.3">
      <c r="A1048" s="1207"/>
      <c r="B1048" s="1212"/>
      <c r="C1048" s="1212"/>
      <c r="D1048" s="1212"/>
      <c r="E1048" s="1212"/>
      <c r="F1048" s="1208"/>
      <c r="G1048" s="1208"/>
      <c r="H1048" s="1208"/>
      <c r="I1048" s="1209"/>
      <c r="J1048" s="1209"/>
      <c r="K1048" s="1210">
        <f t="shared" si="222"/>
        <v>1.05</v>
      </c>
      <c r="L1048" s="1210">
        <f t="shared" si="213"/>
        <v>0</v>
      </c>
      <c r="M1048" s="1197">
        <f t="shared" si="214"/>
        <v>0</v>
      </c>
      <c r="N1048" s="1211">
        <f t="shared" si="215"/>
        <v>0</v>
      </c>
      <c r="O1048" s="1212"/>
      <c r="P1048" s="1200"/>
      <c r="Q1048" s="1200"/>
      <c r="R1048" s="1213"/>
      <c r="S1048" s="1213"/>
      <c r="T1048" s="1213"/>
      <c r="U1048" s="1213"/>
      <c r="V1048" s="1213"/>
    </row>
    <row r="1049" spans="1:22" ht="15" thickTop="1" thickBot="1" x14ac:dyDescent="0.3">
      <c r="A1049" s="1207"/>
      <c r="B1049" s="1212"/>
      <c r="C1049" s="1212"/>
      <c r="D1049" s="1212"/>
      <c r="E1049" s="1212"/>
      <c r="F1049" s="1208"/>
      <c r="G1049" s="1208"/>
      <c r="H1049" s="1208"/>
      <c r="I1049" s="1209"/>
      <c r="J1049" s="1209"/>
      <c r="K1049" s="1210">
        <f t="shared" si="222"/>
        <v>1.05</v>
      </c>
      <c r="L1049" s="1210">
        <f t="shared" si="213"/>
        <v>0</v>
      </c>
      <c r="M1049" s="1197">
        <f t="shared" si="214"/>
        <v>0</v>
      </c>
      <c r="N1049" s="1211">
        <f t="shared" si="215"/>
        <v>0</v>
      </c>
      <c r="O1049" s="1212"/>
      <c r="P1049" s="1200"/>
      <c r="Q1049" s="1200"/>
      <c r="R1049" s="1213"/>
      <c r="S1049" s="1213"/>
      <c r="T1049" s="1213"/>
      <c r="U1049" s="1213"/>
      <c r="V1049" s="1213"/>
    </row>
    <row r="1050" spans="1:22" ht="15" thickTop="1" thickBot="1" x14ac:dyDescent="0.3">
      <c r="A1050" s="1207"/>
      <c r="B1050" s="1212"/>
      <c r="C1050" s="1212"/>
      <c r="D1050" s="1212"/>
      <c r="E1050" s="1212"/>
      <c r="F1050" s="1208"/>
      <c r="G1050" s="1208"/>
      <c r="H1050" s="1208"/>
      <c r="I1050" s="1209"/>
      <c r="J1050" s="1209"/>
      <c r="K1050" s="1210">
        <f t="shared" si="222"/>
        <v>1.05</v>
      </c>
      <c r="L1050" s="1210">
        <f t="shared" si="213"/>
        <v>0</v>
      </c>
      <c r="M1050" s="1197">
        <f t="shared" si="214"/>
        <v>0</v>
      </c>
      <c r="N1050" s="1211">
        <f t="shared" si="215"/>
        <v>0</v>
      </c>
      <c r="O1050" s="1212"/>
      <c r="P1050" s="1200"/>
      <c r="Q1050" s="1200"/>
      <c r="R1050" s="1213"/>
      <c r="S1050" s="1213"/>
      <c r="T1050" s="1213"/>
      <c r="U1050" s="1213"/>
      <c r="V1050" s="1213"/>
    </row>
    <row r="1051" spans="1:22" ht="15" thickTop="1" thickBot="1" x14ac:dyDescent="0.3">
      <c r="A1051" s="1207"/>
      <c r="B1051" s="1212"/>
      <c r="C1051" s="1212"/>
      <c r="D1051" s="1212"/>
      <c r="E1051" s="1212"/>
      <c r="F1051" s="1208"/>
      <c r="G1051" s="1208"/>
      <c r="H1051" s="1208"/>
      <c r="I1051" s="1209"/>
      <c r="J1051" s="1209"/>
      <c r="K1051" s="1210">
        <f t="shared" si="222"/>
        <v>1.05</v>
      </c>
      <c r="L1051" s="1210">
        <f t="shared" si="213"/>
        <v>0</v>
      </c>
      <c r="M1051" s="1197">
        <f t="shared" si="214"/>
        <v>0</v>
      </c>
      <c r="N1051" s="1211">
        <f t="shared" si="215"/>
        <v>0</v>
      </c>
      <c r="O1051" s="1212"/>
      <c r="P1051" s="1200"/>
      <c r="Q1051" s="1200"/>
      <c r="R1051" s="1213"/>
      <c r="S1051" s="1213"/>
      <c r="T1051" s="1213"/>
      <c r="U1051" s="1213"/>
      <c r="V1051" s="1213"/>
    </row>
    <row r="1052" spans="1:22" ht="15" thickTop="1" thickBot="1" x14ac:dyDescent="0.3">
      <c r="A1052" s="1207"/>
      <c r="B1052" s="1212"/>
      <c r="C1052" s="1212"/>
      <c r="D1052" s="1212"/>
      <c r="E1052" s="1212"/>
      <c r="F1052" s="1208"/>
      <c r="G1052" s="1208"/>
      <c r="H1052" s="1208"/>
      <c r="I1052" s="1209"/>
      <c r="J1052" s="1209"/>
      <c r="K1052" s="1210">
        <f t="shared" si="222"/>
        <v>1.05</v>
      </c>
      <c r="L1052" s="1210">
        <f t="shared" si="213"/>
        <v>0</v>
      </c>
      <c r="M1052" s="1197">
        <f t="shared" si="214"/>
        <v>0</v>
      </c>
      <c r="N1052" s="1211">
        <f t="shared" si="215"/>
        <v>0</v>
      </c>
      <c r="O1052" s="1212"/>
      <c r="P1052" s="1200"/>
      <c r="Q1052" s="1200"/>
      <c r="R1052" s="1213"/>
      <c r="S1052" s="1213"/>
      <c r="T1052" s="1213"/>
      <c r="U1052" s="1213"/>
      <c r="V1052" s="1213"/>
    </row>
    <row r="1053" spans="1:22" ht="15" thickTop="1" thickBot="1" x14ac:dyDescent="0.3">
      <c r="A1053" s="1207"/>
      <c r="B1053" s="1212"/>
      <c r="C1053" s="1212"/>
      <c r="D1053" s="1212"/>
      <c r="E1053" s="1212"/>
      <c r="F1053" s="1208"/>
      <c r="G1053" s="1208"/>
      <c r="H1053" s="1208"/>
      <c r="I1053" s="1209"/>
      <c r="J1053" s="1209"/>
      <c r="K1053" s="1210">
        <f t="shared" si="222"/>
        <v>1.05</v>
      </c>
      <c r="L1053" s="1210">
        <f t="shared" si="213"/>
        <v>0</v>
      </c>
      <c r="M1053" s="1197">
        <f t="shared" si="214"/>
        <v>0</v>
      </c>
      <c r="N1053" s="1211">
        <f t="shared" si="215"/>
        <v>0</v>
      </c>
      <c r="O1053" s="1212"/>
      <c r="P1053" s="1200"/>
      <c r="Q1053" s="1200"/>
      <c r="R1053" s="1213"/>
      <c r="S1053" s="1213"/>
      <c r="T1053" s="1213"/>
      <c r="U1053" s="1213"/>
      <c r="V1053" s="1213"/>
    </row>
    <row r="1054" spans="1:22" ht="15" thickTop="1" thickBot="1" x14ac:dyDescent="0.3">
      <c r="A1054" s="1207"/>
      <c r="B1054" s="1212"/>
      <c r="C1054" s="1212"/>
      <c r="D1054" s="1212"/>
      <c r="E1054" s="1212"/>
      <c r="F1054" s="1208"/>
      <c r="G1054" s="1208"/>
      <c r="H1054" s="1208"/>
      <c r="I1054" s="1209"/>
      <c r="J1054" s="1209"/>
      <c r="K1054" s="1210">
        <f t="shared" si="222"/>
        <v>1.05</v>
      </c>
      <c r="L1054" s="1210">
        <f t="shared" si="213"/>
        <v>0</v>
      </c>
      <c r="M1054" s="1197">
        <f t="shared" si="214"/>
        <v>0</v>
      </c>
      <c r="N1054" s="1211">
        <f t="shared" si="215"/>
        <v>0</v>
      </c>
      <c r="O1054" s="1212"/>
      <c r="P1054" s="1200"/>
      <c r="Q1054" s="1200"/>
      <c r="R1054" s="1213"/>
      <c r="S1054" s="1213"/>
      <c r="T1054" s="1213"/>
      <c r="U1054" s="1213"/>
      <c r="V1054" s="1213"/>
    </row>
    <row r="1055" spans="1:22" ht="15" thickTop="1" thickBot="1" x14ac:dyDescent="0.3">
      <c r="A1055" s="1207"/>
      <c r="B1055" s="1212"/>
      <c r="C1055" s="1212"/>
      <c r="D1055" s="1212"/>
      <c r="E1055" s="1212"/>
      <c r="F1055" s="1208"/>
      <c r="G1055" s="1208"/>
      <c r="H1055" s="1208"/>
      <c r="I1055" s="1209"/>
      <c r="J1055" s="1209"/>
      <c r="K1055" s="1210">
        <f t="shared" si="222"/>
        <v>1.05</v>
      </c>
      <c r="L1055" s="1210">
        <f t="shared" si="213"/>
        <v>0</v>
      </c>
      <c r="M1055" s="1197">
        <f t="shared" si="214"/>
        <v>0</v>
      </c>
      <c r="N1055" s="1211">
        <f t="shared" si="215"/>
        <v>0</v>
      </c>
      <c r="O1055" s="1212"/>
      <c r="P1055" s="1200"/>
      <c r="Q1055" s="1200"/>
      <c r="R1055" s="1213"/>
      <c r="S1055" s="1213"/>
      <c r="T1055" s="1213"/>
      <c r="U1055" s="1213"/>
      <c r="V1055" s="1213"/>
    </row>
    <row r="1056" spans="1:22" ht="15" thickTop="1" thickBot="1" x14ac:dyDescent="0.3">
      <c r="A1056" s="1207"/>
      <c r="B1056" s="1212"/>
      <c r="C1056" s="1212"/>
      <c r="D1056" s="1212"/>
      <c r="E1056" s="1212"/>
      <c r="F1056" s="1208"/>
      <c r="G1056" s="1208"/>
      <c r="H1056" s="1208"/>
      <c r="I1056" s="1209"/>
      <c r="J1056" s="1209"/>
      <c r="K1056" s="1210">
        <f t="shared" si="222"/>
        <v>1.05</v>
      </c>
      <c r="L1056" s="1210">
        <f t="shared" si="213"/>
        <v>0</v>
      </c>
      <c r="M1056" s="1197">
        <f t="shared" si="214"/>
        <v>0</v>
      </c>
      <c r="N1056" s="1211">
        <f t="shared" si="215"/>
        <v>0</v>
      </c>
      <c r="O1056" s="1212"/>
      <c r="P1056" s="1200"/>
      <c r="Q1056" s="1200"/>
      <c r="R1056" s="1213"/>
      <c r="S1056" s="1213"/>
      <c r="T1056" s="1213"/>
      <c r="U1056" s="1213"/>
      <c r="V1056" s="1213"/>
    </row>
    <row r="1057" spans="1:22" ht="15" thickTop="1" thickBot="1" x14ac:dyDescent="0.3">
      <c r="A1057" s="1207"/>
      <c r="B1057" s="1212"/>
      <c r="C1057" s="1212"/>
      <c r="D1057" s="1212"/>
      <c r="E1057" s="1212"/>
      <c r="F1057" s="1208"/>
      <c r="G1057" s="1208"/>
      <c r="H1057" s="1208"/>
      <c r="I1057" s="1209"/>
      <c r="J1057" s="1209"/>
      <c r="K1057" s="1210">
        <f t="shared" si="222"/>
        <v>1.05</v>
      </c>
      <c r="L1057" s="1210">
        <f t="shared" si="213"/>
        <v>0</v>
      </c>
      <c r="M1057" s="1197">
        <f t="shared" si="214"/>
        <v>0</v>
      </c>
      <c r="N1057" s="1211">
        <f t="shared" si="215"/>
        <v>0</v>
      </c>
      <c r="O1057" s="1212"/>
      <c r="P1057" s="1200"/>
      <c r="Q1057" s="1200"/>
      <c r="R1057" s="1213"/>
      <c r="S1057" s="1213"/>
      <c r="T1057" s="1213"/>
      <c r="U1057" s="1213"/>
      <c r="V1057" s="1213"/>
    </row>
    <row r="1058" spans="1:22" ht="15" thickTop="1" thickBot="1" x14ac:dyDescent="0.3">
      <c r="A1058" s="1207"/>
      <c r="B1058" s="1212"/>
      <c r="C1058" s="1212"/>
      <c r="D1058" s="1212"/>
      <c r="E1058" s="1212"/>
      <c r="F1058" s="1208"/>
      <c r="G1058" s="1208"/>
      <c r="H1058" s="1208"/>
      <c r="I1058" s="1209"/>
      <c r="J1058" s="1209"/>
      <c r="K1058" s="1210">
        <f t="shared" si="222"/>
        <v>1.05</v>
      </c>
      <c r="L1058" s="1210">
        <f t="shared" si="213"/>
        <v>0</v>
      </c>
      <c r="M1058" s="1197">
        <f t="shared" si="214"/>
        <v>0</v>
      </c>
      <c r="N1058" s="1211">
        <f t="shared" si="215"/>
        <v>0</v>
      </c>
      <c r="O1058" s="1212"/>
      <c r="P1058" s="1200"/>
      <c r="Q1058" s="1200"/>
      <c r="R1058" s="1213"/>
      <c r="S1058" s="1213"/>
      <c r="T1058" s="1213"/>
      <c r="U1058" s="1213"/>
      <c r="V1058" s="1213"/>
    </row>
    <row r="1059" spans="1:22" ht="15" thickTop="1" thickBot="1" x14ac:dyDescent="0.3">
      <c r="A1059" s="1207"/>
      <c r="B1059" s="1212"/>
      <c r="C1059" s="1212"/>
      <c r="D1059" s="1212"/>
      <c r="E1059" s="1212"/>
      <c r="F1059" s="1208"/>
      <c r="G1059" s="1208"/>
      <c r="H1059" s="1208"/>
      <c r="I1059" s="1209"/>
      <c r="J1059" s="1209"/>
      <c r="K1059" s="1210">
        <f t="shared" si="222"/>
        <v>1.05</v>
      </c>
      <c r="L1059" s="1210">
        <f t="shared" si="213"/>
        <v>0</v>
      </c>
      <c r="M1059" s="1197">
        <f t="shared" si="214"/>
        <v>0</v>
      </c>
      <c r="N1059" s="1211">
        <f t="shared" si="215"/>
        <v>0</v>
      </c>
      <c r="O1059" s="1212"/>
      <c r="P1059" s="1200"/>
      <c r="Q1059" s="1200"/>
      <c r="R1059" s="1213"/>
      <c r="S1059" s="1213"/>
      <c r="T1059" s="1213"/>
      <c r="U1059" s="1213"/>
      <c r="V1059" s="1213"/>
    </row>
    <row r="1060" spans="1:22" ht="15" thickTop="1" thickBot="1" x14ac:dyDescent="0.3">
      <c r="A1060" s="1207"/>
      <c r="B1060" s="1212"/>
      <c r="C1060" s="1212"/>
      <c r="D1060" s="1212"/>
      <c r="E1060" s="1212"/>
      <c r="F1060" s="1208"/>
      <c r="G1060" s="1208"/>
      <c r="H1060" s="1208"/>
      <c r="I1060" s="1209"/>
      <c r="J1060" s="1209"/>
      <c r="K1060" s="1210">
        <f t="shared" si="222"/>
        <v>1.05</v>
      </c>
      <c r="L1060" s="1210">
        <f t="shared" si="213"/>
        <v>0</v>
      </c>
      <c r="M1060" s="1197">
        <f t="shared" si="214"/>
        <v>0</v>
      </c>
      <c r="N1060" s="1211">
        <f t="shared" si="215"/>
        <v>0</v>
      </c>
      <c r="O1060" s="1212"/>
      <c r="P1060" s="1200"/>
      <c r="Q1060" s="1200"/>
      <c r="R1060" s="1213"/>
      <c r="S1060" s="1213"/>
      <c r="T1060" s="1213"/>
      <c r="U1060" s="1213"/>
      <c r="V1060" s="1213"/>
    </row>
    <row r="1061" spans="1:22" ht="15" thickTop="1" thickBot="1" x14ac:dyDescent="0.3">
      <c r="A1061" s="1207"/>
      <c r="B1061" s="1212"/>
      <c r="C1061" s="1212"/>
      <c r="D1061" s="1212"/>
      <c r="E1061" s="1212"/>
      <c r="F1061" s="1208"/>
      <c r="G1061" s="1208"/>
      <c r="H1061" s="1208"/>
      <c r="I1061" s="1209"/>
      <c r="J1061" s="1209"/>
      <c r="K1061" s="1210">
        <f t="shared" si="222"/>
        <v>1.05</v>
      </c>
      <c r="L1061" s="1210">
        <f t="shared" si="213"/>
        <v>0</v>
      </c>
      <c r="M1061" s="1197">
        <f t="shared" si="214"/>
        <v>0</v>
      </c>
      <c r="N1061" s="1211">
        <f t="shared" si="215"/>
        <v>0</v>
      </c>
      <c r="O1061" s="1212"/>
      <c r="P1061" s="1200"/>
      <c r="Q1061" s="1200"/>
      <c r="R1061" s="1213"/>
      <c r="S1061" s="1213"/>
      <c r="T1061" s="1213"/>
      <c r="U1061" s="1213"/>
      <c r="V1061" s="1213"/>
    </row>
    <row r="1062" spans="1:22" ht="15" thickTop="1" thickBot="1" x14ac:dyDescent="0.3">
      <c r="A1062" s="1207"/>
      <c r="B1062" s="1212"/>
      <c r="C1062" s="1212"/>
      <c r="D1062" s="1212"/>
      <c r="E1062" s="1212"/>
      <c r="F1062" s="1208"/>
      <c r="G1062" s="1208"/>
      <c r="H1062" s="1208"/>
      <c r="I1062" s="1209"/>
      <c r="J1062" s="1209"/>
      <c r="K1062" s="1210">
        <f t="shared" si="222"/>
        <v>1.05</v>
      </c>
      <c r="L1062" s="1210">
        <f t="shared" si="213"/>
        <v>0</v>
      </c>
      <c r="M1062" s="1197">
        <f t="shared" si="214"/>
        <v>0</v>
      </c>
      <c r="N1062" s="1211">
        <f t="shared" si="215"/>
        <v>0</v>
      </c>
      <c r="O1062" s="1212"/>
      <c r="P1062" s="1200"/>
      <c r="Q1062" s="1200"/>
      <c r="R1062" s="1213"/>
      <c r="S1062" s="1213"/>
      <c r="T1062" s="1213"/>
      <c r="U1062" s="1213"/>
      <c r="V1062" s="1213"/>
    </row>
    <row r="1063" spans="1:22" ht="15" thickTop="1" thickBot="1" x14ac:dyDescent="0.3">
      <c r="A1063" s="1207"/>
      <c r="B1063" s="1212"/>
      <c r="C1063" s="1212"/>
      <c r="D1063" s="1212"/>
      <c r="E1063" s="1212"/>
      <c r="F1063" s="1208"/>
      <c r="G1063" s="1208"/>
      <c r="H1063" s="1208"/>
      <c r="I1063" s="1209"/>
      <c r="J1063" s="1209"/>
      <c r="K1063" s="1210">
        <f t="shared" si="222"/>
        <v>1.05</v>
      </c>
      <c r="L1063" s="1210">
        <f t="shared" si="213"/>
        <v>0</v>
      </c>
      <c r="M1063" s="1197">
        <f t="shared" si="214"/>
        <v>0</v>
      </c>
      <c r="N1063" s="1211">
        <f t="shared" si="215"/>
        <v>0</v>
      </c>
      <c r="O1063" s="1212"/>
      <c r="P1063" s="1200"/>
      <c r="Q1063" s="1200"/>
      <c r="R1063" s="1213"/>
      <c r="S1063" s="1213"/>
      <c r="T1063" s="1213"/>
      <c r="U1063" s="1213"/>
      <c r="V1063" s="1213"/>
    </row>
    <row r="1064" spans="1:22" ht="15" thickTop="1" thickBot="1" x14ac:dyDescent="0.3">
      <c r="A1064" s="1207"/>
      <c r="B1064" s="1212"/>
      <c r="C1064" s="1212"/>
      <c r="D1064" s="1212"/>
      <c r="E1064" s="1212"/>
      <c r="F1064" s="1208"/>
      <c r="G1064" s="1208"/>
      <c r="H1064" s="1208"/>
      <c r="I1064" s="1209"/>
      <c r="J1064" s="1209"/>
      <c r="K1064" s="1210">
        <f t="shared" si="222"/>
        <v>1.05</v>
      </c>
      <c r="L1064" s="1210">
        <f t="shared" si="213"/>
        <v>0</v>
      </c>
      <c r="M1064" s="1197">
        <f t="shared" si="214"/>
        <v>0</v>
      </c>
      <c r="N1064" s="1211">
        <f t="shared" si="215"/>
        <v>0</v>
      </c>
      <c r="O1064" s="1212"/>
      <c r="P1064" s="1200"/>
      <c r="Q1064" s="1200"/>
      <c r="R1064" s="1213"/>
      <c r="S1064" s="1213"/>
      <c r="T1064" s="1213"/>
      <c r="U1064" s="1213"/>
      <c r="V1064" s="1213"/>
    </row>
    <row r="1065" spans="1:22" ht="15" thickTop="1" thickBot="1" x14ac:dyDescent="0.3">
      <c r="A1065" s="1207"/>
      <c r="B1065" s="1212"/>
      <c r="C1065" s="1212"/>
      <c r="D1065" s="1212"/>
      <c r="E1065" s="1212"/>
      <c r="F1065" s="1208"/>
      <c r="G1065" s="1208"/>
      <c r="H1065" s="1208"/>
      <c r="I1065" s="1209"/>
      <c r="J1065" s="1209"/>
      <c r="K1065" s="1210">
        <f t="shared" si="222"/>
        <v>1.05</v>
      </c>
      <c r="L1065" s="1210">
        <f t="shared" si="213"/>
        <v>0</v>
      </c>
      <c r="M1065" s="1197">
        <f t="shared" si="214"/>
        <v>0</v>
      </c>
      <c r="N1065" s="1211">
        <f t="shared" si="215"/>
        <v>0</v>
      </c>
      <c r="O1065" s="1212"/>
      <c r="P1065" s="1200"/>
      <c r="Q1065" s="1200"/>
      <c r="R1065" s="1213"/>
      <c r="S1065" s="1213"/>
      <c r="T1065" s="1213"/>
      <c r="U1065" s="1213"/>
      <c r="V1065" s="1213"/>
    </row>
    <row r="1066" spans="1:22" ht="15" thickTop="1" thickBot="1" x14ac:dyDescent="0.3">
      <c r="A1066" s="1207"/>
      <c r="B1066" s="1212"/>
      <c r="C1066" s="1212"/>
      <c r="D1066" s="1212"/>
      <c r="E1066" s="1212"/>
      <c r="F1066" s="1208"/>
      <c r="G1066" s="1208"/>
      <c r="H1066" s="1208"/>
      <c r="I1066" s="1209"/>
      <c r="J1066" s="1209"/>
      <c r="K1066" s="1210">
        <f t="shared" si="222"/>
        <v>1.05</v>
      </c>
      <c r="L1066" s="1210">
        <f t="shared" ref="L1066:L1129" si="223">K1066*J1066</f>
        <v>0</v>
      </c>
      <c r="M1066" s="1197">
        <f t="shared" ref="M1066:M1129" si="224">ROUND(L1066,1)</f>
        <v>0</v>
      </c>
      <c r="N1066" s="1211">
        <f t="shared" ref="N1066:N1129" si="225">ROUNDUP(M1066,0)</f>
        <v>0</v>
      </c>
      <c r="O1066" s="1212"/>
      <c r="P1066" s="1200"/>
      <c r="Q1066" s="1200"/>
      <c r="R1066" s="1213"/>
      <c r="S1066" s="1213"/>
      <c r="T1066" s="1213"/>
      <c r="U1066" s="1213"/>
      <c r="V1066" s="1213"/>
    </row>
    <row r="1067" spans="1:22" ht="15" thickTop="1" thickBot="1" x14ac:dyDescent="0.3">
      <c r="A1067" s="1207"/>
      <c r="B1067" s="1212"/>
      <c r="C1067" s="1212"/>
      <c r="D1067" s="1212"/>
      <c r="E1067" s="1212"/>
      <c r="F1067" s="1208"/>
      <c r="G1067" s="1208"/>
      <c r="H1067" s="1208"/>
      <c r="I1067" s="1209"/>
      <c r="J1067" s="1209"/>
      <c r="K1067" s="1210">
        <f t="shared" si="222"/>
        <v>1.05</v>
      </c>
      <c r="L1067" s="1210">
        <f t="shared" si="223"/>
        <v>0</v>
      </c>
      <c r="M1067" s="1197">
        <f t="shared" si="224"/>
        <v>0</v>
      </c>
      <c r="N1067" s="1211">
        <f t="shared" si="225"/>
        <v>0</v>
      </c>
      <c r="O1067" s="1212"/>
      <c r="P1067" s="1200"/>
      <c r="Q1067" s="1200"/>
      <c r="R1067" s="1213"/>
      <c r="S1067" s="1213"/>
      <c r="T1067" s="1213"/>
      <c r="U1067" s="1213"/>
      <c r="V1067" s="1213"/>
    </row>
    <row r="1068" spans="1:22" ht="15" thickTop="1" thickBot="1" x14ac:dyDescent="0.3">
      <c r="A1068" s="1207"/>
      <c r="B1068" s="1212"/>
      <c r="C1068" s="1212"/>
      <c r="D1068" s="1212"/>
      <c r="E1068" s="1212"/>
      <c r="F1068" s="1208"/>
      <c r="G1068" s="1208"/>
      <c r="H1068" s="1208"/>
      <c r="I1068" s="1209"/>
      <c r="J1068" s="1209"/>
      <c r="K1068" s="1210">
        <f t="shared" si="222"/>
        <v>1.05</v>
      </c>
      <c r="L1068" s="1210">
        <f t="shared" si="223"/>
        <v>0</v>
      </c>
      <c r="M1068" s="1197">
        <f t="shared" si="224"/>
        <v>0</v>
      </c>
      <c r="N1068" s="1211">
        <f t="shared" si="225"/>
        <v>0</v>
      </c>
      <c r="O1068" s="1212"/>
      <c r="P1068" s="1200"/>
      <c r="Q1068" s="1200"/>
      <c r="R1068" s="1213"/>
      <c r="S1068" s="1213"/>
      <c r="T1068" s="1213"/>
      <c r="U1068" s="1213"/>
      <c r="V1068" s="1213"/>
    </row>
    <row r="1069" spans="1:22" ht="15" thickTop="1" thickBot="1" x14ac:dyDescent="0.3">
      <c r="A1069" s="1207"/>
      <c r="B1069" s="1212"/>
      <c r="C1069" s="1212"/>
      <c r="D1069" s="1212"/>
      <c r="E1069" s="1212"/>
      <c r="F1069" s="1208"/>
      <c r="G1069" s="1208"/>
      <c r="H1069" s="1208"/>
      <c r="I1069" s="1209"/>
      <c r="J1069" s="1209"/>
      <c r="K1069" s="1210">
        <f t="shared" si="222"/>
        <v>1.05</v>
      </c>
      <c r="L1069" s="1210">
        <f t="shared" si="223"/>
        <v>0</v>
      </c>
      <c r="M1069" s="1197">
        <f t="shared" si="224"/>
        <v>0</v>
      </c>
      <c r="N1069" s="1211">
        <f t="shared" si="225"/>
        <v>0</v>
      </c>
      <c r="O1069" s="1212"/>
      <c r="P1069" s="1200"/>
      <c r="Q1069" s="1200"/>
      <c r="R1069" s="1213"/>
      <c r="S1069" s="1213"/>
      <c r="T1069" s="1213"/>
      <c r="U1069" s="1213"/>
      <c r="V1069" s="1213"/>
    </row>
    <row r="1070" spans="1:22" ht="15" thickTop="1" thickBot="1" x14ac:dyDescent="0.3">
      <c r="A1070" s="1207"/>
      <c r="B1070" s="1212"/>
      <c r="C1070" s="1212"/>
      <c r="D1070" s="1212"/>
      <c r="E1070" s="1212"/>
      <c r="F1070" s="1208"/>
      <c r="G1070" s="1208"/>
      <c r="H1070" s="1208"/>
      <c r="I1070" s="1209"/>
      <c r="J1070" s="1209"/>
      <c r="K1070" s="1210">
        <f t="shared" si="222"/>
        <v>1.05</v>
      </c>
      <c r="L1070" s="1210">
        <f t="shared" si="223"/>
        <v>0</v>
      </c>
      <c r="M1070" s="1197">
        <f t="shared" si="224"/>
        <v>0</v>
      </c>
      <c r="N1070" s="1211">
        <f t="shared" si="225"/>
        <v>0</v>
      </c>
      <c r="O1070" s="1212"/>
      <c r="P1070" s="1200"/>
      <c r="Q1070" s="1200"/>
      <c r="R1070" s="1213"/>
      <c r="S1070" s="1213"/>
      <c r="T1070" s="1213"/>
      <c r="U1070" s="1213"/>
      <c r="V1070" s="1213"/>
    </row>
    <row r="1071" spans="1:22" ht="15" thickTop="1" thickBot="1" x14ac:dyDescent="0.3">
      <c r="A1071" s="1207"/>
      <c r="B1071" s="1212"/>
      <c r="C1071" s="1212"/>
      <c r="D1071" s="1212"/>
      <c r="E1071" s="1212"/>
      <c r="F1071" s="1208"/>
      <c r="G1071" s="1208"/>
      <c r="H1071" s="1208"/>
      <c r="I1071" s="1209"/>
      <c r="J1071" s="1209"/>
      <c r="K1071" s="1210">
        <f t="shared" si="222"/>
        <v>1.05</v>
      </c>
      <c r="L1071" s="1210">
        <f t="shared" si="223"/>
        <v>0</v>
      </c>
      <c r="M1071" s="1197">
        <f t="shared" si="224"/>
        <v>0</v>
      </c>
      <c r="N1071" s="1211">
        <f t="shared" si="225"/>
        <v>0</v>
      </c>
      <c r="O1071" s="1212"/>
      <c r="P1071" s="1200"/>
      <c r="Q1071" s="1200"/>
      <c r="R1071" s="1213"/>
      <c r="S1071" s="1213"/>
      <c r="T1071" s="1213"/>
      <c r="U1071" s="1213"/>
      <c r="V1071" s="1213"/>
    </row>
    <row r="1072" spans="1:22" ht="15" thickTop="1" thickBot="1" x14ac:dyDescent="0.3">
      <c r="A1072" s="1207"/>
      <c r="B1072" s="1212"/>
      <c r="C1072" s="1212"/>
      <c r="D1072" s="1212"/>
      <c r="E1072" s="1212"/>
      <c r="F1072" s="1208"/>
      <c r="G1072" s="1208"/>
      <c r="H1072" s="1208"/>
      <c r="I1072" s="1209"/>
      <c r="J1072" s="1209"/>
      <c r="K1072" s="1210">
        <f t="shared" si="222"/>
        <v>1.05</v>
      </c>
      <c r="L1072" s="1210">
        <f t="shared" si="223"/>
        <v>0</v>
      </c>
      <c r="M1072" s="1197">
        <f t="shared" si="224"/>
        <v>0</v>
      </c>
      <c r="N1072" s="1211">
        <f t="shared" si="225"/>
        <v>0</v>
      </c>
      <c r="O1072" s="1212"/>
      <c r="P1072" s="1200"/>
      <c r="Q1072" s="1200"/>
      <c r="R1072" s="1213"/>
      <c r="S1072" s="1213"/>
      <c r="T1072" s="1213"/>
      <c r="U1072" s="1213"/>
      <c r="V1072" s="1213"/>
    </row>
    <row r="1073" spans="1:22" ht="15" thickTop="1" thickBot="1" x14ac:dyDescent="0.3">
      <c r="A1073" s="1207"/>
      <c r="B1073" s="1212"/>
      <c r="C1073" s="1212"/>
      <c r="D1073" s="1212"/>
      <c r="E1073" s="1212"/>
      <c r="F1073" s="1208"/>
      <c r="G1073" s="1208"/>
      <c r="H1073" s="1208"/>
      <c r="I1073" s="1209"/>
      <c r="J1073" s="1209"/>
      <c r="K1073" s="1210">
        <f t="shared" si="222"/>
        <v>1.05</v>
      </c>
      <c r="L1073" s="1210">
        <f t="shared" si="223"/>
        <v>0</v>
      </c>
      <c r="M1073" s="1197">
        <f t="shared" si="224"/>
        <v>0</v>
      </c>
      <c r="N1073" s="1211">
        <f t="shared" si="225"/>
        <v>0</v>
      </c>
      <c r="O1073" s="1212"/>
      <c r="P1073" s="1200"/>
      <c r="Q1073" s="1200"/>
      <c r="R1073" s="1213"/>
      <c r="S1073" s="1213"/>
      <c r="T1073" s="1213"/>
      <c r="U1073" s="1213"/>
      <c r="V1073" s="1213"/>
    </row>
    <row r="1074" spans="1:22" ht="15" thickTop="1" thickBot="1" x14ac:dyDescent="0.3">
      <c r="A1074" s="1207"/>
      <c r="B1074" s="1212"/>
      <c r="C1074" s="1212"/>
      <c r="D1074" s="1212"/>
      <c r="E1074" s="1212"/>
      <c r="F1074" s="1208"/>
      <c r="G1074" s="1208"/>
      <c r="H1074" s="1208"/>
      <c r="I1074" s="1209"/>
      <c r="J1074" s="1209"/>
      <c r="K1074" s="1210">
        <f t="shared" si="222"/>
        <v>1.05</v>
      </c>
      <c r="L1074" s="1210">
        <f t="shared" si="223"/>
        <v>0</v>
      </c>
      <c r="M1074" s="1197">
        <f t="shared" si="224"/>
        <v>0</v>
      </c>
      <c r="N1074" s="1211">
        <f t="shared" si="225"/>
        <v>0</v>
      </c>
      <c r="O1074" s="1212"/>
      <c r="P1074" s="1200"/>
      <c r="Q1074" s="1200"/>
      <c r="R1074" s="1213"/>
      <c r="S1074" s="1213"/>
      <c r="T1074" s="1213"/>
      <c r="U1074" s="1213"/>
      <c r="V1074" s="1213"/>
    </row>
    <row r="1075" spans="1:22" ht="15" thickTop="1" thickBot="1" x14ac:dyDescent="0.3">
      <c r="A1075" s="1207"/>
      <c r="B1075" s="1212"/>
      <c r="C1075" s="1212"/>
      <c r="D1075" s="1212"/>
      <c r="E1075" s="1212"/>
      <c r="F1075" s="1208"/>
      <c r="G1075" s="1208"/>
      <c r="H1075" s="1208"/>
      <c r="I1075" s="1209"/>
      <c r="J1075" s="1209"/>
      <c r="K1075" s="1210">
        <f t="shared" si="222"/>
        <v>1.05</v>
      </c>
      <c r="L1075" s="1210">
        <f t="shared" si="223"/>
        <v>0</v>
      </c>
      <c r="M1075" s="1197">
        <f t="shared" si="224"/>
        <v>0</v>
      </c>
      <c r="N1075" s="1211">
        <f t="shared" si="225"/>
        <v>0</v>
      </c>
      <c r="O1075" s="1212"/>
      <c r="P1075" s="1200"/>
      <c r="Q1075" s="1200"/>
      <c r="R1075" s="1213"/>
      <c r="S1075" s="1213"/>
      <c r="T1075" s="1213"/>
      <c r="U1075" s="1213"/>
      <c r="V1075" s="1213"/>
    </row>
    <row r="1076" spans="1:22" ht="15" thickTop="1" thickBot="1" x14ac:dyDescent="0.3">
      <c r="A1076" s="1207"/>
      <c r="B1076" s="1212"/>
      <c r="C1076" s="1212"/>
      <c r="D1076" s="1212"/>
      <c r="E1076" s="1212"/>
      <c r="F1076" s="1208"/>
      <c r="G1076" s="1208"/>
      <c r="H1076" s="1208"/>
      <c r="I1076" s="1209"/>
      <c r="J1076" s="1209"/>
      <c r="K1076" s="1210">
        <f t="shared" si="222"/>
        <v>1.05</v>
      </c>
      <c r="L1076" s="1210">
        <f t="shared" si="223"/>
        <v>0</v>
      </c>
      <c r="M1076" s="1197">
        <f t="shared" si="224"/>
        <v>0</v>
      </c>
      <c r="N1076" s="1211">
        <f t="shared" si="225"/>
        <v>0</v>
      </c>
      <c r="O1076" s="1212"/>
      <c r="P1076" s="1200"/>
      <c r="Q1076" s="1200"/>
      <c r="R1076" s="1213"/>
      <c r="S1076" s="1213"/>
      <c r="T1076" s="1213"/>
      <c r="U1076" s="1213"/>
      <c r="V1076" s="1213"/>
    </row>
    <row r="1077" spans="1:22" ht="15" thickTop="1" thickBot="1" x14ac:dyDescent="0.3">
      <c r="A1077" s="1207"/>
      <c r="B1077" s="1212"/>
      <c r="C1077" s="1212"/>
      <c r="D1077" s="1212"/>
      <c r="E1077" s="1212"/>
      <c r="F1077" s="1208"/>
      <c r="G1077" s="1208"/>
      <c r="H1077" s="1208"/>
      <c r="I1077" s="1209"/>
      <c r="J1077" s="1209"/>
      <c r="K1077" s="1210">
        <f t="shared" si="222"/>
        <v>1.05</v>
      </c>
      <c r="L1077" s="1210">
        <f t="shared" si="223"/>
        <v>0</v>
      </c>
      <c r="M1077" s="1197">
        <f t="shared" si="224"/>
        <v>0</v>
      </c>
      <c r="N1077" s="1211">
        <f t="shared" si="225"/>
        <v>0</v>
      </c>
      <c r="O1077" s="1212"/>
      <c r="P1077" s="1200"/>
      <c r="Q1077" s="1200"/>
      <c r="R1077" s="1213"/>
      <c r="S1077" s="1213"/>
      <c r="T1077" s="1213"/>
      <c r="U1077" s="1213"/>
      <c r="V1077" s="1213"/>
    </row>
    <row r="1078" spans="1:22" ht="15" thickTop="1" thickBot="1" x14ac:dyDescent="0.3">
      <c r="A1078" s="1207"/>
      <c r="B1078" s="1212"/>
      <c r="C1078" s="1212"/>
      <c r="D1078" s="1212"/>
      <c r="E1078" s="1212"/>
      <c r="F1078" s="1208"/>
      <c r="G1078" s="1208"/>
      <c r="H1078" s="1208"/>
      <c r="I1078" s="1209"/>
      <c r="J1078" s="1209"/>
      <c r="K1078" s="1210">
        <f t="shared" si="222"/>
        <v>1.05</v>
      </c>
      <c r="L1078" s="1210">
        <f t="shared" si="223"/>
        <v>0</v>
      </c>
      <c r="M1078" s="1197">
        <f t="shared" si="224"/>
        <v>0</v>
      </c>
      <c r="N1078" s="1211">
        <f t="shared" si="225"/>
        <v>0</v>
      </c>
      <c r="O1078" s="1212"/>
      <c r="P1078" s="1200"/>
      <c r="Q1078" s="1200"/>
      <c r="R1078" s="1213"/>
      <c r="S1078" s="1213"/>
      <c r="T1078" s="1213"/>
      <c r="U1078" s="1213"/>
      <c r="V1078" s="1213"/>
    </row>
    <row r="1079" spans="1:22" ht="15" thickTop="1" thickBot="1" x14ac:dyDescent="0.3">
      <c r="A1079" s="1207"/>
      <c r="B1079" s="1212"/>
      <c r="C1079" s="1212"/>
      <c r="D1079" s="1212"/>
      <c r="E1079" s="1212"/>
      <c r="F1079" s="1208"/>
      <c r="G1079" s="1208"/>
      <c r="H1079" s="1208"/>
      <c r="I1079" s="1209"/>
      <c r="J1079" s="1209"/>
      <c r="K1079" s="1210">
        <f t="shared" si="222"/>
        <v>1.05</v>
      </c>
      <c r="L1079" s="1210">
        <f t="shared" si="223"/>
        <v>0</v>
      </c>
      <c r="M1079" s="1197">
        <f t="shared" si="224"/>
        <v>0</v>
      </c>
      <c r="N1079" s="1211">
        <f t="shared" si="225"/>
        <v>0</v>
      </c>
      <c r="O1079" s="1212"/>
      <c r="P1079" s="1200"/>
      <c r="Q1079" s="1200"/>
      <c r="R1079" s="1213"/>
      <c r="S1079" s="1213"/>
      <c r="T1079" s="1213"/>
      <c r="U1079" s="1213"/>
      <c r="V1079" s="1213"/>
    </row>
    <row r="1080" spans="1:22" ht="15" thickTop="1" thickBot="1" x14ac:dyDescent="0.3">
      <c r="A1080" s="1207"/>
      <c r="B1080" s="1212"/>
      <c r="C1080" s="1212"/>
      <c r="D1080" s="1212"/>
      <c r="E1080" s="1212"/>
      <c r="F1080" s="1208"/>
      <c r="G1080" s="1208"/>
      <c r="H1080" s="1208"/>
      <c r="I1080" s="1209"/>
      <c r="J1080" s="1209"/>
      <c r="K1080" s="1210">
        <f t="shared" si="222"/>
        <v>1.05</v>
      </c>
      <c r="L1080" s="1210">
        <f t="shared" si="223"/>
        <v>0</v>
      </c>
      <c r="M1080" s="1197">
        <f t="shared" si="224"/>
        <v>0</v>
      </c>
      <c r="N1080" s="1211">
        <f t="shared" si="225"/>
        <v>0</v>
      </c>
      <c r="O1080" s="1212"/>
      <c r="P1080" s="1200"/>
      <c r="Q1080" s="1200"/>
      <c r="R1080" s="1213"/>
      <c r="S1080" s="1213"/>
      <c r="T1080" s="1213"/>
      <c r="U1080" s="1213"/>
      <c r="V1080" s="1213"/>
    </row>
    <row r="1081" spans="1:22" ht="15" thickTop="1" thickBot="1" x14ac:dyDescent="0.3">
      <c r="A1081" s="1207"/>
      <c r="B1081" s="1212"/>
      <c r="C1081" s="1212"/>
      <c r="D1081" s="1212"/>
      <c r="E1081" s="1212"/>
      <c r="F1081" s="1208"/>
      <c r="G1081" s="1208"/>
      <c r="H1081" s="1208"/>
      <c r="I1081" s="1209"/>
      <c r="J1081" s="1209"/>
      <c r="K1081" s="1210">
        <f t="shared" si="222"/>
        <v>1.05</v>
      </c>
      <c r="L1081" s="1210">
        <f t="shared" si="223"/>
        <v>0</v>
      </c>
      <c r="M1081" s="1197">
        <f t="shared" si="224"/>
        <v>0</v>
      </c>
      <c r="N1081" s="1211">
        <f t="shared" si="225"/>
        <v>0</v>
      </c>
      <c r="O1081" s="1212"/>
      <c r="P1081" s="1200"/>
      <c r="Q1081" s="1200"/>
      <c r="R1081" s="1213"/>
      <c r="S1081" s="1213"/>
      <c r="T1081" s="1213"/>
      <c r="U1081" s="1213"/>
      <c r="V1081" s="1213"/>
    </row>
    <row r="1082" spans="1:22" ht="15" thickTop="1" thickBot="1" x14ac:dyDescent="0.3">
      <c r="A1082" s="1207"/>
      <c r="B1082" s="1212"/>
      <c r="C1082" s="1212"/>
      <c r="D1082" s="1212"/>
      <c r="E1082" s="1212"/>
      <c r="F1082" s="1208"/>
      <c r="G1082" s="1208"/>
      <c r="H1082" s="1208"/>
      <c r="I1082" s="1209"/>
      <c r="J1082" s="1209"/>
      <c r="K1082" s="1210">
        <f t="shared" si="222"/>
        <v>1.05</v>
      </c>
      <c r="L1082" s="1210">
        <f t="shared" si="223"/>
        <v>0</v>
      </c>
      <c r="M1082" s="1197">
        <f t="shared" si="224"/>
        <v>0</v>
      </c>
      <c r="N1082" s="1211">
        <f t="shared" si="225"/>
        <v>0</v>
      </c>
      <c r="O1082" s="1212"/>
      <c r="P1082" s="1200"/>
      <c r="Q1082" s="1200"/>
      <c r="R1082" s="1213"/>
      <c r="S1082" s="1213"/>
      <c r="T1082" s="1213"/>
      <c r="U1082" s="1213"/>
      <c r="V1082" s="1213"/>
    </row>
    <row r="1083" spans="1:22" ht="15" thickTop="1" thickBot="1" x14ac:dyDescent="0.3">
      <c r="A1083" s="1207"/>
      <c r="B1083" s="1212"/>
      <c r="C1083" s="1212"/>
      <c r="D1083" s="1212"/>
      <c r="E1083" s="1212"/>
      <c r="F1083" s="1208"/>
      <c r="G1083" s="1208"/>
      <c r="H1083" s="1208"/>
      <c r="I1083" s="1209"/>
      <c r="J1083" s="1209"/>
      <c r="K1083" s="1210">
        <f t="shared" si="222"/>
        <v>1.05</v>
      </c>
      <c r="L1083" s="1210">
        <f t="shared" si="223"/>
        <v>0</v>
      </c>
      <c r="M1083" s="1197">
        <f t="shared" si="224"/>
        <v>0</v>
      </c>
      <c r="N1083" s="1211">
        <f t="shared" si="225"/>
        <v>0</v>
      </c>
      <c r="O1083" s="1212"/>
      <c r="P1083" s="1200"/>
      <c r="Q1083" s="1200"/>
      <c r="R1083" s="1213"/>
      <c r="S1083" s="1213"/>
      <c r="T1083" s="1213"/>
      <c r="U1083" s="1213"/>
      <c r="V1083" s="1213"/>
    </row>
    <row r="1084" spans="1:22" ht="15" thickTop="1" thickBot="1" x14ac:dyDescent="0.3">
      <c r="A1084" s="1207"/>
      <c r="B1084" s="1212"/>
      <c r="C1084" s="1212"/>
      <c r="D1084" s="1212"/>
      <c r="E1084" s="1212"/>
      <c r="F1084" s="1208"/>
      <c r="G1084" s="1208"/>
      <c r="H1084" s="1208"/>
      <c r="I1084" s="1209"/>
      <c r="J1084" s="1209"/>
      <c r="K1084" s="1210">
        <f t="shared" si="222"/>
        <v>1.05</v>
      </c>
      <c r="L1084" s="1210">
        <f t="shared" si="223"/>
        <v>0</v>
      </c>
      <c r="M1084" s="1197">
        <f t="shared" si="224"/>
        <v>0</v>
      </c>
      <c r="N1084" s="1211">
        <f t="shared" si="225"/>
        <v>0</v>
      </c>
      <c r="O1084" s="1212"/>
      <c r="P1084" s="1200"/>
      <c r="Q1084" s="1200"/>
      <c r="R1084" s="1213"/>
      <c r="S1084" s="1213"/>
      <c r="T1084" s="1213"/>
      <c r="U1084" s="1213"/>
      <c r="V1084" s="1213"/>
    </row>
    <row r="1085" spans="1:22" ht="15" thickTop="1" thickBot="1" x14ac:dyDescent="0.3">
      <c r="A1085" s="1207"/>
      <c r="B1085" s="1212"/>
      <c r="C1085" s="1212"/>
      <c r="D1085" s="1212"/>
      <c r="E1085" s="1212"/>
      <c r="F1085" s="1208"/>
      <c r="G1085" s="1208"/>
      <c r="H1085" s="1208"/>
      <c r="I1085" s="1209"/>
      <c r="J1085" s="1209"/>
      <c r="K1085" s="1210">
        <f t="shared" si="222"/>
        <v>1.05</v>
      </c>
      <c r="L1085" s="1210">
        <f t="shared" si="223"/>
        <v>0</v>
      </c>
      <c r="M1085" s="1197">
        <f t="shared" si="224"/>
        <v>0</v>
      </c>
      <c r="N1085" s="1211">
        <f t="shared" si="225"/>
        <v>0</v>
      </c>
      <c r="O1085" s="1212"/>
      <c r="P1085" s="1200"/>
      <c r="Q1085" s="1200"/>
      <c r="R1085" s="1213"/>
      <c r="S1085" s="1213"/>
      <c r="T1085" s="1213"/>
      <c r="U1085" s="1213"/>
      <c r="V1085" s="1213"/>
    </row>
    <row r="1086" spans="1:22" ht="15" thickTop="1" thickBot="1" x14ac:dyDescent="0.3">
      <c r="A1086" s="1207"/>
      <c r="B1086" s="1212"/>
      <c r="C1086" s="1212"/>
      <c r="D1086" s="1212"/>
      <c r="E1086" s="1212"/>
      <c r="F1086" s="1208"/>
      <c r="G1086" s="1208"/>
      <c r="H1086" s="1208"/>
      <c r="I1086" s="1209"/>
      <c r="J1086" s="1209"/>
      <c r="K1086" s="1210">
        <f t="shared" si="222"/>
        <v>1.05</v>
      </c>
      <c r="L1086" s="1210">
        <f t="shared" si="223"/>
        <v>0</v>
      </c>
      <c r="M1086" s="1197">
        <f t="shared" si="224"/>
        <v>0</v>
      </c>
      <c r="N1086" s="1211">
        <f t="shared" si="225"/>
        <v>0</v>
      </c>
      <c r="O1086" s="1212"/>
      <c r="P1086" s="1200"/>
      <c r="Q1086" s="1200"/>
      <c r="R1086" s="1213"/>
      <c r="S1086" s="1213"/>
      <c r="T1086" s="1213"/>
      <c r="U1086" s="1213"/>
      <c r="V1086" s="1213"/>
    </row>
    <row r="1087" spans="1:22" ht="15" thickTop="1" thickBot="1" x14ac:dyDescent="0.3">
      <c r="A1087" s="1207"/>
      <c r="B1087" s="1212"/>
      <c r="C1087" s="1212"/>
      <c r="D1087" s="1212"/>
      <c r="E1087" s="1212"/>
      <c r="F1087" s="1208"/>
      <c r="G1087" s="1208"/>
      <c r="H1087" s="1208"/>
      <c r="I1087" s="1209"/>
      <c r="J1087" s="1209"/>
      <c r="K1087" s="1210">
        <f t="shared" si="222"/>
        <v>1.05</v>
      </c>
      <c r="L1087" s="1210">
        <f t="shared" si="223"/>
        <v>0</v>
      </c>
      <c r="M1087" s="1197">
        <f t="shared" si="224"/>
        <v>0</v>
      </c>
      <c r="N1087" s="1211">
        <f t="shared" si="225"/>
        <v>0</v>
      </c>
      <c r="O1087" s="1212"/>
      <c r="P1087" s="1200"/>
      <c r="Q1087" s="1200"/>
      <c r="R1087" s="1213"/>
      <c r="S1087" s="1213"/>
      <c r="T1087" s="1213"/>
      <c r="U1087" s="1213"/>
      <c r="V1087" s="1213"/>
    </row>
    <row r="1088" spans="1:22" ht="15" thickTop="1" thickBot="1" x14ac:dyDescent="0.3">
      <c r="A1088" s="1207"/>
      <c r="B1088" s="1212"/>
      <c r="C1088" s="1212"/>
      <c r="D1088" s="1212"/>
      <c r="E1088" s="1212"/>
      <c r="F1088" s="1208"/>
      <c r="G1088" s="1208"/>
      <c r="H1088" s="1208"/>
      <c r="I1088" s="1209"/>
      <c r="J1088" s="1209"/>
      <c r="K1088" s="1210">
        <f t="shared" si="222"/>
        <v>1.05</v>
      </c>
      <c r="L1088" s="1210">
        <f t="shared" si="223"/>
        <v>0</v>
      </c>
      <c r="M1088" s="1197">
        <f t="shared" si="224"/>
        <v>0</v>
      </c>
      <c r="N1088" s="1211">
        <f t="shared" si="225"/>
        <v>0</v>
      </c>
      <c r="O1088" s="1212"/>
      <c r="P1088" s="1200"/>
      <c r="Q1088" s="1200"/>
      <c r="R1088" s="1213"/>
      <c r="S1088" s="1213"/>
      <c r="T1088" s="1213"/>
      <c r="U1088" s="1213"/>
      <c r="V1088" s="1213"/>
    </row>
    <row r="1089" spans="1:22" ht="15" thickTop="1" thickBot="1" x14ac:dyDescent="0.3">
      <c r="A1089" s="1207"/>
      <c r="B1089" s="1212"/>
      <c r="C1089" s="1212"/>
      <c r="D1089" s="1212"/>
      <c r="E1089" s="1212"/>
      <c r="F1089" s="1208"/>
      <c r="G1089" s="1208"/>
      <c r="H1089" s="1208"/>
      <c r="I1089" s="1209"/>
      <c r="J1089" s="1209"/>
      <c r="K1089" s="1210">
        <f t="shared" si="222"/>
        <v>1.05</v>
      </c>
      <c r="L1089" s="1210">
        <f t="shared" si="223"/>
        <v>0</v>
      </c>
      <c r="M1089" s="1197">
        <f t="shared" si="224"/>
        <v>0</v>
      </c>
      <c r="N1089" s="1211">
        <f t="shared" si="225"/>
        <v>0</v>
      </c>
      <c r="O1089" s="1212"/>
      <c r="P1089" s="1200"/>
      <c r="Q1089" s="1200"/>
      <c r="R1089" s="1213"/>
      <c r="S1089" s="1213"/>
      <c r="T1089" s="1213"/>
      <c r="U1089" s="1213"/>
      <c r="V1089" s="1213"/>
    </row>
    <row r="1090" spans="1:22" ht="15" thickTop="1" thickBot="1" x14ac:dyDescent="0.3">
      <c r="A1090" s="1207"/>
      <c r="B1090" s="1212"/>
      <c r="C1090" s="1212"/>
      <c r="D1090" s="1212"/>
      <c r="E1090" s="1212"/>
      <c r="F1090" s="1208"/>
      <c r="G1090" s="1208"/>
      <c r="H1090" s="1208"/>
      <c r="I1090" s="1209"/>
      <c r="J1090" s="1209"/>
      <c r="K1090" s="1210">
        <f t="shared" si="222"/>
        <v>1.05</v>
      </c>
      <c r="L1090" s="1210">
        <f t="shared" si="223"/>
        <v>0</v>
      </c>
      <c r="M1090" s="1197">
        <f t="shared" si="224"/>
        <v>0</v>
      </c>
      <c r="N1090" s="1211">
        <f t="shared" si="225"/>
        <v>0</v>
      </c>
      <c r="O1090" s="1212"/>
      <c r="P1090" s="1200"/>
      <c r="Q1090" s="1200"/>
      <c r="R1090" s="1213"/>
      <c r="S1090" s="1213"/>
      <c r="T1090" s="1213"/>
      <c r="U1090" s="1213"/>
      <c r="V1090" s="1213"/>
    </row>
    <row r="1091" spans="1:22" ht="15" thickTop="1" thickBot="1" x14ac:dyDescent="0.3">
      <c r="A1091" s="1207"/>
      <c r="B1091" s="1212"/>
      <c r="C1091" s="1212"/>
      <c r="D1091" s="1212"/>
      <c r="E1091" s="1212"/>
      <c r="F1091" s="1208"/>
      <c r="G1091" s="1208"/>
      <c r="H1091" s="1208"/>
      <c r="I1091" s="1209"/>
      <c r="J1091" s="1209"/>
      <c r="K1091" s="1210">
        <f t="shared" si="222"/>
        <v>1.05</v>
      </c>
      <c r="L1091" s="1210">
        <f t="shared" si="223"/>
        <v>0</v>
      </c>
      <c r="M1091" s="1197">
        <f t="shared" si="224"/>
        <v>0</v>
      </c>
      <c r="N1091" s="1211">
        <f t="shared" si="225"/>
        <v>0</v>
      </c>
      <c r="O1091" s="1212"/>
      <c r="P1091" s="1200"/>
      <c r="Q1091" s="1200"/>
      <c r="R1091" s="1213"/>
      <c r="S1091" s="1213"/>
      <c r="T1091" s="1213"/>
      <c r="U1091" s="1213"/>
      <c r="V1091" s="1213"/>
    </row>
    <row r="1092" spans="1:22" ht="15" thickTop="1" thickBot="1" x14ac:dyDescent="0.3">
      <c r="A1092" s="1207"/>
      <c r="B1092" s="1212"/>
      <c r="C1092" s="1212"/>
      <c r="D1092" s="1212"/>
      <c r="E1092" s="1212"/>
      <c r="F1092" s="1208"/>
      <c r="G1092" s="1208"/>
      <c r="H1092" s="1208"/>
      <c r="I1092" s="1209"/>
      <c r="J1092" s="1209"/>
      <c r="K1092" s="1210">
        <f t="shared" si="222"/>
        <v>1.05</v>
      </c>
      <c r="L1092" s="1210">
        <f t="shared" si="223"/>
        <v>0</v>
      </c>
      <c r="M1092" s="1197">
        <f t="shared" si="224"/>
        <v>0</v>
      </c>
      <c r="N1092" s="1211">
        <f t="shared" si="225"/>
        <v>0</v>
      </c>
      <c r="O1092" s="1212"/>
      <c r="P1092" s="1200"/>
      <c r="Q1092" s="1200"/>
      <c r="R1092" s="1213"/>
      <c r="S1092" s="1213"/>
      <c r="T1092" s="1213"/>
      <c r="U1092" s="1213"/>
      <c r="V1092" s="1213"/>
    </row>
    <row r="1093" spans="1:22" ht="15" thickTop="1" thickBot="1" x14ac:dyDescent="0.3">
      <c r="A1093" s="1207"/>
      <c r="B1093" s="1212"/>
      <c r="C1093" s="1212"/>
      <c r="D1093" s="1212"/>
      <c r="E1093" s="1212"/>
      <c r="F1093" s="1208"/>
      <c r="G1093" s="1208"/>
      <c r="H1093" s="1208"/>
      <c r="I1093" s="1209"/>
      <c r="J1093" s="1209"/>
      <c r="K1093" s="1210">
        <f t="shared" si="222"/>
        <v>1.05</v>
      </c>
      <c r="L1093" s="1210">
        <f t="shared" si="223"/>
        <v>0</v>
      </c>
      <c r="M1093" s="1197">
        <f t="shared" si="224"/>
        <v>0</v>
      </c>
      <c r="N1093" s="1211">
        <f t="shared" si="225"/>
        <v>0</v>
      </c>
      <c r="O1093" s="1212"/>
      <c r="P1093" s="1200"/>
      <c r="Q1093" s="1200"/>
      <c r="R1093" s="1213"/>
      <c r="S1093" s="1213"/>
      <c r="T1093" s="1213"/>
      <c r="U1093" s="1213"/>
      <c r="V1093" s="1213"/>
    </row>
    <row r="1094" spans="1:22" ht="15" thickTop="1" thickBot="1" x14ac:dyDescent="0.3">
      <c r="A1094" s="1207"/>
      <c r="B1094" s="1212"/>
      <c r="C1094" s="1212"/>
      <c r="D1094" s="1212"/>
      <c r="E1094" s="1212"/>
      <c r="F1094" s="1208"/>
      <c r="G1094" s="1208"/>
      <c r="H1094" s="1208"/>
      <c r="I1094" s="1209"/>
      <c r="J1094" s="1209"/>
      <c r="K1094" s="1210">
        <f t="shared" si="222"/>
        <v>1.05</v>
      </c>
      <c r="L1094" s="1210">
        <f t="shared" si="223"/>
        <v>0</v>
      </c>
      <c r="M1094" s="1197">
        <f t="shared" si="224"/>
        <v>0</v>
      </c>
      <c r="N1094" s="1211">
        <f t="shared" si="225"/>
        <v>0</v>
      </c>
      <c r="O1094" s="1212"/>
      <c r="P1094" s="1200"/>
      <c r="Q1094" s="1200"/>
      <c r="R1094" s="1213"/>
      <c r="S1094" s="1213"/>
      <c r="T1094" s="1213"/>
      <c r="U1094" s="1213"/>
      <c r="V1094" s="1213"/>
    </row>
    <row r="1095" spans="1:22" ht="15" thickTop="1" thickBot="1" x14ac:dyDescent="0.3">
      <c r="A1095" s="1207"/>
      <c r="B1095" s="1212"/>
      <c r="C1095" s="1212"/>
      <c r="D1095" s="1212"/>
      <c r="E1095" s="1212"/>
      <c r="F1095" s="1208"/>
      <c r="G1095" s="1208"/>
      <c r="H1095" s="1208"/>
      <c r="I1095" s="1209"/>
      <c r="J1095" s="1209"/>
      <c r="K1095" s="1210">
        <f t="shared" si="222"/>
        <v>1.05</v>
      </c>
      <c r="L1095" s="1210">
        <f t="shared" si="223"/>
        <v>0</v>
      </c>
      <c r="M1095" s="1197">
        <f t="shared" si="224"/>
        <v>0</v>
      </c>
      <c r="N1095" s="1211">
        <f t="shared" si="225"/>
        <v>0</v>
      </c>
      <c r="O1095" s="1212"/>
      <c r="P1095" s="1200"/>
      <c r="Q1095" s="1200"/>
      <c r="R1095" s="1213"/>
      <c r="S1095" s="1213"/>
      <c r="T1095" s="1213"/>
      <c r="U1095" s="1213"/>
      <c r="V1095" s="1213"/>
    </row>
    <row r="1096" spans="1:22" ht="15" thickTop="1" thickBot="1" x14ac:dyDescent="0.3">
      <c r="A1096" s="1207"/>
      <c r="B1096" s="1212"/>
      <c r="C1096" s="1212"/>
      <c r="D1096" s="1212"/>
      <c r="E1096" s="1212"/>
      <c r="F1096" s="1208"/>
      <c r="G1096" s="1208"/>
      <c r="H1096" s="1208"/>
      <c r="I1096" s="1209"/>
      <c r="J1096" s="1209"/>
      <c r="K1096" s="1210">
        <f t="shared" si="222"/>
        <v>1.05</v>
      </c>
      <c r="L1096" s="1210">
        <f t="shared" si="223"/>
        <v>0</v>
      </c>
      <c r="M1096" s="1197">
        <f t="shared" si="224"/>
        <v>0</v>
      </c>
      <c r="N1096" s="1211">
        <f t="shared" si="225"/>
        <v>0</v>
      </c>
      <c r="O1096" s="1212"/>
      <c r="P1096" s="1200"/>
      <c r="Q1096" s="1200"/>
      <c r="R1096" s="1213"/>
      <c r="S1096" s="1213"/>
      <c r="T1096" s="1213"/>
      <c r="U1096" s="1213"/>
      <c r="V1096" s="1213"/>
    </row>
    <row r="1097" spans="1:22" ht="15" thickTop="1" thickBot="1" x14ac:dyDescent="0.3">
      <c r="A1097" s="1207"/>
      <c r="B1097" s="1212"/>
      <c r="C1097" s="1212"/>
      <c r="D1097" s="1212"/>
      <c r="E1097" s="1212"/>
      <c r="F1097" s="1208"/>
      <c r="G1097" s="1208"/>
      <c r="H1097" s="1208"/>
      <c r="I1097" s="1209"/>
      <c r="J1097" s="1209"/>
      <c r="K1097" s="1210">
        <f t="shared" si="222"/>
        <v>1.05</v>
      </c>
      <c r="L1097" s="1210">
        <f t="shared" si="223"/>
        <v>0</v>
      </c>
      <c r="M1097" s="1197">
        <f t="shared" si="224"/>
        <v>0</v>
      </c>
      <c r="N1097" s="1211">
        <f t="shared" si="225"/>
        <v>0</v>
      </c>
      <c r="O1097" s="1212"/>
      <c r="P1097" s="1200"/>
      <c r="Q1097" s="1200"/>
      <c r="R1097" s="1213"/>
      <c r="S1097" s="1213"/>
      <c r="T1097" s="1213"/>
      <c r="U1097" s="1213"/>
      <c r="V1097" s="1213"/>
    </row>
    <row r="1098" spans="1:22" ht="15" thickTop="1" thickBot="1" x14ac:dyDescent="0.3">
      <c r="A1098" s="1207"/>
      <c r="B1098" s="1212"/>
      <c r="C1098" s="1212"/>
      <c r="D1098" s="1212"/>
      <c r="E1098" s="1212"/>
      <c r="F1098" s="1208"/>
      <c r="G1098" s="1208"/>
      <c r="H1098" s="1208"/>
      <c r="I1098" s="1209"/>
      <c r="J1098" s="1209"/>
      <c r="K1098" s="1210">
        <f t="shared" si="222"/>
        <v>1.05</v>
      </c>
      <c r="L1098" s="1210">
        <f t="shared" si="223"/>
        <v>0</v>
      </c>
      <c r="M1098" s="1197">
        <f t="shared" si="224"/>
        <v>0</v>
      </c>
      <c r="N1098" s="1211">
        <f t="shared" si="225"/>
        <v>0</v>
      </c>
      <c r="O1098" s="1212"/>
      <c r="P1098" s="1200"/>
      <c r="Q1098" s="1200"/>
      <c r="R1098" s="1213"/>
      <c r="S1098" s="1213"/>
      <c r="T1098" s="1213"/>
      <c r="U1098" s="1213"/>
      <c r="V1098" s="1213"/>
    </row>
    <row r="1099" spans="1:22" ht="15" thickTop="1" thickBot="1" x14ac:dyDescent="0.3">
      <c r="A1099" s="1207"/>
      <c r="B1099" s="1212"/>
      <c r="C1099" s="1212"/>
      <c r="D1099" s="1212"/>
      <c r="E1099" s="1212"/>
      <c r="F1099" s="1208"/>
      <c r="G1099" s="1208"/>
      <c r="H1099" s="1208"/>
      <c r="I1099" s="1209"/>
      <c r="J1099" s="1209"/>
      <c r="K1099" s="1210">
        <f t="shared" ref="K1099:K1162" si="226">$K$2</f>
        <v>1.05</v>
      </c>
      <c r="L1099" s="1210">
        <f t="shared" si="223"/>
        <v>0</v>
      </c>
      <c r="M1099" s="1197">
        <f t="shared" si="224"/>
        <v>0</v>
      </c>
      <c r="N1099" s="1211">
        <f t="shared" si="225"/>
        <v>0</v>
      </c>
      <c r="O1099" s="1212"/>
      <c r="P1099" s="1200"/>
      <c r="Q1099" s="1200"/>
      <c r="R1099" s="1213"/>
      <c r="S1099" s="1213"/>
      <c r="T1099" s="1213"/>
      <c r="U1099" s="1213"/>
      <c r="V1099" s="1213"/>
    </row>
    <row r="1100" spans="1:22" ht="15" thickTop="1" thickBot="1" x14ac:dyDescent="0.3">
      <c r="A1100" s="1207"/>
      <c r="B1100" s="1212"/>
      <c r="C1100" s="1212"/>
      <c r="D1100" s="1212"/>
      <c r="E1100" s="1212"/>
      <c r="F1100" s="1208"/>
      <c r="G1100" s="1208"/>
      <c r="H1100" s="1208"/>
      <c r="I1100" s="1209"/>
      <c r="J1100" s="1209"/>
      <c r="K1100" s="1210">
        <f t="shared" si="226"/>
        <v>1.05</v>
      </c>
      <c r="L1100" s="1210">
        <f t="shared" si="223"/>
        <v>0</v>
      </c>
      <c r="M1100" s="1197">
        <f t="shared" si="224"/>
        <v>0</v>
      </c>
      <c r="N1100" s="1211">
        <f t="shared" si="225"/>
        <v>0</v>
      </c>
      <c r="O1100" s="1212"/>
      <c r="P1100" s="1200"/>
      <c r="Q1100" s="1200"/>
      <c r="R1100" s="1213"/>
      <c r="S1100" s="1213"/>
      <c r="T1100" s="1213"/>
      <c r="U1100" s="1213"/>
      <c r="V1100" s="1213"/>
    </row>
    <row r="1101" spans="1:22" ht="15" thickTop="1" thickBot="1" x14ac:dyDescent="0.3">
      <c r="A1101" s="1207"/>
      <c r="B1101" s="1212"/>
      <c r="C1101" s="1212"/>
      <c r="D1101" s="1212"/>
      <c r="E1101" s="1212"/>
      <c r="F1101" s="1208"/>
      <c r="G1101" s="1208"/>
      <c r="H1101" s="1208"/>
      <c r="I1101" s="1209"/>
      <c r="J1101" s="1209"/>
      <c r="K1101" s="1210">
        <f t="shared" si="226"/>
        <v>1.05</v>
      </c>
      <c r="L1101" s="1210">
        <f t="shared" si="223"/>
        <v>0</v>
      </c>
      <c r="M1101" s="1197">
        <f t="shared" si="224"/>
        <v>0</v>
      </c>
      <c r="N1101" s="1211">
        <f t="shared" si="225"/>
        <v>0</v>
      </c>
      <c r="O1101" s="1212"/>
      <c r="P1101" s="1200"/>
      <c r="Q1101" s="1200"/>
      <c r="R1101" s="1213"/>
      <c r="S1101" s="1213"/>
      <c r="T1101" s="1213"/>
      <c r="U1101" s="1213"/>
      <c r="V1101" s="1213"/>
    </row>
    <row r="1102" spans="1:22" ht="15" thickTop="1" thickBot="1" x14ac:dyDescent="0.3">
      <c r="A1102" s="1207"/>
      <c r="B1102" s="1212"/>
      <c r="C1102" s="1212"/>
      <c r="D1102" s="1212"/>
      <c r="E1102" s="1212"/>
      <c r="F1102" s="1208"/>
      <c r="G1102" s="1208"/>
      <c r="H1102" s="1208"/>
      <c r="I1102" s="1209"/>
      <c r="J1102" s="1209"/>
      <c r="K1102" s="1210">
        <f t="shared" si="226"/>
        <v>1.05</v>
      </c>
      <c r="L1102" s="1210">
        <f t="shared" si="223"/>
        <v>0</v>
      </c>
      <c r="M1102" s="1197">
        <f t="shared" si="224"/>
        <v>0</v>
      </c>
      <c r="N1102" s="1211">
        <f t="shared" si="225"/>
        <v>0</v>
      </c>
      <c r="O1102" s="1212"/>
      <c r="P1102" s="1200"/>
      <c r="Q1102" s="1200"/>
      <c r="R1102" s="1213"/>
      <c r="S1102" s="1213"/>
      <c r="T1102" s="1213"/>
      <c r="U1102" s="1213"/>
      <c r="V1102" s="1213"/>
    </row>
    <row r="1103" spans="1:22" ht="15" thickTop="1" thickBot="1" x14ac:dyDescent="0.3">
      <c r="A1103" s="1207"/>
      <c r="B1103" s="1212"/>
      <c r="C1103" s="1212"/>
      <c r="D1103" s="1212"/>
      <c r="E1103" s="1212"/>
      <c r="F1103" s="1208"/>
      <c r="G1103" s="1208"/>
      <c r="H1103" s="1208"/>
      <c r="I1103" s="1209"/>
      <c r="J1103" s="1209"/>
      <c r="K1103" s="1210">
        <f t="shared" si="226"/>
        <v>1.05</v>
      </c>
      <c r="L1103" s="1210">
        <f t="shared" si="223"/>
        <v>0</v>
      </c>
      <c r="M1103" s="1197">
        <f t="shared" si="224"/>
        <v>0</v>
      </c>
      <c r="N1103" s="1211">
        <f t="shared" si="225"/>
        <v>0</v>
      </c>
      <c r="O1103" s="1212"/>
      <c r="P1103" s="1200"/>
      <c r="Q1103" s="1200"/>
      <c r="R1103" s="1213"/>
      <c r="S1103" s="1213"/>
      <c r="T1103" s="1213"/>
      <c r="U1103" s="1213"/>
      <c r="V1103" s="1213"/>
    </row>
    <row r="1104" spans="1:22" ht="15" thickTop="1" thickBot="1" x14ac:dyDescent="0.3">
      <c r="A1104" s="1207"/>
      <c r="B1104" s="1212"/>
      <c r="C1104" s="1212"/>
      <c r="D1104" s="1212"/>
      <c r="E1104" s="1212"/>
      <c r="F1104" s="1208"/>
      <c r="G1104" s="1208"/>
      <c r="H1104" s="1208"/>
      <c r="I1104" s="1209"/>
      <c r="J1104" s="1209"/>
      <c r="K1104" s="1210">
        <f t="shared" si="226"/>
        <v>1.05</v>
      </c>
      <c r="L1104" s="1210">
        <f t="shared" si="223"/>
        <v>0</v>
      </c>
      <c r="M1104" s="1197">
        <f t="shared" si="224"/>
        <v>0</v>
      </c>
      <c r="N1104" s="1211">
        <f t="shared" si="225"/>
        <v>0</v>
      </c>
      <c r="O1104" s="1212"/>
      <c r="P1104" s="1200"/>
      <c r="Q1104" s="1200"/>
      <c r="R1104" s="1213"/>
      <c r="S1104" s="1213"/>
      <c r="T1104" s="1213"/>
      <c r="U1104" s="1213"/>
      <c r="V1104" s="1213"/>
    </row>
    <row r="1105" spans="1:22" ht="15" thickTop="1" thickBot="1" x14ac:dyDescent="0.3">
      <c r="A1105" s="1207"/>
      <c r="B1105" s="1212"/>
      <c r="C1105" s="1212"/>
      <c r="D1105" s="1212"/>
      <c r="E1105" s="1212"/>
      <c r="F1105" s="1208"/>
      <c r="G1105" s="1208"/>
      <c r="H1105" s="1208"/>
      <c r="I1105" s="1209"/>
      <c r="J1105" s="1209"/>
      <c r="K1105" s="1210">
        <f t="shared" si="226"/>
        <v>1.05</v>
      </c>
      <c r="L1105" s="1210">
        <f t="shared" si="223"/>
        <v>0</v>
      </c>
      <c r="M1105" s="1197">
        <f t="shared" si="224"/>
        <v>0</v>
      </c>
      <c r="N1105" s="1211">
        <f t="shared" si="225"/>
        <v>0</v>
      </c>
      <c r="O1105" s="1212"/>
      <c r="P1105" s="1200"/>
      <c r="Q1105" s="1200"/>
      <c r="R1105" s="1213"/>
      <c r="S1105" s="1213"/>
      <c r="T1105" s="1213"/>
      <c r="U1105" s="1213"/>
      <c r="V1105" s="1213"/>
    </row>
    <row r="1106" spans="1:22" ht="15" thickTop="1" thickBot="1" x14ac:dyDescent="0.3">
      <c r="A1106" s="1207"/>
      <c r="B1106" s="1212"/>
      <c r="C1106" s="1212"/>
      <c r="D1106" s="1212"/>
      <c r="E1106" s="1212"/>
      <c r="F1106" s="1208"/>
      <c r="G1106" s="1208"/>
      <c r="H1106" s="1208"/>
      <c r="I1106" s="1209"/>
      <c r="J1106" s="1209"/>
      <c r="K1106" s="1210">
        <f t="shared" si="226"/>
        <v>1.05</v>
      </c>
      <c r="L1106" s="1210">
        <f t="shared" si="223"/>
        <v>0</v>
      </c>
      <c r="M1106" s="1197">
        <f t="shared" si="224"/>
        <v>0</v>
      </c>
      <c r="N1106" s="1211">
        <f t="shared" si="225"/>
        <v>0</v>
      </c>
      <c r="O1106" s="1212"/>
      <c r="P1106" s="1200"/>
      <c r="Q1106" s="1200"/>
      <c r="R1106" s="1213"/>
      <c r="S1106" s="1213"/>
      <c r="T1106" s="1213"/>
      <c r="U1106" s="1213"/>
      <c r="V1106" s="1213"/>
    </row>
    <row r="1107" spans="1:22" ht="15" thickTop="1" thickBot="1" x14ac:dyDescent="0.3">
      <c r="A1107" s="1207"/>
      <c r="B1107" s="1212"/>
      <c r="C1107" s="1212"/>
      <c r="D1107" s="1212"/>
      <c r="E1107" s="1212"/>
      <c r="F1107" s="1208"/>
      <c r="G1107" s="1208"/>
      <c r="H1107" s="1208"/>
      <c r="I1107" s="1209"/>
      <c r="J1107" s="1209"/>
      <c r="K1107" s="1210">
        <f t="shared" si="226"/>
        <v>1.05</v>
      </c>
      <c r="L1107" s="1210">
        <f t="shared" si="223"/>
        <v>0</v>
      </c>
      <c r="M1107" s="1197">
        <f t="shared" si="224"/>
        <v>0</v>
      </c>
      <c r="N1107" s="1211">
        <f t="shared" si="225"/>
        <v>0</v>
      </c>
      <c r="O1107" s="1212"/>
      <c r="P1107" s="1200"/>
      <c r="Q1107" s="1200"/>
      <c r="R1107" s="1213"/>
      <c r="S1107" s="1213"/>
      <c r="T1107" s="1213"/>
      <c r="U1107" s="1213"/>
      <c r="V1107" s="1213"/>
    </row>
    <row r="1108" spans="1:22" ht="15" thickTop="1" thickBot="1" x14ac:dyDescent="0.3">
      <c r="A1108" s="1207"/>
      <c r="B1108" s="1212"/>
      <c r="C1108" s="1212"/>
      <c r="D1108" s="1212"/>
      <c r="E1108" s="1212"/>
      <c r="F1108" s="1208"/>
      <c r="G1108" s="1208"/>
      <c r="H1108" s="1208"/>
      <c r="I1108" s="1209"/>
      <c r="J1108" s="1209"/>
      <c r="K1108" s="1210">
        <f t="shared" si="226"/>
        <v>1.05</v>
      </c>
      <c r="L1108" s="1210">
        <f t="shared" si="223"/>
        <v>0</v>
      </c>
      <c r="M1108" s="1197">
        <f t="shared" si="224"/>
        <v>0</v>
      </c>
      <c r="N1108" s="1211">
        <f t="shared" si="225"/>
        <v>0</v>
      </c>
      <c r="O1108" s="1212"/>
      <c r="P1108" s="1200"/>
      <c r="Q1108" s="1200"/>
      <c r="R1108" s="1213"/>
      <c r="S1108" s="1213"/>
      <c r="T1108" s="1213"/>
      <c r="U1108" s="1213"/>
      <c r="V1108" s="1213"/>
    </row>
    <row r="1109" spans="1:22" ht="15" thickTop="1" thickBot="1" x14ac:dyDescent="0.3">
      <c r="A1109" s="1207"/>
      <c r="B1109" s="1212"/>
      <c r="C1109" s="1212"/>
      <c r="D1109" s="1212"/>
      <c r="E1109" s="1212"/>
      <c r="F1109" s="1208"/>
      <c r="G1109" s="1208"/>
      <c r="H1109" s="1208"/>
      <c r="I1109" s="1209"/>
      <c r="J1109" s="1209"/>
      <c r="K1109" s="1210">
        <f t="shared" si="226"/>
        <v>1.05</v>
      </c>
      <c r="L1109" s="1210">
        <f t="shared" si="223"/>
        <v>0</v>
      </c>
      <c r="M1109" s="1197">
        <f t="shared" si="224"/>
        <v>0</v>
      </c>
      <c r="N1109" s="1211">
        <f t="shared" si="225"/>
        <v>0</v>
      </c>
      <c r="O1109" s="1212"/>
      <c r="P1109" s="1200"/>
      <c r="Q1109" s="1200"/>
      <c r="R1109" s="1213"/>
      <c r="S1109" s="1213"/>
      <c r="T1109" s="1213"/>
      <c r="U1109" s="1213"/>
      <c r="V1109" s="1213"/>
    </row>
    <row r="1110" spans="1:22" ht="15" thickTop="1" thickBot="1" x14ac:dyDescent="0.3">
      <c r="A1110" s="1207"/>
      <c r="B1110" s="1212"/>
      <c r="C1110" s="1212"/>
      <c r="D1110" s="1212"/>
      <c r="E1110" s="1212"/>
      <c r="F1110" s="1208"/>
      <c r="G1110" s="1208"/>
      <c r="H1110" s="1208"/>
      <c r="I1110" s="1209"/>
      <c r="J1110" s="1209"/>
      <c r="K1110" s="1210">
        <f t="shared" si="226"/>
        <v>1.05</v>
      </c>
      <c r="L1110" s="1210">
        <f t="shared" si="223"/>
        <v>0</v>
      </c>
      <c r="M1110" s="1197">
        <f t="shared" si="224"/>
        <v>0</v>
      </c>
      <c r="N1110" s="1211">
        <f t="shared" si="225"/>
        <v>0</v>
      </c>
      <c r="O1110" s="1212"/>
      <c r="P1110" s="1200"/>
      <c r="Q1110" s="1200"/>
      <c r="R1110" s="1213"/>
      <c r="S1110" s="1213"/>
      <c r="T1110" s="1213"/>
      <c r="U1110" s="1213"/>
      <c r="V1110" s="1213"/>
    </row>
    <row r="1111" spans="1:22" ht="15" thickTop="1" thickBot="1" x14ac:dyDescent="0.3">
      <c r="A1111" s="1207"/>
      <c r="B1111" s="1212"/>
      <c r="C1111" s="1212"/>
      <c r="D1111" s="1212"/>
      <c r="E1111" s="1212"/>
      <c r="F1111" s="1208"/>
      <c r="G1111" s="1208"/>
      <c r="H1111" s="1208"/>
      <c r="I1111" s="1209"/>
      <c r="J1111" s="1209"/>
      <c r="K1111" s="1210">
        <f t="shared" si="226"/>
        <v>1.05</v>
      </c>
      <c r="L1111" s="1210">
        <f t="shared" si="223"/>
        <v>0</v>
      </c>
      <c r="M1111" s="1197">
        <f t="shared" si="224"/>
        <v>0</v>
      </c>
      <c r="N1111" s="1211">
        <f t="shared" si="225"/>
        <v>0</v>
      </c>
      <c r="O1111" s="1212"/>
      <c r="P1111" s="1200"/>
      <c r="Q1111" s="1200"/>
      <c r="R1111" s="1213"/>
      <c r="S1111" s="1213"/>
      <c r="T1111" s="1213"/>
      <c r="U1111" s="1213"/>
      <c r="V1111" s="1213"/>
    </row>
    <row r="1112" spans="1:22" ht="15" thickTop="1" thickBot="1" x14ac:dyDescent="0.3">
      <c r="A1112" s="1207"/>
      <c r="B1112" s="1212"/>
      <c r="C1112" s="1212"/>
      <c r="D1112" s="1212"/>
      <c r="E1112" s="1212"/>
      <c r="F1112" s="1208"/>
      <c r="G1112" s="1208"/>
      <c r="H1112" s="1208"/>
      <c r="I1112" s="1209"/>
      <c r="J1112" s="1209"/>
      <c r="K1112" s="1210">
        <f t="shared" si="226"/>
        <v>1.05</v>
      </c>
      <c r="L1112" s="1210">
        <f t="shared" si="223"/>
        <v>0</v>
      </c>
      <c r="M1112" s="1197">
        <f t="shared" si="224"/>
        <v>0</v>
      </c>
      <c r="N1112" s="1211">
        <f t="shared" si="225"/>
        <v>0</v>
      </c>
      <c r="O1112" s="1212"/>
      <c r="P1112" s="1200"/>
      <c r="Q1112" s="1200"/>
      <c r="R1112" s="1213"/>
      <c r="S1112" s="1213"/>
      <c r="T1112" s="1213"/>
      <c r="U1112" s="1213"/>
      <c r="V1112" s="1213"/>
    </row>
    <row r="1113" spans="1:22" ht="15" thickTop="1" thickBot="1" x14ac:dyDescent="0.3">
      <c r="A1113" s="1207"/>
      <c r="B1113" s="1212"/>
      <c r="C1113" s="1212"/>
      <c r="D1113" s="1212"/>
      <c r="E1113" s="1212"/>
      <c r="F1113" s="1208"/>
      <c r="G1113" s="1208"/>
      <c r="H1113" s="1208"/>
      <c r="I1113" s="1209"/>
      <c r="J1113" s="1209"/>
      <c r="K1113" s="1210">
        <f t="shared" si="226"/>
        <v>1.05</v>
      </c>
      <c r="L1113" s="1210">
        <f t="shared" si="223"/>
        <v>0</v>
      </c>
      <c r="M1113" s="1197">
        <f t="shared" si="224"/>
        <v>0</v>
      </c>
      <c r="N1113" s="1211">
        <f t="shared" si="225"/>
        <v>0</v>
      </c>
      <c r="O1113" s="1212"/>
      <c r="P1113" s="1200"/>
      <c r="Q1113" s="1200"/>
      <c r="R1113" s="1213"/>
      <c r="S1113" s="1213"/>
      <c r="T1113" s="1213"/>
      <c r="U1113" s="1213"/>
      <c r="V1113" s="1213"/>
    </row>
    <row r="1114" spans="1:22" ht="15" thickTop="1" thickBot="1" x14ac:dyDescent="0.3">
      <c r="A1114" s="1207"/>
      <c r="B1114" s="1212"/>
      <c r="C1114" s="1212"/>
      <c r="D1114" s="1212"/>
      <c r="E1114" s="1212"/>
      <c r="F1114" s="1208"/>
      <c r="G1114" s="1208"/>
      <c r="H1114" s="1208"/>
      <c r="I1114" s="1209"/>
      <c r="J1114" s="1209"/>
      <c r="K1114" s="1210">
        <f t="shared" si="226"/>
        <v>1.05</v>
      </c>
      <c r="L1114" s="1210">
        <f t="shared" si="223"/>
        <v>0</v>
      </c>
      <c r="M1114" s="1197">
        <f t="shared" si="224"/>
        <v>0</v>
      </c>
      <c r="N1114" s="1211">
        <f t="shared" si="225"/>
        <v>0</v>
      </c>
      <c r="O1114" s="1212"/>
      <c r="P1114" s="1200"/>
      <c r="Q1114" s="1200"/>
      <c r="R1114" s="1213"/>
      <c r="S1114" s="1213"/>
      <c r="T1114" s="1213"/>
      <c r="U1114" s="1213"/>
      <c r="V1114" s="1213"/>
    </row>
    <row r="1115" spans="1:22" ht="15" thickTop="1" thickBot="1" x14ac:dyDescent="0.3">
      <c r="A1115" s="1207"/>
      <c r="B1115" s="1212"/>
      <c r="C1115" s="1212"/>
      <c r="D1115" s="1212"/>
      <c r="E1115" s="1212"/>
      <c r="F1115" s="1208"/>
      <c r="G1115" s="1208"/>
      <c r="H1115" s="1208"/>
      <c r="I1115" s="1209"/>
      <c r="J1115" s="1209"/>
      <c r="K1115" s="1210">
        <f t="shared" si="226"/>
        <v>1.05</v>
      </c>
      <c r="L1115" s="1210">
        <f t="shared" si="223"/>
        <v>0</v>
      </c>
      <c r="M1115" s="1197">
        <f t="shared" si="224"/>
        <v>0</v>
      </c>
      <c r="N1115" s="1211">
        <f t="shared" si="225"/>
        <v>0</v>
      </c>
      <c r="O1115" s="1212"/>
      <c r="P1115" s="1200"/>
      <c r="Q1115" s="1200"/>
      <c r="R1115" s="1213"/>
      <c r="S1115" s="1213"/>
      <c r="T1115" s="1213"/>
      <c r="U1115" s="1213"/>
      <c r="V1115" s="1213"/>
    </row>
    <row r="1116" spans="1:22" ht="15" thickTop="1" thickBot="1" x14ac:dyDescent="0.3">
      <c r="A1116" s="1207"/>
      <c r="B1116" s="1212"/>
      <c r="C1116" s="1212"/>
      <c r="D1116" s="1212"/>
      <c r="E1116" s="1212"/>
      <c r="F1116" s="1208"/>
      <c r="G1116" s="1208"/>
      <c r="H1116" s="1208"/>
      <c r="I1116" s="1209"/>
      <c r="J1116" s="1209"/>
      <c r="K1116" s="1210">
        <f t="shared" si="226"/>
        <v>1.05</v>
      </c>
      <c r="L1116" s="1210">
        <f t="shared" si="223"/>
        <v>0</v>
      </c>
      <c r="M1116" s="1197">
        <f t="shared" si="224"/>
        <v>0</v>
      </c>
      <c r="N1116" s="1211">
        <f t="shared" si="225"/>
        <v>0</v>
      </c>
      <c r="O1116" s="1212"/>
      <c r="P1116" s="1200"/>
      <c r="Q1116" s="1200"/>
      <c r="R1116" s="1213"/>
      <c r="S1116" s="1213"/>
      <c r="T1116" s="1213"/>
      <c r="U1116" s="1213"/>
      <c r="V1116" s="1213"/>
    </row>
    <row r="1117" spans="1:22" ht="15" thickTop="1" thickBot="1" x14ac:dyDescent="0.3">
      <c r="A1117" s="1207"/>
      <c r="B1117" s="1212"/>
      <c r="C1117" s="1212"/>
      <c r="D1117" s="1212"/>
      <c r="E1117" s="1212"/>
      <c r="F1117" s="1208"/>
      <c r="G1117" s="1208"/>
      <c r="H1117" s="1208"/>
      <c r="I1117" s="1209"/>
      <c r="J1117" s="1209"/>
      <c r="K1117" s="1210">
        <f t="shared" si="226"/>
        <v>1.05</v>
      </c>
      <c r="L1117" s="1210">
        <f t="shared" si="223"/>
        <v>0</v>
      </c>
      <c r="M1117" s="1197">
        <f t="shared" si="224"/>
        <v>0</v>
      </c>
      <c r="N1117" s="1211">
        <f t="shared" si="225"/>
        <v>0</v>
      </c>
      <c r="O1117" s="1212"/>
      <c r="P1117" s="1200"/>
      <c r="Q1117" s="1200"/>
      <c r="R1117" s="1213"/>
      <c r="S1117" s="1213"/>
      <c r="T1117" s="1213"/>
      <c r="U1117" s="1213"/>
      <c r="V1117" s="1213"/>
    </row>
    <row r="1118" spans="1:22" ht="15" thickTop="1" thickBot="1" x14ac:dyDescent="0.3">
      <c r="A1118" s="1207"/>
      <c r="B1118" s="1212"/>
      <c r="C1118" s="1212"/>
      <c r="D1118" s="1212"/>
      <c r="E1118" s="1212"/>
      <c r="F1118" s="1208"/>
      <c r="G1118" s="1208"/>
      <c r="H1118" s="1208"/>
      <c r="I1118" s="1209"/>
      <c r="J1118" s="1209"/>
      <c r="K1118" s="1210">
        <f t="shared" si="226"/>
        <v>1.05</v>
      </c>
      <c r="L1118" s="1210">
        <f t="shared" si="223"/>
        <v>0</v>
      </c>
      <c r="M1118" s="1197">
        <f t="shared" si="224"/>
        <v>0</v>
      </c>
      <c r="N1118" s="1211">
        <f t="shared" si="225"/>
        <v>0</v>
      </c>
      <c r="O1118" s="1212"/>
      <c r="P1118" s="1200"/>
      <c r="Q1118" s="1200"/>
      <c r="R1118" s="1213"/>
      <c r="S1118" s="1213"/>
      <c r="T1118" s="1213"/>
      <c r="U1118" s="1213"/>
      <c r="V1118" s="1213"/>
    </row>
    <row r="1119" spans="1:22" ht="15" thickTop="1" thickBot="1" x14ac:dyDescent="0.3">
      <c r="A1119" s="1207"/>
      <c r="B1119" s="1212"/>
      <c r="C1119" s="1212"/>
      <c r="D1119" s="1212"/>
      <c r="E1119" s="1212"/>
      <c r="F1119" s="1208"/>
      <c r="G1119" s="1208"/>
      <c r="H1119" s="1208"/>
      <c r="I1119" s="1209"/>
      <c r="J1119" s="1209"/>
      <c r="K1119" s="1210">
        <f t="shared" si="226"/>
        <v>1.05</v>
      </c>
      <c r="L1119" s="1210">
        <f t="shared" si="223"/>
        <v>0</v>
      </c>
      <c r="M1119" s="1197">
        <f t="shared" si="224"/>
        <v>0</v>
      </c>
      <c r="N1119" s="1211">
        <f t="shared" si="225"/>
        <v>0</v>
      </c>
      <c r="O1119" s="1212"/>
      <c r="P1119" s="1200"/>
      <c r="Q1119" s="1200"/>
      <c r="R1119" s="1213"/>
      <c r="S1119" s="1213"/>
      <c r="T1119" s="1213"/>
      <c r="U1119" s="1213"/>
      <c r="V1119" s="1213"/>
    </row>
    <row r="1120" spans="1:22" ht="15" thickTop="1" thickBot="1" x14ac:dyDescent="0.3">
      <c r="A1120" s="1207"/>
      <c r="B1120" s="1212"/>
      <c r="C1120" s="1212"/>
      <c r="D1120" s="1212"/>
      <c r="E1120" s="1212"/>
      <c r="F1120" s="1208"/>
      <c r="G1120" s="1208"/>
      <c r="H1120" s="1208"/>
      <c r="I1120" s="1209"/>
      <c r="J1120" s="1209"/>
      <c r="K1120" s="1210">
        <f t="shared" si="226"/>
        <v>1.05</v>
      </c>
      <c r="L1120" s="1210">
        <f t="shared" si="223"/>
        <v>0</v>
      </c>
      <c r="M1120" s="1197">
        <f t="shared" si="224"/>
        <v>0</v>
      </c>
      <c r="N1120" s="1211">
        <f t="shared" si="225"/>
        <v>0</v>
      </c>
      <c r="O1120" s="1212"/>
      <c r="P1120" s="1200"/>
      <c r="Q1120" s="1200"/>
      <c r="R1120" s="1213"/>
      <c r="S1120" s="1213"/>
      <c r="T1120" s="1213"/>
      <c r="U1120" s="1213"/>
      <c r="V1120" s="1213"/>
    </row>
    <row r="1121" spans="1:22" ht="15" thickTop="1" thickBot="1" x14ac:dyDescent="0.3">
      <c r="A1121" s="1207"/>
      <c r="B1121" s="1212"/>
      <c r="C1121" s="1212"/>
      <c r="D1121" s="1212"/>
      <c r="E1121" s="1212"/>
      <c r="F1121" s="1208"/>
      <c r="G1121" s="1208"/>
      <c r="H1121" s="1208"/>
      <c r="I1121" s="1209"/>
      <c r="J1121" s="1209"/>
      <c r="K1121" s="1210">
        <f t="shared" si="226"/>
        <v>1.05</v>
      </c>
      <c r="L1121" s="1210">
        <f t="shared" si="223"/>
        <v>0</v>
      </c>
      <c r="M1121" s="1197">
        <f t="shared" si="224"/>
        <v>0</v>
      </c>
      <c r="N1121" s="1211">
        <f t="shared" si="225"/>
        <v>0</v>
      </c>
      <c r="O1121" s="1212"/>
      <c r="P1121" s="1200"/>
      <c r="Q1121" s="1200"/>
      <c r="R1121" s="1213"/>
      <c r="S1121" s="1213"/>
      <c r="T1121" s="1213"/>
      <c r="U1121" s="1213"/>
      <c r="V1121" s="1213"/>
    </row>
    <row r="1122" spans="1:22" ht="15" thickTop="1" thickBot="1" x14ac:dyDescent="0.3">
      <c r="A1122" s="1207"/>
      <c r="B1122" s="1212"/>
      <c r="C1122" s="1212"/>
      <c r="D1122" s="1212"/>
      <c r="E1122" s="1212"/>
      <c r="F1122" s="1208"/>
      <c r="G1122" s="1208"/>
      <c r="H1122" s="1208"/>
      <c r="I1122" s="1209"/>
      <c r="J1122" s="1209"/>
      <c r="K1122" s="1210">
        <f t="shared" si="226"/>
        <v>1.05</v>
      </c>
      <c r="L1122" s="1210">
        <f t="shared" si="223"/>
        <v>0</v>
      </c>
      <c r="M1122" s="1197">
        <f t="shared" si="224"/>
        <v>0</v>
      </c>
      <c r="N1122" s="1211">
        <f t="shared" si="225"/>
        <v>0</v>
      </c>
      <c r="O1122" s="1212"/>
      <c r="P1122" s="1200"/>
      <c r="Q1122" s="1200"/>
      <c r="R1122" s="1213"/>
      <c r="S1122" s="1213"/>
      <c r="T1122" s="1213"/>
      <c r="U1122" s="1213"/>
      <c r="V1122" s="1213"/>
    </row>
    <row r="1123" spans="1:22" ht="15" thickTop="1" thickBot="1" x14ac:dyDescent="0.3">
      <c r="A1123" s="1207"/>
      <c r="B1123" s="1212"/>
      <c r="C1123" s="1212"/>
      <c r="D1123" s="1212"/>
      <c r="E1123" s="1212"/>
      <c r="F1123" s="1208"/>
      <c r="G1123" s="1208"/>
      <c r="H1123" s="1208"/>
      <c r="I1123" s="1209"/>
      <c r="J1123" s="1209"/>
      <c r="K1123" s="1210">
        <f t="shared" si="226"/>
        <v>1.05</v>
      </c>
      <c r="L1123" s="1210">
        <f t="shared" si="223"/>
        <v>0</v>
      </c>
      <c r="M1123" s="1197">
        <f t="shared" si="224"/>
        <v>0</v>
      </c>
      <c r="N1123" s="1211">
        <f t="shared" si="225"/>
        <v>0</v>
      </c>
      <c r="O1123" s="1212"/>
      <c r="P1123" s="1200"/>
      <c r="Q1123" s="1200"/>
      <c r="R1123" s="1213"/>
      <c r="S1123" s="1213"/>
      <c r="T1123" s="1213"/>
      <c r="U1123" s="1213"/>
      <c r="V1123" s="1213"/>
    </row>
    <row r="1124" spans="1:22" ht="15" thickTop="1" thickBot="1" x14ac:dyDescent="0.3">
      <c r="A1124" s="1207"/>
      <c r="B1124" s="1212"/>
      <c r="C1124" s="1212"/>
      <c r="D1124" s="1212"/>
      <c r="E1124" s="1212"/>
      <c r="F1124" s="1208"/>
      <c r="G1124" s="1208"/>
      <c r="H1124" s="1208"/>
      <c r="I1124" s="1209"/>
      <c r="J1124" s="1209"/>
      <c r="K1124" s="1210">
        <f t="shared" si="226"/>
        <v>1.05</v>
      </c>
      <c r="L1124" s="1210">
        <f t="shared" si="223"/>
        <v>0</v>
      </c>
      <c r="M1124" s="1197">
        <f t="shared" si="224"/>
        <v>0</v>
      </c>
      <c r="N1124" s="1211">
        <f t="shared" si="225"/>
        <v>0</v>
      </c>
      <c r="O1124" s="1212"/>
      <c r="P1124" s="1200"/>
      <c r="Q1124" s="1200"/>
      <c r="R1124" s="1213"/>
      <c r="S1124" s="1213"/>
      <c r="T1124" s="1213"/>
      <c r="U1124" s="1213"/>
      <c r="V1124" s="1213"/>
    </row>
    <row r="1125" spans="1:22" ht="15" thickTop="1" thickBot="1" x14ac:dyDescent="0.3">
      <c r="A1125" s="1207"/>
      <c r="B1125" s="1212"/>
      <c r="C1125" s="1212"/>
      <c r="D1125" s="1212"/>
      <c r="E1125" s="1212"/>
      <c r="F1125" s="1208"/>
      <c r="G1125" s="1208"/>
      <c r="H1125" s="1208"/>
      <c r="I1125" s="1209"/>
      <c r="J1125" s="1209"/>
      <c r="K1125" s="1210">
        <f t="shared" si="226"/>
        <v>1.05</v>
      </c>
      <c r="L1125" s="1210">
        <f t="shared" si="223"/>
        <v>0</v>
      </c>
      <c r="M1125" s="1197">
        <f t="shared" si="224"/>
        <v>0</v>
      </c>
      <c r="N1125" s="1211">
        <f t="shared" si="225"/>
        <v>0</v>
      </c>
      <c r="O1125" s="1212"/>
      <c r="P1125" s="1200"/>
      <c r="Q1125" s="1200"/>
      <c r="R1125" s="1213"/>
      <c r="S1125" s="1213"/>
      <c r="T1125" s="1213"/>
      <c r="U1125" s="1213"/>
      <c r="V1125" s="1213"/>
    </row>
    <row r="1126" spans="1:22" ht="15" thickTop="1" thickBot="1" x14ac:dyDescent="0.3">
      <c r="A1126" s="1207"/>
      <c r="B1126" s="1212"/>
      <c r="C1126" s="1212"/>
      <c r="D1126" s="1212"/>
      <c r="E1126" s="1212"/>
      <c r="F1126" s="1208"/>
      <c r="G1126" s="1208"/>
      <c r="H1126" s="1208"/>
      <c r="I1126" s="1209"/>
      <c r="J1126" s="1209"/>
      <c r="K1126" s="1210">
        <f t="shared" si="226"/>
        <v>1.05</v>
      </c>
      <c r="L1126" s="1210">
        <f t="shared" si="223"/>
        <v>0</v>
      </c>
      <c r="M1126" s="1197">
        <f t="shared" si="224"/>
        <v>0</v>
      </c>
      <c r="N1126" s="1211">
        <f t="shared" si="225"/>
        <v>0</v>
      </c>
      <c r="O1126" s="1212"/>
      <c r="P1126" s="1200"/>
      <c r="Q1126" s="1200"/>
      <c r="R1126" s="1213"/>
      <c r="S1126" s="1213"/>
      <c r="T1126" s="1213"/>
      <c r="U1126" s="1213"/>
      <c r="V1126" s="1213"/>
    </row>
    <row r="1127" spans="1:22" ht="15" thickTop="1" thickBot="1" x14ac:dyDescent="0.3">
      <c r="A1127" s="1207"/>
      <c r="B1127" s="1212"/>
      <c r="C1127" s="1212"/>
      <c r="D1127" s="1212"/>
      <c r="E1127" s="1212"/>
      <c r="F1127" s="1208"/>
      <c r="G1127" s="1208"/>
      <c r="H1127" s="1208"/>
      <c r="I1127" s="1209"/>
      <c r="J1127" s="1209"/>
      <c r="K1127" s="1210">
        <f t="shared" si="226"/>
        <v>1.05</v>
      </c>
      <c r="L1127" s="1210">
        <f t="shared" si="223"/>
        <v>0</v>
      </c>
      <c r="M1127" s="1197">
        <f t="shared" si="224"/>
        <v>0</v>
      </c>
      <c r="N1127" s="1211">
        <f t="shared" si="225"/>
        <v>0</v>
      </c>
      <c r="O1127" s="1212"/>
      <c r="P1127" s="1200"/>
      <c r="Q1127" s="1200"/>
      <c r="R1127" s="1213"/>
      <c r="S1127" s="1213"/>
      <c r="T1127" s="1213"/>
      <c r="U1127" s="1213"/>
      <c r="V1127" s="1213"/>
    </row>
    <row r="1128" spans="1:22" ht="15" thickTop="1" thickBot="1" x14ac:dyDescent="0.3">
      <c r="A1128" s="1207"/>
      <c r="B1128" s="1212"/>
      <c r="C1128" s="1212"/>
      <c r="D1128" s="1212"/>
      <c r="E1128" s="1212"/>
      <c r="F1128" s="1208"/>
      <c r="G1128" s="1208"/>
      <c r="H1128" s="1208"/>
      <c r="I1128" s="1209"/>
      <c r="J1128" s="1209"/>
      <c r="K1128" s="1210">
        <f t="shared" si="226"/>
        <v>1.05</v>
      </c>
      <c r="L1128" s="1210">
        <f t="shared" si="223"/>
        <v>0</v>
      </c>
      <c r="M1128" s="1197">
        <f t="shared" si="224"/>
        <v>0</v>
      </c>
      <c r="N1128" s="1211">
        <f t="shared" si="225"/>
        <v>0</v>
      </c>
      <c r="O1128" s="1212"/>
      <c r="P1128" s="1200"/>
      <c r="Q1128" s="1200"/>
      <c r="R1128" s="1213"/>
      <c r="S1128" s="1213"/>
      <c r="T1128" s="1213"/>
      <c r="U1128" s="1213"/>
      <c r="V1128" s="1213"/>
    </row>
    <row r="1129" spans="1:22" ht="15" thickTop="1" thickBot="1" x14ac:dyDescent="0.3">
      <c r="A1129" s="1207"/>
      <c r="B1129" s="1212"/>
      <c r="C1129" s="1212"/>
      <c r="D1129" s="1212"/>
      <c r="E1129" s="1212"/>
      <c r="F1129" s="1208"/>
      <c r="G1129" s="1208"/>
      <c r="H1129" s="1208"/>
      <c r="I1129" s="1209"/>
      <c r="J1129" s="1209"/>
      <c r="K1129" s="1210">
        <f t="shared" si="226"/>
        <v>1.05</v>
      </c>
      <c r="L1129" s="1210">
        <f t="shared" si="223"/>
        <v>0</v>
      </c>
      <c r="M1129" s="1197">
        <f t="shared" si="224"/>
        <v>0</v>
      </c>
      <c r="N1129" s="1211">
        <f t="shared" si="225"/>
        <v>0</v>
      </c>
      <c r="O1129" s="1212"/>
      <c r="P1129" s="1200"/>
      <c r="Q1129" s="1200"/>
      <c r="R1129" s="1213"/>
      <c r="S1129" s="1213"/>
      <c r="T1129" s="1213"/>
      <c r="U1129" s="1213"/>
      <c r="V1129" s="1213"/>
    </row>
    <row r="1130" spans="1:22" ht="15" thickTop="1" thickBot="1" x14ac:dyDescent="0.3">
      <c r="A1130" s="1207"/>
      <c r="B1130" s="1212"/>
      <c r="C1130" s="1212"/>
      <c r="D1130" s="1212"/>
      <c r="E1130" s="1212"/>
      <c r="F1130" s="1208"/>
      <c r="G1130" s="1208"/>
      <c r="H1130" s="1208"/>
      <c r="I1130" s="1209"/>
      <c r="J1130" s="1209"/>
      <c r="K1130" s="1210">
        <f t="shared" si="226"/>
        <v>1.05</v>
      </c>
      <c r="L1130" s="1210">
        <f t="shared" ref="L1130:L1193" si="227">K1130*J1130</f>
        <v>0</v>
      </c>
      <c r="M1130" s="1197">
        <f t="shared" ref="M1130:M1193" si="228">ROUND(L1130,1)</f>
        <v>0</v>
      </c>
      <c r="N1130" s="1211">
        <f t="shared" ref="N1130:N1193" si="229">ROUNDUP(M1130,0)</f>
        <v>0</v>
      </c>
      <c r="O1130" s="1212"/>
      <c r="P1130" s="1200"/>
      <c r="Q1130" s="1200"/>
      <c r="R1130" s="1213"/>
      <c r="S1130" s="1213"/>
      <c r="T1130" s="1213"/>
      <c r="U1130" s="1213"/>
      <c r="V1130" s="1213"/>
    </row>
    <row r="1131" spans="1:22" ht="15" thickTop="1" thickBot="1" x14ac:dyDescent="0.3">
      <c r="A1131" s="1207"/>
      <c r="B1131" s="1212"/>
      <c r="C1131" s="1212"/>
      <c r="D1131" s="1212"/>
      <c r="E1131" s="1212"/>
      <c r="F1131" s="1208"/>
      <c r="G1131" s="1208"/>
      <c r="H1131" s="1208"/>
      <c r="I1131" s="1209"/>
      <c r="J1131" s="1209"/>
      <c r="K1131" s="1210">
        <f t="shared" si="226"/>
        <v>1.05</v>
      </c>
      <c r="L1131" s="1210">
        <f t="shared" si="227"/>
        <v>0</v>
      </c>
      <c r="M1131" s="1197">
        <f t="shared" si="228"/>
        <v>0</v>
      </c>
      <c r="N1131" s="1211">
        <f t="shared" si="229"/>
        <v>0</v>
      </c>
      <c r="O1131" s="1212"/>
      <c r="P1131" s="1200"/>
      <c r="Q1131" s="1200"/>
      <c r="R1131" s="1213"/>
      <c r="S1131" s="1213"/>
      <c r="T1131" s="1213"/>
      <c r="U1131" s="1213"/>
      <c r="V1131" s="1213"/>
    </row>
    <row r="1132" spans="1:22" ht="15" thickTop="1" thickBot="1" x14ac:dyDescent="0.3">
      <c r="A1132" s="1207"/>
      <c r="B1132" s="1212"/>
      <c r="C1132" s="1212"/>
      <c r="D1132" s="1212"/>
      <c r="E1132" s="1212"/>
      <c r="F1132" s="1208"/>
      <c r="G1132" s="1208"/>
      <c r="H1132" s="1208"/>
      <c r="I1132" s="1209"/>
      <c r="J1132" s="1209"/>
      <c r="K1132" s="1210">
        <f t="shared" si="226"/>
        <v>1.05</v>
      </c>
      <c r="L1132" s="1210">
        <f t="shared" si="227"/>
        <v>0</v>
      </c>
      <c r="M1132" s="1197">
        <f t="shared" si="228"/>
        <v>0</v>
      </c>
      <c r="N1132" s="1211">
        <f t="shared" si="229"/>
        <v>0</v>
      </c>
      <c r="O1132" s="1212"/>
      <c r="P1132" s="1200"/>
      <c r="Q1132" s="1200"/>
      <c r="R1132" s="1213"/>
      <c r="S1132" s="1213"/>
      <c r="T1132" s="1213"/>
      <c r="U1132" s="1213"/>
      <c r="V1132" s="1213"/>
    </row>
    <row r="1133" spans="1:22" ht="15" thickTop="1" thickBot="1" x14ac:dyDescent="0.3">
      <c r="A1133" s="1207"/>
      <c r="B1133" s="1212"/>
      <c r="C1133" s="1212"/>
      <c r="D1133" s="1212"/>
      <c r="E1133" s="1212"/>
      <c r="F1133" s="1208"/>
      <c r="G1133" s="1208"/>
      <c r="H1133" s="1208"/>
      <c r="I1133" s="1209"/>
      <c r="J1133" s="1209"/>
      <c r="K1133" s="1210">
        <f t="shared" si="226"/>
        <v>1.05</v>
      </c>
      <c r="L1133" s="1210">
        <f t="shared" si="227"/>
        <v>0</v>
      </c>
      <c r="M1133" s="1197">
        <f t="shared" si="228"/>
        <v>0</v>
      </c>
      <c r="N1133" s="1211">
        <f t="shared" si="229"/>
        <v>0</v>
      </c>
      <c r="O1133" s="1212"/>
      <c r="P1133" s="1200"/>
      <c r="Q1133" s="1200"/>
      <c r="R1133" s="1213"/>
      <c r="S1133" s="1213"/>
      <c r="T1133" s="1213"/>
      <c r="U1133" s="1213"/>
      <c r="V1133" s="1213"/>
    </row>
    <row r="1134" spans="1:22" ht="15" thickTop="1" thickBot="1" x14ac:dyDescent="0.3">
      <c r="A1134" s="1207"/>
      <c r="B1134" s="1212"/>
      <c r="C1134" s="1212"/>
      <c r="D1134" s="1212"/>
      <c r="E1134" s="1212"/>
      <c r="F1134" s="1208"/>
      <c r="G1134" s="1208"/>
      <c r="H1134" s="1208"/>
      <c r="I1134" s="1209"/>
      <c r="J1134" s="1209"/>
      <c r="K1134" s="1210">
        <f t="shared" si="226"/>
        <v>1.05</v>
      </c>
      <c r="L1134" s="1210">
        <f t="shared" si="227"/>
        <v>0</v>
      </c>
      <c r="M1134" s="1197">
        <f t="shared" si="228"/>
        <v>0</v>
      </c>
      <c r="N1134" s="1211">
        <f t="shared" si="229"/>
        <v>0</v>
      </c>
      <c r="O1134" s="1212"/>
      <c r="P1134" s="1200"/>
      <c r="Q1134" s="1200"/>
      <c r="R1134" s="1213"/>
      <c r="S1134" s="1213"/>
      <c r="T1134" s="1213"/>
      <c r="U1134" s="1213"/>
      <c r="V1134" s="1213"/>
    </row>
    <row r="1135" spans="1:22" ht="15" thickTop="1" thickBot="1" x14ac:dyDescent="0.3">
      <c r="A1135" s="1207"/>
      <c r="B1135" s="1212"/>
      <c r="C1135" s="1212"/>
      <c r="D1135" s="1212"/>
      <c r="E1135" s="1212"/>
      <c r="F1135" s="1208"/>
      <c r="G1135" s="1208"/>
      <c r="H1135" s="1208"/>
      <c r="I1135" s="1209"/>
      <c r="J1135" s="1209"/>
      <c r="K1135" s="1210">
        <f t="shared" si="226"/>
        <v>1.05</v>
      </c>
      <c r="L1135" s="1210">
        <f t="shared" si="227"/>
        <v>0</v>
      </c>
      <c r="M1135" s="1197">
        <f t="shared" si="228"/>
        <v>0</v>
      </c>
      <c r="N1135" s="1211">
        <f t="shared" si="229"/>
        <v>0</v>
      </c>
      <c r="O1135" s="1212"/>
      <c r="P1135" s="1200"/>
      <c r="Q1135" s="1200"/>
      <c r="R1135" s="1213"/>
      <c r="S1135" s="1213"/>
      <c r="T1135" s="1213"/>
      <c r="U1135" s="1213"/>
      <c r="V1135" s="1213"/>
    </row>
    <row r="1136" spans="1:22" ht="15" thickTop="1" thickBot="1" x14ac:dyDescent="0.3">
      <c r="A1136" s="1207"/>
      <c r="B1136" s="1212"/>
      <c r="C1136" s="1212"/>
      <c r="D1136" s="1212"/>
      <c r="E1136" s="1212"/>
      <c r="F1136" s="1208"/>
      <c r="G1136" s="1208"/>
      <c r="H1136" s="1208"/>
      <c r="I1136" s="1209"/>
      <c r="J1136" s="1209"/>
      <c r="K1136" s="1210">
        <f t="shared" si="226"/>
        <v>1.05</v>
      </c>
      <c r="L1136" s="1210">
        <f t="shared" si="227"/>
        <v>0</v>
      </c>
      <c r="M1136" s="1197">
        <f t="shared" si="228"/>
        <v>0</v>
      </c>
      <c r="N1136" s="1211">
        <f t="shared" si="229"/>
        <v>0</v>
      </c>
      <c r="O1136" s="1212"/>
      <c r="P1136" s="1200"/>
      <c r="Q1136" s="1200"/>
      <c r="R1136" s="1213"/>
      <c r="S1136" s="1213"/>
      <c r="T1136" s="1213"/>
      <c r="U1136" s="1213"/>
      <c r="V1136" s="1213"/>
    </row>
    <row r="1137" spans="1:22" ht="15" thickTop="1" thickBot="1" x14ac:dyDescent="0.3">
      <c r="A1137" s="1207"/>
      <c r="B1137" s="1212"/>
      <c r="C1137" s="1212"/>
      <c r="D1137" s="1212"/>
      <c r="E1137" s="1212"/>
      <c r="F1137" s="1208"/>
      <c r="G1137" s="1208"/>
      <c r="H1137" s="1208"/>
      <c r="I1137" s="1209"/>
      <c r="J1137" s="1209"/>
      <c r="K1137" s="1210">
        <f t="shared" si="226"/>
        <v>1.05</v>
      </c>
      <c r="L1137" s="1210">
        <f t="shared" si="227"/>
        <v>0</v>
      </c>
      <c r="M1137" s="1197">
        <f t="shared" si="228"/>
        <v>0</v>
      </c>
      <c r="N1137" s="1211">
        <f t="shared" si="229"/>
        <v>0</v>
      </c>
      <c r="O1137" s="1212"/>
      <c r="P1137" s="1200"/>
      <c r="Q1137" s="1200"/>
      <c r="R1137" s="1213"/>
      <c r="S1137" s="1213"/>
      <c r="T1137" s="1213"/>
      <c r="U1137" s="1213"/>
      <c r="V1137" s="1213"/>
    </row>
    <row r="1138" spans="1:22" ht="15" thickTop="1" thickBot="1" x14ac:dyDescent="0.3">
      <c r="A1138" s="1207"/>
      <c r="B1138" s="1212"/>
      <c r="C1138" s="1212"/>
      <c r="D1138" s="1212"/>
      <c r="E1138" s="1212"/>
      <c r="F1138" s="1208"/>
      <c r="G1138" s="1208"/>
      <c r="H1138" s="1208"/>
      <c r="I1138" s="1209"/>
      <c r="J1138" s="1209"/>
      <c r="K1138" s="1210">
        <f t="shared" si="226"/>
        <v>1.05</v>
      </c>
      <c r="L1138" s="1210">
        <f t="shared" si="227"/>
        <v>0</v>
      </c>
      <c r="M1138" s="1197">
        <f t="shared" si="228"/>
        <v>0</v>
      </c>
      <c r="N1138" s="1211">
        <f t="shared" si="229"/>
        <v>0</v>
      </c>
      <c r="O1138" s="1212"/>
      <c r="P1138" s="1200"/>
      <c r="Q1138" s="1200"/>
      <c r="R1138" s="1213"/>
      <c r="S1138" s="1213"/>
      <c r="T1138" s="1213"/>
      <c r="U1138" s="1213"/>
      <c r="V1138" s="1213"/>
    </row>
    <row r="1139" spans="1:22" ht="15" thickTop="1" thickBot="1" x14ac:dyDescent="0.3">
      <c r="A1139" s="1207"/>
      <c r="B1139" s="1212"/>
      <c r="C1139" s="1212"/>
      <c r="D1139" s="1212"/>
      <c r="E1139" s="1212"/>
      <c r="F1139" s="1208"/>
      <c r="G1139" s="1208"/>
      <c r="H1139" s="1208"/>
      <c r="I1139" s="1209"/>
      <c r="J1139" s="1209"/>
      <c r="K1139" s="1210">
        <f t="shared" si="226"/>
        <v>1.05</v>
      </c>
      <c r="L1139" s="1210">
        <f t="shared" si="227"/>
        <v>0</v>
      </c>
      <c r="M1139" s="1197">
        <f t="shared" si="228"/>
        <v>0</v>
      </c>
      <c r="N1139" s="1211">
        <f t="shared" si="229"/>
        <v>0</v>
      </c>
      <c r="O1139" s="1212"/>
      <c r="P1139" s="1200"/>
      <c r="Q1139" s="1200"/>
      <c r="R1139" s="1213"/>
      <c r="S1139" s="1213"/>
      <c r="T1139" s="1213"/>
      <c r="U1139" s="1213"/>
      <c r="V1139" s="1213"/>
    </row>
    <row r="1140" spans="1:22" ht="15" thickTop="1" thickBot="1" x14ac:dyDescent="0.3">
      <c r="A1140" s="1207"/>
      <c r="B1140" s="1212"/>
      <c r="C1140" s="1212"/>
      <c r="D1140" s="1212"/>
      <c r="E1140" s="1212"/>
      <c r="F1140" s="1208"/>
      <c r="G1140" s="1208"/>
      <c r="H1140" s="1208"/>
      <c r="I1140" s="1209"/>
      <c r="J1140" s="1209"/>
      <c r="K1140" s="1210">
        <f t="shared" si="226"/>
        <v>1.05</v>
      </c>
      <c r="L1140" s="1210">
        <f t="shared" si="227"/>
        <v>0</v>
      </c>
      <c r="M1140" s="1197">
        <f t="shared" si="228"/>
        <v>0</v>
      </c>
      <c r="N1140" s="1211">
        <f t="shared" si="229"/>
        <v>0</v>
      </c>
      <c r="O1140" s="1212"/>
      <c r="P1140" s="1200"/>
      <c r="Q1140" s="1200"/>
      <c r="R1140" s="1213"/>
      <c r="S1140" s="1213"/>
      <c r="T1140" s="1213"/>
      <c r="U1140" s="1213"/>
      <c r="V1140" s="1213"/>
    </row>
    <row r="1141" spans="1:22" ht="15" thickTop="1" thickBot="1" x14ac:dyDescent="0.3">
      <c r="A1141" s="1207"/>
      <c r="B1141" s="1212"/>
      <c r="C1141" s="1212"/>
      <c r="D1141" s="1212"/>
      <c r="E1141" s="1212"/>
      <c r="F1141" s="1208"/>
      <c r="G1141" s="1208"/>
      <c r="H1141" s="1208"/>
      <c r="I1141" s="1209"/>
      <c r="J1141" s="1209"/>
      <c r="K1141" s="1210">
        <f t="shared" si="226"/>
        <v>1.05</v>
      </c>
      <c r="L1141" s="1210">
        <f t="shared" si="227"/>
        <v>0</v>
      </c>
      <c r="M1141" s="1197">
        <f t="shared" si="228"/>
        <v>0</v>
      </c>
      <c r="N1141" s="1211">
        <f t="shared" si="229"/>
        <v>0</v>
      </c>
      <c r="O1141" s="1212"/>
      <c r="P1141" s="1200"/>
      <c r="Q1141" s="1200"/>
      <c r="R1141" s="1213"/>
      <c r="S1141" s="1213"/>
      <c r="T1141" s="1213"/>
      <c r="U1141" s="1213"/>
      <c r="V1141" s="1213"/>
    </row>
    <row r="1142" spans="1:22" ht="15" thickTop="1" thickBot="1" x14ac:dyDescent="0.3">
      <c r="A1142" s="1207"/>
      <c r="B1142" s="1212"/>
      <c r="C1142" s="1212"/>
      <c r="D1142" s="1212"/>
      <c r="E1142" s="1212"/>
      <c r="F1142" s="1208"/>
      <c r="G1142" s="1208"/>
      <c r="H1142" s="1208"/>
      <c r="I1142" s="1209"/>
      <c r="J1142" s="1209"/>
      <c r="K1142" s="1210">
        <f t="shared" si="226"/>
        <v>1.05</v>
      </c>
      <c r="L1142" s="1210">
        <f t="shared" si="227"/>
        <v>0</v>
      </c>
      <c r="M1142" s="1197">
        <f t="shared" si="228"/>
        <v>0</v>
      </c>
      <c r="N1142" s="1211">
        <f t="shared" si="229"/>
        <v>0</v>
      </c>
      <c r="O1142" s="1212"/>
      <c r="P1142" s="1200"/>
      <c r="Q1142" s="1200"/>
      <c r="R1142" s="1213"/>
      <c r="S1142" s="1213"/>
      <c r="T1142" s="1213"/>
      <c r="U1142" s="1213"/>
      <c r="V1142" s="1213"/>
    </row>
    <row r="1143" spans="1:22" ht="15" thickTop="1" thickBot="1" x14ac:dyDescent="0.3">
      <c r="A1143" s="1207"/>
      <c r="B1143" s="1212"/>
      <c r="C1143" s="1212"/>
      <c r="D1143" s="1212"/>
      <c r="E1143" s="1212"/>
      <c r="F1143" s="1208"/>
      <c r="G1143" s="1208"/>
      <c r="H1143" s="1208"/>
      <c r="I1143" s="1209"/>
      <c r="J1143" s="1209"/>
      <c r="K1143" s="1210">
        <f t="shared" si="226"/>
        <v>1.05</v>
      </c>
      <c r="L1143" s="1210">
        <f t="shared" si="227"/>
        <v>0</v>
      </c>
      <c r="M1143" s="1197">
        <f t="shared" si="228"/>
        <v>0</v>
      </c>
      <c r="N1143" s="1211">
        <f t="shared" si="229"/>
        <v>0</v>
      </c>
      <c r="O1143" s="1212"/>
      <c r="P1143" s="1200"/>
      <c r="Q1143" s="1200"/>
      <c r="R1143" s="1213"/>
      <c r="S1143" s="1213"/>
      <c r="T1143" s="1213"/>
      <c r="U1143" s="1213"/>
      <c r="V1143" s="1213"/>
    </row>
    <row r="1144" spans="1:22" ht="15" thickTop="1" thickBot="1" x14ac:dyDescent="0.3">
      <c r="A1144" s="1207"/>
      <c r="B1144" s="1212"/>
      <c r="C1144" s="1212"/>
      <c r="D1144" s="1212"/>
      <c r="E1144" s="1212"/>
      <c r="F1144" s="1208"/>
      <c r="G1144" s="1208"/>
      <c r="H1144" s="1208"/>
      <c r="I1144" s="1209"/>
      <c r="J1144" s="1209"/>
      <c r="K1144" s="1210">
        <f t="shared" si="226"/>
        <v>1.05</v>
      </c>
      <c r="L1144" s="1210">
        <f t="shared" si="227"/>
        <v>0</v>
      </c>
      <c r="M1144" s="1197">
        <f t="shared" si="228"/>
        <v>0</v>
      </c>
      <c r="N1144" s="1211">
        <f t="shared" si="229"/>
        <v>0</v>
      </c>
      <c r="O1144" s="1212"/>
      <c r="P1144" s="1200"/>
      <c r="Q1144" s="1200"/>
      <c r="R1144" s="1213"/>
      <c r="S1144" s="1213"/>
      <c r="T1144" s="1213"/>
      <c r="U1144" s="1213"/>
      <c r="V1144" s="1213"/>
    </row>
    <row r="1145" spans="1:22" ht="15" thickTop="1" thickBot="1" x14ac:dyDescent="0.3">
      <c r="A1145" s="1207"/>
      <c r="B1145" s="1212"/>
      <c r="C1145" s="1212"/>
      <c r="D1145" s="1212"/>
      <c r="E1145" s="1212"/>
      <c r="F1145" s="1208"/>
      <c r="G1145" s="1208"/>
      <c r="H1145" s="1208"/>
      <c r="I1145" s="1209"/>
      <c r="J1145" s="1209"/>
      <c r="K1145" s="1210">
        <f t="shared" si="226"/>
        <v>1.05</v>
      </c>
      <c r="L1145" s="1210">
        <f t="shared" si="227"/>
        <v>0</v>
      </c>
      <c r="M1145" s="1197">
        <f t="shared" si="228"/>
        <v>0</v>
      </c>
      <c r="N1145" s="1211">
        <f t="shared" si="229"/>
        <v>0</v>
      </c>
      <c r="O1145" s="1212"/>
      <c r="P1145" s="1200"/>
      <c r="Q1145" s="1200"/>
      <c r="R1145" s="1213"/>
      <c r="S1145" s="1213"/>
      <c r="T1145" s="1213"/>
      <c r="U1145" s="1213"/>
      <c r="V1145" s="1213"/>
    </row>
    <row r="1146" spans="1:22" ht="15" thickTop="1" thickBot="1" x14ac:dyDescent="0.3">
      <c r="A1146" s="1207"/>
      <c r="B1146" s="1212"/>
      <c r="C1146" s="1212"/>
      <c r="D1146" s="1212"/>
      <c r="E1146" s="1212"/>
      <c r="F1146" s="1208"/>
      <c r="G1146" s="1208"/>
      <c r="H1146" s="1208"/>
      <c r="I1146" s="1209"/>
      <c r="J1146" s="1209"/>
      <c r="K1146" s="1210">
        <f t="shared" si="226"/>
        <v>1.05</v>
      </c>
      <c r="L1146" s="1210">
        <f t="shared" si="227"/>
        <v>0</v>
      </c>
      <c r="M1146" s="1197">
        <f t="shared" si="228"/>
        <v>0</v>
      </c>
      <c r="N1146" s="1211">
        <f t="shared" si="229"/>
        <v>0</v>
      </c>
      <c r="O1146" s="1212"/>
      <c r="P1146" s="1200"/>
      <c r="Q1146" s="1200"/>
      <c r="R1146" s="1213"/>
      <c r="S1146" s="1213"/>
      <c r="T1146" s="1213"/>
      <c r="U1146" s="1213"/>
      <c r="V1146" s="1213"/>
    </row>
    <row r="1147" spans="1:22" ht="15" thickTop="1" thickBot="1" x14ac:dyDescent="0.3">
      <c r="A1147" s="1207"/>
      <c r="B1147" s="1212"/>
      <c r="C1147" s="1212"/>
      <c r="D1147" s="1212"/>
      <c r="E1147" s="1212"/>
      <c r="F1147" s="1208"/>
      <c r="G1147" s="1208"/>
      <c r="H1147" s="1208"/>
      <c r="I1147" s="1209"/>
      <c r="J1147" s="1209"/>
      <c r="K1147" s="1210">
        <f t="shared" si="226"/>
        <v>1.05</v>
      </c>
      <c r="L1147" s="1210">
        <f t="shared" si="227"/>
        <v>0</v>
      </c>
      <c r="M1147" s="1197">
        <f t="shared" si="228"/>
        <v>0</v>
      </c>
      <c r="N1147" s="1211">
        <f t="shared" si="229"/>
        <v>0</v>
      </c>
      <c r="O1147" s="1212"/>
      <c r="P1147" s="1200"/>
      <c r="Q1147" s="1200"/>
      <c r="R1147" s="1213"/>
      <c r="S1147" s="1213"/>
      <c r="T1147" s="1213"/>
      <c r="U1147" s="1213"/>
      <c r="V1147" s="1213"/>
    </row>
    <row r="1148" spans="1:22" ht="15" thickTop="1" thickBot="1" x14ac:dyDescent="0.3">
      <c r="A1148" s="1207"/>
      <c r="B1148" s="1212"/>
      <c r="C1148" s="1212"/>
      <c r="D1148" s="1212"/>
      <c r="E1148" s="1212"/>
      <c r="F1148" s="1208"/>
      <c r="G1148" s="1208"/>
      <c r="H1148" s="1208"/>
      <c r="I1148" s="1209"/>
      <c r="J1148" s="1209"/>
      <c r="K1148" s="1210">
        <f t="shared" si="226"/>
        <v>1.05</v>
      </c>
      <c r="L1148" s="1210">
        <f t="shared" si="227"/>
        <v>0</v>
      </c>
      <c r="M1148" s="1197">
        <f t="shared" si="228"/>
        <v>0</v>
      </c>
      <c r="N1148" s="1211">
        <f t="shared" si="229"/>
        <v>0</v>
      </c>
      <c r="O1148" s="1212"/>
      <c r="P1148" s="1200"/>
      <c r="Q1148" s="1200"/>
      <c r="R1148" s="1213"/>
      <c r="S1148" s="1213"/>
      <c r="T1148" s="1213"/>
      <c r="U1148" s="1213"/>
      <c r="V1148" s="1213"/>
    </row>
    <row r="1149" spans="1:22" ht="15" thickTop="1" thickBot="1" x14ac:dyDescent="0.3">
      <c r="A1149" s="1207"/>
      <c r="B1149" s="1212"/>
      <c r="C1149" s="1212"/>
      <c r="D1149" s="1212"/>
      <c r="E1149" s="1212"/>
      <c r="F1149" s="1208"/>
      <c r="G1149" s="1208"/>
      <c r="H1149" s="1208"/>
      <c r="I1149" s="1209"/>
      <c r="J1149" s="1209"/>
      <c r="K1149" s="1210">
        <f t="shared" si="226"/>
        <v>1.05</v>
      </c>
      <c r="L1149" s="1210">
        <f t="shared" si="227"/>
        <v>0</v>
      </c>
      <c r="M1149" s="1197">
        <f t="shared" si="228"/>
        <v>0</v>
      </c>
      <c r="N1149" s="1211">
        <f t="shared" si="229"/>
        <v>0</v>
      </c>
      <c r="O1149" s="1212"/>
      <c r="P1149" s="1200"/>
      <c r="Q1149" s="1200"/>
      <c r="R1149" s="1213"/>
      <c r="S1149" s="1213"/>
      <c r="T1149" s="1213"/>
      <c r="U1149" s="1213"/>
      <c r="V1149" s="1213"/>
    </row>
    <row r="1150" spans="1:22" ht="15" thickTop="1" thickBot="1" x14ac:dyDescent="0.3">
      <c r="A1150" s="1207"/>
      <c r="B1150" s="1212"/>
      <c r="C1150" s="1212"/>
      <c r="D1150" s="1212"/>
      <c r="E1150" s="1212"/>
      <c r="F1150" s="1208"/>
      <c r="G1150" s="1208"/>
      <c r="H1150" s="1208"/>
      <c r="I1150" s="1209"/>
      <c r="J1150" s="1209"/>
      <c r="K1150" s="1210">
        <f t="shared" si="226"/>
        <v>1.05</v>
      </c>
      <c r="L1150" s="1210">
        <f t="shared" si="227"/>
        <v>0</v>
      </c>
      <c r="M1150" s="1197">
        <f t="shared" si="228"/>
        <v>0</v>
      </c>
      <c r="N1150" s="1211">
        <f t="shared" si="229"/>
        <v>0</v>
      </c>
      <c r="O1150" s="1212"/>
      <c r="P1150" s="1200"/>
      <c r="Q1150" s="1200"/>
      <c r="R1150" s="1213"/>
      <c r="S1150" s="1213"/>
      <c r="T1150" s="1213"/>
      <c r="U1150" s="1213"/>
      <c r="V1150" s="1213"/>
    </row>
    <row r="1151" spans="1:22" ht="15" thickTop="1" thickBot="1" x14ac:dyDescent="0.3">
      <c r="A1151" s="1207"/>
      <c r="B1151" s="1212"/>
      <c r="C1151" s="1212"/>
      <c r="D1151" s="1212"/>
      <c r="E1151" s="1212"/>
      <c r="F1151" s="1208"/>
      <c r="G1151" s="1208"/>
      <c r="H1151" s="1208"/>
      <c r="I1151" s="1209"/>
      <c r="J1151" s="1209"/>
      <c r="K1151" s="1210">
        <f t="shared" si="226"/>
        <v>1.05</v>
      </c>
      <c r="L1151" s="1210">
        <f t="shared" si="227"/>
        <v>0</v>
      </c>
      <c r="M1151" s="1197">
        <f t="shared" si="228"/>
        <v>0</v>
      </c>
      <c r="N1151" s="1211">
        <f t="shared" si="229"/>
        <v>0</v>
      </c>
      <c r="O1151" s="1212"/>
      <c r="P1151" s="1200"/>
      <c r="Q1151" s="1200"/>
      <c r="R1151" s="1213"/>
      <c r="S1151" s="1213"/>
      <c r="T1151" s="1213"/>
      <c r="U1151" s="1213"/>
      <c r="V1151" s="1213"/>
    </row>
    <row r="1152" spans="1:22" ht="15" thickTop="1" thickBot="1" x14ac:dyDescent="0.3">
      <c r="A1152" s="1207"/>
      <c r="B1152" s="1212"/>
      <c r="C1152" s="1212"/>
      <c r="D1152" s="1212"/>
      <c r="E1152" s="1212"/>
      <c r="F1152" s="1208"/>
      <c r="G1152" s="1208"/>
      <c r="H1152" s="1208"/>
      <c r="I1152" s="1209"/>
      <c r="J1152" s="1209"/>
      <c r="K1152" s="1210">
        <f t="shared" si="226"/>
        <v>1.05</v>
      </c>
      <c r="L1152" s="1210">
        <f t="shared" si="227"/>
        <v>0</v>
      </c>
      <c r="M1152" s="1197">
        <f t="shared" si="228"/>
        <v>0</v>
      </c>
      <c r="N1152" s="1211">
        <f t="shared" si="229"/>
        <v>0</v>
      </c>
      <c r="O1152" s="1212"/>
      <c r="P1152" s="1200"/>
      <c r="Q1152" s="1200"/>
      <c r="R1152" s="1213"/>
      <c r="S1152" s="1213"/>
      <c r="T1152" s="1213"/>
      <c r="U1152" s="1213"/>
      <c r="V1152" s="1213"/>
    </row>
    <row r="1153" spans="1:22" ht="15" thickTop="1" thickBot="1" x14ac:dyDescent="0.3">
      <c r="A1153" s="1207"/>
      <c r="B1153" s="1212"/>
      <c r="C1153" s="1212"/>
      <c r="D1153" s="1212"/>
      <c r="E1153" s="1212"/>
      <c r="F1153" s="1208"/>
      <c r="G1153" s="1208"/>
      <c r="H1153" s="1208"/>
      <c r="I1153" s="1209"/>
      <c r="J1153" s="1209"/>
      <c r="K1153" s="1210">
        <f t="shared" si="226"/>
        <v>1.05</v>
      </c>
      <c r="L1153" s="1210">
        <f t="shared" si="227"/>
        <v>0</v>
      </c>
      <c r="M1153" s="1197">
        <f t="shared" si="228"/>
        <v>0</v>
      </c>
      <c r="N1153" s="1211">
        <f t="shared" si="229"/>
        <v>0</v>
      </c>
      <c r="O1153" s="1212"/>
      <c r="P1153" s="1200"/>
      <c r="Q1153" s="1200"/>
      <c r="R1153" s="1213"/>
      <c r="S1153" s="1213"/>
      <c r="T1153" s="1213"/>
      <c r="U1153" s="1213"/>
      <c r="V1153" s="1213"/>
    </row>
    <row r="1154" spans="1:22" ht="15" thickTop="1" thickBot="1" x14ac:dyDescent="0.3">
      <c r="A1154" s="1207"/>
      <c r="B1154" s="1212"/>
      <c r="C1154" s="1212"/>
      <c r="D1154" s="1212"/>
      <c r="E1154" s="1212"/>
      <c r="F1154" s="1208"/>
      <c r="G1154" s="1208"/>
      <c r="H1154" s="1208"/>
      <c r="I1154" s="1209"/>
      <c r="J1154" s="1209"/>
      <c r="K1154" s="1210">
        <f t="shared" si="226"/>
        <v>1.05</v>
      </c>
      <c r="L1154" s="1210">
        <f t="shared" si="227"/>
        <v>0</v>
      </c>
      <c r="M1154" s="1197">
        <f t="shared" si="228"/>
        <v>0</v>
      </c>
      <c r="N1154" s="1211">
        <f t="shared" si="229"/>
        <v>0</v>
      </c>
      <c r="O1154" s="1212"/>
      <c r="P1154" s="1200"/>
      <c r="Q1154" s="1200"/>
      <c r="R1154" s="1213"/>
      <c r="S1154" s="1213"/>
      <c r="T1154" s="1213"/>
      <c r="U1154" s="1213"/>
      <c r="V1154" s="1213"/>
    </row>
    <row r="1155" spans="1:22" ht="15" thickTop="1" thickBot="1" x14ac:dyDescent="0.3">
      <c r="A1155" s="1207"/>
      <c r="B1155" s="1212"/>
      <c r="C1155" s="1212"/>
      <c r="D1155" s="1212"/>
      <c r="E1155" s="1212"/>
      <c r="F1155" s="1208"/>
      <c r="G1155" s="1208"/>
      <c r="H1155" s="1208"/>
      <c r="I1155" s="1209"/>
      <c r="J1155" s="1209"/>
      <c r="K1155" s="1210">
        <f t="shared" si="226"/>
        <v>1.05</v>
      </c>
      <c r="L1155" s="1210">
        <f t="shared" si="227"/>
        <v>0</v>
      </c>
      <c r="M1155" s="1197">
        <f t="shared" si="228"/>
        <v>0</v>
      </c>
      <c r="N1155" s="1211">
        <f t="shared" si="229"/>
        <v>0</v>
      </c>
      <c r="O1155" s="1212"/>
      <c r="P1155" s="1200"/>
      <c r="Q1155" s="1200"/>
      <c r="R1155" s="1213"/>
      <c r="S1155" s="1213"/>
      <c r="T1155" s="1213"/>
      <c r="U1155" s="1213"/>
      <c r="V1155" s="1213"/>
    </row>
    <row r="1156" spans="1:22" ht="15" thickTop="1" thickBot="1" x14ac:dyDescent="0.3">
      <c r="A1156" s="1207"/>
      <c r="B1156" s="1212"/>
      <c r="C1156" s="1212"/>
      <c r="D1156" s="1212"/>
      <c r="E1156" s="1212"/>
      <c r="F1156" s="1208"/>
      <c r="G1156" s="1208"/>
      <c r="H1156" s="1208"/>
      <c r="I1156" s="1209"/>
      <c r="J1156" s="1209"/>
      <c r="K1156" s="1210">
        <f t="shared" si="226"/>
        <v>1.05</v>
      </c>
      <c r="L1156" s="1210">
        <f t="shared" si="227"/>
        <v>0</v>
      </c>
      <c r="M1156" s="1197">
        <f t="shared" si="228"/>
        <v>0</v>
      </c>
      <c r="N1156" s="1211">
        <f t="shared" si="229"/>
        <v>0</v>
      </c>
      <c r="O1156" s="1212"/>
      <c r="P1156" s="1200"/>
      <c r="Q1156" s="1200"/>
      <c r="R1156" s="1213"/>
      <c r="S1156" s="1213"/>
      <c r="T1156" s="1213"/>
      <c r="U1156" s="1213"/>
      <c r="V1156" s="1213"/>
    </row>
    <row r="1157" spans="1:22" ht="15" thickTop="1" thickBot="1" x14ac:dyDescent="0.3">
      <c r="A1157" s="1207"/>
      <c r="B1157" s="1212"/>
      <c r="C1157" s="1212"/>
      <c r="D1157" s="1212"/>
      <c r="E1157" s="1212"/>
      <c r="F1157" s="1208"/>
      <c r="G1157" s="1208"/>
      <c r="H1157" s="1208"/>
      <c r="I1157" s="1209"/>
      <c r="J1157" s="1209"/>
      <c r="K1157" s="1210">
        <f t="shared" si="226"/>
        <v>1.05</v>
      </c>
      <c r="L1157" s="1210">
        <f t="shared" si="227"/>
        <v>0</v>
      </c>
      <c r="M1157" s="1197">
        <f t="shared" si="228"/>
        <v>0</v>
      </c>
      <c r="N1157" s="1211">
        <f t="shared" si="229"/>
        <v>0</v>
      </c>
      <c r="O1157" s="1212"/>
      <c r="P1157" s="1200"/>
      <c r="Q1157" s="1200"/>
      <c r="R1157" s="1213"/>
      <c r="S1157" s="1213"/>
      <c r="T1157" s="1213"/>
      <c r="U1157" s="1213"/>
      <c r="V1157" s="1213"/>
    </row>
    <row r="1158" spans="1:22" ht="15" thickTop="1" thickBot="1" x14ac:dyDescent="0.3">
      <c r="A1158" s="1207"/>
      <c r="B1158" s="1212"/>
      <c r="C1158" s="1212"/>
      <c r="D1158" s="1212"/>
      <c r="E1158" s="1212"/>
      <c r="F1158" s="1208"/>
      <c r="G1158" s="1208"/>
      <c r="H1158" s="1208"/>
      <c r="I1158" s="1209"/>
      <c r="J1158" s="1209"/>
      <c r="K1158" s="1210">
        <f t="shared" si="226"/>
        <v>1.05</v>
      </c>
      <c r="L1158" s="1210">
        <f t="shared" si="227"/>
        <v>0</v>
      </c>
      <c r="M1158" s="1197">
        <f t="shared" si="228"/>
        <v>0</v>
      </c>
      <c r="N1158" s="1211">
        <f t="shared" si="229"/>
        <v>0</v>
      </c>
      <c r="O1158" s="1212"/>
      <c r="P1158" s="1200"/>
      <c r="Q1158" s="1200"/>
      <c r="R1158" s="1213"/>
      <c r="S1158" s="1213"/>
      <c r="T1158" s="1213"/>
      <c r="U1158" s="1213"/>
      <c r="V1158" s="1213"/>
    </row>
    <row r="1159" spans="1:22" ht="15" thickTop="1" thickBot="1" x14ac:dyDescent="0.3">
      <c r="A1159" s="1207"/>
      <c r="B1159" s="1212"/>
      <c r="C1159" s="1212"/>
      <c r="D1159" s="1212"/>
      <c r="E1159" s="1212"/>
      <c r="F1159" s="1208"/>
      <c r="G1159" s="1208"/>
      <c r="H1159" s="1208"/>
      <c r="I1159" s="1209"/>
      <c r="J1159" s="1209"/>
      <c r="K1159" s="1210">
        <f t="shared" si="226"/>
        <v>1.05</v>
      </c>
      <c r="L1159" s="1210">
        <f t="shared" si="227"/>
        <v>0</v>
      </c>
      <c r="M1159" s="1197">
        <f t="shared" si="228"/>
        <v>0</v>
      </c>
      <c r="N1159" s="1211">
        <f t="shared" si="229"/>
        <v>0</v>
      </c>
      <c r="O1159" s="1212"/>
      <c r="P1159" s="1200"/>
      <c r="Q1159" s="1200"/>
      <c r="R1159" s="1213"/>
      <c r="S1159" s="1213"/>
      <c r="T1159" s="1213"/>
      <c r="U1159" s="1213"/>
      <c r="V1159" s="1213"/>
    </row>
    <row r="1160" spans="1:22" ht="15" thickTop="1" thickBot="1" x14ac:dyDescent="0.3">
      <c r="A1160" s="1207"/>
      <c r="B1160" s="1212"/>
      <c r="C1160" s="1212"/>
      <c r="D1160" s="1212"/>
      <c r="E1160" s="1212"/>
      <c r="F1160" s="1208"/>
      <c r="G1160" s="1208"/>
      <c r="H1160" s="1208"/>
      <c r="I1160" s="1209"/>
      <c r="J1160" s="1209"/>
      <c r="K1160" s="1210">
        <f t="shared" si="226"/>
        <v>1.05</v>
      </c>
      <c r="L1160" s="1210">
        <f t="shared" si="227"/>
        <v>0</v>
      </c>
      <c r="M1160" s="1197">
        <f t="shared" si="228"/>
        <v>0</v>
      </c>
      <c r="N1160" s="1211">
        <f t="shared" si="229"/>
        <v>0</v>
      </c>
      <c r="O1160" s="1212"/>
      <c r="P1160" s="1200"/>
      <c r="Q1160" s="1200"/>
      <c r="R1160" s="1213"/>
      <c r="S1160" s="1213"/>
      <c r="T1160" s="1213"/>
      <c r="U1160" s="1213"/>
      <c r="V1160" s="1213"/>
    </row>
    <row r="1161" spans="1:22" ht="15" thickTop="1" thickBot="1" x14ac:dyDescent="0.3">
      <c r="A1161" s="1207"/>
      <c r="B1161" s="1212"/>
      <c r="C1161" s="1212"/>
      <c r="D1161" s="1212"/>
      <c r="E1161" s="1212"/>
      <c r="F1161" s="1208"/>
      <c r="G1161" s="1208"/>
      <c r="H1161" s="1208"/>
      <c r="I1161" s="1209"/>
      <c r="J1161" s="1209"/>
      <c r="K1161" s="1210">
        <f t="shared" si="226"/>
        <v>1.05</v>
      </c>
      <c r="L1161" s="1210">
        <f t="shared" si="227"/>
        <v>0</v>
      </c>
      <c r="M1161" s="1197">
        <f t="shared" si="228"/>
        <v>0</v>
      </c>
      <c r="N1161" s="1211">
        <f t="shared" si="229"/>
        <v>0</v>
      </c>
      <c r="O1161" s="1212"/>
      <c r="P1161" s="1200"/>
      <c r="Q1161" s="1200"/>
      <c r="R1161" s="1213"/>
      <c r="S1161" s="1213"/>
      <c r="T1161" s="1213"/>
      <c r="U1161" s="1213"/>
      <c r="V1161" s="1213"/>
    </row>
    <row r="1162" spans="1:22" ht="15" thickTop="1" thickBot="1" x14ac:dyDescent="0.3">
      <c r="A1162" s="1207"/>
      <c r="B1162" s="1212"/>
      <c r="C1162" s="1212"/>
      <c r="D1162" s="1212"/>
      <c r="E1162" s="1212"/>
      <c r="F1162" s="1208"/>
      <c r="G1162" s="1208"/>
      <c r="H1162" s="1208"/>
      <c r="I1162" s="1209"/>
      <c r="J1162" s="1209"/>
      <c r="K1162" s="1210">
        <f t="shared" si="226"/>
        <v>1.05</v>
      </c>
      <c r="L1162" s="1210">
        <f t="shared" si="227"/>
        <v>0</v>
      </c>
      <c r="M1162" s="1197">
        <f t="shared" si="228"/>
        <v>0</v>
      </c>
      <c r="N1162" s="1211">
        <f t="shared" si="229"/>
        <v>0</v>
      </c>
      <c r="O1162" s="1212"/>
      <c r="P1162" s="1200"/>
      <c r="Q1162" s="1200"/>
      <c r="R1162" s="1213"/>
      <c r="S1162" s="1213"/>
      <c r="T1162" s="1213"/>
      <c r="U1162" s="1213"/>
      <c r="V1162" s="1213"/>
    </row>
    <row r="1163" spans="1:22" ht="15" thickTop="1" thickBot="1" x14ac:dyDescent="0.3">
      <c r="A1163" s="1207"/>
      <c r="B1163" s="1212"/>
      <c r="C1163" s="1212"/>
      <c r="D1163" s="1212"/>
      <c r="E1163" s="1212"/>
      <c r="F1163" s="1208"/>
      <c r="G1163" s="1208"/>
      <c r="H1163" s="1208"/>
      <c r="I1163" s="1209"/>
      <c r="J1163" s="1209"/>
      <c r="K1163" s="1210">
        <f t="shared" ref="K1163:K1226" si="230">$K$2</f>
        <v>1.05</v>
      </c>
      <c r="L1163" s="1210">
        <f t="shared" si="227"/>
        <v>0</v>
      </c>
      <c r="M1163" s="1197">
        <f t="shared" si="228"/>
        <v>0</v>
      </c>
      <c r="N1163" s="1211">
        <f t="shared" si="229"/>
        <v>0</v>
      </c>
      <c r="O1163" s="1212"/>
      <c r="P1163" s="1200"/>
      <c r="Q1163" s="1200"/>
      <c r="R1163" s="1213"/>
      <c r="S1163" s="1213"/>
      <c r="T1163" s="1213"/>
      <c r="U1163" s="1213"/>
      <c r="V1163" s="1213"/>
    </row>
    <row r="1164" spans="1:22" ht="15" thickTop="1" thickBot="1" x14ac:dyDescent="0.3">
      <c r="A1164" s="1207"/>
      <c r="B1164" s="1212"/>
      <c r="C1164" s="1212"/>
      <c r="D1164" s="1212"/>
      <c r="E1164" s="1212"/>
      <c r="F1164" s="1208"/>
      <c r="G1164" s="1208"/>
      <c r="H1164" s="1208"/>
      <c r="I1164" s="1209"/>
      <c r="J1164" s="1209"/>
      <c r="K1164" s="1210">
        <f t="shared" si="230"/>
        <v>1.05</v>
      </c>
      <c r="L1164" s="1210">
        <f t="shared" si="227"/>
        <v>0</v>
      </c>
      <c r="M1164" s="1197">
        <f t="shared" si="228"/>
        <v>0</v>
      </c>
      <c r="N1164" s="1211">
        <f t="shared" si="229"/>
        <v>0</v>
      </c>
      <c r="O1164" s="1212"/>
      <c r="P1164" s="1200"/>
      <c r="Q1164" s="1200"/>
      <c r="R1164" s="1213"/>
      <c r="S1164" s="1213"/>
      <c r="T1164" s="1213"/>
      <c r="U1164" s="1213"/>
      <c r="V1164" s="1213"/>
    </row>
    <row r="1165" spans="1:22" ht="15" thickTop="1" thickBot="1" x14ac:dyDescent="0.3">
      <c r="A1165" s="1207"/>
      <c r="B1165" s="1212"/>
      <c r="C1165" s="1212"/>
      <c r="D1165" s="1212"/>
      <c r="E1165" s="1212"/>
      <c r="F1165" s="1208"/>
      <c r="G1165" s="1208"/>
      <c r="H1165" s="1208"/>
      <c r="I1165" s="1209"/>
      <c r="J1165" s="1209"/>
      <c r="K1165" s="1210">
        <f t="shared" si="230"/>
        <v>1.05</v>
      </c>
      <c r="L1165" s="1210">
        <f t="shared" si="227"/>
        <v>0</v>
      </c>
      <c r="M1165" s="1197">
        <f t="shared" si="228"/>
        <v>0</v>
      </c>
      <c r="N1165" s="1211">
        <f t="shared" si="229"/>
        <v>0</v>
      </c>
      <c r="O1165" s="1212"/>
      <c r="P1165" s="1200"/>
      <c r="Q1165" s="1200"/>
      <c r="R1165" s="1213"/>
      <c r="S1165" s="1213"/>
      <c r="T1165" s="1213"/>
      <c r="U1165" s="1213"/>
      <c r="V1165" s="1213"/>
    </row>
    <row r="1166" spans="1:22" ht="15" thickTop="1" thickBot="1" x14ac:dyDescent="0.3">
      <c r="A1166" s="1207"/>
      <c r="B1166" s="1212"/>
      <c r="C1166" s="1212"/>
      <c r="D1166" s="1212"/>
      <c r="E1166" s="1212"/>
      <c r="F1166" s="1208"/>
      <c r="G1166" s="1208"/>
      <c r="H1166" s="1208"/>
      <c r="I1166" s="1209"/>
      <c r="J1166" s="1209"/>
      <c r="K1166" s="1210">
        <f t="shared" si="230"/>
        <v>1.05</v>
      </c>
      <c r="L1166" s="1210">
        <f t="shared" si="227"/>
        <v>0</v>
      </c>
      <c r="M1166" s="1197">
        <f t="shared" si="228"/>
        <v>0</v>
      </c>
      <c r="N1166" s="1211">
        <f t="shared" si="229"/>
        <v>0</v>
      </c>
      <c r="O1166" s="1212"/>
      <c r="P1166" s="1200"/>
      <c r="Q1166" s="1200"/>
      <c r="R1166" s="1213"/>
      <c r="S1166" s="1213"/>
      <c r="T1166" s="1213"/>
      <c r="U1166" s="1213"/>
      <c r="V1166" s="1213"/>
    </row>
    <row r="1167" spans="1:22" ht="15" thickTop="1" thickBot="1" x14ac:dyDescent="0.3">
      <c r="A1167" s="1207"/>
      <c r="B1167" s="1212"/>
      <c r="C1167" s="1212"/>
      <c r="D1167" s="1212"/>
      <c r="E1167" s="1212"/>
      <c r="F1167" s="1208"/>
      <c r="G1167" s="1208"/>
      <c r="H1167" s="1208"/>
      <c r="I1167" s="1209"/>
      <c r="J1167" s="1209"/>
      <c r="K1167" s="1210">
        <f t="shared" si="230"/>
        <v>1.05</v>
      </c>
      <c r="L1167" s="1210">
        <f t="shared" si="227"/>
        <v>0</v>
      </c>
      <c r="M1167" s="1197">
        <f t="shared" si="228"/>
        <v>0</v>
      </c>
      <c r="N1167" s="1211">
        <f t="shared" si="229"/>
        <v>0</v>
      </c>
      <c r="O1167" s="1212"/>
      <c r="P1167" s="1200"/>
      <c r="Q1167" s="1200"/>
      <c r="R1167" s="1213"/>
      <c r="S1167" s="1213"/>
      <c r="T1167" s="1213"/>
      <c r="U1167" s="1213"/>
      <c r="V1167" s="1213"/>
    </row>
    <row r="1168" spans="1:22" ht="15" thickTop="1" thickBot="1" x14ac:dyDescent="0.3">
      <c r="A1168" s="1207"/>
      <c r="B1168" s="1212"/>
      <c r="C1168" s="1212"/>
      <c r="D1168" s="1212"/>
      <c r="E1168" s="1212"/>
      <c r="F1168" s="1208"/>
      <c r="G1168" s="1208"/>
      <c r="H1168" s="1208"/>
      <c r="I1168" s="1209"/>
      <c r="J1168" s="1209"/>
      <c r="K1168" s="1210">
        <f t="shared" si="230"/>
        <v>1.05</v>
      </c>
      <c r="L1168" s="1210">
        <f t="shared" si="227"/>
        <v>0</v>
      </c>
      <c r="M1168" s="1197">
        <f t="shared" si="228"/>
        <v>0</v>
      </c>
      <c r="N1168" s="1211">
        <f t="shared" si="229"/>
        <v>0</v>
      </c>
      <c r="O1168" s="1212"/>
      <c r="P1168" s="1200"/>
      <c r="Q1168" s="1200"/>
      <c r="R1168" s="1213"/>
      <c r="S1168" s="1213"/>
      <c r="T1168" s="1213"/>
      <c r="U1168" s="1213"/>
      <c r="V1168" s="1213"/>
    </row>
    <row r="1169" spans="1:22" ht="15" thickTop="1" thickBot="1" x14ac:dyDescent="0.3">
      <c r="A1169" s="1207"/>
      <c r="B1169" s="1212"/>
      <c r="C1169" s="1212"/>
      <c r="D1169" s="1212"/>
      <c r="E1169" s="1212"/>
      <c r="F1169" s="1208"/>
      <c r="G1169" s="1208"/>
      <c r="H1169" s="1208"/>
      <c r="I1169" s="1209"/>
      <c r="J1169" s="1209"/>
      <c r="K1169" s="1210">
        <f t="shared" si="230"/>
        <v>1.05</v>
      </c>
      <c r="L1169" s="1210">
        <f t="shared" si="227"/>
        <v>0</v>
      </c>
      <c r="M1169" s="1197">
        <f t="shared" si="228"/>
        <v>0</v>
      </c>
      <c r="N1169" s="1211">
        <f t="shared" si="229"/>
        <v>0</v>
      </c>
      <c r="O1169" s="1212"/>
      <c r="P1169" s="1200"/>
      <c r="Q1169" s="1200"/>
      <c r="R1169" s="1213"/>
      <c r="S1169" s="1213"/>
      <c r="T1169" s="1213"/>
      <c r="U1169" s="1213"/>
      <c r="V1169" s="1213"/>
    </row>
    <row r="1170" spans="1:22" ht="15" thickTop="1" thickBot="1" x14ac:dyDescent="0.3">
      <c r="A1170" s="1207"/>
      <c r="B1170" s="1212"/>
      <c r="C1170" s="1212"/>
      <c r="D1170" s="1212"/>
      <c r="E1170" s="1212"/>
      <c r="F1170" s="1208"/>
      <c r="G1170" s="1208"/>
      <c r="H1170" s="1208"/>
      <c r="I1170" s="1209"/>
      <c r="J1170" s="1209"/>
      <c r="K1170" s="1210">
        <f t="shared" si="230"/>
        <v>1.05</v>
      </c>
      <c r="L1170" s="1210">
        <f t="shared" si="227"/>
        <v>0</v>
      </c>
      <c r="M1170" s="1197">
        <f t="shared" si="228"/>
        <v>0</v>
      </c>
      <c r="N1170" s="1211">
        <f t="shared" si="229"/>
        <v>0</v>
      </c>
      <c r="O1170" s="1212"/>
      <c r="P1170" s="1200"/>
      <c r="Q1170" s="1200"/>
      <c r="R1170" s="1213"/>
      <c r="S1170" s="1213"/>
      <c r="T1170" s="1213"/>
      <c r="U1170" s="1213"/>
      <c r="V1170" s="1213"/>
    </row>
    <row r="1171" spans="1:22" ht="15" thickTop="1" thickBot="1" x14ac:dyDescent="0.3">
      <c r="A1171" s="1207"/>
      <c r="B1171" s="1212"/>
      <c r="C1171" s="1212"/>
      <c r="D1171" s="1212"/>
      <c r="E1171" s="1212"/>
      <c r="F1171" s="1208"/>
      <c r="G1171" s="1208"/>
      <c r="H1171" s="1208"/>
      <c r="I1171" s="1209"/>
      <c r="J1171" s="1209"/>
      <c r="K1171" s="1210">
        <f t="shared" si="230"/>
        <v>1.05</v>
      </c>
      <c r="L1171" s="1210">
        <f t="shared" si="227"/>
        <v>0</v>
      </c>
      <c r="M1171" s="1197">
        <f t="shared" si="228"/>
        <v>0</v>
      </c>
      <c r="N1171" s="1211">
        <f t="shared" si="229"/>
        <v>0</v>
      </c>
      <c r="O1171" s="1212"/>
      <c r="P1171" s="1200"/>
      <c r="Q1171" s="1200"/>
      <c r="R1171" s="1213"/>
      <c r="S1171" s="1213"/>
      <c r="T1171" s="1213"/>
      <c r="U1171" s="1213"/>
      <c r="V1171" s="1213"/>
    </row>
    <row r="1172" spans="1:22" ht="15" thickTop="1" thickBot="1" x14ac:dyDescent="0.3">
      <c r="A1172" s="1207"/>
      <c r="B1172" s="1212"/>
      <c r="C1172" s="1212"/>
      <c r="D1172" s="1212"/>
      <c r="E1172" s="1212"/>
      <c r="F1172" s="1208"/>
      <c r="G1172" s="1208"/>
      <c r="H1172" s="1208"/>
      <c r="I1172" s="1209"/>
      <c r="J1172" s="1209"/>
      <c r="K1172" s="1210">
        <f t="shared" si="230"/>
        <v>1.05</v>
      </c>
      <c r="L1172" s="1210">
        <f t="shared" si="227"/>
        <v>0</v>
      </c>
      <c r="M1172" s="1197">
        <f t="shared" si="228"/>
        <v>0</v>
      </c>
      <c r="N1172" s="1211">
        <f t="shared" si="229"/>
        <v>0</v>
      </c>
      <c r="O1172" s="1212"/>
      <c r="P1172" s="1200"/>
      <c r="Q1172" s="1200"/>
      <c r="R1172" s="1213"/>
      <c r="S1172" s="1213"/>
      <c r="T1172" s="1213"/>
      <c r="U1172" s="1213"/>
      <c r="V1172" s="1213"/>
    </row>
    <row r="1173" spans="1:22" ht="15" thickTop="1" thickBot="1" x14ac:dyDescent="0.3">
      <c r="A1173" s="1207"/>
      <c r="B1173" s="1212"/>
      <c r="C1173" s="1212"/>
      <c r="D1173" s="1212"/>
      <c r="E1173" s="1212"/>
      <c r="F1173" s="1208"/>
      <c r="G1173" s="1208"/>
      <c r="H1173" s="1208"/>
      <c r="I1173" s="1209"/>
      <c r="J1173" s="1209"/>
      <c r="K1173" s="1210">
        <f t="shared" si="230"/>
        <v>1.05</v>
      </c>
      <c r="L1173" s="1210">
        <f t="shared" si="227"/>
        <v>0</v>
      </c>
      <c r="M1173" s="1197">
        <f t="shared" si="228"/>
        <v>0</v>
      </c>
      <c r="N1173" s="1211">
        <f t="shared" si="229"/>
        <v>0</v>
      </c>
      <c r="O1173" s="1212"/>
      <c r="P1173" s="1200"/>
      <c r="Q1173" s="1200"/>
      <c r="R1173" s="1213"/>
      <c r="S1173" s="1213"/>
      <c r="T1173" s="1213"/>
      <c r="U1173" s="1213"/>
      <c r="V1173" s="1213"/>
    </row>
    <row r="1174" spans="1:22" ht="15" thickTop="1" thickBot="1" x14ac:dyDescent="0.3">
      <c r="A1174" s="1207"/>
      <c r="B1174" s="1212"/>
      <c r="C1174" s="1212"/>
      <c r="D1174" s="1212"/>
      <c r="E1174" s="1212"/>
      <c r="F1174" s="1208"/>
      <c r="G1174" s="1208"/>
      <c r="H1174" s="1208"/>
      <c r="I1174" s="1209"/>
      <c r="J1174" s="1209"/>
      <c r="K1174" s="1210">
        <f t="shared" si="230"/>
        <v>1.05</v>
      </c>
      <c r="L1174" s="1210">
        <f t="shared" si="227"/>
        <v>0</v>
      </c>
      <c r="M1174" s="1197">
        <f t="shared" si="228"/>
        <v>0</v>
      </c>
      <c r="N1174" s="1211">
        <f t="shared" si="229"/>
        <v>0</v>
      </c>
      <c r="O1174" s="1212"/>
      <c r="P1174" s="1200"/>
      <c r="Q1174" s="1200"/>
      <c r="R1174" s="1213"/>
      <c r="S1174" s="1213"/>
      <c r="T1174" s="1213"/>
      <c r="U1174" s="1213"/>
      <c r="V1174" s="1213"/>
    </row>
    <row r="1175" spans="1:22" ht="15" thickTop="1" thickBot="1" x14ac:dyDescent="0.3">
      <c r="A1175" s="1207"/>
      <c r="B1175" s="1212"/>
      <c r="C1175" s="1212"/>
      <c r="D1175" s="1212"/>
      <c r="E1175" s="1212"/>
      <c r="F1175" s="1208"/>
      <c r="G1175" s="1208"/>
      <c r="H1175" s="1208"/>
      <c r="I1175" s="1209"/>
      <c r="J1175" s="1209"/>
      <c r="K1175" s="1210">
        <f t="shared" si="230"/>
        <v>1.05</v>
      </c>
      <c r="L1175" s="1210">
        <f t="shared" si="227"/>
        <v>0</v>
      </c>
      <c r="M1175" s="1197">
        <f t="shared" si="228"/>
        <v>0</v>
      </c>
      <c r="N1175" s="1211">
        <f t="shared" si="229"/>
        <v>0</v>
      </c>
      <c r="O1175" s="1212"/>
      <c r="P1175" s="1200"/>
      <c r="Q1175" s="1200"/>
      <c r="R1175" s="1213"/>
      <c r="S1175" s="1213"/>
      <c r="T1175" s="1213"/>
      <c r="U1175" s="1213"/>
      <c r="V1175" s="1213"/>
    </row>
    <row r="1176" spans="1:22" ht="15" thickTop="1" thickBot="1" x14ac:dyDescent="0.3">
      <c r="A1176" s="1207"/>
      <c r="B1176" s="1212"/>
      <c r="C1176" s="1212"/>
      <c r="D1176" s="1212"/>
      <c r="E1176" s="1212"/>
      <c r="F1176" s="1208"/>
      <c r="G1176" s="1208"/>
      <c r="H1176" s="1208"/>
      <c r="I1176" s="1209"/>
      <c r="J1176" s="1209"/>
      <c r="K1176" s="1210">
        <f t="shared" si="230"/>
        <v>1.05</v>
      </c>
      <c r="L1176" s="1210">
        <f t="shared" si="227"/>
        <v>0</v>
      </c>
      <c r="M1176" s="1197">
        <f t="shared" si="228"/>
        <v>0</v>
      </c>
      <c r="N1176" s="1211">
        <f t="shared" si="229"/>
        <v>0</v>
      </c>
      <c r="O1176" s="1212"/>
      <c r="P1176" s="1200"/>
      <c r="Q1176" s="1200"/>
      <c r="R1176" s="1213"/>
      <c r="S1176" s="1213"/>
      <c r="T1176" s="1213"/>
      <c r="U1176" s="1213"/>
      <c r="V1176" s="1213"/>
    </row>
    <row r="1177" spans="1:22" ht="15" thickTop="1" thickBot="1" x14ac:dyDescent="0.3">
      <c r="A1177" s="1207"/>
      <c r="B1177" s="1212"/>
      <c r="C1177" s="1212"/>
      <c r="D1177" s="1212"/>
      <c r="E1177" s="1212"/>
      <c r="F1177" s="1208"/>
      <c r="G1177" s="1208"/>
      <c r="H1177" s="1208"/>
      <c r="I1177" s="1209"/>
      <c r="J1177" s="1209"/>
      <c r="K1177" s="1210">
        <f t="shared" si="230"/>
        <v>1.05</v>
      </c>
      <c r="L1177" s="1210">
        <f t="shared" si="227"/>
        <v>0</v>
      </c>
      <c r="M1177" s="1197">
        <f t="shared" si="228"/>
        <v>0</v>
      </c>
      <c r="N1177" s="1211">
        <f t="shared" si="229"/>
        <v>0</v>
      </c>
      <c r="O1177" s="1212"/>
      <c r="P1177" s="1200"/>
      <c r="Q1177" s="1200"/>
      <c r="R1177" s="1213"/>
      <c r="S1177" s="1213"/>
      <c r="T1177" s="1213"/>
      <c r="U1177" s="1213"/>
      <c r="V1177" s="1213"/>
    </row>
    <row r="1178" spans="1:22" ht="15" thickTop="1" thickBot="1" x14ac:dyDescent="0.3">
      <c r="A1178" s="1207"/>
      <c r="B1178" s="1212"/>
      <c r="C1178" s="1212"/>
      <c r="D1178" s="1212"/>
      <c r="E1178" s="1212"/>
      <c r="F1178" s="1208"/>
      <c r="G1178" s="1208"/>
      <c r="H1178" s="1208"/>
      <c r="I1178" s="1209"/>
      <c r="J1178" s="1209"/>
      <c r="K1178" s="1210">
        <f t="shared" si="230"/>
        <v>1.05</v>
      </c>
      <c r="L1178" s="1210">
        <f t="shared" si="227"/>
        <v>0</v>
      </c>
      <c r="M1178" s="1197">
        <f t="shared" si="228"/>
        <v>0</v>
      </c>
      <c r="N1178" s="1211">
        <f t="shared" si="229"/>
        <v>0</v>
      </c>
      <c r="O1178" s="1212"/>
      <c r="P1178" s="1200"/>
      <c r="Q1178" s="1200"/>
      <c r="R1178" s="1213"/>
      <c r="S1178" s="1213"/>
      <c r="T1178" s="1213"/>
      <c r="U1178" s="1213"/>
      <c r="V1178" s="1213"/>
    </row>
    <row r="1179" spans="1:22" ht="15" thickTop="1" thickBot="1" x14ac:dyDescent="0.3">
      <c r="A1179" s="1207"/>
      <c r="B1179" s="1212"/>
      <c r="C1179" s="1212"/>
      <c r="D1179" s="1212"/>
      <c r="E1179" s="1212"/>
      <c r="F1179" s="1208"/>
      <c r="G1179" s="1208"/>
      <c r="H1179" s="1208"/>
      <c r="I1179" s="1209"/>
      <c r="J1179" s="1209"/>
      <c r="K1179" s="1210">
        <f t="shared" si="230"/>
        <v>1.05</v>
      </c>
      <c r="L1179" s="1210">
        <f t="shared" si="227"/>
        <v>0</v>
      </c>
      <c r="M1179" s="1197">
        <f t="shared" si="228"/>
        <v>0</v>
      </c>
      <c r="N1179" s="1211">
        <f t="shared" si="229"/>
        <v>0</v>
      </c>
      <c r="O1179" s="1212"/>
      <c r="P1179" s="1200"/>
      <c r="Q1179" s="1200"/>
      <c r="R1179" s="1213"/>
      <c r="S1179" s="1213"/>
      <c r="T1179" s="1213"/>
      <c r="U1179" s="1213"/>
      <c r="V1179" s="1213"/>
    </row>
    <row r="1180" spans="1:22" ht="15" thickTop="1" thickBot="1" x14ac:dyDescent="0.3">
      <c r="A1180" s="1207"/>
      <c r="B1180" s="1212"/>
      <c r="C1180" s="1212"/>
      <c r="D1180" s="1212"/>
      <c r="E1180" s="1212"/>
      <c r="F1180" s="1208"/>
      <c r="G1180" s="1208"/>
      <c r="H1180" s="1208"/>
      <c r="I1180" s="1209"/>
      <c r="J1180" s="1209"/>
      <c r="K1180" s="1210">
        <f t="shared" si="230"/>
        <v>1.05</v>
      </c>
      <c r="L1180" s="1210">
        <f t="shared" si="227"/>
        <v>0</v>
      </c>
      <c r="M1180" s="1197">
        <f t="shared" si="228"/>
        <v>0</v>
      </c>
      <c r="N1180" s="1211">
        <f t="shared" si="229"/>
        <v>0</v>
      </c>
      <c r="O1180" s="1212"/>
      <c r="P1180" s="1200"/>
      <c r="Q1180" s="1200"/>
      <c r="R1180" s="1213"/>
      <c r="S1180" s="1213"/>
      <c r="T1180" s="1213"/>
      <c r="U1180" s="1213"/>
      <c r="V1180" s="1213"/>
    </row>
    <row r="1181" spans="1:22" ht="15" thickTop="1" thickBot="1" x14ac:dyDescent="0.3">
      <c r="A1181" s="1207"/>
      <c r="B1181" s="1212"/>
      <c r="C1181" s="1212"/>
      <c r="D1181" s="1212"/>
      <c r="E1181" s="1212"/>
      <c r="F1181" s="1208"/>
      <c r="G1181" s="1208"/>
      <c r="H1181" s="1208"/>
      <c r="I1181" s="1209"/>
      <c r="J1181" s="1209"/>
      <c r="K1181" s="1210">
        <f t="shared" si="230"/>
        <v>1.05</v>
      </c>
      <c r="L1181" s="1210">
        <f t="shared" si="227"/>
        <v>0</v>
      </c>
      <c r="M1181" s="1197">
        <f t="shared" si="228"/>
        <v>0</v>
      </c>
      <c r="N1181" s="1211">
        <f t="shared" si="229"/>
        <v>0</v>
      </c>
      <c r="O1181" s="1212"/>
      <c r="P1181" s="1200"/>
      <c r="Q1181" s="1200"/>
      <c r="R1181" s="1213"/>
      <c r="S1181" s="1213"/>
      <c r="T1181" s="1213"/>
      <c r="U1181" s="1213"/>
      <c r="V1181" s="1213"/>
    </row>
    <row r="1182" spans="1:22" ht="15" thickTop="1" thickBot="1" x14ac:dyDescent="0.3">
      <c r="A1182" s="1207"/>
      <c r="B1182" s="1212"/>
      <c r="C1182" s="1212"/>
      <c r="D1182" s="1212"/>
      <c r="E1182" s="1212"/>
      <c r="F1182" s="1208"/>
      <c r="G1182" s="1208"/>
      <c r="H1182" s="1208"/>
      <c r="I1182" s="1209"/>
      <c r="J1182" s="1209"/>
      <c r="K1182" s="1210">
        <f t="shared" si="230"/>
        <v>1.05</v>
      </c>
      <c r="L1182" s="1210">
        <f t="shared" si="227"/>
        <v>0</v>
      </c>
      <c r="M1182" s="1197">
        <f t="shared" si="228"/>
        <v>0</v>
      </c>
      <c r="N1182" s="1211">
        <f t="shared" si="229"/>
        <v>0</v>
      </c>
      <c r="O1182" s="1212"/>
      <c r="P1182" s="1200"/>
      <c r="Q1182" s="1200"/>
      <c r="R1182" s="1213"/>
      <c r="S1182" s="1213"/>
      <c r="T1182" s="1213"/>
      <c r="U1182" s="1213"/>
      <c r="V1182" s="1213"/>
    </row>
    <row r="1183" spans="1:22" ht="15" thickTop="1" thickBot="1" x14ac:dyDescent="0.3">
      <c r="A1183" s="1207"/>
      <c r="B1183" s="1212"/>
      <c r="C1183" s="1212"/>
      <c r="D1183" s="1212"/>
      <c r="E1183" s="1212"/>
      <c r="F1183" s="1208"/>
      <c r="G1183" s="1208"/>
      <c r="H1183" s="1208"/>
      <c r="I1183" s="1209"/>
      <c r="J1183" s="1209"/>
      <c r="K1183" s="1210">
        <f t="shared" si="230"/>
        <v>1.05</v>
      </c>
      <c r="L1183" s="1210">
        <f t="shared" si="227"/>
        <v>0</v>
      </c>
      <c r="M1183" s="1197">
        <f t="shared" si="228"/>
        <v>0</v>
      </c>
      <c r="N1183" s="1211">
        <f t="shared" si="229"/>
        <v>0</v>
      </c>
      <c r="O1183" s="1212"/>
      <c r="P1183" s="1200"/>
      <c r="Q1183" s="1200"/>
      <c r="R1183" s="1213"/>
      <c r="S1183" s="1213"/>
      <c r="T1183" s="1213"/>
      <c r="U1183" s="1213"/>
      <c r="V1183" s="1213"/>
    </row>
    <row r="1184" spans="1:22" ht="15" thickTop="1" thickBot="1" x14ac:dyDescent="0.3">
      <c r="A1184" s="1207"/>
      <c r="B1184" s="1212"/>
      <c r="C1184" s="1212"/>
      <c r="D1184" s="1212"/>
      <c r="E1184" s="1212"/>
      <c r="F1184" s="1208"/>
      <c r="G1184" s="1208"/>
      <c r="H1184" s="1208"/>
      <c r="I1184" s="1209"/>
      <c r="J1184" s="1209"/>
      <c r="K1184" s="1210">
        <f t="shared" si="230"/>
        <v>1.05</v>
      </c>
      <c r="L1184" s="1210">
        <f t="shared" si="227"/>
        <v>0</v>
      </c>
      <c r="M1184" s="1197">
        <f t="shared" si="228"/>
        <v>0</v>
      </c>
      <c r="N1184" s="1211">
        <f t="shared" si="229"/>
        <v>0</v>
      </c>
      <c r="O1184" s="1212"/>
      <c r="P1184" s="1200"/>
      <c r="Q1184" s="1200"/>
      <c r="R1184" s="1213"/>
      <c r="S1184" s="1213"/>
      <c r="T1184" s="1213"/>
      <c r="U1184" s="1213"/>
      <c r="V1184" s="1213"/>
    </row>
    <row r="1185" spans="1:22" ht="15" thickTop="1" thickBot="1" x14ac:dyDescent="0.3">
      <c r="A1185" s="1207"/>
      <c r="B1185" s="1212"/>
      <c r="C1185" s="1212"/>
      <c r="D1185" s="1212"/>
      <c r="E1185" s="1212"/>
      <c r="F1185" s="1208"/>
      <c r="G1185" s="1208"/>
      <c r="H1185" s="1208"/>
      <c r="I1185" s="1209"/>
      <c r="J1185" s="1209"/>
      <c r="K1185" s="1210">
        <f t="shared" si="230"/>
        <v>1.05</v>
      </c>
      <c r="L1185" s="1210">
        <f t="shared" si="227"/>
        <v>0</v>
      </c>
      <c r="M1185" s="1197">
        <f t="shared" si="228"/>
        <v>0</v>
      </c>
      <c r="N1185" s="1211">
        <f t="shared" si="229"/>
        <v>0</v>
      </c>
      <c r="O1185" s="1212"/>
      <c r="P1185" s="1200"/>
      <c r="Q1185" s="1200"/>
      <c r="R1185" s="1213"/>
      <c r="S1185" s="1213"/>
      <c r="T1185" s="1213"/>
      <c r="U1185" s="1213"/>
      <c r="V1185" s="1213"/>
    </row>
    <row r="1186" spans="1:22" ht="15" thickTop="1" thickBot="1" x14ac:dyDescent="0.3">
      <c r="A1186" s="1207"/>
      <c r="B1186" s="1212"/>
      <c r="C1186" s="1212"/>
      <c r="D1186" s="1212"/>
      <c r="E1186" s="1212"/>
      <c r="F1186" s="1208"/>
      <c r="G1186" s="1208"/>
      <c r="H1186" s="1208"/>
      <c r="I1186" s="1209"/>
      <c r="J1186" s="1209"/>
      <c r="K1186" s="1210">
        <f t="shared" si="230"/>
        <v>1.05</v>
      </c>
      <c r="L1186" s="1210">
        <f t="shared" si="227"/>
        <v>0</v>
      </c>
      <c r="M1186" s="1197">
        <f t="shared" si="228"/>
        <v>0</v>
      </c>
      <c r="N1186" s="1211">
        <f t="shared" si="229"/>
        <v>0</v>
      </c>
      <c r="O1186" s="1212"/>
      <c r="P1186" s="1200"/>
      <c r="Q1186" s="1200"/>
      <c r="R1186" s="1213"/>
      <c r="S1186" s="1213"/>
      <c r="T1186" s="1213"/>
      <c r="U1186" s="1213"/>
      <c r="V1186" s="1213"/>
    </row>
    <row r="1187" spans="1:22" ht="15" thickTop="1" thickBot="1" x14ac:dyDescent="0.3">
      <c r="A1187" s="1207"/>
      <c r="B1187" s="1212"/>
      <c r="C1187" s="1212"/>
      <c r="D1187" s="1212"/>
      <c r="E1187" s="1212"/>
      <c r="F1187" s="1208"/>
      <c r="G1187" s="1208"/>
      <c r="H1187" s="1208"/>
      <c r="I1187" s="1209"/>
      <c r="J1187" s="1209"/>
      <c r="K1187" s="1210">
        <f t="shared" si="230"/>
        <v>1.05</v>
      </c>
      <c r="L1187" s="1210">
        <f t="shared" si="227"/>
        <v>0</v>
      </c>
      <c r="M1187" s="1197">
        <f t="shared" si="228"/>
        <v>0</v>
      </c>
      <c r="N1187" s="1211">
        <f t="shared" si="229"/>
        <v>0</v>
      </c>
      <c r="O1187" s="1212"/>
      <c r="P1187" s="1200"/>
      <c r="Q1187" s="1200"/>
      <c r="R1187" s="1213"/>
      <c r="S1187" s="1213"/>
      <c r="T1187" s="1213"/>
      <c r="U1187" s="1213"/>
      <c r="V1187" s="1213"/>
    </row>
    <row r="1188" spans="1:22" ht="15" thickTop="1" thickBot="1" x14ac:dyDescent="0.3">
      <c r="A1188" s="1207"/>
      <c r="B1188" s="1212"/>
      <c r="C1188" s="1212"/>
      <c r="D1188" s="1212"/>
      <c r="E1188" s="1212"/>
      <c r="F1188" s="1208"/>
      <c r="G1188" s="1208"/>
      <c r="H1188" s="1208"/>
      <c r="I1188" s="1209"/>
      <c r="J1188" s="1209"/>
      <c r="K1188" s="1210">
        <f t="shared" si="230"/>
        <v>1.05</v>
      </c>
      <c r="L1188" s="1210">
        <f t="shared" si="227"/>
        <v>0</v>
      </c>
      <c r="M1188" s="1197">
        <f t="shared" si="228"/>
        <v>0</v>
      </c>
      <c r="N1188" s="1211">
        <f t="shared" si="229"/>
        <v>0</v>
      </c>
      <c r="O1188" s="1212"/>
      <c r="P1188" s="1200"/>
      <c r="Q1188" s="1200"/>
      <c r="R1188" s="1213"/>
      <c r="S1188" s="1213"/>
      <c r="T1188" s="1213"/>
      <c r="U1188" s="1213"/>
      <c r="V1188" s="1213"/>
    </row>
    <row r="1189" spans="1:22" ht="15" thickTop="1" thickBot="1" x14ac:dyDescent="0.3">
      <c r="A1189" s="1207"/>
      <c r="B1189" s="1212"/>
      <c r="C1189" s="1212"/>
      <c r="D1189" s="1212"/>
      <c r="E1189" s="1212"/>
      <c r="F1189" s="1208"/>
      <c r="G1189" s="1208"/>
      <c r="H1189" s="1208"/>
      <c r="I1189" s="1209"/>
      <c r="J1189" s="1209"/>
      <c r="K1189" s="1210">
        <f t="shared" si="230"/>
        <v>1.05</v>
      </c>
      <c r="L1189" s="1210">
        <f t="shared" si="227"/>
        <v>0</v>
      </c>
      <c r="M1189" s="1197">
        <f t="shared" si="228"/>
        <v>0</v>
      </c>
      <c r="N1189" s="1211">
        <f t="shared" si="229"/>
        <v>0</v>
      </c>
      <c r="O1189" s="1212"/>
      <c r="P1189" s="1200"/>
      <c r="Q1189" s="1200"/>
      <c r="R1189" s="1213"/>
      <c r="S1189" s="1213"/>
      <c r="T1189" s="1213"/>
      <c r="U1189" s="1213"/>
      <c r="V1189" s="1213"/>
    </row>
    <row r="1190" spans="1:22" ht="15" thickTop="1" thickBot="1" x14ac:dyDescent="0.3">
      <c r="A1190" s="1207"/>
      <c r="B1190" s="1212"/>
      <c r="C1190" s="1212"/>
      <c r="D1190" s="1212"/>
      <c r="E1190" s="1212"/>
      <c r="F1190" s="1208"/>
      <c r="G1190" s="1208"/>
      <c r="H1190" s="1208"/>
      <c r="I1190" s="1209"/>
      <c r="J1190" s="1209"/>
      <c r="K1190" s="1210">
        <f t="shared" si="230"/>
        <v>1.05</v>
      </c>
      <c r="L1190" s="1210">
        <f t="shared" si="227"/>
        <v>0</v>
      </c>
      <c r="M1190" s="1197">
        <f t="shared" si="228"/>
        <v>0</v>
      </c>
      <c r="N1190" s="1211">
        <f t="shared" si="229"/>
        <v>0</v>
      </c>
      <c r="O1190" s="1212"/>
      <c r="P1190" s="1200"/>
      <c r="Q1190" s="1200"/>
      <c r="R1190" s="1213"/>
      <c r="S1190" s="1213"/>
      <c r="T1190" s="1213"/>
      <c r="U1190" s="1213"/>
      <c r="V1190" s="1213"/>
    </row>
    <row r="1191" spans="1:22" ht="15" thickTop="1" thickBot="1" x14ac:dyDescent="0.3">
      <c r="A1191" s="1207"/>
      <c r="B1191" s="1212"/>
      <c r="C1191" s="1212"/>
      <c r="D1191" s="1212"/>
      <c r="E1191" s="1212"/>
      <c r="F1191" s="1208"/>
      <c r="G1191" s="1208"/>
      <c r="H1191" s="1208"/>
      <c r="I1191" s="1209"/>
      <c r="J1191" s="1209"/>
      <c r="K1191" s="1210">
        <f t="shared" si="230"/>
        <v>1.05</v>
      </c>
      <c r="L1191" s="1210">
        <f t="shared" si="227"/>
        <v>0</v>
      </c>
      <c r="M1191" s="1197">
        <f t="shared" si="228"/>
        <v>0</v>
      </c>
      <c r="N1191" s="1211">
        <f t="shared" si="229"/>
        <v>0</v>
      </c>
      <c r="O1191" s="1212"/>
      <c r="P1191" s="1200"/>
      <c r="Q1191" s="1200"/>
      <c r="R1191" s="1213"/>
      <c r="S1191" s="1213"/>
      <c r="T1191" s="1213"/>
      <c r="U1191" s="1213"/>
      <c r="V1191" s="1213"/>
    </row>
    <row r="1192" spans="1:22" ht="15" thickTop="1" thickBot="1" x14ac:dyDescent="0.3">
      <c r="A1192" s="1207"/>
      <c r="B1192" s="1212"/>
      <c r="C1192" s="1212"/>
      <c r="D1192" s="1212"/>
      <c r="E1192" s="1212"/>
      <c r="F1192" s="1208"/>
      <c r="G1192" s="1208"/>
      <c r="H1192" s="1208"/>
      <c r="I1192" s="1209"/>
      <c r="J1192" s="1209"/>
      <c r="K1192" s="1210">
        <f t="shared" si="230"/>
        <v>1.05</v>
      </c>
      <c r="L1192" s="1210">
        <f t="shared" si="227"/>
        <v>0</v>
      </c>
      <c r="M1192" s="1197">
        <f t="shared" si="228"/>
        <v>0</v>
      </c>
      <c r="N1192" s="1211">
        <f t="shared" si="229"/>
        <v>0</v>
      </c>
      <c r="O1192" s="1212"/>
      <c r="P1192" s="1200"/>
      <c r="Q1192" s="1200"/>
      <c r="R1192" s="1213"/>
      <c r="S1192" s="1213"/>
      <c r="T1192" s="1213"/>
      <c r="U1192" s="1213"/>
      <c r="V1192" s="1213"/>
    </row>
    <row r="1193" spans="1:22" ht="15" thickTop="1" thickBot="1" x14ac:dyDescent="0.3">
      <c r="A1193" s="1207"/>
      <c r="B1193" s="1212"/>
      <c r="C1193" s="1212"/>
      <c r="D1193" s="1212"/>
      <c r="E1193" s="1212"/>
      <c r="F1193" s="1208"/>
      <c r="G1193" s="1208"/>
      <c r="H1193" s="1208"/>
      <c r="I1193" s="1209"/>
      <c r="J1193" s="1209"/>
      <c r="K1193" s="1210">
        <f t="shared" si="230"/>
        <v>1.05</v>
      </c>
      <c r="L1193" s="1210">
        <f t="shared" si="227"/>
        <v>0</v>
      </c>
      <c r="M1193" s="1197">
        <f t="shared" si="228"/>
        <v>0</v>
      </c>
      <c r="N1193" s="1211">
        <f t="shared" si="229"/>
        <v>0</v>
      </c>
      <c r="O1193" s="1212"/>
      <c r="P1193" s="1200"/>
      <c r="Q1193" s="1200"/>
      <c r="R1193" s="1213"/>
      <c r="S1193" s="1213"/>
      <c r="T1193" s="1213"/>
      <c r="U1193" s="1213"/>
      <c r="V1193" s="1213"/>
    </row>
    <row r="1194" spans="1:22" ht="15" thickTop="1" thickBot="1" x14ac:dyDescent="0.3">
      <c r="A1194" s="1207"/>
      <c r="B1194" s="1212"/>
      <c r="C1194" s="1212"/>
      <c r="D1194" s="1212"/>
      <c r="E1194" s="1212"/>
      <c r="F1194" s="1208"/>
      <c r="G1194" s="1208"/>
      <c r="H1194" s="1208"/>
      <c r="I1194" s="1209"/>
      <c r="J1194" s="1209"/>
      <c r="K1194" s="1210">
        <f t="shared" si="230"/>
        <v>1.05</v>
      </c>
      <c r="L1194" s="1210">
        <f t="shared" ref="L1194:L1257" si="231">K1194*J1194</f>
        <v>0</v>
      </c>
      <c r="M1194" s="1197">
        <f t="shared" ref="M1194:M1257" si="232">ROUND(L1194,1)</f>
        <v>0</v>
      </c>
      <c r="N1194" s="1211">
        <f t="shared" ref="N1194:N1257" si="233">ROUNDUP(M1194,0)</f>
        <v>0</v>
      </c>
      <c r="O1194" s="1212"/>
      <c r="P1194" s="1200"/>
      <c r="Q1194" s="1200"/>
      <c r="R1194" s="1213"/>
      <c r="S1194" s="1213"/>
      <c r="T1194" s="1213"/>
      <c r="U1194" s="1213"/>
      <c r="V1194" s="1213"/>
    </row>
    <row r="1195" spans="1:22" ht="15" thickTop="1" thickBot="1" x14ac:dyDescent="0.3">
      <c r="A1195" s="1207"/>
      <c r="B1195" s="1212"/>
      <c r="C1195" s="1212"/>
      <c r="D1195" s="1212"/>
      <c r="E1195" s="1212"/>
      <c r="F1195" s="1208"/>
      <c r="G1195" s="1208"/>
      <c r="H1195" s="1208"/>
      <c r="I1195" s="1209"/>
      <c r="J1195" s="1209"/>
      <c r="K1195" s="1210">
        <f t="shared" si="230"/>
        <v>1.05</v>
      </c>
      <c r="L1195" s="1210">
        <f t="shared" si="231"/>
        <v>0</v>
      </c>
      <c r="M1195" s="1197">
        <f t="shared" si="232"/>
        <v>0</v>
      </c>
      <c r="N1195" s="1211">
        <f t="shared" si="233"/>
        <v>0</v>
      </c>
      <c r="O1195" s="1212"/>
      <c r="P1195" s="1200"/>
      <c r="Q1195" s="1200"/>
      <c r="R1195" s="1213"/>
      <c r="S1195" s="1213"/>
      <c r="T1195" s="1213"/>
      <c r="U1195" s="1213"/>
      <c r="V1195" s="1213"/>
    </row>
    <row r="1196" spans="1:22" ht="15" thickTop="1" thickBot="1" x14ac:dyDescent="0.3">
      <c r="A1196" s="1987"/>
      <c r="B1196" s="1988"/>
      <c r="C1196" s="1988"/>
      <c r="D1196" s="1988"/>
      <c r="E1196" s="1988"/>
      <c r="F1196" s="1989"/>
      <c r="G1196" s="1989"/>
      <c r="H1196" s="1989"/>
      <c r="I1196" s="1990"/>
      <c r="J1196" s="1209"/>
      <c r="K1196" s="1210">
        <f t="shared" si="230"/>
        <v>1.05</v>
      </c>
      <c r="L1196" s="1210">
        <f t="shared" si="231"/>
        <v>0</v>
      </c>
      <c r="M1196" s="1197">
        <f t="shared" si="232"/>
        <v>0</v>
      </c>
      <c r="N1196" s="1211">
        <f t="shared" si="233"/>
        <v>0</v>
      </c>
      <c r="O1196" s="1212"/>
      <c r="P1196" s="1200"/>
      <c r="Q1196" s="1200"/>
      <c r="R1196" s="1213"/>
      <c r="S1196" s="1213"/>
      <c r="T1196" s="1213"/>
      <c r="U1196" s="1213"/>
      <c r="V1196" s="1213"/>
    </row>
    <row r="1197" spans="1:22" ht="15" thickTop="1" thickBot="1" x14ac:dyDescent="0.3">
      <c r="A1197" s="1987"/>
      <c r="B1197" s="1988"/>
      <c r="C1197" s="1988"/>
      <c r="D1197" s="1988"/>
      <c r="E1197" s="1988"/>
      <c r="F1197" s="1989"/>
      <c r="G1197" s="1989"/>
      <c r="H1197" s="1989"/>
      <c r="I1197" s="1990"/>
      <c r="J1197" s="1209"/>
      <c r="K1197" s="1210">
        <f t="shared" si="230"/>
        <v>1.05</v>
      </c>
      <c r="L1197" s="1210">
        <f t="shared" si="231"/>
        <v>0</v>
      </c>
      <c r="M1197" s="1197">
        <f t="shared" si="232"/>
        <v>0</v>
      </c>
      <c r="N1197" s="1211">
        <f t="shared" si="233"/>
        <v>0</v>
      </c>
      <c r="O1197" s="1212"/>
      <c r="P1197" s="1200"/>
      <c r="Q1197" s="1200"/>
      <c r="R1197" s="1213"/>
      <c r="S1197" s="1213"/>
      <c r="T1197" s="1213"/>
      <c r="U1197" s="1213"/>
      <c r="V1197" s="1213"/>
    </row>
    <row r="1198" spans="1:22" s="1986" customFormat="1" ht="15" thickTop="1" thickBot="1" x14ac:dyDescent="0.3">
      <c r="A1198" s="1987"/>
      <c r="B1198" s="1988"/>
      <c r="C1198" s="1988"/>
      <c r="D1198" s="1988"/>
      <c r="E1198" s="1988"/>
      <c r="F1198" s="1989"/>
      <c r="G1198" s="1989"/>
      <c r="H1198" s="1989"/>
      <c r="I1198" s="1990"/>
      <c r="J1198" s="1209"/>
      <c r="K1198" s="1210">
        <f t="shared" si="230"/>
        <v>1.05</v>
      </c>
      <c r="L1198" s="1210">
        <f t="shared" si="231"/>
        <v>0</v>
      </c>
      <c r="M1198" s="1197">
        <f t="shared" si="232"/>
        <v>0</v>
      </c>
      <c r="N1198" s="1211">
        <f t="shared" si="233"/>
        <v>0</v>
      </c>
      <c r="O1198" s="1983"/>
      <c r="P1198" s="1984"/>
      <c r="Q1198" s="1984"/>
      <c r="R1198" s="1985"/>
      <c r="S1198" s="1985"/>
      <c r="T1198" s="1985"/>
      <c r="U1198" s="1985"/>
      <c r="V1198" s="1985"/>
    </row>
    <row r="1199" spans="1:22" ht="15" thickTop="1" thickBot="1" x14ac:dyDescent="0.3">
      <c r="A1199" s="1987"/>
      <c r="B1199" s="1988"/>
      <c r="C1199" s="1988"/>
      <c r="D1199" s="1988"/>
      <c r="E1199" s="1988"/>
      <c r="F1199" s="1989"/>
      <c r="G1199" s="1989"/>
      <c r="H1199" s="1989"/>
      <c r="I1199" s="1990"/>
      <c r="J1199" s="1209"/>
      <c r="K1199" s="1210">
        <f t="shared" si="230"/>
        <v>1.05</v>
      </c>
      <c r="L1199" s="1210">
        <f t="shared" si="231"/>
        <v>0</v>
      </c>
      <c r="M1199" s="1197">
        <f t="shared" si="232"/>
        <v>0</v>
      </c>
      <c r="N1199" s="1211">
        <f t="shared" si="233"/>
        <v>0</v>
      </c>
      <c r="O1199" s="1212"/>
      <c r="P1199" s="1200"/>
      <c r="Q1199" s="1200"/>
      <c r="R1199" s="1213"/>
      <c r="S1199" s="1213"/>
      <c r="T1199" s="1213"/>
      <c r="U1199" s="1213"/>
      <c r="V1199" s="1213"/>
    </row>
    <row r="1200" spans="1:22" ht="15" thickTop="1" thickBot="1" x14ac:dyDescent="0.3">
      <c r="A1200" s="1987"/>
      <c r="B1200" s="1988"/>
      <c r="C1200" s="1988"/>
      <c r="D1200" s="1988"/>
      <c r="E1200" s="1988"/>
      <c r="F1200" s="1989"/>
      <c r="G1200" s="1989"/>
      <c r="H1200" s="1989"/>
      <c r="I1200" s="1990"/>
      <c r="J1200" s="1209"/>
      <c r="K1200" s="1210">
        <f t="shared" si="230"/>
        <v>1.05</v>
      </c>
      <c r="L1200" s="1210">
        <f t="shared" si="231"/>
        <v>0</v>
      </c>
      <c r="M1200" s="1197">
        <f t="shared" si="232"/>
        <v>0</v>
      </c>
      <c r="N1200" s="1211">
        <f t="shared" si="233"/>
        <v>0</v>
      </c>
      <c r="O1200" s="1212"/>
      <c r="P1200" s="1200"/>
      <c r="Q1200" s="1200"/>
      <c r="R1200" s="1213"/>
      <c r="S1200" s="1213"/>
      <c r="T1200" s="1213"/>
      <c r="U1200" s="1213"/>
      <c r="V1200" s="1213"/>
    </row>
    <row r="1201" spans="1:22" ht="15" thickTop="1" thickBot="1" x14ac:dyDescent="0.3">
      <c r="A1201" s="1987"/>
      <c r="B1201" s="1988"/>
      <c r="C1201" s="1988"/>
      <c r="D1201" s="1988"/>
      <c r="E1201" s="1988"/>
      <c r="F1201" s="1989"/>
      <c r="G1201" s="1989"/>
      <c r="H1201" s="1989"/>
      <c r="I1201" s="1990"/>
      <c r="J1201" s="1209"/>
      <c r="K1201" s="1210">
        <f t="shared" si="230"/>
        <v>1.05</v>
      </c>
      <c r="L1201" s="1210">
        <f t="shared" si="231"/>
        <v>0</v>
      </c>
      <c r="M1201" s="1197">
        <f t="shared" si="232"/>
        <v>0</v>
      </c>
      <c r="N1201" s="1211">
        <f t="shared" si="233"/>
        <v>0</v>
      </c>
      <c r="O1201" s="1212"/>
      <c r="P1201" s="1200"/>
      <c r="Q1201" s="1200"/>
      <c r="R1201" s="1213"/>
      <c r="S1201" s="1213"/>
      <c r="T1201" s="1213"/>
      <c r="U1201" s="1213"/>
      <c r="V1201" s="1213"/>
    </row>
    <row r="1202" spans="1:22" ht="15" thickTop="1" thickBot="1" x14ac:dyDescent="0.3">
      <c r="A1202" s="1987"/>
      <c r="B1202" s="1988"/>
      <c r="C1202" s="1988"/>
      <c r="D1202" s="1988"/>
      <c r="E1202" s="1988"/>
      <c r="F1202" s="1989"/>
      <c r="G1202" s="1989"/>
      <c r="H1202" s="1989"/>
      <c r="I1202" s="1990"/>
      <c r="J1202" s="1209"/>
      <c r="K1202" s="1210">
        <f t="shared" si="230"/>
        <v>1.05</v>
      </c>
      <c r="L1202" s="1210">
        <f t="shared" si="231"/>
        <v>0</v>
      </c>
      <c r="M1202" s="1197">
        <f t="shared" si="232"/>
        <v>0</v>
      </c>
      <c r="N1202" s="1211">
        <f t="shared" si="233"/>
        <v>0</v>
      </c>
      <c r="O1202" s="1212"/>
      <c r="P1202" s="1200"/>
      <c r="Q1202" s="1200"/>
      <c r="R1202" s="1213"/>
      <c r="S1202" s="1213"/>
      <c r="T1202" s="1213"/>
      <c r="U1202" s="1213"/>
      <c r="V1202" s="1213"/>
    </row>
    <row r="1203" spans="1:22" ht="15" thickTop="1" thickBot="1" x14ac:dyDescent="0.3">
      <c r="A1203" s="1987"/>
      <c r="B1203" s="1988"/>
      <c r="C1203" s="1988"/>
      <c r="D1203" s="1988"/>
      <c r="E1203" s="1988"/>
      <c r="F1203" s="1989"/>
      <c r="G1203" s="1989"/>
      <c r="H1203" s="1989"/>
      <c r="I1203" s="1990"/>
      <c r="J1203" s="1209"/>
      <c r="K1203" s="1210">
        <f t="shared" si="230"/>
        <v>1.05</v>
      </c>
      <c r="L1203" s="1210">
        <f t="shared" si="231"/>
        <v>0</v>
      </c>
      <c r="M1203" s="1197">
        <f t="shared" si="232"/>
        <v>0</v>
      </c>
      <c r="N1203" s="1211">
        <f t="shared" si="233"/>
        <v>0</v>
      </c>
      <c r="O1203" s="1212"/>
      <c r="P1203" s="1200"/>
      <c r="Q1203" s="1200"/>
      <c r="R1203" s="1213"/>
      <c r="S1203" s="1213"/>
      <c r="T1203" s="1213"/>
      <c r="U1203" s="1213"/>
      <c r="V1203" s="1213"/>
    </row>
    <row r="1204" spans="1:22" ht="15" thickTop="1" thickBot="1" x14ac:dyDescent="0.3">
      <c r="A1204" s="1987"/>
      <c r="B1204" s="1988"/>
      <c r="C1204" s="1988"/>
      <c r="D1204" s="1988"/>
      <c r="E1204" s="1988"/>
      <c r="F1204" s="1989"/>
      <c r="G1204" s="1989"/>
      <c r="H1204" s="1989"/>
      <c r="I1204" s="1990"/>
      <c r="J1204" s="1209"/>
      <c r="K1204" s="1210">
        <f t="shared" si="230"/>
        <v>1.05</v>
      </c>
      <c r="L1204" s="1210">
        <f t="shared" si="231"/>
        <v>0</v>
      </c>
      <c r="M1204" s="1197">
        <f t="shared" si="232"/>
        <v>0</v>
      </c>
      <c r="N1204" s="1211">
        <f t="shared" si="233"/>
        <v>0</v>
      </c>
      <c r="O1204" s="1212"/>
      <c r="P1204" s="1200"/>
      <c r="Q1204" s="1200"/>
      <c r="R1204" s="1213"/>
      <c r="S1204" s="1213"/>
      <c r="T1204" s="1213"/>
      <c r="U1204" s="1213"/>
      <c r="V1204" s="1213"/>
    </row>
    <row r="1205" spans="1:22" ht="15" thickTop="1" thickBot="1" x14ac:dyDescent="0.3">
      <c r="A1205" s="1987"/>
      <c r="B1205" s="1988"/>
      <c r="C1205" s="1988"/>
      <c r="D1205" s="1988"/>
      <c r="E1205" s="1988"/>
      <c r="F1205" s="1989"/>
      <c r="G1205" s="1989"/>
      <c r="H1205" s="1989"/>
      <c r="I1205" s="1990"/>
      <c r="J1205" s="1209"/>
      <c r="K1205" s="1210">
        <f t="shared" si="230"/>
        <v>1.05</v>
      </c>
      <c r="L1205" s="1210">
        <f t="shared" si="231"/>
        <v>0</v>
      </c>
      <c r="M1205" s="1197">
        <f t="shared" si="232"/>
        <v>0</v>
      </c>
      <c r="N1205" s="1211">
        <f t="shared" si="233"/>
        <v>0</v>
      </c>
      <c r="O1205" s="1212"/>
      <c r="P1205" s="1200"/>
      <c r="Q1205" s="1200"/>
      <c r="R1205" s="1213"/>
      <c r="S1205" s="1213"/>
      <c r="T1205" s="1213"/>
      <c r="U1205" s="1213"/>
      <c r="V1205" s="1213"/>
    </row>
    <row r="1206" spans="1:22" ht="15" thickTop="1" thickBot="1" x14ac:dyDescent="0.3">
      <c r="A1206" s="1987"/>
      <c r="B1206" s="1988"/>
      <c r="C1206" s="1988"/>
      <c r="D1206" s="1988"/>
      <c r="E1206" s="1988"/>
      <c r="F1206" s="1989"/>
      <c r="G1206" s="1989"/>
      <c r="H1206" s="1989"/>
      <c r="I1206" s="1990"/>
      <c r="J1206" s="1209"/>
      <c r="K1206" s="1210">
        <f t="shared" si="230"/>
        <v>1.05</v>
      </c>
      <c r="L1206" s="1210">
        <f t="shared" si="231"/>
        <v>0</v>
      </c>
      <c r="M1206" s="1197">
        <f t="shared" si="232"/>
        <v>0</v>
      </c>
      <c r="N1206" s="1211">
        <f t="shared" si="233"/>
        <v>0</v>
      </c>
      <c r="O1206" s="1212"/>
      <c r="P1206" s="1200"/>
      <c r="Q1206" s="1200"/>
      <c r="R1206" s="1213"/>
      <c r="S1206" s="1213"/>
      <c r="T1206" s="1213"/>
      <c r="U1206" s="1213"/>
      <c r="V1206" s="1213"/>
    </row>
    <row r="1207" spans="1:22" ht="15" thickTop="1" thickBot="1" x14ac:dyDescent="0.3">
      <c r="A1207" s="1987"/>
      <c r="B1207" s="1988"/>
      <c r="C1207" s="1988"/>
      <c r="D1207" s="1988"/>
      <c r="E1207" s="1988"/>
      <c r="F1207" s="1989"/>
      <c r="G1207" s="1989"/>
      <c r="H1207" s="1989"/>
      <c r="I1207" s="1990"/>
      <c r="J1207" s="1209"/>
      <c r="K1207" s="1210">
        <f t="shared" si="230"/>
        <v>1.05</v>
      </c>
      <c r="L1207" s="1210">
        <f t="shared" si="231"/>
        <v>0</v>
      </c>
      <c r="M1207" s="1197">
        <f t="shared" si="232"/>
        <v>0</v>
      </c>
      <c r="N1207" s="1211">
        <f t="shared" si="233"/>
        <v>0</v>
      </c>
      <c r="O1207" s="1212"/>
      <c r="P1207" s="1200"/>
      <c r="Q1207" s="1200"/>
      <c r="R1207" s="1213"/>
      <c r="S1207" s="1213"/>
      <c r="T1207" s="1213"/>
      <c r="U1207" s="1213"/>
      <c r="V1207" s="1213"/>
    </row>
    <row r="1208" spans="1:22" ht="15" thickTop="1" thickBot="1" x14ac:dyDescent="0.3">
      <c r="A1208" s="1987"/>
      <c r="B1208" s="1988"/>
      <c r="C1208" s="1988"/>
      <c r="D1208" s="1988"/>
      <c r="E1208" s="1988"/>
      <c r="F1208" s="1989"/>
      <c r="G1208" s="1989"/>
      <c r="H1208" s="1989"/>
      <c r="I1208" s="1990"/>
      <c r="J1208" s="1209"/>
      <c r="K1208" s="1210">
        <f t="shared" si="230"/>
        <v>1.05</v>
      </c>
      <c r="L1208" s="1210">
        <f t="shared" si="231"/>
        <v>0</v>
      </c>
      <c r="M1208" s="1197">
        <f t="shared" si="232"/>
        <v>0</v>
      </c>
      <c r="N1208" s="1211">
        <f t="shared" si="233"/>
        <v>0</v>
      </c>
      <c r="O1208" s="1212"/>
      <c r="P1208" s="1200"/>
      <c r="Q1208" s="1200"/>
      <c r="R1208" s="1213"/>
      <c r="S1208" s="1213"/>
      <c r="T1208" s="1213"/>
      <c r="U1208" s="1213"/>
      <c r="V1208" s="1213"/>
    </row>
    <row r="1209" spans="1:22" ht="15" thickTop="1" thickBot="1" x14ac:dyDescent="0.3">
      <c r="A1209" s="1987"/>
      <c r="B1209" s="1988"/>
      <c r="C1209" s="1988"/>
      <c r="D1209" s="1988"/>
      <c r="E1209" s="1988"/>
      <c r="F1209" s="1989"/>
      <c r="G1209" s="1989"/>
      <c r="H1209" s="1989"/>
      <c r="I1209" s="1990"/>
      <c r="J1209" s="1209"/>
      <c r="K1209" s="1210">
        <f t="shared" si="230"/>
        <v>1.05</v>
      </c>
      <c r="L1209" s="1210">
        <f t="shared" si="231"/>
        <v>0</v>
      </c>
      <c r="M1209" s="1197">
        <f t="shared" si="232"/>
        <v>0</v>
      </c>
      <c r="N1209" s="1211">
        <f t="shared" si="233"/>
        <v>0</v>
      </c>
      <c r="O1209" s="1212"/>
      <c r="P1209" s="1200"/>
      <c r="Q1209" s="1200"/>
      <c r="R1209" s="1213"/>
      <c r="S1209" s="1213"/>
      <c r="T1209" s="1213"/>
      <c r="U1209" s="1213"/>
      <c r="V1209" s="1213"/>
    </row>
    <row r="1210" spans="1:22" ht="15" thickTop="1" thickBot="1" x14ac:dyDescent="0.3">
      <c r="A1210" s="1987"/>
      <c r="B1210" s="1988"/>
      <c r="C1210" s="1988"/>
      <c r="D1210" s="1988"/>
      <c r="E1210" s="1988"/>
      <c r="F1210" s="1989"/>
      <c r="G1210" s="1989"/>
      <c r="H1210" s="1989"/>
      <c r="I1210" s="1990"/>
      <c r="J1210" s="1209"/>
      <c r="K1210" s="1210">
        <f t="shared" si="230"/>
        <v>1.05</v>
      </c>
      <c r="L1210" s="1210">
        <f t="shared" si="231"/>
        <v>0</v>
      </c>
      <c r="M1210" s="1197">
        <f t="shared" si="232"/>
        <v>0</v>
      </c>
      <c r="N1210" s="1211">
        <f t="shared" si="233"/>
        <v>0</v>
      </c>
      <c r="O1210" s="1212"/>
      <c r="P1210" s="1200"/>
      <c r="Q1210" s="1200"/>
      <c r="R1210" s="1213"/>
      <c r="S1210" s="1213"/>
      <c r="T1210" s="1213"/>
      <c r="U1210" s="1213"/>
      <c r="V1210" s="1213"/>
    </row>
    <row r="1211" spans="1:22" ht="15" thickTop="1" thickBot="1" x14ac:dyDescent="0.3">
      <c r="A1211" s="1207"/>
      <c r="B1211" s="1212"/>
      <c r="C1211" s="1212"/>
      <c r="D1211" s="1212"/>
      <c r="E1211" s="1212"/>
      <c r="F1211" s="1208"/>
      <c r="G1211" s="1208"/>
      <c r="H1211" s="1208"/>
      <c r="I1211" s="1209"/>
      <c r="J1211" s="1209"/>
      <c r="K1211" s="1210">
        <f t="shared" si="230"/>
        <v>1.05</v>
      </c>
      <c r="L1211" s="1210">
        <f t="shared" si="231"/>
        <v>0</v>
      </c>
      <c r="M1211" s="1197">
        <f t="shared" si="232"/>
        <v>0</v>
      </c>
      <c r="N1211" s="1211">
        <f t="shared" si="233"/>
        <v>0</v>
      </c>
      <c r="O1211" s="1212"/>
      <c r="P1211" s="1200"/>
      <c r="Q1211" s="1200"/>
      <c r="R1211" s="1213"/>
      <c r="S1211" s="1213"/>
      <c r="T1211" s="1213"/>
      <c r="U1211" s="1213"/>
      <c r="V1211" s="1213"/>
    </row>
    <row r="1212" spans="1:22" ht="15" thickTop="1" thickBot="1" x14ac:dyDescent="0.3">
      <c r="A1212" s="1207"/>
      <c r="B1212" s="1212"/>
      <c r="C1212" s="1212"/>
      <c r="D1212" s="1212"/>
      <c r="E1212" s="1212"/>
      <c r="F1212" s="1208"/>
      <c r="G1212" s="1208"/>
      <c r="H1212" s="1208"/>
      <c r="I1212" s="1209"/>
      <c r="J1212" s="1209"/>
      <c r="K1212" s="1210">
        <f t="shared" si="230"/>
        <v>1.05</v>
      </c>
      <c r="L1212" s="1210">
        <f t="shared" si="231"/>
        <v>0</v>
      </c>
      <c r="M1212" s="1197">
        <f t="shared" si="232"/>
        <v>0</v>
      </c>
      <c r="N1212" s="1211">
        <f t="shared" si="233"/>
        <v>0</v>
      </c>
      <c r="O1212" s="1212"/>
      <c r="P1212" s="1200"/>
      <c r="Q1212" s="1200"/>
      <c r="R1212" s="1213"/>
      <c r="S1212" s="1213"/>
      <c r="T1212" s="1213"/>
      <c r="U1212" s="1213"/>
      <c r="V1212" s="1213"/>
    </row>
    <row r="1213" spans="1:22" ht="15" thickTop="1" thickBot="1" x14ac:dyDescent="0.3">
      <c r="A1213" s="1207"/>
      <c r="B1213" s="1988"/>
      <c r="C1213" s="1988"/>
      <c r="D1213" s="1988"/>
      <c r="E1213" s="1988"/>
      <c r="F1213" s="1989"/>
      <c r="G1213" s="1208"/>
      <c r="H1213" s="1208"/>
      <c r="I1213" s="1209"/>
      <c r="J1213" s="1209"/>
      <c r="K1213" s="1210">
        <f t="shared" si="230"/>
        <v>1.05</v>
      </c>
      <c r="L1213" s="1210">
        <f t="shared" si="231"/>
        <v>0</v>
      </c>
      <c r="M1213" s="1197">
        <f t="shared" si="232"/>
        <v>0</v>
      </c>
      <c r="N1213" s="1211">
        <f t="shared" si="233"/>
        <v>0</v>
      </c>
      <c r="O1213" s="1212"/>
      <c r="P1213" s="1200"/>
      <c r="Q1213" s="1200"/>
      <c r="R1213" s="1213"/>
      <c r="S1213" s="1213"/>
      <c r="T1213" s="1213"/>
      <c r="U1213" s="1213"/>
      <c r="V1213" s="1213"/>
    </row>
    <row r="1214" spans="1:22" ht="15" thickTop="1" thickBot="1" x14ac:dyDescent="0.3">
      <c r="A1214" s="1207"/>
      <c r="B1214" s="1988"/>
      <c r="C1214" s="1988"/>
      <c r="D1214" s="1988"/>
      <c r="E1214" s="1988"/>
      <c r="F1214" s="1989"/>
      <c r="G1214" s="1208"/>
      <c r="H1214" s="1208"/>
      <c r="I1214" s="1209"/>
      <c r="J1214" s="1209"/>
      <c r="K1214" s="1210">
        <f t="shared" si="230"/>
        <v>1.05</v>
      </c>
      <c r="L1214" s="1210">
        <f t="shared" si="231"/>
        <v>0</v>
      </c>
      <c r="M1214" s="1197">
        <f t="shared" si="232"/>
        <v>0</v>
      </c>
      <c r="N1214" s="1211">
        <f t="shared" si="233"/>
        <v>0</v>
      </c>
      <c r="O1214" s="1212"/>
      <c r="P1214" s="1200"/>
      <c r="Q1214" s="1200"/>
      <c r="R1214" s="1213"/>
      <c r="S1214" s="1213"/>
      <c r="T1214" s="1213"/>
      <c r="U1214" s="1213"/>
      <c r="V1214" s="1213"/>
    </row>
    <row r="1215" spans="1:22" ht="15" thickTop="1" thickBot="1" x14ac:dyDescent="0.3">
      <c r="A1215" s="1207"/>
      <c r="B1215" s="1988"/>
      <c r="C1215" s="1988"/>
      <c r="D1215" s="1988"/>
      <c r="E1215" s="1988"/>
      <c r="F1215" s="1989"/>
      <c r="G1215" s="1208"/>
      <c r="H1215" s="1208"/>
      <c r="I1215" s="1209"/>
      <c r="J1215" s="1209"/>
      <c r="K1215" s="1210">
        <f t="shared" si="230"/>
        <v>1.05</v>
      </c>
      <c r="L1215" s="1210">
        <f t="shared" si="231"/>
        <v>0</v>
      </c>
      <c r="M1215" s="1197">
        <f t="shared" si="232"/>
        <v>0</v>
      </c>
      <c r="N1215" s="1211">
        <f t="shared" si="233"/>
        <v>0</v>
      </c>
      <c r="O1215" s="1212"/>
      <c r="P1215" s="1200"/>
      <c r="Q1215" s="1200"/>
      <c r="R1215" s="1213"/>
      <c r="S1215" s="1213"/>
      <c r="T1215" s="1213"/>
      <c r="U1215" s="1213"/>
      <c r="V1215" s="1213"/>
    </row>
    <row r="1216" spans="1:22" ht="15" thickTop="1" thickBot="1" x14ac:dyDescent="0.3">
      <c r="A1216" s="1207"/>
      <c r="B1216" s="1988"/>
      <c r="C1216" s="1988"/>
      <c r="D1216" s="1988"/>
      <c r="E1216" s="1988"/>
      <c r="F1216" s="1989"/>
      <c r="G1216" s="1208"/>
      <c r="H1216" s="1208"/>
      <c r="I1216" s="1209"/>
      <c r="J1216" s="1209"/>
      <c r="K1216" s="1210">
        <f t="shared" si="230"/>
        <v>1.05</v>
      </c>
      <c r="L1216" s="1210">
        <f t="shared" si="231"/>
        <v>0</v>
      </c>
      <c r="M1216" s="1197">
        <f t="shared" si="232"/>
        <v>0</v>
      </c>
      <c r="N1216" s="1211">
        <f t="shared" si="233"/>
        <v>0</v>
      </c>
      <c r="O1216" s="1212"/>
      <c r="P1216" s="1200"/>
      <c r="Q1216" s="1200"/>
      <c r="R1216" s="1213"/>
      <c r="S1216" s="1213"/>
      <c r="T1216" s="1213"/>
      <c r="U1216" s="1213"/>
      <c r="V1216" s="1213"/>
    </row>
    <row r="1217" spans="1:22" ht="15" thickTop="1" thickBot="1" x14ac:dyDescent="0.3">
      <c r="A1217" s="1207"/>
      <c r="B1217" s="1988"/>
      <c r="C1217" s="1988"/>
      <c r="D1217" s="1988"/>
      <c r="E1217" s="1988"/>
      <c r="F1217" s="1989"/>
      <c r="G1217" s="1208"/>
      <c r="H1217" s="1208"/>
      <c r="I1217" s="1209"/>
      <c r="J1217" s="1209"/>
      <c r="K1217" s="1210">
        <f t="shared" si="230"/>
        <v>1.05</v>
      </c>
      <c r="L1217" s="1210">
        <f t="shared" si="231"/>
        <v>0</v>
      </c>
      <c r="M1217" s="1197">
        <f t="shared" si="232"/>
        <v>0</v>
      </c>
      <c r="N1217" s="1211">
        <f t="shared" si="233"/>
        <v>0</v>
      </c>
      <c r="O1217" s="1212"/>
      <c r="P1217" s="1200"/>
      <c r="Q1217" s="1200"/>
      <c r="R1217" s="1213"/>
      <c r="S1217" s="1213"/>
      <c r="T1217" s="1213"/>
      <c r="U1217" s="1213"/>
      <c r="V1217" s="1213"/>
    </row>
    <row r="1218" spans="1:22" ht="15" thickTop="1" thickBot="1" x14ac:dyDescent="0.3">
      <c r="A1218" s="1207"/>
      <c r="B1218" s="1988"/>
      <c r="C1218" s="1988"/>
      <c r="D1218" s="1988"/>
      <c r="E1218" s="1988"/>
      <c r="F1218" s="1989"/>
      <c r="G1218" s="1208"/>
      <c r="H1218" s="1208"/>
      <c r="I1218" s="1209"/>
      <c r="J1218" s="1209"/>
      <c r="K1218" s="1210">
        <f t="shared" si="230"/>
        <v>1.05</v>
      </c>
      <c r="L1218" s="1210">
        <f t="shared" si="231"/>
        <v>0</v>
      </c>
      <c r="M1218" s="1197">
        <f t="shared" si="232"/>
        <v>0</v>
      </c>
      <c r="N1218" s="1211">
        <f t="shared" si="233"/>
        <v>0</v>
      </c>
      <c r="O1218" s="1212"/>
      <c r="P1218" s="1200"/>
      <c r="Q1218" s="1200"/>
      <c r="R1218" s="1213"/>
      <c r="S1218" s="1213"/>
      <c r="T1218" s="1213"/>
      <c r="U1218" s="1213"/>
      <c r="V1218" s="1213"/>
    </row>
    <row r="1219" spans="1:22" ht="15" thickTop="1" thickBot="1" x14ac:dyDescent="0.3">
      <c r="A1219" s="1207"/>
      <c r="B1219" s="1988"/>
      <c r="C1219" s="1988"/>
      <c r="D1219" s="1988"/>
      <c r="E1219" s="1988"/>
      <c r="F1219" s="1989"/>
      <c r="G1219" s="1208"/>
      <c r="H1219" s="1208"/>
      <c r="I1219" s="1209"/>
      <c r="J1219" s="1209"/>
      <c r="K1219" s="1210">
        <f t="shared" si="230"/>
        <v>1.05</v>
      </c>
      <c r="L1219" s="1210">
        <f t="shared" si="231"/>
        <v>0</v>
      </c>
      <c r="M1219" s="1197">
        <f t="shared" si="232"/>
        <v>0</v>
      </c>
      <c r="N1219" s="1211">
        <f t="shared" si="233"/>
        <v>0</v>
      </c>
      <c r="O1219" s="1212"/>
      <c r="P1219" s="1200"/>
      <c r="Q1219" s="1200"/>
      <c r="R1219" s="1213"/>
      <c r="S1219" s="1213"/>
      <c r="T1219" s="1213"/>
      <c r="U1219" s="1213"/>
      <c r="V1219" s="1213"/>
    </row>
    <row r="1220" spans="1:22" ht="15" thickTop="1" thickBot="1" x14ac:dyDescent="0.3">
      <c r="A1220" s="1207"/>
      <c r="B1220" s="1988"/>
      <c r="C1220" s="1988"/>
      <c r="D1220" s="1988"/>
      <c r="E1220" s="1988"/>
      <c r="F1220" s="1989"/>
      <c r="G1220" s="1208"/>
      <c r="H1220" s="1208"/>
      <c r="I1220" s="1209"/>
      <c r="J1220" s="1209"/>
      <c r="K1220" s="1210">
        <f t="shared" si="230"/>
        <v>1.05</v>
      </c>
      <c r="L1220" s="1210">
        <f t="shared" si="231"/>
        <v>0</v>
      </c>
      <c r="M1220" s="1197">
        <f t="shared" si="232"/>
        <v>0</v>
      </c>
      <c r="N1220" s="1211">
        <f t="shared" si="233"/>
        <v>0</v>
      </c>
      <c r="O1220" s="1212"/>
      <c r="P1220" s="1200"/>
      <c r="Q1220" s="1200"/>
      <c r="R1220" s="1213"/>
      <c r="S1220" s="1213"/>
      <c r="T1220" s="1213"/>
      <c r="U1220" s="1213"/>
      <c r="V1220" s="1213"/>
    </row>
    <row r="1221" spans="1:22" ht="15" thickTop="1" thickBot="1" x14ac:dyDescent="0.3">
      <c r="A1221" s="1207"/>
      <c r="B1221" s="1988"/>
      <c r="C1221" s="1988"/>
      <c r="D1221" s="1988"/>
      <c r="E1221" s="1988"/>
      <c r="F1221" s="1989"/>
      <c r="G1221" s="1208"/>
      <c r="H1221" s="1208"/>
      <c r="I1221" s="1209"/>
      <c r="J1221" s="1209"/>
      <c r="K1221" s="1210">
        <f t="shared" si="230"/>
        <v>1.05</v>
      </c>
      <c r="L1221" s="1210">
        <f t="shared" si="231"/>
        <v>0</v>
      </c>
      <c r="M1221" s="1197">
        <f t="shared" si="232"/>
        <v>0</v>
      </c>
      <c r="N1221" s="1211">
        <f t="shared" si="233"/>
        <v>0</v>
      </c>
      <c r="O1221" s="1212"/>
      <c r="P1221" s="1200"/>
      <c r="Q1221" s="1200"/>
      <c r="R1221" s="1213"/>
      <c r="S1221" s="1213"/>
      <c r="T1221" s="1213"/>
      <c r="U1221" s="1213"/>
      <c r="V1221" s="1213"/>
    </row>
    <row r="1222" spans="1:22" ht="15" thickTop="1" thickBot="1" x14ac:dyDescent="0.3">
      <c r="A1222" s="1207"/>
      <c r="B1222" s="1988"/>
      <c r="C1222" s="1988"/>
      <c r="D1222" s="1988"/>
      <c r="E1222" s="1988"/>
      <c r="F1222" s="1989"/>
      <c r="G1222" s="1208"/>
      <c r="H1222" s="1208"/>
      <c r="I1222" s="1209"/>
      <c r="J1222" s="1209"/>
      <c r="K1222" s="1210">
        <f t="shared" si="230"/>
        <v>1.05</v>
      </c>
      <c r="L1222" s="1210">
        <f t="shared" si="231"/>
        <v>0</v>
      </c>
      <c r="M1222" s="1197">
        <f t="shared" si="232"/>
        <v>0</v>
      </c>
      <c r="N1222" s="1211">
        <f t="shared" si="233"/>
        <v>0</v>
      </c>
      <c r="O1222" s="1212"/>
      <c r="P1222" s="1200"/>
      <c r="Q1222" s="1200"/>
      <c r="R1222" s="1213"/>
      <c r="S1222" s="1213"/>
      <c r="T1222" s="1213"/>
      <c r="U1222" s="1213"/>
      <c r="V1222" s="1213"/>
    </row>
    <row r="1223" spans="1:22" ht="15" thickTop="1" thickBot="1" x14ac:dyDescent="0.3">
      <c r="A1223" s="1207"/>
      <c r="B1223" s="1988"/>
      <c r="C1223" s="1988"/>
      <c r="D1223" s="1988"/>
      <c r="E1223" s="1988"/>
      <c r="F1223" s="1989"/>
      <c r="G1223" s="1208"/>
      <c r="H1223" s="1208"/>
      <c r="I1223" s="1209"/>
      <c r="J1223" s="1209"/>
      <c r="K1223" s="1210">
        <f t="shared" si="230"/>
        <v>1.05</v>
      </c>
      <c r="L1223" s="1210">
        <f t="shared" si="231"/>
        <v>0</v>
      </c>
      <c r="M1223" s="1197">
        <f t="shared" si="232"/>
        <v>0</v>
      </c>
      <c r="N1223" s="1211">
        <f t="shared" si="233"/>
        <v>0</v>
      </c>
      <c r="O1223" s="1212"/>
      <c r="P1223" s="1200"/>
      <c r="Q1223" s="1200"/>
      <c r="R1223" s="1213"/>
      <c r="S1223" s="1213"/>
      <c r="T1223" s="1213"/>
      <c r="U1223" s="1213"/>
      <c r="V1223" s="1213"/>
    </row>
    <row r="1224" spans="1:22" ht="15" thickTop="1" thickBot="1" x14ac:dyDescent="0.3">
      <c r="A1224" s="1207"/>
      <c r="B1224" s="1988"/>
      <c r="C1224" s="1988"/>
      <c r="D1224" s="1988"/>
      <c r="E1224" s="1988"/>
      <c r="F1224" s="1989"/>
      <c r="G1224" s="1208"/>
      <c r="H1224" s="1208"/>
      <c r="I1224" s="1209"/>
      <c r="J1224" s="1209"/>
      <c r="K1224" s="1210">
        <f t="shared" si="230"/>
        <v>1.05</v>
      </c>
      <c r="L1224" s="1210">
        <f t="shared" si="231"/>
        <v>0</v>
      </c>
      <c r="M1224" s="1197">
        <f t="shared" si="232"/>
        <v>0</v>
      </c>
      <c r="N1224" s="1211">
        <f t="shared" si="233"/>
        <v>0</v>
      </c>
      <c r="O1224" s="1212"/>
      <c r="P1224" s="1200"/>
      <c r="Q1224" s="1200"/>
      <c r="R1224" s="1213"/>
      <c r="S1224" s="1213"/>
      <c r="T1224" s="1213"/>
      <c r="U1224" s="1213"/>
      <c r="V1224" s="1213"/>
    </row>
    <row r="1225" spans="1:22" ht="15" thickTop="1" thickBot="1" x14ac:dyDescent="0.3">
      <c r="A1225" s="1207"/>
      <c r="B1225" s="1988"/>
      <c r="C1225" s="1988"/>
      <c r="D1225" s="1988"/>
      <c r="E1225" s="1988"/>
      <c r="F1225" s="1989"/>
      <c r="G1225" s="1208"/>
      <c r="H1225" s="1208"/>
      <c r="I1225" s="1209"/>
      <c r="J1225" s="1209"/>
      <c r="K1225" s="1210">
        <f t="shared" si="230"/>
        <v>1.05</v>
      </c>
      <c r="L1225" s="1210">
        <f t="shared" si="231"/>
        <v>0</v>
      </c>
      <c r="M1225" s="1197">
        <f t="shared" si="232"/>
        <v>0</v>
      </c>
      <c r="N1225" s="1211">
        <f t="shared" si="233"/>
        <v>0</v>
      </c>
      <c r="O1225" s="1212"/>
      <c r="P1225" s="1200"/>
      <c r="Q1225" s="1200"/>
      <c r="R1225" s="1213"/>
      <c r="S1225" s="1213"/>
      <c r="T1225" s="1213"/>
      <c r="U1225" s="1213"/>
      <c r="V1225" s="1213"/>
    </row>
    <row r="1226" spans="1:22" ht="15" thickTop="1" thickBot="1" x14ac:dyDescent="0.3">
      <c r="A1226" s="1207"/>
      <c r="B1226" s="1212"/>
      <c r="C1226" s="1212"/>
      <c r="D1226" s="1212"/>
      <c r="E1226" s="1212"/>
      <c r="F1226" s="1208"/>
      <c r="G1226" s="1208"/>
      <c r="H1226" s="1208"/>
      <c r="I1226" s="1209"/>
      <c r="J1226" s="1209"/>
      <c r="K1226" s="1210">
        <f t="shared" si="230"/>
        <v>1.05</v>
      </c>
      <c r="L1226" s="1210">
        <f t="shared" si="231"/>
        <v>0</v>
      </c>
      <c r="M1226" s="1197">
        <f t="shared" si="232"/>
        <v>0</v>
      </c>
      <c r="N1226" s="1211">
        <f t="shared" si="233"/>
        <v>0</v>
      </c>
      <c r="O1226" s="1212"/>
      <c r="P1226" s="1200"/>
      <c r="Q1226" s="1200"/>
      <c r="R1226" s="1213"/>
      <c r="S1226" s="1213"/>
      <c r="T1226" s="1213"/>
      <c r="U1226" s="1213"/>
      <c r="V1226" s="1213"/>
    </row>
    <row r="1227" spans="1:22" ht="15" thickTop="1" thickBot="1" x14ac:dyDescent="0.3">
      <c r="A1227" s="1207"/>
      <c r="B1227" s="1212"/>
      <c r="C1227" s="1212"/>
      <c r="D1227" s="1212"/>
      <c r="E1227" s="1212"/>
      <c r="F1227" s="1208"/>
      <c r="G1227" s="1208"/>
      <c r="H1227" s="1208"/>
      <c r="I1227" s="1209"/>
      <c r="J1227" s="1209"/>
      <c r="K1227" s="1210">
        <f t="shared" ref="K1227:K1290" si="234">$K$2</f>
        <v>1.05</v>
      </c>
      <c r="L1227" s="1210">
        <f t="shared" si="231"/>
        <v>0</v>
      </c>
      <c r="M1227" s="1197">
        <f t="shared" si="232"/>
        <v>0</v>
      </c>
      <c r="N1227" s="1211">
        <f t="shared" si="233"/>
        <v>0</v>
      </c>
      <c r="O1227" s="1212"/>
      <c r="P1227" s="1200"/>
      <c r="Q1227" s="1200"/>
      <c r="R1227" s="1213"/>
      <c r="S1227" s="1213"/>
      <c r="T1227" s="1213"/>
      <c r="U1227" s="1213"/>
      <c r="V1227" s="1213"/>
    </row>
    <row r="1228" spans="1:22" ht="15" thickTop="1" thickBot="1" x14ac:dyDescent="0.3">
      <c r="A1228" s="1207"/>
      <c r="B1228" s="1212"/>
      <c r="C1228" s="1212"/>
      <c r="D1228" s="1212"/>
      <c r="E1228" s="1212"/>
      <c r="F1228" s="1208"/>
      <c r="G1228" s="1208"/>
      <c r="H1228" s="1208"/>
      <c r="I1228" s="1209"/>
      <c r="J1228" s="1209"/>
      <c r="K1228" s="1210">
        <f t="shared" si="234"/>
        <v>1.05</v>
      </c>
      <c r="L1228" s="1210">
        <f t="shared" si="231"/>
        <v>0</v>
      </c>
      <c r="M1228" s="1197">
        <f t="shared" si="232"/>
        <v>0</v>
      </c>
      <c r="N1228" s="1211">
        <f t="shared" si="233"/>
        <v>0</v>
      </c>
      <c r="O1228" s="1212"/>
      <c r="P1228" s="1200"/>
      <c r="Q1228" s="1200"/>
      <c r="R1228" s="1213"/>
      <c r="S1228" s="1213"/>
      <c r="T1228" s="1213"/>
      <c r="U1228" s="1213"/>
      <c r="V1228" s="1213"/>
    </row>
    <row r="1229" spans="1:22" ht="15" thickTop="1" thickBot="1" x14ac:dyDescent="0.3">
      <c r="A1229" s="1207"/>
      <c r="B1229" s="1212"/>
      <c r="C1229" s="1212"/>
      <c r="D1229" s="1212"/>
      <c r="E1229" s="1212"/>
      <c r="F1229" s="1208"/>
      <c r="G1229" s="1208"/>
      <c r="H1229" s="1208"/>
      <c r="I1229" s="1209"/>
      <c r="J1229" s="1209"/>
      <c r="K1229" s="1210">
        <f t="shared" si="234"/>
        <v>1.05</v>
      </c>
      <c r="L1229" s="1210">
        <f t="shared" si="231"/>
        <v>0</v>
      </c>
      <c r="M1229" s="1197">
        <f t="shared" si="232"/>
        <v>0</v>
      </c>
      <c r="N1229" s="1211">
        <f t="shared" si="233"/>
        <v>0</v>
      </c>
      <c r="O1229" s="1212"/>
      <c r="P1229" s="1200"/>
      <c r="Q1229" s="1200"/>
      <c r="R1229" s="1213"/>
      <c r="S1229" s="1213"/>
      <c r="T1229" s="1213"/>
      <c r="U1229" s="1213"/>
      <c r="V1229" s="1213"/>
    </row>
    <row r="1230" spans="1:22" ht="15" thickTop="1" thickBot="1" x14ac:dyDescent="0.3">
      <c r="A1230" s="1207"/>
      <c r="B1230" s="1212"/>
      <c r="C1230" s="1212"/>
      <c r="D1230" s="1212"/>
      <c r="E1230" s="1212"/>
      <c r="F1230" s="1208"/>
      <c r="G1230" s="1208"/>
      <c r="H1230" s="1208"/>
      <c r="I1230" s="1209"/>
      <c r="J1230" s="1209"/>
      <c r="K1230" s="1210">
        <f t="shared" si="234"/>
        <v>1.05</v>
      </c>
      <c r="L1230" s="1210">
        <f t="shared" si="231"/>
        <v>0</v>
      </c>
      <c r="M1230" s="1197">
        <f t="shared" si="232"/>
        <v>0</v>
      </c>
      <c r="N1230" s="1211">
        <f t="shared" si="233"/>
        <v>0</v>
      </c>
      <c r="O1230" s="1212"/>
      <c r="P1230" s="1200"/>
      <c r="Q1230" s="1200"/>
      <c r="R1230" s="1213"/>
      <c r="S1230" s="1213"/>
      <c r="T1230" s="1213"/>
      <c r="U1230" s="1213"/>
      <c r="V1230" s="1213"/>
    </row>
    <row r="1231" spans="1:22" ht="15" thickTop="1" thickBot="1" x14ac:dyDescent="0.3">
      <c r="A1231" s="1207"/>
      <c r="B1231" s="1212"/>
      <c r="C1231" s="1212"/>
      <c r="D1231" s="1212"/>
      <c r="E1231" s="1212"/>
      <c r="F1231" s="1208"/>
      <c r="G1231" s="1208"/>
      <c r="H1231" s="1208"/>
      <c r="I1231" s="1209"/>
      <c r="J1231" s="1209"/>
      <c r="K1231" s="1210">
        <f t="shared" si="234"/>
        <v>1.05</v>
      </c>
      <c r="L1231" s="1210">
        <f t="shared" si="231"/>
        <v>0</v>
      </c>
      <c r="M1231" s="1197">
        <f t="shared" si="232"/>
        <v>0</v>
      </c>
      <c r="N1231" s="1211">
        <f t="shared" si="233"/>
        <v>0</v>
      </c>
      <c r="O1231" s="1212"/>
      <c r="P1231" s="1200"/>
      <c r="Q1231" s="1200"/>
      <c r="R1231" s="1213"/>
      <c r="S1231" s="1213"/>
      <c r="T1231" s="1213"/>
      <c r="U1231" s="1213"/>
      <c r="V1231" s="1213"/>
    </row>
    <row r="1232" spans="1:22" ht="15" thickTop="1" thickBot="1" x14ac:dyDescent="0.3">
      <c r="A1232" s="1207"/>
      <c r="B1232" s="1212"/>
      <c r="C1232" s="1212"/>
      <c r="D1232" s="1212"/>
      <c r="E1232" s="1212"/>
      <c r="F1232" s="1208"/>
      <c r="G1232" s="1208"/>
      <c r="H1232" s="1208"/>
      <c r="I1232" s="1209"/>
      <c r="J1232" s="1209"/>
      <c r="K1232" s="1210">
        <f t="shared" si="234"/>
        <v>1.05</v>
      </c>
      <c r="L1232" s="1210">
        <f t="shared" si="231"/>
        <v>0</v>
      </c>
      <c r="M1232" s="1197">
        <f t="shared" si="232"/>
        <v>0</v>
      </c>
      <c r="N1232" s="1211">
        <f t="shared" si="233"/>
        <v>0</v>
      </c>
      <c r="O1232" s="1212"/>
      <c r="P1232" s="1200"/>
      <c r="Q1232" s="1200"/>
      <c r="R1232" s="1213"/>
      <c r="S1232" s="1213"/>
      <c r="T1232" s="1213"/>
      <c r="U1232" s="1213"/>
      <c r="V1232" s="1213"/>
    </row>
    <row r="1233" spans="1:22" ht="15" thickTop="1" thickBot="1" x14ac:dyDescent="0.3">
      <c r="A1233" s="1207"/>
      <c r="B1233" s="1212"/>
      <c r="C1233" s="1212"/>
      <c r="D1233" s="1212"/>
      <c r="E1233" s="1212"/>
      <c r="F1233" s="1208"/>
      <c r="G1233" s="1208"/>
      <c r="H1233" s="1208"/>
      <c r="I1233" s="1209"/>
      <c r="J1233" s="1209"/>
      <c r="K1233" s="1210">
        <f t="shared" si="234"/>
        <v>1.05</v>
      </c>
      <c r="L1233" s="1210">
        <f t="shared" si="231"/>
        <v>0</v>
      </c>
      <c r="M1233" s="1197">
        <f t="shared" si="232"/>
        <v>0</v>
      </c>
      <c r="N1233" s="1211">
        <f t="shared" si="233"/>
        <v>0</v>
      </c>
      <c r="O1233" s="1212"/>
      <c r="P1233" s="1200"/>
      <c r="Q1233" s="1200"/>
      <c r="R1233" s="1213"/>
      <c r="S1233" s="1213"/>
      <c r="T1233" s="1213"/>
      <c r="U1233" s="1213"/>
      <c r="V1233" s="1213"/>
    </row>
    <row r="1234" spans="1:22" ht="15" thickTop="1" thickBot="1" x14ac:dyDescent="0.3">
      <c r="A1234" s="1207"/>
      <c r="B1234" s="1212"/>
      <c r="C1234" s="1212"/>
      <c r="D1234" s="1212"/>
      <c r="E1234" s="1212"/>
      <c r="F1234" s="1208"/>
      <c r="G1234" s="1208"/>
      <c r="H1234" s="1208"/>
      <c r="I1234" s="1209"/>
      <c r="J1234" s="1209"/>
      <c r="K1234" s="1210">
        <f t="shared" si="234"/>
        <v>1.05</v>
      </c>
      <c r="L1234" s="1210">
        <f t="shared" si="231"/>
        <v>0</v>
      </c>
      <c r="M1234" s="1197">
        <f t="shared" si="232"/>
        <v>0</v>
      </c>
      <c r="N1234" s="1211">
        <f t="shared" si="233"/>
        <v>0</v>
      </c>
      <c r="O1234" s="1212"/>
      <c r="P1234" s="1200"/>
      <c r="Q1234" s="1200"/>
      <c r="R1234" s="1213"/>
      <c r="S1234" s="1213"/>
      <c r="T1234" s="1213"/>
      <c r="U1234" s="1213"/>
      <c r="V1234" s="1213"/>
    </row>
    <row r="1235" spans="1:22" ht="15" thickTop="1" thickBot="1" x14ac:dyDescent="0.3">
      <c r="A1235" s="1207"/>
      <c r="B1235" s="1212"/>
      <c r="C1235" s="1212"/>
      <c r="D1235" s="1212"/>
      <c r="E1235" s="1212"/>
      <c r="F1235" s="1208"/>
      <c r="G1235" s="1208"/>
      <c r="H1235" s="1208"/>
      <c r="I1235" s="1209"/>
      <c r="J1235" s="1209"/>
      <c r="K1235" s="1210">
        <f t="shared" si="234"/>
        <v>1.05</v>
      </c>
      <c r="L1235" s="1210">
        <f t="shared" si="231"/>
        <v>0</v>
      </c>
      <c r="M1235" s="1197">
        <f t="shared" si="232"/>
        <v>0</v>
      </c>
      <c r="N1235" s="1211">
        <f t="shared" si="233"/>
        <v>0</v>
      </c>
      <c r="O1235" s="1212"/>
      <c r="P1235" s="1200"/>
      <c r="Q1235" s="1200"/>
      <c r="R1235" s="1213"/>
      <c r="S1235" s="1213"/>
      <c r="T1235" s="1213"/>
      <c r="U1235" s="1213"/>
      <c r="V1235" s="1213"/>
    </row>
    <row r="1236" spans="1:22" ht="15" thickTop="1" thickBot="1" x14ac:dyDescent="0.3">
      <c r="A1236" s="1207"/>
      <c r="B1236" s="1212"/>
      <c r="C1236" s="1212"/>
      <c r="D1236" s="1212"/>
      <c r="E1236" s="1212"/>
      <c r="F1236" s="1208"/>
      <c r="G1236" s="1208"/>
      <c r="H1236" s="1208"/>
      <c r="I1236" s="1209"/>
      <c r="J1236" s="1209"/>
      <c r="K1236" s="1210">
        <f t="shared" si="234"/>
        <v>1.05</v>
      </c>
      <c r="L1236" s="1210">
        <f t="shared" si="231"/>
        <v>0</v>
      </c>
      <c r="M1236" s="1197">
        <f t="shared" si="232"/>
        <v>0</v>
      </c>
      <c r="N1236" s="1211">
        <f t="shared" si="233"/>
        <v>0</v>
      </c>
      <c r="O1236" s="1212"/>
      <c r="P1236" s="1200"/>
      <c r="Q1236" s="1200"/>
      <c r="R1236" s="1213"/>
      <c r="S1236" s="1213"/>
      <c r="T1236" s="1213"/>
      <c r="U1236" s="1213"/>
      <c r="V1236" s="1213"/>
    </row>
    <row r="1237" spans="1:22" ht="15" thickTop="1" thickBot="1" x14ac:dyDescent="0.3">
      <c r="A1237" s="1207"/>
      <c r="B1237" s="1212"/>
      <c r="C1237" s="1212"/>
      <c r="D1237" s="1212"/>
      <c r="E1237" s="1212"/>
      <c r="F1237" s="1208"/>
      <c r="G1237" s="1208"/>
      <c r="H1237" s="1208"/>
      <c r="I1237" s="1209"/>
      <c r="J1237" s="1209"/>
      <c r="K1237" s="1210">
        <f t="shared" si="234"/>
        <v>1.05</v>
      </c>
      <c r="L1237" s="1210">
        <f t="shared" si="231"/>
        <v>0</v>
      </c>
      <c r="M1237" s="1197">
        <f t="shared" si="232"/>
        <v>0</v>
      </c>
      <c r="N1237" s="1211">
        <f t="shared" si="233"/>
        <v>0</v>
      </c>
      <c r="O1237" s="1212"/>
      <c r="P1237" s="1200"/>
      <c r="Q1237" s="1200"/>
      <c r="R1237" s="1213"/>
      <c r="S1237" s="1213"/>
      <c r="T1237" s="1213"/>
      <c r="U1237" s="1213"/>
      <c r="V1237" s="1213"/>
    </row>
    <row r="1238" spans="1:22" ht="15" thickTop="1" thickBot="1" x14ac:dyDescent="0.3">
      <c r="A1238" s="1207"/>
      <c r="B1238" s="1212"/>
      <c r="C1238" s="1212"/>
      <c r="D1238" s="1212"/>
      <c r="E1238" s="1212"/>
      <c r="F1238" s="1208"/>
      <c r="G1238" s="1208"/>
      <c r="H1238" s="1208"/>
      <c r="I1238" s="1209"/>
      <c r="J1238" s="1209"/>
      <c r="K1238" s="1210">
        <f t="shared" si="234"/>
        <v>1.05</v>
      </c>
      <c r="L1238" s="1210">
        <f t="shared" si="231"/>
        <v>0</v>
      </c>
      <c r="M1238" s="1197">
        <f t="shared" si="232"/>
        <v>0</v>
      </c>
      <c r="N1238" s="1211">
        <f t="shared" si="233"/>
        <v>0</v>
      </c>
      <c r="O1238" s="1212"/>
      <c r="P1238" s="1200"/>
      <c r="Q1238" s="1200"/>
      <c r="R1238" s="1213"/>
      <c r="S1238" s="1213"/>
      <c r="T1238" s="1213"/>
      <c r="U1238" s="1213"/>
      <c r="V1238" s="1213"/>
    </row>
    <row r="1239" spans="1:22" ht="15" thickTop="1" thickBot="1" x14ac:dyDescent="0.3">
      <c r="A1239" s="1207"/>
      <c r="B1239" s="1212"/>
      <c r="C1239" s="1212"/>
      <c r="D1239" s="1212"/>
      <c r="E1239" s="1212"/>
      <c r="F1239" s="1208"/>
      <c r="G1239" s="1208"/>
      <c r="H1239" s="1208"/>
      <c r="I1239" s="1209"/>
      <c r="J1239" s="1209"/>
      <c r="K1239" s="1210">
        <f t="shared" si="234"/>
        <v>1.05</v>
      </c>
      <c r="L1239" s="1210">
        <f t="shared" si="231"/>
        <v>0</v>
      </c>
      <c r="M1239" s="1197">
        <f t="shared" si="232"/>
        <v>0</v>
      </c>
      <c r="N1239" s="1211">
        <f t="shared" si="233"/>
        <v>0</v>
      </c>
      <c r="O1239" s="1212"/>
      <c r="P1239" s="1200"/>
      <c r="Q1239" s="1200"/>
      <c r="R1239" s="1213"/>
      <c r="S1239" s="1213"/>
      <c r="T1239" s="1213"/>
      <c r="U1239" s="1213"/>
      <c r="V1239" s="1213"/>
    </row>
    <row r="1240" spans="1:22" ht="15" thickTop="1" thickBot="1" x14ac:dyDescent="0.3">
      <c r="A1240" s="1207"/>
      <c r="B1240" s="1212"/>
      <c r="C1240" s="1212"/>
      <c r="D1240" s="1212"/>
      <c r="E1240" s="1212"/>
      <c r="F1240" s="1208"/>
      <c r="G1240" s="1208"/>
      <c r="H1240" s="1208"/>
      <c r="I1240" s="1209"/>
      <c r="J1240" s="1209"/>
      <c r="K1240" s="1210">
        <f t="shared" si="234"/>
        <v>1.05</v>
      </c>
      <c r="L1240" s="1210">
        <f t="shared" si="231"/>
        <v>0</v>
      </c>
      <c r="M1240" s="1197">
        <f t="shared" si="232"/>
        <v>0</v>
      </c>
      <c r="N1240" s="1211">
        <f t="shared" si="233"/>
        <v>0</v>
      </c>
      <c r="O1240" s="1212"/>
      <c r="P1240" s="1200"/>
      <c r="Q1240" s="1200"/>
      <c r="R1240" s="1213"/>
      <c r="S1240" s="1213"/>
      <c r="T1240" s="1213"/>
      <c r="U1240" s="1213"/>
      <c r="V1240" s="1213"/>
    </row>
    <row r="1241" spans="1:22" ht="15" thickTop="1" thickBot="1" x14ac:dyDescent="0.3">
      <c r="A1241" s="1207"/>
      <c r="B1241" s="1212"/>
      <c r="C1241" s="1212"/>
      <c r="D1241" s="1212"/>
      <c r="E1241" s="1212"/>
      <c r="F1241" s="1208"/>
      <c r="G1241" s="1208"/>
      <c r="H1241" s="1208"/>
      <c r="I1241" s="1209"/>
      <c r="J1241" s="1209"/>
      <c r="K1241" s="1210">
        <f t="shared" si="234"/>
        <v>1.05</v>
      </c>
      <c r="L1241" s="1210">
        <f t="shared" si="231"/>
        <v>0</v>
      </c>
      <c r="M1241" s="1197">
        <f t="shared" si="232"/>
        <v>0</v>
      </c>
      <c r="N1241" s="1211">
        <f t="shared" si="233"/>
        <v>0</v>
      </c>
      <c r="O1241" s="1212"/>
      <c r="P1241" s="1200"/>
      <c r="Q1241" s="1200"/>
      <c r="R1241" s="1213"/>
      <c r="S1241" s="1213"/>
      <c r="T1241" s="1213"/>
      <c r="U1241" s="1213"/>
      <c r="V1241" s="1213"/>
    </row>
    <row r="1242" spans="1:22" ht="15" thickTop="1" thickBot="1" x14ac:dyDescent="0.3">
      <c r="A1242" s="1207"/>
      <c r="B1242" s="1212"/>
      <c r="C1242" s="1212"/>
      <c r="D1242" s="1212"/>
      <c r="E1242" s="1212"/>
      <c r="F1242" s="1208"/>
      <c r="G1242" s="1208"/>
      <c r="H1242" s="1208"/>
      <c r="I1242" s="1209"/>
      <c r="J1242" s="1209"/>
      <c r="K1242" s="1210">
        <f t="shared" si="234"/>
        <v>1.05</v>
      </c>
      <c r="L1242" s="1210">
        <f t="shared" si="231"/>
        <v>0</v>
      </c>
      <c r="M1242" s="1197">
        <f t="shared" si="232"/>
        <v>0</v>
      </c>
      <c r="N1242" s="1211">
        <f t="shared" si="233"/>
        <v>0</v>
      </c>
      <c r="O1242" s="1212"/>
      <c r="P1242" s="1200"/>
      <c r="Q1242" s="1200"/>
      <c r="R1242" s="1213"/>
      <c r="S1242" s="1213"/>
      <c r="T1242" s="1213"/>
      <c r="U1242" s="1213"/>
      <c r="V1242" s="1213"/>
    </row>
    <row r="1243" spans="1:22" ht="15" thickTop="1" thickBot="1" x14ac:dyDescent="0.3">
      <c r="A1243" s="1207"/>
      <c r="B1243" s="1212"/>
      <c r="C1243" s="1212"/>
      <c r="D1243" s="1212"/>
      <c r="E1243" s="1212"/>
      <c r="F1243" s="1208"/>
      <c r="G1243" s="1208"/>
      <c r="H1243" s="1208"/>
      <c r="I1243" s="1209"/>
      <c r="J1243" s="1209"/>
      <c r="K1243" s="1210">
        <f t="shared" si="234"/>
        <v>1.05</v>
      </c>
      <c r="L1243" s="1210">
        <f t="shared" si="231"/>
        <v>0</v>
      </c>
      <c r="M1243" s="1197">
        <f t="shared" si="232"/>
        <v>0</v>
      </c>
      <c r="N1243" s="1211">
        <f t="shared" si="233"/>
        <v>0</v>
      </c>
      <c r="O1243" s="1212"/>
      <c r="P1243" s="1200"/>
      <c r="Q1243" s="1200"/>
      <c r="R1243" s="1213"/>
      <c r="S1243" s="1213"/>
      <c r="T1243" s="1213"/>
      <c r="U1243" s="1213"/>
      <c r="V1243" s="1213"/>
    </row>
    <row r="1244" spans="1:22" ht="15" thickTop="1" thickBot="1" x14ac:dyDescent="0.3">
      <c r="A1244" s="1207"/>
      <c r="B1244" s="1212"/>
      <c r="C1244" s="1212"/>
      <c r="D1244" s="1212"/>
      <c r="E1244" s="1212"/>
      <c r="F1244" s="1208"/>
      <c r="G1244" s="1208"/>
      <c r="H1244" s="1208"/>
      <c r="I1244" s="1209"/>
      <c r="J1244" s="1209"/>
      <c r="K1244" s="1210">
        <f t="shared" si="234"/>
        <v>1.05</v>
      </c>
      <c r="L1244" s="1210">
        <f t="shared" si="231"/>
        <v>0</v>
      </c>
      <c r="M1244" s="1197">
        <f t="shared" si="232"/>
        <v>0</v>
      </c>
      <c r="N1244" s="1211">
        <f t="shared" si="233"/>
        <v>0</v>
      </c>
      <c r="O1244" s="1212"/>
      <c r="P1244" s="1200"/>
      <c r="Q1244" s="1200"/>
      <c r="R1244" s="1213"/>
      <c r="S1244" s="1213"/>
      <c r="T1244" s="1213"/>
      <c r="U1244" s="1213"/>
      <c r="V1244" s="1213"/>
    </row>
    <row r="1245" spans="1:22" ht="15" thickTop="1" thickBot="1" x14ac:dyDescent="0.3">
      <c r="A1245" s="1207"/>
      <c r="B1245" s="1212"/>
      <c r="C1245" s="1212"/>
      <c r="D1245" s="1212"/>
      <c r="E1245" s="1212"/>
      <c r="F1245" s="1208"/>
      <c r="G1245" s="1208"/>
      <c r="H1245" s="1208"/>
      <c r="I1245" s="1209"/>
      <c r="J1245" s="1209"/>
      <c r="K1245" s="1210">
        <f t="shared" si="234"/>
        <v>1.05</v>
      </c>
      <c r="L1245" s="1210">
        <f t="shared" si="231"/>
        <v>0</v>
      </c>
      <c r="M1245" s="1197">
        <f t="shared" si="232"/>
        <v>0</v>
      </c>
      <c r="N1245" s="1211">
        <f t="shared" si="233"/>
        <v>0</v>
      </c>
      <c r="O1245" s="1212"/>
      <c r="P1245" s="1200"/>
      <c r="Q1245" s="1200"/>
      <c r="R1245" s="1213"/>
      <c r="S1245" s="1213"/>
      <c r="T1245" s="1213"/>
      <c r="U1245" s="1213"/>
      <c r="V1245" s="1213"/>
    </row>
    <row r="1246" spans="1:22" ht="15" thickTop="1" thickBot="1" x14ac:dyDescent="0.3">
      <c r="A1246" s="1207"/>
      <c r="B1246" s="1212"/>
      <c r="C1246" s="1212"/>
      <c r="D1246" s="1212"/>
      <c r="E1246" s="1212"/>
      <c r="F1246" s="1208"/>
      <c r="G1246" s="1208"/>
      <c r="H1246" s="1208"/>
      <c r="I1246" s="1209"/>
      <c r="J1246" s="1209"/>
      <c r="K1246" s="1210">
        <f t="shared" si="234"/>
        <v>1.05</v>
      </c>
      <c r="L1246" s="1210">
        <f t="shared" si="231"/>
        <v>0</v>
      </c>
      <c r="M1246" s="1197">
        <f t="shared" si="232"/>
        <v>0</v>
      </c>
      <c r="N1246" s="1211">
        <f t="shared" si="233"/>
        <v>0</v>
      </c>
      <c r="O1246" s="1212"/>
      <c r="P1246" s="1200"/>
      <c r="Q1246" s="1200"/>
      <c r="R1246" s="1213"/>
      <c r="S1246" s="1213"/>
      <c r="T1246" s="1213"/>
      <c r="U1246" s="1213"/>
      <c r="V1246" s="1213"/>
    </row>
    <row r="1247" spans="1:22" ht="15" thickTop="1" thickBot="1" x14ac:dyDescent="0.3">
      <c r="A1247" s="1207"/>
      <c r="B1247" s="1212"/>
      <c r="C1247" s="1212"/>
      <c r="D1247" s="1212"/>
      <c r="E1247" s="1212"/>
      <c r="F1247" s="1208"/>
      <c r="G1247" s="1208"/>
      <c r="H1247" s="1208"/>
      <c r="I1247" s="1209"/>
      <c r="J1247" s="1209"/>
      <c r="K1247" s="1210">
        <f t="shared" si="234"/>
        <v>1.05</v>
      </c>
      <c r="L1247" s="1210">
        <f t="shared" si="231"/>
        <v>0</v>
      </c>
      <c r="M1247" s="1197">
        <f t="shared" si="232"/>
        <v>0</v>
      </c>
      <c r="N1247" s="1211">
        <f t="shared" si="233"/>
        <v>0</v>
      </c>
      <c r="O1247" s="1212"/>
      <c r="P1247" s="1200"/>
      <c r="Q1247" s="1200"/>
      <c r="R1247" s="1213"/>
      <c r="S1247" s="1213"/>
      <c r="T1247" s="1213"/>
      <c r="U1247" s="1213"/>
      <c r="V1247" s="1213"/>
    </row>
    <row r="1248" spans="1:22" ht="15" thickTop="1" thickBot="1" x14ac:dyDescent="0.3">
      <c r="A1248" s="1207"/>
      <c r="B1248" s="1212"/>
      <c r="C1248" s="1212"/>
      <c r="D1248" s="1212"/>
      <c r="E1248" s="1212"/>
      <c r="F1248" s="1208"/>
      <c r="G1248" s="1208"/>
      <c r="H1248" s="1208"/>
      <c r="I1248" s="1209"/>
      <c r="J1248" s="1209"/>
      <c r="K1248" s="1210">
        <f t="shared" si="234"/>
        <v>1.05</v>
      </c>
      <c r="L1248" s="1210">
        <f t="shared" si="231"/>
        <v>0</v>
      </c>
      <c r="M1248" s="1197">
        <f t="shared" si="232"/>
        <v>0</v>
      </c>
      <c r="N1248" s="1211">
        <f t="shared" si="233"/>
        <v>0</v>
      </c>
      <c r="O1248" s="1212"/>
      <c r="P1248" s="1200"/>
      <c r="Q1248" s="1200"/>
      <c r="R1248" s="1213"/>
      <c r="S1248" s="1213"/>
      <c r="T1248" s="1213"/>
      <c r="U1248" s="1213"/>
      <c r="V1248" s="1213"/>
    </row>
    <row r="1249" spans="1:22" ht="15" thickTop="1" thickBot="1" x14ac:dyDescent="0.3">
      <c r="A1249" s="1207"/>
      <c r="B1249" s="1212"/>
      <c r="C1249" s="1212"/>
      <c r="D1249" s="1212"/>
      <c r="E1249" s="1212"/>
      <c r="F1249" s="1208"/>
      <c r="G1249" s="1208"/>
      <c r="H1249" s="1208"/>
      <c r="I1249" s="1209"/>
      <c r="J1249" s="1209"/>
      <c r="K1249" s="1210">
        <f t="shared" si="234"/>
        <v>1.05</v>
      </c>
      <c r="L1249" s="1210">
        <f t="shared" si="231"/>
        <v>0</v>
      </c>
      <c r="M1249" s="1197">
        <f t="shared" si="232"/>
        <v>0</v>
      </c>
      <c r="N1249" s="1211">
        <f t="shared" si="233"/>
        <v>0</v>
      </c>
      <c r="O1249" s="1212"/>
      <c r="P1249" s="1200"/>
      <c r="Q1249" s="1200"/>
      <c r="R1249" s="1213"/>
      <c r="S1249" s="1213"/>
      <c r="T1249" s="1213"/>
      <c r="U1249" s="1213"/>
      <c r="V1249" s="1213"/>
    </row>
    <row r="1250" spans="1:22" ht="15" thickTop="1" thickBot="1" x14ac:dyDescent="0.3">
      <c r="A1250" s="1207"/>
      <c r="B1250" s="1212"/>
      <c r="C1250" s="1212"/>
      <c r="D1250" s="1212"/>
      <c r="E1250" s="1212"/>
      <c r="F1250" s="1208"/>
      <c r="G1250" s="1208"/>
      <c r="H1250" s="1208"/>
      <c r="I1250" s="1209"/>
      <c r="J1250" s="1209"/>
      <c r="K1250" s="1210">
        <f t="shared" si="234"/>
        <v>1.05</v>
      </c>
      <c r="L1250" s="1210">
        <f t="shared" si="231"/>
        <v>0</v>
      </c>
      <c r="M1250" s="1197">
        <f t="shared" si="232"/>
        <v>0</v>
      </c>
      <c r="N1250" s="1211">
        <f t="shared" si="233"/>
        <v>0</v>
      </c>
      <c r="O1250" s="1212"/>
      <c r="P1250" s="1200"/>
      <c r="Q1250" s="1200"/>
      <c r="R1250" s="1213"/>
      <c r="S1250" s="1213"/>
      <c r="T1250" s="1213"/>
      <c r="U1250" s="1213"/>
      <c r="V1250" s="1213"/>
    </row>
    <row r="1251" spans="1:22" ht="15" thickTop="1" thickBot="1" x14ac:dyDescent="0.3">
      <c r="A1251" s="1207"/>
      <c r="B1251" s="1212"/>
      <c r="C1251" s="1212"/>
      <c r="D1251" s="1212"/>
      <c r="E1251" s="1212"/>
      <c r="F1251" s="1208"/>
      <c r="G1251" s="1208"/>
      <c r="H1251" s="1208"/>
      <c r="I1251" s="1209"/>
      <c r="J1251" s="1209"/>
      <c r="K1251" s="1210">
        <f t="shared" si="234"/>
        <v>1.05</v>
      </c>
      <c r="L1251" s="1210">
        <f t="shared" si="231"/>
        <v>0</v>
      </c>
      <c r="M1251" s="1197">
        <f t="shared" si="232"/>
        <v>0</v>
      </c>
      <c r="N1251" s="1211">
        <f t="shared" si="233"/>
        <v>0</v>
      </c>
      <c r="O1251" s="1212"/>
      <c r="P1251" s="1200"/>
      <c r="Q1251" s="1200"/>
      <c r="R1251" s="1213"/>
      <c r="S1251" s="1213"/>
      <c r="T1251" s="1213"/>
      <c r="U1251" s="1213"/>
      <c r="V1251" s="1213"/>
    </row>
    <row r="1252" spans="1:22" ht="15" thickTop="1" thickBot="1" x14ac:dyDescent="0.3">
      <c r="A1252" s="1207"/>
      <c r="B1252" s="1212"/>
      <c r="C1252" s="1212"/>
      <c r="D1252" s="1212"/>
      <c r="E1252" s="1212"/>
      <c r="F1252" s="1208"/>
      <c r="G1252" s="1208"/>
      <c r="H1252" s="1208"/>
      <c r="I1252" s="1209"/>
      <c r="J1252" s="1209"/>
      <c r="K1252" s="1210">
        <f t="shared" si="234"/>
        <v>1.05</v>
      </c>
      <c r="L1252" s="1210">
        <f t="shared" si="231"/>
        <v>0</v>
      </c>
      <c r="M1252" s="1197">
        <f t="shared" si="232"/>
        <v>0</v>
      </c>
      <c r="N1252" s="1211">
        <f t="shared" si="233"/>
        <v>0</v>
      </c>
      <c r="O1252" s="1212"/>
      <c r="P1252" s="1200"/>
      <c r="Q1252" s="1200"/>
      <c r="R1252" s="1213"/>
      <c r="S1252" s="1213"/>
      <c r="T1252" s="1213"/>
      <c r="U1252" s="1213"/>
      <c r="V1252" s="1213"/>
    </row>
    <row r="1253" spans="1:22" ht="15" thickTop="1" thickBot="1" x14ac:dyDescent="0.3">
      <c r="A1253" s="1207"/>
      <c r="B1253" s="1212"/>
      <c r="C1253" s="1212"/>
      <c r="D1253" s="1212"/>
      <c r="E1253" s="1212"/>
      <c r="F1253" s="1208"/>
      <c r="G1253" s="1208"/>
      <c r="H1253" s="1208"/>
      <c r="I1253" s="1209"/>
      <c r="J1253" s="1209"/>
      <c r="K1253" s="1210">
        <f t="shared" si="234"/>
        <v>1.05</v>
      </c>
      <c r="L1253" s="1210">
        <f t="shared" si="231"/>
        <v>0</v>
      </c>
      <c r="M1253" s="1197">
        <f t="shared" si="232"/>
        <v>0</v>
      </c>
      <c r="N1253" s="1211">
        <f t="shared" si="233"/>
        <v>0</v>
      </c>
      <c r="O1253" s="1212"/>
      <c r="P1253" s="1200"/>
      <c r="Q1253" s="1200"/>
      <c r="R1253" s="1213"/>
      <c r="S1253" s="1213"/>
      <c r="T1253" s="1213"/>
      <c r="U1253" s="1213"/>
      <c r="V1253" s="1213"/>
    </row>
    <row r="1254" spans="1:22" ht="15" thickTop="1" thickBot="1" x14ac:dyDescent="0.3">
      <c r="A1254" s="1207"/>
      <c r="B1254" s="1212"/>
      <c r="C1254" s="1212"/>
      <c r="D1254" s="1212"/>
      <c r="E1254" s="1212"/>
      <c r="F1254" s="1208"/>
      <c r="G1254" s="1208"/>
      <c r="H1254" s="1208"/>
      <c r="I1254" s="1209"/>
      <c r="J1254" s="1209"/>
      <c r="K1254" s="1210">
        <f t="shared" si="234"/>
        <v>1.05</v>
      </c>
      <c r="L1254" s="1210">
        <f t="shared" si="231"/>
        <v>0</v>
      </c>
      <c r="M1254" s="1197">
        <f t="shared" si="232"/>
        <v>0</v>
      </c>
      <c r="N1254" s="1211">
        <f t="shared" si="233"/>
        <v>0</v>
      </c>
      <c r="O1254" s="1212"/>
      <c r="P1254" s="1200"/>
      <c r="Q1254" s="1200"/>
      <c r="R1254" s="1213"/>
      <c r="S1254" s="1213"/>
      <c r="T1254" s="1213"/>
      <c r="U1254" s="1213"/>
      <c r="V1254" s="1213"/>
    </row>
    <row r="1255" spans="1:22" ht="15" thickTop="1" thickBot="1" x14ac:dyDescent="0.3">
      <c r="A1255" s="1207"/>
      <c r="B1255" s="1212"/>
      <c r="C1255" s="1212"/>
      <c r="D1255" s="1212"/>
      <c r="E1255" s="1212"/>
      <c r="F1255" s="1208"/>
      <c r="G1255" s="1208"/>
      <c r="H1255" s="1208"/>
      <c r="I1255" s="1209"/>
      <c r="J1255" s="1209"/>
      <c r="K1255" s="1210">
        <f t="shared" si="234"/>
        <v>1.05</v>
      </c>
      <c r="L1255" s="1210">
        <f t="shared" si="231"/>
        <v>0</v>
      </c>
      <c r="M1255" s="1197">
        <f t="shared" si="232"/>
        <v>0</v>
      </c>
      <c r="N1255" s="1211">
        <f t="shared" si="233"/>
        <v>0</v>
      </c>
      <c r="O1255" s="1212"/>
      <c r="P1255" s="1200"/>
      <c r="Q1255" s="1200"/>
      <c r="R1255" s="1213"/>
      <c r="S1255" s="1213"/>
      <c r="T1255" s="1213"/>
      <c r="U1255" s="1213"/>
      <c r="V1255" s="1213"/>
    </row>
    <row r="1256" spans="1:22" ht="15" thickTop="1" thickBot="1" x14ac:dyDescent="0.3">
      <c r="A1256" s="1207"/>
      <c r="B1256" s="1212"/>
      <c r="C1256" s="1212"/>
      <c r="D1256" s="1212"/>
      <c r="E1256" s="1212"/>
      <c r="F1256" s="1208"/>
      <c r="G1256" s="1208"/>
      <c r="H1256" s="1208"/>
      <c r="I1256" s="1209"/>
      <c r="J1256" s="1209"/>
      <c r="K1256" s="1210">
        <f t="shared" si="234"/>
        <v>1.05</v>
      </c>
      <c r="L1256" s="1210">
        <f t="shared" si="231"/>
        <v>0</v>
      </c>
      <c r="M1256" s="1197">
        <f t="shared" si="232"/>
        <v>0</v>
      </c>
      <c r="N1256" s="1211">
        <f t="shared" si="233"/>
        <v>0</v>
      </c>
      <c r="O1256" s="1212"/>
      <c r="P1256" s="1200"/>
      <c r="Q1256" s="1200"/>
      <c r="R1256" s="1213"/>
      <c r="S1256" s="1213"/>
      <c r="T1256" s="1213"/>
      <c r="U1256" s="1213"/>
      <c r="V1256" s="1213"/>
    </row>
    <row r="1257" spans="1:22" ht="15" thickTop="1" thickBot="1" x14ac:dyDescent="0.3">
      <c r="A1257" s="1207"/>
      <c r="B1257" s="1212"/>
      <c r="C1257" s="1212"/>
      <c r="D1257" s="1212"/>
      <c r="E1257" s="1212"/>
      <c r="F1257" s="1208"/>
      <c r="G1257" s="1208"/>
      <c r="H1257" s="1208"/>
      <c r="I1257" s="1209"/>
      <c r="J1257" s="1209"/>
      <c r="K1257" s="1210">
        <f t="shared" si="234"/>
        <v>1.05</v>
      </c>
      <c r="L1257" s="1210">
        <f t="shared" si="231"/>
        <v>0</v>
      </c>
      <c r="M1257" s="1197">
        <f t="shared" si="232"/>
        <v>0</v>
      </c>
      <c r="N1257" s="1211">
        <f t="shared" si="233"/>
        <v>0</v>
      </c>
      <c r="O1257" s="1212"/>
      <c r="P1257" s="1200"/>
      <c r="Q1257" s="1200"/>
      <c r="R1257" s="1213"/>
      <c r="S1257" s="1213"/>
      <c r="T1257" s="1213"/>
      <c r="U1257" s="1213"/>
      <c r="V1257" s="1213"/>
    </row>
    <row r="1258" spans="1:22" ht="15" thickTop="1" thickBot="1" x14ac:dyDescent="0.3">
      <c r="A1258" s="1207"/>
      <c r="B1258" s="1212"/>
      <c r="C1258" s="1212"/>
      <c r="D1258" s="1212"/>
      <c r="E1258" s="1212"/>
      <c r="F1258" s="1208"/>
      <c r="G1258" s="1208"/>
      <c r="H1258" s="1208"/>
      <c r="I1258" s="1209"/>
      <c r="J1258" s="1209"/>
      <c r="K1258" s="1210">
        <f t="shared" si="234"/>
        <v>1.05</v>
      </c>
      <c r="L1258" s="1210">
        <f t="shared" ref="L1258:L1321" si="235">K1258*J1258</f>
        <v>0</v>
      </c>
      <c r="M1258" s="1197">
        <f t="shared" ref="M1258:M1321" si="236">ROUND(L1258,1)</f>
        <v>0</v>
      </c>
      <c r="N1258" s="1211">
        <f t="shared" ref="N1258:N1321" si="237">ROUNDUP(M1258,0)</f>
        <v>0</v>
      </c>
      <c r="O1258" s="1212"/>
      <c r="P1258" s="1200"/>
      <c r="Q1258" s="1200"/>
      <c r="R1258" s="1213"/>
      <c r="S1258" s="1213"/>
      <c r="T1258" s="1213"/>
      <c r="U1258" s="1213"/>
      <c r="V1258" s="1213"/>
    </row>
    <row r="1259" spans="1:22" ht="15" thickTop="1" thickBot="1" x14ac:dyDescent="0.3">
      <c r="A1259" s="1207"/>
      <c r="B1259" s="1212"/>
      <c r="C1259" s="1212"/>
      <c r="D1259" s="1212"/>
      <c r="E1259" s="1212"/>
      <c r="F1259" s="1208"/>
      <c r="G1259" s="1208"/>
      <c r="H1259" s="1208"/>
      <c r="I1259" s="1209"/>
      <c r="J1259" s="1209"/>
      <c r="K1259" s="1210">
        <f t="shared" si="234"/>
        <v>1.05</v>
      </c>
      <c r="L1259" s="1210">
        <f t="shared" si="235"/>
        <v>0</v>
      </c>
      <c r="M1259" s="1197">
        <f t="shared" si="236"/>
        <v>0</v>
      </c>
      <c r="N1259" s="1211">
        <f t="shared" si="237"/>
        <v>0</v>
      </c>
      <c r="O1259" s="1212"/>
      <c r="P1259" s="1200"/>
      <c r="Q1259" s="1200"/>
      <c r="R1259" s="1213"/>
      <c r="S1259" s="1213"/>
      <c r="T1259" s="1213"/>
      <c r="U1259" s="1213"/>
      <c r="V1259" s="1213"/>
    </row>
    <row r="1260" spans="1:22" ht="15" thickTop="1" thickBot="1" x14ac:dyDescent="0.3">
      <c r="A1260" s="1207"/>
      <c r="B1260" s="1212"/>
      <c r="C1260" s="1212"/>
      <c r="D1260" s="1212"/>
      <c r="E1260" s="1212"/>
      <c r="F1260" s="1208"/>
      <c r="G1260" s="1208"/>
      <c r="H1260" s="1208"/>
      <c r="I1260" s="1209"/>
      <c r="J1260" s="1209"/>
      <c r="K1260" s="1210">
        <f t="shared" si="234"/>
        <v>1.05</v>
      </c>
      <c r="L1260" s="1210">
        <f t="shared" si="235"/>
        <v>0</v>
      </c>
      <c r="M1260" s="1197">
        <f t="shared" si="236"/>
        <v>0</v>
      </c>
      <c r="N1260" s="1211">
        <f t="shared" si="237"/>
        <v>0</v>
      </c>
      <c r="O1260" s="1212"/>
      <c r="P1260" s="1200"/>
      <c r="Q1260" s="1200"/>
      <c r="R1260" s="1213"/>
      <c r="S1260" s="1213"/>
      <c r="T1260" s="1213"/>
      <c r="U1260" s="1213"/>
      <c r="V1260" s="1213"/>
    </row>
    <row r="1261" spans="1:22" ht="15" thickTop="1" thickBot="1" x14ac:dyDescent="0.3">
      <c r="A1261" s="1207"/>
      <c r="B1261" s="1212"/>
      <c r="C1261" s="1212"/>
      <c r="D1261" s="1212"/>
      <c r="E1261" s="1212"/>
      <c r="F1261" s="1208"/>
      <c r="G1261" s="1208"/>
      <c r="H1261" s="1208"/>
      <c r="I1261" s="1209"/>
      <c r="J1261" s="1209"/>
      <c r="K1261" s="1210">
        <f t="shared" si="234"/>
        <v>1.05</v>
      </c>
      <c r="L1261" s="1210">
        <f t="shared" si="235"/>
        <v>0</v>
      </c>
      <c r="M1261" s="1197">
        <f t="shared" si="236"/>
        <v>0</v>
      </c>
      <c r="N1261" s="1211">
        <f t="shared" si="237"/>
        <v>0</v>
      </c>
      <c r="O1261" s="1212"/>
      <c r="P1261" s="1200"/>
      <c r="Q1261" s="1200"/>
      <c r="R1261" s="1213"/>
      <c r="S1261" s="1213"/>
      <c r="T1261" s="1213"/>
      <c r="U1261" s="1213"/>
      <c r="V1261" s="1213"/>
    </row>
    <row r="1262" spans="1:22" ht="15" thickTop="1" thickBot="1" x14ac:dyDescent="0.3">
      <c r="A1262" s="1207"/>
      <c r="B1262" s="1212"/>
      <c r="C1262" s="1212"/>
      <c r="D1262" s="1212"/>
      <c r="E1262" s="1212"/>
      <c r="F1262" s="1208"/>
      <c r="G1262" s="1208"/>
      <c r="H1262" s="1208"/>
      <c r="I1262" s="1209"/>
      <c r="J1262" s="1209"/>
      <c r="K1262" s="1210">
        <f t="shared" si="234"/>
        <v>1.05</v>
      </c>
      <c r="L1262" s="1210">
        <f t="shared" si="235"/>
        <v>0</v>
      </c>
      <c r="M1262" s="1197">
        <f t="shared" si="236"/>
        <v>0</v>
      </c>
      <c r="N1262" s="1211">
        <f t="shared" si="237"/>
        <v>0</v>
      </c>
      <c r="O1262" s="1212"/>
      <c r="P1262" s="1200"/>
      <c r="Q1262" s="1200"/>
      <c r="R1262" s="1213"/>
      <c r="S1262" s="1213"/>
      <c r="T1262" s="1213"/>
      <c r="U1262" s="1213"/>
      <c r="V1262" s="1213"/>
    </row>
    <row r="1263" spans="1:22" ht="15" thickTop="1" thickBot="1" x14ac:dyDescent="0.3">
      <c r="A1263" s="1207"/>
      <c r="B1263" s="1212"/>
      <c r="C1263" s="1212"/>
      <c r="D1263" s="1212"/>
      <c r="E1263" s="1212"/>
      <c r="F1263" s="1208"/>
      <c r="G1263" s="1208"/>
      <c r="H1263" s="1208"/>
      <c r="I1263" s="1209"/>
      <c r="J1263" s="1209"/>
      <c r="K1263" s="1210">
        <f t="shared" si="234"/>
        <v>1.05</v>
      </c>
      <c r="L1263" s="1210">
        <f t="shared" si="235"/>
        <v>0</v>
      </c>
      <c r="M1263" s="1197">
        <f t="shared" si="236"/>
        <v>0</v>
      </c>
      <c r="N1263" s="1211">
        <f t="shared" si="237"/>
        <v>0</v>
      </c>
      <c r="O1263" s="1212"/>
      <c r="P1263" s="1200"/>
      <c r="Q1263" s="1200"/>
      <c r="R1263" s="1213"/>
      <c r="S1263" s="1213"/>
      <c r="T1263" s="1213"/>
      <c r="U1263" s="1213"/>
      <c r="V1263" s="1213"/>
    </row>
    <row r="1264" spans="1:22" ht="15" thickTop="1" thickBot="1" x14ac:dyDescent="0.3">
      <c r="A1264" s="1207"/>
      <c r="B1264" s="1212"/>
      <c r="C1264" s="1212"/>
      <c r="D1264" s="1212"/>
      <c r="E1264" s="1212"/>
      <c r="F1264" s="1208"/>
      <c r="G1264" s="1208"/>
      <c r="H1264" s="1208"/>
      <c r="I1264" s="1209"/>
      <c r="J1264" s="1209"/>
      <c r="K1264" s="1210">
        <f t="shared" si="234"/>
        <v>1.05</v>
      </c>
      <c r="L1264" s="1210">
        <f t="shared" si="235"/>
        <v>0</v>
      </c>
      <c r="M1264" s="1197">
        <f t="shared" si="236"/>
        <v>0</v>
      </c>
      <c r="N1264" s="1211">
        <f t="shared" si="237"/>
        <v>0</v>
      </c>
      <c r="O1264" s="1212"/>
      <c r="P1264" s="1200"/>
      <c r="Q1264" s="1200"/>
      <c r="R1264" s="1213"/>
      <c r="S1264" s="1213"/>
      <c r="T1264" s="1213"/>
      <c r="U1264" s="1213"/>
      <c r="V1264" s="1213"/>
    </row>
    <row r="1265" spans="1:22" ht="15" thickTop="1" thickBot="1" x14ac:dyDescent="0.3">
      <c r="A1265" s="1207"/>
      <c r="B1265" s="1212"/>
      <c r="C1265" s="1212"/>
      <c r="D1265" s="1212"/>
      <c r="E1265" s="1212"/>
      <c r="F1265" s="1208"/>
      <c r="G1265" s="1208"/>
      <c r="H1265" s="1208"/>
      <c r="I1265" s="1209"/>
      <c r="J1265" s="1209"/>
      <c r="K1265" s="1210">
        <f t="shared" si="234"/>
        <v>1.05</v>
      </c>
      <c r="L1265" s="1210">
        <f t="shared" si="235"/>
        <v>0</v>
      </c>
      <c r="M1265" s="1197">
        <f t="shared" si="236"/>
        <v>0</v>
      </c>
      <c r="N1265" s="1211">
        <f t="shared" si="237"/>
        <v>0</v>
      </c>
      <c r="O1265" s="1212"/>
      <c r="P1265" s="1200"/>
      <c r="Q1265" s="1200"/>
      <c r="R1265" s="1213"/>
      <c r="S1265" s="1213"/>
      <c r="T1265" s="1213"/>
      <c r="U1265" s="1213"/>
      <c r="V1265" s="1213"/>
    </row>
    <row r="1266" spans="1:22" ht="15" thickTop="1" thickBot="1" x14ac:dyDescent="0.3">
      <c r="A1266" s="1207"/>
      <c r="B1266" s="1212"/>
      <c r="C1266" s="1212"/>
      <c r="D1266" s="1212"/>
      <c r="E1266" s="1212"/>
      <c r="F1266" s="1208"/>
      <c r="G1266" s="1208"/>
      <c r="H1266" s="1208"/>
      <c r="I1266" s="1209"/>
      <c r="J1266" s="1209"/>
      <c r="K1266" s="1210">
        <f t="shared" si="234"/>
        <v>1.05</v>
      </c>
      <c r="L1266" s="1210">
        <f t="shared" si="235"/>
        <v>0</v>
      </c>
      <c r="M1266" s="1197">
        <f t="shared" si="236"/>
        <v>0</v>
      </c>
      <c r="N1266" s="1211">
        <f t="shared" si="237"/>
        <v>0</v>
      </c>
      <c r="O1266" s="1212"/>
      <c r="P1266" s="1200"/>
      <c r="Q1266" s="1200"/>
      <c r="R1266" s="1213"/>
      <c r="S1266" s="1213"/>
      <c r="T1266" s="1213"/>
      <c r="U1266" s="1213"/>
      <c r="V1266" s="1213"/>
    </row>
    <row r="1267" spans="1:22" ht="15" thickTop="1" thickBot="1" x14ac:dyDescent="0.3">
      <c r="A1267" s="1207"/>
      <c r="B1267" s="1212"/>
      <c r="C1267" s="1212"/>
      <c r="D1267" s="1212"/>
      <c r="E1267" s="1212"/>
      <c r="F1267" s="1208"/>
      <c r="G1267" s="1208"/>
      <c r="H1267" s="1208"/>
      <c r="I1267" s="1209"/>
      <c r="J1267" s="1209"/>
      <c r="K1267" s="1210">
        <f t="shared" si="234"/>
        <v>1.05</v>
      </c>
      <c r="L1267" s="1210">
        <f t="shared" si="235"/>
        <v>0</v>
      </c>
      <c r="M1267" s="1197">
        <f t="shared" si="236"/>
        <v>0</v>
      </c>
      <c r="N1267" s="1211">
        <f t="shared" si="237"/>
        <v>0</v>
      </c>
      <c r="O1267" s="1212"/>
      <c r="P1267" s="1200"/>
      <c r="Q1267" s="1200"/>
      <c r="R1267" s="1213"/>
      <c r="S1267" s="1213"/>
      <c r="T1267" s="1213"/>
      <c r="U1267" s="1213"/>
      <c r="V1267" s="1213"/>
    </row>
    <row r="1268" spans="1:22" ht="15" thickTop="1" thickBot="1" x14ac:dyDescent="0.3">
      <c r="A1268" s="1207"/>
      <c r="B1268" s="1212"/>
      <c r="C1268" s="1212"/>
      <c r="D1268" s="1212"/>
      <c r="E1268" s="1212"/>
      <c r="F1268" s="1208"/>
      <c r="G1268" s="1208"/>
      <c r="H1268" s="1208"/>
      <c r="I1268" s="1209"/>
      <c r="J1268" s="1209"/>
      <c r="K1268" s="1210">
        <f t="shared" si="234"/>
        <v>1.05</v>
      </c>
      <c r="L1268" s="1210">
        <f t="shared" si="235"/>
        <v>0</v>
      </c>
      <c r="M1268" s="1197">
        <f t="shared" si="236"/>
        <v>0</v>
      </c>
      <c r="N1268" s="1211">
        <f t="shared" si="237"/>
        <v>0</v>
      </c>
      <c r="O1268" s="1212"/>
      <c r="P1268" s="1200"/>
      <c r="Q1268" s="1200"/>
      <c r="R1268" s="1213"/>
      <c r="S1268" s="1213"/>
      <c r="T1268" s="1213"/>
      <c r="U1268" s="1213"/>
      <c r="V1268" s="1213"/>
    </row>
    <row r="1269" spans="1:22" ht="15" thickTop="1" thickBot="1" x14ac:dyDescent="0.3">
      <c r="A1269" s="1207"/>
      <c r="B1269" s="1212"/>
      <c r="C1269" s="1212"/>
      <c r="D1269" s="1212"/>
      <c r="E1269" s="1212"/>
      <c r="F1269" s="1208"/>
      <c r="G1269" s="1208"/>
      <c r="H1269" s="1208"/>
      <c r="I1269" s="1209"/>
      <c r="J1269" s="1209"/>
      <c r="K1269" s="1210">
        <f t="shared" si="234"/>
        <v>1.05</v>
      </c>
      <c r="L1269" s="1210">
        <f t="shared" si="235"/>
        <v>0</v>
      </c>
      <c r="M1269" s="1197">
        <f t="shared" si="236"/>
        <v>0</v>
      </c>
      <c r="N1269" s="1211">
        <f t="shared" si="237"/>
        <v>0</v>
      </c>
      <c r="O1269" s="1212"/>
      <c r="P1269" s="1200"/>
      <c r="Q1269" s="1200"/>
      <c r="R1269" s="1213"/>
      <c r="S1269" s="1213"/>
      <c r="T1269" s="1213"/>
      <c r="U1269" s="1213"/>
      <c r="V1269" s="1213"/>
    </row>
    <row r="1270" spans="1:22" ht="15" thickTop="1" thickBot="1" x14ac:dyDescent="0.3">
      <c r="A1270" s="1207"/>
      <c r="B1270" s="1212"/>
      <c r="C1270" s="1212"/>
      <c r="D1270" s="1212"/>
      <c r="E1270" s="1212"/>
      <c r="F1270" s="1208"/>
      <c r="G1270" s="1208"/>
      <c r="H1270" s="1208"/>
      <c r="I1270" s="1209"/>
      <c r="J1270" s="1209"/>
      <c r="K1270" s="1210">
        <f t="shared" si="234"/>
        <v>1.05</v>
      </c>
      <c r="L1270" s="1210">
        <f t="shared" si="235"/>
        <v>0</v>
      </c>
      <c r="M1270" s="1197">
        <f t="shared" si="236"/>
        <v>0</v>
      </c>
      <c r="N1270" s="1211">
        <f t="shared" si="237"/>
        <v>0</v>
      </c>
      <c r="O1270" s="1212"/>
      <c r="P1270" s="1200"/>
      <c r="Q1270" s="1200"/>
      <c r="R1270" s="1213"/>
      <c r="S1270" s="1213"/>
      <c r="T1270" s="1213"/>
      <c r="U1270" s="1213"/>
      <c r="V1270" s="1213"/>
    </row>
    <row r="1271" spans="1:22" ht="15" thickTop="1" thickBot="1" x14ac:dyDescent="0.3">
      <c r="A1271" s="1207"/>
      <c r="B1271" s="1212"/>
      <c r="C1271" s="1212"/>
      <c r="D1271" s="1212"/>
      <c r="E1271" s="1212"/>
      <c r="F1271" s="1208"/>
      <c r="G1271" s="1208"/>
      <c r="H1271" s="1208"/>
      <c r="I1271" s="1209"/>
      <c r="J1271" s="1209"/>
      <c r="K1271" s="1210">
        <f t="shared" si="234"/>
        <v>1.05</v>
      </c>
      <c r="L1271" s="1210">
        <f t="shared" si="235"/>
        <v>0</v>
      </c>
      <c r="M1271" s="1197">
        <f t="shared" si="236"/>
        <v>0</v>
      </c>
      <c r="N1271" s="1211">
        <f t="shared" si="237"/>
        <v>0</v>
      </c>
      <c r="O1271" s="1212"/>
      <c r="P1271" s="1200"/>
      <c r="Q1271" s="1200"/>
      <c r="R1271" s="1213"/>
      <c r="S1271" s="1213"/>
      <c r="T1271" s="1213"/>
      <c r="U1271" s="1213"/>
      <c r="V1271" s="1213"/>
    </row>
    <row r="1272" spans="1:22" ht="15" thickTop="1" thickBot="1" x14ac:dyDescent="0.3">
      <c r="A1272" s="1207"/>
      <c r="B1272" s="1212"/>
      <c r="C1272" s="1212"/>
      <c r="D1272" s="1212"/>
      <c r="E1272" s="1212"/>
      <c r="F1272" s="1208"/>
      <c r="G1272" s="1208"/>
      <c r="H1272" s="1208"/>
      <c r="I1272" s="1209"/>
      <c r="J1272" s="1209"/>
      <c r="K1272" s="1210">
        <f t="shared" si="234"/>
        <v>1.05</v>
      </c>
      <c r="L1272" s="1210">
        <f t="shared" si="235"/>
        <v>0</v>
      </c>
      <c r="M1272" s="1197">
        <f t="shared" si="236"/>
        <v>0</v>
      </c>
      <c r="N1272" s="1211">
        <f t="shared" si="237"/>
        <v>0</v>
      </c>
      <c r="O1272" s="1212"/>
      <c r="P1272" s="1200"/>
      <c r="Q1272" s="1200"/>
      <c r="R1272" s="1213"/>
      <c r="S1272" s="1213"/>
      <c r="T1272" s="1213"/>
      <c r="U1272" s="1213"/>
      <c r="V1272" s="1213"/>
    </row>
    <row r="1273" spans="1:22" ht="15" thickTop="1" thickBot="1" x14ac:dyDescent="0.3">
      <c r="A1273" s="1207"/>
      <c r="B1273" s="1212"/>
      <c r="C1273" s="1212"/>
      <c r="D1273" s="1212"/>
      <c r="E1273" s="1212"/>
      <c r="F1273" s="1208"/>
      <c r="G1273" s="1208"/>
      <c r="H1273" s="1208"/>
      <c r="I1273" s="1209"/>
      <c r="J1273" s="1209"/>
      <c r="K1273" s="1210">
        <f t="shared" si="234"/>
        <v>1.05</v>
      </c>
      <c r="L1273" s="1210">
        <f t="shared" si="235"/>
        <v>0</v>
      </c>
      <c r="M1273" s="1197">
        <f t="shared" si="236"/>
        <v>0</v>
      </c>
      <c r="N1273" s="1211">
        <f t="shared" si="237"/>
        <v>0</v>
      </c>
      <c r="O1273" s="1212"/>
      <c r="P1273" s="1200"/>
      <c r="Q1273" s="1200"/>
      <c r="R1273" s="1213"/>
      <c r="S1273" s="1213"/>
      <c r="T1273" s="1213"/>
      <c r="U1273" s="1213"/>
      <c r="V1273" s="1213"/>
    </row>
    <row r="1274" spans="1:22" ht="15" thickTop="1" thickBot="1" x14ac:dyDescent="0.3">
      <c r="A1274" s="1207"/>
      <c r="B1274" s="1212"/>
      <c r="C1274" s="1212"/>
      <c r="D1274" s="1212"/>
      <c r="E1274" s="1212"/>
      <c r="F1274" s="1208"/>
      <c r="G1274" s="1208"/>
      <c r="H1274" s="1208"/>
      <c r="I1274" s="1209"/>
      <c r="J1274" s="1209"/>
      <c r="K1274" s="1210">
        <f t="shared" si="234"/>
        <v>1.05</v>
      </c>
      <c r="L1274" s="1210">
        <f t="shared" si="235"/>
        <v>0</v>
      </c>
      <c r="M1274" s="1197">
        <f t="shared" si="236"/>
        <v>0</v>
      </c>
      <c r="N1274" s="1211">
        <f t="shared" si="237"/>
        <v>0</v>
      </c>
      <c r="O1274" s="1212"/>
      <c r="P1274" s="1200"/>
      <c r="Q1274" s="1200"/>
      <c r="R1274" s="1213"/>
      <c r="S1274" s="1213"/>
      <c r="T1274" s="1213"/>
      <c r="U1274" s="1213"/>
      <c r="V1274" s="1213"/>
    </row>
    <row r="1275" spans="1:22" ht="15" thickTop="1" thickBot="1" x14ac:dyDescent="0.3">
      <c r="A1275" s="1207"/>
      <c r="B1275" s="1212"/>
      <c r="C1275" s="1212"/>
      <c r="D1275" s="1212"/>
      <c r="E1275" s="1212"/>
      <c r="F1275" s="1208"/>
      <c r="G1275" s="1208"/>
      <c r="H1275" s="1208"/>
      <c r="I1275" s="1209"/>
      <c r="J1275" s="1209"/>
      <c r="K1275" s="1210">
        <f t="shared" si="234"/>
        <v>1.05</v>
      </c>
      <c r="L1275" s="1210">
        <f t="shared" si="235"/>
        <v>0</v>
      </c>
      <c r="M1275" s="1197">
        <f t="shared" si="236"/>
        <v>0</v>
      </c>
      <c r="N1275" s="1211">
        <f t="shared" si="237"/>
        <v>0</v>
      </c>
      <c r="O1275" s="1212"/>
      <c r="P1275" s="1200"/>
      <c r="Q1275" s="1200"/>
      <c r="R1275" s="1213"/>
      <c r="S1275" s="1213"/>
      <c r="T1275" s="1213"/>
      <c r="U1275" s="1213"/>
      <c r="V1275" s="1213"/>
    </row>
    <row r="1276" spans="1:22" ht="15" thickTop="1" thickBot="1" x14ac:dyDescent="0.3">
      <c r="A1276" s="1207"/>
      <c r="B1276" s="1212"/>
      <c r="C1276" s="1212"/>
      <c r="D1276" s="1212"/>
      <c r="E1276" s="1212"/>
      <c r="F1276" s="1208"/>
      <c r="G1276" s="1208"/>
      <c r="H1276" s="1208"/>
      <c r="I1276" s="1209"/>
      <c r="J1276" s="1209"/>
      <c r="K1276" s="1210">
        <f t="shared" si="234"/>
        <v>1.05</v>
      </c>
      <c r="L1276" s="1210">
        <f t="shared" si="235"/>
        <v>0</v>
      </c>
      <c r="M1276" s="1197">
        <f t="shared" si="236"/>
        <v>0</v>
      </c>
      <c r="N1276" s="1211">
        <f t="shared" si="237"/>
        <v>0</v>
      </c>
      <c r="O1276" s="1212"/>
      <c r="P1276" s="1200"/>
      <c r="Q1276" s="1200"/>
      <c r="R1276" s="1213"/>
      <c r="S1276" s="1213"/>
      <c r="T1276" s="1213"/>
      <c r="U1276" s="1213"/>
      <c r="V1276" s="1213"/>
    </row>
    <row r="1277" spans="1:22" ht="15" thickTop="1" thickBot="1" x14ac:dyDescent="0.3">
      <c r="A1277" s="1207"/>
      <c r="B1277" s="1212"/>
      <c r="C1277" s="1212"/>
      <c r="D1277" s="1212"/>
      <c r="E1277" s="1212"/>
      <c r="F1277" s="1208"/>
      <c r="G1277" s="1208"/>
      <c r="H1277" s="1208"/>
      <c r="I1277" s="1209"/>
      <c r="J1277" s="1209"/>
      <c r="K1277" s="1210">
        <f t="shared" si="234"/>
        <v>1.05</v>
      </c>
      <c r="L1277" s="1210">
        <f t="shared" si="235"/>
        <v>0</v>
      </c>
      <c r="M1277" s="1197">
        <f t="shared" si="236"/>
        <v>0</v>
      </c>
      <c r="N1277" s="1211">
        <f t="shared" si="237"/>
        <v>0</v>
      </c>
      <c r="O1277" s="1212"/>
      <c r="P1277" s="1200"/>
      <c r="Q1277" s="1200"/>
      <c r="R1277" s="1213"/>
      <c r="S1277" s="1213"/>
      <c r="T1277" s="1213"/>
      <c r="U1277" s="1213"/>
      <c r="V1277" s="1213"/>
    </row>
    <row r="1278" spans="1:22" ht="15" thickTop="1" thickBot="1" x14ac:dyDescent="0.3">
      <c r="A1278" s="1207"/>
      <c r="B1278" s="1212"/>
      <c r="C1278" s="1212"/>
      <c r="D1278" s="1212"/>
      <c r="E1278" s="1212"/>
      <c r="F1278" s="1208"/>
      <c r="G1278" s="1208"/>
      <c r="H1278" s="1208"/>
      <c r="I1278" s="1209"/>
      <c r="J1278" s="1209"/>
      <c r="K1278" s="1210">
        <f t="shared" si="234"/>
        <v>1.05</v>
      </c>
      <c r="L1278" s="1210">
        <f t="shared" si="235"/>
        <v>0</v>
      </c>
      <c r="M1278" s="1197">
        <f t="shared" si="236"/>
        <v>0</v>
      </c>
      <c r="N1278" s="1211">
        <f t="shared" si="237"/>
        <v>0</v>
      </c>
      <c r="O1278" s="1212"/>
      <c r="P1278" s="1200"/>
      <c r="Q1278" s="1200"/>
      <c r="R1278" s="1213"/>
      <c r="S1278" s="1213"/>
      <c r="T1278" s="1213"/>
      <c r="U1278" s="1213"/>
      <c r="V1278" s="1213"/>
    </row>
    <row r="1279" spans="1:22" ht="15" thickTop="1" thickBot="1" x14ac:dyDescent="0.3">
      <c r="A1279" s="1207"/>
      <c r="B1279" s="1212"/>
      <c r="C1279" s="1212"/>
      <c r="D1279" s="1212"/>
      <c r="E1279" s="1212"/>
      <c r="F1279" s="1208"/>
      <c r="G1279" s="1208"/>
      <c r="H1279" s="1208"/>
      <c r="I1279" s="1209"/>
      <c r="J1279" s="1209"/>
      <c r="K1279" s="1210">
        <f t="shared" si="234"/>
        <v>1.05</v>
      </c>
      <c r="L1279" s="1210">
        <f t="shared" si="235"/>
        <v>0</v>
      </c>
      <c r="M1279" s="1197">
        <f t="shared" si="236"/>
        <v>0</v>
      </c>
      <c r="N1279" s="1211">
        <f t="shared" si="237"/>
        <v>0</v>
      </c>
      <c r="O1279" s="1212"/>
      <c r="P1279" s="1200"/>
      <c r="Q1279" s="1200"/>
      <c r="R1279" s="1213"/>
      <c r="S1279" s="1213"/>
      <c r="T1279" s="1213"/>
      <c r="U1279" s="1213"/>
      <c r="V1279" s="1213"/>
    </row>
    <row r="1280" spans="1:22" ht="15" thickTop="1" thickBot="1" x14ac:dyDescent="0.3">
      <c r="A1280" s="1207"/>
      <c r="B1280" s="1212"/>
      <c r="C1280" s="1212"/>
      <c r="D1280" s="1212"/>
      <c r="E1280" s="1212"/>
      <c r="F1280" s="1208"/>
      <c r="G1280" s="1208"/>
      <c r="H1280" s="1208"/>
      <c r="I1280" s="1209"/>
      <c r="J1280" s="1209"/>
      <c r="K1280" s="1210">
        <f t="shared" si="234"/>
        <v>1.05</v>
      </c>
      <c r="L1280" s="1210">
        <f t="shared" si="235"/>
        <v>0</v>
      </c>
      <c r="M1280" s="1197">
        <f t="shared" si="236"/>
        <v>0</v>
      </c>
      <c r="N1280" s="1211">
        <f t="shared" si="237"/>
        <v>0</v>
      </c>
      <c r="O1280" s="1212"/>
      <c r="P1280" s="1200"/>
      <c r="Q1280" s="1200"/>
      <c r="R1280" s="1213"/>
      <c r="S1280" s="1213"/>
      <c r="T1280" s="1213"/>
      <c r="U1280" s="1213"/>
      <c r="V1280" s="1213"/>
    </row>
    <row r="1281" spans="1:22" ht="15" thickTop="1" thickBot="1" x14ac:dyDescent="0.3">
      <c r="A1281" s="1207"/>
      <c r="B1281" s="1212"/>
      <c r="C1281" s="1212"/>
      <c r="D1281" s="1212"/>
      <c r="E1281" s="1212"/>
      <c r="F1281" s="1208"/>
      <c r="G1281" s="1208"/>
      <c r="H1281" s="1208"/>
      <c r="I1281" s="1209"/>
      <c r="J1281" s="1209"/>
      <c r="K1281" s="1210">
        <f t="shared" si="234"/>
        <v>1.05</v>
      </c>
      <c r="L1281" s="1210">
        <f t="shared" si="235"/>
        <v>0</v>
      </c>
      <c r="M1281" s="1197">
        <f t="shared" si="236"/>
        <v>0</v>
      </c>
      <c r="N1281" s="1211">
        <f t="shared" si="237"/>
        <v>0</v>
      </c>
      <c r="O1281" s="1212"/>
      <c r="P1281" s="1200"/>
      <c r="Q1281" s="1200"/>
      <c r="R1281" s="1213"/>
      <c r="S1281" s="1213"/>
      <c r="T1281" s="1213"/>
      <c r="U1281" s="1213"/>
      <c r="V1281" s="1213"/>
    </row>
    <row r="1282" spans="1:22" ht="15" thickTop="1" thickBot="1" x14ac:dyDescent="0.3">
      <c r="A1282" s="1207"/>
      <c r="B1282" s="1212"/>
      <c r="C1282" s="1212"/>
      <c r="D1282" s="1212"/>
      <c r="E1282" s="1212"/>
      <c r="F1282" s="1208"/>
      <c r="G1282" s="1208"/>
      <c r="H1282" s="1208"/>
      <c r="I1282" s="1209"/>
      <c r="J1282" s="1209"/>
      <c r="K1282" s="1210">
        <f t="shared" si="234"/>
        <v>1.05</v>
      </c>
      <c r="L1282" s="1210">
        <f t="shared" si="235"/>
        <v>0</v>
      </c>
      <c r="M1282" s="1197">
        <f t="shared" si="236"/>
        <v>0</v>
      </c>
      <c r="N1282" s="1211">
        <f t="shared" si="237"/>
        <v>0</v>
      </c>
      <c r="O1282" s="1212"/>
      <c r="P1282" s="1200"/>
      <c r="Q1282" s="1200"/>
      <c r="R1282" s="1213"/>
      <c r="S1282" s="1213"/>
      <c r="T1282" s="1213"/>
      <c r="U1282" s="1213"/>
      <c r="V1282" s="1213"/>
    </row>
    <row r="1283" spans="1:22" ht="15" thickTop="1" thickBot="1" x14ac:dyDescent="0.3">
      <c r="A1283" s="1207"/>
      <c r="B1283" s="1212"/>
      <c r="C1283" s="1212"/>
      <c r="D1283" s="1212"/>
      <c r="E1283" s="1212"/>
      <c r="F1283" s="1208"/>
      <c r="G1283" s="1208"/>
      <c r="H1283" s="1208"/>
      <c r="I1283" s="1209"/>
      <c r="J1283" s="1209"/>
      <c r="K1283" s="1210">
        <f t="shared" si="234"/>
        <v>1.05</v>
      </c>
      <c r="L1283" s="1210">
        <f t="shared" si="235"/>
        <v>0</v>
      </c>
      <c r="M1283" s="1197">
        <f t="shared" si="236"/>
        <v>0</v>
      </c>
      <c r="N1283" s="1211">
        <f t="shared" si="237"/>
        <v>0</v>
      </c>
      <c r="O1283" s="1212"/>
      <c r="P1283" s="1200"/>
      <c r="Q1283" s="1200"/>
      <c r="R1283" s="1213"/>
      <c r="S1283" s="1213"/>
      <c r="T1283" s="1213"/>
      <c r="U1283" s="1213"/>
      <c r="V1283" s="1213"/>
    </row>
    <row r="1284" spans="1:22" ht="15" thickTop="1" thickBot="1" x14ac:dyDescent="0.3">
      <c r="A1284" s="1207"/>
      <c r="B1284" s="1212"/>
      <c r="C1284" s="1212"/>
      <c r="D1284" s="1212"/>
      <c r="E1284" s="1212"/>
      <c r="F1284" s="1208"/>
      <c r="G1284" s="1208"/>
      <c r="H1284" s="1208"/>
      <c r="I1284" s="1209"/>
      <c r="J1284" s="1209"/>
      <c r="K1284" s="1210">
        <f t="shared" si="234"/>
        <v>1.05</v>
      </c>
      <c r="L1284" s="1210">
        <f t="shared" si="235"/>
        <v>0</v>
      </c>
      <c r="M1284" s="1197">
        <f t="shared" si="236"/>
        <v>0</v>
      </c>
      <c r="N1284" s="1211">
        <f t="shared" si="237"/>
        <v>0</v>
      </c>
      <c r="O1284" s="1212"/>
      <c r="P1284" s="1200"/>
      <c r="Q1284" s="1200"/>
      <c r="R1284" s="1213"/>
      <c r="S1284" s="1213"/>
      <c r="T1284" s="1213"/>
      <c r="U1284" s="1213"/>
      <c r="V1284" s="1213"/>
    </row>
    <row r="1285" spans="1:22" ht="15" thickTop="1" thickBot="1" x14ac:dyDescent="0.3">
      <c r="A1285" s="1207"/>
      <c r="B1285" s="1212"/>
      <c r="C1285" s="1212"/>
      <c r="D1285" s="1212"/>
      <c r="E1285" s="1212"/>
      <c r="F1285" s="1208"/>
      <c r="G1285" s="1208"/>
      <c r="H1285" s="1208"/>
      <c r="I1285" s="1209"/>
      <c r="J1285" s="1209"/>
      <c r="K1285" s="1210">
        <f t="shared" si="234"/>
        <v>1.05</v>
      </c>
      <c r="L1285" s="1210">
        <f t="shared" si="235"/>
        <v>0</v>
      </c>
      <c r="M1285" s="1197">
        <f t="shared" si="236"/>
        <v>0</v>
      </c>
      <c r="N1285" s="1211">
        <f t="shared" si="237"/>
        <v>0</v>
      </c>
      <c r="O1285" s="1212"/>
      <c r="P1285" s="1200"/>
      <c r="Q1285" s="1200"/>
      <c r="R1285" s="1213"/>
      <c r="S1285" s="1213"/>
      <c r="T1285" s="1213"/>
      <c r="U1285" s="1213"/>
      <c r="V1285" s="1213"/>
    </row>
    <row r="1286" spans="1:22" ht="15" thickTop="1" thickBot="1" x14ac:dyDescent="0.3">
      <c r="A1286" s="1207"/>
      <c r="B1286" s="1212"/>
      <c r="C1286" s="1212"/>
      <c r="D1286" s="1212"/>
      <c r="E1286" s="1212"/>
      <c r="F1286" s="1208"/>
      <c r="G1286" s="1208"/>
      <c r="H1286" s="1208"/>
      <c r="I1286" s="1209"/>
      <c r="J1286" s="1209"/>
      <c r="K1286" s="1210">
        <f t="shared" si="234"/>
        <v>1.05</v>
      </c>
      <c r="L1286" s="1210">
        <f t="shared" si="235"/>
        <v>0</v>
      </c>
      <c r="M1286" s="1197">
        <f t="shared" si="236"/>
        <v>0</v>
      </c>
      <c r="N1286" s="1211">
        <f t="shared" si="237"/>
        <v>0</v>
      </c>
      <c r="O1286" s="1212"/>
      <c r="P1286" s="1200"/>
      <c r="Q1286" s="1200"/>
      <c r="R1286" s="1213"/>
      <c r="S1286" s="1213"/>
      <c r="T1286" s="1213"/>
      <c r="U1286" s="1213"/>
      <c r="V1286" s="1213"/>
    </row>
    <row r="1287" spans="1:22" ht="15" thickTop="1" thickBot="1" x14ac:dyDescent="0.3">
      <c r="A1287" s="1207"/>
      <c r="B1287" s="1212"/>
      <c r="C1287" s="1212"/>
      <c r="D1287" s="1212"/>
      <c r="E1287" s="1212"/>
      <c r="F1287" s="1208"/>
      <c r="G1287" s="1208"/>
      <c r="H1287" s="1208"/>
      <c r="I1287" s="1209"/>
      <c r="J1287" s="1209"/>
      <c r="K1287" s="1210">
        <f t="shared" si="234"/>
        <v>1.05</v>
      </c>
      <c r="L1287" s="1210">
        <f t="shared" si="235"/>
        <v>0</v>
      </c>
      <c r="M1287" s="1197">
        <f t="shared" si="236"/>
        <v>0</v>
      </c>
      <c r="N1287" s="1211">
        <f t="shared" si="237"/>
        <v>0</v>
      </c>
      <c r="O1287" s="1212"/>
      <c r="P1287" s="1200"/>
      <c r="Q1287" s="1200"/>
      <c r="R1287" s="1213"/>
      <c r="S1287" s="1213"/>
      <c r="T1287" s="1213"/>
      <c r="U1287" s="1213"/>
      <c r="V1287" s="1213"/>
    </row>
    <row r="1288" spans="1:22" ht="15" thickTop="1" thickBot="1" x14ac:dyDescent="0.3">
      <c r="A1288" s="1207"/>
      <c r="B1288" s="1212"/>
      <c r="C1288" s="1212"/>
      <c r="D1288" s="1212"/>
      <c r="E1288" s="1212"/>
      <c r="F1288" s="1208"/>
      <c r="G1288" s="1208"/>
      <c r="H1288" s="1208"/>
      <c r="I1288" s="1209"/>
      <c r="J1288" s="1209"/>
      <c r="K1288" s="1210">
        <f t="shared" si="234"/>
        <v>1.05</v>
      </c>
      <c r="L1288" s="1210">
        <f t="shared" si="235"/>
        <v>0</v>
      </c>
      <c r="M1288" s="1197">
        <f t="shared" si="236"/>
        <v>0</v>
      </c>
      <c r="N1288" s="1211">
        <f t="shared" si="237"/>
        <v>0</v>
      </c>
      <c r="O1288" s="1212"/>
      <c r="P1288" s="1200"/>
      <c r="Q1288" s="1200"/>
      <c r="R1288" s="1213"/>
      <c r="S1288" s="1213"/>
      <c r="T1288" s="1213"/>
      <c r="U1288" s="1213"/>
      <c r="V1288" s="1213"/>
    </row>
    <row r="1289" spans="1:22" ht="15" thickTop="1" thickBot="1" x14ac:dyDescent="0.3">
      <c r="A1289" s="1207"/>
      <c r="B1289" s="1212"/>
      <c r="C1289" s="1212"/>
      <c r="D1289" s="1212"/>
      <c r="E1289" s="1212"/>
      <c r="F1289" s="1208"/>
      <c r="G1289" s="1208"/>
      <c r="H1289" s="1208"/>
      <c r="I1289" s="1209"/>
      <c r="J1289" s="1209"/>
      <c r="K1289" s="1210">
        <f t="shared" si="234"/>
        <v>1.05</v>
      </c>
      <c r="L1289" s="1210">
        <f t="shared" si="235"/>
        <v>0</v>
      </c>
      <c r="M1289" s="1197">
        <f t="shared" si="236"/>
        <v>0</v>
      </c>
      <c r="N1289" s="1211">
        <f t="shared" si="237"/>
        <v>0</v>
      </c>
      <c r="O1289" s="1212"/>
      <c r="P1289" s="1200"/>
      <c r="Q1289" s="1200"/>
      <c r="R1289" s="1213"/>
      <c r="S1289" s="1213"/>
      <c r="T1289" s="1213"/>
      <c r="U1289" s="1213"/>
      <c r="V1289" s="1213"/>
    </row>
    <row r="1290" spans="1:22" ht="15" thickTop="1" thickBot="1" x14ac:dyDescent="0.3">
      <c r="A1290" s="1207"/>
      <c r="B1290" s="1212"/>
      <c r="C1290" s="1212"/>
      <c r="D1290" s="1212"/>
      <c r="E1290" s="1212"/>
      <c r="F1290" s="1208"/>
      <c r="G1290" s="1208"/>
      <c r="H1290" s="1208"/>
      <c r="I1290" s="1209"/>
      <c r="J1290" s="1209"/>
      <c r="K1290" s="1210">
        <f t="shared" si="234"/>
        <v>1.05</v>
      </c>
      <c r="L1290" s="1210">
        <f t="shared" si="235"/>
        <v>0</v>
      </c>
      <c r="M1290" s="1197">
        <f t="shared" si="236"/>
        <v>0</v>
      </c>
      <c r="N1290" s="1211">
        <f t="shared" si="237"/>
        <v>0</v>
      </c>
      <c r="O1290" s="1212"/>
      <c r="P1290" s="1200"/>
      <c r="Q1290" s="1200"/>
      <c r="R1290" s="1213"/>
      <c r="S1290" s="1213"/>
      <c r="T1290" s="1213"/>
      <c r="U1290" s="1213"/>
      <c r="V1290" s="1213"/>
    </row>
    <row r="1291" spans="1:22" ht="15" thickTop="1" thickBot="1" x14ac:dyDescent="0.3">
      <c r="A1291" s="1207"/>
      <c r="B1291" s="1212"/>
      <c r="C1291" s="1212"/>
      <c r="D1291" s="1212"/>
      <c r="E1291" s="1212"/>
      <c r="F1291" s="1208"/>
      <c r="G1291" s="1208"/>
      <c r="H1291" s="1208"/>
      <c r="I1291" s="1209"/>
      <c r="J1291" s="1209"/>
      <c r="K1291" s="1210">
        <f t="shared" ref="K1291:K1354" si="238">$K$2</f>
        <v>1.05</v>
      </c>
      <c r="L1291" s="1210">
        <f t="shared" si="235"/>
        <v>0</v>
      </c>
      <c r="M1291" s="1197">
        <f t="shared" si="236"/>
        <v>0</v>
      </c>
      <c r="N1291" s="1211">
        <f t="shared" si="237"/>
        <v>0</v>
      </c>
      <c r="O1291" s="1212"/>
      <c r="P1291" s="1200"/>
      <c r="Q1291" s="1200"/>
      <c r="R1291" s="1213"/>
      <c r="S1291" s="1213"/>
      <c r="T1291" s="1213"/>
      <c r="U1291" s="1213"/>
      <c r="V1291" s="1213"/>
    </row>
    <row r="1292" spans="1:22" ht="15" thickTop="1" thickBot="1" x14ac:dyDescent="0.3">
      <c r="A1292" s="1207"/>
      <c r="B1292" s="1212"/>
      <c r="C1292" s="1212"/>
      <c r="D1292" s="1212"/>
      <c r="E1292" s="1212"/>
      <c r="F1292" s="1208"/>
      <c r="G1292" s="1208"/>
      <c r="H1292" s="1208"/>
      <c r="I1292" s="1209"/>
      <c r="J1292" s="1209"/>
      <c r="K1292" s="1210">
        <f t="shared" si="238"/>
        <v>1.05</v>
      </c>
      <c r="L1292" s="1210">
        <f t="shared" si="235"/>
        <v>0</v>
      </c>
      <c r="M1292" s="1197">
        <f t="shared" si="236"/>
        <v>0</v>
      </c>
      <c r="N1292" s="1211">
        <f t="shared" si="237"/>
        <v>0</v>
      </c>
      <c r="O1292" s="1212"/>
      <c r="P1292" s="1200"/>
      <c r="Q1292" s="1200"/>
      <c r="R1292" s="1213"/>
      <c r="S1292" s="1213"/>
      <c r="T1292" s="1213"/>
      <c r="U1292" s="1213"/>
      <c r="V1292" s="1213"/>
    </row>
    <row r="1293" spans="1:22" ht="15" thickTop="1" thickBot="1" x14ac:dyDescent="0.3">
      <c r="A1293" s="1207"/>
      <c r="B1293" s="1212"/>
      <c r="C1293" s="1212"/>
      <c r="D1293" s="1212"/>
      <c r="E1293" s="1212"/>
      <c r="F1293" s="1208"/>
      <c r="G1293" s="1208"/>
      <c r="H1293" s="1208"/>
      <c r="I1293" s="1209"/>
      <c r="J1293" s="1209"/>
      <c r="K1293" s="1210">
        <f t="shared" si="238"/>
        <v>1.05</v>
      </c>
      <c r="L1293" s="1210">
        <f t="shared" si="235"/>
        <v>0</v>
      </c>
      <c r="M1293" s="1197">
        <f t="shared" si="236"/>
        <v>0</v>
      </c>
      <c r="N1293" s="1211">
        <f t="shared" si="237"/>
        <v>0</v>
      </c>
      <c r="O1293" s="1212"/>
      <c r="P1293" s="1200"/>
      <c r="Q1293" s="1200"/>
      <c r="R1293" s="1213"/>
      <c r="S1293" s="1213"/>
      <c r="T1293" s="1213"/>
      <c r="U1293" s="1213"/>
      <c r="V1293" s="1213"/>
    </row>
    <row r="1294" spans="1:22" ht="15" thickTop="1" thickBot="1" x14ac:dyDescent="0.3">
      <c r="A1294" s="1207"/>
      <c r="B1294" s="1212"/>
      <c r="C1294" s="1212"/>
      <c r="D1294" s="1212"/>
      <c r="E1294" s="1212"/>
      <c r="F1294" s="1208"/>
      <c r="G1294" s="1208"/>
      <c r="H1294" s="1208"/>
      <c r="I1294" s="1209"/>
      <c r="J1294" s="1209"/>
      <c r="K1294" s="1210">
        <f t="shared" si="238"/>
        <v>1.05</v>
      </c>
      <c r="L1294" s="1210">
        <f t="shared" si="235"/>
        <v>0</v>
      </c>
      <c r="M1294" s="1197">
        <f t="shared" si="236"/>
        <v>0</v>
      </c>
      <c r="N1294" s="1211">
        <f t="shared" si="237"/>
        <v>0</v>
      </c>
      <c r="O1294" s="1212"/>
      <c r="P1294" s="1200"/>
      <c r="Q1294" s="1200"/>
      <c r="R1294" s="1213"/>
      <c r="S1294" s="1213"/>
      <c r="T1294" s="1213"/>
      <c r="U1294" s="1213"/>
      <c r="V1294" s="1213"/>
    </row>
    <row r="1295" spans="1:22" ht="15" thickTop="1" thickBot="1" x14ac:dyDescent="0.3">
      <c r="A1295" s="1207"/>
      <c r="B1295" s="1212"/>
      <c r="C1295" s="1212"/>
      <c r="D1295" s="1212"/>
      <c r="E1295" s="1212"/>
      <c r="F1295" s="1208"/>
      <c r="G1295" s="1208"/>
      <c r="H1295" s="1208"/>
      <c r="I1295" s="1209"/>
      <c r="J1295" s="1209"/>
      <c r="K1295" s="1210">
        <f t="shared" si="238"/>
        <v>1.05</v>
      </c>
      <c r="L1295" s="1210">
        <f t="shared" si="235"/>
        <v>0</v>
      </c>
      <c r="M1295" s="1197">
        <f t="shared" si="236"/>
        <v>0</v>
      </c>
      <c r="N1295" s="1211">
        <f t="shared" si="237"/>
        <v>0</v>
      </c>
      <c r="O1295" s="1212"/>
      <c r="P1295" s="1200"/>
      <c r="Q1295" s="1200"/>
      <c r="R1295" s="1213"/>
      <c r="S1295" s="1213"/>
      <c r="T1295" s="1213"/>
      <c r="U1295" s="1213"/>
      <c r="V1295" s="1213"/>
    </row>
    <row r="1296" spans="1:22" ht="15" thickTop="1" thickBot="1" x14ac:dyDescent="0.3">
      <c r="A1296" s="1207"/>
      <c r="B1296" s="1212"/>
      <c r="C1296" s="1212"/>
      <c r="D1296" s="1212"/>
      <c r="E1296" s="1212"/>
      <c r="F1296" s="1208"/>
      <c r="G1296" s="1208"/>
      <c r="H1296" s="1208"/>
      <c r="I1296" s="1209"/>
      <c r="J1296" s="1209"/>
      <c r="K1296" s="1210">
        <f t="shared" si="238"/>
        <v>1.05</v>
      </c>
      <c r="L1296" s="1210">
        <f t="shared" si="235"/>
        <v>0</v>
      </c>
      <c r="M1296" s="1197">
        <f t="shared" si="236"/>
        <v>0</v>
      </c>
      <c r="N1296" s="1211">
        <f t="shared" si="237"/>
        <v>0</v>
      </c>
      <c r="O1296" s="1212"/>
      <c r="P1296" s="1200"/>
      <c r="Q1296" s="1200"/>
      <c r="R1296" s="1213"/>
      <c r="S1296" s="1213"/>
      <c r="T1296" s="1213"/>
      <c r="U1296" s="1213"/>
      <c r="V1296" s="1213"/>
    </row>
    <row r="1297" spans="1:22" ht="15" thickTop="1" thickBot="1" x14ac:dyDescent="0.3">
      <c r="A1297" s="1207"/>
      <c r="B1297" s="1212"/>
      <c r="C1297" s="1212"/>
      <c r="D1297" s="1212"/>
      <c r="E1297" s="1212"/>
      <c r="F1297" s="1208"/>
      <c r="G1297" s="1208"/>
      <c r="H1297" s="1208"/>
      <c r="I1297" s="1209"/>
      <c r="J1297" s="1209"/>
      <c r="K1297" s="1210">
        <f t="shared" si="238"/>
        <v>1.05</v>
      </c>
      <c r="L1297" s="1210">
        <f t="shared" si="235"/>
        <v>0</v>
      </c>
      <c r="M1297" s="1197">
        <f t="shared" si="236"/>
        <v>0</v>
      </c>
      <c r="N1297" s="1211">
        <f t="shared" si="237"/>
        <v>0</v>
      </c>
      <c r="O1297" s="1212"/>
      <c r="P1297" s="1200"/>
      <c r="Q1297" s="1200"/>
      <c r="R1297" s="1213"/>
      <c r="S1297" s="1213"/>
      <c r="T1297" s="1213"/>
      <c r="U1297" s="1213"/>
      <c r="V1297" s="1213"/>
    </row>
    <row r="1298" spans="1:22" ht="15" thickTop="1" thickBot="1" x14ac:dyDescent="0.3">
      <c r="A1298" s="1207"/>
      <c r="B1298" s="1212"/>
      <c r="C1298" s="1212"/>
      <c r="D1298" s="1212"/>
      <c r="E1298" s="1212"/>
      <c r="F1298" s="1208"/>
      <c r="G1298" s="1208"/>
      <c r="H1298" s="1208"/>
      <c r="I1298" s="1209"/>
      <c r="J1298" s="1209"/>
      <c r="K1298" s="1210">
        <f t="shared" si="238"/>
        <v>1.05</v>
      </c>
      <c r="L1298" s="1210">
        <f t="shared" si="235"/>
        <v>0</v>
      </c>
      <c r="M1298" s="1197">
        <f t="shared" si="236"/>
        <v>0</v>
      </c>
      <c r="N1298" s="1211">
        <f t="shared" si="237"/>
        <v>0</v>
      </c>
      <c r="O1298" s="1212"/>
      <c r="P1298" s="1200"/>
      <c r="Q1298" s="1200"/>
      <c r="R1298" s="1213"/>
      <c r="S1298" s="1213"/>
      <c r="T1298" s="1213"/>
      <c r="U1298" s="1213"/>
      <c r="V1298" s="1213"/>
    </row>
    <row r="1299" spans="1:22" ht="15" thickTop="1" thickBot="1" x14ac:dyDescent="0.3">
      <c r="A1299" s="1207"/>
      <c r="B1299" s="1212"/>
      <c r="C1299" s="1212"/>
      <c r="D1299" s="1212"/>
      <c r="E1299" s="1212"/>
      <c r="F1299" s="1208"/>
      <c r="G1299" s="1208"/>
      <c r="H1299" s="1208"/>
      <c r="I1299" s="1209"/>
      <c r="J1299" s="1209"/>
      <c r="K1299" s="1210">
        <f t="shared" si="238"/>
        <v>1.05</v>
      </c>
      <c r="L1299" s="1210">
        <f t="shared" si="235"/>
        <v>0</v>
      </c>
      <c r="M1299" s="1197">
        <f t="shared" si="236"/>
        <v>0</v>
      </c>
      <c r="N1299" s="1211">
        <f t="shared" si="237"/>
        <v>0</v>
      </c>
      <c r="O1299" s="1212"/>
      <c r="P1299" s="1200"/>
      <c r="Q1299" s="1200"/>
      <c r="R1299" s="1213"/>
      <c r="S1299" s="1213"/>
      <c r="T1299" s="1213"/>
      <c r="U1299" s="1213"/>
      <c r="V1299" s="1213"/>
    </row>
    <row r="1300" spans="1:22" ht="15" thickTop="1" thickBot="1" x14ac:dyDescent="0.3">
      <c r="A1300" s="1207"/>
      <c r="B1300" s="1212"/>
      <c r="C1300" s="1212"/>
      <c r="D1300" s="1212"/>
      <c r="E1300" s="1212"/>
      <c r="F1300" s="1208"/>
      <c r="G1300" s="1208"/>
      <c r="H1300" s="1208"/>
      <c r="I1300" s="1209"/>
      <c r="J1300" s="1209"/>
      <c r="K1300" s="1210">
        <f t="shared" si="238"/>
        <v>1.05</v>
      </c>
      <c r="L1300" s="1210">
        <f t="shared" si="235"/>
        <v>0</v>
      </c>
      <c r="M1300" s="1197">
        <f t="shared" si="236"/>
        <v>0</v>
      </c>
      <c r="N1300" s="1211">
        <f t="shared" si="237"/>
        <v>0</v>
      </c>
      <c r="O1300" s="1212"/>
      <c r="P1300" s="1200"/>
      <c r="Q1300" s="1200"/>
      <c r="R1300" s="1213"/>
      <c r="S1300" s="1213"/>
      <c r="T1300" s="1213"/>
      <c r="U1300" s="1213"/>
      <c r="V1300" s="1213"/>
    </row>
    <row r="1301" spans="1:22" ht="15" thickTop="1" thickBot="1" x14ac:dyDescent="0.3">
      <c r="A1301" s="1207"/>
      <c r="B1301" s="1212"/>
      <c r="C1301" s="1212"/>
      <c r="D1301" s="1212"/>
      <c r="E1301" s="1212"/>
      <c r="F1301" s="1208"/>
      <c r="G1301" s="1208"/>
      <c r="H1301" s="1208"/>
      <c r="I1301" s="1209"/>
      <c r="J1301" s="1209"/>
      <c r="K1301" s="1210">
        <f t="shared" si="238"/>
        <v>1.05</v>
      </c>
      <c r="L1301" s="1210">
        <f t="shared" si="235"/>
        <v>0</v>
      </c>
      <c r="M1301" s="1197">
        <f t="shared" si="236"/>
        <v>0</v>
      </c>
      <c r="N1301" s="1211">
        <f t="shared" si="237"/>
        <v>0</v>
      </c>
      <c r="O1301" s="1212"/>
      <c r="P1301" s="1200"/>
      <c r="Q1301" s="1200"/>
      <c r="R1301" s="1213"/>
      <c r="S1301" s="1213"/>
      <c r="T1301" s="1213"/>
      <c r="U1301" s="1213"/>
      <c r="V1301" s="1213"/>
    </row>
    <row r="1302" spans="1:22" ht="15" thickTop="1" thickBot="1" x14ac:dyDescent="0.3">
      <c r="A1302" s="1207"/>
      <c r="B1302" s="1212"/>
      <c r="C1302" s="1212"/>
      <c r="D1302" s="1212"/>
      <c r="E1302" s="1212"/>
      <c r="F1302" s="1208"/>
      <c r="G1302" s="1208"/>
      <c r="H1302" s="1208"/>
      <c r="I1302" s="1209"/>
      <c r="J1302" s="1209"/>
      <c r="K1302" s="1210">
        <f t="shared" si="238"/>
        <v>1.05</v>
      </c>
      <c r="L1302" s="1210">
        <f t="shared" si="235"/>
        <v>0</v>
      </c>
      <c r="M1302" s="1197">
        <f t="shared" si="236"/>
        <v>0</v>
      </c>
      <c r="N1302" s="1211">
        <f t="shared" si="237"/>
        <v>0</v>
      </c>
      <c r="O1302" s="1212"/>
      <c r="P1302" s="1200"/>
      <c r="Q1302" s="1200"/>
      <c r="R1302" s="1213"/>
      <c r="S1302" s="1213"/>
      <c r="T1302" s="1213"/>
      <c r="U1302" s="1213"/>
      <c r="V1302" s="1213"/>
    </row>
    <row r="1303" spans="1:22" ht="15" thickTop="1" thickBot="1" x14ac:dyDescent="0.3">
      <c r="A1303" s="1207"/>
      <c r="B1303" s="1212"/>
      <c r="C1303" s="1212"/>
      <c r="D1303" s="1212"/>
      <c r="E1303" s="1212"/>
      <c r="F1303" s="1208"/>
      <c r="G1303" s="1208"/>
      <c r="H1303" s="1208"/>
      <c r="I1303" s="1209"/>
      <c r="J1303" s="1209"/>
      <c r="K1303" s="1210">
        <f t="shared" si="238"/>
        <v>1.05</v>
      </c>
      <c r="L1303" s="1210">
        <f t="shared" si="235"/>
        <v>0</v>
      </c>
      <c r="M1303" s="1197">
        <f t="shared" si="236"/>
        <v>0</v>
      </c>
      <c r="N1303" s="1211">
        <f t="shared" si="237"/>
        <v>0</v>
      </c>
      <c r="O1303" s="1212"/>
      <c r="P1303" s="1200"/>
      <c r="Q1303" s="1200"/>
      <c r="R1303" s="1213"/>
      <c r="S1303" s="1213"/>
      <c r="T1303" s="1213"/>
      <c r="U1303" s="1213"/>
      <c r="V1303" s="1213"/>
    </row>
    <row r="1304" spans="1:22" ht="15" thickTop="1" thickBot="1" x14ac:dyDescent="0.3">
      <c r="A1304" s="1207"/>
      <c r="B1304" s="1212"/>
      <c r="C1304" s="1212"/>
      <c r="D1304" s="1212"/>
      <c r="E1304" s="1212"/>
      <c r="F1304" s="1208"/>
      <c r="G1304" s="1208"/>
      <c r="H1304" s="1208"/>
      <c r="I1304" s="1209"/>
      <c r="J1304" s="1209"/>
      <c r="K1304" s="1210">
        <f t="shared" si="238"/>
        <v>1.05</v>
      </c>
      <c r="L1304" s="1210">
        <f t="shared" si="235"/>
        <v>0</v>
      </c>
      <c r="M1304" s="1197">
        <f t="shared" si="236"/>
        <v>0</v>
      </c>
      <c r="N1304" s="1211">
        <f t="shared" si="237"/>
        <v>0</v>
      </c>
      <c r="O1304" s="1212"/>
      <c r="P1304" s="1200"/>
      <c r="Q1304" s="1200"/>
      <c r="R1304" s="1213"/>
      <c r="S1304" s="1213"/>
      <c r="T1304" s="1213"/>
      <c r="U1304" s="1213"/>
      <c r="V1304" s="1213"/>
    </row>
    <row r="1305" spans="1:22" ht="15" thickTop="1" thickBot="1" x14ac:dyDescent="0.3">
      <c r="A1305" s="1207"/>
      <c r="B1305" s="1212"/>
      <c r="C1305" s="1212"/>
      <c r="D1305" s="1212"/>
      <c r="E1305" s="1212"/>
      <c r="F1305" s="1208"/>
      <c r="G1305" s="1208"/>
      <c r="H1305" s="1208"/>
      <c r="I1305" s="1209"/>
      <c r="J1305" s="1209"/>
      <c r="K1305" s="1210">
        <f t="shared" si="238"/>
        <v>1.05</v>
      </c>
      <c r="L1305" s="1210">
        <f t="shared" si="235"/>
        <v>0</v>
      </c>
      <c r="M1305" s="1197">
        <f t="shared" si="236"/>
        <v>0</v>
      </c>
      <c r="N1305" s="1211">
        <f t="shared" si="237"/>
        <v>0</v>
      </c>
      <c r="O1305" s="1212"/>
      <c r="P1305" s="1200"/>
      <c r="Q1305" s="1200"/>
      <c r="R1305" s="1213"/>
      <c r="S1305" s="1213"/>
      <c r="T1305" s="1213"/>
      <c r="U1305" s="1213"/>
      <c r="V1305" s="1213"/>
    </row>
    <row r="1306" spans="1:22" ht="15" thickTop="1" thickBot="1" x14ac:dyDescent="0.3">
      <c r="A1306" s="1207"/>
      <c r="B1306" s="1212"/>
      <c r="C1306" s="1212"/>
      <c r="D1306" s="1212"/>
      <c r="E1306" s="1212"/>
      <c r="F1306" s="1208"/>
      <c r="G1306" s="1208"/>
      <c r="H1306" s="1208"/>
      <c r="I1306" s="1209"/>
      <c r="J1306" s="1209"/>
      <c r="K1306" s="1210">
        <f t="shared" si="238"/>
        <v>1.05</v>
      </c>
      <c r="L1306" s="1210">
        <f t="shared" si="235"/>
        <v>0</v>
      </c>
      <c r="M1306" s="1197">
        <f t="shared" si="236"/>
        <v>0</v>
      </c>
      <c r="N1306" s="1211">
        <f t="shared" si="237"/>
        <v>0</v>
      </c>
      <c r="O1306" s="1212"/>
      <c r="P1306" s="1200"/>
      <c r="Q1306" s="1200"/>
      <c r="R1306" s="1213"/>
      <c r="S1306" s="1213"/>
      <c r="T1306" s="1213"/>
      <c r="U1306" s="1213"/>
      <c r="V1306" s="1213"/>
    </row>
    <row r="1307" spans="1:22" ht="15" thickTop="1" thickBot="1" x14ac:dyDescent="0.3">
      <c r="A1307" s="1207"/>
      <c r="B1307" s="1212"/>
      <c r="C1307" s="1212"/>
      <c r="D1307" s="1212"/>
      <c r="E1307" s="1212"/>
      <c r="F1307" s="1208"/>
      <c r="G1307" s="1208"/>
      <c r="H1307" s="1208"/>
      <c r="I1307" s="1209"/>
      <c r="J1307" s="1209"/>
      <c r="K1307" s="1210">
        <f t="shared" si="238"/>
        <v>1.05</v>
      </c>
      <c r="L1307" s="1210">
        <f t="shared" si="235"/>
        <v>0</v>
      </c>
      <c r="M1307" s="1197">
        <f t="shared" si="236"/>
        <v>0</v>
      </c>
      <c r="N1307" s="1211">
        <f t="shared" si="237"/>
        <v>0</v>
      </c>
      <c r="O1307" s="1212"/>
      <c r="P1307" s="1200"/>
      <c r="Q1307" s="1200"/>
      <c r="R1307" s="1213"/>
      <c r="S1307" s="1213"/>
      <c r="T1307" s="1213"/>
      <c r="U1307" s="1213"/>
      <c r="V1307" s="1213"/>
    </row>
    <row r="1308" spans="1:22" ht="15" thickTop="1" thickBot="1" x14ac:dyDescent="0.3">
      <c r="A1308" s="1207"/>
      <c r="B1308" s="1212"/>
      <c r="C1308" s="1212"/>
      <c r="D1308" s="1212"/>
      <c r="E1308" s="1212"/>
      <c r="F1308" s="1208"/>
      <c r="G1308" s="1208"/>
      <c r="H1308" s="1208"/>
      <c r="I1308" s="1209"/>
      <c r="J1308" s="1209"/>
      <c r="K1308" s="1210">
        <f t="shared" si="238"/>
        <v>1.05</v>
      </c>
      <c r="L1308" s="1210">
        <f t="shared" si="235"/>
        <v>0</v>
      </c>
      <c r="M1308" s="1197">
        <f t="shared" si="236"/>
        <v>0</v>
      </c>
      <c r="N1308" s="1211">
        <f t="shared" si="237"/>
        <v>0</v>
      </c>
      <c r="O1308" s="1212"/>
      <c r="P1308" s="1200"/>
      <c r="Q1308" s="1200"/>
      <c r="R1308" s="1213"/>
      <c r="S1308" s="1213"/>
      <c r="T1308" s="1213"/>
      <c r="U1308" s="1213"/>
      <c r="V1308" s="1213"/>
    </row>
    <row r="1309" spans="1:22" ht="15" thickTop="1" thickBot="1" x14ac:dyDescent="0.3">
      <c r="A1309" s="1207"/>
      <c r="B1309" s="1212"/>
      <c r="C1309" s="1212"/>
      <c r="D1309" s="1212"/>
      <c r="E1309" s="1212"/>
      <c r="F1309" s="1208"/>
      <c r="G1309" s="1208"/>
      <c r="H1309" s="1208"/>
      <c r="I1309" s="1209"/>
      <c r="J1309" s="1209"/>
      <c r="K1309" s="1210">
        <f t="shared" si="238"/>
        <v>1.05</v>
      </c>
      <c r="L1309" s="1210">
        <f t="shared" si="235"/>
        <v>0</v>
      </c>
      <c r="M1309" s="1197">
        <f t="shared" si="236"/>
        <v>0</v>
      </c>
      <c r="N1309" s="1211">
        <f t="shared" si="237"/>
        <v>0</v>
      </c>
      <c r="O1309" s="1212"/>
      <c r="P1309" s="1200"/>
      <c r="Q1309" s="1200"/>
      <c r="R1309" s="1213"/>
      <c r="S1309" s="1213"/>
      <c r="T1309" s="1213"/>
      <c r="U1309" s="1213"/>
      <c r="V1309" s="1213"/>
    </row>
    <row r="1310" spans="1:22" ht="15" thickTop="1" thickBot="1" x14ac:dyDescent="0.3">
      <c r="A1310" s="1207"/>
      <c r="B1310" s="1212"/>
      <c r="C1310" s="1212"/>
      <c r="D1310" s="1212"/>
      <c r="E1310" s="1212"/>
      <c r="F1310" s="1208"/>
      <c r="G1310" s="1208"/>
      <c r="H1310" s="1208"/>
      <c r="I1310" s="1209"/>
      <c r="J1310" s="1209"/>
      <c r="K1310" s="1210">
        <f t="shared" si="238"/>
        <v>1.05</v>
      </c>
      <c r="L1310" s="1210">
        <f t="shared" si="235"/>
        <v>0</v>
      </c>
      <c r="M1310" s="1197">
        <f t="shared" si="236"/>
        <v>0</v>
      </c>
      <c r="N1310" s="1211">
        <f t="shared" si="237"/>
        <v>0</v>
      </c>
      <c r="O1310" s="1212"/>
      <c r="P1310" s="1200"/>
      <c r="Q1310" s="1200"/>
      <c r="R1310" s="1213"/>
      <c r="S1310" s="1213"/>
      <c r="T1310" s="1213"/>
      <c r="U1310" s="1213"/>
      <c r="V1310" s="1213"/>
    </row>
    <row r="1311" spans="1:22" ht="15" thickTop="1" thickBot="1" x14ac:dyDescent="0.3">
      <c r="A1311" s="1207"/>
      <c r="B1311" s="1212"/>
      <c r="C1311" s="1212"/>
      <c r="D1311" s="1212"/>
      <c r="E1311" s="1212"/>
      <c r="F1311" s="1208"/>
      <c r="G1311" s="1208"/>
      <c r="H1311" s="1208"/>
      <c r="I1311" s="1209"/>
      <c r="J1311" s="1209"/>
      <c r="K1311" s="1210">
        <f t="shared" si="238"/>
        <v>1.05</v>
      </c>
      <c r="L1311" s="1210">
        <f t="shared" si="235"/>
        <v>0</v>
      </c>
      <c r="M1311" s="1197">
        <f t="shared" si="236"/>
        <v>0</v>
      </c>
      <c r="N1311" s="1211">
        <f t="shared" si="237"/>
        <v>0</v>
      </c>
      <c r="O1311" s="1212"/>
      <c r="P1311" s="1200"/>
      <c r="Q1311" s="1200"/>
      <c r="R1311" s="1213"/>
      <c r="S1311" s="1213"/>
      <c r="T1311" s="1213"/>
      <c r="U1311" s="1213"/>
      <c r="V1311" s="1213"/>
    </row>
    <row r="1312" spans="1:22" ht="15" thickTop="1" thickBot="1" x14ac:dyDescent="0.3">
      <c r="A1312" s="1207"/>
      <c r="B1312" s="1212"/>
      <c r="C1312" s="1212"/>
      <c r="D1312" s="1212"/>
      <c r="E1312" s="1212"/>
      <c r="F1312" s="1208"/>
      <c r="G1312" s="1208"/>
      <c r="H1312" s="1208"/>
      <c r="I1312" s="1209"/>
      <c r="J1312" s="1209"/>
      <c r="K1312" s="1210">
        <f t="shared" si="238"/>
        <v>1.05</v>
      </c>
      <c r="L1312" s="1210">
        <f t="shared" si="235"/>
        <v>0</v>
      </c>
      <c r="M1312" s="1197">
        <f t="shared" si="236"/>
        <v>0</v>
      </c>
      <c r="N1312" s="1211">
        <f t="shared" si="237"/>
        <v>0</v>
      </c>
      <c r="O1312" s="1212"/>
      <c r="P1312" s="1200"/>
      <c r="Q1312" s="1200"/>
      <c r="R1312" s="1213"/>
      <c r="S1312" s="1213"/>
      <c r="T1312" s="1213"/>
      <c r="U1312" s="1213"/>
      <c r="V1312" s="1213"/>
    </row>
    <row r="1313" spans="1:22" ht="15" thickTop="1" thickBot="1" x14ac:dyDescent="0.3">
      <c r="A1313" s="1207"/>
      <c r="B1313" s="1212"/>
      <c r="C1313" s="1212"/>
      <c r="D1313" s="1212"/>
      <c r="E1313" s="1212"/>
      <c r="F1313" s="1208"/>
      <c r="G1313" s="1208"/>
      <c r="H1313" s="1208"/>
      <c r="I1313" s="1209"/>
      <c r="J1313" s="1209"/>
      <c r="K1313" s="1210">
        <f t="shared" si="238"/>
        <v>1.05</v>
      </c>
      <c r="L1313" s="1210">
        <f t="shared" si="235"/>
        <v>0</v>
      </c>
      <c r="M1313" s="1197">
        <f t="shared" si="236"/>
        <v>0</v>
      </c>
      <c r="N1313" s="1211">
        <f t="shared" si="237"/>
        <v>0</v>
      </c>
      <c r="O1313" s="1212"/>
      <c r="P1313" s="1200"/>
      <c r="Q1313" s="1200"/>
      <c r="R1313" s="1213"/>
      <c r="S1313" s="1213"/>
      <c r="T1313" s="1213"/>
      <c r="U1313" s="1213"/>
      <c r="V1313" s="1213"/>
    </row>
    <row r="1314" spans="1:22" ht="15" thickTop="1" thickBot="1" x14ac:dyDescent="0.3">
      <c r="A1314" s="1207"/>
      <c r="B1314" s="1212"/>
      <c r="C1314" s="1212"/>
      <c r="D1314" s="1212"/>
      <c r="E1314" s="1212"/>
      <c r="F1314" s="1208"/>
      <c r="G1314" s="1208"/>
      <c r="H1314" s="1208"/>
      <c r="I1314" s="1209"/>
      <c r="J1314" s="1209"/>
      <c r="K1314" s="1210">
        <f t="shared" si="238"/>
        <v>1.05</v>
      </c>
      <c r="L1314" s="1210">
        <f t="shared" si="235"/>
        <v>0</v>
      </c>
      <c r="M1314" s="1197">
        <f t="shared" si="236"/>
        <v>0</v>
      </c>
      <c r="N1314" s="1211">
        <f t="shared" si="237"/>
        <v>0</v>
      </c>
      <c r="O1314" s="1212"/>
      <c r="P1314" s="1200"/>
      <c r="Q1314" s="1200"/>
      <c r="R1314" s="1213"/>
      <c r="S1314" s="1213"/>
      <c r="T1314" s="1213"/>
      <c r="U1314" s="1213"/>
      <c r="V1314" s="1213"/>
    </row>
    <row r="1315" spans="1:22" ht="15" thickTop="1" thickBot="1" x14ac:dyDescent="0.3">
      <c r="A1315" s="1207"/>
      <c r="B1315" s="1212"/>
      <c r="C1315" s="1212"/>
      <c r="D1315" s="1212"/>
      <c r="E1315" s="1212"/>
      <c r="F1315" s="1208"/>
      <c r="G1315" s="1208"/>
      <c r="H1315" s="1208"/>
      <c r="I1315" s="1209"/>
      <c r="J1315" s="1209"/>
      <c r="K1315" s="1210">
        <f t="shared" si="238"/>
        <v>1.05</v>
      </c>
      <c r="L1315" s="1210">
        <f t="shared" si="235"/>
        <v>0</v>
      </c>
      <c r="M1315" s="1197">
        <f t="shared" si="236"/>
        <v>0</v>
      </c>
      <c r="N1315" s="1211">
        <f t="shared" si="237"/>
        <v>0</v>
      </c>
      <c r="O1315" s="1212"/>
      <c r="P1315" s="1200"/>
      <c r="Q1315" s="1200"/>
      <c r="R1315" s="1213"/>
      <c r="S1315" s="1213"/>
      <c r="T1315" s="1213"/>
      <c r="U1315" s="1213"/>
      <c r="V1315" s="1213"/>
    </row>
    <row r="1316" spans="1:22" ht="15" thickTop="1" thickBot="1" x14ac:dyDescent="0.3">
      <c r="A1316" s="1207"/>
      <c r="B1316" s="1212"/>
      <c r="C1316" s="1212"/>
      <c r="D1316" s="1212"/>
      <c r="E1316" s="1212"/>
      <c r="F1316" s="1208"/>
      <c r="G1316" s="1208"/>
      <c r="H1316" s="1208"/>
      <c r="I1316" s="1209"/>
      <c r="J1316" s="1209"/>
      <c r="K1316" s="1210">
        <f t="shared" si="238"/>
        <v>1.05</v>
      </c>
      <c r="L1316" s="1210">
        <f t="shared" si="235"/>
        <v>0</v>
      </c>
      <c r="M1316" s="1197">
        <f t="shared" si="236"/>
        <v>0</v>
      </c>
      <c r="N1316" s="1211">
        <f t="shared" si="237"/>
        <v>0</v>
      </c>
      <c r="O1316" s="1212"/>
      <c r="P1316" s="1200"/>
      <c r="Q1316" s="1200"/>
      <c r="R1316" s="1213"/>
      <c r="S1316" s="1213"/>
      <c r="T1316" s="1213"/>
      <c r="U1316" s="1213"/>
      <c r="V1316" s="1213"/>
    </row>
    <row r="1317" spans="1:22" ht="15" thickTop="1" thickBot="1" x14ac:dyDescent="0.3">
      <c r="A1317" s="1207"/>
      <c r="B1317" s="1212"/>
      <c r="C1317" s="1212"/>
      <c r="D1317" s="1212"/>
      <c r="E1317" s="1212"/>
      <c r="F1317" s="1208"/>
      <c r="G1317" s="1208"/>
      <c r="H1317" s="1208"/>
      <c r="I1317" s="1209"/>
      <c r="J1317" s="1209"/>
      <c r="K1317" s="1210">
        <f t="shared" si="238"/>
        <v>1.05</v>
      </c>
      <c r="L1317" s="1210">
        <f t="shared" si="235"/>
        <v>0</v>
      </c>
      <c r="M1317" s="1197">
        <f t="shared" si="236"/>
        <v>0</v>
      </c>
      <c r="N1317" s="1211">
        <f t="shared" si="237"/>
        <v>0</v>
      </c>
      <c r="O1317" s="1212"/>
      <c r="P1317" s="1200"/>
      <c r="Q1317" s="1200"/>
      <c r="R1317" s="1213"/>
      <c r="S1317" s="1213"/>
      <c r="T1317" s="1213"/>
      <c r="U1317" s="1213"/>
      <c r="V1317" s="1213"/>
    </row>
    <row r="1318" spans="1:22" ht="15" thickTop="1" thickBot="1" x14ac:dyDescent="0.3">
      <c r="A1318" s="1207"/>
      <c r="B1318" s="1212"/>
      <c r="C1318" s="1212"/>
      <c r="D1318" s="1212"/>
      <c r="E1318" s="1212"/>
      <c r="F1318" s="1208"/>
      <c r="G1318" s="1208"/>
      <c r="H1318" s="1208"/>
      <c r="I1318" s="1209"/>
      <c r="J1318" s="1209"/>
      <c r="K1318" s="1210">
        <f t="shared" si="238"/>
        <v>1.05</v>
      </c>
      <c r="L1318" s="1210">
        <f t="shared" si="235"/>
        <v>0</v>
      </c>
      <c r="M1318" s="1197">
        <f t="shared" si="236"/>
        <v>0</v>
      </c>
      <c r="N1318" s="1211">
        <f t="shared" si="237"/>
        <v>0</v>
      </c>
      <c r="O1318" s="1212"/>
      <c r="P1318" s="1200"/>
      <c r="Q1318" s="1200"/>
      <c r="R1318" s="1213"/>
      <c r="S1318" s="1213"/>
      <c r="T1318" s="1213"/>
      <c r="U1318" s="1213"/>
      <c r="V1318" s="1213"/>
    </row>
    <row r="1319" spans="1:22" ht="15" thickTop="1" thickBot="1" x14ac:dyDescent="0.3">
      <c r="A1319" s="1207"/>
      <c r="B1319" s="1212"/>
      <c r="C1319" s="1212"/>
      <c r="D1319" s="1212"/>
      <c r="E1319" s="1212"/>
      <c r="F1319" s="1208"/>
      <c r="G1319" s="1208"/>
      <c r="H1319" s="1208"/>
      <c r="I1319" s="1209"/>
      <c r="J1319" s="1209"/>
      <c r="K1319" s="1210">
        <f t="shared" si="238"/>
        <v>1.05</v>
      </c>
      <c r="L1319" s="1210">
        <f t="shared" si="235"/>
        <v>0</v>
      </c>
      <c r="M1319" s="1197">
        <f t="shared" si="236"/>
        <v>0</v>
      </c>
      <c r="N1319" s="1211">
        <f t="shared" si="237"/>
        <v>0</v>
      </c>
      <c r="O1319" s="1212"/>
      <c r="P1319" s="1200"/>
      <c r="Q1319" s="1200"/>
      <c r="R1319" s="1213"/>
      <c r="S1319" s="1213"/>
      <c r="T1319" s="1213"/>
      <c r="U1319" s="1213"/>
      <c r="V1319" s="1213"/>
    </row>
    <row r="1320" spans="1:22" ht="15" thickTop="1" thickBot="1" x14ac:dyDescent="0.3">
      <c r="A1320" s="1207"/>
      <c r="B1320" s="1212"/>
      <c r="C1320" s="1212"/>
      <c r="D1320" s="1212"/>
      <c r="E1320" s="1212"/>
      <c r="F1320" s="1208"/>
      <c r="G1320" s="1208"/>
      <c r="H1320" s="1208"/>
      <c r="I1320" s="1209"/>
      <c r="J1320" s="1209"/>
      <c r="K1320" s="1210">
        <f t="shared" si="238"/>
        <v>1.05</v>
      </c>
      <c r="L1320" s="1210">
        <f t="shared" si="235"/>
        <v>0</v>
      </c>
      <c r="M1320" s="1197">
        <f t="shared" si="236"/>
        <v>0</v>
      </c>
      <c r="N1320" s="1211">
        <f t="shared" si="237"/>
        <v>0</v>
      </c>
      <c r="O1320" s="1212"/>
      <c r="P1320" s="1200"/>
      <c r="Q1320" s="1200"/>
      <c r="R1320" s="1213"/>
      <c r="S1320" s="1213"/>
      <c r="T1320" s="1213"/>
      <c r="U1320" s="1213"/>
      <c r="V1320" s="1213"/>
    </row>
    <row r="1321" spans="1:22" ht="15" thickTop="1" thickBot="1" x14ac:dyDescent="0.3">
      <c r="A1321" s="1207"/>
      <c r="B1321" s="1212"/>
      <c r="C1321" s="1212"/>
      <c r="D1321" s="1212"/>
      <c r="E1321" s="1212"/>
      <c r="F1321" s="1208"/>
      <c r="G1321" s="1208"/>
      <c r="H1321" s="1208"/>
      <c r="I1321" s="1209"/>
      <c r="J1321" s="1209"/>
      <c r="K1321" s="1210">
        <f t="shared" si="238"/>
        <v>1.05</v>
      </c>
      <c r="L1321" s="1210">
        <f t="shared" si="235"/>
        <v>0</v>
      </c>
      <c r="M1321" s="1197">
        <f t="shared" si="236"/>
        <v>0</v>
      </c>
      <c r="N1321" s="1211">
        <f t="shared" si="237"/>
        <v>0</v>
      </c>
      <c r="O1321" s="1212"/>
      <c r="P1321" s="1200"/>
      <c r="Q1321" s="1200"/>
      <c r="R1321" s="1213"/>
      <c r="S1321" s="1213"/>
      <c r="T1321" s="1213"/>
      <c r="U1321" s="1213"/>
      <c r="V1321" s="1213"/>
    </row>
    <row r="1322" spans="1:22" ht="15" thickTop="1" thickBot="1" x14ac:dyDescent="0.3">
      <c r="A1322" s="1207"/>
      <c r="B1322" s="1212"/>
      <c r="C1322" s="1212"/>
      <c r="D1322" s="1212"/>
      <c r="E1322" s="1212"/>
      <c r="F1322" s="1208"/>
      <c r="G1322" s="1208"/>
      <c r="H1322" s="1208"/>
      <c r="I1322" s="1209"/>
      <c r="J1322" s="1209"/>
      <c r="K1322" s="1210">
        <f t="shared" si="238"/>
        <v>1.05</v>
      </c>
      <c r="L1322" s="1210">
        <f t="shared" ref="L1322:L1385" si="239">K1322*J1322</f>
        <v>0</v>
      </c>
      <c r="M1322" s="1197">
        <f t="shared" ref="M1322:M1385" si="240">ROUND(L1322,1)</f>
        <v>0</v>
      </c>
      <c r="N1322" s="1211">
        <f t="shared" ref="N1322:N1385" si="241">ROUNDUP(M1322,0)</f>
        <v>0</v>
      </c>
      <c r="O1322" s="1212"/>
      <c r="P1322" s="1200"/>
      <c r="Q1322" s="1200"/>
      <c r="R1322" s="1213"/>
      <c r="S1322" s="1213"/>
      <c r="T1322" s="1213"/>
      <c r="U1322" s="1213"/>
      <c r="V1322" s="1213"/>
    </row>
    <row r="1323" spans="1:22" ht="15" thickTop="1" thickBot="1" x14ac:dyDescent="0.3">
      <c r="A1323" s="1207"/>
      <c r="B1323" s="1212"/>
      <c r="C1323" s="1212"/>
      <c r="D1323" s="1212"/>
      <c r="E1323" s="1212"/>
      <c r="F1323" s="1208"/>
      <c r="G1323" s="1208"/>
      <c r="H1323" s="1208"/>
      <c r="I1323" s="1209"/>
      <c r="J1323" s="1209"/>
      <c r="K1323" s="1210">
        <f t="shared" si="238"/>
        <v>1.05</v>
      </c>
      <c r="L1323" s="1210">
        <f t="shared" si="239"/>
        <v>0</v>
      </c>
      <c r="M1323" s="1197">
        <f t="shared" si="240"/>
        <v>0</v>
      </c>
      <c r="N1323" s="1211">
        <f t="shared" si="241"/>
        <v>0</v>
      </c>
      <c r="O1323" s="1212"/>
      <c r="P1323" s="1200"/>
      <c r="Q1323" s="1200"/>
      <c r="R1323" s="1213"/>
      <c r="S1323" s="1213"/>
      <c r="T1323" s="1213"/>
      <c r="U1323" s="1213"/>
      <c r="V1323" s="1213"/>
    </row>
    <row r="1324" spans="1:22" ht="15" thickTop="1" thickBot="1" x14ac:dyDescent="0.3">
      <c r="A1324" s="1207"/>
      <c r="B1324" s="1212"/>
      <c r="C1324" s="1212"/>
      <c r="D1324" s="1212"/>
      <c r="E1324" s="1212"/>
      <c r="F1324" s="1208"/>
      <c r="G1324" s="1208"/>
      <c r="H1324" s="1208"/>
      <c r="I1324" s="1209"/>
      <c r="J1324" s="1209"/>
      <c r="K1324" s="1210">
        <f t="shared" si="238"/>
        <v>1.05</v>
      </c>
      <c r="L1324" s="1210">
        <f t="shared" si="239"/>
        <v>0</v>
      </c>
      <c r="M1324" s="1197">
        <f t="shared" si="240"/>
        <v>0</v>
      </c>
      <c r="N1324" s="1211">
        <f t="shared" si="241"/>
        <v>0</v>
      </c>
      <c r="O1324" s="1212"/>
      <c r="P1324" s="1200"/>
      <c r="Q1324" s="1200"/>
      <c r="R1324" s="1213"/>
      <c r="S1324" s="1213"/>
      <c r="T1324" s="1213"/>
      <c r="U1324" s="1213"/>
      <c r="V1324" s="1213"/>
    </row>
    <row r="1325" spans="1:22" ht="15" thickTop="1" thickBot="1" x14ac:dyDescent="0.3">
      <c r="A1325" s="1207"/>
      <c r="B1325" s="1212"/>
      <c r="C1325" s="1212"/>
      <c r="D1325" s="1212"/>
      <c r="E1325" s="1212"/>
      <c r="F1325" s="1208"/>
      <c r="G1325" s="1208"/>
      <c r="H1325" s="1208"/>
      <c r="I1325" s="1209"/>
      <c r="J1325" s="1209"/>
      <c r="K1325" s="1210">
        <f t="shared" si="238"/>
        <v>1.05</v>
      </c>
      <c r="L1325" s="1210">
        <f t="shared" si="239"/>
        <v>0</v>
      </c>
      <c r="M1325" s="1197">
        <f t="shared" si="240"/>
        <v>0</v>
      </c>
      <c r="N1325" s="1211">
        <f t="shared" si="241"/>
        <v>0</v>
      </c>
      <c r="O1325" s="1212"/>
      <c r="P1325" s="1200"/>
      <c r="Q1325" s="1200"/>
      <c r="R1325" s="1213"/>
      <c r="S1325" s="1213"/>
      <c r="T1325" s="1213"/>
      <c r="U1325" s="1213"/>
      <c r="V1325" s="1213"/>
    </row>
    <row r="1326" spans="1:22" ht="15" thickTop="1" thickBot="1" x14ac:dyDescent="0.3">
      <c r="A1326" s="1207"/>
      <c r="B1326" s="1212"/>
      <c r="C1326" s="1212"/>
      <c r="D1326" s="1212"/>
      <c r="E1326" s="1212"/>
      <c r="F1326" s="1208"/>
      <c r="G1326" s="1208"/>
      <c r="H1326" s="1208"/>
      <c r="I1326" s="1209"/>
      <c r="J1326" s="1209"/>
      <c r="K1326" s="1210">
        <f t="shared" si="238"/>
        <v>1.05</v>
      </c>
      <c r="L1326" s="1210">
        <f t="shared" si="239"/>
        <v>0</v>
      </c>
      <c r="M1326" s="1197">
        <f t="shared" si="240"/>
        <v>0</v>
      </c>
      <c r="N1326" s="1211">
        <f t="shared" si="241"/>
        <v>0</v>
      </c>
      <c r="O1326" s="1212"/>
      <c r="P1326" s="1200"/>
      <c r="Q1326" s="1200"/>
      <c r="R1326" s="1213"/>
      <c r="S1326" s="1213"/>
      <c r="T1326" s="1213"/>
      <c r="U1326" s="1213"/>
      <c r="V1326" s="1213"/>
    </row>
    <row r="1327" spans="1:22" ht="15" thickTop="1" thickBot="1" x14ac:dyDescent="0.3">
      <c r="A1327" s="1207"/>
      <c r="B1327" s="1212"/>
      <c r="C1327" s="1212"/>
      <c r="D1327" s="1212"/>
      <c r="E1327" s="1212"/>
      <c r="F1327" s="1208"/>
      <c r="G1327" s="1208"/>
      <c r="H1327" s="1208"/>
      <c r="I1327" s="1209"/>
      <c r="J1327" s="1209"/>
      <c r="K1327" s="1210">
        <f t="shared" si="238"/>
        <v>1.05</v>
      </c>
      <c r="L1327" s="1210">
        <f t="shared" si="239"/>
        <v>0</v>
      </c>
      <c r="M1327" s="1197">
        <f t="shared" si="240"/>
        <v>0</v>
      </c>
      <c r="N1327" s="1211">
        <f t="shared" si="241"/>
        <v>0</v>
      </c>
      <c r="O1327" s="1212"/>
      <c r="P1327" s="1200"/>
      <c r="Q1327" s="1200"/>
      <c r="R1327" s="1213"/>
      <c r="S1327" s="1213"/>
      <c r="T1327" s="1213"/>
      <c r="U1327" s="1213"/>
      <c r="V1327" s="1213"/>
    </row>
    <row r="1328" spans="1:22" ht="15" thickTop="1" thickBot="1" x14ac:dyDescent="0.3">
      <c r="A1328" s="1207"/>
      <c r="B1328" s="1212"/>
      <c r="C1328" s="1212"/>
      <c r="D1328" s="1212"/>
      <c r="E1328" s="1212"/>
      <c r="F1328" s="1208"/>
      <c r="G1328" s="1208"/>
      <c r="H1328" s="1208"/>
      <c r="I1328" s="1209"/>
      <c r="J1328" s="1209"/>
      <c r="K1328" s="1210">
        <f t="shared" si="238"/>
        <v>1.05</v>
      </c>
      <c r="L1328" s="1210">
        <f t="shared" si="239"/>
        <v>0</v>
      </c>
      <c r="M1328" s="1197">
        <f t="shared" si="240"/>
        <v>0</v>
      </c>
      <c r="N1328" s="1211">
        <f t="shared" si="241"/>
        <v>0</v>
      </c>
      <c r="O1328" s="1212"/>
      <c r="P1328" s="1200"/>
      <c r="Q1328" s="1200"/>
      <c r="R1328" s="1213"/>
      <c r="S1328" s="1213"/>
      <c r="T1328" s="1213"/>
      <c r="U1328" s="1213"/>
      <c r="V1328" s="1213"/>
    </row>
    <row r="1329" spans="1:22" ht="15" thickTop="1" thickBot="1" x14ac:dyDescent="0.3">
      <c r="A1329" s="1207"/>
      <c r="B1329" s="1212"/>
      <c r="C1329" s="1212"/>
      <c r="D1329" s="1212"/>
      <c r="E1329" s="1212"/>
      <c r="F1329" s="1208"/>
      <c r="G1329" s="1208"/>
      <c r="H1329" s="1208"/>
      <c r="I1329" s="1209"/>
      <c r="J1329" s="1209"/>
      <c r="K1329" s="1210">
        <f t="shared" si="238"/>
        <v>1.05</v>
      </c>
      <c r="L1329" s="1210">
        <f t="shared" si="239"/>
        <v>0</v>
      </c>
      <c r="M1329" s="1197">
        <f t="shared" si="240"/>
        <v>0</v>
      </c>
      <c r="N1329" s="1211">
        <f t="shared" si="241"/>
        <v>0</v>
      </c>
      <c r="O1329" s="1212"/>
      <c r="P1329" s="1200"/>
      <c r="Q1329" s="1200"/>
      <c r="R1329" s="1213"/>
      <c r="S1329" s="1213"/>
      <c r="T1329" s="1213"/>
      <c r="U1329" s="1213"/>
      <c r="V1329" s="1213"/>
    </row>
    <row r="1330" spans="1:22" ht="15" thickTop="1" thickBot="1" x14ac:dyDescent="0.3">
      <c r="A1330" s="1207"/>
      <c r="B1330" s="1212"/>
      <c r="C1330" s="1212"/>
      <c r="D1330" s="1212"/>
      <c r="E1330" s="1212"/>
      <c r="F1330" s="1208"/>
      <c r="G1330" s="1208"/>
      <c r="H1330" s="1208"/>
      <c r="I1330" s="1209"/>
      <c r="J1330" s="1209"/>
      <c r="K1330" s="1210">
        <f t="shared" si="238"/>
        <v>1.05</v>
      </c>
      <c r="L1330" s="1210">
        <f t="shared" si="239"/>
        <v>0</v>
      </c>
      <c r="M1330" s="1197">
        <f t="shared" si="240"/>
        <v>0</v>
      </c>
      <c r="N1330" s="1211">
        <f t="shared" si="241"/>
        <v>0</v>
      </c>
      <c r="O1330" s="1212"/>
      <c r="P1330" s="1200"/>
      <c r="Q1330" s="1200"/>
      <c r="R1330" s="1213"/>
      <c r="S1330" s="1213"/>
      <c r="T1330" s="1213"/>
      <c r="U1330" s="1213"/>
      <c r="V1330" s="1213"/>
    </row>
    <row r="1331" spans="1:22" ht="15" thickTop="1" thickBot="1" x14ac:dyDescent="0.3">
      <c r="A1331" s="1207"/>
      <c r="B1331" s="1212"/>
      <c r="C1331" s="1212"/>
      <c r="D1331" s="1212"/>
      <c r="E1331" s="1212"/>
      <c r="F1331" s="1208"/>
      <c r="G1331" s="1208"/>
      <c r="H1331" s="1208"/>
      <c r="I1331" s="1209"/>
      <c r="J1331" s="1209"/>
      <c r="K1331" s="1210">
        <f t="shared" si="238"/>
        <v>1.05</v>
      </c>
      <c r="L1331" s="1210">
        <f t="shared" si="239"/>
        <v>0</v>
      </c>
      <c r="M1331" s="1197">
        <f t="shared" si="240"/>
        <v>0</v>
      </c>
      <c r="N1331" s="1211">
        <f t="shared" si="241"/>
        <v>0</v>
      </c>
      <c r="O1331" s="1212"/>
      <c r="P1331" s="1200"/>
      <c r="Q1331" s="1200"/>
      <c r="R1331" s="1213"/>
      <c r="S1331" s="1213"/>
      <c r="T1331" s="1213"/>
      <c r="U1331" s="1213"/>
      <c r="V1331" s="1213"/>
    </row>
    <row r="1332" spans="1:22" ht="15" thickTop="1" thickBot="1" x14ac:dyDescent="0.3">
      <c r="A1332" s="1207"/>
      <c r="B1332" s="1212"/>
      <c r="C1332" s="1212"/>
      <c r="D1332" s="1212"/>
      <c r="E1332" s="1212"/>
      <c r="F1332" s="1208"/>
      <c r="G1332" s="1208"/>
      <c r="H1332" s="1208"/>
      <c r="I1332" s="1209"/>
      <c r="J1332" s="1209"/>
      <c r="K1332" s="1210">
        <f t="shared" si="238"/>
        <v>1.05</v>
      </c>
      <c r="L1332" s="1210">
        <f t="shared" si="239"/>
        <v>0</v>
      </c>
      <c r="M1332" s="1197">
        <f t="shared" si="240"/>
        <v>0</v>
      </c>
      <c r="N1332" s="1211">
        <f t="shared" si="241"/>
        <v>0</v>
      </c>
      <c r="O1332" s="1212"/>
      <c r="P1332" s="1200"/>
      <c r="Q1332" s="1200"/>
      <c r="R1332" s="1213"/>
      <c r="S1332" s="1213"/>
      <c r="T1332" s="1213"/>
      <c r="U1332" s="1213"/>
      <c r="V1332" s="1213"/>
    </row>
    <row r="1333" spans="1:22" ht="15" thickTop="1" thickBot="1" x14ac:dyDescent="0.3">
      <c r="A1333" s="1207"/>
      <c r="B1333" s="1212"/>
      <c r="C1333" s="1212"/>
      <c r="D1333" s="1212"/>
      <c r="E1333" s="1212"/>
      <c r="F1333" s="1208"/>
      <c r="G1333" s="1208"/>
      <c r="H1333" s="1208"/>
      <c r="I1333" s="1209"/>
      <c r="J1333" s="1209"/>
      <c r="K1333" s="1210">
        <f t="shared" si="238"/>
        <v>1.05</v>
      </c>
      <c r="L1333" s="1210">
        <f t="shared" si="239"/>
        <v>0</v>
      </c>
      <c r="M1333" s="1197">
        <f t="shared" si="240"/>
        <v>0</v>
      </c>
      <c r="N1333" s="1211">
        <f t="shared" si="241"/>
        <v>0</v>
      </c>
      <c r="O1333" s="1212"/>
      <c r="P1333" s="1200"/>
      <c r="Q1333" s="1200"/>
      <c r="R1333" s="1213"/>
      <c r="S1333" s="1213"/>
      <c r="T1333" s="1213"/>
      <c r="U1333" s="1213"/>
      <c r="V1333" s="1213"/>
    </row>
    <row r="1334" spans="1:22" ht="15" thickTop="1" thickBot="1" x14ac:dyDescent="0.3">
      <c r="A1334" s="1207"/>
      <c r="B1334" s="1212"/>
      <c r="C1334" s="1212"/>
      <c r="D1334" s="1212"/>
      <c r="E1334" s="1212"/>
      <c r="F1334" s="1208"/>
      <c r="G1334" s="1208"/>
      <c r="H1334" s="1208"/>
      <c r="I1334" s="1209"/>
      <c r="J1334" s="1209"/>
      <c r="K1334" s="1210">
        <f t="shared" si="238"/>
        <v>1.05</v>
      </c>
      <c r="L1334" s="1210">
        <f t="shared" si="239"/>
        <v>0</v>
      </c>
      <c r="M1334" s="1197">
        <f t="shared" si="240"/>
        <v>0</v>
      </c>
      <c r="N1334" s="1211">
        <f t="shared" si="241"/>
        <v>0</v>
      </c>
      <c r="O1334" s="1212"/>
      <c r="P1334" s="1200"/>
      <c r="Q1334" s="1200"/>
      <c r="R1334" s="1213"/>
      <c r="S1334" s="1213"/>
      <c r="T1334" s="1213"/>
      <c r="U1334" s="1213"/>
      <c r="V1334" s="1213"/>
    </row>
    <row r="1335" spans="1:22" ht="15" thickTop="1" thickBot="1" x14ac:dyDescent="0.3">
      <c r="A1335" s="1207"/>
      <c r="B1335" s="1212"/>
      <c r="C1335" s="1212"/>
      <c r="D1335" s="1212"/>
      <c r="E1335" s="1212"/>
      <c r="F1335" s="1208"/>
      <c r="G1335" s="1208"/>
      <c r="H1335" s="1208"/>
      <c r="I1335" s="1209"/>
      <c r="J1335" s="1209"/>
      <c r="K1335" s="1210">
        <f t="shared" si="238"/>
        <v>1.05</v>
      </c>
      <c r="L1335" s="1210">
        <f t="shared" si="239"/>
        <v>0</v>
      </c>
      <c r="M1335" s="1197">
        <f t="shared" si="240"/>
        <v>0</v>
      </c>
      <c r="N1335" s="1211">
        <f t="shared" si="241"/>
        <v>0</v>
      </c>
      <c r="O1335" s="1212"/>
      <c r="P1335" s="1200"/>
      <c r="Q1335" s="1200"/>
      <c r="R1335" s="1213"/>
      <c r="S1335" s="1213"/>
      <c r="T1335" s="1213"/>
      <c r="U1335" s="1213"/>
      <c r="V1335" s="1213"/>
    </row>
    <row r="1336" spans="1:22" ht="15" thickTop="1" thickBot="1" x14ac:dyDescent="0.3">
      <c r="A1336" s="1207"/>
      <c r="B1336" s="1212"/>
      <c r="C1336" s="1212"/>
      <c r="D1336" s="1212"/>
      <c r="E1336" s="1212"/>
      <c r="F1336" s="1208"/>
      <c r="G1336" s="1208"/>
      <c r="H1336" s="1208"/>
      <c r="I1336" s="1209"/>
      <c r="J1336" s="1209"/>
      <c r="K1336" s="1210">
        <f t="shared" si="238"/>
        <v>1.05</v>
      </c>
      <c r="L1336" s="1210">
        <f t="shared" si="239"/>
        <v>0</v>
      </c>
      <c r="M1336" s="1197">
        <f t="shared" si="240"/>
        <v>0</v>
      </c>
      <c r="N1336" s="1211">
        <f t="shared" si="241"/>
        <v>0</v>
      </c>
      <c r="O1336" s="1212"/>
      <c r="P1336" s="1200"/>
      <c r="Q1336" s="1200"/>
      <c r="R1336" s="1213"/>
      <c r="S1336" s="1213"/>
      <c r="T1336" s="1213"/>
      <c r="U1336" s="1213"/>
      <c r="V1336" s="1213"/>
    </row>
    <row r="1337" spans="1:22" ht="15" thickTop="1" thickBot="1" x14ac:dyDescent="0.3">
      <c r="A1337" s="1207"/>
      <c r="B1337" s="1212"/>
      <c r="C1337" s="1212"/>
      <c r="D1337" s="1212"/>
      <c r="E1337" s="1212"/>
      <c r="F1337" s="1208"/>
      <c r="G1337" s="1208"/>
      <c r="H1337" s="1208"/>
      <c r="I1337" s="1209"/>
      <c r="J1337" s="1209"/>
      <c r="K1337" s="1210">
        <f t="shared" si="238"/>
        <v>1.05</v>
      </c>
      <c r="L1337" s="1210">
        <f t="shared" si="239"/>
        <v>0</v>
      </c>
      <c r="M1337" s="1197">
        <f t="shared" si="240"/>
        <v>0</v>
      </c>
      <c r="N1337" s="1211">
        <f t="shared" si="241"/>
        <v>0</v>
      </c>
      <c r="O1337" s="1212"/>
      <c r="P1337" s="1200"/>
      <c r="Q1337" s="1200"/>
      <c r="R1337" s="1213"/>
      <c r="S1337" s="1213"/>
      <c r="T1337" s="1213"/>
      <c r="U1337" s="1213"/>
      <c r="V1337" s="1213"/>
    </row>
    <row r="1338" spans="1:22" ht="15" thickTop="1" thickBot="1" x14ac:dyDescent="0.3">
      <c r="A1338" s="1207"/>
      <c r="B1338" s="1212"/>
      <c r="C1338" s="1212"/>
      <c r="D1338" s="1212"/>
      <c r="E1338" s="1212"/>
      <c r="F1338" s="1208"/>
      <c r="G1338" s="1208"/>
      <c r="H1338" s="1208"/>
      <c r="I1338" s="1209"/>
      <c r="J1338" s="1209"/>
      <c r="K1338" s="1210">
        <f t="shared" si="238"/>
        <v>1.05</v>
      </c>
      <c r="L1338" s="1210">
        <f t="shared" si="239"/>
        <v>0</v>
      </c>
      <c r="M1338" s="1197">
        <f t="shared" si="240"/>
        <v>0</v>
      </c>
      <c r="N1338" s="1211">
        <f t="shared" si="241"/>
        <v>0</v>
      </c>
      <c r="O1338" s="1212"/>
      <c r="P1338" s="1200"/>
      <c r="Q1338" s="1200"/>
      <c r="R1338" s="1213"/>
      <c r="S1338" s="1213"/>
      <c r="T1338" s="1213"/>
      <c r="U1338" s="1213"/>
      <c r="V1338" s="1213"/>
    </row>
    <row r="1339" spans="1:22" ht="15" thickTop="1" thickBot="1" x14ac:dyDescent="0.3">
      <c r="A1339" s="1207"/>
      <c r="B1339" s="1212"/>
      <c r="C1339" s="1212"/>
      <c r="D1339" s="1212"/>
      <c r="E1339" s="1212"/>
      <c r="F1339" s="1208"/>
      <c r="G1339" s="1208"/>
      <c r="H1339" s="1208"/>
      <c r="I1339" s="1209"/>
      <c r="J1339" s="1209"/>
      <c r="K1339" s="1210">
        <f t="shared" si="238"/>
        <v>1.05</v>
      </c>
      <c r="L1339" s="1210">
        <f t="shared" si="239"/>
        <v>0</v>
      </c>
      <c r="M1339" s="1197">
        <f t="shared" si="240"/>
        <v>0</v>
      </c>
      <c r="N1339" s="1211">
        <f t="shared" si="241"/>
        <v>0</v>
      </c>
      <c r="O1339" s="1212"/>
      <c r="P1339" s="1200"/>
      <c r="Q1339" s="1200"/>
      <c r="R1339" s="1213"/>
      <c r="S1339" s="1213"/>
      <c r="T1339" s="1213"/>
      <c r="U1339" s="1213"/>
      <c r="V1339" s="1213"/>
    </row>
    <row r="1340" spans="1:22" ht="15" thickTop="1" thickBot="1" x14ac:dyDescent="0.3">
      <c r="A1340" s="1207"/>
      <c r="B1340" s="1212"/>
      <c r="C1340" s="1212"/>
      <c r="D1340" s="1212"/>
      <c r="E1340" s="1212"/>
      <c r="F1340" s="1208"/>
      <c r="G1340" s="1208"/>
      <c r="H1340" s="1208"/>
      <c r="I1340" s="1209"/>
      <c r="J1340" s="1209"/>
      <c r="K1340" s="1210">
        <f t="shared" si="238"/>
        <v>1.05</v>
      </c>
      <c r="L1340" s="1210">
        <f t="shared" si="239"/>
        <v>0</v>
      </c>
      <c r="M1340" s="1197">
        <f t="shared" si="240"/>
        <v>0</v>
      </c>
      <c r="N1340" s="1211">
        <f t="shared" si="241"/>
        <v>0</v>
      </c>
      <c r="O1340" s="1212"/>
      <c r="P1340" s="1200"/>
      <c r="Q1340" s="1200"/>
      <c r="R1340" s="1213"/>
      <c r="S1340" s="1213"/>
      <c r="T1340" s="1213"/>
      <c r="U1340" s="1213"/>
      <c r="V1340" s="1213"/>
    </row>
    <row r="1341" spans="1:22" ht="15" thickTop="1" thickBot="1" x14ac:dyDescent="0.3">
      <c r="A1341" s="1207"/>
      <c r="B1341" s="1212"/>
      <c r="C1341" s="1212"/>
      <c r="D1341" s="1212"/>
      <c r="E1341" s="1212"/>
      <c r="F1341" s="1208"/>
      <c r="G1341" s="1208"/>
      <c r="H1341" s="1208"/>
      <c r="I1341" s="1209"/>
      <c r="J1341" s="1209"/>
      <c r="K1341" s="1210">
        <f t="shared" si="238"/>
        <v>1.05</v>
      </c>
      <c r="L1341" s="1210">
        <f t="shared" si="239"/>
        <v>0</v>
      </c>
      <c r="M1341" s="1197">
        <f t="shared" si="240"/>
        <v>0</v>
      </c>
      <c r="N1341" s="1211">
        <f t="shared" si="241"/>
        <v>0</v>
      </c>
      <c r="O1341" s="1212"/>
      <c r="P1341" s="1200"/>
      <c r="Q1341" s="1200"/>
      <c r="R1341" s="1213"/>
      <c r="S1341" s="1213"/>
      <c r="T1341" s="1213"/>
      <c r="U1341" s="1213"/>
      <c r="V1341" s="1213"/>
    </row>
    <row r="1342" spans="1:22" ht="15" thickTop="1" thickBot="1" x14ac:dyDescent="0.3">
      <c r="A1342" s="1207"/>
      <c r="B1342" s="1212"/>
      <c r="C1342" s="1212"/>
      <c r="D1342" s="1212"/>
      <c r="E1342" s="1212"/>
      <c r="F1342" s="1208"/>
      <c r="G1342" s="1208"/>
      <c r="H1342" s="1208"/>
      <c r="I1342" s="1209"/>
      <c r="J1342" s="1209"/>
      <c r="K1342" s="1210">
        <f t="shared" si="238"/>
        <v>1.05</v>
      </c>
      <c r="L1342" s="1210">
        <f t="shared" si="239"/>
        <v>0</v>
      </c>
      <c r="M1342" s="1197">
        <f t="shared" si="240"/>
        <v>0</v>
      </c>
      <c r="N1342" s="1211">
        <f t="shared" si="241"/>
        <v>0</v>
      </c>
      <c r="O1342" s="1212"/>
      <c r="P1342" s="1200"/>
      <c r="Q1342" s="1200"/>
      <c r="R1342" s="1213"/>
      <c r="S1342" s="1213"/>
      <c r="T1342" s="1213"/>
      <c r="U1342" s="1213"/>
      <c r="V1342" s="1213"/>
    </row>
    <row r="1343" spans="1:22" ht="15" thickTop="1" thickBot="1" x14ac:dyDescent="0.3">
      <c r="A1343" s="1207"/>
      <c r="B1343" s="1212"/>
      <c r="C1343" s="1212"/>
      <c r="D1343" s="1212"/>
      <c r="E1343" s="1212"/>
      <c r="F1343" s="1208"/>
      <c r="G1343" s="1208"/>
      <c r="H1343" s="1208"/>
      <c r="I1343" s="1209"/>
      <c r="J1343" s="1209"/>
      <c r="K1343" s="1210">
        <f t="shared" si="238"/>
        <v>1.05</v>
      </c>
      <c r="L1343" s="1210">
        <f t="shared" si="239"/>
        <v>0</v>
      </c>
      <c r="M1343" s="1197">
        <f t="shared" si="240"/>
        <v>0</v>
      </c>
      <c r="N1343" s="1211">
        <f t="shared" si="241"/>
        <v>0</v>
      </c>
      <c r="O1343" s="1212"/>
      <c r="P1343" s="1200"/>
      <c r="Q1343" s="1200"/>
      <c r="R1343" s="1213"/>
      <c r="S1343" s="1213"/>
      <c r="T1343" s="1213"/>
      <c r="U1343" s="1213"/>
      <c r="V1343" s="1213"/>
    </row>
    <row r="1344" spans="1:22" ht="15" thickTop="1" thickBot="1" x14ac:dyDescent="0.3">
      <c r="A1344" s="1207"/>
      <c r="B1344" s="1212"/>
      <c r="C1344" s="1212"/>
      <c r="D1344" s="1212"/>
      <c r="E1344" s="1212"/>
      <c r="F1344" s="1208"/>
      <c r="G1344" s="1208"/>
      <c r="H1344" s="1208"/>
      <c r="I1344" s="1209"/>
      <c r="J1344" s="1209"/>
      <c r="K1344" s="1210">
        <f t="shared" si="238"/>
        <v>1.05</v>
      </c>
      <c r="L1344" s="1210">
        <f t="shared" si="239"/>
        <v>0</v>
      </c>
      <c r="M1344" s="1197">
        <f t="shared" si="240"/>
        <v>0</v>
      </c>
      <c r="N1344" s="1211">
        <f t="shared" si="241"/>
        <v>0</v>
      </c>
      <c r="O1344" s="1212"/>
      <c r="P1344" s="1200"/>
      <c r="Q1344" s="1200"/>
      <c r="R1344" s="1213"/>
      <c r="S1344" s="1213"/>
      <c r="T1344" s="1213"/>
      <c r="U1344" s="1213"/>
      <c r="V1344" s="1213"/>
    </row>
    <row r="1345" spans="1:22" ht="15" thickTop="1" thickBot="1" x14ac:dyDescent="0.3">
      <c r="A1345" s="1207"/>
      <c r="B1345" s="1212"/>
      <c r="C1345" s="1212"/>
      <c r="D1345" s="1212"/>
      <c r="E1345" s="1212"/>
      <c r="F1345" s="1208"/>
      <c r="G1345" s="1208"/>
      <c r="H1345" s="1208"/>
      <c r="I1345" s="1209"/>
      <c r="J1345" s="1209"/>
      <c r="K1345" s="1210">
        <f t="shared" si="238"/>
        <v>1.05</v>
      </c>
      <c r="L1345" s="1210">
        <f t="shared" si="239"/>
        <v>0</v>
      </c>
      <c r="M1345" s="1197">
        <f t="shared" si="240"/>
        <v>0</v>
      </c>
      <c r="N1345" s="1211">
        <f t="shared" si="241"/>
        <v>0</v>
      </c>
      <c r="O1345" s="1212"/>
      <c r="P1345" s="1200"/>
      <c r="Q1345" s="1200"/>
      <c r="R1345" s="1213"/>
      <c r="S1345" s="1213"/>
      <c r="T1345" s="1213"/>
      <c r="U1345" s="1213"/>
      <c r="V1345" s="1213"/>
    </row>
    <row r="1346" spans="1:22" ht="15" thickTop="1" thickBot="1" x14ac:dyDescent="0.3">
      <c r="A1346" s="1207"/>
      <c r="B1346" s="1212"/>
      <c r="C1346" s="1212"/>
      <c r="D1346" s="1212"/>
      <c r="E1346" s="1212"/>
      <c r="F1346" s="1208"/>
      <c r="G1346" s="1208"/>
      <c r="H1346" s="1208"/>
      <c r="I1346" s="1209"/>
      <c r="J1346" s="1209"/>
      <c r="K1346" s="1210">
        <f t="shared" si="238"/>
        <v>1.05</v>
      </c>
      <c r="L1346" s="1210">
        <f t="shared" si="239"/>
        <v>0</v>
      </c>
      <c r="M1346" s="1197">
        <f t="shared" si="240"/>
        <v>0</v>
      </c>
      <c r="N1346" s="1211">
        <f t="shared" si="241"/>
        <v>0</v>
      </c>
      <c r="O1346" s="1212"/>
      <c r="P1346" s="1200"/>
      <c r="Q1346" s="1200"/>
      <c r="R1346" s="1213"/>
      <c r="S1346" s="1213"/>
      <c r="T1346" s="1213"/>
      <c r="U1346" s="1213"/>
      <c r="V1346" s="1213"/>
    </row>
    <row r="1347" spans="1:22" ht="15" thickTop="1" thickBot="1" x14ac:dyDescent="0.3">
      <c r="A1347" s="1207"/>
      <c r="B1347" s="1212"/>
      <c r="C1347" s="1212"/>
      <c r="D1347" s="1212"/>
      <c r="E1347" s="1212"/>
      <c r="F1347" s="1208"/>
      <c r="G1347" s="1208"/>
      <c r="H1347" s="1208"/>
      <c r="I1347" s="1209"/>
      <c r="J1347" s="1209"/>
      <c r="K1347" s="1210">
        <f t="shared" si="238"/>
        <v>1.05</v>
      </c>
      <c r="L1347" s="1210">
        <f t="shared" si="239"/>
        <v>0</v>
      </c>
      <c r="M1347" s="1197">
        <f t="shared" si="240"/>
        <v>0</v>
      </c>
      <c r="N1347" s="1211">
        <f t="shared" si="241"/>
        <v>0</v>
      </c>
      <c r="O1347" s="1212"/>
      <c r="P1347" s="1200"/>
      <c r="Q1347" s="1200"/>
      <c r="R1347" s="1213"/>
      <c r="S1347" s="1213"/>
      <c r="T1347" s="1213"/>
      <c r="U1347" s="1213"/>
      <c r="V1347" s="1213"/>
    </row>
    <row r="1348" spans="1:22" ht="15" thickTop="1" thickBot="1" x14ac:dyDescent="0.3">
      <c r="A1348" s="1207"/>
      <c r="B1348" s="1212"/>
      <c r="C1348" s="1212"/>
      <c r="D1348" s="1212"/>
      <c r="E1348" s="1212"/>
      <c r="F1348" s="1208"/>
      <c r="G1348" s="1208"/>
      <c r="H1348" s="1208"/>
      <c r="I1348" s="1209"/>
      <c r="J1348" s="1209"/>
      <c r="K1348" s="1210">
        <f t="shared" si="238"/>
        <v>1.05</v>
      </c>
      <c r="L1348" s="1210">
        <f t="shared" si="239"/>
        <v>0</v>
      </c>
      <c r="M1348" s="1197">
        <f t="shared" si="240"/>
        <v>0</v>
      </c>
      <c r="N1348" s="1211">
        <f t="shared" si="241"/>
        <v>0</v>
      </c>
      <c r="O1348" s="1212"/>
      <c r="P1348" s="1200"/>
      <c r="Q1348" s="1200"/>
      <c r="R1348" s="1213"/>
      <c r="S1348" s="1213"/>
      <c r="T1348" s="1213"/>
      <c r="U1348" s="1213"/>
      <c r="V1348" s="1213"/>
    </row>
    <row r="1349" spans="1:22" ht="15" thickTop="1" thickBot="1" x14ac:dyDescent="0.3">
      <c r="A1349" s="1207"/>
      <c r="B1349" s="1212"/>
      <c r="C1349" s="1212"/>
      <c r="D1349" s="1212"/>
      <c r="E1349" s="1212"/>
      <c r="F1349" s="1208"/>
      <c r="G1349" s="1208"/>
      <c r="H1349" s="1208"/>
      <c r="I1349" s="1209"/>
      <c r="J1349" s="1209"/>
      <c r="K1349" s="1210">
        <f t="shared" si="238"/>
        <v>1.05</v>
      </c>
      <c r="L1349" s="1210">
        <f t="shared" si="239"/>
        <v>0</v>
      </c>
      <c r="M1349" s="1197">
        <f t="shared" si="240"/>
        <v>0</v>
      </c>
      <c r="N1349" s="1211">
        <f t="shared" si="241"/>
        <v>0</v>
      </c>
      <c r="O1349" s="1212"/>
      <c r="P1349" s="1200"/>
      <c r="Q1349" s="1200"/>
      <c r="R1349" s="1213"/>
      <c r="S1349" s="1213"/>
      <c r="T1349" s="1213"/>
      <c r="U1349" s="1213"/>
      <c r="V1349" s="1213"/>
    </row>
    <row r="1350" spans="1:22" ht="15" thickTop="1" thickBot="1" x14ac:dyDescent="0.3">
      <c r="A1350" s="1207"/>
      <c r="B1350" s="1212"/>
      <c r="C1350" s="1212"/>
      <c r="D1350" s="1212"/>
      <c r="E1350" s="1212"/>
      <c r="F1350" s="1208"/>
      <c r="G1350" s="1208"/>
      <c r="H1350" s="1208"/>
      <c r="I1350" s="1209"/>
      <c r="J1350" s="1209"/>
      <c r="K1350" s="1210">
        <f t="shared" si="238"/>
        <v>1.05</v>
      </c>
      <c r="L1350" s="1210">
        <f t="shared" si="239"/>
        <v>0</v>
      </c>
      <c r="M1350" s="1197">
        <f t="shared" si="240"/>
        <v>0</v>
      </c>
      <c r="N1350" s="1211">
        <f t="shared" si="241"/>
        <v>0</v>
      </c>
      <c r="O1350" s="1212"/>
      <c r="P1350" s="1200"/>
      <c r="Q1350" s="1200"/>
      <c r="R1350" s="1213"/>
      <c r="S1350" s="1213"/>
      <c r="T1350" s="1213"/>
      <c r="U1350" s="1213"/>
      <c r="V1350" s="1213"/>
    </row>
    <row r="1351" spans="1:22" ht="15" thickTop="1" thickBot="1" x14ac:dyDescent="0.3">
      <c r="A1351" s="1207"/>
      <c r="B1351" s="1212"/>
      <c r="C1351" s="1212"/>
      <c r="D1351" s="1212"/>
      <c r="E1351" s="1212"/>
      <c r="F1351" s="1208"/>
      <c r="G1351" s="1208"/>
      <c r="H1351" s="1208"/>
      <c r="I1351" s="1209"/>
      <c r="J1351" s="1209"/>
      <c r="K1351" s="1210">
        <f t="shared" si="238"/>
        <v>1.05</v>
      </c>
      <c r="L1351" s="1210">
        <f t="shared" si="239"/>
        <v>0</v>
      </c>
      <c r="M1351" s="1197">
        <f t="shared" si="240"/>
        <v>0</v>
      </c>
      <c r="N1351" s="1211">
        <f t="shared" si="241"/>
        <v>0</v>
      </c>
      <c r="O1351" s="1212"/>
      <c r="P1351" s="1200"/>
      <c r="Q1351" s="1200"/>
      <c r="R1351" s="1213"/>
      <c r="S1351" s="1213"/>
      <c r="T1351" s="1213"/>
      <c r="U1351" s="1213"/>
      <c r="V1351" s="1213"/>
    </row>
    <row r="1352" spans="1:22" ht="15" thickTop="1" thickBot="1" x14ac:dyDescent="0.3">
      <c r="A1352" s="1207"/>
      <c r="B1352" s="1212"/>
      <c r="C1352" s="1212"/>
      <c r="D1352" s="1212"/>
      <c r="E1352" s="1212"/>
      <c r="F1352" s="1208"/>
      <c r="G1352" s="1208"/>
      <c r="H1352" s="1208"/>
      <c r="I1352" s="1209"/>
      <c r="J1352" s="1209"/>
      <c r="K1352" s="1210">
        <f t="shared" si="238"/>
        <v>1.05</v>
      </c>
      <c r="L1352" s="1210">
        <f t="shared" si="239"/>
        <v>0</v>
      </c>
      <c r="M1352" s="1197">
        <f t="shared" si="240"/>
        <v>0</v>
      </c>
      <c r="N1352" s="1211">
        <f t="shared" si="241"/>
        <v>0</v>
      </c>
      <c r="O1352" s="1212"/>
      <c r="P1352" s="1200"/>
      <c r="Q1352" s="1200"/>
      <c r="R1352" s="1213"/>
      <c r="S1352" s="1213"/>
      <c r="T1352" s="1213"/>
      <c r="U1352" s="1213"/>
      <c r="V1352" s="1213"/>
    </row>
    <row r="1353" spans="1:22" ht="15" thickTop="1" thickBot="1" x14ac:dyDescent="0.3">
      <c r="A1353" s="1207"/>
      <c r="B1353" s="1212"/>
      <c r="C1353" s="1212"/>
      <c r="D1353" s="1212"/>
      <c r="E1353" s="1212"/>
      <c r="F1353" s="1208"/>
      <c r="G1353" s="1208"/>
      <c r="H1353" s="1208"/>
      <c r="I1353" s="1209"/>
      <c r="J1353" s="1209"/>
      <c r="K1353" s="1210">
        <f t="shared" si="238"/>
        <v>1.05</v>
      </c>
      <c r="L1353" s="1210">
        <f t="shared" si="239"/>
        <v>0</v>
      </c>
      <c r="M1353" s="1197">
        <f t="shared" si="240"/>
        <v>0</v>
      </c>
      <c r="N1353" s="1211">
        <f t="shared" si="241"/>
        <v>0</v>
      </c>
      <c r="O1353" s="1212"/>
      <c r="P1353" s="1200"/>
      <c r="Q1353" s="1200"/>
      <c r="R1353" s="1213"/>
      <c r="S1353" s="1213"/>
      <c r="T1353" s="1213"/>
      <c r="U1353" s="1213"/>
      <c r="V1353" s="1213"/>
    </row>
    <row r="1354" spans="1:22" ht="15" thickTop="1" thickBot="1" x14ac:dyDescent="0.3">
      <c r="A1354" s="1207"/>
      <c r="B1354" s="1212"/>
      <c r="C1354" s="1212"/>
      <c r="D1354" s="1212"/>
      <c r="E1354" s="1212"/>
      <c r="F1354" s="1208"/>
      <c r="G1354" s="1208"/>
      <c r="H1354" s="1208"/>
      <c r="I1354" s="1209"/>
      <c r="J1354" s="1209"/>
      <c r="K1354" s="1210">
        <f t="shared" si="238"/>
        <v>1.05</v>
      </c>
      <c r="L1354" s="1210">
        <f t="shared" si="239"/>
        <v>0</v>
      </c>
      <c r="M1354" s="1197">
        <f t="shared" si="240"/>
        <v>0</v>
      </c>
      <c r="N1354" s="1211">
        <f t="shared" si="241"/>
        <v>0</v>
      </c>
      <c r="O1354" s="1212"/>
      <c r="P1354" s="1200"/>
      <c r="Q1354" s="1200"/>
      <c r="R1354" s="1213"/>
      <c r="S1354" s="1213"/>
      <c r="T1354" s="1213"/>
      <c r="U1354" s="1213"/>
      <c r="V1354" s="1213"/>
    </row>
    <row r="1355" spans="1:22" ht="15" thickTop="1" thickBot="1" x14ac:dyDescent="0.3">
      <c r="A1355" s="1207"/>
      <c r="B1355" s="1212"/>
      <c r="C1355" s="1212"/>
      <c r="D1355" s="1212"/>
      <c r="E1355" s="1212"/>
      <c r="F1355" s="1208"/>
      <c r="G1355" s="1208"/>
      <c r="H1355" s="1208"/>
      <c r="I1355" s="1209"/>
      <c r="J1355" s="1209"/>
      <c r="K1355" s="1210">
        <f t="shared" ref="K1355:K1418" si="242">$K$2</f>
        <v>1.05</v>
      </c>
      <c r="L1355" s="1210">
        <f t="shared" si="239"/>
        <v>0</v>
      </c>
      <c r="M1355" s="1197">
        <f t="shared" si="240"/>
        <v>0</v>
      </c>
      <c r="N1355" s="1211">
        <f t="shared" si="241"/>
        <v>0</v>
      </c>
      <c r="O1355" s="1212"/>
      <c r="P1355" s="1200"/>
      <c r="Q1355" s="1200"/>
      <c r="R1355" s="1213"/>
      <c r="S1355" s="1213"/>
      <c r="T1355" s="1213"/>
      <c r="U1355" s="1213"/>
      <c r="V1355" s="1213"/>
    </row>
    <row r="1356" spans="1:22" ht="15" thickTop="1" thickBot="1" x14ac:dyDescent="0.3">
      <c r="A1356" s="1207"/>
      <c r="B1356" s="1212"/>
      <c r="C1356" s="1212"/>
      <c r="D1356" s="1212"/>
      <c r="E1356" s="1212"/>
      <c r="F1356" s="1208"/>
      <c r="G1356" s="1208"/>
      <c r="H1356" s="1208"/>
      <c r="I1356" s="1209"/>
      <c r="J1356" s="1209"/>
      <c r="K1356" s="1210">
        <f t="shared" si="242"/>
        <v>1.05</v>
      </c>
      <c r="L1356" s="1210">
        <f t="shared" si="239"/>
        <v>0</v>
      </c>
      <c r="M1356" s="1197">
        <f t="shared" si="240"/>
        <v>0</v>
      </c>
      <c r="N1356" s="1211">
        <f t="shared" si="241"/>
        <v>0</v>
      </c>
      <c r="O1356" s="1212"/>
      <c r="P1356" s="1200"/>
      <c r="Q1356" s="1200"/>
      <c r="R1356" s="1213"/>
      <c r="S1356" s="1213"/>
      <c r="T1356" s="1213"/>
      <c r="U1356" s="1213"/>
      <c r="V1356" s="1213"/>
    </row>
    <row r="1357" spans="1:22" ht="15" thickTop="1" thickBot="1" x14ac:dyDescent="0.3">
      <c r="A1357" s="1207"/>
      <c r="B1357" s="1212"/>
      <c r="C1357" s="1212"/>
      <c r="D1357" s="1212"/>
      <c r="E1357" s="1212"/>
      <c r="F1357" s="1208"/>
      <c r="G1357" s="1208"/>
      <c r="H1357" s="1208"/>
      <c r="I1357" s="1209"/>
      <c r="J1357" s="1209"/>
      <c r="K1357" s="1210">
        <f t="shared" si="242"/>
        <v>1.05</v>
      </c>
      <c r="L1357" s="1210">
        <f t="shared" si="239"/>
        <v>0</v>
      </c>
      <c r="M1357" s="1197">
        <f t="shared" si="240"/>
        <v>0</v>
      </c>
      <c r="N1357" s="1211">
        <f t="shared" si="241"/>
        <v>0</v>
      </c>
      <c r="O1357" s="1212"/>
      <c r="P1357" s="1200"/>
      <c r="Q1357" s="1200"/>
      <c r="R1357" s="1213"/>
      <c r="S1357" s="1213"/>
      <c r="T1357" s="1213"/>
      <c r="U1357" s="1213"/>
      <c r="V1357" s="1213"/>
    </row>
    <row r="1358" spans="1:22" ht="15" thickTop="1" thickBot="1" x14ac:dyDescent="0.3">
      <c r="A1358" s="1207"/>
      <c r="B1358" s="1212"/>
      <c r="C1358" s="1212"/>
      <c r="D1358" s="1212"/>
      <c r="E1358" s="1212"/>
      <c r="F1358" s="1208"/>
      <c r="G1358" s="1208"/>
      <c r="H1358" s="1208"/>
      <c r="I1358" s="1209"/>
      <c r="J1358" s="1209"/>
      <c r="K1358" s="1210">
        <f t="shared" si="242"/>
        <v>1.05</v>
      </c>
      <c r="L1358" s="1210">
        <f t="shared" si="239"/>
        <v>0</v>
      </c>
      <c r="M1358" s="1197">
        <f t="shared" si="240"/>
        <v>0</v>
      </c>
      <c r="N1358" s="1211">
        <f t="shared" si="241"/>
        <v>0</v>
      </c>
      <c r="O1358" s="1212"/>
      <c r="P1358" s="1200"/>
      <c r="Q1358" s="1200"/>
      <c r="R1358" s="1213"/>
      <c r="S1358" s="1213"/>
      <c r="T1358" s="1213"/>
      <c r="U1358" s="1213"/>
      <c r="V1358" s="1213"/>
    </row>
    <row r="1359" spans="1:22" ht="15" thickTop="1" thickBot="1" x14ac:dyDescent="0.3">
      <c r="A1359" s="1207"/>
      <c r="B1359" s="1212"/>
      <c r="C1359" s="1212"/>
      <c r="D1359" s="1212"/>
      <c r="E1359" s="1212"/>
      <c r="F1359" s="1208"/>
      <c r="G1359" s="1208"/>
      <c r="H1359" s="1208"/>
      <c r="I1359" s="1209"/>
      <c r="J1359" s="1209"/>
      <c r="K1359" s="1210">
        <f t="shared" si="242"/>
        <v>1.05</v>
      </c>
      <c r="L1359" s="1210">
        <f t="shared" si="239"/>
        <v>0</v>
      </c>
      <c r="M1359" s="1197">
        <f t="shared" si="240"/>
        <v>0</v>
      </c>
      <c r="N1359" s="1211">
        <f t="shared" si="241"/>
        <v>0</v>
      </c>
      <c r="O1359" s="1212"/>
      <c r="P1359" s="1200"/>
      <c r="Q1359" s="1200"/>
      <c r="R1359" s="1213"/>
      <c r="S1359" s="1213"/>
      <c r="T1359" s="1213"/>
      <c r="U1359" s="1213"/>
      <c r="V1359" s="1213"/>
    </row>
    <row r="1360" spans="1:22" ht="15" thickTop="1" thickBot="1" x14ac:dyDescent="0.3">
      <c r="A1360" s="1207"/>
      <c r="B1360" s="1212"/>
      <c r="C1360" s="1212"/>
      <c r="D1360" s="1212"/>
      <c r="E1360" s="1212"/>
      <c r="F1360" s="1208"/>
      <c r="G1360" s="1208"/>
      <c r="H1360" s="1208"/>
      <c r="I1360" s="1209"/>
      <c r="J1360" s="1209"/>
      <c r="K1360" s="1210">
        <f t="shared" si="242"/>
        <v>1.05</v>
      </c>
      <c r="L1360" s="1210">
        <f t="shared" si="239"/>
        <v>0</v>
      </c>
      <c r="M1360" s="1197">
        <f t="shared" si="240"/>
        <v>0</v>
      </c>
      <c r="N1360" s="1211">
        <f t="shared" si="241"/>
        <v>0</v>
      </c>
      <c r="O1360" s="1212"/>
      <c r="P1360" s="1200"/>
      <c r="Q1360" s="1200"/>
      <c r="R1360" s="1213"/>
      <c r="S1360" s="1213"/>
      <c r="T1360" s="1213"/>
      <c r="U1360" s="1213"/>
      <c r="V1360" s="1213"/>
    </row>
    <row r="1361" spans="1:22" ht="15" thickTop="1" thickBot="1" x14ac:dyDescent="0.3">
      <c r="A1361" s="1207"/>
      <c r="B1361" s="1212"/>
      <c r="C1361" s="1212"/>
      <c r="D1361" s="1212"/>
      <c r="E1361" s="1212"/>
      <c r="F1361" s="1208"/>
      <c r="G1361" s="1208"/>
      <c r="H1361" s="1208"/>
      <c r="I1361" s="1209"/>
      <c r="J1361" s="1209"/>
      <c r="K1361" s="1210">
        <f t="shared" si="242"/>
        <v>1.05</v>
      </c>
      <c r="L1361" s="1210">
        <f t="shared" si="239"/>
        <v>0</v>
      </c>
      <c r="M1361" s="1197">
        <f t="shared" si="240"/>
        <v>0</v>
      </c>
      <c r="N1361" s="1211">
        <f t="shared" si="241"/>
        <v>0</v>
      </c>
      <c r="O1361" s="1212"/>
      <c r="P1361" s="1200"/>
      <c r="Q1361" s="1200"/>
      <c r="R1361" s="1213"/>
      <c r="S1361" s="1213"/>
      <c r="T1361" s="1213"/>
      <c r="U1361" s="1213"/>
      <c r="V1361" s="1213"/>
    </row>
    <row r="1362" spans="1:22" ht="15" thickTop="1" thickBot="1" x14ac:dyDescent="0.3">
      <c r="A1362" s="1207"/>
      <c r="B1362" s="1212"/>
      <c r="C1362" s="1212"/>
      <c r="D1362" s="1212"/>
      <c r="E1362" s="1212"/>
      <c r="F1362" s="1208"/>
      <c r="G1362" s="1208"/>
      <c r="H1362" s="1208"/>
      <c r="I1362" s="1209"/>
      <c r="J1362" s="1209"/>
      <c r="K1362" s="1210">
        <f t="shared" si="242"/>
        <v>1.05</v>
      </c>
      <c r="L1362" s="1210">
        <f t="shared" si="239"/>
        <v>0</v>
      </c>
      <c r="M1362" s="1197">
        <f t="shared" si="240"/>
        <v>0</v>
      </c>
      <c r="N1362" s="1211">
        <f t="shared" si="241"/>
        <v>0</v>
      </c>
      <c r="O1362" s="1212"/>
      <c r="P1362" s="1200"/>
      <c r="Q1362" s="1200"/>
      <c r="R1362" s="1213"/>
      <c r="S1362" s="1213"/>
      <c r="T1362" s="1213"/>
      <c r="U1362" s="1213"/>
      <c r="V1362" s="1213"/>
    </row>
    <row r="1363" spans="1:22" ht="15" thickTop="1" thickBot="1" x14ac:dyDescent="0.3">
      <c r="A1363" s="1207"/>
      <c r="B1363" s="1212"/>
      <c r="C1363" s="1212"/>
      <c r="D1363" s="1212"/>
      <c r="E1363" s="1212"/>
      <c r="F1363" s="1208"/>
      <c r="G1363" s="1208"/>
      <c r="H1363" s="1208"/>
      <c r="I1363" s="1209"/>
      <c r="J1363" s="1209"/>
      <c r="K1363" s="1210">
        <f t="shared" si="242"/>
        <v>1.05</v>
      </c>
      <c r="L1363" s="1210">
        <f t="shared" si="239"/>
        <v>0</v>
      </c>
      <c r="M1363" s="1197">
        <f t="shared" si="240"/>
        <v>0</v>
      </c>
      <c r="N1363" s="1211">
        <f t="shared" si="241"/>
        <v>0</v>
      </c>
      <c r="O1363" s="1212"/>
      <c r="P1363" s="1200"/>
      <c r="Q1363" s="1200"/>
      <c r="R1363" s="1213"/>
      <c r="S1363" s="1213"/>
      <c r="T1363" s="1213"/>
      <c r="U1363" s="1213"/>
      <c r="V1363" s="1213"/>
    </row>
    <row r="1364" spans="1:22" ht="15" thickTop="1" thickBot="1" x14ac:dyDescent="0.3">
      <c r="A1364" s="1207"/>
      <c r="B1364" s="1212"/>
      <c r="C1364" s="1212"/>
      <c r="D1364" s="1212"/>
      <c r="E1364" s="1212"/>
      <c r="F1364" s="1208"/>
      <c r="G1364" s="1208"/>
      <c r="H1364" s="1208"/>
      <c r="I1364" s="1209"/>
      <c r="J1364" s="1209"/>
      <c r="K1364" s="1210">
        <f t="shared" si="242"/>
        <v>1.05</v>
      </c>
      <c r="L1364" s="1210">
        <f t="shared" si="239"/>
        <v>0</v>
      </c>
      <c r="M1364" s="1197">
        <f t="shared" si="240"/>
        <v>0</v>
      </c>
      <c r="N1364" s="1211">
        <f t="shared" si="241"/>
        <v>0</v>
      </c>
      <c r="O1364" s="1212"/>
      <c r="P1364" s="1200"/>
      <c r="Q1364" s="1200"/>
      <c r="R1364" s="1213"/>
      <c r="S1364" s="1213"/>
      <c r="T1364" s="1213"/>
      <c r="U1364" s="1213"/>
      <c r="V1364" s="1213"/>
    </row>
    <row r="1365" spans="1:22" ht="15" thickTop="1" thickBot="1" x14ac:dyDescent="0.3">
      <c r="A1365" s="1207"/>
      <c r="B1365" s="1212"/>
      <c r="C1365" s="1212"/>
      <c r="D1365" s="1212"/>
      <c r="E1365" s="1212"/>
      <c r="F1365" s="1208"/>
      <c r="G1365" s="1208"/>
      <c r="H1365" s="1208"/>
      <c r="I1365" s="1209"/>
      <c r="J1365" s="1209"/>
      <c r="K1365" s="1210">
        <f t="shared" si="242"/>
        <v>1.05</v>
      </c>
      <c r="L1365" s="1210">
        <f t="shared" si="239"/>
        <v>0</v>
      </c>
      <c r="M1365" s="1197">
        <f t="shared" si="240"/>
        <v>0</v>
      </c>
      <c r="N1365" s="1211">
        <f t="shared" si="241"/>
        <v>0</v>
      </c>
      <c r="O1365" s="1212"/>
      <c r="P1365" s="1200"/>
      <c r="Q1365" s="1200"/>
      <c r="R1365" s="1213"/>
      <c r="S1365" s="1213"/>
      <c r="T1365" s="1213"/>
      <c r="U1365" s="1213"/>
      <c r="V1365" s="1213"/>
    </row>
    <row r="1366" spans="1:22" ht="15" thickTop="1" thickBot="1" x14ac:dyDescent="0.3">
      <c r="A1366" s="1207"/>
      <c r="B1366" s="1212"/>
      <c r="C1366" s="1212"/>
      <c r="D1366" s="1212"/>
      <c r="E1366" s="1212"/>
      <c r="F1366" s="1208"/>
      <c r="G1366" s="1208"/>
      <c r="H1366" s="1208"/>
      <c r="I1366" s="1209"/>
      <c r="J1366" s="1209"/>
      <c r="K1366" s="1210">
        <f t="shared" si="242"/>
        <v>1.05</v>
      </c>
      <c r="L1366" s="1210">
        <f t="shared" si="239"/>
        <v>0</v>
      </c>
      <c r="M1366" s="1197">
        <f t="shared" si="240"/>
        <v>0</v>
      </c>
      <c r="N1366" s="1211">
        <f t="shared" si="241"/>
        <v>0</v>
      </c>
      <c r="O1366" s="1212"/>
      <c r="P1366" s="1200"/>
      <c r="Q1366" s="1200"/>
      <c r="R1366" s="1213"/>
      <c r="S1366" s="1213"/>
      <c r="T1366" s="1213"/>
      <c r="U1366" s="1213"/>
      <c r="V1366" s="1213"/>
    </row>
    <row r="1367" spans="1:22" ht="15" thickTop="1" thickBot="1" x14ac:dyDescent="0.3">
      <c r="A1367" s="1207"/>
      <c r="B1367" s="1212"/>
      <c r="C1367" s="1212"/>
      <c r="D1367" s="1212"/>
      <c r="E1367" s="1212"/>
      <c r="F1367" s="1208"/>
      <c r="G1367" s="1208"/>
      <c r="H1367" s="1208"/>
      <c r="I1367" s="1209"/>
      <c r="J1367" s="1209"/>
      <c r="K1367" s="1210">
        <f t="shared" si="242"/>
        <v>1.05</v>
      </c>
      <c r="L1367" s="1210">
        <f t="shared" si="239"/>
        <v>0</v>
      </c>
      <c r="M1367" s="1197">
        <f t="shared" si="240"/>
        <v>0</v>
      </c>
      <c r="N1367" s="1211">
        <f t="shared" si="241"/>
        <v>0</v>
      </c>
      <c r="O1367" s="1212"/>
      <c r="P1367" s="1200"/>
      <c r="Q1367" s="1200"/>
      <c r="R1367" s="1213"/>
      <c r="S1367" s="1213"/>
      <c r="T1367" s="1213"/>
      <c r="U1367" s="1213"/>
      <c r="V1367" s="1213"/>
    </row>
    <row r="1368" spans="1:22" ht="15" thickTop="1" thickBot="1" x14ac:dyDescent="0.3">
      <c r="A1368" s="1207"/>
      <c r="B1368" s="1212"/>
      <c r="C1368" s="1212"/>
      <c r="D1368" s="1212"/>
      <c r="E1368" s="1212"/>
      <c r="F1368" s="1208"/>
      <c r="G1368" s="1208"/>
      <c r="H1368" s="1208"/>
      <c r="I1368" s="1209"/>
      <c r="J1368" s="1209"/>
      <c r="K1368" s="1210">
        <f t="shared" si="242"/>
        <v>1.05</v>
      </c>
      <c r="L1368" s="1210">
        <f t="shared" si="239"/>
        <v>0</v>
      </c>
      <c r="M1368" s="1197">
        <f t="shared" si="240"/>
        <v>0</v>
      </c>
      <c r="N1368" s="1211">
        <f t="shared" si="241"/>
        <v>0</v>
      </c>
      <c r="O1368" s="1212"/>
      <c r="P1368" s="1200"/>
      <c r="Q1368" s="1200"/>
      <c r="R1368" s="1213"/>
      <c r="S1368" s="1213"/>
      <c r="T1368" s="1213"/>
      <c r="U1368" s="1213"/>
      <c r="V1368" s="1213"/>
    </row>
    <row r="1369" spans="1:22" ht="15" thickTop="1" thickBot="1" x14ac:dyDescent="0.3">
      <c r="A1369" s="1207"/>
      <c r="B1369" s="1212"/>
      <c r="C1369" s="1212"/>
      <c r="D1369" s="1212"/>
      <c r="E1369" s="1212"/>
      <c r="F1369" s="1208"/>
      <c r="G1369" s="1208"/>
      <c r="H1369" s="1208"/>
      <c r="I1369" s="1209"/>
      <c r="J1369" s="1209"/>
      <c r="K1369" s="1210">
        <f t="shared" si="242"/>
        <v>1.05</v>
      </c>
      <c r="L1369" s="1210">
        <f t="shared" si="239"/>
        <v>0</v>
      </c>
      <c r="M1369" s="1197">
        <f t="shared" si="240"/>
        <v>0</v>
      </c>
      <c r="N1369" s="1211">
        <f t="shared" si="241"/>
        <v>0</v>
      </c>
      <c r="O1369" s="1212"/>
      <c r="P1369" s="1200"/>
      <c r="Q1369" s="1200"/>
      <c r="R1369" s="1213"/>
      <c r="S1369" s="1213"/>
      <c r="T1369" s="1213"/>
      <c r="U1369" s="1213"/>
      <c r="V1369" s="1213"/>
    </row>
    <row r="1370" spans="1:22" ht="15" thickTop="1" thickBot="1" x14ac:dyDescent="0.3">
      <c r="A1370" s="1207"/>
      <c r="B1370" s="1212"/>
      <c r="C1370" s="1212"/>
      <c r="D1370" s="1212"/>
      <c r="E1370" s="1212"/>
      <c r="F1370" s="1208"/>
      <c r="G1370" s="1208"/>
      <c r="H1370" s="1208"/>
      <c r="I1370" s="1209"/>
      <c r="J1370" s="1209"/>
      <c r="K1370" s="1210">
        <f t="shared" si="242"/>
        <v>1.05</v>
      </c>
      <c r="L1370" s="1210">
        <f t="shared" si="239"/>
        <v>0</v>
      </c>
      <c r="M1370" s="1197">
        <f t="shared" si="240"/>
        <v>0</v>
      </c>
      <c r="N1370" s="1211">
        <f t="shared" si="241"/>
        <v>0</v>
      </c>
      <c r="O1370" s="1212"/>
      <c r="P1370" s="1200"/>
      <c r="Q1370" s="1200"/>
      <c r="R1370" s="1213"/>
      <c r="S1370" s="1213"/>
      <c r="T1370" s="1213"/>
      <c r="U1370" s="1213"/>
      <c r="V1370" s="1213"/>
    </row>
    <row r="1371" spans="1:22" ht="15" thickTop="1" thickBot="1" x14ac:dyDescent="0.3">
      <c r="A1371" s="1207"/>
      <c r="B1371" s="1212"/>
      <c r="C1371" s="1212"/>
      <c r="D1371" s="1212"/>
      <c r="E1371" s="1212"/>
      <c r="F1371" s="1208"/>
      <c r="G1371" s="1208"/>
      <c r="H1371" s="1208"/>
      <c r="I1371" s="1209"/>
      <c r="J1371" s="1209"/>
      <c r="K1371" s="1210">
        <f t="shared" si="242"/>
        <v>1.05</v>
      </c>
      <c r="L1371" s="1210">
        <f t="shared" si="239"/>
        <v>0</v>
      </c>
      <c r="M1371" s="1197">
        <f t="shared" si="240"/>
        <v>0</v>
      </c>
      <c r="N1371" s="1211">
        <f t="shared" si="241"/>
        <v>0</v>
      </c>
      <c r="O1371" s="1212"/>
      <c r="P1371" s="1200"/>
      <c r="Q1371" s="1200"/>
      <c r="R1371" s="1213"/>
      <c r="S1371" s="1213"/>
      <c r="T1371" s="1213"/>
      <c r="U1371" s="1213"/>
      <c r="V1371" s="1213"/>
    </row>
    <row r="1372" spans="1:22" ht="15" thickTop="1" thickBot="1" x14ac:dyDescent="0.3">
      <c r="A1372" s="1207"/>
      <c r="B1372" s="1212"/>
      <c r="C1372" s="1212"/>
      <c r="D1372" s="1212"/>
      <c r="E1372" s="1212"/>
      <c r="F1372" s="1208"/>
      <c r="G1372" s="1208"/>
      <c r="H1372" s="1208"/>
      <c r="I1372" s="1209"/>
      <c r="J1372" s="1209"/>
      <c r="K1372" s="1210">
        <f t="shared" si="242"/>
        <v>1.05</v>
      </c>
      <c r="L1372" s="1210">
        <f t="shared" si="239"/>
        <v>0</v>
      </c>
      <c r="M1372" s="1197">
        <f t="shared" si="240"/>
        <v>0</v>
      </c>
      <c r="N1372" s="1211">
        <f t="shared" si="241"/>
        <v>0</v>
      </c>
      <c r="O1372" s="1212"/>
      <c r="P1372" s="1200"/>
      <c r="Q1372" s="1200"/>
      <c r="R1372" s="1213"/>
      <c r="S1372" s="1213"/>
      <c r="T1372" s="1213"/>
      <c r="U1372" s="1213"/>
      <c r="V1372" s="1213"/>
    </row>
    <row r="1373" spans="1:22" ht="15" thickTop="1" thickBot="1" x14ac:dyDescent="0.3">
      <c r="A1373" s="1207"/>
      <c r="B1373" s="1212"/>
      <c r="C1373" s="1212"/>
      <c r="D1373" s="1212"/>
      <c r="E1373" s="1212"/>
      <c r="F1373" s="1208"/>
      <c r="G1373" s="1208"/>
      <c r="H1373" s="1208"/>
      <c r="I1373" s="1209"/>
      <c r="J1373" s="1209"/>
      <c r="K1373" s="1210">
        <f t="shared" si="242"/>
        <v>1.05</v>
      </c>
      <c r="L1373" s="1210">
        <f t="shared" si="239"/>
        <v>0</v>
      </c>
      <c r="M1373" s="1197">
        <f t="shared" si="240"/>
        <v>0</v>
      </c>
      <c r="N1373" s="1211">
        <f t="shared" si="241"/>
        <v>0</v>
      </c>
      <c r="O1373" s="1212"/>
      <c r="P1373" s="1200"/>
      <c r="Q1373" s="1200"/>
      <c r="R1373" s="1213"/>
      <c r="S1373" s="1213"/>
      <c r="T1373" s="1213"/>
      <c r="U1373" s="1213"/>
      <c r="V1373" s="1213"/>
    </row>
    <row r="1374" spans="1:22" ht="15" thickTop="1" thickBot="1" x14ac:dyDescent="0.3">
      <c r="A1374" s="1207"/>
      <c r="B1374" s="1212"/>
      <c r="C1374" s="1212"/>
      <c r="D1374" s="1212"/>
      <c r="E1374" s="1212"/>
      <c r="F1374" s="1208"/>
      <c r="G1374" s="1208"/>
      <c r="H1374" s="1208"/>
      <c r="I1374" s="1209"/>
      <c r="J1374" s="1209"/>
      <c r="K1374" s="1210">
        <f t="shared" si="242"/>
        <v>1.05</v>
      </c>
      <c r="L1374" s="1210">
        <f t="shared" si="239"/>
        <v>0</v>
      </c>
      <c r="M1374" s="1197">
        <f t="shared" si="240"/>
        <v>0</v>
      </c>
      <c r="N1374" s="1211">
        <f t="shared" si="241"/>
        <v>0</v>
      </c>
      <c r="O1374" s="1212"/>
      <c r="P1374" s="1200"/>
      <c r="Q1374" s="1200"/>
      <c r="R1374" s="1213"/>
      <c r="S1374" s="1213"/>
      <c r="T1374" s="1213"/>
      <c r="U1374" s="1213"/>
      <c r="V1374" s="1213"/>
    </row>
    <row r="1375" spans="1:22" ht="15" thickTop="1" thickBot="1" x14ac:dyDescent="0.3">
      <c r="A1375" s="1207"/>
      <c r="B1375" s="1212"/>
      <c r="C1375" s="1212"/>
      <c r="D1375" s="1212"/>
      <c r="E1375" s="1212"/>
      <c r="F1375" s="1208"/>
      <c r="G1375" s="1208"/>
      <c r="H1375" s="1208"/>
      <c r="I1375" s="1209"/>
      <c r="J1375" s="1209"/>
      <c r="K1375" s="1210">
        <f t="shared" si="242"/>
        <v>1.05</v>
      </c>
      <c r="L1375" s="1210">
        <f t="shared" si="239"/>
        <v>0</v>
      </c>
      <c r="M1375" s="1197">
        <f t="shared" si="240"/>
        <v>0</v>
      </c>
      <c r="N1375" s="1211">
        <f t="shared" si="241"/>
        <v>0</v>
      </c>
      <c r="O1375" s="1212"/>
      <c r="P1375" s="1200"/>
      <c r="Q1375" s="1200"/>
      <c r="R1375" s="1213"/>
      <c r="S1375" s="1213"/>
      <c r="T1375" s="1213"/>
      <c r="U1375" s="1213"/>
      <c r="V1375" s="1213"/>
    </row>
    <row r="1376" spans="1:22" ht="15" thickTop="1" thickBot="1" x14ac:dyDescent="0.3">
      <c r="A1376" s="1207"/>
      <c r="B1376" s="1212"/>
      <c r="C1376" s="1212"/>
      <c r="D1376" s="1212"/>
      <c r="E1376" s="1212"/>
      <c r="F1376" s="1208"/>
      <c r="G1376" s="1208"/>
      <c r="H1376" s="1208"/>
      <c r="I1376" s="1209"/>
      <c r="J1376" s="1209"/>
      <c r="K1376" s="1210">
        <f t="shared" si="242"/>
        <v>1.05</v>
      </c>
      <c r="L1376" s="1210">
        <f t="shared" si="239"/>
        <v>0</v>
      </c>
      <c r="M1376" s="1197">
        <f t="shared" si="240"/>
        <v>0</v>
      </c>
      <c r="N1376" s="1211">
        <f t="shared" si="241"/>
        <v>0</v>
      </c>
      <c r="O1376" s="1212"/>
      <c r="P1376" s="1200"/>
      <c r="Q1376" s="1200"/>
      <c r="R1376" s="1213"/>
      <c r="S1376" s="1213"/>
      <c r="T1376" s="1213"/>
      <c r="U1376" s="1213"/>
      <c r="V1376" s="1213"/>
    </row>
    <row r="1377" spans="1:22" ht="15" thickTop="1" thickBot="1" x14ac:dyDescent="0.3">
      <c r="A1377" s="1207"/>
      <c r="B1377" s="1212"/>
      <c r="C1377" s="1212"/>
      <c r="D1377" s="1212"/>
      <c r="E1377" s="1212"/>
      <c r="F1377" s="1208"/>
      <c r="G1377" s="1208"/>
      <c r="H1377" s="1208"/>
      <c r="I1377" s="1209"/>
      <c r="J1377" s="1209"/>
      <c r="K1377" s="1210">
        <f t="shared" si="242"/>
        <v>1.05</v>
      </c>
      <c r="L1377" s="1210">
        <f t="shared" si="239"/>
        <v>0</v>
      </c>
      <c r="M1377" s="1197">
        <f t="shared" si="240"/>
        <v>0</v>
      </c>
      <c r="N1377" s="1211">
        <f t="shared" si="241"/>
        <v>0</v>
      </c>
      <c r="O1377" s="1212"/>
      <c r="P1377" s="1200"/>
      <c r="Q1377" s="1200"/>
      <c r="R1377" s="1213"/>
      <c r="S1377" s="1213"/>
      <c r="T1377" s="1213"/>
      <c r="U1377" s="1213"/>
      <c r="V1377" s="1213"/>
    </row>
    <row r="1378" spans="1:22" ht="15" thickTop="1" thickBot="1" x14ac:dyDescent="0.3">
      <c r="A1378" s="1207"/>
      <c r="B1378" s="1212"/>
      <c r="C1378" s="1212"/>
      <c r="D1378" s="1212"/>
      <c r="E1378" s="1212"/>
      <c r="F1378" s="1208"/>
      <c r="G1378" s="1208"/>
      <c r="H1378" s="1208"/>
      <c r="I1378" s="1209"/>
      <c r="J1378" s="1209"/>
      <c r="K1378" s="1210">
        <f t="shared" si="242"/>
        <v>1.05</v>
      </c>
      <c r="L1378" s="1210">
        <f t="shared" si="239"/>
        <v>0</v>
      </c>
      <c r="M1378" s="1197">
        <f t="shared" si="240"/>
        <v>0</v>
      </c>
      <c r="N1378" s="1211">
        <f t="shared" si="241"/>
        <v>0</v>
      </c>
      <c r="O1378" s="1212"/>
      <c r="P1378" s="1200"/>
      <c r="Q1378" s="1200"/>
      <c r="R1378" s="1213"/>
      <c r="S1378" s="1213"/>
      <c r="T1378" s="1213"/>
      <c r="U1378" s="1213"/>
      <c r="V1378" s="1213"/>
    </row>
    <row r="1379" spans="1:22" ht="15" thickTop="1" thickBot="1" x14ac:dyDescent="0.3">
      <c r="A1379" s="1207"/>
      <c r="B1379" s="1212"/>
      <c r="C1379" s="1212"/>
      <c r="D1379" s="1212"/>
      <c r="E1379" s="1212"/>
      <c r="F1379" s="1208"/>
      <c r="G1379" s="1208"/>
      <c r="H1379" s="1208"/>
      <c r="I1379" s="1209"/>
      <c r="J1379" s="1209"/>
      <c r="K1379" s="1210">
        <f t="shared" si="242"/>
        <v>1.05</v>
      </c>
      <c r="L1379" s="1210">
        <f t="shared" si="239"/>
        <v>0</v>
      </c>
      <c r="M1379" s="1197">
        <f t="shared" si="240"/>
        <v>0</v>
      </c>
      <c r="N1379" s="1211">
        <f t="shared" si="241"/>
        <v>0</v>
      </c>
      <c r="O1379" s="1212"/>
      <c r="P1379" s="1200"/>
      <c r="Q1379" s="1200"/>
      <c r="R1379" s="1213"/>
      <c r="S1379" s="1213"/>
      <c r="T1379" s="1213"/>
      <c r="U1379" s="1213"/>
      <c r="V1379" s="1213"/>
    </row>
    <row r="1380" spans="1:22" ht="15" thickTop="1" thickBot="1" x14ac:dyDescent="0.3">
      <c r="A1380" s="1207"/>
      <c r="B1380" s="1212"/>
      <c r="C1380" s="1212"/>
      <c r="D1380" s="1212"/>
      <c r="E1380" s="1212"/>
      <c r="F1380" s="1208"/>
      <c r="G1380" s="1208"/>
      <c r="H1380" s="1208"/>
      <c r="I1380" s="1209"/>
      <c r="J1380" s="1209"/>
      <c r="K1380" s="1210">
        <f t="shared" si="242"/>
        <v>1.05</v>
      </c>
      <c r="L1380" s="1210">
        <f t="shared" si="239"/>
        <v>0</v>
      </c>
      <c r="M1380" s="1197">
        <f t="shared" si="240"/>
        <v>0</v>
      </c>
      <c r="N1380" s="1211">
        <f t="shared" si="241"/>
        <v>0</v>
      </c>
      <c r="O1380" s="1212"/>
      <c r="P1380" s="1200"/>
      <c r="Q1380" s="1200"/>
      <c r="R1380" s="1213"/>
      <c r="S1380" s="1213"/>
      <c r="T1380" s="1213"/>
      <c r="U1380" s="1213"/>
      <c r="V1380" s="1213"/>
    </row>
    <row r="1381" spans="1:22" ht="15" thickTop="1" thickBot="1" x14ac:dyDescent="0.3">
      <c r="A1381" s="1207"/>
      <c r="B1381" s="1212"/>
      <c r="C1381" s="1212"/>
      <c r="D1381" s="1212"/>
      <c r="E1381" s="1212"/>
      <c r="F1381" s="1208"/>
      <c r="G1381" s="1208"/>
      <c r="H1381" s="1208"/>
      <c r="I1381" s="1209"/>
      <c r="J1381" s="1209"/>
      <c r="K1381" s="1210">
        <f t="shared" si="242"/>
        <v>1.05</v>
      </c>
      <c r="L1381" s="1210">
        <f t="shared" si="239"/>
        <v>0</v>
      </c>
      <c r="M1381" s="1197">
        <f t="shared" si="240"/>
        <v>0</v>
      </c>
      <c r="N1381" s="1211">
        <f t="shared" si="241"/>
        <v>0</v>
      </c>
      <c r="O1381" s="1212"/>
      <c r="P1381" s="1200"/>
      <c r="Q1381" s="1200"/>
      <c r="R1381" s="1213"/>
      <c r="S1381" s="1213"/>
      <c r="T1381" s="1213"/>
      <c r="U1381" s="1213"/>
      <c r="V1381" s="1213"/>
    </row>
    <row r="1382" spans="1:22" ht="15" thickTop="1" thickBot="1" x14ac:dyDescent="0.3">
      <c r="A1382" s="1207"/>
      <c r="B1382" s="1212"/>
      <c r="C1382" s="1212"/>
      <c r="D1382" s="1212"/>
      <c r="E1382" s="1212"/>
      <c r="F1382" s="1208"/>
      <c r="G1382" s="1208"/>
      <c r="H1382" s="1208"/>
      <c r="I1382" s="1209"/>
      <c r="J1382" s="1209"/>
      <c r="K1382" s="1210">
        <f t="shared" si="242"/>
        <v>1.05</v>
      </c>
      <c r="L1382" s="1210">
        <f t="shared" si="239"/>
        <v>0</v>
      </c>
      <c r="M1382" s="1197">
        <f t="shared" si="240"/>
        <v>0</v>
      </c>
      <c r="N1382" s="1211">
        <f t="shared" si="241"/>
        <v>0</v>
      </c>
      <c r="O1382" s="1212"/>
      <c r="P1382" s="1200"/>
      <c r="Q1382" s="1200"/>
      <c r="R1382" s="1213"/>
      <c r="S1382" s="1213"/>
      <c r="T1382" s="1213"/>
      <c r="U1382" s="1213"/>
      <c r="V1382" s="1213"/>
    </row>
    <row r="1383" spans="1:22" ht="15" thickTop="1" thickBot="1" x14ac:dyDescent="0.3">
      <c r="A1383" s="1207"/>
      <c r="B1383" s="1212"/>
      <c r="C1383" s="1212"/>
      <c r="D1383" s="1212"/>
      <c r="E1383" s="1212"/>
      <c r="F1383" s="1208"/>
      <c r="G1383" s="1208"/>
      <c r="H1383" s="1208"/>
      <c r="I1383" s="1209"/>
      <c r="J1383" s="1209"/>
      <c r="K1383" s="1210">
        <f t="shared" si="242"/>
        <v>1.05</v>
      </c>
      <c r="L1383" s="1210">
        <f t="shared" si="239"/>
        <v>0</v>
      </c>
      <c r="M1383" s="1197">
        <f t="shared" si="240"/>
        <v>0</v>
      </c>
      <c r="N1383" s="1211">
        <f t="shared" si="241"/>
        <v>0</v>
      </c>
      <c r="O1383" s="1212"/>
      <c r="P1383" s="1200"/>
      <c r="Q1383" s="1200"/>
      <c r="R1383" s="1213"/>
      <c r="S1383" s="1213"/>
      <c r="T1383" s="1213"/>
      <c r="U1383" s="1213"/>
      <c r="V1383" s="1213"/>
    </row>
    <row r="1384" spans="1:22" ht="15" thickTop="1" thickBot="1" x14ac:dyDescent="0.3">
      <c r="A1384" s="1207"/>
      <c r="B1384" s="1212"/>
      <c r="C1384" s="1212"/>
      <c r="D1384" s="1212"/>
      <c r="E1384" s="1212"/>
      <c r="F1384" s="1208"/>
      <c r="G1384" s="1208"/>
      <c r="H1384" s="1208"/>
      <c r="I1384" s="1209"/>
      <c r="J1384" s="1209"/>
      <c r="K1384" s="1210">
        <f t="shared" si="242"/>
        <v>1.05</v>
      </c>
      <c r="L1384" s="1210">
        <f t="shared" si="239"/>
        <v>0</v>
      </c>
      <c r="M1384" s="1197">
        <f t="shared" si="240"/>
        <v>0</v>
      </c>
      <c r="N1384" s="1211">
        <f t="shared" si="241"/>
        <v>0</v>
      </c>
      <c r="O1384" s="1212"/>
      <c r="P1384" s="1200"/>
      <c r="Q1384" s="1200"/>
      <c r="R1384" s="1213"/>
      <c r="S1384" s="1213"/>
      <c r="T1384" s="1213"/>
      <c r="U1384" s="1213"/>
      <c r="V1384" s="1213"/>
    </row>
    <row r="1385" spans="1:22" ht="15" thickTop="1" thickBot="1" x14ac:dyDescent="0.3">
      <c r="A1385" s="1207"/>
      <c r="B1385" s="1212"/>
      <c r="C1385" s="1212"/>
      <c r="D1385" s="1212"/>
      <c r="E1385" s="1212"/>
      <c r="F1385" s="1208"/>
      <c r="G1385" s="1208"/>
      <c r="H1385" s="1208"/>
      <c r="I1385" s="1209"/>
      <c r="J1385" s="1209"/>
      <c r="K1385" s="1210">
        <f t="shared" si="242"/>
        <v>1.05</v>
      </c>
      <c r="L1385" s="1210">
        <f t="shared" si="239"/>
        <v>0</v>
      </c>
      <c r="M1385" s="1197">
        <f t="shared" si="240"/>
        <v>0</v>
      </c>
      <c r="N1385" s="1211">
        <f t="shared" si="241"/>
        <v>0</v>
      </c>
      <c r="O1385" s="1212"/>
      <c r="P1385" s="1200"/>
      <c r="Q1385" s="1200"/>
      <c r="R1385" s="1213"/>
      <c r="S1385" s="1213"/>
      <c r="T1385" s="1213"/>
      <c r="U1385" s="1213"/>
      <c r="V1385" s="1213"/>
    </row>
    <row r="1386" spans="1:22" ht="15" thickTop="1" thickBot="1" x14ac:dyDescent="0.3">
      <c r="A1386" s="1207"/>
      <c r="B1386" s="1212"/>
      <c r="C1386" s="1212"/>
      <c r="D1386" s="1212"/>
      <c r="E1386" s="1212"/>
      <c r="F1386" s="1208"/>
      <c r="G1386" s="1208"/>
      <c r="H1386" s="1208"/>
      <c r="I1386" s="1209"/>
      <c r="J1386" s="1209"/>
      <c r="K1386" s="1210">
        <f t="shared" si="242"/>
        <v>1.05</v>
      </c>
      <c r="L1386" s="1210">
        <f t="shared" ref="L1386:L1449" si="243">K1386*J1386</f>
        <v>0</v>
      </c>
      <c r="M1386" s="1197">
        <f t="shared" ref="M1386:M1449" si="244">ROUND(L1386,1)</f>
        <v>0</v>
      </c>
      <c r="N1386" s="1211">
        <f t="shared" ref="N1386:N1449" si="245">ROUNDUP(M1386,0)</f>
        <v>0</v>
      </c>
      <c r="O1386" s="1212"/>
      <c r="P1386" s="1200"/>
      <c r="Q1386" s="1200"/>
      <c r="R1386" s="1213"/>
      <c r="S1386" s="1213"/>
      <c r="T1386" s="1213"/>
      <c r="U1386" s="1213"/>
      <c r="V1386" s="1213"/>
    </row>
    <row r="1387" spans="1:22" ht="15" thickTop="1" thickBot="1" x14ac:dyDescent="0.3">
      <c r="A1387" s="1207"/>
      <c r="B1387" s="1212"/>
      <c r="C1387" s="1212"/>
      <c r="D1387" s="1212"/>
      <c r="E1387" s="1212"/>
      <c r="F1387" s="1208"/>
      <c r="G1387" s="1208"/>
      <c r="H1387" s="1208"/>
      <c r="I1387" s="1209"/>
      <c r="J1387" s="1209"/>
      <c r="K1387" s="1210">
        <f t="shared" si="242"/>
        <v>1.05</v>
      </c>
      <c r="L1387" s="1210">
        <f t="shared" si="243"/>
        <v>0</v>
      </c>
      <c r="M1387" s="1197">
        <f t="shared" si="244"/>
        <v>0</v>
      </c>
      <c r="N1387" s="1211">
        <f t="shared" si="245"/>
        <v>0</v>
      </c>
      <c r="O1387" s="1212"/>
      <c r="P1387" s="1200"/>
      <c r="Q1387" s="1200"/>
      <c r="R1387" s="1213"/>
      <c r="S1387" s="1213"/>
      <c r="T1387" s="1213"/>
      <c r="U1387" s="1213"/>
      <c r="V1387" s="1213"/>
    </row>
    <row r="1388" spans="1:22" ht="15" thickTop="1" thickBot="1" x14ac:dyDescent="0.3">
      <c r="A1388" s="1207"/>
      <c r="B1388" s="1212"/>
      <c r="C1388" s="1212"/>
      <c r="D1388" s="1212"/>
      <c r="E1388" s="1212"/>
      <c r="F1388" s="1208"/>
      <c r="G1388" s="1208"/>
      <c r="H1388" s="1208"/>
      <c r="I1388" s="1209"/>
      <c r="J1388" s="1209"/>
      <c r="K1388" s="1210">
        <f t="shared" si="242"/>
        <v>1.05</v>
      </c>
      <c r="L1388" s="1210">
        <f t="shared" si="243"/>
        <v>0</v>
      </c>
      <c r="M1388" s="1197">
        <f t="shared" si="244"/>
        <v>0</v>
      </c>
      <c r="N1388" s="1211">
        <f t="shared" si="245"/>
        <v>0</v>
      </c>
      <c r="O1388" s="1212"/>
      <c r="P1388" s="1200"/>
      <c r="Q1388" s="1200"/>
      <c r="R1388" s="1213"/>
      <c r="S1388" s="1213"/>
      <c r="T1388" s="1213"/>
      <c r="U1388" s="1213"/>
      <c r="V1388" s="1213"/>
    </row>
    <row r="1389" spans="1:22" ht="15" thickTop="1" thickBot="1" x14ac:dyDescent="0.3">
      <c r="A1389" s="1207"/>
      <c r="B1389" s="1212"/>
      <c r="C1389" s="1212"/>
      <c r="D1389" s="1212"/>
      <c r="E1389" s="1212"/>
      <c r="F1389" s="1208"/>
      <c r="G1389" s="1208"/>
      <c r="H1389" s="1208"/>
      <c r="I1389" s="1209"/>
      <c r="J1389" s="1209"/>
      <c r="K1389" s="1210">
        <f t="shared" si="242"/>
        <v>1.05</v>
      </c>
      <c r="L1389" s="1210">
        <f t="shared" si="243"/>
        <v>0</v>
      </c>
      <c r="M1389" s="1197">
        <f t="shared" si="244"/>
        <v>0</v>
      </c>
      <c r="N1389" s="1211">
        <f t="shared" si="245"/>
        <v>0</v>
      </c>
      <c r="O1389" s="1212"/>
      <c r="P1389" s="1200"/>
      <c r="Q1389" s="1200"/>
      <c r="R1389" s="1213"/>
      <c r="S1389" s="1213"/>
      <c r="T1389" s="1213"/>
      <c r="U1389" s="1213"/>
      <c r="V1389" s="1213"/>
    </row>
    <row r="1390" spans="1:22" ht="15" thickTop="1" thickBot="1" x14ac:dyDescent="0.3">
      <c r="A1390" s="1207"/>
      <c r="B1390" s="1212"/>
      <c r="C1390" s="1212"/>
      <c r="D1390" s="1212"/>
      <c r="E1390" s="1212"/>
      <c r="F1390" s="1208"/>
      <c r="G1390" s="1208"/>
      <c r="H1390" s="1208"/>
      <c r="I1390" s="1209"/>
      <c r="J1390" s="1209"/>
      <c r="K1390" s="1210">
        <f t="shared" si="242"/>
        <v>1.05</v>
      </c>
      <c r="L1390" s="1210">
        <f t="shared" si="243"/>
        <v>0</v>
      </c>
      <c r="M1390" s="1197">
        <f t="shared" si="244"/>
        <v>0</v>
      </c>
      <c r="N1390" s="1211">
        <f t="shared" si="245"/>
        <v>0</v>
      </c>
      <c r="O1390" s="1212"/>
      <c r="P1390" s="1200"/>
      <c r="Q1390" s="1200"/>
      <c r="R1390" s="1213"/>
      <c r="S1390" s="1213"/>
      <c r="T1390" s="1213"/>
      <c r="U1390" s="1213"/>
      <c r="V1390" s="1213"/>
    </row>
    <row r="1391" spans="1:22" ht="15" thickTop="1" thickBot="1" x14ac:dyDescent="0.3">
      <c r="A1391" s="1207"/>
      <c r="B1391" s="1212"/>
      <c r="C1391" s="1212"/>
      <c r="D1391" s="1212"/>
      <c r="E1391" s="1212"/>
      <c r="F1391" s="1208"/>
      <c r="G1391" s="1208"/>
      <c r="H1391" s="1208"/>
      <c r="I1391" s="1209"/>
      <c r="J1391" s="1209"/>
      <c r="K1391" s="1210">
        <f t="shared" si="242"/>
        <v>1.05</v>
      </c>
      <c r="L1391" s="1210">
        <f t="shared" si="243"/>
        <v>0</v>
      </c>
      <c r="M1391" s="1197">
        <f t="shared" si="244"/>
        <v>0</v>
      </c>
      <c r="N1391" s="1211">
        <f t="shared" si="245"/>
        <v>0</v>
      </c>
      <c r="O1391" s="1212"/>
      <c r="P1391" s="1200"/>
      <c r="Q1391" s="1200"/>
      <c r="R1391" s="1213"/>
      <c r="S1391" s="1213"/>
      <c r="T1391" s="1213"/>
      <c r="U1391" s="1213"/>
      <c r="V1391" s="1213"/>
    </row>
    <row r="1392" spans="1:22" ht="15" thickTop="1" thickBot="1" x14ac:dyDescent="0.3">
      <c r="A1392" s="1207"/>
      <c r="B1392" s="1212"/>
      <c r="C1392" s="1212"/>
      <c r="D1392" s="1212"/>
      <c r="E1392" s="1212"/>
      <c r="F1392" s="1208"/>
      <c r="G1392" s="1208"/>
      <c r="H1392" s="1208"/>
      <c r="I1392" s="1209"/>
      <c r="J1392" s="1209"/>
      <c r="K1392" s="1210">
        <f t="shared" si="242"/>
        <v>1.05</v>
      </c>
      <c r="L1392" s="1210">
        <f t="shared" si="243"/>
        <v>0</v>
      </c>
      <c r="M1392" s="1197">
        <f t="shared" si="244"/>
        <v>0</v>
      </c>
      <c r="N1392" s="1211">
        <f t="shared" si="245"/>
        <v>0</v>
      </c>
      <c r="O1392" s="1212"/>
      <c r="P1392" s="1200"/>
      <c r="Q1392" s="1200"/>
      <c r="R1392" s="1213"/>
      <c r="S1392" s="1213"/>
      <c r="T1392" s="1213"/>
      <c r="U1392" s="1213"/>
      <c r="V1392" s="1213"/>
    </row>
    <row r="1393" spans="1:22" ht="15" thickTop="1" thickBot="1" x14ac:dyDescent="0.3">
      <c r="A1393" s="1207"/>
      <c r="B1393" s="1212"/>
      <c r="C1393" s="1212"/>
      <c r="D1393" s="1212"/>
      <c r="E1393" s="1212"/>
      <c r="F1393" s="1208"/>
      <c r="G1393" s="1208"/>
      <c r="H1393" s="1208"/>
      <c r="I1393" s="1209"/>
      <c r="J1393" s="1209"/>
      <c r="K1393" s="1210">
        <f t="shared" si="242"/>
        <v>1.05</v>
      </c>
      <c r="L1393" s="1210">
        <f t="shared" si="243"/>
        <v>0</v>
      </c>
      <c r="M1393" s="1197">
        <f t="shared" si="244"/>
        <v>0</v>
      </c>
      <c r="N1393" s="1211">
        <f t="shared" si="245"/>
        <v>0</v>
      </c>
      <c r="O1393" s="1212"/>
      <c r="P1393" s="1200"/>
      <c r="Q1393" s="1200"/>
      <c r="R1393" s="1213"/>
      <c r="S1393" s="1213"/>
      <c r="T1393" s="1213"/>
      <c r="U1393" s="1213"/>
      <c r="V1393" s="1213"/>
    </row>
    <row r="1394" spans="1:22" ht="15" thickTop="1" thickBot="1" x14ac:dyDescent="0.3">
      <c r="A1394" s="1207"/>
      <c r="B1394" s="1212"/>
      <c r="C1394" s="1212"/>
      <c r="D1394" s="1212"/>
      <c r="E1394" s="1212"/>
      <c r="F1394" s="1208"/>
      <c r="G1394" s="1208"/>
      <c r="H1394" s="1208"/>
      <c r="I1394" s="1209"/>
      <c r="J1394" s="1209"/>
      <c r="K1394" s="1210">
        <f t="shared" si="242"/>
        <v>1.05</v>
      </c>
      <c r="L1394" s="1210">
        <f t="shared" si="243"/>
        <v>0</v>
      </c>
      <c r="M1394" s="1197">
        <f t="shared" si="244"/>
        <v>0</v>
      </c>
      <c r="N1394" s="1211">
        <f t="shared" si="245"/>
        <v>0</v>
      </c>
      <c r="O1394" s="1212"/>
      <c r="P1394" s="1200"/>
      <c r="Q1394" s="1200"/>
      <c r="R1394" s="1213"/>
      <c r="S1394" s="1213"/>
      <c r="T1394" s="1213"/>
      <c r="U1394" s="1213"/>
      <c r="V1394" s="1213"/>
    </row>
    <row r="1395" spans="1:22" ht="15" thickTop="1" thickBot="1" x14ac:dyDescent="0.3">
      <c r="A1395" s="1207"/>
      <c r="B1395" s="1212"/>
      <c r="C1395" s="1212"/>
      <c r="D1395" s="1212"/>
      <c r="E1395" s="1212"/>
      <c r="F1395" s="1208"/>
      <c r="G1395" s="1208"/>
      <c r="H1395" s="1208"/>
      <c r="I1395" s="1209"/>
      <c r="J1395" s="1209"/>
      <c r="K1395" s="1210">
        <f t="shared" si="242"/>
        <v>1.05</v>
      </c>
      <c r="L1395" s="1210">
        <f t="shared" si="243"/>
        <v>0</v>
      </c>
      <c r="M1395" s="1197">
        <f t="shared" si="244"/>
        <v>0</v>
      </c>
      <c r="N1395" s="1211">
        <f t="shared" si="245"/>
        <v>0</v>
      </c>
      <c r="O1395" s="1212"/>
      <c r="P1395" s="1200"/>
      <c r="Q1395" s="1200"/>
      <c r="R1395" s="1213"/>
      <c r="S1395" s="1213"/>
      <c r="T1395" s="1213"/>
      <c r="U1395" s="1213"/>
      <c r="V1395" s="1213"/>
    </row>
    <row r="1396" spans="1:22" ht="15" thickTop="1" thickBot="1" x14ac:dyDescent="0.3">
      <c r="A1396" s="1207"/>
      <c r="B1396" s="1212"/>
      <c r="C1396" s="1212"/>
      <c r="D1396" s="1212"/>
      <c r="E1396" s="1212"/>
      <c r="F1396" s="1208"/>
      <c r="G1396" s="1208"/>
      <c r="H1396" s="1208"/>
      <c r="I1396" s="1209"/>
      <c r="J1396" s="1209"/>
      <c r="K1396" s="1210">
        <f t="shared" si="242"/>
        <v>1.05</v>
      </c>
      <c r="L1396" s="1210">
        <f t="shared" si="243"/>
        <v>0</v>
      </c>
      <c r="M1396" s="1197">
        <f t="shared" si="244"/>
        <v>0</v>
      </c>
      <c r="N1396" s="1211">
        <f t="shared" si="245"/>
        <v>0</v>
      </c>
      <c r="O1396" s="1212"/>
      <c r="P1396" s="1200"/>
      <c r="Q1396" s="1200"/>
      <c r="R1396" s="1213"/>
      <c r="S1396" s="1213"/>
      <c r="T1396" s="1213"/>
      <c r="U1396" s="1213"/>
      <c r="V1396" s="1213"/>
    </row>
    <row r="1397" spans="1:22" ht="15" thickTop="1" thickBot="1" x14ac:dyDescent="0.3">
      <c r="A1397" s="1207"/>
      <c r="B1397" s="1212"/>
      <c r="C1397" s="1212"/>
      <c r="D1397" s="1212"/>
      <c r="E1397" s="1212"/>
      <c r="F1397" s="1208"/>
      <c r="G1397" s="1208"/>
      <c r="H1397" s="1208"/>
      <c r="I1397" s="1209"/>
      <c r="J1397" s="1209"/>
      <c r="K1397" s="1210">
        <f t="shared" si="242"/>
        <v>1.05</v>
      </c>
      <c r="L1397" s="1210">
        <f t="shared" si="243"/>
        <v>0</v>
      </c>
      <c r="M1397" s="1197">
        <f t="shared" si="244"/>
        <v>0</v>
      </c>
      <c r="N1397" s="1211">
        <f t="shared" si="245"/>
        <v>0</v>
      </c>
      <c r="O1397" s="1212"/>
      <c r="P1397" s="1200"/>
      <c r="Q1397" s="1200"/>
      <c r="R1397" s="1213"/>
      <c r="S1397" s="1213"/>
      <c r="T1397" s="1213"/>
      <c r="U1397" s="1213"/>
      <c r="V1397" s="1213"/>
    </row>
    <row r="1398" spans="1:22" ht="15" thickTop="1" thickBot="1" x14ac:dyDescent="0.3">
      <c r="A1398" s="1207"/>
      <c r="B1398" s="1212"/>
      <c r="C1398" s="1212"/>
      <c r="D1398" s="1212"/>
      <c r="E1398" s="1212"/>
      <c r="F1398" s="1208"/>
      <c r="G1398" s="1208"/>
      <c r="H1398" s="1208"/>
      <c r="I1398" s="1209"/>
      <c r="J1398" s="1209"/>
      <c r="K1398" s="1210">
        <f t="shared" si="242"/>
        <v>1.05</v>
      </c>
      <c r="L1398" s="1210">
        <f t="shared" si="243"/>
        <v>0</v>
      </c>
      <c r="M1398" s="1197">
        <f t="shared" si="244"/>
        <v>0</v>
      </c>
      <c r="N1398" s="1211">
        <f t="shared" si="245"/>
        <v>0</v>
      </c>
      <c r="O1398" s="1212"/>
      <c r="P1398" s="1200"/>
      <c r="Q1398" s="1200"/>
      <c r="R1398" s="1213"/>
      <c r="S1398" s="1213"/>
      <c r="T1398" s="1213"/>
      <c r="U1398" s="1213"/>
      <c r="V1398" s="1213"/>
    </row>
    <row r="1399" spans="1:22" ht="15" thickTop="1" thickBot="1" x14ac:dyDescent="0.3">
      <c r="A1399" s="1207"/>
      <c r="B1399" s="1212"/>
      <c r="C1399" s="1212"/>
      <c r="D1399" s="1212"/>
      <c r="E1399" s="1212"/>
      <c r="F1399" s="1208"/>
      <c r="G1399" s="1208"/>
      <c r="H1399" s="1208"/>
      <c r="I1399" s="1209"/>
      <c r="J1399" s="1209"/>
      <c r="K1399" s="1210">
        <f t="shared" si="242"/>
        <v>1.05</v>
      </c>
      <c r="L1399" s="1210">
        <f t="shared" si="243"/>
        <v>0</v>
      </c>
      <c r="M1399" s="1197">
        <f t="shared" si="244"/>
        <v>0</v>
      </c>
      <c r="N1399" s="1211">
        <f t="shared" si="245"/>
        <v>0</v>
      </c>
      <c r="O1399" s="1212"/>
      <c r="P1399" s="1200"/>
      <c r="Q1399" s="1200"/>
      <c r="R1399" s="1213"/>
      <c r="S1399" s="1213"/>
      <c r="T1399" s="1213"/>
      <c r="U1399" s="1213"/>
      <c r="V1399" s="1213"/>
    </row>
    <row r="1400" spans="1:22" ht="15" thickTop="1" thickBot="1" x14ac:dyDescent="0.3">
      <c r="A1400" s="1207"/>
      <c r="B1400" s="1212"/>
      <c r="C1400" s="1212"/>
      <c r="D1400" s="1212"/>
      <c r="E1400" s="1212"/>
      <c r="F1400" s="1208"/>
      <c r="G1400" s="1208"/>
      <c r="H1400" s="1208"/>
      <c r="I1400" s="1209"/>
      <c r="J1400" s="1209"/>
      <c r="K1400" s="1210">
        <f t="shared" si="242"/>
        <v>1.05</v>
      </c>
      <c r="L1400" s="1210">
        <f t="shared" si="243"/>
        <v>0</v>
      </c>
      <c r="M1400" s="1197">
        <f t="shared" si="244"/>
        <v>0</v>
      </c>
      <c r="N1400" s="1211">
        <f t="shared" si="245"/>
        <v>0</v>
      </c>
      <c r="O1400" s="1212"/>
      <c r="P1400" s="1200"/>
      <c r="Q1400" s="1200"/>
      <c r="R1400" s="1213"/>
      <c r="S1400" s="1213"/>
      <c r="T1400" s="1213"/>
      <c r="U1400" s="1213"/>
      <c r="V1400" s="1213"/>
    </row>
    <row r="1401" spans="1:22" ht="15" thickTop="1" thickBot="1" x14ac:dyDescent="0.3">
      <c r="A1401" s="1207"/>
      <c r="B1401" s="1212"/>
      <c r="C1401" s="1212"/>
      <c r="D1401" s="1212"/>
      <c r="E1401" s="1212"/>
      <c r="F1401" s="1208"/>
      <c r="G1401" s="1208"/>
      <c r="H1401" s="1208"/>
      <c r="I1401" s="1209"/>
      <c r="J1401" s="1209"/>
      <c r="K1401" s="1210">
        <f t="shared" si="242"/>
        <v>1.05</v>
      </c>
      <c r="L1401" s="1210">
        <f t="shared" si="243"/>
        <v>0</v>
      </c>
      <c r="M1401" s="1197">
        <f t="shared" si="244"/>
        <v>0</v>
      </c>
      <c r="N1401" s="1211">
        <f t="shared" si="245"/>
        <v>0</v>
      </c>
      <c r="O1401" s="1212"/>
      <c r="P1401" s="1200"/>
      <c r="Q1401" s="1200"/>
      <c r="R1401" s="1213"/>
      <c r="S1401" s="1213"/>
      <c r="T1401" s="1213"/>
      <c r="U1401" s="1213"/>
      <c r="V1401" s="1213"/>
    </row>
    <row r="1402" spans="1:22" ht="15" thickTop="1" thickBot="1" x14ac:dyDescent="0.3">
      <c r="A1402" s="1207"/>
      <c r="B1402" s="1212"/>
      <c r="C1402" s="1212"/>
      <c r="D1402" s="1212"/>
      <c r="E1402" s="1212"/>
      <c r="F1402" s="1208"/>
      <c r="G1402" s="1208"/>
      <c r="H1402" s="1208"/>
      <c r="I1402" s="1209"/>
      <c r="J1402" s="1209"/>
      <c r="K1402" s="1210">
        <f t="shared" si="242"/>
        <v>1.05</v>
      </c>
      <c r="L1402" s="1210">
        <f t="shared" si="243"/>
        <v>0</v>
      </c>
      <c r="M1402" s="1197">
        <f t="shared" si="244"/>
        <v>0</v>
      </c>
      <c r="N1402" s="1211">
        <f t="shared" si="245"/>
        <v>0</v>
      </c>
      <c r="O1402" s="1212"/>
      <c r="P1402" s="1200"/>
      <c r="Q1402" s="1200"/>
      <c r="R1402" s="1213"/>
      <c r="S1402" s="1213"/>
      <c r="T1402" s="1213"/>
      <c r="U1402" s="1213"/>
      <c r="V1402" s="1213"/>
    </row>
    <row r="1403" spans="1:22" ht="15" thickTop="1" thickBot="1" x14ac:dyDescent="0.3">
      <c r="A1403" s="1207"/>
      <c r="B1403" s="1212"/>
      <c r="C1403" s="1212"/>
      <c r="D1403" s="1212"/>
      <c r="E1403" s="1212"/>
      <c r="F1403" s="1208"/>
      <c r="G1403" s="1208"/>
      <c r="H1403" s="1208"/>
      <c r="I1403" s="1209"/>
      <c r="J1403" s="1209"/>
      <c r="K1403" s="1210">
        <f t="shared" si="242"/>
        <v>1.05</v>
      </c>
      <c r="L1403" s="1210">
        <f t="shared" si="243"/>
        <v>0</v>
      </c>
      <c r="M1403" s="1197">
        <f t="shared" si="244"/>
        <v>0</v>
      </c>
      <c r="N1403" s="1211">
        <f t="shared" si="245"/>
        <v>0</v>
      </c>
      <c r="O1403" s="1212"/>
      <c r="P1403" s="1200"/>
      <c r="Q1403" s="1200"/>
      <c r="R1403" s="1213"/>
      <c r="S1403" s="1213"/>
      <c r="T1403" s="1213"/>
      <c r="U1403" s="1213"/>
      <c r="V1403" s="1213"/>
    </row>
    <row r="1404" spans="1:22" ht="15" thickTop="1" thickBot="1" x14ac:dyDescent="0.3">
      <c r="A1404" s="1207"/>
      <c r="B1404" s="1212"/>
      <c r="C1404" s="1212"/>
      <c r="D1404" s="1212"/>
      <c r="E1404" s="1212"/>
      <c r="F1404" s="1208"/>
      <c r="G1404" s="1208"/>
      <c r="H1404" s="1208"/>
      <c r="I1404" s="1209"/>
      <c r="J1404" s="1209"/>
      <c r="K1404" s="1210">
        <f t="shared" si="242"/>
        <v>1.05</v>
      </c>
      <c r="L1404" s="1210">
        <f t="shared" si="243"/>
        <v>0</v>
      </c>
      <c r="M1404" s="1197">
        <f t="shared" si="244"/>
        <v>0</v>
      </c>
      <c r="N1404" s="1211">
        <f t="shared" si="245"/>
        <v>0</v>
      </c>
      <c r="O1404" s="1212"/>
      <c r="P1404" s="1200"/>
      <c r="Q1404" s="1200"/>
      <c r="R1404" s="1213"/>
      <c r="S1404" s="1213"/>
      <c r="T1404" s="1213"/>
      <c r="U1404" s="1213"/>
      <c r="V1404" s="1213"/>
    </row>
    <row r="1405" spans="1:22" ht="15" thickTop="1" thickBot="1" x14ac:dyDescent="0.3">
      <c r="A1405" s="1207"/>
      <c r="B1405" s="1212"/>
      <c r="C1405" s="1212"/>
      <c r="D1405" s="1212"/>
      <c r="E1405" s="1212"/>
      <c r="F1405" s="1208"/>
      <c r="G1405" s="1208"/>
      <c r="H1405" s="1208"/>
      <c r="I1405" s="1209"/>
      <c r="J1405" s="1209"/>
      <c r="K1405" s="1210">
        <f t="shared" si="242"/>
        <v>1.05</v>
      </c>
      <c r="L1405" s="1210">
        <f t="shared" si="243"/>
        <v>0</v>
      </c>
      <c r="M1405" s="1197">
        <f t="shared" si="244"/>
        <v>0</v>
      </c>
      <c r="N1405" s="1211">
        <f t="shared" si="245"/>
        <v>0</v>
      </c>
      <c r="O1405" s="1212"/>
      <c r="P1405" s="1200"/>
      <c r="Q1405" s="1200"/>
      <c r="R1405" s="1213"/>
      <c r="S1405" s="1213"/>
      <c r="T1405" s="1213"/>
      <c r="U1405" s="1213"/>
      <c r="V1405" s="1213"/>
    </row>
    <row r="1406" spans="1:22" ht="15" thickTop="1" thickBot="1" x14ac:dyDescent="0.3">
      <c r="A1406" s="1207"/>
      <c r="B1406" s="1212"/>
      <c r="C1406" s="1212"/>
      <c r="D1406" s="1212"/>
      <c r="E1406" s="1212"/>
      <c r="F1406" s="1208"/>
      <c r="G1406" s="1208"/>
      <c r="H1406" s="1208"/>
      <c r="I1406" s="1209"/>
      <c r="J1406" s="1209"/>
      <c r="K1406" s="1210">
        <f t="shared" si="242"/>
        <v>1.05</v>
      </c>
      <c r="L1406" s="1210">
        <f t="shared" si="243"/>
        <v>0</v>
      </c>
      <c r="M1406" s="1197">
        <f t="shared" si="244"/>
        <v>0</v>
      </c>
      <c r="N1406" s="1211">
        <f t="shared" si="245"/>
        <v>0</v>
      </c>
      <c r="O1406" s="1212"/>
      <c r="P1406" s="1200"/>
      <c r="Q1406" s="1200"/>
      <c r="R1406" s="1213"/>
      <c r="S1406" s="1213"/>
      <c r="T1406" s="1213"/>
      <c r="U1406" s="1213"/>
      <c r="V1406" s="1213"/>
    </row>
    <row r="1407" spans="1:22" ht="15" thickTop="1" thickBot="1" x14ac:dyDescent="0.3">
      <c r="A1407" s="1207"/>
      <c r="B1407" s="1212"/>
      <c r="C1407" s="1212"/>
      <c r="D1407" s="1212"/>
      <c r="E1407" s="1212"/>
      <c r="F1407" s="1208"/>
      <c r="G1407" s="1208"/>
      <c r="H1407" s="1208"/>
      <c r="I1407" s="1209"/>
      <c r="J1407" s="1209"/>
      <c r="K1407" s="1210">
        <f t="shared" si="242"/>
        <v>1.05</v>
      </c>
      <c r="L1407" s="1210">
        <f t="shared" si="243"/>
        <v>0</v>
      </c>
      <c r="M1407" s="1197">
        <f t="shared" si="244"/>
        <v>0</v>
      </c>
      <c r="N1407" s="1211">
        <f t="shared" si="245"/>
        <v>0</v>
      </c>
      <c r="O1407" s="1212"/>
      <c r="P1407" s="1200"/>
      <c r="Q1407" s="1200"/>
      <c r="R1407" s="1213"/>
      <c r="S1407" s="1213"/>
      <c r="T1407" s="1213"/>
      <c r="U1407" s="1213"/>
      <c r="V1407" s="1213"/>
    </row>
    <row r="1408" spans="1:22" ht="15" thickTop="1" thickBot="1" x14ac:dyDescent="0.3">
      <c r="A1408" s="1207"/>
      <c r="B1408" s="1212"/>
      <c r="C1408" s="1212"/>
      <c r="D1408" s="1212"/>
      <c r="E1408" s="1212"/>
      <c r="F1408" s="1208"/>
      <c r="G1408" s="1208"/>
      <c r="H1408" s="1208"/>
      <c r="I1408" s="1209"/>
      <c r="J1408" s="1209"/>
      <c r="K1408" s="1210">
        <f t="shared" si="242"/>
        <v>1.05</v>
      </c>
      <c r="L1408" s="1210">
        <f t="shared" si="243"/>
        <v>0</v>
      </c>
      <c r="M1408" s="1197">
        <f t="shared" si="244"/>
        <v>0</v>
      </c>
      <c r="N1408" s="1211">
        <f t="shared" si="245"/>
        <v>0</v>
      </c>
      <c r="O1408" s="1212"/>
      <c r="P1408" s="1200"/>
      <c r="Q1408" s="1200"/>
      <c r="R1408" s="1213"/>
      <c r="S1408" s="1213"/>
      <c r="T1408" s="1213"/>
      <c r="U1408" s="1213"/>
      <c r="V1408" s="1213"/>
    </row>
    <row r="1409" spans="1:22" ht="15" thickTop="1" thickBot="1" x14ac:dyDescent="0.3">
      <c r="A1409" s="1207"/>
      <c r="B1409" s="1212"/>
      <c r="C1409" s="1212"/>
      <c r="D1409" s="1212"/>
      <c r="E1409" s="1212"/>
      <c r="F1409" s="1208"/>
      <c r="G1409" s="1208"/>
      <c r="H1409" s="1208"/>
      <c r="I1409" s="1209"/>
      <c r="J1409" s="1209"/>
      <c r="K1409" s="1210">
        <f t="shared" si="242"/>
        <v>1.05</v>
      </c>
      <c r="L1409" s="1210">
        <f t="shared" si="243"/>
        <v>0</v>
      </c>
      <c r="M1409" s="1197">
        <f t="shared" si="244"/>
        <v>0</v>
      </c>
      <c r="N1409" s="1211">
        <f t="shared" si="245"/>
        <v>0</v>
      </c>
      <c r="O1409" s="1212"/>
      <c r="P1409" s="1200"/>
      <c r="Q1409" s="1200"/>
      <c r="R1409" s="1213"/>
      <c r="S1409" s="1213"/>
      <c r="T1409" s="1213"/>
      <c r="U1409" s="1213"/>
      <c r="V1409" s="1213"/>
    </row>
    <row r="1410" spans="1:22" ht="15" thickTop="1" thickBot="1" x14ac:dyDescent="0.3">
      <c r="A1410" s="1207"/>
      <c r="B1410" s="1212"/>
      <c r="C1410" s="1212"/>
      <c r="D1410" s="1212"/>
      <c r="E1410" s="1212"/>
      <c r="F1410" s="1208"/>
      <c r="G1410" s="1208"/>
      <c r="H1410" s="1208"/>
      <c r="I1410" s="1209"/>
      <c r="J1410" s="1209"/>
      <c r="K1410" s="1210">
        <f t="shared" si="242"/>
        <v>1.05</v>
      </c>
      <c r="L1410" s="1210">
        <f t="shared" si="243"/>
        <v>0</v>
      </c>
      <c r="M1410" s="1197">
        <f t="shared" si="244"/>
        <v>0</v>
      </c>
      <c r="N1410" s="1211">
        <f t="shared" si="245"/>
        <v>0</v>
      </c>
      <c r="O1410" s="1212"/>
      <c r="P1410" s="1200"/>
      <c r="Q1410" s="1200"/>
      <c r="R1410" s="1213"/>
      <c r="S1410" s="1213"/>
      <c r="T1410" s="1213"/>
      <c r="U1410" s="1213"/>
      <c r="V1410" s="1213"/>
    </row>
    <row r="1411" spans="1:22" ht="15" thickTop="1" thickBot="1" x14ac:dyDescent="0.3">
      <c r="A1411" s="1207"/>
      <c r="B1411" s="1212"/>
      <c r="C1411" s="1212"/>
      <c r="D1411" s="1212"/>
      <c r="E1411" s="1212"/>
      <c r="F1411" s="1208"/>
      <c r="G1411" s="1208"/>
      <c r="H1411" s="1208"/>
      <c r="I1411" s="1209"/>
      <c r="J1411" s="1209"/>
      <c r="K1411" s="1210">
        <f t="shared" si="242"/>
        <v>1.05</v>
      </c>
      <c r="L1411" s="1210">
        <f t="shared" si="243"/>
        <v>0</v>
      </c>
      <c r="M1411" s="1197">
        <f t="shared" si="244"/>
        <v>0</v>
      </c>
      <c r="N1411" s="1211">
        <f t="shared" si="245"/>
        <v>0</v>
      </c>
      <c r="O1411" s="1212"/>
      <c r="P1411" s="1200"/>
      <c r="Q1411" s="1200"/>
      <c r="R1411" s="1213"/>
      <c r="S1411" s="1213"/>
      <c r="T1411" s="1213"/>
      <c r="U1411" s="1213"/>
      <c r="V1411" s="1213"/>
    </row>
    <row r="1412" spans="1:22" ht="15" thickTop="1" thickBot="1" x14ac:dyDescent="0.3">
      <c r="A1412" s="1207"/>
      <c r="B1412" s="1212"/>
      <c r="C1412" s="1212"/>
      <c r="D1412" s="1212"/>
      <c r="E1412" s="1212"/>
      <c r="F1412" s="1208"/>
      <c r="G1412" s="1208"/>
      <c r="H1412" s="1208"/>
      <c r="I1412" s="1209"/>
      <c r="J1412" s="1209"/>
      <c r="K1412" s="1210">
        <f t="shared" si="242"/>
        <v>1.05</v>
      </c>
      <c r="L1412" s="1210">
        <f t="shared" si="243"/>
        <v>0</v>
      </c>
      <c r="M1412" s="1197">
        <f t="shared" si="244"/>
        <v>0</v>
      </c>
      <c r="N1412" s="1211">
        <f t="shared" si="245"/>
        <v>0</v>
      </c>
      <c r="O1412" s="1212"/>
      <c r="P1412" s="1200"/>
      <c r="Q1412" s="1200"/>
      <c r="R1412" s="1213"/>
      <c r="S1412" s="1213"/>
      <c r="T1412" s="1213"/>
      <c r="U1412" s="1213"/>
      <c r="V1412" s="1213"/>
    </row>
    <row r="1413" spans="1:22" ht="15" thickTop="1" thickBot="1" x14ac:dyDescent="0.3">
      <c r="A1413" s="1207"/>
      <c r="B1413" s="1212"/>
      <c r="C1413" s="1212"/>
      <c r="D1413" s="1212"/>
      <c r="E1413" s="1212"/>
      <c r="F1413" s="1208"/>
      <c r="G1413" s="1208"/>
      <c r="H1413" s="1208"/>
      <c r="I1413" s="1209"/>
      <c r="J1413" s="1209"/>
      <c r="K1413" s="1210">
        <f t="shared" si="242"/>
        <v>1.05</v>
      </c>
      <c r="L1413" s="1210">
        <f t="shared" si="243"/>
        <v>0</v>
      </c>
      <c r="M1413" s="1197">
        <f t="shared" si="244"/>
        <v>0</v>
      </c>
      <c r="N1413" s="1211">
        <f t="shared" si="245"/>
        <v>0</v>
      </c>
      <c r="O1413" s="1212"/>
      <c r="P1413" s="1200"/>
      <c r="Q1413" s="1200"/>
      <c r="R1413" s="1213"/>
      <c r="S1413" s="1213"/>
      <c r="T1413" s="1213"/>
      <c r="U1413" s="1213"/>
      <c r="V1413" s="1213"/>
    </row>
    <row r="1414" spans="1:22" ht="15" thickTop="1" thickBot="1" x14ac:dyDescent="0.3">
      <c r="A1414" s="1207"/>
      <c r="B1414" s="1212"/>
      <c r="C1414" s="1212"/>
      <c r="D1414" s="1212"/>
      <c r="E1414" s="1212"/>
      <c r="F1414" s="1208"/>
      <c r="G1414" s="1208"/>
      <c r="H1414" s="1208"/>
      <c r="I1414" s="1209"/>
      <c r="J1414" s="1209"/>
      <c r="K1414" s="1210">
        <f t="shared" si="242"/>
        <v>1.05</v>
      </c>
      <c r="L1414" s="1210">
        <f t="shared" si="243"/>
        <v>0</v>
      </c>
      <c r="M1414" s="1197">
        <f t="shared" si="244"/>
        <v>0</v>
      </c>
      <c r="N1414" s="1211">
        <f t="shared" si="245"/>
        <v>0</v>
      </c>
      <c r="O1414" s="1212"/>
      <c r="P1414" s="1200"/>
      <c r="Q1414" s="1200"/>
      <c r="R1414" s="1213"/>
      <c r="S1414" s="1213"/>
      <c r="T1414" s="1213"/>
      <c r="U1414" s="1213"/>
      <c r="V1414" s="1213"/>
    </row>
    <row r="1415" spans="1:22" ht="15" thickTop="1" thickBot="1" x14ac:dyDescent="0.3">
      <c r="A1415" s="1207"/>
      <c r="B1415" s="1212"/>
      <c r="C1415" s="1212"/>
      <c r="D1415" s="1212"/>
      <c r="E1415" s="1212"/>
      <c r="F1415" s="1208"/>
      <c r="G1415" s="1208"/>
      <c r="H1415" s="1208"/>
      <c r="I1415" s="1209"/>
      <c r="J1415" s="1209"/>
      <c r="K1415" s="1210">
        <f t="shared" si="242"/>
        <v>1.05</v>
      </c>
      <c r="L1415" s="1210">
        <f t="shared" si="243"/>
        <v>0</v>
      </c>
      <c r="M1415" s="1197">
        <f t="shared" si="244"/>
        <v>0</v>
      </c>
      <c r="N1415" s="1211">
        <f t="shared" si="245"/>
        <v>0</v>
      </c>
      <c r="O1415" s="1212"/>
      <c r="P1415" s="1200"/>
      <c r="Q1415" s="1200"/>
      <c r="R1415" s="1213"/>
      <c r="S1415" s="1213"/>
      <c r="T1415" s="1213"/>
      <c r="U1415" s="1213"/>
      <c r="V1415" s="1213"/>
    </row>
    <row r="1416" spans="1:22" ht="15" thickTop="1" thickBot="1" x14ac:dyDescent="0.3">
      <c r="A1416" s="1207"/>
      <c r="B1416" s="1212"/>
      <c r="C1416" s="1212"/>
      <c r="D1416" s="1212"/>
      <c r="E1416" s="1212"/>
      <c r="F1416" s="1208"/>
      <c r="G1416" s="1208"/>
      <c r="H1416" s="1208"/>
      <c r="I1416" s="1209"/>
      <c r="J1416" s="1209"/>
      <c r="K1416" s="1210">
        <f t="shared" si="242"/>
        <v>1.05</v>
      </c>
      <c r="L1416" s="1210">
        <f t="shared" si="243"/>
        <v>0</v>
      </c>
      <c r="M1416" s="1197">
        <f t="shared" si="244"/>
        <v>0</v>
      </c>
      <c r="N1416" s="1211">
        <f t="shared" si="245"/>
        <v>0</v>
      </c>
      <c r="O1416" s="1212"/>
      <c r="P1416" s="1200"/>
      <c r="Q1416" s="1200"/>
      <c r="R1416" s="1213"/>
      <c r="S1416" s="1213"/>
      <c r="T1416" s="1213"/>
      <c r="U1416" s="1213"/>
      <c r="V1416" s="1213"/>
    </row>
    <row r="1417" spans="1:22" ht="15" thickTop="1" thickBot="1" x14ac:dyDescent="0.3">
      <c r="A1417" s="1207"/>
      <c r="B1417" s="1212"/>
      <c r="C1417" s="1212"/>
      <c r="D1417" s="1212"/>
      <c r="E1417" s="1212"/>
      <c r="F1417" s="1208"/>
      <c r="G1417" s="1208"/>
      <c r="H1417" s="1208"/>
      <c r="I1417" s="1209"/>
      <c r="J1417" s="1209"/>
      <c r="K1417" s="1210">
        <f t="shared" si="242"/>
        <v>1.05</v>
      </c>
      <c r="L1417" s="1210">
        <f t="shared" si="243"/>
        <v>0</v>
      </c>
      <c r="M1417" s="1197">
        <f t="shared" si="244"/>
        <v>0</v>
      </c>
      <c r="N1417" s="1211">
        <f t="shared" si="245"/>
        <v>0</v>
      </c>
      <c r="O1417" s="1212"/>
      <c r="P1417" s="1200"/>
      <c r="Q1417" s="1200"/>
      <c r="R1417" s="1213"/>
      <c r="S1417" s="1213"/>
      <c r="T1417" s="1213"/>
      <c r="U1417" s="1213"/>
      <c r="V1417" s="1213"/>
    </row>
    <row r="1418" spans="1:22" ht="15" thickTop="1" thickBot="1" x14ac:dyDescent="0.3">
      <c r="A1418" s="1207"/>
      <c r="B1418" s="1212"/>
      <c r="C1418" s="1212"/>
      <c r="D1418" s="1212"/>
      <c r="E1418" s="1212"/>
      <c r="F1418" s="1208"/>
      <c r="G1418" s="1208"/>
      <c r="H1418" s="1208"/>
      <c r="I1418" s="1209"/>
      <c r="J1418" s="1209"/>
      <c r="K1418" s="1210">
        <f t="shared" si="242"/>
        <v>1.05</v>
      </c>
      <c r="L1418" s="1210">
        <f t="shared" si="243"/>
        <v>0</v>
      </c>
      <c r="M1418" s="1197">
        <f t="shared" si="244"/>
        <v>0</v>
      </c>
      <c r="N1418" s="1211">
        <f t="shared" si="245"/>
        <v>0</v>
      </c>
      <c r="O1418" s="1212"/>
      <c r="P1418" s="1200"/>
      <c r="Q1418" s="1200"/>
      <c r="R1418" s="1213"/>
      <c r="S1418" s="1213"/>
      <c r="T1418" s="1213"/>
      <c r="U1418" s="1213"/>
      <c r="V1418" s="1213"/>
    </row>
    <row r="1419" spans="1:22" ht="15" thickTop="1" thickBot="1" x14ac:dyDescent="0.3">
      <c r="A1419" s="1207"/>
      <c r="B1419" s="1212"/>
      <c r="C1419" s="1212"/>
      <c r="D1419" s="1212"/>
      <c r="E1419" s="1212"/>
      <c r="F1419" s="1208"/>
      <c r="G1419" s="1208"/>
      <c r="H1419" s="1208"/>
      <c r="I1419" s="1209"/>
      <c r="J1419" s="1209"/>
      <c r="K1419" s="1210">
        <f t="shared" ref="K1419:K1482" si="246">$K$2</f>
        <v>1.05</v>
      </c>
      <c r="L1419" s="1210">
        <f t="shared" si="243"/>
        <v>0</v>
      </c>
      <c r="M1419" s="1197">
        <f t="shared" si="244"/>
        <v>0</v>
      </c>
      <c r="N1419" s="1211">
        <f t="shared" si="245"/>
        <v>0</v>
      </c>
      <c r="O1419" s="1212"/>
      <c r="P1419" s="1200"/>
      <c r="Q1419" s="1200"/>
      <c r="R1419" s="1213"/>
      <c r="S1419" s="1213"/>
      <c r="T1419" s="1213"/>
      <c r="U1419" s="1213"/>
      <c r="V1419" s="1213"/>
    </row>
    <row r="1420" spans="1:22" ht="15" thickTop="1" thickBot="1" x14ac:dyDescent="0.3">
      <c r="A1420" s="1207"/>
      <c r="B1420" s="1212"/>
      <c r="C1420" s="1212"/>
      <c r="D1420" s="1212"/>
      <c r="E1420" s="1212"/>
      <c r="F1420" s="1208"/>
      <c r="G1420" s="1208"/>
      <c r="H1420" s="1208"/>
      <c r="I1420" s="1209"/>
      <c r="J1420" s="1209"/>
      <c r="K1420" s="1210">
        <f t="shared" si="246"/>
        <v>1.05</v>
      </c>
      <c r="L1420" s="1210">
        <f t="shared" si="243"/>
        <v>0</v>
      </c>
      <c r="M1420" s="1197">
        <f t="shared" si="244"/>
        <v>0</v>
      </c>
      <c r="N1420" s="1211">
        <f t="shared" si="245"/>
        <v>0</v>
      </c>
      <c r="O1420" s="1212"/>
      <c r="P1420" s="1200"/>
      <c r="Q1420" s="1200"/>
      <c r="R1420" s="1213"/>
      <c r="S1420" s="1213"/>
      <c r="T1420" s="1213"/>
      <c r="U1420" s="1213"/>
      <c r="V1420" s="1213"/>
    </row>
    <row r="1421" spans="1:22" ht="15" thickTop="1" thickBot="1" x14ac:dyDescent="0.3">
      <c r="A1421" s="1207"/>
      <c r="B1421" s="1212"/>
      <c r="C1421" s="1212"/>
      <c r="D1421" s="1212"/>
      <c r="E1421" s="1212"/>
      <c r="F1421" s="1208"/>
      <c r="G1421" s="1208"/>
      <c r="H1421" s="1208"/>
      <c r="I1421" s="1209"/>
      <c r="J1421" s="1209"/>
      <c r="K1421" s="1210">
        <f t="shared" si="246"/>
        <v>1.05</v>
      </c>
      <c r="L1421" s="1210">
        <f t="shared" si="243"/>
        <v>0</v>
      </c>
      <c r="M1421" s="1197">
        <f t="shared" si="244"/>
        <v>0</v>
      </c>
      <c r="N1421" s="1211">
        <f t="shared" si="245"/>
        <v>0</v>
      </c>
      <c r="O1421" s="1212"/>
      <c r="P1421" s="1200"/>
      <c r="Q1421" s="1200"/>
      <c r="R1421" s="1213"/>
      <c r="S1421" s="1213"/>
      <c r="T1421" s="1213"/>
      <c r="U1421" s="1213"/>
      <c r="V1421" s="1213"/>
    </row>
    <row r="1422" spans="1:22" ht="15" thickTop="1" thickBot="1" x14ac:dyDescent="0.3">
      <c r="A1422" s="1207"/>
      <c r="B1422" s="1212"/>
      <c r="C1422" s="1212"/>
      <c r="D1422" s="1212"/>
      <c r="E1422" s="1212"/>
      <c r="F1422" s="1208"/>
      <c r="G1422" s="1208"/>
      <c r="H1422" s="1208"/>
      <c r="I1422" s="1209"/>
      <c r="J1422" s="1209"/>
      <c r="K1422" s="1210">
        <f t="shared" si="246"/>
        <v>1.05</v>
      </c>
      <c r="L1422" s="1210">
        <f t="shared" si="243"/>
        <v>0</v>
      </c>
      <c r="M1422" s="1197">
        <f t="shared" si="244"/>
        <v>0</v>
      </c>
      <c r="N1422" s="1211">
        <f t="shared" si="245"/>
        <v>0</v>
      </c>
      <c r="O1422" s="1212"/>
      <c r="P1422" s="1200"/>
      <c r="Q1422" s="1200"/>
      <c r="R1422" s="1213"/>
      <c r="S1422" s="1213"/>
      <c r="T1422" s="1213"/>
      <c r="U1422" s="1213"/>
      <c r="V1422" s="1213"/>
    </row>
    <row r="1423" spans="1:22" ht="15" thickTop="1" thickBot="1" x14ac:dyDescent="0.3">
      <c r="A1423" s="1207"/>
      <c r="B1423" s="1212"/>
      <c r="C1423" s="1212"/>
      <c r="D1423" s="1212"/>
      <c r="E1423" s="1212"/>
      <c r="F1423" s="1208"/>
      <c r="G1423" s="1208"/>
      <c r="H1423" s="1208"/>
      <c r="I1423" s="1209"/>
      <c r="J1423" s="1209"/>
      <c r="K1423" s="1210">
        <f t="shared" si="246"/>
        <v>1.05</v>
      </c>
      <c r="L1423" s="1210">
        <f t="shared" si="243"/>
        <v>0</v>
      </c>
      <c r="M1423" s="1197">
        <f t="shared" si="244"/>
        <v>0</v>
      </c>
      <c r="N1423" s="1211">
        <f t="shared" si="245"/>
        <v>0</v>
      </c>
      <c r="O1423" s="1212"/>
      <c r="P1423" s="1200"/>
      <c r="Q1423" s="1200"/>
      <c r="R1423" s="1213"/>
      <c r="S1423" s="1213"/>
      <c r="T1423" s="1213"/>
      <c r="U1423" s="1213"/>
      <c r="V1423" s="1213"/>
    </row>
    <row r="1424" spans="1:22" ht="15" thickTop="1" thickBot="1" x14ac:dyDescent="0.3">
      <c r="A1424" s="1207"/>
      <c r="B1424" s="1212"/>
      <c r="C1424" s="1212"/>
      <c r="D1424" s="1212"/>
      <c r="E1424" s="1212"/>
      <c r="F1424" s="1208"/>
      <c r="G1424" s="1208"/>
      <c r="H1424" s="1208"/>
      <c r="I1424" s="1209"/>
      <c r="J1424" s="1209"/>
      <c r="K1424" s="1210">
        <f t="shared" si="246"/>
        <v>1.05</v>
      </c>
      <c r="L1424" s="1210">
        <f t="shared" si="243"/>
        <v>0</v>
      </c>
      <c r="M1424" s="1197">
        <f t="shared" si="244"/>
        <v>0</v>
      </c>
      <c r="N1424" s="1211">
        <f t="shared" si="245"/>
        <v>0</v>
      </c>
      <c r="O1424" s="1212"/>
      <c r="P1424" s="1200"/>
      <c r="Q1424" s="1200"/>
      <c r="R1424" s="1213"/>
      <c r="S1424" s="1213"/>
      <c r="T1424" s="1213"/>
      <c r="U1424" s="1213"/>
      <c r="V1424" s="1213"/>
    </row>
    <row r="1425" spans="1:22" ht="15" thickTop="1" thickBot="1" x14ac:dyDescent="0.3">
      <c r="A1425" s="1207"/>
      <c r="B1425" s="1212"/>
      <c r="C1425" s="1212"/>
      <c r="D1425" s="1212"/>
      <c r="E1425" s="1212"/>
      <c r="F1425" s="1208"/>
      <c r="G1425" s="1208"/>
      <c r="H1425" s="1208"/>
      <c r="I1425" s="1209"/>
      <c r="J1425" s="1209"/>
      <c r="K1425" s="1210">
        <f t="shared" si="246"/>
        <v>1.05</v>
      </c>
      <c r="L1425" s="1210">
        <f t="shared" si="243"/>
        <v>0</v>
      </c>
      <c r="M1425" s="1197">
        <f t="shared" si="244"/>
        <v>0</v>
      </c>
      <c r="N1425" s="1211">
        <f t="shared" si="245"/>
        <v>0</v>
      </c>
      <c r="O1425" s="1212"/>
      <c r="P1425" s="1200"/>
      <c r="Q1425" s="1200"/>
      <c r="R1425" s="1213"/>
      <c r="S1425" s="1213"/>
      <c r="T1425" s="1213"/>
      <c r="U1425" s="1213"/>
      <c r="V1425" s="1213"/>
    </row>
    <row r="1426" spans="1:22" ht="15" thickTop="1" thickBot="1" x14ac:dyDescent="0.3">
      <c r="A1426" s="1207"/>
      <c r="B1426" s="1212"/>
      <c r="C1426" s="1212"/>
      <c r="D1426" s="1212"/>
      <c r="E1426" s="1212"/>
      <c r="F1426" s="1208"/>
      <c r="G1426" s="1208"/>
      <c r="H1426" s="1208"/>
      <c r="I1426" s="1209"/>
      <c r="J1426" s="1209"/>
      <c r="K1426" s="1210">
        <f t="shared" si="246"/>
        <v>1.05</v>
      </c>
      <c r="L1426" s="1210">
        <f t="shared" si="243"/>
        <v>0</v>
      </c>
      <c r="M1426" s="1197">
        <f t="shared" si="244"/>
        <v>0</v>
      </c>
      <c r="N1426" s="1211">
        <f t="shared" si="245"/>
        <v>0</v>
      </c>
      <c r="O1426" s="1212"/>
      <c r="P1426" s="1200"/>
      <c r="Q1426" s="1200"/>
      <c r="R1426" s="1213"/>
      <c r="S1426" s="1213"/>
      <c r="T1426" s="1213"/>
      <c r="U1426" s="1213"/>
      <c r="V1426" s="1213"/>
    </row>
    <row r="1427" spans="1:22" ht="15" thickTop="1" thickBot="1" x14ac:dyDescent="0.3">
      <c r="A1427" s="1207"/>
      <c r="B1427" s="1212"/>
      <c r="C1427" s="1212"/>
      <c r="D1427" s="1212"/>
      <c r="E1427" s="1212"/>
      <c r="F1427" s="1208"/>
      <c r="G1427" s="1208"/>
      <c r="H1427" s="1208"/>
      <c r="I1427" s="1209"/>
      <c r="J1427" s="1209"/>
      <c r="K1427" s="1210">
        <f t="shared" si="246"/>
        <v>1.05</v>
      </c>
      <c r="L1427" s="1210">
        <f t="shared" si="243"/>
        <v>0</v>
      </c>
      <c r="M1427" s="1197">
        <f t="shared" si="244"/>
        <v>0</v>
      </c>
      <c r="N1427" s="1211">
        <f t="shared" si="245"/>
        <v>0</v>
      </c>
      <c r="O1427" s="1212"/>
      <c r="P1427" s="1200"/>
      <c r="Q1427" s="1200"/>
      <c r="R1427" s="1213"/>
      <c r="S1427" s="1213"/>
      <c r="T1427" s="1213"/>
      <c r="U1427" s="1213"/>
      <c r="V1427" s="1213"/>
    </row>
    <row r="1428" spans="1:22" ht="15" thickTop="1" thickBot="1" x14ac:dyDescent="0.3">
      <c r="A1428" s="1207"/>
      <c r="B1428" s="1212"/>
      <c r="C1428" s="1212"/>
      <c r="D1428" s="1212"/>
      <c r="E1428" s="1212"/>
      <c r="F1428" s="1208"/>
      <c r="G1428" s="1208"/>
      <c r="H1428" s="1208"/>
      <c r="I1428" s="1209"/>
      <c r="J1428" s="1209"/>
      <c r="K1428" s="1210">
        <f t="shared" si="246"/>
        <v>1.05</v>
      </c>
      <c r="L1428" s="1210">
        <f t="shared" si="243"/>
        <v>0</v>
      </c>
      <c r="M1428" s="1197">
        <f t="shared" si="244"/>
        <v>0</v>
      </c>
      <c r="N1428" s="1211">
        <f t="shared" si="245"/>
        <v>0</v>
      </c>
      <c r="O1428" s="1212"/>
      <c r="P1428" s="1200"/>
      <c r="Q1428" s="1200"/>
      <c r="R1428" s="1213"/>
      <c r="S1428" s="1213"/>
      <c r="T1428" s="1213"/>
      <c r="U1428" s="1213"/>
      <c r="V1428" s="1213"/>
    </row>
    <row r="1429" spans="1:22" ht="15" thickTop="1" thickBot="1" x14ac:dyDescent="0.3">
      <c r="A1429" s="1207"/>
      <c r="B1429" s="1212"/>
      <c r="C1429" s="1212"/>
      <c r="D1429" s="1212"/>
      <c r="E1429" s="1212"/>
      <c r="F1429" s="1208"/>
      <c r="G1429" s="1208"/>
      <c r="H1429" s="1208"/>
      <c r="I1429" s="1209"/>
      <c r="J1429" s="1209"/>
      <c r="K1429" s="1210">
        <f t="shared" si="246"/>
        <v>1.05</v>
      </c>
      <c r="L1429" s="1210">
        <f t="shared" si="243"/>
        <v>0</v>
      </c>
      <c r="M1429" s="1197">
        <f t="shared" si="244"/>
        <v>0</v>
      </c>
      <c r="N1429" s="1211">
        <f t="shared" si="245"/>
        <v>0</v>
      </c>
      <c r="O1429" s="1212"/>
      <c r="P1429" s="1200"/>
      <c r="Q1429" s="1200"/>
      <c r="R1429" s="1213"/>
      <c r="S1429" s="1213"/>
      <c r="T1429" s="1213"/>
      <c r="U1429" s="1213"/>
      <c r="V1429" s="1213"/>
    </row>
    <row r="1430" spans="1:22" ht="15" thickTop="1" thickBot="1" x14ac:dyDescent="0.3">
      <c r="A1430" s="1207"/>
      <c r="B1430" s="1212"/>
      <c r="C1430" s="1212"/>
      <c r="D1430" s="1212"/>
      <c r="E1430" s="1212"/>
      <c r="F1430" s="1208"/>
      <c r="G1430" s="1208"/>
      <c r="H1430" s="1208"/>
      <c r="I1430" s="1209"/>
      <c r="J1430" s="1209"/>
      <c r="K1430" s="1210">
        <f t="shared" si="246"/>
        <v>1.05</v>
      </c>
      <c r="L1430" s="1210">
        <f t="shared" si="243"/>
        <v>0</v>
      </c>
      <c r="M1430" s="1197">
        <f t="shared" si="244"/>
        <v>0</v>
      </c>
      <c r="N1430" s="1211">
        <f t="shared" si="245"/>
        <v>0</v>
      </c>
      <c r="O1430" s="1212"/>
      <c r="P1430" s="1200"/>
      <c r="Q1430" s="1200"/>
      <c r="R1430" s="1213"/>
      <c r="S1430" s="1213"/>
      <c r="T1430" s="1213"/>
      <c r="U1430" s="1213"/>
      <c r="V1430" s="1213"/>
    </row>
    <row r="1431" spans="1:22" ht="15" thickTop="1" thickBot="1" x14ac:dyDescent="0.3">
      <c r="A1431" s="1207"/>
      <c r="B1431" s="1212"/>
      <c r="C1431" s="1212"/>
      <c r="D1431" s="1212"/>
      <c r="E1431" s="1212"/>
      <c r="F1431" s="1208"/>
      <c r="G1431" s="1208"/>
      <c r="H1431" s="1208"/>
      <c r="I1431" s="1209"/>
      <c r="J1431" s="1209"/>
      <c r="K1431" s="1210">
        <f t="shared" si="246"/>
        <v>1.05</v>
      </c>
      <c r="L1431" s="1210">
        <f t="shared" si="243"/>
        <v>0</v>
      </c>
      <c r="M1431" s="1197">
        <f t="shared" si="244"/>
        <v>0</v>
      </c>
      <c r="N1431" s="1211">
        <f t="shared" si="245"/>
        <v>0</v>
      </c>
      <c r="O1431" s="1212"/>
      <c r="P1431" s="1200"/>
      <c r="Q1431" s="1200"/>
      <c r="R1431" s="1213"/>
      <c r="S1431" s="1213"/>
      <c r="T1431" s="1213"/>
      <c r="U1431" s="1213"/>
      <c r="V1431" s="1213"/>
    </row>
    <row r="1432" spans="1:22" ht="15" thickTop="1" thickBot="1" x14ac:dyDescent="0.3">
      <c r="A1432" s="1207"/>
      <c r="B1432" s="1212"/>
      <c r="C1432" s="1212"/>
      <c r="D1432" s="1212"/>
      <c r="E1432" s="1212"/>
      <c r="F1432" s="1208"/>
      <c r="G1432" s="1208"/>
      <c r="H1432" s="1208"/>
      <c r="I1432" s="1209"/>
      <c r="J1432" s="1209"/>
      <c r="K1432" s="1210">
        <f t="shared" si="246"/>
        <v>1.05</v>
      </c>
      <c r="L1432" s="1210">
        <f t="shared" si="243"/>
        <v>0</v>
      </c>
      <c r="M1432" s="1197">
        <f t="shared" si="244"/>
        <v>0</v>
      </c>
      <c r="N1432" s="1211">
        <f t="shared" si="245"/>
        <v>0</v>
      </c>
      <c r="O1432" s="1212"/>
      <c r="P1432" s="1200"/>
      <c r="Q1432" s="1200"/>
      <c r="R1432" s="1213"/>
      <c r="S1432" s="1213"/>
      <c r="T1432" s="1213"/>
      <c r="U1432" s="1213"/>
      <c r="V1432" s="1213"/>
    </row>
    <row r="1433" spans="1:22" ht="15" thickTop="1" thickBot="1" x14ac:dyDescent="0.3">
      <c r="A1433" s="1207"/>
      <c r="B1433" s="1212"/>
      <c r="C1433" s="1212"/>
      <c r="D1433" s="1212"/>
      <c r="E1433" s="1212"/>
      <c r="F1433" s="1208"/>
      <c r="G1433" s="1208"/>
      <c r="H1433" s="1208"/>
      <c r="I1433" s="1209"/>
      <c r="J1433" s="1209"/>
      <c r="K1433" s="1210">
        <f t="shared" si="246"/>
        <v>1.05</v>
      </c>
      <c r="L1433" s="1210">
        <f t="shared" si="243"/>
        <v>0</v>
      </c>
      <c r="M1433" s="1197">
        <f t="shared" si="244"/>
        <v>0</v>
      </c>
      <c r="N1433" s="1211">
        <f t="shared" si="245"/>
        <v>0</v>
      </c>
      <c r="O1433" s="1212"/>
      <c r="P1433" s="1200"/>
      <c r="Q1433" s="1200"/>
      <c r="R1433" s="1213"/>
      <c r="S1433" s="1213"/>
      <c r="T1433" s="1213"/>
      <c r="U1433" s="1213"/>
      <c r="V1433" s="1213"/>
    </row>
    <row r="1434" spans="1:22" ht="15" thickTop="1" thickBot="1" x14ac:dyDescent="0.3">
      <c r="A1434" s="1207"/>
      <c r="B1434" s="1212"/>
      <c r="C1434" s="1212"/>
      <c r="D1434" s="1212"/>
      <c r="E1434" s="1212"/>
      <c r="F1434" s="1208"/>
      <c r="G1434" s="1208"/>
      <c r="H1434" s="1208"/>
      <c r="I1434" s="1209"/>
      <c r="J1434" s="1209"/>
      <c r="K1434" s="1210">
        <f t="shared" si="246"/>
        <v>1.05</v>
      </c>
      <c r="L1434" s="1210">
        <f t="shared" si="243"/>
        <v>0</v>
      </c>
      <c r="M1434" s="1197">
        <f t="shared" si="244"/>
        <v>0</v>
      </c>
      <c r="N1434" s="1211">
        <f t="shared" si="245"/>
        <v>0</v>
      </c>
      <c r="O1434" s="1212"/>
      <c r="P1434" s="1200"/>
      <c r="Q1434" s="1200"/>
      <c r="R1434" s="1213"/>
      <c r="S1434" s="1213"/>
      <c r="T1434" s="1213"/>
      <c r="U1434" s="1213"/>
      <c r="V1434" s="1213"/>
    </row>
    <row r="1435" spans="1:22" ht="15" thickTop="1" thickBot="1" x14ac:dyDescent="0.3">
      <c r="A1435" s="1207"/>
      <c r="B1435" s="1212"/>
      <c r="C1435" s="1212"/>
      <c r="D1435" s="1212"/>
      <c r="E1435" s="1212"/>
      <c r="F1435" s="1208"/>
      <c r="G1435" s="1208"/>
      <c r="H1435" s="1208"/>
      <c r="I1435" s="1209"/>
      <c r="J1435" s="1209"/>
      <c r="K1435" s="1210">
        <f t="shared" si="246"/>
        <v>1.05</v>
      </c>
      <c r="L1435" s="1210">
        <f t="shared" si="243"/>
        <v>0</v>
      </c>
      <c r="M1435" s="1197">
        <f t="shared" si="244"/>
        <v>0</v>
      </c>
      <c r="N1435" s="1211">
        <f t="shared" si="245"/>
        <v>0</v>
      </c>
      <c r="O1435" s="1212"/>
      <c r="P1435" s="1200"/>
      <c r="Q1435" s="1200"/>
      <c r="R1435" s="1213"/>
      <c r="S1435" s="1213"/>
      <c r="T1435" s="1213"/>
      <c r="U1435" s="1213"/>
      <c r="V1435" s="1213"/>
    </row>
    <row r="1436" spans="1:22" ht="15" thickTop="1" thickBot="1" x14ac:dyDescent="0.3">
      <c r="A1436" s="1207"/>
      <c r="B1436" s="1212"/>
      <c r="C1436" s="1212"/>
      <c r="D1436" s="1212"/>
      <c r="E1436" s="1212"/>
      <c r="F1436" s="1208"/>
      <c r="G1436" s="1208"/>
      <c r="H1436" s="1208"/>
      <c r="I1436" s="1209"/>
      <c r="J1436" s="1209"/>
      <c r="K1436" s="1210">
        <f t="shared" si="246"/>
        <v>1.05</v>
      </c>
      <c r="L1436" s="1210">
        <f t="shared" si="243"/>
        <v>0</v>
      </c>
      <c r="M1436" s="1197">
        <f t="shared" si="244"/>
        <v>0</v>
      </c>
      <c r="N1436" s="1211">
        <f t="shared" si="245"/>
        <v>0</v>
      </c>
      <c r="O1436" s="1212"/>
      <c r="P1436" s="1200"/>
      <c r="Q1436" s="1200"/>
      <c r="R1436" s="1213"/>
      <c r="S1436" s="1213"/>
      <c r="T1436" s="1213"/>
      <c r="U1436" s="1213"/>
      <c r="V1436" s="1213"/>
    </row>
    <row r="1437" spans="1:22" ht="15" thickTop="1" thickBot="1" x14ac:dyDescent="0.3">
      <c r="A1437" s="1207"/>
      <c r="B1437" s="1212"/>
      <c r="C1437" s="1212"/>
      <c r="D1437" s="1212"/>
      <c r="E1437" s="1212"/>
      <c r="F1437" s="1208"/>
      <c r="G1437" s="1208"/>
      <c r="H1437" s="1208"/>
      <c r="I1437" s="1209"/>
      <c r="J1437" s="1209"/>
      <c r="K1437" s="1210">
        <f t="shared" si="246"/>
        <v>1.05</v>
      </c>
      <c r="L1437" s="1210">
        <f t="shared" si="243"/>
        <v>0</v>
      </c>
      <c r="M1437" s="1197">
        <f t="shared" si="244"/>
        <v>0</v>
      </c>
      <c r="N1437" s="1211">
        <f t="shared" si="245"/>
        <v>0</v>
      </c>
      <c r="O1437" s="1212"/>
      <c r="P1437" s="1200"/>
      <c r="Q1437" s="1200"/>
      <c r="R1437" s="1213"/>
      <c r="S1437" s="1213"/>
      <c r="T1437" s="1213"/>
      <c r="U1437" s="1213"/>
      <c r="V1437" s="1213"/>
    </row>
    <row r="1438" spans="1:22" ht="15" thickTop="1" thickBot="1" x14ac:dyDescent="0.3">
      <c r="A1438" s="1207"/>
      <c r="B1438" s="1212"/>
      <c r="C1438" s="1212"/>
      <c r="D1438" s="1212"/>
      <c r="E1438" s="1212"/>
      <c r="F1438" s="1208"/>
      <c r="G1438" s="1208"/>
      <c r="H1438" s="1208"/>
      <c r="I1438" s="1209"/>
      <c r="J1438" s="1209"/>
      <c r="K1438" s="1210">
        <f t="shared" si="246"/>
        <v>1.05</v>
      </c>
      <c r="L1438" s="1210">
        <f t="shared" si="243"/>
        <v>0</v>
      </c>
      <c r="M1438" s="1197">
        <f t="shared" si="244"/>
        <v>0</v>
      </c>
      <c r="N1438" s="1211">
        <f t="shared" si="245"/>
        <v>0</v>
      </c>
      <c r="O1438" s="1212"/>
      <c r="P1438" s="1200"/>
      <c r="Q1438" s="1200"/>
      <c r="R1438" s="1213"/>
      <c r="S1438" s="1213"/>
      <c r="T1438" s="1213"/>
      <c r="U1438" s="1213"/>
      <c r="V1438" s="1213"/>
    </row>
    <row r="1439" spans="1:22" ht="15" thickTop="1" thickBot="1" x14ac:dyDescent="0.3">
      <c r="A1439" s="1207"/>
      <c r="B1439" s="1212"/>
      <c r="C1439" s="1212"/>
      <c r="D1439" s="1212"/>
      <c r="E1439" s="1212"/>
      <c r="F1439" s="1208"/>
      <c r="G1439" s="1208"/>
      <c r="H1439" s="1208"/>
      <c r="I1439" s="1209"/>
      <c r="J1439" s="1209"/>
      <c r="K1439" s="1210">
        <f t="shared" si="246"/>
        <v>1.05</v>
      </c>
      <c r="L1439" s="1210">
        <f t="shared" si="243"/>
        <v>0</v>
      </c>
      <c r="M1439" s="1197">
        <f t="shared" si="244"/>
        <v>0</v>
      </c>
      <c r="N1439" s="1211">
        <f t="shared" si="245"/>
        <v>0</v>
      </c>
      <c r="O1439" s="1212"/>
      <c r="P1439" s="1200"/>
      <c r="Q1439" s="1200"/>
      <c r="R1439" s="1213"/>
      <c r="S1439" s="1213"/>
      <c r="T1439" s="1213"/>
      <c r="U1439" s="1213"/>
      <c r="V1439" s="1213"/>
    </row>
    <row r="1440" spans="1:22" ht="15" thickTop="1" thickBot="1" x14ac:dyDescent="0.3">
      <c r="A1440" s="1207"/>
      <c r="B1440" s="1212"/>
      <c r="C1440" s="1212"/>
      <c r="D1440" s="1212"/>
      <c r="E1440" s="1212"/>
      <c r="F1440" s="1208"/>
      <c r="G1440" s="1208"/>
      <c r="H1440" s="1208"/>
      <c r="I1440" s="1209"/>
      <c r="J1440" s="1209"/>
      <c r="K1440" s="1210">
        <f t="shared" si="246"/>
        <v>1.05</v>
      </c>
      <c r="L1440" s="1210">
        <f t="shared" si="243"/>
        <v>0</v>
      </c>
      <c r="M1440" s="1197">
        <f t="shared" si="244"/>
        <v>0</v>
      </c>
      <c r="N1440" s="1211">
        <f t="shared" si="245"/>
        <v>0</v>
      </c>
      <c r="O1440" s="1212"/>
      <c r="P1440" s="1200"/>
      <c r="Q1440" s="1200"/>
      <c r="R1440" s="1213"/>
      <c r="S1440" s="1213"/>
      <c r="T1440" s="1213"/>
      <c r="U1440" s="1213"/>
      <c r="V1440" s="1213"/>
    </row>
    <row r="1441" spans="1:22" ht="15" thickTop="1" thickBot="1" x14ac:dyDescent="0.3">
      <c r="A1441" s="1207"/>
      <c r="B1441" s="1212"/>
      <c r="C1441" s="1212"/>
      <c r="D1441" s="1212"/>
      <c r="E1441" s="1212"/>
      <c r="F1441" s="1208"/>
      <c r="G1441" s="1208"/>
      <c r="H1441" s="1208"/>
      <c r="I1441" s="1209"/>
      <c r="J1441" s="1209"/>
      <c r="K1441" s="1210">
        <f t="shared" si="246"/>
        <v>1.05</v>
      </c>
      <c r="L1441" s="1210">
        <f t="shared" si="243"/>
        <v>0</v>
      </c>
      <c r="M1441" s="1197">
        <f t="shared" si="244"/>
        <v>0</v>
      </c>
      <c r="N1441" s="1211">
        <f t="shared" si="245"/>
        <v>0</v>
      </c>
      <c r="O1441" s="1212"/>
      <c r="P1441" s="1200"/>
      <c r="Q1441" s="1200"/>
      <c r="R1441" s="1213"/>
      <c r="S1441" s="1213"/>
      <c r="T1441" s="1213"/>
      <c r="U1441" s="1213"/>
      <c r="V1441" s="1213"/>
    </row>
    <row r="1442" spans="1:22" ht="15" thickTop="1" thickBot="1" x14ac:dyDescent="0.3">
      <c r="A1442" s="1207"/>
      <c r="B1442" s="1212"/>
      <c r="C1442" s="1212"/>
      <c r="D1442" s="1212"/>
      <c r="E1442" s="1212"/>
      <c r="F1442" s="1208"/>
      <c r="G1442" s="1208"/>
      <c r="H1442" s="1208"/>
      <c r="I1442" s="1209"/>
      <c r="J1442" s="1209"/>
      <c r="K1442" s="1210">
        <f t="shared" si="246"/>
        <v>1.05</v>
      </c>
      <c r="L1442" s="1210">
        <f t="shared" si="243"/>
        <v>0</v>
      </c>
      <c r="M1442" s="1197">
        <f t="shared" si="244"/>
        <v>0</v>
      </c>
      <c r="N1442" s="1211">
        <f t="shared" si="245"/>
        <v>0</v>
      </c>
      <c r="O1442" s="1212"/>
      <c r="P1442" s="1200"/>
      <c r="Q1442" s="1200"/>
      <c r="R1442" s="1213"/>
      <c r="S1442" s="1213"/>
      <c r="T1442" s="1213"/>
      <c r="U1442" s="1213"/>
      <c r="V1442" s="1213"/>
    </row>
    <row r="1443" spans="1:22" ht="15" thickTop="1" thickBot="1" x14ac:dyDescent="0.3">
      <c r="A1443" s="1207"/>
      <c r="B1443" s="1212"/>
      <c r="C1443" s="1212"/>
      <c r="D1443" s="1212"/>
      <c r="E1443" s="1212"/>
      <c r="F1443" s="1208"/>
      <c r="G1443" s="1208"/>
      <c r="H1443" s="1208"/>
      <c r="I1443" s="1209"/>
      <c r="J1443" s="1209"/>
      <c r="K1443" s="1210">
        <f t="shared" si="246"/>
        <v>1.05</v>
      </c>
      <c r="L1443" s="1210">
        <f t="shared" si="243"/>
        <v>0</v>
      </c>
      <c r="M1443" s="1197">
        <f t="shared" si="244"/>
        <v>0</v>
      </c>
      <c r="N1443" s="1211">
        <f t="shared" si="245"/>
        <v>0</v>
      </c>
      <c r="O1443" s="1212"/>
      <c r="P1443" s="1200"/>
      <c r="Q1443" s="1200"/>
      <c r="R1443" s="1213"/>
      <c r="S1443" s="1213"/>
      <c r="T1443" s="1213"/>
      <c r="U1443" s="1213"/>
      <c r="V1443" s="1213"/>
    </row>
    <row r="1444" spans="1:22" ht="15" thickTop="1" thickBot="1" x14ac:dyDescent="0.3">
      <c r="A1444" s="1207"/>
      <c r="B1444" s="1212"/>
      <c r="C1444" s="1212"/>
      <c r="D1444" s="1212"/>
      <c r="E1444" s="1212"/>
      <c r="F1444" s="1208"/>
      <c r="G1444" s="1208"/>
      <c r="H1444" s="1208"/>
      <c r="I1444" s="1209"/>
      <c r="J1444" s="1209"/>
      <c r="K1444" s="1210">
        <f t="shared" si="246"/>
        <v>1.05</v>
      </c>
      <c r="L1444" s="1210">
        <f t="shared" si="243"/>
        <v>0</v>
      </c>
      <c r="M1444" s="1197">
        <f t="shared" si="244"/>
        <v>0</v>
      </c>
      <c r="N1444" s="1211">
        <f t="shared" si="245"/>
        <v>0</v>
      </c>
      <c r="O1444" s="1212"/>
      <c r="P1444" s="1200"/>
      <c r="Q1444" s="1200"/>
      <c r="R1444" s="1213"/>
      <c r="S1444" s="1213"/>
      <c r="T1444" s="1213"/>
      <c r="U1444" s="1213"/>
      <c r="V1444" s="1213"/>
    </row>
    <row r="1445" spans="1:22" ht="15" thickTop="1" thickBot="1" x14ac:dyDescent="0.3">
      <c r="A1445" s="1207"/>
      <c r="B1445" s="1212"/>
      <c r="C1445" s="1212"/>
      <c r="D1445" s="1212"/>
      <c r="E1445" s="1212"/>
      <c r="F1445" s="1208"/>
      <c r="G1445" s="1208"/>
      <c r="H1445" s="1208"/>
      <c r="I1445" s="1209"/>
      <c r="J1445" s="1209"/>
      <c r="K1445" s="1210">
        <f t="shared" si="246"/>
        <v>1.05</v>
      </c>
      <c r="L1445" s="1210">
        <f t="shared" si="243"/>
        <v>0</v>
      </c>
      <c r="M1445" s="1197">
        <f t="shared" si="244"/>
        <v>0</v>
      </c>
      <c r="N1445" s="1211">
        <f t="shared" si="245"/>
        <v>0</v>
      </c>
      <c r="O1445" s="1212"/>
      <c r="P1445" s="1200"/>
      <c r="Q1445" s="1200"/>
      <c r="R1445" s="1213"/>
      <c r="S1445" s="1213"/>
      <c r="T1445" s="1213"/>
      <c r="U1445" s="1213"/>
      <c r="V1445" s="1213"/>
    </row>
    <row r="1446" spans="1:22" ht="15" thickTop="1" thickBot="1" x14ac:dyDescent="0.3">
      <c r="A1446" s="1207"/>
      <c r="B1446" s="1212"/>
      <c r="C1446" s="1212"/>
      <c r="D1446" s="1212"/>
      <c r="E1446" s="1212"/>
      <c r="F1446" s="1208"/>
      <c r="G1446" s="1208"/>
      <c r="H1446" s="1208"/>
      <c r="I1446" s="1209"/>
      <c r="J1446" s="1209"/>
      <c r="K1446" s="1210">
        <f t="shared" si="246"/>
        <v>1.05</v>
      </c>
      <c r="L1446" s="1210">
        <f t="shared" si="243"/>
        <v>0</v>
      </c>
      <c r="M1446" s="1197">
        <f t="shared" si="244"/>
        <v>0</v>
      </c>
      <c r="N1446" s="1211">
        <f t="shared" si="245"/>
        <v>0</v>
      </c>
      <c r="O1446" s="1212"/>
      <c r="P1446" s="1200"/>
      <c r="Q1446" s="1200"/>
      <c r="R1446" s="1213"/>
      <c r="S1446" s="1213"/>
      <c r="T1446" s="1213"/>
      <c r="U1446" s="1213"/>
      <c r="V1446" s="1213"/>
    </row>
    <row r="1447" spans="1:22" ht="15" thickTop="1" thickBot="1" x14ac:dyDescent="0.3">
      <c r="A1447" s="1207"/>
      <c r="B1447" s="1212"/>
      <c r="C1447" s="1212"/>
      <c r="D1447" s="1212"/>
      <c r="E1447" s="1212"/>
      <c r="F1447" s="1208"/>
      <c r="G1447" s="1208"/>
      <c r="H1447" s="1208"/>
      <c r="I1447" s="1209"/>
      <c r="J1447" s="1209"/>
      <c r="K1447" s="1210">
        <f t="shared" si="246"/>
        <v>1.05</v>
      </c>
      <c r="L1447" s="1210">
        <f t="shared" si="243"/>
        <v>0</v>
      </c>
      <c r="M1447" s="1197">
        <f t="shared" si="244"/>
        <v>0</v>
      </c>
      <c r="N1447" s="1211">
        <f t="shared" si="245"/>
        <v>0</v>
      </c>
      <c r="O1447" s="1212"/>
      <c r="P1447" s="1200"/>
      <c r="Q1447" s="1200"/>
    </row>
    <row r="1448" spans="1:22" ht="15" thickTop="1" thickBot="1" x14ac:dyDescent="0.3">
      <c r="A1448" s="1207"/>
      <c r="B1448" s="1212"/>
      <c r="C1448" s="1212"/>
      <c r="D1448" s="1212"/>
      <c r="E1448" s="1212"/>
      <c r="F1448" s="1208"/>
      <c r="G1448" s="1208"/>
      <c r="H1448" s="1208"/>
      <c r="I1448" s="1209"/>
      <c r="J1448" s="1209"/>
      <c r="K1448" s="1210">
        <f t="shared" si="246"/>
        <v>1.05</v>
      </c>
      <c r="L1448" s="1210">
        <f t="shared" si="243"/>
        <v>0</v>
      </c>
      <c r="M1448" s="1197">
        <f t="shared" si="244"/>
        <v>0</v>
      </c>
      <c r="N1448" s="1211">
        <f t="shared" si="245"/>
        <v>0</v>
      </c>
      <c r="O1448" s="1212"/>
      <c r="P1448" s="1200"/>
      <c r="Q1448" s="1200"/>
    </row>
    <row r="1449" spans="1:22" ht="15" thickTop="1" thickBot="1" x14ac:dyDescent="0.3">
      <c r="A1449" s="1207"/>
      <c r="B1449" s="1212"/>
      <c r="C1449" s="1212"/>
      <c r="D1449" s="1212"/>
      <c r="E1449" s="1212"/>
      <c r="F1449" s="1208"/>
      <c r="G1449" s="1208"/>
      <c r="H1449" s="1208"/>
      <c r="I1449" s="1209"/>
      <c r="J1449" s="1209"/>
      <c r="K1449" s="1210">
        <f t="shared" si="246"/>
        <v>1.05</v>
      </c>
      <c r="L1449" s="1210">
        <f t="shared" si="243"/>
        <v>0</v>
      </c>
      <c r="M1449" s="1197">
        <f t="shared" si="244"/>
        <v>0</v>
      </c>
      <c r="N1449" s="1211">
        <f t="shared" si="245"/>
        <v>0</v>
      </c>
      <c r="O1449" s="1212"/>
      <c r="P1449" s="1200"/>
      <c r="Q1449" s="1200"/>
    </row>
    <row r="1450" spans="1:22" ht="15" thickTop="1" thickBot="1" x14ac:dyDescent="0.3">
      <c r="A1450" s="1207"/>
      <c r="B1450" s="1212"/>
      <c r="C1450" s="1212"/>
      <c r="D1450" s="1212"/>
      <c r="E1450" s="1212"/>
      <c r="F1450" s="1208"/>
      <c r="G1450" s="1208"/>
      <c r="H1450" s="1208"/>
      <c r="I1450" s="1209"/>
      <c r="J1450" s="1209"/>
      <c r="K1450" s="1210">
        <f t="shared" si="246"/>
        <v>1.05</v>
      </c>
      <c r="L1450" s="1210">
        <f t="shared" ref="L1450:L1513" si="247">K1450*J1450</f>
        <v>0</v>
      </c>
      <c r="M1450" s="1197">
        <f t="shared" ref="M1450:M1513" si="248">ROUND(L1450,1)</f>
        <v>0</v>
      </c>
      <c r="N1450" s="1211">
        <f t="shared" ref="N1450:N1513" si="249">ROUNDUP(M1450,0)</f>
        <v>0</v>
      </c>
      <c r="O1450" s="1212"/>
      <c r="P1450" s="1200"/>
      <c r="Q1450" s="1200"/>
    </row>
    <row r="1451" spans="1:22" ht="15" thickTop="1" thickBot="1" x14ac:dyDescent="0.3">
      <c r="A1451" s="1207"/>
      <c r="B1451" s="1212"/>
      <c r="C1451" s="1212"/>
      <c r="D1451" s="1212"/>
      <c r="E1451" s="1212"/>
      <c r="F1451" s="1208"/>
      <c r="G1451" s="1208"/>
      <c r="H1451" s="1208"/>
      <c r="I1451" s="1209"/>
      <c r="J1451" s="1209"/>
      <c r="K1451" s="1210">
        <f t="shared" si="246"/>
        <v>1.05</v>
      </c>
      <c r="L1451" s="1210">
        <f t="shared" si="247"/>
        <v>0</v>
      </c>
      <c r="M1451" s="1197">
        <f t="shared" si="248"/>
        <v>0</v>
      </c>
      <c r="N1451" s="1211">
        <f t="shared" si="249"/>
        <v>0</v>
      </c>
      <c r="O1451" s="1212"/>
      <c r="P1451" s="1200"/>
      <c r="Q1451" s="1200"/>
    </row>
    <row r="1452" spans="1:22" ht="15" thickTop="1" thickBot="1" x14ac:dyDescent="0.3">
      <c r="A1452" s="1207"/>
      <c r="B1452" s="1212"/>
      <c r="C1452" s="1212"/>
      <c r="D1452" s="1212"/>
      <c r="E1452" s="1212"/>
      <c r="F1452" s="1208"/>
      <c r="G1452" s="1208"/>
      <c r="H1452" s="1208"/>
      <c r="I1452" s="1209"/>
      <c r="J1452" s="1209"/>
      <c r="K1452" s="1210">
        <f t="shared" si="246"/>
        <v>1.05</v>
      </c>
      <c r="L1452" s="1210">
        <f t="shared" si="247"/>
        <v>0</v>
      </c>
      <c r="M1452" s="1197">
        <f t="shared" si="248"/>
        <v>0</v>
      </c>
      <c r="N1452" s="1211">
        <f t="shared" si="249"/>
        <v>0</v>
      </c>
      <c r="O1452" s="1212"/>
      <c r="P1452" s="1200"/>
      <c r="Q1452" s="1200"/>
    </row>
    <row r="1453" spans="1:22" ht="15" thickTop="1" thickBot="1" x14ac:dyDescent="0.3">
      <c r="A1453" s="1207"/>
      <c r="B1453" s="1212"/>
      <c r="C1453" s="1212"/>
      <c r="D1453" s="1212"/>
      <c r="E1453" s="1212"/>
      <c r="F1453" s="1208"/>
      <c r="G1453" s="1208"/>
      <c r="H1453" s="1208"/>
      <c r="I1453" s="1209"/>
      <c r="J1453" s="1209"/>
      <c r="K1453" s="1210">
        <f t="shared" si="246"/>
        <v>1.05</v>
      </c>
      <c r="L1453" s="1210">
        <f t="shared" si="247"/>
        <v>0</v>
      </c>
      <c r="M1453" s="1197">
        <f t="shared" si="248"/>
        <v>0</v>
      </c>
      <c r="N1453" s="1211">
        <f t="shared" si="249"/>
        <v>0</v>
      </c>
      <c r="O1453" s="1212"/>
      <c r="P1453" s="1200"/>
      <c r="Q1453" s="1200"/>
    </row>
    <row r="1454" spans="1:22" ht="15" thickTop="1" thickBot="1" x14ac:dyDescent="0.3">
      <c r="A1454" s="1207"/>
      <c r="B1454" s="1212"/>
      <c r="C1454" s="1212"/>
      <c r="D1454" s="1212"/>
      <c r="E1454" s="1212"/>
      <c r="F1454" s="1208"/>
      <c r="G1454" s="1208"/>
      <c r="H1454" s="1208"/>
      <c r="I1454" s="1209"/>
      <c r="J1454" s="1209"/>
      <c r="K1454" s="1210">
        <f t="shared" si="246"/>
        <v>1.05</v>
      </c>
      <c r="L1454" s="1210">
        <f t="shared" si="247"/>
        <v>0</v>
      </c>
      <c r="M1454" s="1197">
        <f t="shared" si="248"/>
        <v>0</v>
      </c>
      <c r="N1454" s="1211">
        <f t="shared" si="249"/>
        <v>0</v>
      </c>
      <c r="O1454" s="1212"/>
      <c r="P1454" s="1200"/>
      <c r="Q1454" s="1200"/>
    </row>
    <row r="1455" spans="1:22" ht="15" thickTop="1" thickBot="1" x14ac:dyDescent="0.3">
      <c r="A1455" s="1207"/>
      <c r="B1455" s="1212"/>
      <c r="C1455" s="1212"/>
      <c r="D1455" s="1212"/>
      <c r="E1455" s="1212"/>
      <c r="F1455" s="1208"/>
      <c r="G1455" s="1208"/>
      <c r="H1455" s="1208"/>
      <c r="I1455" s="1209"/>
      <c r="J1455" s="1209"/>
      <c r="K1455" s="1210">
        <f t="shared" si="246"/>
        <v>1.05</v>
      </c>
      <c r="L1455" s="1210">
        <f t="shared" si="247"/>
        <v>0</v>
      </c>
      <c r="M1455" s="1197">
        <f t="shared" si="248"/>
        <v>0</v>
      </c>
      <c r="N1455" s="1211">
        <f t="shared" si="249"/>
        <v>0</v>
      </c>
      <c r="O1455" s="1212"/>
      <c r="P1455" s="1200"/>
      <c r="Q1455" s="1200"/>
    </row>
    <row r="1456" spans="1:22" ht="15" thickTop="1" thickBot="1" x14ac:dyDescent="0.3">
      <c r="A1456" s="1207"/>
      <c r="B1456" s="1212"/>
      <c r="C1456" s="1212"/>
      <c r="D1456" s="1212"/>
      <c r="E1456" s="1212"/>
      <c r="F1456" s="1208"/>
      <c r="G1456" s="1208"/>
      <c r="H1456" s="1208"/>
      <c r="I1456" s="1209"/>
      <c r="J1456" s="1209"/>
      <c r="K1456" s="1210">
        <f t="shared" si="246"/>
        <v>1.05</v>
      </c>
      <c r="L1456" s="1210">
        <f t="shared" si="247"/>
        <v>0</v>
      </c>
      <c r="M1456" s="1197">
        <f t="shared" si="248"/>
        <v>0</v>
      </c>
      <c r="N1456" s="1211">
        <f t="shared" si="249"/>
        <v>0</v>
      </c>
      <c r="O1456" s="1212"/>
      <c r="P1456" s="1200"/>
      <c r="Q1456" s="1200"/>
    </row>
    <row r="1457" spans="1:17" ht="15" thickTop="1" thickBot="1" x14ac:dyDescent="0.3">
      <c r="A1457" s="1207"/>
      <c r="B1457" s="1212"/>
      <c r="C1457" s="1212"/>
      <c r="D1457" s="1212"/>
      <c r="E1457" s="1212"/>
      <c r="F1457" s="1208"/>
      <c r="G1457" s="1208"/>
      <c r="H1457" s="1208"/>
      <c r="I1457" s="1209"/>
      <c r="J1457" s="1209"/>
      <c r="K1457" s="1210">
        <f t="shared" si="246"/>
        <v>1.05</v>
      </c>
      <c r="L1457" s="1210">
        <f t="shared" si="247"/>
        <v>0</v>
      </c>
      <c r="M1457" s="1197">
        <f t="shared" si="248"/>
        <v>0</v>
      </c>
      <c r="N1457" s="1211">
        <f t="shared" si="249"/>
        <v>0</v>
      </c>
      <c r="O1457" s="1212"/>
      <c r="P1457" s="1200"/>
      <c r="Q1457" s="1200"/>
    </row>
    <row r="1458" spans="1:17" ht="15" thickTop="1" thickBot="1" x14ac:dyDescent="0.3">
      <c r="A1458" s="1207"/>
      <c r="B1458" s="1212"/>
      <c r="C1458" s="1212"/>
      <c r="D1458" s="1212"/>
      <c r="E1458" s="1212"/>
      <c r="F1458" s="1208"/>
      <c r="G1458" s="1208"/>
      <c r="H1458" s="1208"/>
      <c r="I1458" s="1209"/>
      <c r="J1458" s="1209"/>
      <c r="K1458" s="1210">
        <f t="shared" si="246"/>
        <v>1.05</v>
      </c>
      <c r="L1458" s="1210">
        <f t="shared" si="247"/>
        <v>0</v>
      </c>
      <c r="M1458" s="1197">
        <f t="shared" si="248"/>
        <v>0</v>
      </c>
      <c r="N1458" s="1211">
        <f t="shared" si="249"/>
        <v>0</v>
      </c>
      <c r="O1458" s="1212"/>
      <c r="P1458" s="1200"/>
      <c r="Q1458" s="1200"/>
    </row>
    <row r="1459" spans="1:17" ht="15" thickTop="1" thickBot="1" x14ac:dyDescent="0.3">
      <c r="A1459" s="1207"/>
      <c r="B1459" s="1212"/>
      <c r="C1459" s="1212"/>
      <c r="D1459" s="1212"/>
      <c r="E1459" s="1212"/>
      <c r="F1459" s="1208"/>
      <c r="G1459" s="1208"/>
      <c r="H1459" s="1208"/>
      <c r="I1459" s="1209"/>
      <c r="J1459" s="1209"/>
      <c r="K1459" s="1210">
        <f t="shared" si="246"/>
        <v>1.05</v>
      </c>
      <c r="L1459" s="1210">
        <f t="shared" si="247"/>
        <v>0</v>
      </c>
      <c r="M1459" s="1197">
        <f t="shared" si="248"/>
        <v>0</v>
      </c>
      <c r="N1459" s="1211">
        <f t="shared" si="249"/>
        <v>0</v>
      </c>
      <c r="O1459" s="1212"/>
      <c r="P1459" s="1200"/>
      <c r="Q1459" s="1200"/>
    </row>
    <row r="1460" spans="1:17" ht="15" thickTop="1" thickBot="1" x14ac:dyDescent="0.3">
      <c r="A1460" s="1207"/>
      <c r="B1460" s="1212"/>
      <c r="C1460" s="1212"/>
      <c r="D1460" s="1212"/>
      <c r="E1460" s="1212"/>
      <c r="F1460" s="1208"/>
      <c r="G1460" s="1208"/>
      <c r="H1460" s="1208"/>
      <c r="I1460" s="1209"/>
      <c r="J1460" s="1209"/>
      <c r="K1460" s="1210">
        <f t="shared" si="246"/>
        <v>1.05</v>
      </c>
      <c r="L1460" s="1210">
        <f t="shared" si="247"/>
        <v>0</v>
      </c>
      <c r="M1460" s="1197">
        <f t="shared" si="248"/>
        <v>0</v>
      </c>
      <c r="N1460" s="1211">
        <f t="shared" si="249"/>
        <v>0</v>
      </c>
      <c r="O1460" s="1212"/>
      <c r="P1460" s="1200"/>
      <c r="Q1460" s="1200"/>
    </row>
    <row r="1461" spans="1:17" ht="15" thickTop="1" thickBot="1" x14ac:dyDescent="0.3">
      <c r="A1461" s="1207"/>
      <c r="B1461" s="1212"/>
      <c r="C1461" s="1212"/>
      <c r="D1461" s="1212"/>
      <c r="E1461" s="1212"/>
      <c r="F1461" s="1208"/>
      <c r="G1461" s="1208"/>
      <c r="H1461" s="1208"/>
      <c r="I1461" s="1209"/>
      <c r="J1461" s="1209"/>
      <c r="K1461" s="1210">
        <f t="shared" si="246"/>
        <v>1.05</v>
      </c>
      <c r="L1461" s="1210">
        <f t="shared" si="247"/>
        <v>0</v>
      </c>
      <c r="M1461" s="1197">
        <f t="shared" si="248"/>
        <v>0</v>
      </c>
      <c r="N1461" s="1211">
        <f t="shared" si="249"/>
        <v>0</v>
      </c>
      <c r="O1461" s="1212"/>
      <c r="P1461" s="1200"/>
      <c r="Q1461" s="1200"/>
    </row>
    <row r="1462" spans="1:17" ht="15" thickTop="1" thickBot="1" x14ac:dyDescent="0.3">
      <c r="A1462" s="1207"/>
      <c r="B1462" s="1212"/>
      <c r="C1462" s="1212"/>
      <c r="D1462" s="1212"/>
      <c r="E1462" s="1212"/>
      <c r="F1462" s="1208"/>
      <c r="G1462" s="1208"/>
      <c r="H1462" s="1208"/>
      <c r="I1462" s="1209"/>
      <c r="J1462" s="1209"/>
      <c r="K1462" s="1210">
        <f t="shared" si="246"/>
        <v>1.05</v>
      </c>
      <c r="L1462" s="1210">
        <f t="shared" si="247"/>
        <v>0</v>
      </c>
      <c r="M1462" s="1197">
        <f t="shared" si="248"/>
        <v>0</v>
      </c>
      <c r="N1462" s="1211">
        <f t="shared" si="249"/>
        <v>0</v>
      </c>
      <c r="O1462" s="1212"/>
      <c r="P1462" s="1200"/>
      <c r="Q1462" s="1200"/>
    </row>
    <row r="1463" spans="1:17" ht="15" thickTop="1" thickBot="1" x14ac:dyDescent="0.3">
      <c r="A1463" s="1207"/>
      <c r="B1463" s="1212"/>
      <c r="C1463" s="1212"/>
      <c r="D1463" s="1212"/>
      <c r="E1463" s="1212"/>
      <c r="F1463" s="1208"/>
      <c r="G1463" s="1208"/>
      <c r="H1463" s="1208"/>
      <c r="I1463" s="1209"/>
      <c r="J1463" s="1209"/>
      <c r="K1463" s="1210">
        <f t="shared" si="246"/>
        <v>1.05</v>
      </c>
      <c r="L1463" s="1210">
        <f t="shared" si="247"/>
        <v>0</v>
      </c>
      <c r="M1463" s="1197">
        <f t="shared" si="248"/>
        <v>0</v>
      </c>
      <c r="N1463" s="1211">
        <f t="shared" si="249"/>
        <v>0</v>
      </c>
      <c r="O1463" s="1212"/>
      <c r="P1463" s="1200"/>
      <c r="Q1463" s="1200"/>
    </row>
    <row r="1464" spans="1:17" ht="15" thickTop="1" thickBot="1" x14ac:dyDescent="0.3">
      <c r="A1464" s="1207"/>
      <c r="B1464" s="1212"/>
      <c r="C1464" s="1212"/>
      <c r="D1464" s="1212"/>
      <c r="E1464" s="1212"/>
      <c r="F1464" s="1208"/>
      <c r="G1464" s="1208"/>
      <c r="H1464" s="1208"/>
      <c r="I1464" s="1209"/>
      <c r="J1464" s="1209"/>
      <c r="K1464" s="1210">
        <f t="shared" si="246"/>
        <v>1.05</v>
      </c>
      <c r="L1464" s="1210">
        <f t="shared" si="247"/>
        <v>0</v>
      </c>
      <c r="M1464" s="1197">
        <f t="shared" si="248"/>
        <v>0</v>
      </c>
      <c r="N1464" s="1211">
        <f t="shared" si="249"/>
        <v>0</v>
      </c>
      <c r="O1464" s="1212"/>
      <c r="P1464" s="1200"/>
      <c r="Q1464" s="1200"/>
    </row>
    <row r="1465" spans="1:17" ht="15" thickTop="1" thickBot="1" x14ac:dyDescent="0.3">
      <c r="A1465" s="1207"/>
      <c r="B1465" s="1212"/>
      <c r="C1465" s="1212"/>
      <c r="D1465" s="1212"/>
      <c r="E1465" s="1212"/>
      <c r="F1465" s="1208"/>
      <c r="G1465" s="1208"/>
      <c r="H1465" s="1208"/>
      <c r="I1465" s="1209"/>
      <c r="J1465" s="1209"/>
      <c r="K1465" s="1210">
        <f t="shared" si="246"/>
        <v>1.05</v>
      </c>
      <c r="L1465" s="1210">
        <f t="shared" si="247"/>
        <v>0</v>
      </c>
      <c r="M1465" s="1197">
        <f t="shared" si="248"/>
        <v>0</v>
      </c>
      <c r="N1465" s="1211">
        <f t="shared" si="249"/>
        <v>0</v>
      </c>
      <c r="O1465" s="1212"/>
      <c r="P1465" s="1200"/>
      <c r="Q1465" s="1200"/>
    </row>
    <row r="1466" spans="1:17" ht="15" thickTop="1" thickBot="1" x14ac:dyDescent="0.3">
      <c r="A1466" s="1207"/>
      <c r="B1466" s="1212"/>
      <c r="C1466" s="1212"/>
      <c r="D1466" s="1212"/>
      <c r="E1466" s="1212"/>
      <c r="F1466" s="1208"/>
      <c r="G1466" s="1208"/>
      <c r="H1466" s="1208"/>
      <c r="I1466" s="1209"/>
      <c r="J1466" s="1209"/>
      <c r="K1466" s="1210">
        <f t="shared" si="246"/>
        <v>1.05</v>
      </c>
      <c r="L1466" s="1210">
        <f t="shared" si="247"/>
        <v>0</v>
      </c>
      <c r="M1466" s="1197">
        <f t="shared" si="248"/>
        <v>0</v>
      </c>
      <c r="N1466" s="1211">
        <f t="shared" si="249"/>
        <v>0</v>
      </c>
      <c r="O1466" s="1212"/>
      <c r="P1466" s="1200"/>
      <c r="Q1466" s="1200"/>
    </row>
    <row r="1467" spans="1:17" ht="15" thickTop="1" thickBot="1" x14ac:dyDescent="0.3">
      <c r="A1467" s="1207"/>
      <c r="B1467" s="1212"/>
      <c r="C1467" s="1212"/>
      <c r="D1467" s="1212"/>
      <c r="E1467" s="1212"/>
      <c r="F1467" s="1208"/>
      <c r="G1467" s="1208"/>
      <c r="H1467" s="1208"/>
      <c r="I1467" s="1209"/>
      <c r="J1467" s="1209"/>
      <c r="K1467" s="1210">
        <f t="shared" si="246"/>
        <v>1.05</v>
      </c>
      <c r="L1467" s="1210">
        <f t="shared" si="247"/>
        <v>0</v>
      </c>
      <c r="M1467" s="1197">
        <f t="shared" si="248"/>
        <v>0</v>
      </c>
      <c r="N1467" s="1211">
        <f t="shared" si="249"/>
        <v>0</v>
      </c>
      <c r="O1467" s="1212"/>
      <c r="P1467" s="1200"/>
      <c r="Q1467" s="1200"/>
    </row>
    <row r="1468" spans="1:17" ht="15" thickTop="1" thickBot="1" x14ac:dyDescent="0.3">
      <c r="A1468" s="1207"/>
      <c r="B1468" s="1212"/>
      <c r="C1468" s="1212"/>
      <c r="D1468" s="1212"/>
      <c r="E1468" s="1212"/>
      <c r="F1468" s="1208"/>
      <c r="G1468" s="1208"/>
      <c r="H1468" s="1208"/>
      <c r="I1468" s="1209"/>
      <c r="J1468" s="1209"/>
      <c r="K1468" s="1210">
        <f t="shared" si="246"/>
        <v>1.05</v>
      </c>
      <c r="L1468" s="1210">
        <f t="shared" si="247"/>
        <v>0</v>
      </c>
      <c r="M1468" s="1197">
        <f t="shared" si="248"/>
        <v>0</v>
      </c>
      <c r="N1468" s="1211">
        <f t="shared" si="249"/>
        <v>0</v>
      </c>
      <c r="O1468" s="1212"/>
      <c r="P1468" s="1200"/>
      <c r="Q1468" s="1200"/>
    </row>
    <row r="1469" spans="1:17" ht="15" thickTop="1" thickBot="1" x14ac:dyDescent="0.3">
      <c r="A1469" s="1207"/>
      <c r="B1469" s="1212"/>
      <c r="C1469" s="1212"/>
      <c r="D1469" s="1212"/>
      <c r="E1469" s="1212"/>
      <c r="F1469" s="1208"/>
      <c r="G1469" s="1208"/>
      <c r="H1469" s="1208"/>
      <c r="I1469" s="1209"/>
      <c r="J1469" s="1209"/>
      <c r="K1469" s="1210">
        <f t="shared" si="246"/>
        <v>1.05</v>
      </c>
      <c r="L1469" s="1210">
        <f t="shared" si="247"/>
        <v>0</v>
      </c>
      <c r="M1469" s="1197">
        <f t="shared" si="248"/>
        <v>0</v>
      </c>
      <c r="N1469" s="1211">
        <f t="shared" si="249"/>
        <v>0</v>
      </c>
      <c r="O1469" s="1212"/>
      <c r="P1469" s="1200"/>
      <c r="Q1469" s="1200"/>
    </row>
    <row r="1470" spans="1:17" ht="15" thickTop="1" thickBot="1" x14ac:dyDescent="0.3">
      <c r="A1470" s="1207"/>
      <c r="B1470" s="1212"/>
      <c r="C1470" s="1212"/>
      <c r="D1470" s="1212"/>
      <c r="E1470" s="1212"/>
      <c r="F1470" s="1208"/>
      <c r="G1470" s="1208"/>
      <c r="H1470" s="1208"/>
      <c r="I1470" s="1209"/>
      <c r="J1470" s="1209"/>
      <c r="K1470" s="1210">
        <f t="shared" si="246"/>
        <v>1.05</v>
      </c>
      <c r="L1470" s="1210">
        <f t="shared" si="247"/>
        <v>0</v>
      </c>
      <c r="M1470" s="1197">
        <f t="shared" si="248"/>
        <v>0</v>
      </c>
      <c r="N1470" s="1211">
        <f t="shared" si="249"/>
        <v>0</v>
      </c>
      <c r="O1470" s="1212"/>
      <c r="P1470" s="1200"/>
      <c r="Q1470" s="1200"/>
    </row>
    <row r="1471" spans="1:17" ht="15" thickTop="1" thickBot="1" x14ac:dyDescent="0.3">
      <c r="A1471" s="1207"/>
      <c r="B1471" s="1212"/>
      <c r="C1471" s="1212"/>
      <c r="D1471" s="1212"/>
      <c r="E1471" s="1212"/>
      <c r="F1471" s="1208"/>
      <c r="G1471" s="1208"/>
      <c r="H1471" s="1208"/>
      <c r="I1471" s="1209"/>
      <c r="J1471" s="1209"/>
      <c r="K1471" s="1210">
        <f t="shared" si="246"/>
        <v>1.05</v>
      </c>
      <c r="L1471" s="1210">
        <f t="shared" si="247"/>
        <v>0</v>
      </c>
      <c r="M1471" s="1197">
        <f t="shared" si="248"/>
        <v>0</v>
      </c>
      <c r="N1471" s="1211">
        <f t="shared" si="249"/>
        <v>0</v>
      </c>
      <c r="O1471" s="1212"/>
      <c r="P1471" s="1200"/>
      <c r="Q1471" s="1200"/>
    </row>
    <row r="1472" spans="1:17" ht="15" thickTop="1" thickBot="1" x14ac:dyDescent="0.3">
      <c r="A1472" s="1207"/>
      <c r="B1472" s="1212"/>
      <c r="C1472" s="1212"/>
      <c r="D1472" s="1212"/>
      <c r="E1472" s="1212"/>
      <c r="F1472" s="1208"/>
      <c r="G1472" s="1208"/>
      <c r="H1472" s="1208"/>
      <c r="I1472" s="1209"/>
      <c r="J1472" s="1209"/>
      <c r="K1472" s="1210">
        <f t="shared" si="246"/>
        <v>1.05</v>
      </c>
      <c r="L1472" s="1210">
        <f t="shared" si="247"/>
        <v>0</v>
      </c>
      <c r="M1472" s="1197">
        <f t="shared" si="248"/>
        <v>0</v>
      </c>
      <c r="N1472" s="1211">
        <f t="shared" si="249"/>
        <v>0</v>
      </c>
      <c r="O1472" s="1212"/>
      <c r="P1472" s="1200"/>
      <c r="Q1472" s="1200"/>
    </row>
    <row r="1473" spans="1:17" ht="15" thickTop="1" thickBot="1" x14ac:dyDescent="0.3">
      <c r="A1473" s="1207"/>
      <c r="B1473" s="1212"/>
      <c r="C1473" s="1212"/>
      <c r="D1473" s="1212"/>
      <c r="E1473" s="1212"/>
      <c r="F1473" s="1208"/>
      <c r="G1473" s="1208"/>
      <c r="H1473" s="1208"/>
      <c r="I1473" s="1209"/>
      <c r="J1473" s="1209"/>
      <c r="K1473" s="1210">
        <f t="shared" si="246"/>
        <v>1.05</v>
      </c>
      <c r="L1473" s="1210">
        <f t="shared" si="247"/>
        <v>0</v>
      </c>
      <c r="M1473" s="1197">
        <f t="shared" si="248"/>
        <v>0</v>
      </c>
      <c r="N1473" s="1211">
        <f t="shared" si="249"/>
        <v>0</v>
      </c>
      <c r="O1473" s="1212"/>
      <c r="P1473" s="1200"/>
      <c r="Q1473" s="1200"/>
    </row>
    <row r="1474" spans="1:17" ht="15" thickTop="1" thickBot="1" x14ac:dyDescent="0.3">
      <c r="A1474" s="1207"/>
      <c r="B1474" s="1212"/>
      <c r="C1474" s="1212"/>
      <c r="D1474" s="1212"/>
      <c r="E1474" s="1212"/>
      <c r="F1474" s="1208"/>
      <c r="G1474" s="1208"/>
      <c r="H1474" s="1208"/>
      <c r="I1474" s="1209"/>
      <c r="J1474" s="1209"/>
      <c r="K1474" s="1210">
        <f t="shared" si="246"/>
        <v>1.05</v>
      </c>
      <c r="L1474" s="1210">
        <f t="shared" si="247"/>
        <v>0</v>
      </c>
      <c r="M1474" s="1197">
        <f t="shared" si="248"/>
        <v>0</v>
      </c>
      <c r="N1474" s="1211">
        <f t="shared" si="249"/>
        <v>0</v>
      </c>
      <c r="O1474" s="1212"/>
      <c r="P1474" s="1200"/>
      <c r="Q1474" s="1200"/>
    </row>
    <row r="1475" spans="1:17" ht="15" thickTop="1" thickBot="1" x14ac:dyDescent="0.3">
      <c r="A1475" s="1207"/>
      <c r="B1475" s="1212"/>
      <c r="C1475" s="1212"/>
      <c r="D1475" s="1212"/>
      <c r="E1475" s="1212"/>
      <c r="F1475" s="1208"/>
      <c r="G1475" s="1208"/>
      <c r="H1475" s="1208"/>
      <c r="I1475" s="1209"/>
      <c r="J1475" s="1209"/>
      <c r="K1475" s="1210">
        <f t="shared" si="246"/>
        <v>1.05</v>
      </c>
      <c r="L1475" s="1210">
        <f t="shared" si="247"/>
        <v>0</v>
      </c>
      <c r="M1475" s="1197">
        <f t="shared" si="248"/>
        <v>0</v>
      </c>
      <c r="N1475" s="1211">
        <f t="shared" si="249"/>
        <v>0</v>
      </c>
      <c r="O1475" s="1212"/>
      <c r="P1475" s="1200"/>
      <c r="Q1475" s="1200"/>
    </row>
    <row r="1476" spans="1:17" ht="15" thickTop="1" thickBot="1" x14ac:dyDescent="0.3">
      <c r="A1476" s="1207"/>
      <c r="B1476" s="1212"/>
      <c r="C1476" s="1212"/>
      <c r="D1476" s="1212"/>
      <c r="E1476" s="1212"/>
      <c r="F1476" s="1208"/>
      <c r="G1476" s="1208"/>
      <c r="H1476" s="1208"/>
      <c r="I1476" s="1209"/>
      <c r="J1476" s="1209"/>
      <c r="K1476" s="1210">
        <f t="shared" si="246"/>
        <v>1.05</v>
      </c>
      <c r="L1476" s="1210">
        <f t="shared" si="247"/>
        <v>0</v>
      </c>
      <c r="M1476" s="1197">
        <f t="shared" si="248"/>
        <v>0</v>
      </c>
      <c r="N1476" s="1211">
        <f t="shared" si="249"/>
        <v>0</v>
      </c>
      <c r="O1476" s="1212"/>
      <c r="P1476" s="1200"/>
      <c r="Q1476" s="1200"/>
    </row>
    <row r="1477" spans="1:17" ht="15" thickTop="1" thickBot="1" x14ac:dyDescent="0.3">
      <c r="A1477" s="1207"/>
      <c r="B1477" s="1212"/>
      <c r="C1477" s="1212"/>
      <c r="D1477" s="1212"/>
      <c r="E1477" s="1212"/>
      <c r="F1477" s="1208"/>
      <c r="G1477" s="1208"/>
      <c r="H1477" s="1208"/>
      <c r="I1477" s="1209"/>
      <c r="J1477" s="1209"/>
      <c r="K1477" s="1210">
        <f t="shared" si="246"/>
        <v>1.05</v>
      </c>
      <c r="L1477" s="1210">
        <f t="shared" si="247"/>
        <v>0</v>
      </c>
      <c r="M1477" s="1197">
        <f t="shared" si="248"/>
        <v>0</v>
      </c>
      <c r="N1477" s="1211">
        <f t="shared" si="249"/>
        <v>0</v>
      </c>
      <c r="O1477" s="1212"/>
      <c r="P1477" s="1200"/>
      <c r="Q1477" s="1200"/>
    </row>
    <row r="1478" spans="1:17" ht="15" thickTop="1" thickBot="1" x14ac:dyDescent="0.3">
      <c r="A1478" s="1207"/>
      <c r="B1478" s="1212"/>
      <c r="C1478" s="1212"/>
      <c r="D1478" s="1212"/>
      <c r="E1478" s="1212"/>
      <c r="F1478" s="1208"/>
      <c r="G1478" s="1208"/>
      <c r="H1478" s="1208"/>
      <c r="I1478" s="1209"/>
      <c r="J1478" s="1209"/>
      <c r="K1478" s="1210">
        <f t="shared" si="246"/>
        <v>1.05</v>
      </c>
      <c r="L1478" s="1210">
        <f t="shared" si="247"/>
        <v>0</v>
      </c>
      <c r="M1478" s="1197">
        <f t="shared" si="248"/>
        <v>0</v>
      </c>
      <c r="N1478" s="1211">
        <f t="shared" si="249"/>
        <v>0</v>
      </c>
      <c r="O1478" s="1212"/>
      <c r="P1478" s="1200"/>
      <c r="Q1478" s="1200"/>
    </row>
    <row r="1479" spans="1:17" ht="15" thickTop="1" thickBot="1" x14ac:dyDescent="0.3">
      <c r="A1479" s="1207"/>
      <c r="B1479" s="1212"/>
      <c r="C1479" s="1212"/>
      <c r="D1479" s="1212"/>
      <c r="E1479" s="1212"/>
      <c r="F1479" s="1208"/>
      <c r="G1479" s="1208"/>
      <c r="H1479" s="1208"/>
      <c r="I1479" s="1209"/>
      <c r="J1479" s="1209"/>
      <c r="K1479" s="1210">
        <f t="shared" si="246"/>
        <v>1.05</v>
      </c>
      <c r="L1479" s="1210">
        <f t="shared" si="247"/>
        <v>0</v>
      </c>
      <c r="M1479" s="1197">
        <f t="shared" si="248"/>
        <v>0</v>
      </c>
      <c r="N1479" s="1211">
        <f t="shared" si="249"/>
        <v>0</v>
      </c>
      <c r="O1479" s="1212"/>
      <c r="P1479" s="1200"/>
      <c r="Q1479" s="1200"/>
    </row>
    <row r="1480" spans="1:17" ht="15" thickTop="1" thickBot="1" x14ac:dyDescent="0.3">
      <c r="A1480" s="1207"/>
      <c r="B1480" s="1212"/>
      <c r="C1480" s="1212"/>
      <c r="D1480" s="1212"/>
      <c r="E1480" s="1212"/>
      <c r="F1480" s="1208"/>
      <c r="G1480" s="1208"/>
      <c r="H1480" s="1208"/>
      <c r="I1480" s="1209"/>
      <c r="J1480" s="1209"/>
      <c r="K1480" s="1210">
        <f t="shared" si="246"/>
        <v>1.05</v>
      </c>
      <c r="L1480" s="1210">
        <f t="shared" si="247"/>
        <v>0</v>
      </c>
      <c r="M1480" s="1197">
        <f t="shared" si="248"/>
        <v>0</v>
      </c>
      <c r="N1480" s="1211">
        <f t="shared" si="249"/>
        <v>0</v>
      </c>
      <c r="O1480" s="1212"/>
      <c r="P1480" s="1200"/>
      <c r="Q1480" s="1200"/>
    </row>
    <row r="1481" spans="1:17" ht="15" thickTop="1" thickBot="1" x14ac:dyDescent="0.3">
      <c r="A1481" s="1207"/>
      <c r="B1481" s="1212"/>
      <c r="C1481" s="1212"/>
      <c r="D1481" s="1212"/>
      <c r="E1481" s="1212"/>
      <c r="F1481" s="1208"/>
      <c r="G1481" s="1208"/>
      <c r="H1481" s="1208"/>
      <c r="I1481" s="1209"/>
      <c r="J1481" s="1209"/>
      <c r="K1481" s="1210">
        <f t="shared" si="246"/>
        <v>1.05</v>
      </c>
      <c r="L1481" s="1210">
        <f t="shared" si="247"/>
        <v>0</v>
      </c>
      <c r="M1481" s="1197">
        <f t="shared" si="248"/>
        <v>0</v>
      </c>
      <c r="N1481" s="1211">
        <f t="shared" si="249"/>
        <v>0</v>
      </c>
      <c r="O1481" s="1212"/>
      <c r="P1481" s="1200"/>
      <c r="Q1481" s="1200"/>
    </row>
    <row r="1482" spans="1:17" ht="15" thickTop="1" thickBot="1" x14ac:dyDescent="0.3">
      <c r="A1482" s="1207"/>
      <c r="B1482" s="1212"/>
      <c r="C1482" s="1212"/>
      <c r="D1482" s="1212"/>
      <c r="E1482" s="1212"/>
      <c r="F1482" s="1208"/>
      <c r="G1482" s="1208"/>
      <c r="H1482" s="1208"/>
      <c r="I1482" s="1209"/>
      <c r="J1482" s="1209"/>
      <c r="K1482" s="1210">
        <f t="shared" si="246"/>
        <v>1.05</v>
      </c>
      <c r="L1482" s="1210">
        <f t="shared" si="247"/>
        <v>0</v>
      </c>
      <c r="M1482" s="1197">
        <f t="shared" si="248"/>
        <v>0</v>
      </c>
      <c r="N1482" s="1211">
        <f t="shared" si="249"/>
        <v>0</v>
      </c>
      <c r="O1482" s="1212"/>
      <c r="P1482" s="1200"/>
      <c r="Q1482" s="1200"/>
    </row>
    <row r="1483" spans="1:17" ht="15" thickTop="1" thickBot="1" x14ac:dyDescent="0.3">
      <c r="A1483" s="1207"/>
      <c r="B1483" s="1212"/>
      <c r="C1483" s="1212"/>
      <c r="D1483" s="1212"/>
      <c r="E1483" s="1212"/>
      <c r="F1483" s="1208"/>
      <c r="G1483" s="1208"/>
      <c r="H1483" s="1208"/>
      <c r="I1483" s="1209"/>
      <c r="J1483" s="1209"/>
      <c r="K1483" s="1210">
        <f t="shared" ref="K1483:K1546" si="250">$K$2</f>
        <v>1.05</v>
      </c>
      <c r="L1483" s="1210">
        <f t="shared" si="247"/>
        <v>0</v>
      </c>
      <c r="M1483" s="1197">
        <f t="shared" si="248"/>
        <v>0</v>
      </c>
      <c r="N1483" s="1211">
        <f t="shared" si="249"/>
        <v>0</v>
      </c>
      <c r="O1483" s="1212"/>
      <c r="P1483" s="1200"/>
      <c r="Q1483" s="1200"/>
    </row>
    <row r="1484" spans="1:17" ht="15" thickTop="1" thickBot="1" x14ac:dyDescent="0.3">
      <c r="A1484" s="1207"/>
      <c r="B1484" s="1212"/>
      <c r="C1484" s="1212"/>
      <c r="D1484" s="1212"/>
      <c r="E1484" s="1212"/>
      <c r="F1484" s="1208"/>
      <c r="G1484" s="1208"/>
      <c r="H1484" s="1208"/>
      <c r="I1484" s="1209"/>
      <c r="J1484" s="1209"/>
      <c r="K1484" s="1210">
        <f t="shared" si="250"/>
        <v>1.05</v>
      </c>
      <c r="L1484" s="1210">
        <f t="shared" si="247"/>
        <v>0</v>
      </c>
      <c r="M1484" s="1197">
        <f t="shared" si="248"/>
        <v>0</v>
      </c>
      <c r="N1484" s="1211">
        <f t="shared" si="249"/>
        <v>0</v>
      </c>
      <c r="O1484" s="1212"/>
      <c r="P1484" s="1200"/>
      <c r="Q1484" s="1200"/>
    </row>
    <row r="1485" spans="1:17" ht="15" thickTop="1" thickBot="1" x14ac:dyDescent="0.3">
      <c r="A1485" s="1207"/>
      <c r="B1485" s="1212"/>
      <c r="C1485" s="1212"/>
      <c r="D1485" s="1212"/>
      <c r="E1485" s="1212"/>
      <c r="F1485" s="1208"/>
      <c r="G1485" s="1208"/>
      <c r="H1485" s="1208"/>
      <c r="I1485" s="1209"/>
      <c r="J1485" s="1209"/>
      <c r="K1485" s="1210">
        <f t="shared" si="250"/>
        <v>1.05</v>
      </c>
      <c r="L1485" s="1210">
        <f t="shared" si="247"/>
        <v>0</v>
      </c>
      <c r="M1485" s="1197">
        <f t="shared" si="248"/>
        <v>0</v>
      </c>
      <c r="N1485" s="1211">
        <f t="shared" si="249"/>
        <v>0</v>
      </c>
      <c r="O1485" s="1212"/>
      <c r="P1485" s="1200"/>
      <c r="Q1485" s="1200"/>
    </row>
    <row r="1486" spans="1:17" ht="15" thickTop="1" thickBot="1" x14ac:dyDescent="0.3">
      <c r="A1486" s="1207"/>
      <c r="B1486" s="1212"/>
      <c r="C1486" s="1212"/>
      <c r="D1486" s="1212"/>
      <c r="E1486" s="1212"/>
      <c r="F1486" s="1208"/>
      <c r="G1486" s="1208"/>
      <c r="H1486" s="1208"/>
      <c r="I1486" s="1209"/>
      <c r="J1486" s="1209"/>
      <c r="K1486" s="1210">
        <f t="shared" si="250"/>
        <v>1.05</v>
      </c>
      <c r="L1486" s="1210">
        <f t="shared" si="247"/>
        <v>0</v>
      </c>
      <c r="M1486" s="1197">
        <f t="shared" si="248"/>
        <v>0</v>
      </c>
      <c r="N1486" s="1211">
        <f t="shared" si="249"/>
        <v>0</v>
      </c>
      <c r="O1486" s="1212"/>
      <c r="P1486" s="1200"/>
      <c r="Q1486" s="1200"/>
    </row>
    <row r="1487" spans="1:17" ht="15" thickTop="1" thickBot="1" x14ac:dyDescent="0.3">
      <c r="A1487" s="1207"/>
      <c r="B1487" s="1212"/>
      <c r="C1487" s="1212"/>
      <c r="D1487" s="1212"/>
      <c r="E1487" s="1212"/>
      <c r="F1487" s="1208"/>
      <c r="G1487" s="1208"/>
      <c r="H1487" s="1208"/>
      <c r="I1487" s="1209"/>
      <c r="J1487" s="1209"/>
      <c r="K1487" s="1210">
        <f t="shared" si="250"/>
        <v>1.05</v>
      </c>
      <c r="L1487" s="1210">
        <f t="shared" si="247"/>
        <v>0</v>
      </c>
      <c r="M1487" s="1197">
        <f t="shared" si="248"/>
        <v>0</v>
      </c>
      <c r="N1487" s="1211">
        <f t="shared" si="249"/>
        <v>0</v>
      </c>
      <c r="O1487" s="1212"/>
      <c r="P1487" s="1200"/>
      <c r="Q1487" s="1200"/>
    </row>
    <row r="1488" spans="1:17" ht="15" thickTop="1" thickBot="1" x14ac:dyDescent="0.3">
      <c r="A1488" s="1207"/>
      <c r="B1488" s="1212"/>
      <c r="C1488" s="1212"/>
      <c r="D1488" s="1212"/>
      <c r="E1488" s="1212"/>
      <c r="F1488" s="1208"/>
      <c r="G1488" s="1208"/>
      <c r="H1488" s="1208"/>
      <c r="I1488" s="1209"/>
      <c r="J1488" s="1209"/>
      <c r="K1488" s="1210">
        <f t="shared" si="250"/>
        <v>1.05</v>
      </c>
      <c r="L1488" s="1210">
        <f t="shared" si="247"/>
        <v>0</v>
      </c>
      <c r="M1488" s="1197">
        <f t="shared" si="248"/>
        <v>0</v>
      </c>
      <c r="N1488" s="1211">
        <f t="shared" si="249"/>
        <v>0</v>
      </c>
      <c r="O1488" s="1212"/>
      <c r="P1488" s="1200"/>
      <c r="Q1488" s="1200"/>
    </row>
    <row r="1489" spans="1:17" ht="15" thickTop="1" thickBot="1" x14ac:dyDescent="0.3">
      <c r="A1489" s="1207"/>
      <c r="B1489" s="1212"/>
      <c r="C1489" s="1212"/>
      <c r="D1489" s="1212"/>
      <c r="E1489" s="1212"/>
      <c r="F1489" s="1208"/>
      <c r="G1489" s="1208"/>
      <c r="H1489" s="1208"/>
      <c r="I1489" s="1209"/>
      <c r="J1489" s="1209"/>
      <c r="K1489" s="1210">
        <f t="shared" si="250"/>
        <v>1.05</v>
      </c>
      <c r="L1489" s="1210">
        <f t="shared" si="247"/>
        <v>0</v>
      </c>
      <c r="M1489" s="1197">
        <f t="shared" si="248"/>
        <v>0</v>
      </c>
      <c r="N1489" s="1211">
        <f t="shared" si="249"/>
        <v>0</v>
      </c>
      <c r="O1489" s="1212"/>
      <c r="P1489" s="1200"/>
      <c r="Q1489" s="1200"/>
    </row>
    <row r="1490" spans="1:17" ht="15" thickTop="1" thickBot="1" x14ac:dyDescent="0.3">
      <c r="A1490" s="1207"/>
      <c r="B1490" s="1212"/>
      <c r="C1490" s="1212"/>
      <c r="D1490" s="1212"/>
      <c r="E1490" s="1212"/>
      <c r="F1490" s="1208"/>
      <c r="G1490" s="1208"/>
      <c r="H1490" s="1208"/>
      <c r="I1490" s="1209"/>
      <c r="J1490" s="1209"/>
      <c r="K1490" s="1210">
        <f t="shared" si="250"/>
        <v>1.05</v>
      </c>
      <c r="L1490" s="1210">
        <f t="shared" si="247"/>
        <v>0</v>
      </c>
      <c r="M1490" s="1197">
        <f t="shared" si="248"/>
        <v>0</v>
      </c>
      <c r="N1490" s="1211">
        <f t="shared" si="249"/>
        <v>0</v>
      </c>
      <c r="O1490" s="1212"/>
      <c r="P1490" s="1200"/>
      <c r="Q1490" s="1200"/>
    </row>
    <row r="1491" spans="1:17" ht="15" thickTop="1" thickBot="1" x14ac:dyDescent="0.3">
      <c r="A1491" s="1207"/>
      <c r="B1491" s="1212"/>
      <c r="C1491" s="1212"/>
      <c r="D1491" s="1212"/>
      <c r="E1491" s="1212"/>
      <c r="F1491" s="1208"/>
      <c r="G1491" s="1208"/>
      <c r="H1491" s="1208"/>
      <c r="I1491" s="1209"/>
      <c r="J1491" s="1209"/>
      <c r="K1491" s="1210">
        <f t="shared" si="250"/>
        <v>1.05</v>
      </c>
      <c r="L1491" s="1210">
        <f t="shared" si="247"/>
        <v>0</v>
      </c>
      <c r="M1491" s="1197">
        <f t="shared" si="248"/>
        <v>0</v>
      </c>
      <c r="N1491" s="1211">
        <f t="shared" si="249"/>
        <v>0</v>
      </c>
      <c r="O1491" s="1212"/>
      <c r="P1491" s="1200"/>
      <c r="Q1491" s="1200"/>
    </row>
    <row r="1492" spans="1:17" ht="15" thickTop="1" thickBot="1" x14ac:dyDescent="0.3">
      <c r="A1492" s="1207"/>
      <c r="B1492" s="1212"/>
      <c r="C1492" s="1212"/>
      <c r="D1492" s="1212"/>
      <c r="E1492" s="1212"/>
      <c r="F1492" s="1208"/>
      <c r="G1492" s="1208"/>
      <c r="H1492" s="1208"/>
      <c r="I1492" s="1209"/>
      <c r="J1492" s="1209"/>
      <c r="K1492" s="1210">
        <f t="shared" si="250"/>
        <v>1.05</v>
      </c>
      <c r="L1492" s="1210">
        <f t="shared" si="247"/>
        <v>0</v>
      </c>
      <c r="M1492" s="1197">
        <f t="shared" si="248"/>
        <v>0</v>
      </c>
      <c r="N1492" s="1211">
        <f t="shared" si="249"/>
        <v>0</v>
      </c>
      <c r="O1492" s="1212"/>
      <c r="P1492" s="1200"/>
      <c r="Q1492" s="1200"/>
    </row>
    <row r="1493" spans="1:17" ht="15" thickTop="1" thickBot="1" x14ac:dyDescent="0.3">
      <c r="A1493" s="1207"/>
      <c r="B1493" s="1212"/>
      <c r="C1493" s="1212"/>
      <c r="D1493" s="1212"/>
      <c r="E1493" s="1212"/>
      <c r="F1493" s="1208"/>
      <c r="G1493" s="1208"/>
      <c r="H1493" s="1208"/>
      <c r="I1493" s="1209"/>
      <c r="J1493" s="1209"/>
      <c r="K1493" s="1210">
        <f t="shared" si="250"/>
        <v>1.05</v>
      </c>
      <c r="L1493" s="1210">
        <f t="shared" si="247"/>
        <v>0</v>
      </c>
      <c r="M1493" s="1197">
        <f t="shared" si="248"/>
        <v>0</v>
      </c>
      <c r="N1493" s="1211">
        <f t="shared" si="249"/>
        <v>0</v>
      </c>
      <c r="O1493" s="1212"/>
      <c r="P1493" s="1200"/>
      <c r="Q1493" s="1200"/>
    </row>
    <row r="1494" spans="1:17" ht="15" thickTop="1" thickBot="1" x14ac:dyDescent="0.3">
      <c r="A1494" s="1207"/>
      <c r="B1494" s="1212"/>
      <c r="C1494" s="1212"/>
      <c r="D1494" s="1212"/>
      <c r="E1494" s="1212"/>
      <c r="F1494" s="1208"/>
      <c r="G1494" s="1208"/>
      <c r="H1494" s="1208"/>
      <c r="I1494" s="1209"/>
      <c r="J1494" s="1209"/>
      <c r="K1494" s="1210">
        <f t="shared" si="250"/>
        <v>1.05</v>
      </c>
      <c r="L1494" s="1210">
        <f t="shared" si="247"/>
        <v>0</v>
      </c>
      <c r="M1494" s="1197">
        <f t="shared" si="248"/>
        <v>0</v>
      </c>
      <c r="N1494" s="1211">
        <f t="shared" si="249"/>
        <v>0</v>
      </c>
      <c r="O1494" s="1212"/>
      <c r="P1494" s="1200"/>
      <c r="Q1494" s="1200"/>
    </row>
    <row r="1495" spans="1:17" ht="15" thickTop="1" thickBot="1" x14ac:dyDescent="0.3">
      <c r="A1495" s="1207"/>
      <c r="B1495" s="1212"/>
      <c r="C1495" s="1212"/>
      <c r="D1495" s="1212"/>
      <c r="E1495" s="1212"/>
      <c r="F1495" s="1208"/>
      <c r="G1495" s="1208"/>
      <c r="H1495" s="1208"/>
      <c r="I1495" s="1209"/>
      <c r="J1495" s="1209"/>
      <c r="K1495" s="1210">
        <f t="shared" si="250"/>
        <v>1.05</v>
      </c>
      <c r="L1495" s="1210">
        <f t="shared" si="247"/>
        <v>0</v>
      </c>
      <c r="M1495" s="1197">
        <f t="shared" si="248"/>
        <v>0</v>
      </c>
      <c r="N1495" s="1211">
        <f t="shared" si="249"/>
        <v>0</v>
      </c>
      <c r="O1495" s="1212"/>
      <c r="P1495" s="1200"/>
      <c r="Q1495" s="1200"/>
    </row>
    <row r="1496" spans="1:17" ht="15" thickTop="1" thickBot="1" x14ac:dyDescent="0.3">
      <c r="A1496" s="1207"/>
      <c r="B1496" s="1212"/>
      <c r="C1496" s="1212"/>
      <c r="D1496" s="1212"/>
      <c r="E1496" s="1212"/>
      <c r="F1496" s="1208"/>
      <c r="G1496" s="1208"/>
      <c r="H1496" s="1208"/>
      <c r="I1496" s="1209"/>
      <c r="J1496" s="1209"/>
      <c r="K1496" s="1210">
        <f t="shared" si="250"/>
        <v>1.05</v>
      </c>
      <c r="L1496" s="1210">
        <f t="shared" si="247"/>
        <v>0</v>
      </c>
      <c r="M1496" s="1197">
        <f t="shared" si="248"/>
        <v>0</v>
      </c>
      <c r="N1496" s="1211">
        <f t="shared" si="249"/>
        <v>0</v>
      </c>
      <c r="O1496" s="1212"/>
      <c r="P1496" s="1200"/>
      <c r="Q1496" s="1200"/>
    </row>
    <row r="1497" spans="1:17" ht="15" thickTop="1" thickBot="1" x14ac:dyDescent="0.3">
      <c r="A1497" s="1207"/>
      <c r="B1497" s="1212"/>
      <c r="C1497" s="1212"/>
      <c r="D1497" s="1212"/>
      <c r="E1497" s="1212"/>
      <c r="F1497" s="1208"/>
      <c r="G1497" s="1208"/>
      <c r="H1497" s="1208"/>
      <c r="I1497" s="1209"/>
      <c r="J1497" s="1209"/>
      <c r="K1497" s="1210">
        <f t="shared" si="250"/>
        <v>1.05</v>
      </c>
      <c r="L1497" s="1210">
        <f t="shared" si="247"/>
        <v>0</v>
      </c>
      <c r="M1497" s="1197">
        <f t="shared" si="248"/>
        <v>0</v>
      </c>
      <c r="N1497" s="1211">
        <f t="shared" si="249"/>
        <v>0</v>
      </c>
      <c r="O1497" s="1212"/>
      <c r="P1497" s="1200"/>
      <c r="Q1497" s="1200"/>
    </row>
    <row r="1498" spans="1:17" ht="15" thickTop="1" thickBot="1" x14ac:dyDescent="0.3">
      <c r="A1498" s="1207"/>
      <c r="B1498" s="1212"/>
      <c r="C1498" s="1212"/>
      <c r="D1498" s="1212"/>
      <c r="E1498" s="1212"/>
      <c r="F1498" s="1208"/>
      <c r="G1498" s="1208"/>
      <c r="H1498" s="1208"/>
      <c r="I1498" s="1209"/>
      <c r="J1498" s="1209"/>
      <c r="K1498" s="1210">
        <f t="shared" si="250"/>
        <v>1.05</v>
      </c>
      <c r="L1498" s="1210">
        <f t="shared" si="247"/>
        <v>0</v>
      </c>
      <c r="M1498" s="1197">
        <f t="shared" si="248"/>
        <v>0</v>
      </c>
      <c r="N1498" s="1211">
        <f t="shared" si="249"/>
        <v>0</v>
      </c>
      <c r="O1498" s="1212"/>
      <c r="P1498" s="1200"/>
      <c r="Q1498" s="1200"/>
    </row>
    <row r="1499" spans="1:17" ht="15" thickTop="1" thickBot="1" x14ac:dyDescent="0.3">
      <c r="A1499" s="1207"/>
      <c r="B1499" s="1212"/>
      <c r="C1499" s="1212"/>
      <c r="D1499" s="1212"/>
      <c r="E1499" s="1212"/>
      <c r="F1499" s="1208"/>
      <c r="G1499" s="1208"/>
      <c r="H1499" s="1208"/>
      <c r="I1499" s="1209"/>
      <c r="J1499" s="1209"/>
      <c r="K1499" s="1210">
        <f t="shared" si="250"/>
        <v>1.05</v>
      </c>
      <c r="L1499" s="1210">
        <f t="shared" si="247"/>
        <v>0</v>
      </c>
      <c r="M1499" s="1197">
        <f t="shared" si="248"/>
        <v>0</v>
      </c>
      <c r="N1499" s="1211">
        <f t="shared" si="249"/>
        <v>0</v>
      </c>
      <c r="O1499" s="1212"/>
      <c r="P1499" s="1200"/>
      <c r="Q1499" s="1200"/>
    </row>
    <row r="1500" spans="1:17" ht="15" thickTop="1" thickBot="1" x14ac:dyDescent="0.3">
      <c r="A1500" s="1207"/>
      <c r="B1500" s="1212"/>
      <c r="C1500" s="1212"/>
      <c r="D1500" s="1212"/>
      <c r="E1500" s="1212"/>
      <c r="F1500" s="1208"/>
      <c r="G1500" s="1208"/>
      <c r="H1500" s="1208"/>
      <c r="I1500" s="1209"/>
      <c r="J1500" s="1209"/>
      <c r="K1500" s="1210">
        <f t="shared" si="250"/>
        <v>1.05</v>
      </c>
      <c r="L1500" s="1210">
        <f t="shared" si="247"/>
        <v>0</v>
      </c>
      <c r="M1500" s="1197">
        <f t="shared" si="248"/>
        <v>0</v>
      </c>
      <c r="N1500" s="1211">
        <f t="shared" si="249"/>
        <v>0</v>
      </c>
      <c r="O1500" s="1212"/>
      <c r="P1500" s="1200"/>
      <c r="Q1500" s="1200"/>
    </row>
    <row r="1501" spans="1:17" ht="15" thickTop="1" thickBot="1" x14ac:dyDescent="0.3">
      <c r="A1501" s="1207"/>
      <c r="B1501" s="1212"/>
      <c r="C1501" s="1212"/>
      <c r="D1501" s="1212"/>
      <c r="E1501" s="1212"/>
      <c r="F1501" s="1208"/>
      <c r="G1501" s="1208"/>
      <c r="H1501" s="1208"/>
      <c r="I1501" s="1209"/>
      <c r="J1501" s="1209"/>
      <c r="K1501" s="1210">
        <f t="shared" si="250"/>
        <v>1.05</v>
      </c>
      <c r="L1501" s="1210">
        <f t="shared" si="247"/>
        <v>0</v>
      </c>
      <c r="M1501" s="1197">
        <f t="shared" si="248"/>
        <v>0</v>
      </c>
      <c r="N1501" s="1211">
        <f t="shared" si="249"/>
        <v>0</v>
      </c>
      <c r="O1501" s="1212"/>
      <c r="P1501" s="1200"/>
      <c r="Q1501" s="1200"/>
    </row>
    <row r="1502" spans="1:17" ht="15" thickTop="1" thickBot="1" x14ac:dyDescent="0.3">
      <c r="A1502" s="1207"/>
      <c r="B1502" s="1212"/>
      <c r="C1502" s="1212"/>
      <c r="D1502" s="1212"/>
      <c r="E1502" s="1212"/>
      <c r="F1502" s="1208"/>
      <c r="G1502" s="1208"/>
      <c r="H1502" s="1208"/>
      <c r="I1502" s="1209"/>
      <c r="J1502" s="1209"/>
      <c r="K1502" s="1210">
        <f t="shared" si="250"/>
        <v>1.05</v>
      </c>
      <c r="L1502" s="1210">
        <f t="shared" si="247"/>
        <v>0</v>
      </c>
      <c r="M1502" s="1197">
        <f t="shared" si="248"/>
        <v>0</v>
      </c>
      <c r="N1502" s="1211">
        <f t="shared" si="249"/>
        <v>0</v>
      </c>
      <c r="O1502" s="1212"/>
      <c r="P1502" s="1200"/>
      <c r="Q1502" s="1200"/>
    </row>
    <row r="1503" spans="1:17" ht="15" thickTop="1" thickBot="1" x14ac:dyDescent="0.3">
      <c r="A1503" s="1207"/>
      <c r="B1503" s="1212"/>
      <c r="C1503" s="1212"/>
      <c r="D1503" s="1212"/>
      <c r="E1503" s="1212"/>
      <c r="F1503" s="1208"/>
      <c r="G1503" s="1208"/>
      <c r="H1503" s="1208"/>
      <c r="I1503" s="1209"/>
      <c r="J1503" s="1209"/>
      <c r="K1503" s="1210">
        <f t="shared" si="250"/>
        <v>1.05</v>
      </c>
      <c r="L1503" s="1210">
        <f t="shared" si="247"/>
        <v>0</v>
      </c>
      <c r="M1503" s="1197">
        <f t="shared" si="248"/>
        <v>0</v>
      </c>
      <c r="N1503" s="1211">
        <f t="shared" si="249"/>
        <v>0</v>
      </c>
      <c r="O1503" s="1212"/>
      <c r="P1503" s="1200"/>
      <c r="Q1503" s="1200"/>
    </row>
    <row r="1504" spans="1:17" ht="15" thickTop="1" thickBot="1" x14ac:dyDescent="0.3">
      <c r="A1504" s="1207"/>
      <c r="B1504" s="1212"/>
      <c r="C1504" s="1212"/>
      <c r="D1504" s="1212"/>
      <c r="E1504" s="1212"/>
      <c r="F1504" s="1208"/>
      <c r="G1504" s="1208"/>
      <c r="H1504" s="1208"/>
      <c r="I1504" s="1209"/>
      <c r="J1504" s="1209"/>
      <c r="K1504" s="1210">
        <f t="shared" si="250"/>
        <v>1.05</v>
      </c>
      <c r="L1504" s="1210">
        <f t="shared" si="247"/>
        <v>0</v>
      </c>
      <c r="M1504" s="1197">
        <f t="shared" si="248"/>
        <v>0</v>
      </c>
      <c r="N1504" s="1211">
        <f t="shared" si="249"/>
        <v>0</v>
      </c>
      <c r="O1504" s="1212"/>
      <c r="P1504" s="1200"/>
      <c r="Q1504" s="1200"/>
    </row>
    <row r="1505" spans="1:17" ht="15" thickTop="1" thickBot="1" x14ac:dyDescent="0.3">
      <c r="A1505" s="1207"/>
      <c r="B1505" s="1212"/>
      <c r="C1505" s="1212"/>
      <c r="D1505" s="1212"/>
      <c r="E1505" s="1212"/>
      <c r="F1505" s="1208"/>
      <c r="G1505" s="1208"/>
      <c r="H1505" s="1208"/>
      <c r="I1505" s="1209"/>
      <c r="J1505" s="1209"/>
      <c r="K1505" s="1210">
        <f t="shared" si="250"/>
        <v>1.05</v>
      </c>
      <c r="L1505" s="1210">
        <f t="shared" si="247"/>
        <v>0</v>
      </c>
      <c r="M1505" s="1197">
        <f t="shared" si="248"/>
        <v>0</v>
      </c>
      <c r="N1505" s="1211">
        <f t="shared" si="249"/>
        <v>0</v>
      </c>
      <c r="O1505" s="1212"/>
      <c r="P1505" s="1200"/>
      <c r="Q1505" s="1200"/>
    </row>
    <row r="1506" spans="1:17" ht="15" thickTop="1" thickBot="1" x14ac:dyDescent="0.3">
      <c r="A1506" s="1207"/>
      <c r="B1506" s="1212"/>
      <c r="C1506" s="1212"/>
      <c r="D1506" s="1212"/>
      <c r="E1506" s="1212"/>
      <c r="F1506" s="1208"/>
      <c r="G1506" s="1208"/>
      <c r="H1506" s="1208"/>
      <c r="I1506" s="1209"/>
      <c r="J1506" s="1209"/>
      <c r="K1506" s="1210">
        <f t="shared" si="250"/>
        <v>1.05</v>
      </c>
      <c r="L1506" s="1210">
        <f t="shared" si="247"/>
        <v>0</v>
      </c>
      <c r="M1506" s="1197">
        <f t="shared" si="248"/>
        <v>0</v>
      </c>
      <c r="N1506" s="1211">
        <f t="shared" si="249"/>
        <v>0</v>
      </c>
      <c r="O1506" s="1212"/>
      <c r="P1506" s="1200"/>
      <c r="Q1506" s="1200"/>
    </row>
    <row r="1507" spans="1:17" ht="15" thickTop="1" thickBot="1" x14ac:dyDescent="0.3">
      <c r="A1507" s="1207"/>
      <c r="B1507" s="1212"/>
      <c r="C1507" s="1212"/>
      <c r="D1507" s="1212"/>
      <c r="E1507" s="1212"/>
      <c r="F1507" s="1208"/>
      <c r="G1507" s="1208"/>
      <c r="H1507" s="1208"/>
      <c r="I1507" s="1209"/>
      <c r="J1507" s="1209"/>
      <c r="K1507" s="1210">
        <f t="shared" si="250"/>
        <v>1.05</v>
      </c>
      <c r="L1507" s="1210">
        <f t="shared" si="247"/>
        <v>0</v>
      </c>
      <c r="M1507" s="1197">
        <f t="shared" si="248"/>
        <v>0</v>
      </c>
      <c r="N1507" s="1211">
        <f t="shared" si="249"/>
        <v>0</v>
      </c>
      <c r="O1507" s="1212"/>
      <c r="P1507" s="1200"/>
      <c r="Q1507" s="1200"/>
    </row>
    <row r="1508" spans="1:17" ht="15" thickTop="1" thickBot="1" x14ac:dyDescent="0.3">
      <c r="A1508" s="1207"/>
      <c r="B1508" s="1212"/>
      <c r="C1508" s="1212"/>
      <c r="D1508" s="1212"/>
      <c r="E1508" s="1212"/>
      <c r="F1508" s="1208"/>
      <c r="G1508" s="1208"/>
      <c r="H1508" s="1208"/>
      <c r="I1508" s="1209"/>
      <c r="J1508" s="1209"/>
      <c r="K1508" s="1210">
        <f t="shared" si="250"/>
        <v>1.05</v>
      </c>
      <c r="L1508" s="1210">
        <f t="shared" si="247"/>
        <v>0</v>
      </c>
      <c r="M1508" s="1197">
        <f t="shared" si="248"/>
        <v>0</v>
      </c>
      <c r="N1508" s="1211">
        <f t="shared" si="249"/>
        <v>0</v>
      </c>
      <c r="O1508" s="1212"/>
      <c r="P1508" s="1200"/>
      <c r="Q1508" s="1200"/>
    </row>
    <row r="1509" spans="1:17" ht="15" thickTop="1" thickBot="1" x14ac:dyDescent="0.3">
      <c r="A1509" s="1207"/>
      <c r="B1509" s="1212"/>
      <c r="C1509" s="1212"/>
      <c r="D1509" s="1212"/>
      <c r="E1509" s="1212"/>
      <c r="F1509" s="1208"/>
      <c r="G1509" s="1208"/>
      <c r="H1509" s="1208"/>
      <c r="I1509" s="1209"/>
      <c r="J1509" s="1209"/>
      <c r="K1509" s="1210">
        <f t="shared" si="250"/>
        <v>1.05</v>
      </c>
      <c r="L1509" s="1210">
        <f t="shared" si="247"/>
        <v>0</v>
      </c>
      <c r="M1509" s="1197">
        <f t="shared" si="248"/>
        <v>0</v>
      </c>
      <c r="N1509" s="1211">
        <f t="shared" si="249"/>
        <v>0</v>
      </c>
      <c r="O1509" s="1212"/>
      <c r="P1509" s="1200"/>
      <c r="Q1509" s="1200"/>
    </row>
    <row r="1510" spans="1:17" ht="15" thickTop="1" thickBot="1" x14ac:dyDescent="0.3">
      <c r="A1510" s="1207"/>
      <c r="B1510" s="1212"/>
      <c r="C1510" s="1212"/>
      <c r="D1510" s="1212"/>
      <c r="E1510" s="1212"/>
      <c r="F1510" s="1208"/>
      <c r="G1510" s="1208"/>
      <c r="H1510" s="1208"/>
      <c r="I1510" s="1209"/>
      <c r="J1510" s="1209"/>
      <c r="K1510" s="1210">
        <f t="shared" si="250"/>
        <v>1.05</v>
      </c>
      <c r="L1510" s="1210">
        <f t="shared" si="247"/>
        <v>0</v>
      </c>
      <c r="M1510" s="1197">
        <f t="shared" si="248"/>
        <v>0</v>
      </c>
      <c r="N1510" s="1211">
        <f t="shared" si="249"/>
        <v>0</v>
      </c>
      <c r="O1510" s="1212"/>
      <c r="P1510" s="1200"/>
      <c r="Q1510" s="1200"/>
    </row>
    <row r="1511" spans="1:17" ht="15" thickTop="1" thickBot="1" x14ac:dyDescent="0.3">
      <c r="A1511" s="1207"/>
      <c r="B1511" s="1212"/>
      <c r="C1511" s="1212"/>
      <c r="D1511" s="1212"/>
      <c r="E1511" s="1212"/>
      <c r="F1511" s="1208"/>
      <c r="G1511" s="1208"/>
      <c r="H1511" s="1208"/>
      <c r="I1511" s="1209"/>
      <c r="J1511" s="1209"/>
      <c r="K1511" s="1210">
        <f t="shared" si="250"/>
        <v>1.05</v>
      </c>
      <c r="L1511" s="1210">
        <f t="shared" si="247"/>
        <v>0</v>
      </c>
      <c r="M1511" s="1197">
        <f t="shared" si="248"/>
        <v>0</v>
      </c>
      <c r="N1511" s="1211">
        <f t="shared" si="249"/>
        <v>0</v>
      </c>
      <c r="O1511" s="1212"/>
      <c r="P1511" s="1200"/>
      <c r="Q1511" s="1200"/>
    </row>
    <row r="1512" spans="1:17" ht="15" thickTop="1" thickBot="1" x14ac:dyDescent="0.3">
      <c r="A1512" s="1207"/>
      <c r="B1512" s="1212"/>
      <c r="C1512" s="1212"/>
      <c r="D1512" s="1212"/>
      <c r="E1512" s="1212"/>
      <c r="F1512" s="1208"/>
      <c r="G1512" s="1208"/>
      <c r="H1512" s="1208"/>
      <c r="I1512" s="1209"/>
      <c r="J1512" s="1209"/>
      <c r="K1512" s="1210">
        <f t="shared" si="250"/>
        <v>1.05</v>
      </c>
      <c r="L1512" s="1210">
        <f t="shared" si="247"/>
        <v>0</v>
      </c>
      <c r="M1512" s="1197">
        <f t="shared" si="248"/>
        <v>0</v>
      </c>
      <c r="N1512" s="1211">
        <f t="shared" si="249"/>
        <v>0</v>
      </c>
      <c r="O1512" s="1212"/>
      <c r="P1512" s="1200"/>
      <c r="Q1512" s="1200"/>
    </row>
    <row r="1513" spans="1:17" ht="15" thickTop="1" thickBot="1" x14ac:dyDescent="0.3">
      <c r="A1513" s="1207"/>
      <c r="B1513" s="1212"/>
      <c r="C1513" s="1212"/>
      <c r="D1513" s="1212"/>
      <c r="E1513" s="1212"/>
      <c r="F1513" s="1208"/>
      <c r="G1513" s="1208"/>
      <c r="H1513" s="1208"/>
      <c r="I1513" s="1209"/>
      <c r="J1513" s="1209"/>
      <c r="K1513" s="1210">
        <f t="shared" si="250"/>
        <v>1.05</v>
      </c>
      <c r="L1513" s="1210">
        <f t="shared" si="247"/>
        <v>0</v>
      </c>
      <c r="M1513" s="1197">
        <f t="shared" si="248"/>
        <v>0</v>
      </c>
      <c r="N1513" s="1211">
        <f t="shared" si="249"/>
        <v>0</v>
      </c>
      <c r="O1513" s="1212"/>
      <c r="P1513" s="1200"/>
      <c r="Q1513" s="1200"/>
    </row>
    <row r="1514" spans="1:17" ht="15" thickTop="1" thickBot="1" x14ac:dyDescent="0.3">
      <c r="A1514" s="1207"/>
      <c r="B1514" s="1212"/>
      <c r="C1514" s="1212"/>
      <c r="D1514" s="1212"/>
      <c r="E1514" s="1212"/>
      <c r="F1514" s="1208"/>
      <c r="G1514" s="1208"/>
      <c r="H1514" s="1208"/>
      <c r="I1514" s="1209"/>
      <c r="J1514" s="1209"/>
      <c r="K1514" s="1210">
        <f t="shared" si="250"/>
        <v>1.05</v>
      </c>
      <c r="L1514" s="1210">
        <f t="shared" ref="L1514:L1577" si="251">K1514*J1514</f>
        <v>0</v>
      </c>
      <c r="M1514" s="1197">
        <f t="shared" ref="M1514:M1577" si="252">ROUND(L1514,1)</f>
        <v>0</v>
      </c>
      <c r="N1514" s="1211">
        <f t="shared" ref="N1514:N1577" si="253">ROUNDUP(M1514,0)</f>
        <v>0</v>
      </c>
      <c r="O1514" s="1212"/>
      <c r="P1514" s="1200"/>
      <c r="Q1514" s="1200"/>
    </row>
    <row r="1515" spans="1:17" ht="15" thickTop="1" thickBot="1" x14ac:dyDescent="0.3">
      <c r="A1515" s="1207"/>
      <c r="B1515" s="1212"/>
      <c r="C1515" s="1212"/>
      <c r="D1515" s="1212"/>
      <c r="E1515" s="1212"/>
      <c r="F1515" s="1208"/>
      <c r="G1515" s="1208"/>
      <c r="H1515" s="1208"/>
      <c r="I1515" s="1209"/>
      <c r="J1515" s="1209"/>
      <c r="K1515" s="1210">
        <f t="shared" si="250"/>
        <v>1.05</v>
      </c>
      <c r="L1515" s="1210">
        <f t="shared" si="251"/>
        <v>0</v>
      </c>
      <c r="M1515" s="1197">
        <f t="shared" si="252"/>
        <v>0</v>
      </c>
      <c r="N1515" s="1211">
        <f t="shared" si="253"/>
        <v>0</v>
      </c>
      <c r="O1515" s="1212"/>
      <c r="P1515" s="1200"/>
      <c r="Q1515" s="1200"/>
    </row>
    <row r="1516" spans="1:17" ht="15" thickTop="1" thickBot="1" x14ac:dyDescent="0.3">
      <c r="A1516" s="1207"/>
      <c r="B1516" s="1212"/>
      <c r="C1516" s="1212"/>
      <c r="D1516" s="1212"/>
      <c r="E1516" s="1212"/>
      <c r="F1516" s="1208"/>
      <c r="G1516" s="1208"/>
      <c r="H1516" s="1208"/>
      <c r="I1516" s="1209"/>
      <c r="J1516" s="1209"/>
      <c r="K1516" s="1210">
        <f t="shared" si="250"/>
        <v>1.05</v>
      </c>
      <c r="L1516" s="1210">
        <f t="shared" si="251"/>
        <v>0</v>
      </c>
      <c r="M1516" s="1197">
        <f t="shared" si="252"/>
        <v>0</v>
      </c>
      <c r="N1516" s="1211">
        <f t="shared" si="253"/>
        <v>0</v>
      </c>
      <c r="O1516" s="1212"/>
      <c r="P1516" s="1200"/>
      <c r="Q1516" s="1200"/>
    </row>
    <row r="1517" spans="1:17" ht="15" thickTop="1" thickBot="1" x14ac:dyDescent="0.3">
      <c r="A1517" s="1207"/>
      <c r="B1517" s="1212"/>
      <c r="C1517" s="1212"/>
      <c r="D1517" s="1212"/>
      <c r="E1517" s="1212"/>
      <c r="F1517" s="1208"/>
      <c r="G1517" s="1208"/>
      <c r="H1517" s="1208"/>
      <c r="I1517" s="1209"/>
      <c r="J1517" s="1209"/>
      <c r="K1517" s="1210">
        <f t="shared" si="250"/>
        <v>1.05</v>
      </c>
      <c r="L1517" s="1210">
        <f t="shared" si="251"/>
        <v>0</v>
      </c>
      <c r="M1517" s="1197">
        <f t="shared" si="252"/>
        <v>0</v>
      </c>
      <c r="N1517" s="1211">
        <f t="shared" si="253"/>
        <v>0</v>
      </c>
      <c r="O1517" s="1212"/>
      <c r="P1517" s="1200"/>
      <c r="Q1517" s="1200"/>
    </row>
    <row r="1518" spans="1:17" ht="15" thickTop="1" thickBot="1" x14ac:dyDescent="0.3">
      <c r="A1518" s="1207"/>
      <c r="B1518" s="1212"/>
      <c r="C1518" s="1212"/>
      <c r="D1518" s="1212"/>
      <c r="E1518" s="1212"/>
      <c r="F1518" s="1208"/>
      <c r="G1518" s="1208"/>
      <c r="H1518" s="1208"/>
      <c r="I1518" s="1209"/>
      <c r="J1518" s="1209"/>
      <c r="K1518" s="1210">
        <f t="shared" si="250"/>
        <v>1.05</v>
      </c>
      <c r="L1518" s="1210">
        <f t="shared" si="251"/>
        <v>0</v>
      </c>
      <c r="M1518" s="1197">
        <f t="shared" si="252"/>
        <v>0</v>
      </c>
      <c r="N1518" s="1211">
        <f t="shared" si="253"/>
        <v>0</v>
      </c>
      <c r="O1518" s="1212"/>
      <c r="P1518" s="1200"/>
      <c r="Q1518" s="1200"/>
    </row>
    <row r="1519" spans="1:17" ht="15" thickTop="1" thickBot="1" x14ac:dyDescent="0.3">
      <c r="A1519" s="1207"/>
      <c r="B1519" s="1212"/>
      <c r="C1519" s="1212"/>
      <c r="D1519" s="1212"/>
      <c r="E1519" s="1212"/>
      <c r="F1519" s="1208"/>
      <c r="G1519" s="1208"/>
      <c r="H1519" s="1208"/>
      <c r="I1519" s="1209"/>
      <c r="J1519" s="1209"/>
      <c r="K1519" s="1210">
        <f t="shared" si="250"/>
        <v>1.05</v>
      </c>
      <c r="L1519" s="1210">
        <f t="shared" si="251"/>
        <v>0</v>
      </c>
      <c r="M1519" s="1197">
        <f t="shared" si="252"/>
        <v>0</v>
      </c>
      <c r="N1519" s="1211">
        <f t="shared" si="253"/>
        <v>0</v>
      </c>
      <c r="O1519" s="1212"/>
      <c r="P1519" s="1200"/>
      <c r="Q1519" s="1200"/>
    </row>
    <row r="1520" spans="1:17" ht="15" thickTop="1" thickBot="1" x14ac:dyDescent="0.3">
      <c r="A1520" s="1207"/>
      <c r="B1520" s="1212"/>
      <c r="C1520" s="1212"/>
      <c r="D1520" s="1212"/>
      <c r="E1520" s="1212"/>
      <c r="F1520" s="1208"/>
      <c r="G1520" s="1208"/>
      <c r="H1520" s="1208"/>
      <c r="I1520" s="1209"/>
      <c r="J1520" s="1209"/>
      <c r="K1520" s="1210">
        <f t="shared" si="250"/>
        <v>1.05</v>
      </c>
      <c r="L1520" s="1210">
        <f t="shared" si="251"/>
        <v>0</v>
      </c>
      <c r="M1520" s="1197">
        <f t="shared" si="252"/>
        <v>0</v>
      </c>
      <c r="N1520" s="1211">
        <f t="shared" si="253"/>
        <v>0</v>
      </c>
      <c r="O1520" s="1212"/>
      <c r="P1520" s="1200"/>
      <c r="Q1520" s="1200"/>
    </row>
    <row r="1521" spans="1:17" ht="15" thickTop="1" thickBot="1" x14ac:dyDescent="0.3">
      <c r="A1521" s="1207"/>
      <c r="B1521" s="1212"/>
      <c r="C1521" s="1212"/>
      <c r="D1521" s="1212"/>
      <c r="E1521" s="1212"/>
      <c r="F1521" s="1208"/>
      <c r="G1521" s="1208"/>
      <c r="H1521" s="1208"/>
      <c r="I1521" s="1209"/>
      <c r="J1521" s="1209"/>
      <c r="K1521" s="1210">
        <f t="shared" si="250"/>
        <v>1.05</v>
      </c>
      <c r="L1521" s="1210">
        <f t="shared" si="251"/>
        <v>0</v>
      </c>
      <c r="M1521" s="1197">
        <f t="shared" si="252"/>
        <v>0</v>
      </c>
      <c r="N1521" s="1211">
        <f t="shared" si="253"/>
        <v>0</v>
      </c>
      <c r="O1521" s="1212"/>
      <c r="P1521" s="1200"/>
      <c r="Q1521" s="1200"/>
    </row>
    <row r="1522" spans="1:17" ht="15" thickTop="1" thickBot="1" x14ac:dyDescent="0.3">
      <c r="A1522" s="1207"/>
      <c r="B1522" s="1212"/>
      <c r="C1522" s="1212"/>
      <c r="D1522" s="1212"/>
      <c r="E1522" s="1212"/>
      <c r="F1522" s="1208"/>
      <c r="G1522" s="1208"/>
      <c r="H1522" s="1208"/>
      <c r="I1522" s="1209"/>
      <c r="J1522" s="1209"/>
      <c r="K1522" s="1210">
        <f t="shared" si="250"/>
        <v>1.05</v>
      </c>
      <c r="L1522" s="1210">
        <f t="shared" si="251"/>
        <v>0</v>
      </c>
      <c r="M1522" s="1197">
        <f t="shared" si="252"/>
        <v>0</v>
      </c>
      <c r="N1522" s="1211">
        <f t="shared" si="253"/>
        <v>0</v>
      </c>
      <c r="O1522" s="1212"/>
      <c r="P1522" s="1200"/>
      <c r="Q1522" s="1200"/>
    </row>
    <row r="1523" spans="1:17" ht="15" thickTop="1" thickBot="1" x14ac:dyDescent="0.3">
      <c r="A1523" s="1207"/>
      <c r="B1523" s="1212"/>
      <c r="C1523" s="1212"/>
      <c r="D1523" s="1212"/>
      <c r="E1523" s="1212"/>
      <c r="F1523" s="1208"/>
      <c r="G1523" s="1208"/>
      <c r="H1523" s="1208"/>
      <c r="I1523" s="1209"/>
      <c r="J1523" s="1209"/>
      <c r="K1523" s="1210">
        <f t="shared" si="250"/>
        <v>1.05</v>
      </c>
      <c r="L1523" s="1210">
        <f t="shared" si="251"/>
        <v>0</v>
      </c>
      <c r="M1523" s="1197">
        <f t="shared" si="252"/>
        <v>0</v>
      </c>
      <c r="N1523" s="1211">
        <f t="shared" si="253"/>
        <v>0</v>
      </c>
      <c r="O1523" s="1212"/>
      <c r="P1523" s="1200"/>
      <c r="Q1523" s="1200"/>
    </row>
    <row r="1524" spans="1:17" ht="15" thickTop="1" thickBot="1" x14ac:dyDescent="0.3">
      <c r="A1524" s="1207"/>
      <c r="B1524" s="1212"/>
      <c r="C1524" s="1212"/>
      <c r="D1524" s="1212"/>
      <c r="E1524" s="1212"/>
      <c r="F1524" s="1208"/>
      <c r="G1524" s="1208"/>
      <c r="H1524" s="1208"/>
      <c r="I1524" s="1209"/>
      <c r="J1524" s="1209"/>
      <c r="K1524" s="1210">
        <f t="shared" si="250"/>
        <v>1.05</v>
      </c>
      <c r="L1524" s="1210">
        <f t="shared" si="251"/>
        <v>0</v>
      </c>
      <c r="M1524" s="1197">
        <f t="shared" si="252"/>
        <v>0</v>
      </c>
      <c r="N1524" s="1211">
        <f t="shared" si="253"/>
        <v>0</v>
      </c>
      <c r="O1524" s="1212"/>
      <c r="P1524" s="1200"/>
      <c r="Q1524" s="1200"/>
    </row>
    <row r="1525" spans="1:17" ht="15" thickTop="1" thickBot="1" x14ac:dyDescent="0.3">
      <c r="A1525" s="1207"/>
      <c r="B1525" s="1212"/>
      <c r="C1525" s="1212"/>
      <c r="D1525" s="1212"/>
      <c r="E1525" s="1212"/>
      <c r="F1525" s="1208"/>
      <c r="G1525" s="1208"/>
      <c r="H1525" s="1208"/>
      <c r="I1525" s="1209"/>
      <c r="J1525" s="1209"/>
      <c r="K1525" s="1210">
        <f t="shared" si="250"/>
        <v>1.05</v>
      </c>
      <c r="L1525" s="1210">
        <f t="shared" si="251"/>
        <v>0</v>
      </c>
      <c r="M1525" s="1197">
        <f t="shared" si="252"/>
        <v>0</v>
      </c>
      <c r="N1525" s="1211">
        <f t="shared" si="253"/>
        <v>0</v>
      </c>
      <c r="O1525" s="1212"/>
      <c r="P1525" s="1200"/>
      <c r="Q1525" s="1200"/>
    </row>
    <row r="1526" spans="1:17" ht="15" thickTop="1" thickBot="1" x14ac:dyDescent="0.3">
      <c r="A1526" s="1207"/>
      <c r="B1526" s="1212"/>
      <c r="C1526" s="1212"/>
      <c r="D1526" s="1212"/>
      <c r="E1526" s="1212"/>
      <c r="F1526" s="1208"/>
      <c r="G1526" s="1208"/>
      <c r="H1526" s="1208"/>
      <c r="I1526" s="1209"/>
      <c r="J1526" s="1209"/>
      <c r="K1526" s="1210">
        <f t="shared" si="250"/>
        <v>1.05</v>
      </c>
      <c r="L1526" s="1210">
        <f t="shared" si="251"/>
        <v>0</v>
      </c>
      <c r="M1526" s="1197">
        <f t="shared" si="252"/>
        <v>0</v>
      </c>
      <c r="N1526" s="1211">
        <f t="shared" si="253"/>
        <v>0</v>
      </c>
      <c r="O1526" s="1212"/>
      <c r="P1526" s="1200"/>
      <c r="Q1526" s="1200"/>
    </row>
    <row r="1527" spans="1:17" ht="15" thickTop="1" thickBot="1" x14ac:dyDescent="0.3">
      <c r="A1527" s="1207"/>
      <c r="B1527" s="1212"/>
      <c r="C1527" s="1212"/>
      <c r="D1527" s="1212"/>
      <c r="E1527" s="1212"/>
      <c r="F1527" s="1208"/>
      <c r="G1527" s="1208"/>
      <c r="H1527" s="1208"/>
      <c r="I1527" s="1209"/>
      <c r="J1527" s="1209"/>
      <c r="K1527" s="1210">
        <f t="shared" si="250"/>
        <v>1.05</v>
      </c>
      <c r="L1527" s="1210">
        <f t="shared" si="251"/>
        <v>0</v>
      </c>
      <c r="M1527" s="1197">
        <f t="shared" si="252"/>
        <v>0</v>
      </c>
      <c r="N1527" s="1211">
        <f t="shared" si="253"/>
        <v>0</v>
      </c>
      <c r="O1527" s="1212"/>
      <c r="P1527" s="1200"/>
      <c r="Q1527" s="1200"/>
    </row>
    <row r="1528" spans="1:17" ht="15" thickTop="1" thickBot="1" x14ac:dyDescent="0.3">
      <c r="A1528" s="1207"/>
      <c r="B1528" s="1212"/>
      <c r="C1528" s="1212"/>
      <c r="D1528" s="1212"/>
      <c r="E1528" s="1212"/>
      <c r="F1528" s="1208"/>
      <c r="G1528" s="1208"/>
      <c r="H1528" s="1208"/>
      <c r="I1528" s="1209"/>
      <c r="J1528" s="1209"/>
      <c r="K1528" s="1210">
        <f t="shared" si="250"/>
        <v>1.05</v>
      </c>
      <c r="L1528" s="1210">
        <f t="shared" si="251"/>
        <v>0</v>
      </c>
      <c r="M1528" s="1197">
        <f t="shared" si="252"/>
        <v>0</v>
      </c>
      <c r="N1528" s="1211">
        <f t="shared" si="253"/>
        <v>0</v>
      </c>
      <c r="O1528" s="1212"/>
      <c r="P1528" s="1200"/>
      <c r="Q1528" s="1200"/>
    </row>
    <row r="1529" spans="1:17" ht="15" thickTop="1" thickBot="1" x14ac:dyDescent="0.3">
      <c r="A1529" s="1207"/>
      <c r="B1529" s="1212"/>
      <c r="C1529" s="1212"/>
      <c r="D1529" s="1212"/>
      <c r="E1529" s="1212"/>
      <c r="F1529" s="1208"/>
      <c r="G1529" s="1208"/>
      <c r="H1529" s="1208"/>
      <c r="I1529" s="1209"/>
      <c r="J1529" s="1209"/>
      <c r="K1529" s="1210">
        <f t="shared" si="250"/>
        <v>1.05</v>
      </c>
      <c r="L1529" s="1210">
        <f t="shared" si="251"/>
        <v>0</v>
      </c>
      <c r="M1529" s="1197">
        <f t="shared" si="252"/>
        <v>0</v>
      </c>
      <c r="N1529" s="1211">
        <f t="shared" si="253"/>
        <v>0</v>
      </c>
      <c r="O1529" s="1212"/>
      <c r="P1529" s="1200"/>
      <c r="Q1529" s="1200"/>
    </row>
    <row r="1530" spans="1:17" ht="15" thickTop="1" thickBot="1" x14ac:dyDescent="0.3">
      <c r="A1530" s="1207"/>
      <c r="B1530" s="1212"/>
      <c r="C1530" s="1212"/>
      <c r="D1530" s="1212"/>
      <c r="E1530" s="1212"/>
      <c r="F1530" s="1208"/>
      <c r="G1530" s="1208"/>
      <c r="H1530" s="1208"/>
      <c r="I1530" s="1209"/>
      <c r="J1530" s="1209"/>
      <c r="K1530" s="1210">
        <f t="shared" si="250"/>
        <v>1.05</v>
      </c>
      <c r="L1530" s="1210">
        <f t="shared" si="251"/>
        <v>0</v>
      </c>
      <c r="M1530" s="1197">
        <f t="shared" si="252"/>
        <v>0</v>
      </c>
      <c r="N1530" s="1211">
        <f t="shared" si="253"/>
        <v>0</v>
      </c>
      <c r="O1530" s="1212"/>
      <c r="P1530" s="1200"/>
      <c r="Q1530" s="1200"/>
    </row>
    <row r="1531" spans="1:17" ht="15" thickTop="1" thickBot="1" x14ac:dyDescent="0.3">
      <c r="A1531" s="1207"/>
      <c r="B1531" s="1212"/>
      <c r="C1531" s="1212"/>
      <c r="D1531" s="1212"/>
      <c r="E1531" s="1212"/>
      <c r="F1531" s="1208"/>
      <c r="G1531" s="1208"/>
      <c r="H1531" s="1208"/>
      <c r="I1531" s="1209"/>
      <c r="J1531" s="1209"/>
      <c r="K1531" s="1210">
        <f t="shared" si="250"/>
        <v>1.05</v>
      </c>
      <c r="L1531" s="1210">
        <f t="shared" si="251"/>
        <v>0</v>
      </c>
      <c r="M1531" s="1197">
        <f t="shared" si="252"/>
        <v>0</v>
      </c>
      <c r="N1531" s="1211">
        <f t="shared" si="253"/>
        <v>0</v>
      </c>
      <c r="O1531" s="1212"/>
      <c r="P1531" s="1200"/>
      <c r="Q1531" s="1200"/>
    </row>
    <row r="1532" spans="1:17" ht="15" thickTop="1" thickBot="1" x14ac:dyDescent="0.3">
      <c r="A1532" s="1207"/>
      <c r="B1532" s="1212"/>
      <c r="C1532" s="1212"/>
      <c r="D1532" s="1212"/>
      <c r="E1532" s="1212"/>
      <c r="F1532" s="1208"/>
      <c r="G1532" s="1208"/>
      <c r="H1532" s="1208"/>
      <c r="I1532" s="1209"/>
      <c r="J1532" s="1209"/>
      <c r="K1532" s="1210">
        <f t="shared" si="250"/>
        <v>1.05</v>
      </c>
      <c r="L1532" s="1210">
        <f t="shared" si="251"/>
        <v>0</v>
      </c>
      <c r="M1532" s="1197">
        <f t="shared" si="252"/>
        <v>0</v>
      </c>
      <c r="N1532" s="1211">
        <f t="shared" si="253"/>
        <v>0</v>
      </c>
      <c r="O1532" s="1212"/>
      <c r="P1532" s="1200"/>
      <c r="Q1532" s="1200"/>
    </row>
    <row r="1533" spans="1:17" ht="15" thickTop="1" thickBot="1" x14ac:dyDescent="0.3">
      <c r="A1533" s="1207"/>
      <c r="B1533" s="1212"/>
      <c r="C1533" s="1212"/>
      <c r="D1533" s="1212"/>
      <c r="E1533" s="1212"/>
      <c r="F1533" s="1208"/>
      <c r="G1533" s="1208"/>
      <c r="H1533" s="1208"/>
      <c r="I1533" s="1209"/>
      <c r="J1533" s="1209"/>
      <c r="K1533" s="1210">
        <f t="shared" si="250"/>
        <v>1.05</v>
      </c>
      <c r="L1533" s="1210">
        <f t="shared" si="251"/>
        <v>0</v>
      </c>
      <c r="M1533" s="1197">
        <f t="shared" si="252"/>
        <v>0</v>
      </c>
      <c r="N1533" s="1211">
        <f t="shared" si="253"/>
        <v>0</v>
      </c>
      <c r="O1533" s="1212"/>
      <c r="P1533" s="1200"/>
      <c r="Q1533" s="1200"/>
    </row>
    <row r="1534" spans="1:17" ht="15" thickTop="1" thickBot="1" x14ac:dyDescent="0.3">
      <c r="A1534" s="1207"/>
      <c r="B1534" s="1212"/>
      <c r="C1534" s="1212"/>
      <c r="D1534" s="1212"/>
      <c r="E1534" s="1212"/>
      <c r="F1534" s="1208"/>
      <c r="G1534" s="1208"/>
      <c r="H1534" s="1208"/>
      <c r="I1534" s="1209"/>
      <c r="J1534" s="1209"/>
      <c r="K1534" s="1210">
        <f t="shared" si="250"/>
        <v>1.05</v>
      </c>
      <c r="L1534" s="1210">
        <f t="shared" si="251"/>
        <v>0</v>
      </c>
      <c r="M1534" s="1197">
        <f t="shared" si="252"/>
        <v>0</v>
      </c>
      <c r="N1534" s="1211">
        <f t="shared" si="253"/>
        <v>0</v>
      </c>
      <c r="O1534" s="1212"/>
      <c r="P1534" s="1200"/>
      <c r="Q1534" s="1200"/>
    </row>
    <row r="1535" spans="1:17" ht="15" thickTop="1" thickBot="1" x14ac:dyDescent="0.3">
      <c r="A1535" s="1207"/>
      <c r="B1535" s="1212"/>
      <c r="C1535" s="1212"/>
      <c r="D1535" s="1212"/>
      <c r="E1535" s="1212"/>
      <c r="F1535" s="1208"/>
      <c r="G1535" s="1208"/>
      <c r="H1535" s="1208"/>
      <c r="I1535" s="1209"/>
      <c r="J1535" s="1209"/>
      <c r="K1535" s="1210">
        <f t="shared" si="250"/>
        <v>1.05</v>
      </c>
      <c r="L1535" s="1210">
        <f t="shared" si="251"/>
        <v>0</v>
      </c>
      <c r="M1535" s="1197">
        <f t="shared" si="252"/>
        <v>0</v>
      </c>
      <c r="N1535" s="1211">
        <f t="shared" si="253"/>
        <v>0</v>
      </c>
      <c r="O1535" s="1212"/>
      <c r="P1535" s="1200"/>
      <c r="Q1535" s="1200"/>
    </row>
    <row r="1536" spans="1:17" ht="15" thickTop="1" thickBot="1" x14ac:dyDescent="0.3">
      <c r="A1536" s="1207"/>
      <c r="B1536" s="1212"/>
      <c r="C1536" s="1212"/>
      <c r="D1536" s="1212"/>
      <c r="E1536" s="1212"/>
      <c r="F1536" s="1208"/>
      <c r="G1536" s="1208"/>
      <c r="H1536" s="1208"/>
      <c r="I1536" s="1209"/>
      <c r="J1536" s="1209"/>
      <c r="K1536" s="1210">
        <f t="shared" si="250"/>
        <v>1.05</v>
      </c>
      <c r="L1536" s="1210">
        <f t="shared" si="251"/>
        <v>0</v>
      </c>
      <c r="M1536" s="1197">
        <f t="shared" si="252"/>
        <v>0</v>
      </c>
      <c r="N1536" s="1211">
        <f t="shared" si="253"/>
        <v>0</v>
      </c>
      <c r="O1536" s="1212"/>
      <c r="P1536" s="1200"/>
      <c r="Q1536" s="1200"/>
    </row>
    <row r="1537" spans="1:17" ht="15" thickTop="1" thickBot="1" x14ac:dyDescent="0.3">
      <c r="A1537" s="1207"/>
      <c r="B1537" s="1212"/>
      <c r="C1537" s="1212"/>
      <c r="D1537" s="1212"/>
      <c r="E1537" s="1212"/>
      <c r="F1537" s="1208"/>
      <c r="G1537" s="1208"/>
      <c r="H1537" s="1208"/>
      <c r="I1537" s="1209"/>
      <c r="J1537" s="1209"/>
      <c r="K1537" s="1210">
        <f t="shared" si="250"/>
        <v>1.05</v>
      </c>
      <c r="L1537" s="1210">
        <f t="shared" si="251"/>
        <v>0</v>
      </c>
      <c r="M1537" s="1197">
        <f t="shared" si="252"/>
        <v>0</v>
      </c>
      <c r="N1537" s="1211">
        <f t="shared" si="253"/>
        <v>0</v>
      </c>
      <c r="O1537" s="1212"/>
      <c r="P1537" s="1200"/>
      <c r="Q1537" s="1200">
        <f>SUM(E1528:E1539)</f>
        <v>0</v>
      </c>
    </row>
    <row r="1538" spans="1:17" ht="15" thickTop="1" thickBot="1" x14ac:dyDescent="0.3">
      <c r="A1538" s="1207"/>
      <c r="B1538" s="1212"/>
      <c r="C1538" s="1212"/>
      <c r="D1538" s="1212"/>
      <c r="E1538" s="1212"/>
      <c r="F1538" s="1208"/>
      <c r="G1538" s="1208"/>
      <c r="H1538" s="1208"/>
      <c r="I1538" s="1209"/>
      <c r="J1538" s="1209"/>
      <c r="K1538" s="1210">
        <f t="shared" si="250"/>
        <v>1.05</v>
      </c>
      <c r="L1538" s="1210">
        <f t="shared" si="251"/>
        <v>0</v>
      </c>
      <c r="M1538" s="1197">
        <f t="shared" si="252"/>
        <v>0</v>
      </c>
      <c r="N1538" s="1211">
        <f t="shared" si="253"/>
        <v>0</v>
      </c>
      <c r="O1538" s="1212"/>
      <c r="P1538" s="1200"/>
      <c r="Q1538" s="1200"/>
    </row>
    <row r="1539" spans="1:17" ht="15" thickTop="1" thickBot="1" x14ac:dyDescent="0.3">
      <c r="A1539" s="1207"/>
      <c r="B1539" s="1212"/>
      <c r="C1539" s="1212"/>
      <c r="D1539" s="1212"/>
      <c r="E1539" s="1212"/>
      <c r="F1539" s="1208"/>
      <c r="G1539" s="1208"/>
      <c r="H1539" s="1208"/>
      <c r="I1539" s="1209"/>
      <c r="J1539" s="1209"/>
      <c r="K1539" s="1210">
        <f t="shared" si="250"/>
        <v>1.05</v>
      </c>
      <c r="L1539" s="1210">
        <f t="shared" si="251"/>
        <v>0</v>
      </c>
      <c r="M1539" s="1197">
        <f t="shared" si="252"/>
        <v>0</v>
      </c>
      <c r="N1539" s="1211">
        <f t="shared" si="253"/>
        <v>0</v>
      </c>
      <c r="O1539" s="1212"/>
      <c r="P1539" s="1200"/>
      <c r="Q1539" s="1200"/>
    </row>
    <row r="1540" spans="1:17" ht="15" thickTop="1" thickBot="1" x14ac:dyDescent="0.3">
      <c r="A1540" s="1207"/>
      <c r="B1540" s="1212"/>
      <c r="C1540" s="1212"/>
      <c r="D1540" s="1212"/>
      <c r="E1540" s="1212"/>
      <c r="F1540" s="1208"/>
      <c r="G1540" s="1208"/>
      <c r="H1540" s="1208"/>
      <c r="I1540" s="1209"/>
      <c r="J1540" s="1209"/>
      <c r="K1540" s="1210">
        <f t="shared" si="250"/>
        <v>1.05</v>
      </c>
      <c r="L1540" s="1210">
        <f t="shared" si="251"/>
        <v>0</v>
      </c>
      <c r="M1540" s="1197">
        <f t="shared" si="252"/>
        <v>0</v>
      </c>
      <c r="N1540" s="1211">
        <f t="shared" si="253"/>
        <v>0</v>
      </c>
      <c r="O1540" s="1212"/>
      <c r="P1540" s="1200"/>
      <c r="Q1540" s="1200"/>
    </row>
    <row r="1541" spans="1:17" ht="15" thickTop="1" thickBot="1" x14ac:dyDescent="0.3">
      <c r="A1541" s="1207"/>
      <c r="B1541" s="1212"/>
      <c r="C1541" s="1212"/>
      <c r="D1541" s="1212"/>
      <c r="E1541" s="1212"/>
      <c r="F1541" s="1208"/>
      <c r="G1541" s="1208"/>
      <c r="H1541" s="1208"/>
      <c r="I1541" s="1209"/>
      <c r="J1541" s="1209"/>
      <c r="K1541" s="1210">
        <f t="shared" si="250"/>
        <v>1.05</v>
      </c>
      <c r="L1541" s="1210">
        <f t="shared" si="251"/>
        <v>0</v>
      </c>
      <c r="M1541" s="1197">
        <f t="shared" si="252"/>
        <v>0</v>
      </c>
      <c r="N1541" s="1211">
        <f t="shared" si="253"/>
        <v>0</v>
      </c>
      <c r="O1541" s="1212"/>
      <c r="P1541" s="1200"/>
      <c r="Q1541" s="1200"/>
    </row>
    <row r="1542" spans="1:17" ht="15" thickTop="1" thickBot="1" x14ac:dyDescent="0.3">
      <c r="A1542" s="1207"/>
      <c r="B1542" s="1212"/>
      <c r="C1542" s="1212"/>
      <c r="D1542" s="1212"/>
      <c r="E1542" s="1212"/>
      <c r="F1542" s="1208"/>
      <c r="G1542" s="1208"/>
      <c r="H1542" s="1208"/>
      <c r="I1542" s="1209"/>
      <c r="J1542" s="1209"/>
      <c r="K1542" s="1210">
        <f t="shared" si="250"/>
        <v>1.05</v>
      </c>
      <c r="L1542" s="1210">
        <f t="shared" si="251"/>
        <v>0</v>
      </c>
      <c r="M1542" s="1197">
        <f t="shared" si="252"/>
        <v>0</v>
      </c>
      <c r="N1542" s="1211">
        <f t="shared" si="253"/>
        <v>0</v>
      </c>
      <c r="O1542" s="1212"/>
      <c r="P1542" s="1200"/>
      <c r="Q1542" s="1200"/>
    </row>
    <row r="1543" spans="1:17" ht="15" thickTop="1" thickBot="1" x14ac:dyDescent="0.3">
      <c r="A1543" s="1207"/>
      <c r="B1543" s="1212"/>
      <c r="C1543" s="1212"/>
      <c r="D1543" s="1212"/>
      <c r="E1543" s="1212"/>
      <c r="F1543" s="1208"/>
      <c r="G1543" s="1208"/>
      <c r="H1543" s="1208"/>
      <c r="I1543" s="1209"/>
      <c r="J1543" s="1209"/>
      <c r="K1543" s="1210">
        <f t="shared" si="250"/>
        <v>1.05</v>
      </c>
      <c r="L1543" s="1210">
        <f t="shared" si="251"/>
        <v>0</v>
      </c>
      <c r="M1543" s="1197">
        <f t="shared" si="252"/>
        <v>0</v>
      </c>
      <c r="N1543" s="1211">
        <f t="shared" si="253"/>
        <v>0</v>
      </c>
      <c r="O1543" s="1212"/>
      <c r="P1543" s="1200"/>
      <c r="Q1543" s="1200"/>
    </row>
    <row r="1544" spans="1:17" ht="15" thickTop="1" thickBot="1" x14ac:dyDescent="0.3">
      <c r="A1544" s="1207"/>
      <c r="B1544" s="1212"/>
      <c r="C1544" s="1212"/>
      <c r="D1544" s="1212"/>
      <c r="E1544" s="1212"/>
      <c r="F1544" s="1208"/>
      <c r="G1544" s="1208"/>
      <c r="H1544" s="1208"/>
      <c r="I1544" s="1209"/>
      <c r="J1544" s="1209"/>
      <c r="K1544" s="1210">
        <f t="shared" si="250"/>
        <v>1.05</v>
      </c>
      <c r="L1544" s="1210">
        <f t="shared" si="251"/>
        <v>0</v>
      </c>
      <c r="M1544" s="1197">
        <f t="shared" si="252"/>
        <v>0</v>
      </c>
      <c r="N1544" s="1211">
        <f t="shared" si="253"/>
        <v>0</v>
      </c>
      <c r="O1544" s="1212"/>
      <c r="P1544" s="1200"/>
      <c r="Q1544" s="1200"/>
    </row>
    <row r="1545" spans="1:17" ht="15" thickTop="1" thickBot="1" x14ac:dyDescent="0.3">
      <c r="A1545" s="1207"/>
      <c r="B1545" s="1212"/>
      <c r="C1545" s="1212"/>
      <c r="D1545" s="1212"/>
      <c r="E1545" s="1212"/>
      <c r="F1545" s="1208"/>
      <c r="G1545" s="1208"/>
      <c r="H1545" s="1208"/>
      <c r="I1545" s="1209"/>
      <c r="J1545" s="1209"/>
      <c r="K1545" s="1210">
        <f t="shared" si="250"/>
        <v>1.05</v>
      </c>
      <c r="L1545" s="1210">
        <f t="shared" si="251"/>
        <v>0</v>
      </c>
      <c r="M1545" s="1197">
        <f t="shared" si="252"/>
        <v>0</v>
      </c>
      <c r="N1545" s="1211">
        <f t="shared" si="253"/>
        <v>0</v>
      </c>
      <c r="O1545" s="1212"/>
      <c r="P1545" s="1200"/>
      <c r="Q1545" s="1200"/>
    </row>
    <row r="1546" spans="1:17" ht="15" thickTop="1" thickBot="1" x14ac:dyDescent="0.3">
      <c r="A1546" s="1207"/>
      <c r="B1546" s="1212"/>
      <c r="C1546" s="1212"/>
      <c r="D1546" s="1212"/>
      <c r="E1546" s="1212"/>
      <c r="F1546" s="1208"/>
      <c r="G1546" s="1208"/>
      <c r="H1546" s="1208"/>
      <c r="I1546" s="1209"/>
      <c r="J1546" s="1209"/>
      <c r="K1546" s="1210">
        <f t="shared" si="250"/>
        <v>1.05</v>
      </c>
      <c r="L1546" s="1210">
        <f t="shared" si="251"/>
        <v>0</v>
      </c>
      <c r="M1546" s="1197">
        <f t="shared" si="252"/>
        <v>0</v>
      </c>
      <c r="N1546" s="1211">
        <f t="shared" si="253"/>
        <v>0</v>
      </c>
      <c r="O1546" s="1212"/>
      <c r="P1546" s="1200"/>
      <c r="Q1546" s="1200"/>
    </row>
    <row r="1547" spans="1:17" ht="15" thickTop="1" thickBot="1" x14ac:dyDescent="0.3">
      <c r="A1547" s="1207"/>
      <c r="B1547" s="1212"/>
      <c r="C1547" s="1212"/>
      <c r="D1547" s="1212"/>
      <c r="E1547" s="1212"/>
      <c r="F1547" s="1208"/>
      <c r="G1547" s="1208"/>
      <c r="H1547" s="1208"/>
      <c r="I1547" s="1209"/>
      <c r="J1547" s="1209"/>
      <c r="K1547" s="1210">
        <f t="shared" ref="K1547:K1610" si="254">$K$2</f>
        <v>1.05</v>
      </c>
      <c r="L1547" s="1210">
        <f t="shared" si="251"/>
        <v>0</v>
      </c>
      <c r="M1547" s="1197">
        <f t="shared" si="252"/>
        <v>0</v>
      </c>
      <c r="N1547" s="1211">
        <f t="shared" si="253"/>
        <v>0</v>
      </c>
      <c r="O1547" s="1212"/>
      <c r="P1547" s="1200"/>
      <c r="Q1547" s="1200"/>
    </row>
    <row r="1548" spans="1:17" ht="15" thickTop="1" thickBot="1" x14ac:dyDescent="0.3">
      <c r="A1548" s="1207"/>
      <c r="B1548" s="1212"/>
      <c r="C1548" s="1212"/>
      <c r="D1548" s="1212"/>
      <c r="E1548" s="1212"/>
      <c r="F1548" s="1208"/>
      <c r="G1548" s="1208"/>
      <c r="H1548" s="1208"/>
      <c r="I1548" s="1209"/>
      <c r="J1548" s="1209"/>
      <c r="K1548" s="1210">
        <f t="shared" si="254"/>
        <v>1.05</v>
      </c>
      <c r="L1548" s="1210">
        <f t="shared" si="251"/>
        <v>0</v>
      </c>
      <c r="M1548" s="1197">
        <f t="shared" si="252"/>
        <v>0</v>
      </c>
      <c r="N1548" s="1211">
        <f t="shared" si="253"/>
        <v>0</v>
      </c>
      <c r="O1548" s="1212"/>
      <c r="P1548" s="1200"/>
      <c r="Q1548" s="1200"/>
    </row>
    <row r="1549" spans="1:17" ht="15" thickTop="1" thickBot="1" x14ac:dyDescent="0.3">
      <c r="A1549" s="1207"/>
      <c r="B1549" s="1212"/>
      <c r="C1549" s="1212"/>
      <c r="D1549" s="1212"/>
      <c r="E1549" s="1212"/>
      <c r="F1549" s="1208"/>
      <c r="G1549" s="1208"/>
      <c r="H1549" s="1208"/>
      <c r="I1549" s="1209"/>
      <c r="J1549" s="1209"/>
      <c r="K1549" s="1210">
        <f t="shared" si="254"/>
        <v>1.05</v>
      </c>
      <c r="L1549" s="1210">
        <f t="shared" si="251"/>
        <v>0</v>
      </c>
      <c r="M1549" s="1197">
        <f t="shared" si="252"/>
        <v>0</v>
      </c>
      <c r="N1549" s="1211">
        <f t="shared" si="253"/>
        <v>0</v>
      </c>
      <c r="O1549" s="1212"/>
      <c r="P1549" s="1200"/>
      <c r="Q1549" s="1200"/>
    </row>
    <row r="1550" spans="1:17" ht="15" thickTop="1" thickBot="1" x14ac:dyDescent="0.3">
      <c r="A1550" s="1207"/>
      <c r="B1550" s="1212"/>
      <c r="C1550" s="1212"/>
      <c r="D1550" s="1212"/>
      <c r="E1550" s="1212"/>
      <c r="F1550" s="1208"/>
      <c r="G1550" s="1208"/>
      <c r="H1550" s="1208"/>
      <c r="I1550" s="1209"/>
      <c r="J1550" s="1209"/>
      <c r="K1550" s="1210">
        <f t="shared" si="254"/>
        <v>1.05</v>
      </c>
      <c r="L1550" s="1210">
        <f t="shared" si="251"/>
        <v>0</v>
      </c>
      <c r="M1550" s="1197">
        <f t="shared" si="252"/>
        <v>0</v>
      </c>
      <c r="N1550" s="1211">
        <f t="shared" si="253"/>
        <v>0</v>
      </c>
      <c r="O1550" s="1212"/>
      <c r="P1550" s="1200"/>
      <c r="Q1550" s="1200"/>
    </row>
    <row r="1551" spans="1:17" ht="15" thickTop="1" thickBot="1" x14ac:dyDescent="0.3">
      <c r="A1551" s="1207"/>
      <c r="B1551" s="1212"/>
      <c r="C1551" s="1212"/>
      <c r="D1551" s="1212"/>
      <c r="E1551" s="1212"/>
      <c r="F1551" s="1208"/>
      <c r="G1551" s="1208"/>
      <c r="H1551" s="1208"/>
      <c r="I1551" s="1209"/>
      <c r="J1551" s="1209"/>
      <c r="K1551" s="1210">
        <f t="shared" si="254"/>
        <v>1.05</v>
      </c>
      <c r="L1551" s="1210">
        <f t="shared" si="251"/>
        <v>0</v>
      </c>
      <c r="M1551" s="1197">
        <f t="shared" si="252"/>
        <v>0</v>
      </c>
      <c r="N1551" s="1211">
        <f t="shared" si="253"/>
        <v>0</v>
      </c>
      <c r="O1551" s="1212"/>
      <c r="P1551" s="1200"/>
      <c r="Q1551" s="1200"/>
    </row>
    <row r="1552" spans="1:17" ht="15" thickTop="1" thickBot="1" x14ac:dyDescent="0.3">
      <c r="A1552" s="1207"/>
      <c r="B1552" s="1212"/>
      <c r="C1552" s="1212"/>
      <c r="D1552" s="1212"/>
      <c r="E1552" s="1212"/>
      <c r="F1552" s="1208"/>
      <c r="G1552" s="1208"/>
      <c r="H1552" s="1208"/>
      <c r="I1552" s="1209"/>
      <c r="J1552" s="1209"/>
      <c r="K1552" s="1210">
        <f t="shared" si="254"/>
        <v>1.05</v>
      </c>
      <c r="L1552" s="1210">
        <f t="shared" si="251"/>
        <v>0</v>
      </c>
      <c r="M1552" s="1197">
        <f t="shared" si="252"/>
        <v>0</v>
      </c>
      <c r="N1552" s="1211">
        <f t="shared" si="253"/>
        <v>0</v>
      </c>
      <c r="O1552" s="1212"/>
      <c r="P1552" s="1200"/>
      <c r="Q1552" s="1200"/>
    </row>
    <row r="1553" spans="1:18" ht="15" thickTop="1" thickBot="1" x14ac:dyDescent="0.3">
      <c r="A1553" s="1207"/>
      <c r="B1553" s="1212"/>
      <c r="C1553" s="1212"/>
      <c r="D1553" s="1212"/>
      <c r="E1553" s="1212"/>
      <c r="F1553" s="1208"/>
      <c r="G1553" s="1208"/>
      <c r="H1553" s="1208"/>
      <c r="I1553" s="1209"/>
      <c r="J1553" s="1209"/>
      <c r="K1553" s="1210">
        <f t="shared" si="254"/>
        <v>1.05</v>
      </c>
      <c r="L1553" s="1210">
        <f t="shared" si="251"/>
        <v>0</v>
      </c>
      <c r="M1553" s="1197">
        <f t="shared" si="252"/>
        <v>0</v>
      </c>
      <c r="N1553" s="1211">
        <f t="shared" si="253"/>
        <v>0</v>
      </c>
      <c r="O1553" s="1212"/>
      <c r="P1553" s="1200"/>
      <c r="Q1553" s="1200"/>
    </row>
    <row r="1554" spans="1:18" ht="15" thickTop="1" thickBot="1" x14ac:dyDescent="0.3">
      <c r="A1554" s="1207"/>
      <c r="B1554" s="1212"/>
      <c r="C1554" s="1212"/>
      <c r="D1554" s="1212"/>
      <c r="E1554" s="1212"/>
      <c r="F1554" s="1208"/>
      <c r="G1554" s="1208"/>
      <c r="H1554" s="1208"/>
      <c r="I1554" s="1209"/>
      <c r="J1554" s="1209"/>
      <c r="K1554" s="1210">
        <f t="shared" si="254"/>
        <v>1.05</v>
      </c>
      <c r="L1554" s="1210">
        <f t="shared" si="251"/>
        <v>0</v>
      </c>
      <c r="M1554" s="1197">
        <f t="shared" si="252"/>
        <v>0</v>
      </c>
      <c r="N1554" s="1211">
        <f t="shared" si="253"/>
        <v>0</v>
      </c>
      <c r="O1554" s="1212"/>
      <c r="P1554" s="1200"/>
      <c r="Q1554" s="1200"/>
    </row>
    <row r="1555" spans="1:18" ht="15" thickTop="1" thickBot="1" x14ac:dyDescent="0.3">
      <c r="A1555" s="1207"/>
      <c r="B1555" s="1212"/>
      <c r="C1555" s="1212"/>
      <c r="D1555" s="1212"/>
      <c r="E1555" s="1212"/>
      <c r="F1555" s="1208"/>
      <c r="G1555" s="1208"/>
      <c r="H1555" s="1208"/>
      <c r="I1555" s="1209"/>
      <c r="J1555" s="1209"/>
      <c r="K1555" s="1210">
        <f t="shared" si="254"/>
        <v>1.05</v>
      </c>
      <c r="L1555" s="1210">
        <f t="shared" si="251"/>
        <v>0</v>
      </c>
      <c r="M1555" s="1197">
        <f t="shared" si="252"/>
        <v>0</v>
      </c>
      <c r="N1555" s="1211">
        <f t="shared" si="253"/>
        <v>0</v>
      </c>
      <c r="O1555" s="1212"/>
      <c r="P1555" s="1200"/>
      <c r="Q1555" s="1200"/>
    </row>
    <row r="1556" spans="1:18" ht="15" thickTop="1" thickBot="1" x14ac:dyDescent="0.3">
      <c r="A1556" s="1207"/>
      <c r="B1556" s="1212"/>
      <c r="C1556" s="1212"/>
      <c r="D1556" s="1212"/>
      <c r="E1556" s="1212"/>
      <c r="F1556" s="1208"/>
      <c r="G1556" s="1208"/>
      <c r="H1556" s="1208"/>
      <c r="I1556" s="1209"/>
      <c r="J1556" s="1209"/>
      <c r="K1556" s="1210">
        <f t="shared" si="254"/>
        <v>1.05</v>
      </c>
      <c r="L1556" s="1210">
        <f t="shared" si="251"/>
        <v>0</v>
      </c>
      <c r="M1556" s="1197">
        <f t="shared" si="252"/>
        <v>0</v>
      </c>
      <c r="N1556" s="1211">
        <f t="shared" si="253"/>
        <v>0</v>
      </c>
      <c r="O1556" s="1212"/>
      <c r="P1556" s="1200"/>
      <c r="Q1556" s="1200"/>
    </row>
    <row r="1557" spans="1:18" ht="15" thickTop="1" thickBot="1" x14ac:dyDescent="0.3">
      <c r="A1557" s="1207"/>
      <c r="B1557" s="1212"/>
      <c r="C1557" s="1212"/>
      <c r="D1557" s="1212"/>
      <c r="E1557" s="1212"/>
      <c r="F1557" s="1208"/>
      <c r="G1557" s="1208"/>
      <c r="H1557" s="1208"/>
      <c r="I1557" s="1209"/>
      <c r="J1557" s="1209"/>
      <c r="K1557" s="1210">
        <f t="shared" si="254"/>
        <v>1.05</v>
      </c>
      <c r="L1557" s="1210">
        <f t="shared" si="251"/>
        <v>0</v>
      </c>
      <c r="M1557" s="1197">
        <f t="shared" si="252"/>
        <v>0</v>
      </c>
      <c r="N1557" s="1211">
        <f t="shared" si="253"/>
        <v>0</v>
      </c>
      <c r="O1557" s="1212"/>
      <c r="P1557" s="1200"/>
      <c r="Q1557" s="1200"/>
    </row>
    <row r="1558" spans="1:18" ht="15" thickTop="1" thickBot="1" x14ac:dyDescent="0.3">
      <c r="A1558" s="1207"/>
      <c r="B1558" s="1212"/>
      <c r="C1558" s="1212"/>
      <c r="D1558" s="1212"/>
      <c r="E1558" s="1212"/>
      <c r="F1558" s="1208"/>
      <c r="G1558" s="1208"/>
      <c r="H1558" s="1208"/>
      <c r="I1558" s="1209"/>
      <c r="J1558" s="1209"/>
      <c r="K1558" s="1210">
        <f t="shared" si="254"/>
        <v>1.05</v>
      </c>
      <c r="L1558" s="1210">
        <f t="shared" si="251"/>
        <v>0</v>
      </c>
      <c r="M1558" s="1197">
        <f t="shared" si="252"/>
        <v>0</v>
      </c>
      <c r="N1558" s="1211">
        <f t="shared" si="253"/>
        <v>0</v>
      </c>
      <c r="O1558" s="1212"/>
      <c r="P1558" s="1200"/>
      <c r="Q1558" s="1200"/>
    </row>
    <row r="1559" spans="1:18" ht="15" thickTop="1" thickBot="1" x14ac:dyDescent="0.3">
      <c r="A1559" s="1207"/>
      <c r="B1559" s="1212"/>
      <c r="C1559" s="1212"/>
      <c r="D1559" s="1212"/>
      <c r="E1559" s="1212"/>
      <c r="F1559" s="1208"/>
      <c r="G1559" s="1208"/>
      <c r="H1559" s="1208"/>
      <c r="I1559" s="1209"/>
      <c r="J1559" s="1209"/>
      <c r="K1559" s="1210">
        <f t="shared" si="254"/>
        <v>1.05</v>
      </c>
      <c r="L1559" s="1210">
        <f t="shared" si="251"/>
        <v>0</v>
      </c>
      <c r="M1559" s="1197">
        <f t="shared" si="252"/>
        <v>0</v>
      </c>
      <c r="N1559" s="1211">
        <f t="shared" si="253"/>
        <v>0</v>
      </c>
      <c r="O1559" s="1212"/>
      <c r="P1559" s="1200"/>
      <c r="Q1559" s="1200"/>
    </row>
    <row r="1560" spans="1:18" ht="15" thickTop="1" thickBot="1" x14ac:dyDescent="0.3">
      <c r="A1560" s="1207"/>
      <c r="B1560" s="1212"/>
      <c r="C1560" s="1212"/>
      <c r="D1560" s="1212"/>
      <c r="E1560" s="1212"/>
      <c r="F1560" s="1208"/>
      <c r="G1560" s="1208"/>
      <c r="H1560" s="1208"/>
      <c r="I1560" s="1209"/>
      <c r="J1560" s="1209"/>
      <c r="K1560" s="1210">
        <f t="shared" si="254"/>
        <v>1.05</v>
      </c>
      <c r="L1560" s="1210">
        <f t="shared" si="251"/>
        <v>0</v>
      </c>
      <c r="M1560" s="1197">
        <f t="shared" si="252"/>
        <v>0</v>
      </c>
      <c r="N1560" s="1211">
        <f t="shared" si="253"/>
        <v>0</v>
      </c>
      <c r="O1560" s="1212"/>
      <c r="P1560" s="1200"/>
      <c r="Q1560" s="1200"/>
    </row>
    <row r="1561" spans="1:18" ht="15" thickTop="1" thickBot="1" x14ac:dyDescent="0.3">
      <c r="A1561" s="1207"/>
      <c r="B1561" s="1212"/>
      <c r="C1561" s="1212"/>
      <c r="D1561" s="1212"/>
      <c r="E1561" s="1212"/>
      <c r="F1561" s="1208"/>
      <c r="G1561" s="1208"/>
      <c r="H1561" s="1208"/>
      <c r="I1561" s="1209"/>
      <c r="J1561" s="1209"/>
      <c r="K1561" s="1210">
        <f t="shared" si="254"/>
        <v>1.05</v>
      </c>
      <c r="L1561" s="1210">
        <f t="shared" si="251"/>
        <v>0</v>
      </c>
      <c r="M1561" s="1197">
        <f t="shared" si="252"/>
        <v>0</v>
      </c>
      <c r="N1561" s="1211">
        <f t="shared" si="253"/>
        <v>0</v>
      </c>
      <c r="O1561" s="1212"/>
      <c r="P1561" s="1200"/>
      <c r="Q1561" s="1200"/>
    </row>
    <row r="1562" spans="1:18" ht="15" thickTop="1" thickBot="1" x14ac:dyDescent="0.3">
      <c r="A1562" s="1207"/>
      <c r="B1562" s="1212"/>
      <c r="C1562" s="1212"/>
      <c r="D1562" s="1212"/>
      <c r="E1562" s="1212"/>
      <c r="F1562" s="1208"/>
      <c r="G1562" s="1208"/>
      <c r="H1562" s="1208"/>
      <c r="I1562" s="1209"/>
      <c r="J1562" s="1209"/>
      <c r="K1562" s="1210">
        <f t="shared" si="254"/>
        <v>1.05</v>
      </c>
      <c r="L1562" s="1210">
        <f t="shared" si="251"/>
        <v>0</v>
      </c>
      <c r="M1562" s="1197">
        <f t="shared" si="252"/>
        <v>0</v>
      </c>
      <c r="N1562" s="1211">
        <f t="shared" si="253"/>
        <v>0</v>
      </c>
      <c r="O1562" s="1212"/>
      <c r="P1562" s="1200"/>
      <c r="Q1562" s="1200"/>
    </row>
    <row r="1563" spans="1:18" ht="15" thickTop="1" thickBot="1" x14ac:dyDescent="0.3">
      <c r="A1563" s="1207"/>
      <c r="B1563" s="1212"/>
      <c r="C1563" s="1212"/>
      <c r="D1563" s="1212"/>
      <c r="E1563" s="1212"/>
      <c r="F1563" s="1208"/>
      <c r="G1563" s="1208"/>
      <c r="H1563" s="1208"/>
      <c r="I1563" s="1209"/>
      <c r="J1563" s="1209"/>
      <c r="K1563" s="1210">
        <f t="shared" si="254"/>
        <v>1.05</v>
      </c>
      <c r="L1563" s="1210">
        <f t="shared" si="251"/>
        <v>0</v>
      </c>
      <c r="M1563" s="1197">
        <f t="shared" si="252"/>
        <v>0</v>
      </c>
      <c r="N1563" s="1211">
        <f t="shared" si="253"/>
        <v>0</v>
      </c>
      <c r="O1563" s="1212"/>
      <c r="P1563" s="1200"/>
      <c r="Q1563" s="1200"/>
    </row>
    <row r="1564" spans="1:18" ht="15" thickTop="1" thickBot="1" x14ac:dyDescent="0.3">
      <c r="A1564" s="1207"/>
      <c r="B1564" s="1212"/>
      <c r="C1564" s="1212"/>
      <c r="D1564" s="1212"/>
      <c r="E1564" s="1212"/>
      <c r="F1564" s="1208"/>
      <c r="G1564" s="1208"/>
      <c r="H1564" s="1208"/>
      <c r="I1564" s="1209"/>
      <c r="J1564" s="1209"/>
      <c r="K1564" s="1210">
        <f t="shared" si="254"/>
        <v>1.05</v>
      </c>
      <c r="L1564" s="1210">
        <f t="shared" si="251"/>
        <v>0</v>
      </c>
      <c r="M1564" s="1197">
        <f t="shared" si="252"/>
        <v>0</v>
      </c>
      <c r="N1564" s="1211">
        <f t="shared" si="253"/>
        <v>0</v>
      </c>
      <c r="O1564" s="1212"/>
      <c r="P1564" s="1200"/>
      <c r="Q1564" s="1200"/>
    </row>
    <row r="1565" spans="1:18" ht="15" thickTop="1" thickBot="1" x14ac:dyDescent="0.3">
      <c r="A1565" s="1207"/>
      <c r="B1565" s="1212"/>
      <c r="C1565" s="1212"/>
      <c r="D1565" s="1212"/>
      <c r="E1565" s="1212"/>
      <c r="F1565" s="1208"/>
      <c r="G1565" s="1208"/>
      <c r="H1565" s="1208"/>
      <c r="I1565" s="1209"/>
      <c r="J1565" s="1209"/>
      <c r="K1565" s="1210">
        <f t="shared" si="254"/>
        <v>1.05</v>
      </c>
      <c r="L1565" s="1210">
        <f t="shared" si="251"/>
        <v>0</v>
      </c>
      <c r="M1565" s="1197">
        <f t="shared" si="252"/>
        <v>0</v>
      </c>
      <c r="N1565" s="1211">
        <f t="shared" si="253"/>
        <v>0</v>
      </c>
      <c r="O1565" s="1212"/>
      <c r="P1565" s="1200"/>
      <c r="Q1565" s="1200"/>
      <c r="R1565" s="1201">
        <f>SUM(E1561:E1572)</f>
        <v>0</v>
      </c>
    </row>
    <row r="1566" spans="1:18" ht="15" thickTop="1" thickBot="1" x14ac:dyDescent="0.3">
      <c r="A1566" s="1207"/>
      <c r="B1566" s="1212"/>
      <c r="C1566" s="1212"/>
      <c r="D1566" s="1212"/>
      <c r="E1566" s="1212"/>
      <c r="F1566" s="1208"/>
      <c r="G1566" s="1208"/>
      <c r="H1566" s="1208"/>
      <c r="I1566" s="1209"/>
      <c r="J1566" s="1209"/>
      <c r="K1566" s="1210">
        <f t="shared" si="254"/>
        <v>1.05</v>
      </c>
      <c r="L1566" s="1210">
        <f t="shared" si="251"/>
        <v>0</v>
      </c>
      <c r="M1566" s="1197">
        <f t="shared" si="252"/>
        <v>0</v>
      </c>
      <c r="N1566" s="1211">
        <f t="shared" si="253"/>
        <v>0</v>
      </c>
      <c r="O1566" s="1212"/>
      <c r="P1566" s="1200"/>
      <c r="Q1566" s="1200"/>
    </row>
    <row r="1567" spans="1:18" ht="15" thickTop="1" thickBot="1" x14ac:dyDescent="0.3">
      <c r="A1567" s="1207"/>
      <c r="B1567" s="1212"/>
      <c r="C1567" s="1212"/>
      <c r="D1567" s="1212"/>
      <c r="E1567" s="1212"/>
      <c r="F1567" s="1208"/>
      <c r="G1567" s="1208"/>
      <c r="H1567" s="1208"/>
      <c r="I1567" s="1209"/>
      <c r="J1567" s="1209"/>
      <c r="K1567" s="1210">
        <f t="shared" si="254"/>
        <v>1.05</v>
      </c>
      <c r="L1567" s="1210">
        <f t="shared" si="251"/>
        <v>0</v>
      </c>
      <c r="M1567" s="1197">
        <f t="shared" si="252"/>
        <v>0</v>
      </c>
      <c r="N1567" s="1211">
        <f t="shared" si="253"/>
        <v>0</v>
      </c>
      <c r="O1567" s="1212"/>
      <c r="P1567" s="1200"/>
      <c r="Q1567" s="1200"/>
    </row>
    <row r="1568" spans="1:18" ht="15" thickTop="1" thickBot="1" x14ac:dyDescent="0.3">
      <c r="A1568" s="1207"/>
      <c r="B1568" s="1212"/>
      <c r="C1568" s="1212"/>
      <c r="D1568" s="1212"/>
      <c r="E1568" s="1212"/>
      <c r="F1568" s="1208"/>
      <c r="G1568" s="1208"/>
      <c r="H1568" s="1208"/>
      <c r="I1568" s="1209"/>
      <c r="J1568" s="1209"/>
      <c r="K1568" s="1210">
        <f t="shared" si="254"/>
        <v>1.05</v>
      </c>
      <c r="L1568" s="1210">
        <f t="shared" si="251"/>
        <v>0</v>
      </c>
      <c r="M1568" s="1197">
        <f t="shared" si="252"/>
        <v>0</v>
      </c>
      <c r="N1568" s="1211">
        <f t="shared" si="253"/>
        <v>0</v>
      </c>
      <c r="O1568" s="1212"/>
      <c r="P1568" s="1200"/>
      <c r="Q1568" s="1200"/>
    </row>
    <row r="1569" spans="1:17" ht="15" thickTop="1" thickBot="1" x14ac:dyDescent="0.3">
      <c r="A1569" s="1207"/>
      <c r="B1569" s="1212"/>
      <c r="C1569" s="1212"/>
      <c r="D1569" s="1212"/>
      <c r="E1569" s="1212"/>
      <c r="F1569" s="1208"/>
      <c r="G1569" s="1208"/>
      <c r="H1569" s="1208"/>
      <c r="I1569" s="1209"/>
      <c r="J1569" s="1209"/>
      <c r="K1569" s="1210">
        <f t="shared" si="254"/>
        <v>1.05</v>
      </c>
      <c r="L1569" s="1210">
        <f t="shared" si="251"/>
        <v>0</v>
      </c>
      <c r="M1569" s="1197">
        <f t="shared" si="252"/>
        <v>0</v>
      </c>
      <c r="N1569" s="1211">
        <f t="shared" si="253"/>
        <v>0</v>
      </c>
      <c r="O1569" s="1212"/>
      <c r="P1569" s="1200"/>
      <c r="Q1569" s="1200"/>
    </row>
    <row r="1570" spans="1:17" ht="15" thickTop="1" thickBot="1" x14ac:dyDescent="0.3">
      <c r="A1570" s="1207"/>
      <c r="B1570" s="1212"/>
      <c r="C1570" s="1212"/>
      <c r="D1570" s="1212"/>
      <c r="E1570" s="1212"/>
      <c r="F1570" s="1208"/>
      <c r="G1570" s="1208"/>
      <c r="H1570" s="1208"/>
      <c r="I1570" s="1209"/>
      <c r="J1570" s="1209"/>
      <c r="K1570" s="1210">
        <f t="shared" si="254"/>
        <v>1.05</v>
      </c>
      <c r="L1570" s="1210">
        <f t="shared" si="251"/>
        <v>0</v>
      </c>
      <c r="M1570" s="1197">
        <f t="shared" si="252"/>
        <v>0</v>
      </c>
      <c r="N1570" s="1211">
        <f t="shared" si="253"/>
        <v>0</v>
      </c>
      <c r="O1570" s="1212"/>
      <c r="P1570" s="1200"/>
      <c r="Q1570" s="1200"/>
    </row>
    <row r="1571" spans="1:17" ht="15" thickTop="1" thickBot="1" x14ac:dyDescent="0.3">
      <c r="A1571" s="1207"/>
      <c r="B1571" s="1212"/>
      <c r="C1571" s="1212"/>
      <c r="D1571" s="1212"/>
      <c r="E1571" s="1212"/>
      <c r="F1571" s="1208"/>
      <c r="G1571" s="1208"/>
      <c r="H1571" s="1208"/>
      <c r="I1571" s="1209"/>
      <c r="J1571" s="1209"/>
      <c r="K1571" s="1210">
        <f t="shared" si="254"/>
        <v>1.05</v>
      </c>
      <c r="L1571" s="1210">
        <f t="shared" si="251"/>
        <v>0</v>
      </c>
      <c r="M1571" s="1197">
        <f t="shared" si="252"/>
        <v>0</v>
      </c>
      <c r="N1571" s="1211">
        <f t="shared" si="253"/>
        <v>0</v>
      </c>
      <c r="O1571" s="1212"/>
      <c r="P1571" s="1200"/>
      <c r="Q1571" s="1200"/>
    </row>
    <row r="1572" spans="1:17" ht="15" thickTop="1" thickBot="1" x14ac:dyDescent="0.3">
      <c r="A1572" s="1207"/>
      <c r="B1572" s="1212"/>
      <c r="C1572" s="1212"/>
      <c r="D1572" s="1212"/>
      <c r="E1572" s="1212"/>
      <c r="F1572" s="1208"/>
      <c r="G1572" s="1208"/>
      <c r="H1572" s="1208"/>
      <c r="I1572" s="1209"/>
      <c r="J1572" s="1209"/>
      <c r="K1572" s="1210">
        <f t="shared" si="254"/>
        <v>1.05</v>
      </c>
      <c r="L1572" s="1210">
        <f t="shared" si="251"/>
        <v>0</v>
      </c>
      <c r="M1572" s="1197">
        <f t="shared" si="252"/>
        <v>0</v>
      </c>
      <c r="N1572" s="1211">
        <f t="shared" si="253"/>
        <v>0</v>
      </c>
      <c r="O1572" s="1212"/>
      <c r="P1572" s="1200"/>
      <c r="Q1572" s="1200"/>
    </row>
    <row r="1573" spans="1:17" ht="15" thickTop="1" thickBot="1" x14ac:dyDescent="0.3">
      <c r="A1573" s="1207"/>
      <c r="B1573" s="1212"/>
      <c r="C1573" s="1212"/>
      <c r="D1573" s="1212"/>
      <c r="E1573" s="1212"/>
      <c r="F1573" s="1208"/>
      <c r="G1573" s="1208"/>
      <c r="H1573" s="1208"/>
      <c r="I1573" s="1209"/>
      <c r="J1573" s="1209"/>
      <c r="K1573" s="1210">
        <f t="shared" si="254"/>
        <v>1.05</v>
      </c>
      <c r="L1573" s="1210">
        <f t="shared" si="251"/>
        <v>0</v>
      </c>
      <c r="M1573" s="1197">
        <f t="shared" si="252"/>
        <v>0</v>
      </c>
      <c r="N1573" s="1211">
        <f t="shared" si="253"/>
        <v>0</v>
      </c>
      <c r="O1573" s="1212"/>
      <c r="P1573" s="1200"/>
      <c r="Q1573" s="1200"/>
    </row>
    <row r="1574" spans="1:17" ht="15" thickTop="1" thickBot="1" x14ac:dyDescent="0.3">
      <c r="A1574" s="1207"/>
      <c r="B1574" s="1212"/>
      <c r="C1574" s="1212"/>
      <c r="D1574" s="1212"/>
      <c r="E1574" s="1212"/>
      <c r="F1574" s="1208"/>
      <c r="G1574" s="1208"/>
      <c r="H1574" s="1208"/>
      <c r="I1574" s="1209"/>
      <c r="J1574" s="1209"/>
      <c r="K1574" s="1210">
        <f t="shared" si="254"/>
        <v>1.05</v>
      </c>
      <c r="L1574" s="1210">
        <f t="shared" si="251"/>
        <v>0</v>
      </c>
      <c r="M1574" s="1197">
        <f t="shared" si="252"/>
        <v>0</v>
      </c>
      <c r="N1574" s="1211">
        <f t="shared" si="253"/>
        <v>0</v>
      </c>
      <c r="O1574" s="1212"/>
      <c r="P1574" s="1200"/>
      <c r="Q1574" s="1200"/>
    </row>
    <row r="1575" spans="1:17" ht="15" thickTop="1" thickBot="1" x14ac:dyDescent="0.3">
      <c r="A1575" s="1207"/>
      <c r="B1575" s="1212"/>
      <c r="C1575" s="1212"/>
      <c r="D1575" s="1212"/>
      <c r="E1575" s="1212"/>
      <c r="F1575" s="1208"/>
      <c r="G1575" s="1208"/>
      <c r="H1575" s="1208"/>
      <c r="I1575" s="1209"/>
      <c r="J1575" s="1209"/>
      <c r="K1575" s="1210">
        <f t="shared" si="254"/>
        <v>1.05</v>
      </c>
      <c r="L1575" s="1210">
        <f t="shared" si="251"/>
        <v>0</v>
      </c>
      <c r="M1575" s="1197">
        <f t="shared" si="252"/>
        <v>0</v>
      </c>
      <c r="N1575" s="1211">
        <f t="shared" si="253"/>
        <v>0</v>
      </c>
      <c r="O1575" s="1212"/>
      <c r="P1575" s="1200"/>
      <c r="Q1575" s="1200"/>
    </row>
    <row r="1576" spans="1:17" ht="15" thickTop="1" thickBot="1" x14ac:dyDescent="0.3">
      <c r="A1576" s="1207"/>
      <c r="B1576" s="1212"/>
      <c r="C1576" s="1212"/>
      <c r="D1576" s="1212"/>
      <c r="E1576" s="1212"/>
      <c r="F1576" s="1208"/>
      <c r="G1576" s="1208"/>
      <c r="H1576" s="1208"/>
      <c r="I1576" s="1209"/>
      <c r="J1576" s="1209"/>
      <c r="K1576" s="1210">
        <f t="shared" si="254"/>
        <v>1.05</v>
      </c>
      <c r="L1576" s="1210">
        <f t="shared" si="251"/>
        <v>0</v>
      </c>
      <c r="M1576" s="1197">
        <f t="shared" si="252"/>
        <v>0</v>
      </c>
      <c r="N1576" s="1211">
        <f t="shared" si="253"/>
        <v>0</v>
      </c>
      <c r="O1576" s="1212"/>
      <c r="P1576" s="1200"/>
      <c r="Q1576" s="1200"/>
    </row>
    <row r="1577" spans="1:17" ht="15" thickTop="1" thickBot="1" x14ac:dyDescent="0.3">
      <c r="A1577" s="1207"/>
      <c r="B1577" s="1212"/>
      <c r="C1577" s="1212"/>
      <c r="D1577" s="1212"/>
      <c r="E1577" s="1212"/>
      <c r="F1577" s="1208"/>
      <c r="G1577" s="1208"/>
      <c r="H1577" s="1208"/>
      <c r="I1577" s="1209"/>
      <c r="J1577" s="1209"/>
      <c r="K1577" s="1210">
        <f t="shared" si="254"/>
        <v>1.05</v>
      </c>
      <c r="L1577" s="1210">
        <f t="shared" si="251"/>
        <v>0</v>
      </c>
      <c r="M1577" s="1197">
        <f t="shared" si="252"/>
        <v>0</v>
      </c>
      <c r="N1577" s="1211">
        <f t="shared" si="253"/>
        <v>0</v>
      </c>
      <c r="O1577" s="1212"/>
      <c r="P1577" s="1200"/>
      <c r="Q1577" s="1200"/>
    </row>
    <row r="1578" spans="1:17" ht="15" thickTop="1" thickBot="1" x14ac:dyDescent="0.3">
      <c r="A1578" s="1207"/>
      <c r="B1578" s="1212"/>
      <c r="C1578" s="1212"/>
      <c r="D1578" s="1212"/>
      <c r="E1578" s="1212"/>
      <c r="F1578" s="1208"/>
      <c r="G1578" s="1208"/>
      <c r="H1578" s="1208"/>
      <c r="I1578" s="1209"/>
      <c r="J1578" s="1209"/>
      <c r="K1578" s="1210">
        <f t="shared" si="254"/>
        <v>1.05</v>
      </c>
      <c r="L1578" s="1210">
        <f t="shared" ref="L1578:L1641" si="255">K1578*J1578</f>
        <v>0</v>
      </c>
      <c r="M1578" s="1197">
        <f t="shared" ref="M1578:M1641" si="256">ROUND(L1578,1)</f>
        <v>0</v>
      </c>
      <c r="N1578" s="1211">
        <f t="shared" ref="N1578:N1641" si="257">ROUNDUP(M1578,0)</f>
        <v>0</v>
      </c>
      <c r="O1578" s="1212"/>
      <c r="P1578" s="1200"/>
      <c r="Q1578" s="1200"/>
    </row>
    <row r="1579" spans="1:17" ht="15" thickTop="1" thickBot="1" x14ac:dyDescent="0.3">
      <c r="A1579" s="1207"/>
      <c r="B1579" s="1212"/>
      <c r="C1579" s="1212"/>
      <c r="D1579" s="1212"/>
      <c r="E1579" s="1212"/>
      <c r="F1579" s="1208"/>
      <c r="G1579" s="1208"/>
      <c r="H1579" s="1208"/>
      <c r="I1579" s="1209"/>
      <c r="J1579" s="1209"/>
      <c r="K1579" s="1210">
        <f t="shared" si="254"/>
        <v>1.05</v>
      </c>
      <c r="L1579" s="1210">
        <f t="shared" si="255"/>
        <v>0</v>
      </c>
      <c r="M1579" s="1197">
        <f t="shared" si="256"/>
        <v>0</v>
      </c>
      <c r="N1579" s="1211">
        <f t="shared" si="257"/>
        <v>0</v>
      </c>
      <c r="O1579" s="1212"/>
      <c r="P1579" s="1200"/>
      <c r="Q1579" s="1200"/>
    </row>
    <row r="1580" spans="1:17" ht="15" thickTop="1" thickBot="1" x14ac:dyDescent="0.3">
      <c r="A1580" s="1207"/>
      <c r="B1580" s="1212"/>
      <c r="C1580" s="1212"/>
      <c r="D1580" s="1212"/>
      <c r="E1580" s="1212"/>
      <c r="F1580" s="1208"/>
      <c r="G1580" s="1208"/>
      <c r="H1580" s="1208"/>
      <c r="I1580" s="1209"/>
      <c r="J1580" s="1209"/>
      <c r="K1580" s="1210">
        <f t="shared" si="254"/>
        <v>1.05</v>
      </c>
      <c r="L1580" s="1210">
        <f t="shared" si="255"/>
        <v>0</v>
      </c>
      <c r="M1580" s="1197">
        <f t="shared" si="256"/>
        <v>0</v>
      </c>
      <c r="N1580" s="1211">
        <f t="shared" si="257"/>
        <v>0</v>
      </c>
      <c r="O1580" s="1212"/>
      <c r="P1580" s="1200"/>
      <c r="Q1580" s="1200"/>
    </row>
    <row r="1581" spans="1:17" ht="15" thickTop="1" thickBot="1" x14ac:dyDescent="0.3">
      <c r="A1581" s="1207"/>
      <c r="B1581" s="1212"/>
      <c r="C1581" s="1212"/>
      <c r="D1581" s="1212"/>
      <c r="E1581" s="1212"/>
      <c r="F1581" s="1208"/>
      <c r="G1581" s="1208"/>
      <c r="H1581" s="1208"/>
      <c r="I1581" s="1209"/>
      <c r="J1581" s="1209"/>
      <c r="K1581" s="1210">
        <f t="shared" si="254"/>
        <v>1.05</v>
      </c>
      <c r="L1581" s="1210">
        <f t="shared" si="255"/>
        <v>0</v>
      </c>
      <c r="M1581" s="1197">
        <f t="shared" si="256"/>
        <v>0</v>
      </c>
      <c r="N1581" s="1211">
        <f t="shared" si="257"/>
        <v>0</v>
      </c>
      <c r="O1581" s="1212"/>
      <c r="P1581" s="1200"/>
      <c r="Q1581" s="1200"/>
    </row>
    <row r="1582" spans="1:17" ht="15" thickTop="1" thickBot="1" x14ac:dyDescent="0.3">
      <c r="A1582" s="1207"/>
      <c r="B1582" s="1212"/>
      <c r="C1582" s="1212"/>
      <c r="D1582" s="1212"/>
      <c r="E1582" s="1212"/>
      <c r="F1582" s="1208"/>
      <c r="G1582" s="1208"/>
      <c r="H1582" s="1208"/>
      <c r="I1582" s="1209"/>
      <c r="J1582" s="1209"/>
      <c r="K1582" s="1210">
        <f t="shared" si="254"/>
        <v>1.05</v>
      </c>
      <c r="L1582" s="1210">
        <f t="shared" si="255"/>
        <v>0</v>
      </c>
      <c r="M1582" s="1197">
        <f t="shared" si="256"/>
        <v>0</v>
      </c>
      <c r="N1582" s="1211">
        <f t="shared" si="257"/>
        <v>0</v>
      </c>
      <c r="O1582" s="1212"/>
      <c r="P1582" s="1200"/>
      <c r="Q1582" s="1200"/>
    </row>
    <row r="1583" spans="1:17" ht="15" thickTop="1" thickBot="1" x14ac:dyDescent="0.3">
      <c r="A1583" s="1207"/>
      <c r="B1583" s="1212"/>
      <c r="C1583" s="1212"/>
      <c r="D1583" s="1212"/>
      <c r="E1583" s="1212"/>
      <c r="F1583" s="1208"/>
      <c r="G1583" s="1208"/>
      <c r="H1583" s="1208"/>
      <c r="I1583" s="1209"/>
      <c r="J1583" s="1209"/>
      <c r="K1583" s="1210">
        <f t="shared" si="254"/>
        <v>1.05</v>
      </c>
      <c r="L1583" s="1210">
        <f t="shared" si="255"/>
        <v>0</v>
      </c>
      <c r="M1583" s="1197">
        <f t="shared" si="256"/>
        <v>0</v>
      </c>
      <c r="N1583" s="1211">
        <f t="shared" si="257"/>
        <v>0</v>
      </c>
      <c r="O1583" s="1212"/>
      <c r="P1583" s="1200"/>
      <c r="Q1583" s="1200"/>
    </row>
    <row r="1584" spans="1:17" ht="15" thickTop="1" thickBot="1" x14ac:dyDescent="0.3">
      <c r="A1584" s="1207"/>
      <c r="B1584" s="1212"/>
      <c r="C1584" s="1212"/>
      <c r="D1584" s="1212"/>
      <c r="E1584" s="1212"/>
      <c r="F1584" s="1208"/>
      <c r="G1584" s="1208"/>
      <c r="H1584" s="1208"/>
      <c r="I1584" s="1209"/>
      <c r="J1584" s="1209"/>
      <c r="K1584" s="1210">
        <f t="shared" si="254"/>
        <v>1.05</v>
      </c>
      <c r="L1584" s="1210">
        <f t="shared" si="255"/>
        <v>0</v>
      </c>
      <c r="M1584" s="1197">
        <f t="shared" si="256"/>
        <v>0</v>
      </c>
      <c r="N1584" s="1211">
        <f t="shared" si="257"/>
        <v>0</v>
      </c>
      <c r="O1584" s="1212"/>
      <c r="P1584" s="1200"/>
      <c r="Q1584" s="1200"/>
    </row>
    <row r="1585" spans="1:17" ht="15" thickTop="1" thickBot="1" x14ac:dyDescent="0.3">
      <c r="A1585" s="1207"/>
      <c r="B1585" s="1212"/>
      <c r="C1585" s="1212"/>
      <c r="D1585" s="1212"/>
      <c r="E1585" s="1212"/>
      <c r="F1585" s="1208"/>
      <c r="G1585" s="1208"/>
      <c r="H1585" s="1208"/>
      <c r="I1585" s="1209"/>
      <c r="J1585" s="1209"/>
      <c r="K1585" s="1210">
        <f t="shared" si="254"/>
        <v>1.05</v>
      </c>
      <c r="L1585" s="1210">
        <f t="shared" si="255"/>
        <v>0</v>
      </c>
      <c r="M1585" s="1197">
        <f t="shared" si="256"/>
        <v>0</v>
      </c>
      <c r="N1585" s="1211">
        <f t="shared" si="257"/>
        <v>0</v>
      </c>
      <c r="O1585" s="1212"/>
      <c r="P1585" s="1200"/>
      <c r="Q1585" s="1200"/>
    </row>
    <row r="1586" spans="1:17" ht="15" thickTop="1" thickBot="1" x14ac:dyDescent="0.3">
      <c r="A1586" s="1207"/>
      <c r="B1586" s="1212"/>
      <c r="C1586" s="1212"/>
      <c r="D1586" s="1212"/>
      <c r="E1586" s="1212"/>
      <c r="F1586" s="1208"/>
      <c r="G1586" s="1208"/>
      <c r="H1586" s="1208"/>
      <c r="I1586" s="1209"/>
      <c r="J1586" s="1209"/>
      <c r="K1586" s="1210">
        <f t="shared" si="254"/>
        <v>1.05</v>
      </c>
      <c r="L1586" s="1210">
        <f t="shared" si="255"/>
        <v>0</v>
      </c>
      <c r="M1586" s="1197">
        <f t="shared" si="256"/>
        <v>0</v>
      </c>
      <c r="N1586" s="1211">
        <f t="shared" si="257"/>
        <v>0</v>
      </c>
      <c r="O1586" s="1212"/>
      <c r="P1586" s="1200"/>
      <c r="Q1586" s="1200"/>
    </row>
    <row r="1587" spans="1:17" ht="15" thickTop="1" thickBot="1" x14ac:dyDescent="0.3">
      <c r="A1587" s="1207"/>
      <c r="B1587" s="1212"/>
      <c r="C1587" s="1212"/>
      <c r="D1587" s="1212"/>
      <c r="E1587" s="1212"/>
      <c r="F1587" s="1208"/>
      <c r="G1587" s="1208"/>
      <c r="H1587" s="1208"/>
      <c r="I1587" s="1209"/>
      <c r="J1587" s="1209"/>
      <c r="K1587" s="1210">
        <f t="shared" si="254"/>
        <v>1.05</v>
      </c>
      <c r="L1587" s="1210">
        <f t="shared" si="255"/>
        <v>0</v>
      </c>
      <c r="M1587" s="1197">
        <f t="shared" si="256"/>
        <v>0</v>
      </c>
      <c r="N1587" s="1211">
        <f t="shared" si="257"/>
        <v>0</v>
      </c>
      <c r="O1587" s="1212"/>
      <c r="P1587" s="1200"/>
      <c r="Q1587" s="1200"/>
    </row>
    <row r="1588" spans="1:17" ht="15" thickTop="1" thickBot="1" x14ac:dyDescent="0.3">
      <c r="A1588" s="1207"/>
      <c r="B1588" s="1212"/>
      <c r="C1588" s="1212"/>
      <c r="D1588" s="1212"/>
      <c r="E1588" s="1212"/>
      <c r="F1588" s="1208"/>
      <c r="G1588" s="1208"/>
      <c r="H1588" s="1208"/>
      <c r="I1588" s="1209"/>
      <c r="J1588" s="1209"/>
      <c r="K1588" s="1210">
        <f t="shared" si="254"/>
        <v>1.05</v>
      </c>
      <c r="L1588" s="1210">
        <f t="shared" si="255"/>
        <v>0</v>
      </c>
      <c r="M1588" s="1197">
        <f t="shared" si="256"/>
        <v>0</v>
      </c>
      <c r="N1588" s="1211">
        <f t="shared" si="257"/>
        <v>0</v>
      </c>
      <c r="O1588" s="1212"/>
      <c r="P1588" s="1200"/>
      <c r="Q1588" s="1200"/>
    </row>
    <row r="1589" spans="1:17" ht="15" thickTop="1" thickBot="1" x14ac:dyDescent="0.3">
      <c r="A1589" s="1207"/>
      <c r="B1589" s="1212"/>
      <c r="C1589" s="1212"/>
      <c r="D1589" s="1212"/>
      <c r="E1589" s="1212"/>
      <c r="F1589" s="1208"/>
      <c r="G1589" s="1208"/>
      <c r="H1589" s="1208"/>
      <c r="I1589" s="1209"/>
      <c r="J1589" s="1209"/>
      <c r="K1589" s="1210">
        <f t="shared" si="254"/>
        <v>1.05</v>
      </c>
      <c r="L1589" s="1210">
        <f t="shared" si="255"/>
        <v>0</v>
      </c>
      <c r="M1589" s="1197">
        <f t="shared" si="256"/>
        <v>0</v>
      </c>
      <c r="N1589" s="1211">
        <f t="shared" si="257"/>
        <v>0</v>
      </c>
      <c r="O1589" s="1212"/>
      <c r="P1589" s="1200"/>
      <c r="Q1589" s="1200"/>
    </row>
    <row r="1590" spans="1:17" ht="15" thickTop="1" thickBot="1" x14ac:dyDescent="0.3">
      <c r="A1590" s="1207"/>
      <c r="B1590" s="1212"/>
      <c r="C1590" s="1212"/>
      <c r="D1590" s="1212"/>
      <c r="E1590" s="1212"/>
      <c r="F1590" s="1208"/>
      <c r="G1590" s="1208"/>
      <c r="H1590" s="1208"/>
      <c r="I1590" s="1209"/>
      <c r="J1590" s="1209"/>
      <c r="K1590" s="1210">
        <f t="shared" si="254"/>
        <v>1.05</v>
      </c>
      <c r="L1590" s="1210">
        <f t="shared" si="255"/>
        <v>0</v>
      </c>
      <c r="M1590" s="1197">
        <f t="shared" si="256"/>
        <v>0</v>
      </c>
      <c r="N1590" s="1211">
        <f t="shared" si="257"/>
        <v>0</v>
      </c>
      <c r="O1590" s="1212"/>
      <c r="P1590" s="1200"/>
      <c r="Q1590" s="1200"/>
    </row>
    <row r="1591" spans="1:17" ht="15" thickTop="1" thickBot="1" x14ac:dyDescent="0.3">
      <c r="A1591" s="1207"/>
      <c r="B1591" s="1212"/>
      <c r="C1591" s="1212"/>
      <c r="D1591" s="1212"/>
      <c r="E1591" s="1212"/>
      <c r="F1591" s="1208"/>
      <c r="G1591" s="1208"/>
      <c r="H1591" s="1208"/>
      <c r="I1591" s="1209"/>
      <c r="J1591" s="1209"/>
      <c r="K1591" s="1210">
        <f t="shared" si="254"/>
        <v>1.05</v>
      </c>
      <c r="L1591" s="1210">
        <f t="shared" si="255"/>
        <v>0</v>
      </c>
      <c r="M1591" s="1197">
        <f t="shared" si="256"/>
        <v>0</v>
      </c>
      <c r="N1591" s="1211">
        <f t="shared" si="257"/>
        <v>0</v>
      </c>
      <c r="O1591" s="1212"/>
      <c r="P1591" s="1200"/>
      <c r="Q1591" s="1200"/>
    </row>
    <row r="1592" spans="1:17" ht="15" thickTop="1" thickBot="1" x14ac:dyDescent="0.3">
      <c r="A1592" s="1207"/>
      <c r="B1592" s="1212"/>
      <c r="C1592" s="1212"/>
      <c r="D1592" s="1212"/>
      <c r="E1592" s="1212"/>
      <c r="F1592" s="1208"/>
      <c r="G1592" s="1208"/>
      <c r="H1592" s="1208"/>
      <c r="I1592" s="1209"/>
      <c r="J1592" s="1209"/>
      <c r="K1592" s="1210">
        <f t="shared" si="254"/>
        <v>1.05</v>
      </c>
      <c r="L1592" s="1210">
        <f t="shared" si="255"/>
        <v>0</v>
      </c>
      <c r="M1592" s="1197">
        <f t="shared" si="256"/>
        <v>0</v>
      </c>
      <c r="N1592" s="1211">
        <f t="shared" si="257"/>
        <v>0</v>
      </c>
      <c r="O1592" s="1212"/>
      <c r="P1592" s="1200"/>
      <c r="Q1592" s="1200"/>
    </row>
    <row r="1593" spans="1:17" ht="15" thickTop="1" thickBot="1" x14ac:dyDescent="0.3">
      <c r="A1593" s="1207"/>
      <c r="B1593" s="1212"/>
      <c r="C1593" s="1212"/>
      <c r="D1593" s="1212"/>
      <c r="E1593" s="1212"/>
      <c r="F1593" s="1208"/>
      <c r="G1593" s="1208"/>
      <c r="H1593" s="1208"/>
      <c r="I1593" s="1209"/>
      <c r="J1593" s="1209"/>
      <c r="K1593" s="1210">
        <f t="shared" si="254"/>
        <v>1.05</v>
      </c>
      <c r="L1593" s="1210">
        <f t="shared" si="255"/>
        <v>0</v>
      </c>
      <c r="M1593" s="1197">
        <f t="shared" si="256"/>
        <v>0</v>
      </c>
      <c r="N1593" s="1211">
        <f t="shared" si="257"/>
        <v>0</v>
      </c>
      <c r="O1593" s="1212"/>
      <c r="P1593" s="1200"/>
      <c r="Q1593" s="1200"/>
    </row>
    <row r="1594" spans="1:17" ht="15" thickTop="1" thickBot="1" x14ac:dyDescent="0.3">
      <c r="A1594" s="1207"/>
      <c r="B1594" s="1212"/>
      <c r="C1594" s="1212"/>
      <c r="D1594" s="1212"/>
      <c r="E1594" s="1212"/>
      <c r="F1594" s="1208"/>
      <c r="G1594" s="1208"/>
      <c r="H1594" s="1208"/>
      <c r="I1594" s="1209"/>
      <c r="J1594" s="1209"/>
      <c r="K1594" s="1210">
        <f t="shared" si="254"/>
        <v>1.05</v>
      </c>
      <c r="L1594" s="1210">
        <f t="shared" si="255"/>
        <v>0</v>
      </c>
      <c r="M1594" s="1197">
        <f t="shared" si="256"/>
        <v>0</v>
      </c>
      <c r="N1594" s="1211">
        <f t="shared" si="257"/>
        <v>0</v>
      </c>
      <c r="O1594" s="1212"/>
      <c r="P1594" s="1200"/>
      <c r="Q1594" s="1200"/>
    </row>
    <row r="1595" spans="1:17" ht="15" thickTop="1" thickBot="1" x14ac:dyDescent="0.3">
      <c r="A1595" s="1207"/>
      <c r="B1595" s="1212"/>
      <c r="C1595" s="1212"/>
      <c r="D1595" s="1212"/>
      <c r="E1595" s="1212"/>
      <c r="F1595" s="1208"/>
      <c r="G1595" s="1208"/>
      <c r="H1595" s="1208"/>
      <c r="I1595" s="1209"/>
      <c r="J1595" s="1209"/>
      <c r="K1595" s="1210">
        <f t="shared" si="254"/>
        <v>1.05</v>
      </c>
      <c r="L1595" s="1210">
        <f t="shared" si="255"/>
        <v>0</v>
      </c>
      <c r="M1595" s="1197">
        <f t="shared" si="256"/>
        <v>0</v>
      </c>
      <c r="N1595" s="1211">
        <f t="shared" si="257"/>
        <v>0</v>
      </c>
      <c r="O1595" s="1212"/>
      <c r="P1595" s="1200"/>
      <c r="Q1595" s="1200">
        <f>SUM(E1590:E1600)</f>
        <v>0</v>
      </c>
    </row>
    <row r="1596" spans="1:17" ht="15" thickTop="1" thickBot="1" x14ac:dyDescent="0.3">
      <c r="A1596" s="1207"/>
      <c r="B1596" s="1212"/>
      <c r="C1596" s="1212"/>
      <c r="D1596" s="1212"/>
      <c r="E1596" s="1212"/>
      <c r="F1596" s="1208"/>
      <c r="G1596" s="1208"/>
      <c r="H1596" s="1208"/>
      <c r="I1596" s="1209"/>
      <c r="J1596" s="1209"/>
      <c r="K1596" s="1210">
        <f t="shared" si="254"/>
        <v>1.05</v>
      </c>
      <c r="L1596" s="1210">
        <f t="shared" si="255"/>
        <v>0</v>
      </c>
      <c r="M1596" s="1197">
        <f t="shared" si="256"/>
        <v>0</v>
      </c>
      <c r="N1596" s="1211">
        <f t="shared" si="257"/>
        <v>0</v>
      </c>
      <c r="O1596" s="1212"/>
      <c r="P1596" s="1200"/>
      <c r="Q1596" s="1200"/>
    </row>
    <row r="1597" spans="1:17" ht="15" thickTop="1" thickBot="1" x14ac:dyDescent="0.3">
      <c r="A1597" s="1207"/>
      <c r="B1597" s="1212"/>
      <c r="C1597" s="1212"/>
      <c r="D1597" s="1212"/>
      <c r="E1597" s="1212"/>
      <c r="F1597" s="1208"/>
      <c r="G1597" s="1208"/>
      <c r="H1597" s="1208"/>
      <c r="I1597" s="1209"/>
      <c r="J1597" s="1209"/>
      <c r="K1597" s="1210">
        <f t="shared" si="254"/>
        <v>1.05</v>
      </c>
      <c r="L1597" s="1210">
        <f t="shared" si="255"/>
        <v>0</v>
      </c>
      <c r="M1597" s="1197">
        <f t="shared" si="256"/>
        <v>0</v>
      </c>
      <c r="N1597" s="1211">
        <f t="shared" si="257"/>
        <v>0</v>
      </c>
      <c r="O1597" s="1212"/>
      <c r="P1597" s="1200"/>
      <c r="Q1597" s="1200"/>
    </row>
    <row r="1598" spans="1:17" ht="15" thickTop="1" thickBot="1" x14ac:dyDescent="0.3">
      <c r="A1598" s="1207"/>
      <c r="B1598" s="1212"/>
      <c r="C1598" s="1212"/>
      <c r="D1598" s="1212"/>
      <c r="E1598" s="1212"/>
      <c r="F1598" s="1208"/>
      <c r="G1598" s="1208"/>
      <c r="H1598" s="1208"/>
      <c r="I1598" s="1209"/>
      <c r="J1598" s="1209"/>
      <c r="K1598" s="1210">
        <f t="shared" si="254"/>
        <v>1.05</v>
      </c>
      <c r="L1598" s="1210">
        <f t="shared" si="255"/>
        <v>0</v>
      </c>
      <c r="M1598" s="1197">
        <f t="shared" si="256"/>
        <v>0</v>
      </c>
      <c r="N1598" s="1211">
        <f t="shared" si="257"/>
        <v>0</v>
      </c>
      <c r="O1598" s="1212"/>
      <c r="P1598" s="1200"/>
      <c r="Q1598" s="1200"/>
    </row>
    <row r="1599" spans="1:17" ht="15" thickTop="1" thickBot="1" x14ac:dyDescent="0.3">
      <c r="A1599" s="1207"/>
      <c r="B1599" s="1212"/>
      <c r="C1599" s="1212"/>
      <c r="D1599" s="1212"/>
      <c r="E1599" s="1212"/>
      <c r="F1599" s="1208"/>
      <c r="G1599" s="1208"/>
      <c r="H1599" s="1208"/>
      <c r="I1599" s="1209"/>
      <c r="J1599" s="1209"/>
      <c r="K1599" s="1210">
        <f t="shared" si="254"/>
        <v>1.05</v>
      </c>
      <c r="L1599" s="1210">
        <f t="shared" si="255"/>
        <v>0</v>
      </c>
      <c r="M1599" s="1197">
        <f t="shared" si="256"/>
        <v>0</v>
      </c>
      <c r="N1599" s="1211">
        <f t="shared" si="257"/>
        <v>0</v>
      </c>
      <c r="O1599" s="1212"/>
      <c r="P1599" s="1200"/>
      <c r="Q1599" s="1200"/>
    </row>
    <row r="1600" spans="1:17" ht="15" thickTop="1" thickBot="1" x14ac:dyDescent="0.3">
      <c r="A1600" s="1207"/>
      <c r="B1600" s="1212"/>
      <c r="C1600" s="1212"/>
      <c r="D1600" s="1212"/>
      <c r="E1600" s="1212"/>
      <c r="F1600" s="1208"/>
      <c r="G1600" s="1208"/>
      <c r="H1600" s="1208"/>
      <c r="I1600" s="1209"/>
      <c r="J1600" s="1209"/>
      <c r="K1600" s="1210">
        <f t="shared" si="254"/>
        <v>1.05</v>
      </c>
      <c r="L1600" s="1210">
        <f t="shared" si="255"/>
        <v>0</v>
      </c>
      <c r="M1600" s="1197">
        <f t="shared" si="256"/>
        <v>0</v>
      </c>
      <c r="N1600" s="1211">
        <f t="shared" si="257"/>
        <v>0</v>
      </c>
      <c r="O1600" s="1212"/>
      <c r="P1600" s="1200"/>
      <c r="Q1600" s="1200"/>
    </row>
    <row r="1601" spans="1:17" ht="15" thickTop="1" thickBot="1" x14ac:dyDescent="0.3">
      <c r="A1601" s="1207"/>
      <c r="B1601" s="1212"/>
      <c r="C1601" s="1212"/>
      <c r="D1601" s="1212"/>
      <c r="E1601" s="1212"/>
      <c r="F1601" s="1208"/>
      <c r="G1601" s="1208"/>
      <c r="H1601" s="1208"/>
      <c r="I1601" s="1209"/>
      <c r="J1601" s="1209"/>
      <c r="K1601" s="1210">
        <f t="shared" si="254"/>
        <v>1.05</v>
      </c>
      <c r="L1601" s="1210">
        <f t="shared" si="255"/>
        <v>0</v>
      </c>
      <c r="M1601" s="1197">
        <f t="shared" si="256"/>
        <v>0</v>
      </c>
      <c r="N1601" s="1211">
        <f t="shared" si="257"/>
        <v>0</v>
      </c>
      <c r="O1601" s="1212"/>
      <c r="P1601" s="1200"/>
      <c r="Q1601" s="1200"/>
    </row>
    <row r="1602" spans="1:17" ht="15" thickTop="1" thickBot="1" x14ac:dyDescent="0.3">
      <c r="A1602" s="1207"/>
      <c r="B1602" s="1212"/>
      <c r="C1602" s="1212"/>
      <c r="D1602" s="1212"/>
      <c r="E1602" s="1212"/>
      <c r="F1602" s="1208"/>
      <c r="G1602" s="1208"/>
      <c r="H1602" s="1208"/>
      <c r="I1602" s="1209"/>
      <c r="J1602" s="1209"/>
      <c r="K1602" s="1210">
        <f t="shared" si="254"/>
        <v>1.05</v>
      </c>
      <c r="L1602" s="1210">
        <f t="shared" si="255"/>
        <v>0</v>
      </c>
      <c r="M1602" s="1197">
        <f t="shared" si="256"/>
        <v>0</v>
      </c>
      <c r="N1602" s="1211">
        <f t="shared" si="257"/>
        <v>0</v>
      </c>
      <c r="O1602" s="1212"/>
      <c r="P1602" s="1200"/>
      <c r="Q1602" s="1200"/>
    </row>
    <row r="1603" spans="1:17" ht="15" thickTop="1" thickBot="1" x14ac:dyDescent="0.3">
      <c r="A1603" s="1207"/>
      <c r="B1603" s="1212"/>
      <c r="C1603" s="1212"/>
      <c r="D1603" s="1212"/>
      <c r="E1603" s="1212"/>
      <c r="F1603" s="1208"/>
      <c r="G1603" s="1208"/>
      <c r="H1603" s="1208"/>
      <c r="I1603" s="1209"/>
      <c r="J1603" s="1209"/>
      <c r="K1603" s="1210">
        <f t="shared" si="254"/>
        <v>1.05</v>
      </c>
      <c r="L1603" s="1210">
        <f t="shared" si="255"/>
        <v>0</v>
      </c>
      <c r="M1603" s="1197">
        <f t="shared" si="256"/>
        <v>0</v>
      </c>
      <c r="N1603" s="1211">
        <f t="shared" si="257"/>
        <v>0</v>
      </c>
      <c r="O1603" s="1212"/>
      <c r="P1603" s="1200"/>
      <c r="Q1603" s="1200"/>
    </row>
    <row r="1604" spans="1:17" ht="15" thickTop="1" thickBot="1" x14ac:dyDescent="0.3">
      <c r="A1604" s="1207"/>
      <c r="B1604" s="1212"/>
      <c r="C1604" s="1212"/>
      <c r="D1604" s="1212"/>
      <c r="E1604" s="1212"/>
      <c r="F1604" s="1208"/>
      <c r="G1604" s="1208"/>
      <c r="H1604" s="1208"/>
      <c r="I1604" s="1209"/>
      <c r="J1604" s="1209"/>
      <c r="K1604" s="1210">
        <f t="shared" si="254"/>
        <v>1.05</v>
      </c>
      <c r="L1604" s="1210">
        <f t="shared" si="255"/>
        <v>0</v>
      </c>
      <c r="M1604" s="1197">
        <f t="shared" si="256"/>
        <v>0</v>
      </c>
      <c r="N1604" s="1211">
        <f t="shared" si="257"/>
        <v>0</v>
      </c>
      <c r="O1604" s="1212"/>
      <c r="P1604" s="1200"/>
      <c r="Q1604" s="1200"/>
    </row>
    <row r="1605" spans="1:17" ht="15" thickTop="1" thickBot="1" x14ac:dyDescent="0.3">
      <c r="A1605" s="1207"/>
      <c r="B1605" s="1212"/>
      <c r="C1605" s="1212"/>
      <c r="D1605" s="1212"/>
      <c r="E1605" s="1212"/>
      <c r="F1605" s="1208"/>
      <c r="G1605" s="1208"/>
      <c r="H1605" s="1208"/>
      <c r="I1605" s="1209"/>
      <c r="J1605" s="1209"/>
      <c r="K1605" s="1210">
        <f t="shared" si="254"/>
        <v>1.05</v>
      </c>
      <c r="L1605" s="1210">
        <f t="shared" si="255"/>
        <v>0</v>
      </c>
      <c r="M1605" s="1197">
        <f t="shared" si="256"/>
        <v>0</v>
      </c>
      <c r="N1605" s="1211">
        <f t="shared" si="257"/>
        <v>0</v>
      </c>
      <c r="O1605" s="1212"/>
      <c r="P1605" s="1200"/>
      <c r="Q1605" s="1200"/>
    </row>
    <row r="1606" spans="1:17" ht="15" thickTop="1" thickBot="1" x14ac:dyDescent="0.3">
      <c r="A1606" s="1207"/>
      <c r="B1606" s="1212"/>
      <c r="C1606" s="1212"/>
      <c r="D1606" s="1212"/>
      <c r="E1606" s="1212"/>
      <c r="F1606" s="1208"/>
      <c r="G1606" s="1208"/>
      <c r="H1606" s="1208"/>
      <c r="I1606" s="1209"/>
      <c r="J1606" s="1209"/>
      <c r="K1606" s="1210">
        <f t="shared" si="254"/>
        <v>1.05</v>
      </c>
      <c r="L1606" s="1210">
        <f t="shared" si="255"/>
        <v>0</v>
      </c>
      <c r="M1606" s="1197">
        <f t="shared" si="256"/>
        <v>0</v>
      </c>
      <c r="N1606" s="1211">
        <f t="shared" si="257"/>
        <v>0</v>
      </c>
      <c r="O1606" s="1212"/>
      <c r="P1606" s="1200"/>
      <c r="Q1606" s="1200"/>
    </row>
    <row r="1607" spans="1:17" ht="15" thickTop="1" thickBot="1" x14ac:dyDescent="0.3">
      <c r="A1607" s="1207"/>
      <c r="B1607" s="1212"/>
      <c r="C1607" s="1212"/>
      <c r="D1607" s="1212"/>
      <c r="E1607" s="1212"/>
      <c r="F1607" s="1208"/>
      <c r="G1607" s="1208"/>
      <c r="H1607" s="1208"/>
      <c r="I1607" s="1209"/>
      <c r="J1607" s="1209"/>
      <c r="K1607" s="1210">
        <f t="shared" si="254"/>
        <v>1.05</v>
      </c>
      <c r="L1607" s="1210">
        <f t="shared" si="255"/>
        <v>0</v>
      </c>
      <c r="M1607" s="1197">
        <f t="shared" si="256"/>
        <v>0</v>
      </c>
      <c r="N1607" s="1211">
        <f t="shared" si="257"/>
        <v>0</v>
      </c>
      <c r="O1607" s="1212"/>
      <c r="P1607" s="1200"/>
      <c r="Q1607" s="1200"/>
    </row>
    <row r="1608" spans="1:17" ht="15" thickTop="1" thickBot="1" x14ac:dyDescent="0.3">
      <c r="A1608" s="1207"/>
      <c r="B1608" s="1212"/>
      <c r="C1608" s="1212"/>
      <c r="D1608" s="1212"/>
      <c r="E1608" s="1212"/>
      <c r="F1608" s="1208"/>
      <c r="G1608" s="1208"/>
      <c r="H1608" s="1208"/>
      <c r="I1608" s="1209"/>
      <c r="J1608" s="1209"/>
      <c r="K1608" s="1210">
        <f t="shared" si="254"/>
        <v>1.05</v>
      </c>
      <c r="L1608" s="1210">
        <f t="shared" si="255"/>
        <v>0</v>
      </c>
      <c r="M1608" s="1197">
        <f t="shared" si="256"/>
        <v>0</v>
      </c>
      <c r="N1608" s="1211">
        <f t="shared" si="257"/>
        <v>0</v>
      </c>
      <c r="O1608" s="1212"/>
      <c r="P1608" s="1200"/>
      <c r="Q1608" s="1200"/>
    </row>
    <row r="1609" spans="1:17" ht="15" thickTop="1" thickBot="1" x14ac:dyDescent="0.3">
      <c r="A1609" s="1207"/>
      <c r="B1609" s="1212"/>
      <c r="C1609" s="1212"/>
      <c r="D1609" s="1212"/>
      <c r="E1609" s="1212"/>
      <c r="F1609" s="1208"/>
      <c r="G1609" s="1208"/>
      <c r="H1609" s="1208"/>
      <c r="I1609" s="1209"/>
      <c r="J1609" s="1209"/>
      <c r="K1609" s="1210">
        <f t="shared" si="254"/>
        <v>1.05</v>
      </c>
      <c r="L1609" s="1210">
        <f t="shared" si="255"/>
        <v>0</v>
      </c>
      <c r="M1609" s="1197">
        <f t="shared" si="256"/>
        <v>0</v>
      </c>
      <c r="N1609" s="1211">
        <f t="shared" si="257"/>
        <v>0</v>
      </c>
      <c r="O1609" s="1212"/>
      <c r="P1609" s="1200"/>
      <c r="Q1609" s="1200"/>
    </row>
    <row r="1610" spans="1:17" ht="15" thickTop="1" thickBot="1" x14ac:dyDescent="0.3">
      <c r="A1610" s="1207"/>
      <c r="B1610" s="1212"/>
      <c r="C1610" s="1212"/>
      <c r="D1610" s="1212"/>
      <c r="E1610" s="1212"/>
      <c r="F1610" s="1208"/>
      <c r="G1610" s="1208"/>
      <c r="H1610" s="1208"/>
      <c r="I1610" s="1209"/>
      <c r="J1610" s="1209"/>
      <c r="K1610" s="1210">
        <f t="shared" si="254"/>
        <v>1.05</v>
      </c>
      <c r="L1610" s="1210">
        <f t="shared" si="255"/>
        <v>0</v>
      </c>
      <c r="M1610" s="1197">
        <f t="shared" si="256"/>
        <v>0</v>
      </c>
      <c r="N1610" s="1211">
        <f t="shared" si="257"/>
        <v>0</v>
      </c>
      <c r="O1610" s="1212"/>
      <c r="P1610" s="1200"/>
      <c r="Q1610" s="1200"/>
    </row>
    <row r="1611" spans="1:17" ht="15" thickTop="1" thickBot="1" x14ac:dyDescent="0.3">
      <c r="A1611" s="1207"/>
      <c r="B1611" s="1212"/>
      <c r="C1611" s="1212"/>
      <c r="D1611" s="1212"/>
      <c r="E1611" s="1212"/>
      <c r="F1611" s="1208"/>
      <c r="G1611" s="1208"/>
      <c r="H1611" s="1208"/>
      <c r="I1611" s="1209"/>
      <c r="J1611" s="1209"/>
      <c r="K1611" s="1210">
        <f t="shared" ref="K1611:K1674" si="258">$K$2</f>
        <v>1.05</v>
      </c>
      <c r="L1611" s="1210">
        <f t="shared" si="255"/>
        <v>0</v>
      </c>
      <c r="M1611" s="1197">
        <f t="shared" si="256"/>
        <v>0</v>
      </c>
      <c r="N1611" s="1211">
        <f t="shared" si="257"/>
        <v>0</v>
      </c>
      <c r="O1611" s="1212"/>
      <c r="P1611" s="1200"/>
      <c r="Q1611" s="1200"/>
    </row>
    <row r="1612" spans="1:17" ht="15" thickTop="1" thickBot="1" x14ac:dyDescent="0.3">
      <c r="A1612" s="1207"/>
      <c r="B1612" s="1212"/>
      <c r="C1612" s="1212"/>
      <c r="D1612" s="1212"/>
      <c r="E1612" s="1212"/>
      <c r="F1612" s="1208"/>
      <c r="G1612" s="1208"/>
      <c r="H1612" s="1208"/>
      <c r="I1612" s="1209"/>
      <c r="J1612" s="1209"/>
      <c r="K1612" s="1210">
        <f t="shared" si="258"/>
        <v>1.05</v>
      </c>
      <c r="L1612" s="1210">
        <f t="shared" si="255"/>
        <v>0</v>
      </c>
      <c r="M1612" s="1197">
        <f t="shared" si="256"/>
        <v>0</v>
      </c>
      <c r="N1612" s="1211">
        <f t="shared" si="257"/>
        <v>0</v>
      </c>
      <c r="O1612" s="1212"/>
      <c r="P1612" s="1200"/>
      <c r="Q1612" s="1200"/>
    </row>
    <row r="1613" spans="1:17" ht="15" thickTop="1" thickBot="1" x14ac:dyDescent="0.3">
      <c r="A1613" s="1207"/>
      <c r="B1613" s="1212"/>
      <c r="C1613" s="1212"/>
      <c r="D1613" s="1212"/>
      <c r="E1613" s="1212"/>
      <c r="F1613" s="1208"/>
      <c r="G1613" s="1208"/>
      <c r="H1613" s="1208"/>
      <c r="I1613" s="1209"/>
      <c r="J1613" s="1209"/>
      <c r="K1613" s="1210">
        <f t="shared" si="258"/>
        <v>1.05</v>
      </c>
      <c r="L1613" s="1210">
        <f t="shared" si="255"/>
        <v>0</v>
      </c>
      <c r="M1613" s="1197">
        <f t="shared" si="256"/>
        <v>0</v>
      </c>
      <c r="N1613" s="1211">
        <f t="shared" si="257"/>
        <v>0</v>
      </c>
      <c r="O1613" s="1212"/>
      <c r="P1613" s="1200"/>
      <c r="Q1613" s="1200"/>
    </row>
    <row r="1614" spans="1:17" ht="15" thickTop="1" thickBot="1" x14ac:dyDescent="0.3">
      <c r="A1614" s="1207"/>
      <c r="B1614" s="1212"/>
      <c r="C1614" s="1212"/>
      <c r="D1614" s="1212"/>
      <c r="E1614" s="1212"/>
      <c r="F1614" s="1208"/>
      <c r="G1614" s="1208"/>
      <c r="H1614" s="1208"/>
      <c r="I1614" s="1209"/>
      <c r="J1614" s="1209"/>
      <c r="K1614" s="1210">
        <f t="shared" si="258"/>
        <v>1.05</v>
      </c>
      <c r="L1614" s="1210">
        <f t="shared" si="255"/>
        <v>0</v>
      </c>
      <c r="M1614" s="1197">
        <f t="shared" si="256"/>
        <v>0</v>
      </c>
      <c r="N1614" s="1211">
        <f t="shared" si="257"/>
        <v>0</v>
      </c>
      <c r="O1614" s="1212"/>
      <c r="P1614" s="1200"/>
      <c r="Q1614" s="1200"/>
    </row>
    <row r="1615" spans="1:17" ht="15" thickTop="1" thickBot="1" x14ac:dyDescent="0.3">
      <c r="A1615" s="1207"/>
      <c r="B1615" s="1212"/>
      <c r="C1615" s="1212"/>
      <c r="D1615" s="1212"/>
      <c r="E1615" s="1212"/>
      <c r="F1615" s="1208"/>
      <c r="G1615" s="1208"/>
      <c r="H1615" s="1208"/>
      <c r="I1615" s="1209"/>
      <c r="J1615" s="1209"/>
      <c r="K1615" s="1210">
        <f t="shared" si="258"/>
        <v>1.05</v>
      </c>
      <c r="L1615" s="1210">
        <f t="shared" si="255"/>
        <v>0</v>
      </c>
      <c r="M1615" s="1197">
        <f t="shared" si="256"/>
        <v>0</v>
      </c>
      <c r="N1615" s="1211">
        <f t="shared" si="257"/>
        <v>0</v>
      </c>
      <c r="O1615" s="1212"/>
      <c r="P1615" s="1200"/>
      <c r="Q1615" s="1200"/>
    </row>
    <row r="1616" spans="1:17" ht="15" thickTop="1" thickBot="1" x14ac:dyDescent="0.3">
      <c r="A1616" s="1207"/>
      <c r="B1616" s="1212"/>
      <c r="C1616" s="1212"/>
      <c r="D1616" s="1212"/>
      <c r="E1616" s="1212"/>
      <c r="F1616" s="1208"/>
      <c r="G1616" s="1208"/>
      <c r="H1616" s="1208"/>
      <c r="I1616" s="1209"/>
      <c r="J1616" s="1209"/>
      <c r="K1616" s="1210">
        <f t="shared" si="258"/>
        <v>1.05</v>
      </c>
      <c r="L1616" s="1210">
        <f t="shared" si="255"/>
        <v>0</v>
      </c>
      <c r="M1616" s="1197">
        <f t="shared" si="256"/>
        <v>0</v>
      </c>
      <c r="N1616" s="1211">
        <f t="shared" si="257"/>
        <v>0</v>
      </c>
      <c r="O1616" s="1212"/>
      <c r="P1616" s="1200"/>
      <c r="Q1616" s="1200"/>
    </row>
    <row r="1617" spans="1:17" ht="15" thickTop="1" thickBot="1" x14ac:dyDescent="0.3">
      <c r="A1617" s="1207"/>
      <c r="B1617" s="1212"/>
      <c r="C1617" s="1212"/>
      <c r="D1617" s="1212"/>
      <c r="E1617" s="1212"/>
      <c r="F1617" s="1208"/>
      <c r="G1617" s="1208"/>
      <c r="H1617" s="1208"/>
      <c r="I1617" s="1209"/>
      <c r="J1617" s="1209"/>
      <c r="K1617" s="1210">
        <f t="shared" si="258"/>
        <v>1.05</v>
      </c>
      <c r="L1617" s="1210">
        <f t="shared" si="255"/>
        <v>0</v>
      </c>
      <c r="M1617" s="1197">
        <f t="shared" si="256"/>
        <v>0</v>
      </c>
      <c r="N1617" s="1211">
        <f t="shared" si="257"/>
        <v>0</v>
      </c>
      <c r="O1617" s="1212"/>
      <c r="P1617" s="1200"/>
      <c r="Q1617" s="1200"/>
    </row>
    <row r="1618" spans="1:17" ht="15" thickTop="1" thickBot="1" x14ac:dyDescent="0.3">
      <c r="A1618" s="1207"/>
      <c r="B1618" s="1212"/>
      <c r="C1618" s="1212"/>
      <c r="D1618" s="1212"/>
      <c r="E1618" s="1212"/>
      <c r="F1618" s="1208"/>
      <c r="G1618" s="1208"/>
      <c r="H1618" s="1208"/>
      <c r="I1618" s="1209"/>
      <c r="J1618" s="1209"/>
      <c r="K1618" s="1210">
        <f t="shared" si="258"/>
        <v>1.05</v>
      </c>
      <c r="L1618" s="1210">
        <f t="shared" si="255"/>
        <v>0</v>
      </c>
      <c r="M1618" s="1197">
        <f t="shared" si="256"/>
        <v>0</v>
      </c>
      <c r="N1618" s="1211">
        <f t="shared" si="257"/>
        <v>0</v>
      </c>
      <c r="O1618" s="1212"/>
      <c r="P1618" s="1200"/>
      <c r="Q1618" s="1200"/>
    </row>
    <row r="1619" spans="1:17" ht="15" thickTop="1" thickBot="1" x14ac:dyDescent="0.3">
      <c r="A1619" s="1207"/>
      <c r="B1619" s="1212"/>
      <c r="C1619" s="1212"/>
      <c r="D1619" s="1212"/>
      <c r="E1619" s="1212"/>
      <c r="F1619" s="1208"/>
      <c r="G1619" s="1208"/>
      <c r="H1619" s="1208"/>
      <c r="I1619" s="1209"/>
      <c r="J1619" s="1209"/>
      <c r="K1619" s="1210">
        <f t="shared" si="258"/>
        <v>1.05</v>
      </c>
      <c r="L1619" s="1210">
        <f t="shared" si="255"/>
        <v>0</v>
      </c>
      <c r="M1619" s="1197">
        <f t="shared" si="256"/>
        <v>0</v>
      </c>
      <c r="N1619" s="1211">
        <f t="shared" si="257"/>
        <v>0</v>
      </c>
      <c r="O1619" s="1212"/>
      <c r="P1619" s="1200"/>
      <c r="Q1619" s="1200"/>
    </row>
    <row r="1620" spans="1:17" ht="15" thickTop="1" thickBot="1" x14ac:dyDescent="0.3">
      <c r="A1620" s="1207"/>
      <c r="B1620" s="1212"/>
      <c r="C1620" s="1212"/>
      <c r="D1620" s="1212"/>
      <c r="E1620" s="1212"/>
      <c r="F1620" s="1208"/>
      <c r="G1620" s="1208"/>
      <c r="H1620" s="1208"/>
      <c r="I1620" s="1209"/>
      <c r="J1620" s="1209"/>
      <c r="K1620" s="1210">
        <f t="shared" si="258"/>
        <v>1.05</v>
      </c>
      <c r="L1620" s="1210">
        <f t="shared" si="255"/>
        <v>0</v>
      </c>
      <c r="M1620" s="1197">
        <f t="shared" si="256"/>
        <v>0</v>
      </c>
      <c r="N1620" s="1211">
        <f t="shared" si="257"/>
        <v>0</v>
      </c>
      <c r="O1620" s="1212"/>
      <c r="P1620" s="1200"/>
      <c r="Q1620" s="1200"/>
    </row>
    <row r="1621" spans="1:17" ht="15" thickTop="1" thickBot="1" x14ac:dyDescent="0.3">
      <c r="A1621" s="1207"/>
      <c r="B1621" s="1212"/>
      <c r="C1621" s="1212"/>
      <c r="D1621" s="1212"/>
      <c r="E1621" s="1212"/>
      <c r="F1621" s="1208"/>
      <c r="G1621" s="1208"/>
      <c r="H1621" s="1208"/>
      <c r="I1621" s="1209"/>
      <c r="J1621" s="1209"/>
      <c r="K1621" s="1210">
        <f t="shared" si="258"/>
        <v>1.05</v>
      </c>
      <c r="L1621" s="1210">
        <f t="shared" si="255"/>
        <v>0</v>
      </c>
      <c r="M1621" s="1197">
        <f t="shared" si="256"/>
        <v>0</v>
      </c>
      <c r="N1621" s="1211">
        <f t="shared" si="257"/>
        <v>0</v>
      </c>
      <c r="O1621" s="1212"/>
      <c r="P1621" s="1200"/>
      <c r="Q1621" s="1200"/>
    </row>
    <row r="1622" spans="1:17" ht="15" thickTop="1" thickBot="1" x14ac:dyDescent="0.3">
      <c r="A1622" s="1207"/>
      <c r="B1622" s="1212"/>
      <c r="C1622" s="1212"/>
      <c r="D1622" s="1212"/>
      <c r="E1622" s="1212"/>
      <c r="F1622" s="1208"/>
      <c r="G1622" s="1208"/>
      <c r="H1622" s="1208"/>
      <c r="I1622" s="1209"/>
      <c r="J1622" s="1209"/>
      <c r="K1622" s="1210">
        <f t="shared" si="258"/>
        <v>1.05</v>
      </c>
      <c r="L1622" s="1210">
        <f t="shared" si="255"/>
        <v>0</v>
      </c>
      <c r="M1622" s="1197">
        <f t="shared" si="256"/>
        <v>0</v>
      </c>
      <c r="N1622" s="1211">
        <f t="shared" si="257"/>
        <v>0</v>
      </c>
      <c r="O1622" s="1212"/>
      <c r="P1622" s="1200"/>
      <c r="Q1622" s="1200"/>
    </row>
    <row r="1623" spans="1:17" ht="15" thickTop="1" thickBot="1" x14ac:dyDescent="0.3">
      <c r="A1623" s="1207"/>
      <c r="B1623" s="1212"/>
      <c r="C1623" s="1212"/>
      <c r="D1623" s="1212"/>
      <c r="E1623" s="1212"/>
      <c r="F1623" s="1208"/>
      <c r="G1623" s="1208"/>
      <c r="H1623" s="1208"/>
      <c r="I1623" s="1209"/>
      <c r="J1623" s="1209"/>
      <c r="K1623" s="1210">
        <f t="shared" si="258"/>
        <v>1.05</v>
      </c>
      <c r="L1623" s="1210">
        <f t="shared" si="255"/>
        <v>0</v>
      </c>
      <c r="M1623" s="1197">
        <f t="shared" si="256"/>
        <v>0</v>
      </c>
      <c r="N1623" s="1211">
        <f t="shared" si="257"/>
        <v>0</v>
      </c>
      <c r="O1623" s="1212"/>
      <c r="P1623" s="1200"/>
      <c r="Q1623" s="1200"/>
    </row>
    <row r="1624" spans="1:17" ht="15" thickTop="1" thickBot="1" x14ac:dyDescent="0.3">
      <c r="A1624" s="1207"/>
      <c r="B1624" s="1212"/>
      <c r="C1624" s="1212"/>
      <c r="D1624" s="1212"/>
      <c r="E1624" s="1212"/>
      <c r="F1624" s="1208"/>
      <c r="G1624" s="1208"/>
      <c r="H1624" s="1208"/>
      <c r="I1624" s="1209"/>
      <c r="J1624" s="1209"/>
      <c r="K1624" s="1210">
        <f t="shared" si="258"/>
        <v>1.05</v>
      </c>
      <c r="L1624" s="1210">
        <f t="shared" si="255"/>
        <v>0</v>
      </c>
      <c r="M1624" s="1197">
        <f t="shared" si="256"/>
        <v>0</v>
      </c>
      <c r="N1624" s="1211">
        <f t="shared" si="257"/>
        <v>0</v>
      </c>
      <c r="O1624" s="1212"/>
      <c r="P1624" s="1200"/>
      <c r="Q1624" s="1200"/>
    </row>
    <row r="1625" spans="1:17" ht="15" thickTop="1" thickBot="1" x14ac:dyDescent="0.3">
      <c r="A1625" s="1207"/>
      <c r="B1625" s="1212"/>
      <c r="C1625" s="1212"/>
      <c r="D1625" s="1212"/>
      <c r="E1625" s="1212"/>
      <c r="F1625" s="1208"/>
      <c r="G1625" s="1208"/>
      <c r="H1625" s="1208"/>
      <c r="I1625" s="1209"/>
      <c r="J1625" s="1209"/>
      <c r="K1625" s="1210">
        <f t="shared" si="258"/>
        <v>1.05</v>
      </c>
      <c r="L1625" s="1210">
        <f t="shared" si="255"/>
        <v>0</v>
      </c>
      <c r="M1625" s="1197">
        <f t="shared" si="256"/>
        <v>0</v>
      </c>
      <c r="N1625" s="1211">
        <f t="shared" si="257"/>
        <v>0</v>
      </c>
      <c r="O1625" s="1212"/>
      <c r="P1625" s="1200"/>
      <c r="Q1625" s="1200"/>
    </row>
    <row r="1626" spans="1:17" ht="15" thickTop="1" thickBot="1" x14ac:dyDescent="0.3">
      <c r="A1626" s="1207"/>
      <c r="B1626" s="1212"/>
      <c r="C1626" s="1212"/>
      <c r="D1626" s="1212"/>
      <c r="E1626" s="1212"/>
      <c r="F1626" s="1208"/>
      <c r="G1626" s="1208"/>
      <c r="H1626" s="1208"/>
      <c r="I1626" s="1209"/>
      <c r="J1626" s="1209"/>
      <c r="K1626" s="1210">
        <f t="shared" si="258"/>
        <v>1.05</v>
      </c>
      <c r="L1626" s="1210">
        <f t="shared" si="255"/>
        <v>0</v>
      </c>
      <c r="M1626" s="1197">
        <f t="shared" si="256"/>
        <v>0</v>
      </c>
      <c r="N1626" s="1211">
        <f t="shared" si="257"/>
        <v>0</v>
      </c>
      <c r="O1626" s="1212"/>
      <c r="P1626" s="1200"/>
      <c r="Q1626" s="1200"/>
    </row>
    <row r="1627" spans="1:17" ht="15" thickTop="1" thickBot="1" x14ac:dyDescent="0.3">
      <c r="A1627" s="1207"/>
      <c r="B1627" s="1212"/>
      <c r="C1627" s="1212"/>
      <c r="D1627" s="1212"/>
      <c r="E1627" s="1212"/>
      <c r="F1627" s="1208"/>
      <c r="G1627" s="1208"/>
      <c r="H1627" s="1208"/>
      <c r="I1627" s="1209"/>
      <c r="J1627" s="1209"/>
      <c r="K1627" s="1210">
        <f t="shared" si="258"/>
        <v>1.05</v>
      </c>
      <c r="L1627" s="1210">
        <f t="shared" si="255"/>
        <v>0</v>
      </c>
      <c r="M1627" s="1197">
        <f t="shared" si="256"/>
        <v>0</v>
      </c>
      <c r="N1627" s="1211">
        <f t="shared" si="257"/>
        <v>0</v>
      </c>
      <c r="O1627" s="1212"/>
      <c r="P1627" s="1200"/>
      <c r="Q1627" s="1200"/>
    </row>
    <row r="1628" spans="1:17" ht="15" thickTop="1" thickBot="1" x14ac:dyDescent="0.3">
      <c r="A1628" s="1207"/>
      <c r="B1628" s="1212"/>
      <c r="C1628" s="1212"/>
      <c r="D1628" s="1212"/>
      <c r="E1628" s="1212"/>
      <c r="F1628" s="1208"/>
      <c r="G1628" s="1208"/>
      <c r="H1628" s="1208"/>
      <c r="I1628" s="1209"/>
      <c r="J1628" s="1209"/>
      <c r="K1628" s="1210">
        <f t="shared" si="258"/>
        <v>1.05</v>
      </c>
      <c r="L1628" s="1210">
        <f t="shared" si="255"/>
        <v>0</v>
      </c>
      <c r="M1628" s="1197">
        <f t="shared" si="256"/>
        <v>0</v>
      </c>
      <c r="N1628" s="1211">
        <f t="shared" si="257"/>
        <v>0</v>
      </c>
      <c r="O1628" s="1212"/>
      <c r="P1628" s="1200"/>
      <c r="Q1628" s="1200"/>
    </row>
    <row r="1629" spans="1:17" ht="15" thickTop="1" thickBot="1" x14ac:dyDescent="0.3">
      <c r="A1629" s="1207"/>
      <c r="B1629" s="1212"/>
      <c r="C1629" s="1212"/>
      <c r="D1629" s="1212"/>
      <c r="E1629" s="1212"/>
      <c r="F1629" s="1208"/>
      <c r="G1629" s="1208"/>
      <c r="H1629" s="1208"/>
      <c r="I1629" s="1209"/>
      <c r="J1629" s="1209"/>
      <c r="K1629" s="1210">
        <f t="shared" si="258"/>
        <v>1.05</v>
      </c>
      <c r="L1629" s="1210">
        <f t="shared" si="255"/>
        <v>0</v>
      </c>
      <c r="M1629" s="1197">
        <f t="shared" si="256"/>
        <v>0</v>
      </c>
      <c r="N1629" s="1211">
        <f t="shared" si="257"/>
        <v>0</v>
      </c>
      <c r="O1629" s="1212"/>
      <c r="P1629" s="1200"/>
      <c r="Q1629" s="1200"/>
    </row>
    <row r="1630" spans="1:17" ht="15" thickTop="1" thickBot="1" x14ac:dyDescent="0.3">
      <c r="A1630" s="1207"/>
      <c r="B1630" s="1212"/>
      <c r="C1630" s="1212"/>
      <c r="D1630" s="1212"/>
      <c r="E1630" s="1212"/>
      <c r="F1630" s="1208"/>
      <c r="G1630" s="1208"/>
      <c r="H1630" s="1208"/>
      <c r="I1630" s="1209"/>
      <c r="J1630" s="1209"/>
      <c r="K1630" s="1210">
        <f t="shared" si="258"/>
        <v>1.05</v>
      </c>
      <c r="L1630" s="1210">
        <f t="shared" si="255"/>
        <v>0</v>
      </c>
      <c r="M1630" s="1197">
        <f t="shared" si="256"/>
        <v>0</v>
      </c>
      <c r="N1630" s="1211">
        <f t="shared" si="257"/>
        <v>0</v>
      </c>
      <c r="O1630" s="1212"/>
      <c r="P1630" s="1200"/>
      <c r="Q1630" s="1200"/>
    </row>
    <row r="1631" spans="1:17" ht="15" thickTop="1" thickBot="1" x14ac:dyDescent="0.3">
      <c r="A1631" s="1207"/>
      <c r="B1631" s="1212"/>
      <c r="C1631" s="1212"/>
      <c r="D1631" s="1212"/>
      <c r="E1631" s="1212"/>
      <c r="F1631" s="1208"/>
      <c r="G1631" s="1208"/>
      <c r="H1631" s="1208"/>
      <c r="I1631" s="1209"/>
      <c r="J1631" s="1209"/>
      <c r="K1631" s="1210">
        <f t="shared" si="258"/>
        <v>1.05</v>
      </c>
      <c r="L1631" s="1210">
        <f t="shared" si="255"/>
        <v>0</v>
      </c>
      <c r="M1631" s="1197">
        <f t="shared" si="256"/>
        <v>0</v>
      </c>
      <c r="N1631" s="1211">
        <f t="shared" si="257"/>
        <v>0</v>
      </c>
      <c r="O1631" s="1212"/>
      <c r="P1631" s="1200"/>
      <c r="Q1631" s="1200"/>
    </row>
    <row r="1632" spans="1:17" ht="15" thickTop="1" thickBot="1" x14ac:dyDescent="0.3">
      <c r="A1632" s="1207"/>
      <c r="B1632" s="1212"/>
      <c r="C1632" s="1212"/>
      <c r="D1632" s="1212"/>
      <c r="E1632" s="1212"/>
      <c r="F1632" s="1208"/>
      <c r="G1632" s="1208"/>
      <c r="H1632" s="1208"/>
      <c r="I1632" s="1209"/>
      <c r="J1632" s="1209"/>
      <c r="K1632" s="1210">
        <f t="shared" si="258"/>
        <v>1.05</v>
      </c>
      <c r="L1632" s="1210">
        <f t="shared" si="255"/>
        <v>0</v>
      </c>
      <c r="M1632" s="1197">
        <f t="shared" si="256"/>
        <v>0</v>
      </c>
      <c r="N1632" s="1211">
        <f t="shared" si="257"/>
        <v>0</v>
      </c>
      <c r="O1632" s="1212"/>
      <c r="P1632" s="1200"/>
      <c r="Q1632" s="1200"/>
    </row>
    <row r="1633" spans="1:17" ht="15" thickTop="1" thickBot="1" x14ac:dyDescent="0.3">
      <c r="A1633" s="1207"/>
      <c r="B1633" s="1212"/>
      <c r="C1633" s="1212"/>
      <c r="D1633" s="1212"/>
      <c r="E1633" s="1212"/>
      <c r="F1633" s="1208"/>
      <c r="G1633" s="1208"/>
      <c r="H1633" s="1208"/>
      <c r="I1633" s="1209"/>
      <c r="J1633" s="1209"/>
      <c r="K1633" s="1210">
        <f t="shared" si="258"/>
        <v>1.05</v>
      </c>
      <c r="L1633" s="1210">
        <f t="shared" si="255"/>
        <v>0</v>
      </c>
      <c r="M1633" s="1197">
        <f t="shared" si="256"/>
        <v>0</v>
      </c>
      <c r="N1633" s="1211">
        <f t="shared" si="257"/>
        <v>0</v>
      </c>
      <c r="O1633" s="1212"/>
      <c r="P1633" s="1200"/>
      <c r="Q1633" s="1200"/>
    </row>
    <row r="1634" spans="1:17" ht="15" thickTop="1" thickBot="1" x14ac:dyDescent="0.3">
      <c r="A1634" s="1207"/>
      <c r="B1634" s="1212"/>
      <c r="C1634" s="1212"/>
      <c r="D1634" s="1212"/>
      <c r="E1634" s="1212"/>
      <c r="F1634" s="1208"/>
      <c r="G1634" s="1208"/>
      <c r="H1634" s="1208"/>
      <c r="I1634" s="1209"/>
      <c r="J1634" s="1209"/>
      <c r="K1634" s="1210">
        <f t="shared" si="258"/>
        <v>1.05</v>
      </c>
      <c r="L1634" s="1210">
        <f t="shared" si="255"/>
        <v>0</v>
      </c>
      <c r="M1634" s="1197">
        <f t="shared" si="256"/>
        <v>0</v>
      </c>
      <c r="N1634" s="1211">
        <f t="shared" si="257"/>
        <v>0</v>
      </c>
      <c r="O1634" s="1212"/>
      <c r="P1634" s="1200"/>
      <c r="Q1634" s="1200"/>
    </row>
    <row r="1635" spans="1:17" ht="15" thickTop="1" thickBot="1" x14ac:dyDescent="0.3">
      <c r="A1635" s="1207"/>
      <c r="B1635" s="1212"/>
      <c r="C1635" s="1212"/>
      <c r="D1635" s="1212"/>
      <c r="E1635" s="1212"/>
      <c r="F1635" s="1208"/>
      <c r="G1635" s="1208"/>
      <c r="H1635" s="1208"/>
      <c r="I1635" s="1209"/>
      <c r="J1635" s="1209"/>
      <c r="K1635" s="1210">
        <f t="shared" si="258"/>
        <v>1.05</v>
      </c>
      <c r="L1635" s="1210">
        <f t="shared" si="255"/>
        <v>0</v>
      </c>
      <c r="M1635" s="1197">
        <f t="shared" si="256"/>
        <v>0</v>
      </c>
      <c r="N1635" s="1211">
        <f t="shared" si="257"/>
        <v>0</v>
      </c>
      <c r="O1635" s="1212"/>
      <c r="P1635" s="1200"/>
      <c r="Q1635" s="1200"/>
    </row>
    <row r="1636" spans="1:17" ht="15" thickTop="1" thickBot="1" x14ac:dyDescent="0.3">
      <c r="A1636" s="1207"/>
      <c r="B1636" s="1212"/>
      <c r="C1636" s="1212"/>
      <c r="D1636" s="1212"/>
      <c r="E1636" s="1212"/>
      <c r="F1636" s="1208"/>
      <c r="G1636" s="1208"/>
      <c r="H1636" s="1208"/>
      <c r="I1636" s="1209"/>
      <c r="J1636" s="1209"/>
      <c r="K1636" s="1210">
        <f t="shared" si="258"/>
        <v>1.05</v>
      </c>
      <c r="L1636" s="1210">
        <f t="shared" si="255"/>
        <v>0</v>
      </c>
      <c r="M1636" s="1197">
        <f t="shared" si="256"/>
        <v>0</v>
      </c>
      <c r="N1636" s="1211">
        <f t="shared" si="257"/>
        <v>0</v>
      </c>
      <c r="O1636" s="1212"/>
      <c r="P1636" s="1200"/>
      <c r="Q1636" s="1200"/>
    </row>
    <row r="1637" spans="1:17" ht="15" thickTop="1" thickBot="1" x14ac:dyDescent="0.3">
      <c r="A1637" s="1207"/>
      <c r="B1637" s="1212"/>
      <c r="C1637" s="1212"/>
      <c r="D1637" s="1212"/>
      <c r="E1637" s="1212"/>
      <c r="F1637" s="1208"/>
      <c r="G1637" s="1208"/>
      <c r="H1637" s="1208"/>
      <c r="I1637" s="1209"/>
      <c r="J1637" s="1209"/>
      <c r="K1637" s="1210">
        <f t="shared" si="258"/>
        <v>1.05</v>
      </c>
      <c r="L1637" s="1210">
        <f t="shared" si="255"/>
        <v>0</v>
      </c>
      <c r="M1637" s="1197">
        <f t="shared" si="256"/>
        <v>0</v>
      </c>
      <c r="N1637" s="1211">
        <f t="shared" si="257"/>
        <v>0</v>
      </c>
      <c r="O1637" s="1212"/>
      <c r="P1637" s="1200"/>
      <c r="Q1637" s="1200"/>
    </row>
    <row r="1638" spans="1:17" ht="15" thickTop="1" thickBot="1" x14ac:dyDescent="0.3">
      <c r="A1638" s="1207"/>
      <c r="B1638" s="1212"/>
      <c r="C1638" s="1212"/>
      <c r="D1638" s="1212"/>
      <c r="E1638" s="1212"/>
      <c r="F1638" s="1208"/>
      <c r="G1638" s="1208"/>
      <c r="H1638" s="1208"/>
      <c r="I1638" s="1209"/>
      <c r="J1638" s="1209"/>
      <c r="K1638" s="1210">
        <f t="shared" si="258"/>
        <v>1.05</v>
      </c>
      <c r="L1638" s="1210">
        <f t="shared" si="255"/>
        <v>0</v>
      </c>
      <c r="M1638" s="1197">
        <f t="shared" si="256"/>
        <v>0</v>
      </c>
      <c r="N1638" s="1211">
        <f t="shared" si="257"/>
        <v>0</v>
      </c>
      <c r="O1638" s="1212"/>
      <c r="P1638" s="1200"/>
      <c r="Q1638" s="1200"/>
    </row>
    <row r="1639" spans="1:17" ht="15" thickTop="1" thickBot="1" x14ac:dyDescent="0.3">
      <c r="A1639" s="1207"/>
      <c r="B1639" s="1212"/>
      <c r="C1639" s="1212"/>
      <c r="D1639" s="1212"/>
      <c r="E1639" s="1212"/>
      <c r="F1639" s="1208"/>
      <c r="G1639" s="1208"/>
      <c r="H1639" s="1208"/>
      <c r="I1639" s="1209"/>
      <c r="J1639" s="1209"/>
      <c r="K1639" s="1210">
        <f t="shared" si="258"/>
        <v>1.05</v>
      </c>
      <c r="L1639" s="1210">
        <f t="shared" si="255"/>
        <v>0</v>
      </c>
      <c r="M1639" s="1197">
        <f t="shared" si="256"/>
        <v>0</v>
      </c>
      <c r="N1639" s="1211">
        <f t="shared" si="257"/>
        <v>0</v>
      </c>
      <c r="O1639" s="1212"/>
      <c r="P1639" s="1200"/>
      <c r="Q1639" s="1200"/>
    </row>
    <row r="1640" spans="1:17" ht="15" thickTop="1" thickBot="1" x14ac:dyDescent="0.3">
      <c r="A1640" s="1207"/>
      <c r="B1640" s="1212"/>
      <c r="C1640" s="1212"/>
      <c r="D1640" s="1212"/>
      <c r="E1640" s="1212"/>
      <c r="F1640" s="1208"/>
      <c r="G1640" s="1208"/>
      <c r="H1640" s="1208"/>
      <c r="I1640" s="1209"/>
      <c r="J1640" s="1209"/>
      <c r="K1640" s="1210">
        <f t="shared" si="258"/>
        <v>1.05</v>
      </c>
      <c r="L1640" s="1210">
        <f t="shared" si="255"/>
        <v>0</v>
      </c>
      <c r="M1640" s="1197">
        <f t="shared" si="256"/>
        <v>0</v>
      </c>
      <c r="N1640" s="1211">
        <f t="shared" si="257"/>
        <v>0</v>
      </c>
      <c r="O1640" s="1212"/>
      <c r="P1640" s="1200"/>
      <c r="Q1640" s="1200"/>
    </row>
    <row r="1641" spans="1:17" ht="15" thickTop="1" thickBot="1" x14ac:dyDescent="0.3">
      <c r="A1641" s="1207"/>
      <c r="B1641" s="1212"/>
      <c r="C1641" s="1212"/>
      <c r="D1641" s="1212"/>
      <c r="E1641" s="1212"/>
      <c r="F1641" s="1208"/>
      <c r="G1641" s="1208"/>
      <c r="H1641" s="1208"/>
      <c r="I1641" s="1209"/>
      <c r="J1641" s="1209"/>
      <c r="K1641" s="1210">
        <f t="shared" si="258"/>
        <v>1.05</v>
      </c>
      <c r="L1641" s="1210">
        <f t="shared" si="255"/>
        <v>0</v>
      </c>
      <c r="M1641" s="1197">
        <f t="shared" si="256"/>
        <v>0</v>
      </c>
      <c r="N1641" s="1211">
        <f t="shared" si="257"/>
        <v>0</v>
      </c>
      <c r="O1641" s="1212"/>
      <c r="P1641" s="1200"/>
      <c r="Q1641" s="1200"/>
    </row>
    <row r="1642" spans="1:17" ht="15" thickTop="1" thickBot="1" x14ac:dyDescent="0.3">
      <c r="A1642" s="1207"/>
      <c r="B1642" s="1212"/>
      <c r="C1642" s="1212"/>
      <c r="D1642" s="1212"/>
      <c r="E1642" s="1212"/>
      <c r="F1642" s="1208"/>
      <c r="G1642" s="1208"/>
      <c r="H1642" s="1208"/>
      <c r="I1642" s="1209"/>
      <c r="J1642" s="1209"/>
      <c r="K1642" s="1210">
        <f t="shared" si="258"/>
        <v>1.05</v>
      </c>
      <c r="L1642" s="1210">
        <f t="shared" ref="L1642:L1705" si="259">K1642*J1642</f>
        <v>0</v>
      </c>
      <c r="M1642" s="1197">
        <f t="shared" ref="M1642:M1705" si="260">ROUND(L1642,1)</f>
        <v>0</v>
      </c>
      <c r="N1642" s="1211">
        <f t="shared" ref="N1642:N1705" si="261">ROUNDUP(M1642,0)</f>
        <v>0</v>
      </c>
      <c r="O1642" s="1212"/>
      <c r="P1642" s="1200"/>
      <c r="Q1642" s="1200"/>
    </row>
    <row r="1643" spans="1:17" ht="15" thickTop="1" thickBot="1" x14ac:dyDescent="0.3">
      <c r="A1643" s="1207"/>
      <c r="B1643" s="1212"/>
      <c r="C1643" s="1212"/>
      <c r="D1643" s="1212"/>
      <c r="E1643" s="1212"/>
      <c r="F1643" s="1208"/>
      <c r="G1643" s="1208"/>
      <c r="H1643" s="1208"/>
      <c r="I1643" s="1209"/>
      <c r="J1643" s="1209"/>
      <c r="K1643" s="1210">
        <f t="shared" si="258"/>
        <v>1.05</v>
      </c>
      <c r="L1643" s="1210">
        <f t="shared" si="259"/>
        <v>0</v>
      </c>
      <c r="M1643" s="1197">
        <f t="shared" si="260"/>
        <v>0</v>
      </c>
      <c r="N1643" s="1211">
        <f t="shared" si="261"/>
        <v>0</v>
      </c>
      <c r="O1643" s="1212"/>
      <c r="P1643" s="1200"/>
      <c r="Q1643" s="1200"/>
    </row>
    <row r="1644" spans="1:17" ht="15" thickTop="1" thickBot="1" x14ac:dyDescent="0.3">
      <c r="A1644" s="1207"/>
      <c r="B1644" s="1212"/>
      <c r="C1644" s="1212"/>
      <c r="D1644" s="1212"/>
      <c r="E1644" s="1212"/>
      <c r="F1644" s="1208"/>
      <c r="G1644" s="1208"/>
      <c r="H1644" s="1208"/>
      <c r="I1644" s="1209"/>
      <c r="J1644" s="1209"/>
      <c r="K1644" s="1210">
        <f t="shared" si="258"/>
        <v>1.05</v>
      </c>
      <c r="L1644" s="1210">
        <f t="shared" si="259"/>
        <v>0</v>
      </c>
      <c r="M1644" s="1197">
        <f t="shared" si="260"/>
        <v>0</v>
      </c>
      <c r="N1644" s="1211">
        <f t="shared" si="261"/>
        <v>0</v>
      </c>
      <c r="O1644" s="1212"/>
      <c r="P1644" s="1200"/>
      <c r="Q1644" s="1200"/>
    </row>
    <row r="1645" spans="1:17" ht="15" thickTop="1" thickBot="1" x14ac:dyDescent="0.3">
      <c r="A1645" s="1207"/>
      <c r="B1645" s="1212"/>
      <c r="C1645" s="1212"/>
      <c r="D1645" s="1212"/>
      <c r="E1645" s="1212"/>
      <c r="F1645" s="1208"/>
      <c r="G1645" s="1208"/>
      <c r="H1645" s="1208"/>
      <c r="I1645" s="1209"/>
      <c r="J1645" s="1209"/>
      <c r="K1645" s="1210">
        <f t="shared" si="258"/>
        <v>1.05</v>
      </c>
      <c r="L1645" s="1210">
        <f t="shared" si="259"/>
        <v>0</v>
      </c>
      <c r="M1645" s="1197">
        <f t="shared" si="260"/>
        <v>0</v>
      </c>
      <c r="N1645" s="1211">
        <f t="shared" si="261"/>
        <v>0</v>
      </c>
      <c r="O1645" s="1212"/>
      <c r="P1645" s="1200"/>
      <c r="Q1645" s="1200"/>
    </row>
    <row r="1646" spans="1:17" ht="15" thickTop="1" thickBot="1" x14ac:dyDescent="0.3">
      <c r="A1646" s="1207"/>
      <c r="B1646" s="1212"/>
      <c r="C1646" s="1212"/>
      <c r="D1646" s="1212"/>
      <c r="E1646" s="1212"/>
      <c r="F1646" s="1208"/>
      <c r="G1646" s="1208"/>
      <c r="H1646" s="1208"/>
      <c r="I1646" s="1209"/>
      <c r="J1646" s="1209"/>
      <c r="K1646" s="1210">
        <f t="shared" si="258"/>
        <v>1.05</v>
      </c>
      <c r="L1646" s="1210">
        <f t="shared" si="259"/>
        <v>0</v>
      </c>
      <c r="M1646" s="1197">
        <f t="shared" si="260"/>
        <v>0</v>
      </c>
      <c r="N1646" s="1211">
        <f t="shared" si="261"/>
        <v>0</v>
      </c>
      <c r="O1646" s="1212"/>
      <c r="P1646" s="1200"/>
      <c r="Q1646" s="1200"/>
    </row>
    <row r="1647" spans="1:17" ht="15" thickTop="1" thickBot="1" x14ac:dyDescent="0.3">
      <c r="A1647" s="1207"/>
      <c r="B1647" s="1212"/>
      <c r="C1647" s="1212"/>
      <c r="D1647" s="1212"/>
      <c r="E1647" s="1212"/>
      <c r="F1647" s="1208"/>
      <c r="G1647" s="1208"/>
      <c r="H1647" s="1208"/>
      <c r="I1647" s="1209"/>
      <c r="J1647" s="1209"/>
      <c r="K1647" s="1210">
        <f t="shared" si="258"/>
        <v>1.05</v>
      </c>
      <c r="L1647" s="1210">
        <f t="shared" si="259"/>
        <v>0</v>
      </c>
      <c r="M1647" s="1197">
        <f t="shared" si="260"/>
        <v>0</v>
      </c>
      <c r="N1647" s="1211">
        <f t="shared" si="261"/>
        <v>0</v>
      </c>
      <c r="O1647" s="1212"/>
      <c r="P1647" s="1200"/>
      <c r="Q1647" s="1200"/>
    </row>
    <row r="1648" spans="1:17" ht="15" thickTop="1" thickBot="1" x14ac:dyDescent="0.3">
      <c r="A1648" s="1207"/>
      <c r="B1648" s="1212"/>
      <c r="C1648" s="1212"/>
      <c r="D1648" s="1212"/>
      <c r="E1648" s="1212"/>
      <c r="F1648" s="1208"/>
      <c r="G1648" s="1208"/>
      <c r="H1648" s="1208"/>
      <c r="I1648" s="1209"/>
      <c r="J1648" s="1209"/>
      <c r="K1648" s="1210">
        <f t="shared" si="258"/>
        <v>1.05</v>
      </c>
      <c r="L1648" s="1210">
        <f t="shared" si="259"/>
        <v>0</v>
      </c>
      <c r="M1648" s="1197">
        <f t="shared" si="260"/>
        <v>0</v>
      </c>
      <c r="N1648" s="1211">
        <f t="shared" si="261"/>
        <v>0</v>
      </c>
      <c r="O1648" s="1212"/>
      <c r="P1648" s="1200"/>
      <c r="Q1648" s="1200"/>
    </row>
    <row r="1649" spans="1:17" ht="15" thickTop="1" thickBot="1" x14ac:dyDescent="0.3">
      <c r="A1649" s="1207"/>
      <c r="B1649" s="1212"/>
      <c r="C1649" s="1212"/>
      <c r="D1649" s="1212"/>
      <c r="E1649" s="1212"/>
      <c r="F1649" s="1208"/>
      <c r="G1649" s="1208"/>
      <c r="H1649" s="1208"/>
      <c r="I1649" s="1209"/>
      <c r="J1649" s="1209"/>
      <c r="K1649" s="1210">
        <f t="shared" si="258"/>
        <v>1.05</v>
      </c>
      <c r="L1649" s="1210">
        <f t="shared" si="259"/>
        <v>0</v>
      </c>
      <c r="M1649" s="1197">
        <f t="shared" si="260"/>
        <v>0</v>
      </c>
      <c r="N1649" s="1211">
        <f t="shared" si="261"/>
        <v>0</v>
      </c>
      <c r="O1649" s="1212"/>
      <c r="P1649" s="1200"/>
      <c r="Q1649" s="1200"/>
    </row>
    <row r="1650" spans="1:17" ht="15" thickTop="1" thickBot="1" x14ac:dyDescent="0.3">
      <c r="A1650" s="1207"/>
      <c r="B1650" s="1212"/>
      <c r="C1650" s="1212"/>
      <c r="D1650" s="1212"/>
      <c r="E1650" s="1212"/>
      <c r="F1650" s="1208"/>
      <c r="G1650" s="1208"/>
      <c r="H1650" s="1208"/>
      <c r="I1650" s="1209"/>
      <c r="J1650" s="1209"/>
      <c r="K1650" s="1210">
        <f t="shared" si="258"/>
        <v>1.05</v>
      </c>
      <c r="L1650" s="1210">
        <f t="shared" si="259"/>
        <v>0</v>
      </c>
      <c r="M1650" s="1197">
        <f t="shared" si="260"/>
        <v>0</v>
      </c>
      <c r="N1650" s="1211">
        <f t="shared" si="261"/>
        <v>0</v>
      </c>
      <c r="O1650" s="1212"/>
      <c r="P1650" s="1200"/>
      <c r="Q1650" s="1200"/>
    </row>
    <row r="1651" spans="1:17" ht="15" thickTop="1" thickBot="1" x14ac:dyDescent="0.3">
      <c r="A1651" s="1207"/>
      <c r="B1651" s="1212"/>
      <c r="C1651" s="1212"/>
      <c r="D1651" s="1212"/>
      <c r="E1651" s="1212"/>
      <c r="F1651" s="1208"/>
      <c r="G1651" s="1208"/>
      <c r="H1651" s="1208"/>
      <c r="I1651" s="1209"/>
      <c r="J1651" s="1209"/>
      <c r="K1651" s="1210">
        <f t="shared" si="258"/>
        <v>1.05</v>
      </c>
      <c r="L1651" s="1210">
        <f t="shared" si="259"/>
        <v>0</v>
      </c>
      <c r="M1651" s="1197">
        <f t="shared" si="260"/>
        <v>0</v>
      </c>
      <c r="N1651" s="1211">
        <f t="shared" si="261"/>
        <v>0</v>
      </c>
      <c r="O1651" s="1212"/>
      <c r="P1651" s="1200"/>
      <c r="Q1651" s="1200"/>
    </row>
    <row r="1652" spans="1:17" ht="15" thickTop="1" thickBot="1" x14ac:dyDescent="0.3">
      <c r="A1652" s="1207"/>
      <c r="B1652" s="1212"/>
      <c r="C1652" s="1212"/>
      <c r="D1652" s="1212"/>
      <c r="E1652" s="1212"/>
      <c r="F1652" s="1208"/>
      <c r="G1652" s="1208"/>
      <c r="H1652" s="1208"/>
      <c r="I1652" s="1209"/>
      <c r="J1652" s="1209"/>
      <c r="K1652" s="1210">
        <f t="shared" si="258"/>
        <v>1.05</v>
      </c>
      <c r="L1652" s="1210">
        <f t="shared" si="259"/>
        <v>0</v>
      </c>
      <c r="M1652" s="1197">
        <f t="shared" si="260"/>
        <v>0</v>
      </c>
      <c r="N1652" s="1211">
        <f t="shared" si="261"/>
        <v>0</v>
      </c>
      <c r="O1652" s="1212"/>
      <c r="P1652" s="1200"/>
      <c r="Q1652" s="1200"/>
    </row>
    <row r="1653" spans="1:17" ht="15" thickTop="1" thickBot="1" x14ac:dyDescent="0.3">
      <c r="A1653" s="1207"/>
      <c r="B1653" s="1212"/>
      <c r="C1653" s="1212"/>
      <c r="D1653" s="1212"/>
      <c r="E1653" s="1212"/>
      <c r="F1653" s="1208"/>
      <c r="G1653" s="1208"/>
      <c r="H1653" s="1208"/>
      <c r="I1653" s="1209"/>
      <c r="J1653" s="1209"/>
      <c r="K1653" s="1210">
        <f t="shared" si="258"/>
        <v>1.05</v>
      </c>
      <c r="L1653" s="1210">
        <f t="shared" si="259"/>
        <v>0</v>
      </c>
      <c r="M1653" s="1197">
        <f t="shared" si="260"/>
        <v>0</v>
      </c>
      <c r="N1653" s="1211">
        <f t="shared" si="261"/>
        <v>0</v>
      </c>
      <c r="O1653" s="1212"/>
      <c r="P1653" s="1200"/>
      <c r="Q1653" s="1200"/>
    </row>
    <row r="1654" spans="1:17" ht="15" thickTop="1" thickBot="1" x14ac:dyDescent="0.3">
      <c r="A1654" s="1207"/>
      <c r="B1654" s="1212"/>
      <c r="C1654" s="1212"/>
      <c r="D1654" s="1212"/>
      <c r="E1654" s="1212"/>
      <c r="F1654" s="1208"/>
      <c r="G1654" s="1208"/>
      <c r="H1654" s="1208"/>
      <c r="I1654" s="1209"/>
      <c r="J1654" s="1209"/>
      <c r="K1654" s="1210">
        <f t="shared" si="258"/>
        <v>1.05</v>
      </c>
      <c r="L1654" s="1210">
        <f t="shared" si="259"/>
        <v>0</v>
      </c>
      <c r="M1654" s="1197">
        <f t="shared" si="260"/>
        <v>0</v>
      </c>
      <c r="N1654" s="1211">
        <f t="shared" si="261"/>
        <v>0</v>
      </c>
      <c r="O1654" s="1212"/>
      <c r="P1654" s="1200"/>
      <c r="Q1654" s="1200"/>
    </row>
    <row r="1655" spans="1:17" ht="15" thickTop="1" thickBot="1" x14ac:dyDescent="0.3">
      <c r="A1655" s="1207"/>
      <c r="B1655" s="1212"/>
      <c r="C1655" s="1212"/>
      <c r="D1655" s="1212"/>
      <c r="E1655" s="1212"/>
      <c r="F1655" s="1208"/>
      <c r="G1655" s="1208"/>
      <c r="H1655" s="1208"/>
      <c r="I1655" s="1209"/>
      <c r="J1655" s="1209"/>
      <c r="K1655" s="1210">
        <f t="shared" si="258"/>
        <v>1.05</v>
      </c>
      <c r="L1655" s="1210">
        <f t="shared" si="259"/>
        <v>0</v>
      </c>
      <c r="M1655" s="1197">
        <f t="shared" si="260"/>
        <v>0</v>
      </c>
      <c r="N1655" s="1211">
        <f t="shared" si="261"/>
        <v>0</v>
      </c>
      <c r="O1655" s="1212"/>
      <c r="P1655" s="1200"/>
      <c r="Q1655" s="1200"/>
    </row>
    <row r="1656" spans="1:17" ht="15" thickTop="1" thickBot="1" x14ac:dyDescent="0.3">
      <c r="A1656" s="1207"/>
      <c r="B1656" s="1212"/>
      <c r="C1656" s="1212"/>
      <c r="D1656" s="1212"/>
      <c r="E1656" s="1212"/>
      <c r="F1656" s="1208"/>
      <c r="G1656" s="1208"/>
      <c r="H1656" s="1208"/>
      <c r="I1656" s="1209"/>
      <c r="J1656" s="1209"/>
      <c r="K1656" s="1210">
        <f t="shared" si="258"/>
        <v>1.05</v>
      </c>
      <c r="L1656" s="1210">
        <f t="shared" si="259"/>
        <v>0</v>
      </c>
      <c r="M1656" s="1197">
        <f t="shared" si="260"/>
        <v>0</v>
      </c>
      <c r="N1656" s="1211">
        <f t="shared" si="261"/>
        <v>0</v>
      </c>
      <c r="O1656" s="1212"/>
      <c r="P1656" s="1200"/>
      <c r="Q1656" s="1200"/>
    </row>
    <row r="1657" spans="1:17" ht="15" thickTop="1" thickBot="1" x14ac:dyDescent="0.3">
      <c r="A1657" s="1207"/>
      <c r="B1657" s="1212"/>
      <c r="C1657" s="1212"/>
      <c r="D1657" s="1212"/>
      <c r="E1657" s="1212"/>
      <c r="F1657" s="1208"/>
      <c r="G1657" s="1208"/>
      <c r="H1657" s="1208"/>
      <c r="I1657" s="1209"/>
      <c r="J1657" s="1209"/>
      <c r="K1657" s="1210">
        <f t="shared" si="258"/>
        <v>1.05</v>
      </c>
      <c r="L1657" s="1210">
        <f t="shared" si="259"/>
        <v>0</v>
      </c>
      <c r="M1657" s="1197">
        <f t="shared" si="260"/>
        <v>0</v>
      </c>
      <c r="N1657" s="1211">
        <f t="shared" si="261"/>
        <v>0</v>
      </c>
      <c r="O1657" s="1212"/>
      <c r="P1657" s="1200"/>
      <c r="Q1657" s="1200"/>
    </row>
    <row r="1658" spans="1:17" ht="15" thickTop="1" thickBot="1" x14ac:dyDescent="0.3">
      <c r="A1658" s="1207"/>
      <c r="B1658" s="1212"/>
      <c r="C1658" s="1212"/>
      <c r="D1658" s="1212"/>
      <c r="E1658" s="1212"/>
      <c r="F1658" s="1208"/>
      <c r="G1658" s="1208"/>
      <c r="H1658" s="1208"/>
      <c r="I1658" s="1209"/>
      <c r="J1658" s="1209"/>
      <c r="K1658" s="1210">
        <f t="shared" si="258"/>
        <v>1.05</v>
      </c>
      <c r="L1658" s="1210">
        <f t="shared" si="259"/>
        <v>0</v>
      </c>
      <c r="M1658" s="1197">
        <f t="shared" si="260"/>
        <v>0</v>
      </c>
      <c r="N1658" s="1211">
        <f t="shared" si="261"/>
        <v>0</v>
      </c>
      <c r="O1658" s="1212"/>
      <c r="P1658" s="1200"/>
      <c r="Q1658" s="1200"/>
    </row>
    <row r="1659" spans="1:17" ht="15" thickTop="1" thickBot="1" x14ac:dyDescent="0.3">
      <c r="A1659" s="1207"/>
      <c r="B1659" s="1212"/>
      <c r="C1659" s="1212"/>
      <c r="D1659" s="1212"/>
      <c r="E1659" s="1212"/>
      <c r="F1659" s="1208"/>
      <c r="G1659" s="1208"/>
      <c r="H1659" s="1208"/>
      <c r="I1659" s="1209"/>
      <c r="J1659" s="1209"/>
      <c r="K1659" s="1210">
        <f t="shared" si="258"/>
        <v>1.05</v>
      </c>
      <c r="L1659" s="1210">
        <f t="shared" si="259"/>
        <v>0</v>
      </c>
      <c r="M1659" s="1197">
        <f t="shared" si="260"/>
        <v>0</v>
      </c>
      <c r="N1659" s="1211">
        <f t="shared" si="261"/>
        <v>0</v>
      </c>
      <c r="O1659" s="1212"/>
      <c r="P1659" s="1200"/>
      <c r="Q1659" s="1200"/>
    </row>
    <row r="1660" spans="1:17" ht="15" thickTop="1" thickBot="1" x14ac:dyDescent="0.3">
      <c r="A1660" s="1207"/>
      <c r="B1660" s="1212"/>
      <c r="C1660" s="1212"/>
      <c r="D1660" s="1212"/>
      <c r="E1660" s="1212"/>
      <c r="F1660" s="1208"/>
      <c r="G1660" s="1208"/>
      <c r="H1660" s="1208"/>
      <c r="I1660" s="1209"/>
      <c r="J1660" s="1209"/>
      <c r="K1660" s="1210">
        <f t="shared" si="258"/>
        <v>1.05</v>
      </c>
      <c r="L1660" s="1210">
        <f t="shared" si="259"/>
        <v>0</v>
      </c>
      <c r="M1660" s="1197">
        <f t="shared" si="260"/>
        <v>0</v>
      </c>
      <c r="N1660" s="1211">
        <f t="shared" si="261"/>
        <v>0</v>
      </c>
      <c r="O1660" s="1212"/>
      <c r="P1660" s="1200"/>
      <c r="Q1660" s="1200"/>
    </row>
    <row r="1661" spans="1:17" ht="15" thickTop="1" thickBot="1" x14ac:dyDescent="0.3">
      <c r="A1661" s="1207"/>
      <c r="B1661" s="1212"/>
      <c r="C1661" s="1212"/>
      <c r="D1661" s="1212"/>
      <c r="E1661" s="1212"/>
      <c r="F1661" s="1208"/>
      <c r="G1661" s="1208"/>
      <c r="H1661" s="1208"/>
      <c r="I1661" s="1209"/>
      <c r="J1661" s="1209"/>
      <c r="K1661" s="1210">
        <f t="shared" si="258"/>
        <v>1.05</v>
      </c>
      <c r="L1661" s="1210">
        <f t="shared" si="259"/>
        <v>0</v>
      </c>
      <c r="M1661" s="1197">
        <f t="shared" si="260"/>
        <v>0</v>
      </c>
      <c r="N1661" s="1211">
        <f t="shared" si="261"/>
        <v>0</v>
      </c>
      <c r="O1661" s="1212"/>
      <c r="P1661" s="1200"/>
      <c r="Q1661" s="1200"/>
    </row>
    <row r="1662" spans="1:17" ht="15" thickTop="1" thickBot="1" x14ac:dyDescent="0.3">
      <c r="A1662" s="1207"/>
      <c r="B1662" s="1212"/>
      <c r="C1662" s="1212"/>
      <c r="D1662" s="1212"/>
      <c r="E1662" s="1212"/>
      <c r="F1662" s="1208"/>
      <c r="G1662" s="1208"/>
      <c r="H1662" s="1208"/>
      <c r="I1662" s="1209"/>
      <c r="J1662" s="1209"/>
      <c r="K1662" s="1210">
        <f t="shared" si="258"/>
        <v>1.05</v>
      </c>
      <c r="L1662" s="1210">
        <f t="shared" si="259"/>
        <v>0</v>
      </c>
      <c r="M1662" s="1197">
        <f t="shared" si="260"/>
        <v>0</v>
      </c>
      <c r="N1662" s="1211">
        <f t="shared" si="261"/>
        <v>0</v>
      </c>
      <c r="O1662" s="1212"/>
      <c r="P1662" s="1200"/>
      <c r="Q1662" s="1200"/>
    </row>
    <row r="1663" spans="1:17" ht="15" thickTop="1" thickBot="1" x14ac:dyDescent="0.3">
      <c r="A1663" s="1207"/>
      <c r="B1663" s="1212"/>
      <c r="C1663" s="1212"/>
      <c r="D1663" s="1212"/>
      <c r="E1663" s="1212"/>
      <c r="F1663" s="1208"/>
      <c r="G1663" s="1208"/>
      <c r="H1663" s="1208"/>
      <c r="I1663" s="1209"/>
      <c r="J1663" s="1209"/>
      <c r="K1663" s="1210">
        <f t="shared" si="258"/>
        <v>1.05</v>
      </c>
      <c r="L1663" s="1210">
        <f t="shared" si="259"/>
        <v>0</v>
      </c>
      <c r="M1663" s="1197">
        <f t="shared" si="260"/>
        <v>0</v>
      </c>
      <c r="N1663" s="1211">
        <f t="shared" si="261"/>
        <v>0</v>
      </c>
      <c r="O1663" s="1212"/>
      <c r="P1663" s="1200"/>
      <c r="Q1663" s="1200"/>
    </row>
    <row r="1664" spans="1:17" ht="15" thickTop="1" thickBot="1" x14ac:dyDescent="0.3">
      <c r="A1664" s="1207"/>
      <c r="B1664" s="1212"/>
      <c r="C1664" s="1212"/>
      <c r="D1664" s="1212"/>
      <c r="E1664" s="1212"/>
      <c r="F1664" s="1208"/>
      <c r="G1664" s="1208"/>
      <c r="H1664" s="1208"/>
      <c r="I1664" s="1209"/>
      <c r="J1664" s="1209"/>
      <c r="K1664" s="1210">
        <f t="shared" si="258"/>
        <v>1.05</v>
      </c>
      <c r="L1664" s="1210">
        <f t="shared" si="259"/>
        <v>0</v>
      </c>
      <c r="M1664" s="1197">
        <f t="shared" si="260"/>
        <v>0</v>
      </c>
      <c r="N1664" s="1211">
        <f t="shared" si="261"/>
        <v>0</v>
      </c>
      <c r="O1664" s="1212"/>
      <c r="P1664" s="1200"/>
      <c r="Q1664" s="1200"/>
    </row>
    <row r="1665" spans="1:17" ht="15" thickTop="1" thickBot="1" x14ac:dyDescent="0.3">
      <c r="A1665" s="1207"/>
      <c r="B1665" s="1212"/>
      <c r="C1665" s="1212"/>
      <c r="D1665" s="1212"/>
      <c r="E1665" s="1212"/>
      <c r="F1665" s="1208"/>
      <c r="G1665" s="1208"/>
      <c r="H1665" s="1208"/>
      <c r="I1665" s="1209"/>
      <c r="J1665" s="1209"/>
      <c r="K1665" s="1210">
        <f t="shared" si="258"/>
        <v>1.05</v>
      </c>
      <c r="L1665" s="1210">
        <f t="shared" si="259"/>
        <v>0</v>
      </c>
      <c r="M1665" s="1197">
        <f t="shared" si="260"/>
        <v>0</v>
      </c>
      <c r="N1665" s="1211">
        <f t="shared" si="261"/>
        <v>0</v>
      </c>
      <c r="O1665" s="1212"/>
      <c r="P1665" s="1200"/>
      <c r="Q1665" s="1200"/>
    </row>
    <row r="1666" spans="1:17" ht="15" thickTop="1" thickBot="1" x14ac:dyDescent="0.3">
      <c r="A1666" s="1207"/>
      <c r="B1666" s="1212"/>
      <c r="C1666" s="1212"/>
      <c r="D1666" s="1212"/>
      <c r="E1666" s="1212"/>
      <c r="F1666" s="1208"/>
      <c r="G1666" s="1208"/>
      <c r="H1666" s="1208"/>
      <c r="I1666" s="1209"/>
      <c r="J1666" s="1209"/>
      <c r="K1666" s="1210">
        <f t="shared" si="258"/>
        <v>1.05</v>
      </c>
      <c r="L1666" s="1210">
        <f t="shared" si="259"/>
        <v>0</v>
      </c>
      <c r="M1666" s="1197">
        <f t="shared" si="260"/>
        <v>0</v>
      </c>
      <c r="N1666" s="1211">
        <f t="shared" si="261"/>
        <v>0</v>
      </c>
      <c r="O1666" s="1212"/>
      <c r="P1666" s="1200"/>
      <c r="Q1666" s="1200"/>
    </row>
    <row r="1667" spans="1:17" ht="15" thickTop="1" thickBot="1" x14ac:dyDescent="0.3">
      <c r="A1667" s="1207"/>
      <c r="B1667" s="1212"/>
      <c r="C1667" s="1212"/>
      <c r="D1667" s="1212"/>
      <c r="E1667" s="1212"/>
      <c r="F1667" s="1208"/>
      <c r="G1667" s="1208"/>
      <c r="H1667" s="1208"/>
      <c r="I1667" s="1209"/>
      <c r="J1667" s="1209"/>
      <c r="K1667" s="1210">
        <f t="shared" si="258"/>
        <v>1.05</v>
      </c>
      <c r="L1667" s="1210">
        <f t="shared" si="259"/>
        <v>0</v>
      </c>
      <c r="M1667" s="1197">
        <f t="shared" si="260"/>
        <v>0</v>
      </c>
      <c r="N1667" s="1211">
        <f t="shared" si="261"/>
        <v>0</v>
      </c>
      <c r="O1667" s="1212"/>
      <c r="P1667" s="1200"/>
      <c r="Q1667" s="1200"/>
    </row>
    <row r="1668" spans="1:17" ht="15" thickTop="1" thickBot="1" x14ac:dyDescent="0.3">
      <c r="A1668" s="1207"/>
      <c r="B1668" s="1212"/>
      <c r="C1668" s="1212"/>
      <c r="D1668" s="1212"/>
      <c r="E1668" s="1212"/>
      <c r="F1668" s="1208"/>
      <c r="G1668" s="1208"/>
      <c r="H1668" s="1208"/>
      <c r="I1668" s="1209"/>
      <c r="J1668" s="1209"/>
      <c r="K1668" s="1210">
        <f t="shared" si="258"/>
        <v>1.05</v>
      </c>
      <c r="L1668" s="1210">
        <f t="shared" si="259"/>
        <v>0</v>
      </c>
      <c r="M1668" s="1197">
        <f t="shared" si="260"/>
        <v>0</v>
      </c>
      <c r="N1668" s="1211">
        <f t="shared" si="261"/>
        <v>0</v>
      </c>
      <c r="O1668" s="1212"/>
      <c r="P1668" s="1200"/>
      <c r="Q1668" s="1200"/>
    </row>
    <row r="1669" spans="1:17" ht="15" thickTop="1" thickBot="1" x14ac:dyDescent="0.3">
      <c r="A1669" s="1207"/>
      <c r="B1669" s="1212"/>
      <c r="C1669" s="1212"/>
      <c r="D1669" s="1212"/>
      <c r="E1669" s="1212"/>
      <c r="F1669" s="1208"/>
      <c r="G1669" s="1208"/>
      <c r="H1669" s="1208"/>
      <c r="I1669" s="1209"/>
      <c r="J1669" s="1209"/>
      <c r="K1669" s="1210">
        <f t="shared" si="258"/>
        <v>1.05</v>
      </c>
      <c r="L1669" s="1210">
        <f t="shared" si="259"/>
        <v>0</v>
      </c>
      <c r="M1669" s="1197">
        <f t="shared" si="260"/>
        <v>0</v>
      </c>
      <c r="N1669" s="1211">
        <f t="shared" si="261"/>
        <v>0</v>
      </c>
      <c r="O1669" s="1212"/>
      <c r="P1669" s="1200"/>
      <c r="Q1669" s="1200"/>
    </row>
    <row r="1670" spans="1:17" ht="15" thickTop="1" thickBot="1" x14ac:dyDescent="0.3">
      <c r="A1670" s="1207"/>
      <c r="B1670" s="1212"/>
      <c r="C1670" s="1212"/>
      <c r="D1670" s="1212"/>
      <c r="E1670" s="1212"/>
      <c r="F1670" s="1208"/>
      <c r="G1670" s="1208"/>
      <c r="H1670" s="1208"/>
      <c r="I1670" s="1209"/>
      <c r="J1670" s="1209"/>
      <c r="K1670" s="1210">
        <f t="shared" si="258"/>
        <v>1.05</v>
      </c>
      <c r="L1670" s="1210">
        <f t="shared" si="259"/>
        <v>0</v>
      </c>
      <c r="M1670" s="1197">
        <f t="shared" si="260"/>
        <v>0</v>
      </c>
      <c r="N1670" s="1211">
        <f t="shared" si="261"/>
        <v>0</v>
      </c>
      <c r="O1670" s="1212"/>
      <c r="P1670" s="1200"/>
      <c r="Q1670" s="1200"/>
    </row>
    <row r="1671" spans="1:17" ht="15" thickTop="1" thickBot="1" x14ac:dyDescent="0.3">
      <c r="A1671" s="1207"/>
      <c r="B1671" s="1212"/>
      <c r="C1671" s="1212"/>
      <c r="D1671" s="1212"/>
      <c r="E1671" s="1212"/>
      <c r="F1671" s="1208"/>
      <c r="G1671" s="1208"/>
      <c r="H1671" s="1208"/>
      <c r="I1671" s="1209"/>
      <c r="J1671" s="1209"/>
      <c r="K1671" s="1210">
        <f t="shared" si="258"/>
        <v>1.05</v>
      </c>
      <c r="L1671" s="1210">
        <f t="shared" si="259"/>
        <v>0</v>
      </c>
      <c r="M1671" s="1197">
        <f t="shared" si="260"/>
        <v>0</v>
      </c>
      <c r="N1671" s="1211">
        <f t="shared" si="261"/>
        <v>0</v>
      </c>
      <c r="O1671" s="1212"/>
      <c r="P1671" s="1200"/>
      <c r="Q1671" s="1200"/>
    </row>
    <row r="1672" spans="1:17" ht="15" thickTop="1" thickBot="1" x14ac:dyDescent="0.3">
      <c r="A1672" s="1207"/>
      <c r="B1672" s="1212"/>
      <c r="C1672" s="1212"/>
      <c r="D1672" s="1212"/>
      <c r="E1672" s="1212"/>
      <c r="F1672" s="1208"/>
      <c r="G1672" s="1208"/>
      <c r="H1672" s="1208"/>
      <c r="I1672" s="1209"/>
      <c r="J1672" s="1209"/>
      <c r="K1672" s="1210">
        <f t="shared" si="258"/>
        <v>1.05</v>
      </c>
      <c r="L1672" s="1210">
        <f t="shared" si="259"/>
        <v>0</v>
      </c>
      <c r="M1672" s="1197">
        <f t="shared" si="260"/>
        <v>0</v>
      </c>
      <c r="N1672" s="1211">
        <f t="shared" si="261"/>
        <v>0</v>
      </c>
      <c r="O1672" s="1212"/>
      <c r="P1672" s="1200"/>
      <c r="Q1672" s="1200"/>
    </row>
    <row r="1673" spans="1:17" ht="15" thickTop="1" thickBot="1" x14ac:dyDescent="0.3">
      <c r="A1673" s="1207"/>
      <c r="B1673" s="1212"/>
      <c r="C1673" s="1212"/>
      <c r="D1673" s="1212"/>
      <c r="E1673" s="1212"/>
      <c r="F1673" s="1208"/>
      <c r="G1673" s="1208"/>
      <c r="H1673" s="1208"/>
      <c r="I1673" s="1209"/>
      <c r="J1673" s="1209"/>
      <c r="K1673" s="1210">
        <f t="shared" si="258"/>
        <v>1.05</v>
      </c>
      <c r="L1673" s="1210">
        <f t="shared" si="259"/>
        <v>0</v>
      </c>
      <c r="M1673" s="1197">
        <f t="shared" si="260"/>
        <v>0</v>
      </c>
      <c r="N1673" s="1211">
        <f t="shared" si="261"/>
        <v>0</v>
      </c>
      <c r="O1673" s="1212"/>
      <c r="P1673" s="1200"/>
      <c r="Q1673" s="1200"/>
    </row>
    <row r="1674" spans="1:17" ht="15" thickTop="1" thickBot="1" x14ac:dyDescent="0.3">
      <c r="A1674" s="1207"/>
      <c r="B1674" s="1212"/>
      <c r="C1674" s="1212"/>
      <c r="D1674" s="1212"/>
      <c r="E1674" s="1212"/>
      <c r="F1674" s="1208"/>
      <c r="G1674" s="1208"/>
      <c r="H1674" s="1208"/>
      <c r="I1674" s="1209"/>
      <c r="J1674" s="1209"/>
      <c r="K1674" s="1210">
        <f t="shared" si="258"/>
        <v>1.05</v>
      </c>
      <c r="L1674" s="1210">
        <f t="shared" si="259"/>
        <v>0</v>
      </c>
      <c r="M1674" s="1197">
        <f t="shared" si="260"/>
        <v>0</v>
      </c>
      <c r="N1674" s="1211">
        <f t="shared" si="261"/>
        <v>0</v>
      </c>
      <c r="O1674" s="1212"/>
      <c r="P1674" s="1200"/>
      <c r="Q1674" s="1200"/>
    </row>
    <row r="1675" spans="1:17" ht="15" thickTop="1" thickBot="1" x14ac:dyDescent="0.3">
      <c r="A1675" s="1207"/>
      <c r="B1675" s="1212"/>
      <c r="C1675" s="1212"/>
      <c r="D1675" s="1212"/>
      <c r="E1675" s="1212"/>
      <c r="F1675" s="1208"/>
      <c r="G1675" s="1208"/>
      <c r="H1675" s="1208"/>
      <c r="I1675" s="1209"/>
      <c r="J1675" s="1209"/>
      <c r="K1675" s="1210">
        <f t="shared" ref="K1675:K1738" si="262">$K$2</f>
        <v>1.05</v>
      </c>
      <c r="L1675" s="1210">
        <f t="shared" si="259"/>
        <v>0</v>
      </c>
      <c r="M1675" s="1197">
        <f t="shared" si="260"/>
        <v>0</v>
      </c>
      <c r="N1675" s="1211">
        <f t="shared" si="261"/>
        <v>0</v>
      </c>
      <c r="O1675" s="1212"/>
      <c r="P1675" s="1200"/>
      <c r="Q1675" s="1200"/>
    </row>
    <row r="1676" spans="1:17" ht="15" thickTop="1" thickBot="1" x14ac:dyDescent="0.3">
      <c r="A1676" s="1207"/>
      <c r="B1676" s="1212"/>
      <c r="C1676" s="1212"/>
      <c r="D1676" s="1212"/>
      <c r="E1676" s="1212"/>
      <c r="F1676" s="1208"/>
      <c r="G1676" s="1208"/>
      <c r="H1676" s="1208"/>
      <c r="I1676" s="1209"/>
      <c r="J1676" s="1209"/>
      <c r="K1676" s="1210">
        <f t="shared" si="262"/>
        <v>1.05</v>
      </c>
      <c r="L1676" s="1210">
        <f t="shared" si="259"/>
        <v>0</v>
      </c>
      <c r="M1676" s="1197">
        <f t="shared" si="260"/>
        <v>0</v>
      </c>
      <c r="N1676" s="1211">
        <f t="shared" si="261"/>
        <v>0</v>
      </c>
      <c r="O1676" s="1212"/>
      <c r="P1676" s="1200"/>
      <c r="Q1676" s="1200"/>
    </row>
    <row r="1677" spans="1:17" ht="15" thickTop="1" thickBot="1" x14ac:dyDescent="0.3">
      <c r="A1677" s="1207"/>
      <c r="B1677" s="1212"/>
      <c r="C1677" s="1212"/>
      <c r="D1677" s="1212"/>
      <c r="E1677" s="1212"/>
      <c r="F1677" s="1208"/>
      <c r="G1677" s="1208"/>
      <c r="H1677" s="1208"/>
      <c r="I1677" s="1209"/>
      <c r="J1677" s="1209"/>
      <c r="K1677" s="1210">
        <f t="shared" si="262"/>
        <v>1.05</v>
      </c>
      <c r="L1677" s="1210">
        <f t="shared" si="259"/>
        <v>0</v>
      </c>
      <c r="M1677" s="1197">
        <f t="shared" si="260"/>
        <v>0</v>
      </c>
      <c r="N1677" s="1211">
        <f t="shared" si="261"/>
        <v>0</v>
      </c>
      <c r="O1677" s="1212"/>
      <c r="P1677" s="1200"/>
      <c r="Q1677" s="1200"/>
    </row>
    <row r="1678" spans="1:17" ht="15" thickTop="1" thickBot="1" x14ac:dyDescent="0.3">
      <c r="A1678" s="1207"/>
      <c r="B1678" s="1212"/>
      <c r="C1678" s="1212"/>
      <c r="D1678" s="1212"/>
      <c r="E1678" s="1212"/>
      <c r="F1678" s="1208"/>
      <c r="G1678" s="1208"/>
      <c r="H1678" s="1208"/>
      <c r="I1678" s="1209"/>
      <c r="J1678" s="1209"/>
      <c r="K1678" s="1210">
        <f t="shared" si="262"/>
        <v>1.05</v>
      </c>
      <c r="L1678" s="1210">
        <f t="shared" si="259"/>
        <v>0</v>
      </c>
      <c r="M1678" s="1197">
        <f t="shared" si="260"/>
        <v>0</v>
      </c>
      <c r="N1678" s="1211">
        <f t="shared" si="261"/>
        <v>0</v>
      </c>
      <c r="O1678" s="1212"/>
      <c r="P1678" s="1200"/>
      <c r="Q1678" s="1200"/>
    </row>
    <row r="1679" spans="1:17" ht="15" thickTop="1" thickBot="1" x14ac:dyDescent="0.3">
      <c r="A1679" s="1207"/>
      <c r="B1679" s="1212"/>
      <c r="C1679" s="1212"/>
      <c r="D1679" s="1212"/>
      <c r="E1679" s="1212"/>
      <c r="F1679" s="1208"/>
      <c r="G1679" s="1208"/>
      <c r="H1679" s="1208"/>
      <c r="I1679" s="1209"/>
      <c r="J1679" s="1209"/>
      <c r="K1679" s="1210">
        <f t="shared" si="262"/>
        <v>1.05</v>
      </c>
      <c r="L1679" s="1210">
        <f t="shared" si="259"/>
        <v>0</v>
      </c>
      <c r="M1679" s="1197">
        <f t="shared" si="260"/>
        <v>0</v>
      </c>
      <c r="N1679" s="1211">
        <f t="shared" si="261"/>
        <v>0</v>
      </c>
      <c r="O1679" s="1212"/>
      <c r="P1679" s="1200"/>
      <c r="Q1679" s="1200"/>
    </row>
    <row r="1680" spans="1:17" ht="15" thickTop="1" thickBot="1" x14ac:dyDescent="0.3">
      <c r="A1680" s="1207"/>
      <c r="B1680" s="1212"/>
      <c r="C1680" s="1212"/>
      <c r="D1680" s="1212"/>
      <c r="E1680" s="1212"/>
      <c r="F1680" s="1208"/>
      <c r="G1680" s="1208"/>
      <c r="H1680" s="1208"/>
      <c r="I1680" s="1209"/>
      <c r="J1680" s="1209"/>
      <c r="K1680" s="1210">
        <f t="shared" si="262"/>
        <v>1.05</v>
      </c>
      <c r="L1680" s="1210">
        <f t="shared" si="259"/>
        <v>0</v>
      </c>
      <c r="M1680" s="1197">
        <f t="shared" si="260"/>
        <v>0</v>
      </c>
      <c r="N1680" s="1211">
        <f t="shared" si="261"/>
        <v>0</v>
      </c>
      <c r="O1680" s="1212"/>
      <c r="P1680" s="1200"/>
      <c r="Q1680" s="1200"/>
    </row>
    <row r="1681" spans="1:17" ht="15" thickTop="1" thickBot="1" x14ac:dyDescent="0.3">
      <c r="A1681" s="1207"/>
      <c r="B1681" s="1212"/>
      <c r="C1681" s="1212"/>
      <c r="D1681" s="1212"/>
      <c r="E1681" s="1212"/>
      <c r="F1681" s="1208"/>
      <c r="G1681" s="1208"/>
      <c r="H1681" s="1208"/>
      <c r="I1681" s="1209"/>
      <c r="J1681" s="1209"/>
      <c r="K1681" s="1210">
        <f t="shared" si="262"/>
        <v>1.05</v>
      </c>
      <c r="L1681" s="1210">
        <f t="shared" si="259"/>
        <v>0</v>
      </c>
      <c r="M1681" s="1197">
        <f t="shared" si="260"/>
        <v>0</v>
      </c>
      <c r="N1681" s="1211">
        <f t="shared" si="261"/>
        <v>0</v>
      </c>
      <c r="O1681" s="1212"/>
      <c r="P1681" s="1200"/>
      <c r="Q1681" s="1200"/>
    </row>
    <row r="1682" spans="1:17" ht="15" thickTop="1" thickBot="1" x14ac:dyDescent="0.3">
      <c r="A1682" s="1207"/>
      <c r="B1682" s="1212"/>
      <c r="C1682" s="1212"/>
      <c r="D1682" s="1212"/>
      <c r="E1682" s="1212"/>
      <c r="F1682" s="1208"/>
      <c r="G1682" s="1208"/>
      <c r="H1682" s="1208"/>
      <c r="I1682" s="1209"/>
      <c r="J1682" s="1209"/>
      <c r="K1682" s="1210">
        <f t="shared" si="262"/>
        <v>1.05</v>
      </c>
      <c r="L1682" s="1210">
        <f t="shared" si="259"/>
        <v>0</v>
      </c>
      <c r="M1682" s="1197">
        <f t="shared" si="260"/>
        <v>0</v>
      </c>
      <c r="N1682" s="1211">
        <f t="shared" si="261"/>
        <v>0</v>
      </c>
      <c r="O1682" s="1212"/>
      <c r="P1682" s="1200"/>
      <c r="Q1682" s="1200"/>
    </row>
    <row r="1683" spans="1:17" ht="15" thickTop="1" thickBot="1" x14ac:dyDescent="0.3">
      <c r="A1683" s="1207"/>
      <c r="B1683" s="1212"/>
      <c r="C1683" s="1212"/>
      <c r="D1683" s="1212"/>
      <c r="E1683" s="1212"/>
      <c r="F1683" s="1208"/>
      <c r="G1683" s="1208"/>
      <c r="H1683" s="1208"/>
      <c r="I1683" s="1209"/>
      <c r="J1683" s="1209"/>
      <c r="K1683" s="1210">
        <f t="shared" si="262"/>
        <v>1.05</v>
      </c>
      <c r="L1683" s="1210">
        <f t="shared" si="259"/>
        <v>0</v>
      </c>
      <c r="M1683" s="1197">
        <f t="shared" si="260"/>
        <v>0</v>
      </c>
      <c r="N1683" s="1211">
        <f t="shared" si="261"/>
        <v>0</v>
      </c>
      <c r="O1683" s="1212"/>
      <c r="P1683" s="1200"/>
      <c r="Q1683" s="1200"/>
    </row>
    <row r="1684" spans="1:17" ht="15" thickTop="1" thickBot="1" x14ac:dyDescent="0.3">
      <c r="A1684" s="1207"/>
      <c r="B1684" s="1212"/>
      <c r="C1684" s="1212"/>
      <c r="D1684" s="1212"/>
      <c r="E1684" s="1212"/>
      <c r="F1684" s="1208"/>
      <c r="G1684" s="1208"/>
      <c r="H1684" s="1208"/>
      <c r="I1684" s="1209"/>
      <c r="J1684" s="1209"/>
      <c r="K1684" s="1210">
        <f t="shared" si="262"/>
        <v>1.05</v>
      </c>
      <c r="L1684" s="1210">
        <f t="shared" si="259"/>
        <v>0</v>
      </c>
      <c r="M1684" s="1197">
        <f t="shared" si="260"/>
        <v>0</v>
      </c>
      <c r="N1684" s="1211">
        <f t="shared" si="261"/>
        <v>0</v>
      </c>
      <c r="O1684" s="1212"/>
      <c r="P1684" s="1200"/>
      <c r="Q1684" s="1200"/>
    </row>
    <row r="1685" spans="1:17" ht="15" thickTop="1" thickBot="1" x14ac:dyDescent="0.3">
      <c r="A1685" s="1207"/>
      <c r="B1685" s="1212"/>
      <c r="C1685" s="1212"/>
      <c r="D1685" s="1212"/>
      <c r="E1685" s="1212"/>
      <c r="F1685" s="1208"/>
      <c r="G1685" s="1208"/>
      <c r="H1685" s="1208"/>
      <c r="I1685" s="1209"/>
      <c r="J1685" s="1209"/>
      <c r="K1685" s="1210">
        <f t="shared" si="262"/>
        <v>1.05</v>
      </c>
      <c r="L1685" s="1210">
        <f t="shared" si="259"/>
        <v>0</v>
      </c>
      <c r="M1685" s="1197">
        <f t="shared" si="260"/>
        <v>0</v>
      </c>
      <c r="N1685" s="1211">
        <f t="shared" si="261"/>
        <v>0</v>
      </c>
      <c r="O1685" s="1212"/>
      <c r="P1685" s="1200"/>
      <c r="Q1685" s="1200"/>
    </row>
    <row r="1686" spans="1:17" ht="15" thickTop="1" thickBot="1" x14ac:dyDescent="0.3">
      <c r="A1686" s="1207"/>
      <c r="B1686" s="1212"/>
      <c r="C1686" s="1212"/>
      <c r="D1686" s="1212"/>
      <c r="E1686" s="1212"/>
      <c r="F1686" s="1208"/>
      <c r="G1686" s="1208"/>
      <c r="H1686" s="1208"/>
      <c r="I1686" s="1209"/>
      <c r="J1686" s="1209"/>
      <c r="K1686" s="1210">
        <f t="shared" si="262"/>
        <v>1.05</v>
      </c>
      <c r="L1686" s="1210">
        <f t="shared" si="259"/>
        <v>0</v>
      </c>
      <c r="M1686" s="1197">
        <f t="shared" si="260"/>
        <v>0</v>
      </c>
      <c r="N1686" s="1211">
        <f t="shared" si="261"/>
        <v>0</v>
      </c>
      <c r="O1686" s="1212"/>
      <c r="P1686" s="1200"/>
      <c r="Q1686" s="1200"/>
    </row>
    <row r="1687" spans="1:17" ht="15" thickTop="1" thickBot="1" x14ac:dyDescent="0.3">
      <c r="A1687" s="1207"/>
      <c r="B1687" s="1212"/>
      <c r="C1687" s="1212"/>
      <c r="D1687" s="1212"/>
      <c r="E1687" s="1212"/>
      <c r="F1687" s="1208"/>
      <c r="G1687" s="1208"/>
      <c r="H1687" s="1208"/>
      <c r="I1687" s="1209"/>
      <c r="J1687" s="1209"/>
      <c r="K1687" s="1210">
        <f t="shared" si="262"/>
        <v>1.05</v>
      </c>
      <c r="L1687" s="1210">
        <f t="shared" si="259"/>
        <v>0</v>
      </c>
      <c r="M1687" s="1197">
        <f t="shared" si="260"/>
        <v>0</v>
      </c>
      <c r="N1687" s="1211">
        <f t="shared" si="261"/>
        <v>0</v>
      </c>
      <c r="O1687" s="1212"/>
      <c r="P1687" s="1200"/>
      <c r="Q1687" s="1200"/>
    </row>
    <row r="1688" spans="1:17" ht="15" thickTop="1" thickBot="1" x14ac:dyDescent="0.3">
      <c r="A1688" s="1207"/>
      <c r="B1688" s="1212"/>
      <c r="C1688" s="1212"/>
      <c r="D1688" s="1212"/>
      <c r="E1688" s="1212"/>
      <c r="F1688" s="1208"/>
      <c r="G1688" s="1208"/>
      <c r="H1688" s="1208"/>
      <c r="I1688" s="1209"/>
      <c r="J1688" s="1209"/>
      <c r="K1688" s="1210">
        <f t="shared" si="262"/>
        <v>1.05</v>
      </c>
      <c r="L1688" s="1210">
        <f t="shared" si="259"/>
        <v>0</v>
      </c>
      <c r="M1688" s="1197">
        <f t="shared" si="260"/>
        <v>0</v>
      </c>
      <c r="N1688" s="1211">
        <f t="shared" si="261"/>
        <v>0</v>
      </c>
      <c r="O1688" s="1212"/>
      <c r="P1688" s="1200"/>
      <c r="Q1688" s="1200"/>
    </row>
    <row r="1689" spans="1:17" ht="15" thickTop="1" thickBot="1" x14ac:dyDescent="0.3">
      <c r="A1689" s="1207"/>
      <c r="B1689" s="1212"/>
      <c r="C1689" s="1212"/>
      <c r="D1689" s="1212"/>
      <c r="E1689" s="1212"/>
      <c r="F1689" s="1208"/>
      <c r="G1689" s="1208"/>
      <c r="H1689" s="1208"/>
      <c r="I1689" s="1209"/>
      <c r="J1689" s="1209"/>
      <c r="K1689" s="1210">
        <f t="shared" si="262"/>
        <v>1.05</v>
      </c>
      <c r="L1689" s="1210">
        <f t="shared" si="259"/>
        <v>0</v>
      </c>
      <c r="M1689" s="1197">
        <f t="shared" si="260"/>
        <v>0</v>
      </c>
      <c r="N1689" s="1211">
        <f t="shared" si="261"/>
        <v>0</v>
      </c>
      <c r="O1689" s="1212"/>
      <c r="P1689" s="1200"/>
      <c r="Q1689" s="1200"/>
    </row>
    <row r="1690" spans="1:17" ht="15" thickTop="1" thickBot="1" x14ac:dyDescent="0.3">
      <c r="A1690" s="1207"/>
      <c r="B1690" s="1212"/>
      <c r="C1690" s="1212"/>
      <c r="D1690" s="1212"/>
      <c r="E1690" s="1212"/>
      <c r="F1690" s="1208"/>
      <c r="G1690" s="1208"/>
      <c r="H1690" s="1208"/>
      <c r="I1690" s="1209"/>
      <c r="J1690" s="1209"/>
      <c r="K1690" s="1210">
        <f t="shared" si="262"/>
        <v>1.05</v>
      </c>
      <c r="L1690" s="1210">
        <f t="shared" si="259"/>
        <v>0</v>
      </c>
      <c r="M1690" s="1197">
        <f t="shared" si="260"/>
        <v>0</v>
      </c>
      <c r="N1690" s="1211">
        <f t="shared" si="261"/>
        <v>0</v>
      </c>
      <c r="O1690" s="1212"/>
      <c r="P1690" s="1200"/>
      <c r="Q1690" s="1200"/>
    </row>
    <row r="1691" spans="1:17" ht="15" thickTop="1" thickBot="1" x14ac:dyDescent="0.3">
      <c r="A1691" s="1207"/>
      <c r="B1691" s="1212"/>
      <c r="C1691" s="1212"/>
      <c r="D1691" s="1212"/>
      <c r="E1691" s="1212"/>
      <c r="F1691" s="1208"/>
      <c r="G1691" s="1208"/>
      <c r="H1691" s="1208"/>
      <c r="I1691" s="1209"/>
      <c r="J1691" s="1209"/>
      <c r="K1691" s="1210">
        <f t="shared" si="262"/>
        <v>1.05</v>
      </c>
      <c r="L1691" s="1210">
        <f t="shared" si="259"/>
        <v>0</v>
      </c>
      <c r="M1691" s="1197">
        <f t="shared" si="260"/>
        <v>0</v>
      </c>
      <c r="N1691" s="1211">
        <f t="shared" si="261"/>
        <v>0</v>
      </c>
      <c r="O1691" s="1212"/>
      <c r="P1691" s="1200"/>
      <c r="Q1691" s="1200"/>
    </row>
    <row r="1692" spans="1:17" ht="15" thickTop="1" thickBot="1" x14ac:dyDescent="0.3">
      <c r="A1692" s="1207"/>
      <c r="B1692" s="1212"/>
      <c r="C1692" s="1212"/>
      <c r="D1692" s="1212"/>
      <c r="E1692" s="1212"/>
      <c r="F1692" s="1208"/>
      <c r="G1692" s="1208"/>
      <c r="H1692" s="1208"/>
      <c r="I1692" s="1209"/>
      <c r="J1692" s="1209"/>
      <c r="K1692" s="1210">
        <f t="shared" si="262"/>
        <v>1.05</v>
      </c>
      <c r="L1692" s="1210">
        <f t="shared" si="259"/>
        <v>0</v>
      </c>
      <c r="M1692" s="1197">
        <f t="shared" si="260"/>
        <v>0</v>
      </c>
      <c r="N1692" s="1211">
        <f t="shared" si="261"/>
        <v>0</v>
      </c>
      <c r="O1692" s="1212"/>
      <c r="P1692" s="1200"/>
      <c r="Q1692" s="1200"/>
    </row>
    <row r="1693" spans="1:17" ht="15" thickTop="1" thickBot="1" x14ac:dyDescent="0.3">
      <c r="A1693" s="1207"/>
      <c r="B1693" s="1212"/>
      <c r="C1693" s="1212"/>
      <c r="D1693" s="1212"/>
      <c r="E1693" s="1212"/>
      <c r="F1693" s="1208"/>
      <c r="G1693" s="1208"/>
      <c r="H1693" s="1208"/>
      <c r="I1693" s="1209"/>
      <c r="J1693" s="1209"/>
      <c r="K1693" s="1210">
        <f t="shared" si="262"/>
        <v>1.05</v>
      </c>
      <c r="L1693" s="1210">
        <f t="shared" si="259"/>
        <v>0</v>
      </c>
      <c r="M1693" s="1197">
        <f t="shared" si="260"/>
        <v>0</v>
      </c>
      <c r="N1693" s="1211">
        <f t="shared" si="261"/>
        <v>0</v>
      </c>
      <c r="O1693" s="1212"/>
      <c r="P1693" s="1200"/>
      <c r="Q1693" s="1200"/>
    </row>
    <row r="1694" spans="1:17" ht="15" thickTop="1" thickBot="1" x14ac:dyDescent="0.3">
      <c r="A1694" s="1207"/>
      <c r="B1694" s="1212"/>
      <c r="C1694" s="1212"/>
      <c r="D1694" s="1212"/>
      <c r="E1694" s="1212"/>
      <c r="F1694" s="1208"/>
      <c r="G1694" s="1208"/>
      <c r="H1694" s="1208"/>
      <c r="I1694" s="1209"/>
      <c r="J1694" s="1209"/>
      <c r="K1694" s="1210">
        <f t="shared" si="262"/>
        <v>1.05</v>
      </c>
      <c r="L1694" s="1210">
        <f t="shared" si="259"/>
        <v>0</v>
      </c>
      <c r="M1694" s="1197">
        <f t="shared" si="260"/>
        <v>0</v>
      </c>
      <c r="N1694" s="1211">
        <f t="shared" si="261"/>
        <v>0</v>
      </c>
      <c r="O1694" s="1212"/>
      <c r="P1694" s="1200"/>
      <c r="Q1694" s="1200"/>
    </row>
    <row r="1695" spans="1:17" ht="15" thickTop="1" thickBot="1" x14ac:dyDescent="0.3">
      <c r="A1695" s="1207"/>
      <c r="B1695" s="1212"/>
      <c r="C1695" s="1212"/>
      <c r="D1695" s="1212"/>
      <c r="E1695" s="1212"/>
      <c r="F1695" s="1208"/>
      <c r="G1695" s="1208"/>
      <c r="H1695" s="1208"/>
      <c r="I1695" s="1209"/>
      <c r="J1695" s="1209"/>
      <c r="K1695" s="1210">
        <f t="shared" si="262"/>
        <v>1.05</v>
      </c>
      <c r="L1695" s="1210">
        <f t="shared" si="259"/>
        <v>0</v>
      </c>
      <c r="M1695" s="1197">
        <f t="shared" si="260"/>
        <v>0</v>
      </c>
      <c r="N1695" s="1211">
        <f t="shared" si="261"/>
        <v>0</v>
      </c>
      <c r="O1695" s="1212"/>
      <c r="P1695" s="1200"/>
      <c r="Q1695" s="1200"/>
    </row>
    <row r="1696" spans="1:17" ht="15" thickTop="1" thickBot="1" x14ac:dyDescent="0.3">
      <c r="A1696" s="1207"/>
      <c r="B1696" s="1212"/>
      <c r="C1696" s="1212"/>
      <c r="D1696" s="1212"/>
      <c r="E1696" s="1212"/>
      <c r="F1696" s="1208"/>
      <c r="G1696" s="1208"/>
      <c r="H1696" s="1208"/>
      <c r="I1696" s="1209"/>
      <c r="J1696" s="1209"/>
      <c r="K1696" s="1210">
        <f t="shared" si="262"/>
        <v>1.05</v>
      </c>
      <c r="L1696" s="1210">
        <f t="shared" si="259"/>
        <v>0</v>
      </c>
      <c r="M1696" s="1197">
        <f t="shared" si="260"/>
        <v>0</v>
      </c>
      <c r="N1696" s="1211">
        <f t="shared" si="261"/>
        <v>0</v>
      </c>
      <c r="O1696" s="1212"/>
      <c r="P1696" s="1200"/>
      <c r="Q1696" s="1200"/>
    </row>
    <row r="1697" spans="1:17" ht="15" thickTop="1" thickBot="1" x14ac:dyDescent="0.3">
      <c r="A1697" s="1207"/>
      <c r="B1697" s="1212"/>
      <c r="C1697" s="1212"/>
      <c r="D1697" s="1212"/>
      <c r="E1697" s="1212"/>
      <c r="F1697" s="1208"/>
      <c r="G1697" s="1208"/>
      <c r="H1697" s="1208"/>
      <c r="I1697" s="1209"/>
      <c r="J1697" s="1209"/>
      <c r="K1697" s="1210">
        <f t="shared" si="262"/>
        <v>1.05</v>
      </c>
      <c r="L1697" s="1210">
        <f t="shared" si="259"/>
        <v>0</v>
      </c>
      <c r="M1697" s="1197">
        <f t="shared" si="260"/>
        <v>0</v>
      </c>
      <c r="N1697" s="1211">
        <f t="shared" si="261"/>
        <v>0</v>
      </c>
      <c r="O1697" s="1212"/>
      <c r="P1697" s="1200"/>
      <c r="Q1697" s="1200"/>
    </row>
    <row r="1698" spans="1:17" ht="15" thickTop="1" thickBot="1" x14ac:dyDescent="0.3">
      <c r="A1698" s="1207"/>
      <c r="B1698" s="1212"/>
      <c r="C1698" s="1212"/>
      <c r="D1698" s="1212"/>
      <c r="E1698" s="1212"/>
      <c r="F1698" s="1208"/>
      <c r="G1698" s="1208"/>
      <c r="H1698" s="1208"/>
      <c r="I1698" s="1209"/>
      <c r="J1698" s="1209"/>
      <c r="K1698" s="1210">
        <f t="shared" si="262"/>
        <v>1.05</v>
      </c>
      <c r="L1698" s="1210">
        <f t="shared" si="259"/>
        <v>0</v>
      </c>
      <c r="M1698" s="1197">
        <f t="shared" si="260"/>
        <v>0</v>
      </c>
      <c r="N1698" s="1211">
        <f t="shared" si="261"/>
        <v>0</v>
      </c>
      <c r="O1698" s="1212"/>
      <c r="P1698" s="1200"/>
      <c r="Q1698" s="1200"/>
    </row>
    <row r="1699" spans="1:17" ht="15" thickTop="1" thickBot="1" x14ac:dyDescent="0.3">
      <c r="A1699" s="1207"/>
      <c r="B1699" s="1212"/>
      <c r="C1699" s="1212"/>
      <c r="D1699" s="1212"/>
      <c r="E1699" s="1212"/>
      <c r="F1699" s="1208"/>
      <c r="G1699" s="1208"/>
      <c r="H1699" s="1208"/>
      <c r="I1699" s="1209"/>
      <c r="J1699" s="1209"/>
      <c r="K1699" s="1210">
        <f t="shared" si="262"/>
        <v>1.05</v>
      </c>
      <c r="L1699" s="1210">
        <f t="shared" si="259"/>
        <v>0</v>
      </c>
      <c r="M1699" s="1197">
        <f t="shared" si="260"/>
        <v>0</v>
      </c>
      <c r="N1699" s="1211">
        <f t="shared" si="261"/>
        <v>0</v>
      </c>
      <c r="O1699" s="1212"/>
      <c r="P1699" s="1200"/>
      <c r="Q1699" s="1200"/>
    </row>
    <row r="1700" spans="1:17" ht="15" thickTop="1" thickBot="1" x14ac:dyDescent="0.3">
      <c r="A1700" s="1207"/>
      <c r="B1700" s="1212"/>
      <c r="C1700" s="1212"/>
      <c r="D1700" s="1212"/>
      <c r="E1700" s="1212"/>
      <c r="F1700" s="1208"/>
      <c r="G1700" s="1208"/>
      <c r="H1700" s="1208"/>
      <c r="I1700" s="1209"/>
      <c r="J1700" s="1209"/>
      <c r="K1700" s="1210">
        <f t="shared" si="262"/>
        <v>1.05</v>
      </c>
      <c r="L1700" s="1210">
        <f t="shared" si="259"/>
        <v>0</v>
      </c>
      <c r="M1700" s="1197">
        <f t="shared" si="260"/>
        <v>0</v>
      </c>
      <c r="N1700" s="1211">
        <f t="shared" si="261"/>
        <v>0</v>
      </c>
      <c r="O1700" s="1212"/>
      <c r="P1700" s="1200"/>
      <c r="Q1700" s="1200"/>
    </row>
    <row r="1701" spans="1:17" ht="15" thickTop="1" thickBot="1" x14ac:dyDescent="0.3">
      <c r="A1701" s="1207"/>
      <c r="B1701" s="1212"/>
      <c r="C1701" s="1212"/>
      <c r="D1701" s="1212"/>
      <c r="E1701" s="1212"/>
      <c r="F1701" s="1208"/>
      <c r="G1701" s="1208"/>
      <c r="H1701" s="1208"/>
      <c r="I1701" s="1209"/>
      <c r="J1701" s="1209"/>
      <c r="K1701" s="1210">
        <f t="shared" si="262"/>
        <v>1.05</v>
      </c>
      <c r="L1701" s="1210">
        <f t="shared" si="259"/>
        <v>0</v>
      </c>
      <c r="M1701" s="1197">
        <f t="shared" si="260"/>
        <v>0</v>
      </c>
      <c r="N1701" s="1211">
        <f t="shared" si="261"/>
        <v>0</v>
      </c>
      <c r="O1701" s="1212"/>
      <c r="P1701" s="1200"/>
      <c r="Q1701" s="1200"/>
    </row>
    <row r="1702" spans="1:17" ht="15" thickTop="1" thickBot="1" x14ac:dyDescent="0.3">
      <c r="A1702" s="1207"/>
      <c r="B1702" s="1212"/>
      <c r="C1702" s="1212"/>
      <c r="D1702" s="1212"/>
      <c r="E1702" s="1212"/>
      <c r="F1702" s="1208"/>
      <c r="G1702" s="1208"/>
      <c r="H1702" s="1208"/>
      <c r="I1702" s="1209"/>
      <c r="J1702" s="1209"/>
      <c r="K1702" s="1210">
        <f t="shared" si="262"/>
        <v>1.05</v>
      </c>
      <c r="L1702" s="1210">
        <f t="shared" si="259"/>
        <v>0</v>
      </c>
      <c r="M1702" s="1197">
        <f t="shared" si="260"/>
        <v>0</v>
      </c>
      <c r="N1702" s="1211">
        <f t="shared" si="261"/>
        <v>0</v>
      </c>
      <c r="O1702" s="1212"/>
      <c r="P1702" s="1200"/>
      <c r="Q1702" s="1200"/>
    </row>
    <row r="1703" spans="1:17" ht="15" thickTop="1" thickBot="1" x14ac:dyDescent="0.3">
      <c r="A1703" s="1207"/>
      <c r="B1703" s="1212"/>
      <c r="C1703" s="1212"/>
      <c r="D1703" s="1212"/>
      <c r="E1703" s="1212"/>
      <c r="F1703" s="1208"/>
      <c r="G1703" s="1208"/>
      <c r="H1703" s="1208"/>
      <c r="I1703" s="1209"/>
      <c r="J1703" s="1209"/>
      <c r="K1703" s="1210">
        <f t="shared" si="262"/>
        <v>1.05</v>
      </c>
      <c r="L1703" s="1210">
        <f t="shared" si="259"/>
        <v>0</v>
      </c>
      <c r="M1703" s="1197">
        <f t="shared" si="260"/>
        <v>0</v>
      </c>
      <c r="N1703" s="1211">
        <f t="shared" si="261"/>
        <v>0</v>
      </c>
      <c r="O1703" s="1212"/>
      <c r="P1703" s="1200"/>
      <c r="Q1703" s="1200"/>
    </row>
    <row r="1704" spans="1:17" ht="15" thickTop="1" thickBot="1" x14ac:dyDescent="0.3">
      <c r="A1704" s="1207"/>
      <c r="B1704" s="1212"/>
      <c r="C1704" s="1212"/>
      <c r="D1704" s="1212"/>
      <c r="E1704" s="1212"/>
      <c r="F1704" s="1208"/>
      <c r="G1704" s="1208"/>
      <c r="H1704" s="1208"/>
      <c r="I1704" s="1209"/>
      <c r="J1704" s="1209"/>
      <c r="K1704" s="1210">
        <f t="shared" si="262"/>
        <v>1.05</v>
      </c>
      <c r="L1704" s="1210">
        <f t="shared" si="259"/>
        <v>0</v>
      </c>
      <c r="M1704" s="1197">
        <f t="shared" si="260"/>
        <v>0</v>
      </c>
      <c r="N1704" s="1211">
        <f t="shared" si="261"/>
        <v>0</v>
      </c>
      <c r="O1704" s="1212"/>
      <c r="P1704" s="1200"/>
      <c r="Q1704" s="1200"/>
    </row>
    <row r="1705" spans="1:17" ht="15" thickTop="1" thickBot="1" x14ac:dyDescent="0.3">
      <c r="A1705" s="1207"/>
      <c r="B1705" s="1212"/>
      <c r="C1705" s="1212"/>
      <c r="D1705" s="1212"/>
      <c r="E1705" s="1212"/>
      <c r="F1705" s="1208"/>
      <c r="G1705" s="1208"/>
      <c r="H1705" s="1208"/>
      <c r="I1705" s="1209"/>
      <c r="J1705" s="1209"/>
      <c r="K1705" s="1210">
        <f t="shared" si="262"/>
        <v>1.05</v>
      </c>
      <c r="L1705" s="1210">
        <f t="shared" si="259"/>
        <v>0</v>
      </c>
      <c r="M1705" s="1197">
        <f t="shared" si="260"/>
        <v>0</v>
      </c>
      <c r="N1705" s="1211">
        <f t="shared" si="261"/>
        <v>0</v>
      </c>
      <c r="O1705" s="1212"/>
      <c r="P1705" s="1200"/>
      <c r="Q1705" s="1200"/>
    </row>
    <row r="1706" spans="1:17" ht="15" thickTop="1" thickBot="1" x14ac:dyDescent="0.3">
      <c r="A1706" s="1207"/>
      <c r="B1706" s="1212"/>
      <c r="C1706" s="1212"/>
      <c r="D1706" s="1212"/>
      <c r="E1706" s="1212"/>
      <c r="F1706" s="1208"/>
      <c r="G1706" s="1208"/>
      <c r="H1706" s="1208"/>
      <c r="I1706" s="1209"/>
      <c r="J1706" s="1209"/>
      <c r="K1706" s="1210">
        <f t="shared" si="262"/>
        <v>1.05</v>
      </c>
      <c r="L1706" s="1210">
        <f t="shared" ref="L1706:L1769" si="263">K1706*J1706</f>
        <v>0</v>
      </c>
      <c r="M1706" s="1197">
        <f t="shared" ref="M1706:M1769" si="264">ROUND(L1706,1)</f>
        <v>0</v>
      </c>
      <c r="N1706" s="1211">
        <f t="shared" ref="N1706:N1769" si="265">ROUNDUP(M1706,0)</f>
        <v>0</v>
      </c>
      <c r="O1706" s="1212"/>
      <c r="P1706" s="1200"/>
      <c r="Q1706" s="1200"/>
    </row>
    <row r="1707" spans="1:17" ht="15" thickTop="1" thickBot="1" x14ac:dyDescent="0.3">
      <c r="A1707" s="1207"/>
      <c r="B1707" s="1212"/>
      <c r="C1707" s="1212"/>
      <c r="D1707" s="1212"/>
      <c r="E1707" s="1212"/>
      <c r="F1707" s="1208"/>
      <c r="G1707" s="1208"/>
      <c r="H1707" s="1208"/>
      <c r="I1707" s="1209"/>
      <c r="J1707" s="1209"/>
      <c r="K1707" s="1210">
        <f t="shared" si="262"/>
        <v>1.05</v>
      </c>
      <c r="L1707" s="1210">
        <f t="shared" si="263"/>
        <v>0</v>
      </c>
      <c r="M1707" s="1197">
        <f t="shared" si="264"/>
        <v>0</v>
      </c>
      <c r="N1707" s="1211">
        <f t="shared" si="265"/>
        <v>0</v>
      </c>
      <c r="O1707" s="1212"/>
      <c r="P1707" s="1200"/>
      <c r="Q1707" s="1200"/>
    </row>
    <row r="1708" spans="1:17" ht="15" thickTop="1" thickBot="1" x14ac:dyDescent="0.3">
      <c r="A1708" s="1207"/>
      <c r="B1708" s="1212"/>
      <c r="C1708" s="1212"/>
      <c r="D1708" s="1212"/>
      <c r="E1708" s="1212"/>
      <c r="F1708" s="1208"/>
      <c r="G1708" s="1208"/>
      <c r="H1708" s="1208"/>
      <c r="I1708" s="1209"/>
      <c r="J1708" s="1209"/>
      <c r="K1708" s="1210">
        <f t="shared" si="262"/>
        <v>1.05</v>
      </c>
      <c r="L1708" s="1210">
        <f t="shared" si="263"/>
        <v>0</v>
      </c>
      <c r="M1708" s="1197">
        <f t="shared" si="264"/>
        <v>0</v>
      </c>
      <c r="N1708" s="1211">
        <f t="shared" si="265"/>
        <v>0</v>
      </c>
      <c r="O1708" s="1212"/>
      <c r="P1708" s="1200"/>
      <c r="Q1708" s="1200"/>
    </row>
    <row r="1709" spans="1:17" ht="15" thickTop="1" thickBot="1" x14ac:dyDescent="0.3">
      <c r="A1709" s="1207"/>
      <c r="B1709" s="1212"/>
      <c r="C1709" s="1212"/>
      <c r="D1709" s="1212"/>
      <c r="E1709" s="1212"/>
      <c r="F1709" s="1208"/>
      <c r="G1709" s="1208"/>
      <c r="H1709" s="1208"/>
      <c r="I1709" s="1209"/>
      <c r="J1709" s="1209"/>
      <c r="K1709" s="1210">
        <f t="shared" si="262"/>
        <v>1.05</v>
      </c>
      <c r="L1709" s="1210">
        <f t="shared" si="263"/>
        <v>0</v>
      </c>
      <c r="M1709" s="1197">
        <f t="shared" si="264"/>
        <v>0</v>
      </c>
      <c r="N1709" s="1211">
        <f t="shared" si="265"/>
        <v>0</v>
      </c>
      <c r="O1709" s="1212"/>
      <c r="P1709" s="1200"/>
      <c r="Q1709" s="1200"/>
    </row>
    <row r="1710" spans="1:17" ht="15" thickTop="1" thickBot="1" x14ac:dyDescent="0.3">
      <c r="A1710" s="1207"/>
      <c r="B1710" s="1212"/>
      <c r="C1710" s="1212"/>
      <c r="D1710" s="1212"/>
      <c r="E1710" s="1212"/>
      <c r="F1710" s="1208"/>
      <c r="G1710" s="1208"/>
      <c r="H1710" s="1208"/>
      <c r="I1710" s="1209"/>
      <c r="J1710" s="1209"/>
      <c r="K1710" s="1210">
        <f t="shared" si="262"/>
        <v>1.05</v>
      </c>
      <c r="L1710" s="1210">
        <f t="shared" si="263"/>
        <v>0</v>
      </c>
      <c r="M1710" s="1197">
        <f t="shared" si="264"/>
        <v>0</v>
      </c>
      <c r="N1710" s="1211">
        <f t="shared" si="265"/>
        <v>0</v>
      </c>
      <c r="O1710" s="1212"/>
      <c r="P1710" s="1200"/>
      <c r="Q1710" s="1200"/>
    </row>
    <row r="1711" spans="1:17" ht="15" thickTop="1" thickBot="1" x14ac:dyDescent="0.3">
      <c r="A1711" s="1207"/>
      <c r="B1711" s="1212"/>
      <c r="C1711" s="1212"/>
      <c r="D1711" s="1212"/>
      <c r="E1711" s="1212"/>
      <c r="F1711" s="1208"/>
      <c r="G1711" s="1208"/>
      <c r="H1711" s="1208"/>
      <c r="I1711" s="1209"/>
      <c r="J1711" s="1209"/>
      <c r="K1711" s="1210">
        <f t="shared" si="262"/>
        <v>1.05</v>
      </c>
      <c r="L1711" s="1210">
        <f t="shared" si="263"/>
        <v>0</v>
      </c>
      <c r="M1711" s="1197">
        <f t="shared" si="264"/>
        <v>0</v>
      </c>
      <c r="N1711" s="1211">
        <f t="shared" si="265"/>
        <v>0</v>
      </c>
      <c r="O1711" s="1212"/>
      <c r="P1711" s="1200"/>
      <c r="Q1711" s="1200"/>
    </row>
    <row r="1712" spans="1:17" ht="15" thickTop="1" thickBot="1" x14ac:dyDescent="0.3">
      <c r="A1712" s="1207"/>
      <c r="B1712" s="1212"/>
      <c r="C1712" s="1212"/>
      <c r="D1712" s="1212"/>
      <c r="E1712" s="1212"/>
      <c r="F1712" s="1208"/>
      <c r="G1712" s="1208"/>
      <c r="H1712" s="1208"/>
      <c r="I1712" s="1209"/>
      <c r="J1712" s="1209"/>
      <c r="K1712" s="1210">
        <f t="shared" si="262"/>
        <v>1.05</v>
      </c>
      <c r="L1712" s="1210">
        <f t="shared" si="263"/>
        <v>0</v>
      </c>
      <c r="M1712" s="1197">
        <f t="shared" si="264"/>
        <v>0</v>
      </c>
      <c r="N1712" s="1211">
        <f t="shared" si="265"/>
        <v>0</v>
      </c>
      <c r="O1712" s="1212"/>
      <c r="P1712" s="1200"/>
      <c r="Q1712" s="1200"/>
    </row>
    <row r="1713" spans="1:17" ht="15" thickTop="1" thickBot="1" x14ac:dyDescent="0.3">
      <c r="A1713" s="1207"/>
      <c r="B1713" s="1212"/>
      <c r="C1713" s="1212"/>
      <c r="D1713" s="1212"/>
      <c r="E1713" s="1212"/>
      <c r="F1713" s="1208"/>
      <c r="G1713" s="1208"/>
      <c r="H1713" s="1208"/>
      <c r="I1713" s="1209"/>
      <c r="J1713" s="1209"/>
      <c r="K1713" s="1210">
        <f t="shared" si="262"/>
        <v>1.05</v>
      </c>
      <c r="L1713" s="1210">
        <f t="shared" si="263"/>
        <v>0</v>
      </c>
      <c r="M1713" s="1197">
        <f t="shared" si="264"/>
        <v>0</v>
      </c>
      <c r="N1713" s="1211">
        <f t="shared" si="265"/>
        <v>0</v>
      </c>
      <c r="O1713" s="1212"/>
      <c r="P1713" s="1200"/>
      <c r="Q1713" s="1200"/>
    </row>
    <row r="1714" spans="1:17" ht="15" thickTop="1" thickBot="1" x14ac:dyDescent="0.3">
      <c r="A1714" s="1207"/>
      <c r="B1714" s="1212"/>
      <c r="C1714" s="1212"/>
      <c r="D1714" s="1212"/>
      <c r="E1714" s="1212"/>
      <c r="F1714" s="1208"/>
      <c r="G1714" s="1208"/>
      <c r="H1714" s="1208"/>
      <c r="I1714" s="1209"/>
      <c r="J1714" s="1209"/>
      <c r="K1714" s="1210">
        <f t="shared" si="262"/>
        <v>1.05</v>
      </c>
      <c r="L1714" s="1210">
        <f t="shared" si="263"/>
        <v>0</v>
      </c>
      <c r="M1714" s="1197">
        <f t="shared" si="264"/>
        <v>0</v>
      </c>
      <c r="N1714" s="1211">
        <f t="shared" si="265"/>
        <v>0</v>
      </c>
      <c r="O1714" s="1212"/>
      <c r="P1714" s="1200"/>
      <c r="Q1714" s="1200"/>
    </row>
    <row r="1715" spans="1:17" ht="15" thickTop="1" thickBot="1" x14ac:dyDescent="0.3">
      <c r="A1715" s="1207"/>
      <c r="B1715" s="1212"/>
      <c r="C1715" s="1212"/>
      <c r="D1715" s="1212"/>
      <c r="E1715" s="1212"/>
      <c r="F1715" s="1208"/>
      <c r="G1715" s="1208"/>
      <c r="H1715" s="1208"/>
      <c r="I1715" s="1209"/>
      <c r="J1715" s="1209"/>
      <c r="K1715" s="1210">
        <f t="shared" si="262"/>
        <v>1.05</v>
      </c>
      <c r="L1715" s="1210">
        <f t="shared" si="263"/>
        <v>0</v>
      </c>
      <c r="M1715" s="1197">
        <f t="shared" si="264"/>
        <v>0</v>
      </c>
      <c r="N1715" s="1211">
        <f t="shared" si="265"/>
        <v>0</v>
      </c>
      <c r="O1715" s="1212"/>
      <c r="P1715" s="1200"/>
      <c r="Q1715" s="1200"/>
    </row>
    <row r="1716" spans="1:17" ht="15" thickTop="1" thickBot="1" x14ac:dyDescent="0.3">
      <c r="A1716" s="1207"/>
      <c r="B1716" s="1212"/>
      <c r="C1716" s="1212"/>
      <c r="D1716" s="1212"/>
      <c r="E1716" s="1212"/>
      <c r="F1716" s="1208"/>
      <c r="G1716" s="1208"/>
      <c r="H1716" s="1208"/>
      <c r="I1716" s="1209"/>
      <c r="J1716" s="1209"/>
      <c r="K1716" s="1210">
        <f t="shared" si="262"/>
        <v>1.05</v>
      </c>
      <c r="L1716" s="1210">
        <f t="shared" si="263"/>
        <v>0</v>
      </c>
      <c r="M1716" s="1197">
        <f t="shared" si="264"/>
        <v>0</v>
      </c>
      <c r="N1716" s="1211">
        <f t="shared" si="265"/>
        <v>0</v>
      </c>
      <c r="O1716" s="1212"/>
      <c r="P1716" s="1200"/>
      <c r="Q1716" s="1200"/>
    </row>
    <row r="1717" spans="1:17" ht="15" thickTop="1" thickBot="1" x14ac:dyDescent="0.3">
      <c r="A1717" s="1207"/>
      <c r="B1717" s="1212"/>
      <c r="C1717" s="1212"/>
      <c r="D1717" s="1212"/>
      <c r="E1717" s="1212"/>
      <c r="F1717" s="1208"/>
      <c r="G1717" s="1208"/>
      <c r="H1717" s="1208"/>
      <c r="I1717" s="1209"/>
      <c r="J1717" s="1209"/>
      <c r="K1717" s="1210">
        <f t="shared" si="262"/>
        <v>1.05</v>
      </c>
      <c r="L1717" s="1210">
        <f t="shared" si="263"/>
        <v>0</v>
      </c>
      <c r="M1717" s="1197">
        <f t="shared" si="264"/>
        <v>0</v>
      </c>
      <c r="N1717" s="1211">
        <f t="shared" si="265"/>
        <v>0</v>
      </c>
      <c r="O1717" s="1212"/>
      <c r="P1717" s="1200"/>
      <c r="Q1717" s="1200"/>
    </row>
    <row r="1718" spans="1:17" ht="15" thickTop="1" thickBot="1" x14ac:dyDescent="0.3">
      <c r="A1718" s="1207"/>
      <c r="B1718" s="1212"/>
      <c r="C1718" s="1212"/>
      <c r="D1718" s="1212"/>
      <c r="E1718" s="1212"/>
      <c r="F1718" s="1208"/>
      <c r="G1718" s="1208"/>
      <c r="H1718" s="1208"/>
      <c r="I1718" s="1209"/>
      <c r="J1718" s="1209"/>
      <c r="K1718" s="1210">
        <f t="shared" si="262"/>
        <v>1.05</v>
      </c>
      <c r="L1718" s="1210">
        <f t="shared" si="263"/>
        <v>0</v>
      </c>
      <c r="M1718" s="1197">
        <f t="shared" si="264"/>
        <v>0</v>
      </c>
      <c r="N1718" s="1211">
        <f t="shared" si="265"/>
        <v>0</v>
      </c>
      <c r="O1718" s="1212"/>
      <c r="P1718" s="1200"/>
      <c r="Q1718" s="1200"/>
    </row>
    <row r="1719" spans="1:17" ht="15" thickTop="1" thickBot="1" x14ac:dyDescent="0.3">
      <c r="A1719" s="1207"/>
      <c r="B1719" s="1212"/>
      <c r="C1719" s="1212"/>
      <c r="D1719" s="1212"/>
      <c r="E1719" s="1212"/>
      <c r="F1719" s="1208"/>
      <c r="G1719" s="1208"/>
      <c r="H1719" s="1208"/>
      <c r="I1719" s="1209"/>
      <c r="J1719" s="1209"/>
      <c r="K1719" s="1210">
        <f t="shared" si="262"/>
        <v>1.05</v>
      </c>
      <c r="L1719" s="1210">
        <f t="shared" si="263"/>
        <v>0</v>
      </c>
      <c r="M1719" s="1197">
        <f t="shared" si="264"/>
        <v>0</v>
      </c>
      <c r="N1719" s="1211">
        <f t="shared" si="265"/>
        <v>0</v>
      </c>
      <c r="O1719" s="1212"/>
      <c r="P1719" s="1200"/>
      <c r="Q1719" s="1200"/>
    </row>
    <row r="1720" spans="1:17" ht="15" thickTop="1" thickBot="1" x14ac:dyDescent="0.3">
      <c r="A1720" s="1207"/>
      <c r="B1720" s="1212"/>
      <c r="C1720" s="1212"/>
      <c r="D1720" s="1212"/>
      <c r="E1720" s="1212"/>
      <c r="F1720" s="1208"/>
      <c r="G1720" s="1208"/>
      <c r="H1720" s="1208"/>
      <c r="I1720" s="1209"/>
      <c r="J1720" s="1209"/>
      <c r="K1720" s="1210">
        <f t="shared" si="262"/>
        <v>1.05</v>
      </c>
      <c r="L1720" s="1210">
        <f t="shared" si="263"/>
        <v>0</v>
      </c>
      <c r="M1720" s="1197">
        <f t="shared" si="264"/>
        <v>0</v>
      </c>
      <c r="N1720" s="1211">
        <f t="shared" si="265"/>
        <v>0</v>
      </c>
      <c r="O1720" s="1212"/>
      <c r="P1720" s="1200"/>
      <c r="Q1720" s="1200"/>
    </row>
    <row r="1721" spans="1:17" ht="15" thickTop="1" thickBot="1" x14ac:dyDescent="0.3">
      <c r="A1721" s="1207"/>
      <c r="B1721" s="1212"/>
      <c r="C1721" s="1212"/>
      <c r="D1721" s="1212"/>
      <c r="E1721" s="1212"/>
      <c r="F1721" s="1208"/>
      <c r="G1721" s="1208"/>
      <c r="H1721" s="1208"/>
      <c r="I1721" s="1209"/>
      <c r="J1721" s="1209"/>
      <c r="K1721" s="1210">
        <f t="shared" si="262"/>
        <v>1.05</v>
      </c>
      <c r="L1721" s="1210">
        <f t="shared" si="263"/>
        <v>0</v>
      </c>
      <c r="M1721" s="1197">
        <f t="shared" si="264"/>
        <v>0</v>
      </c>
      <c r="N1721" s="1211">
        <f t="shared" si="265"/>
        <v>0</v>
      </c>
      <c r="O1721" s="1212"/>
      <c r="P1721" s="1200"/>
      <c r="Q1721" s="1200"/>
    </row>
    <row r="1722" spans="1:17" ht="15" thickTop="1" thickBot="1" x14ac:dyDescent="0.3">
      <c r="A1722" s="1207"/>
      <c r="B1722" s="1212"/>
      <c r="C1722" s="1212"/>
      <c r="D1722" s="1212"/>
      <c r="E1722" s="1212"/>
      <c r="F1722" s="1208"/>
      <c r="G1722" s="1208"/>
      <c r="H1722" s="1208"/>
      <c r="I1722" s="1209"/>
      <c r="J1722" s="1209"/>
      <c r="K1722" s="1210">
        <f t="shared" si="262"/>
        <v>1.05</v>
      </c>
      <c r="L1722" s="1210">
        <f t="shared" si="263"/>
        <v>0</v>
      </c>
      <c r="M1722" s="1197">
        <f t="shared" si="264"/>
        <v>0</v>
      </c>
      <c r="N1722" s="1211">
        <f t="shared" si="265"/>
        <v>0</v>
      </c>
      <c r="O1722" s="1212"/>
      <c r="P1722" s="1200"/>
      <c r="Q1722" s="1200"/>
    </row>
    <row r="1723" spans="1:17" ht="15" thickTop="1" thickBot="1" x14ac:dyDescent="0.3">
      <c r="A1723" s="1207"/>
      <c r="B1723" s="1212"/>
      <c r="C1723" s="1212"/>
      <c r="D1723" s="1212"/>
      <c r="E1723" s="1212"/>
      <c r="F1723" s="1208"/>
      <c r="G1723" s="1208"/>
      <c r="H1723" s="1208"/>
      <c r="I1723" s="1209"/>
      <c r="J1723" s="1209"/>
      <c r="K1723" s="1210">
        <f t="shared" si="262"/>
        <v>1.05</v>
      </c>
      <c r="L1723" s="1210">
        <f t="shared" si="263"/>
        <v>0</v>
      </c>
      <c r="M1723" s="1197">
        <f t="shared" si="264"/>
        <v>0</v>
      </c>
      <c r="N1723" s="1211">
        <f t="shared" si="265"/>
        <v>0</v>
      </c>
      <c r="O1723" s="1212"/>
      <c r="P1723" s="1200"/>
      <c r="Q1723" s="1200"/>
    </row>
    <row r="1724" spans="1:17" ht="15" thickTop="1" thickBot="1" x14ac:dyDescent="0.3">
      <c r="A1724" s="1207"/>
      <c r="B1724" s="1212"/>
      <c r="C1724" s="1212"/>
      <c r="D1724" s="1212"/>
      <c r="E1724" s="1212"/>
      <c r="F1724" s="1208"/>
      <c r="G1724" s="1208"/>
      <c r="H1724" s="1208"/>
      <c r="I1724" s="1209"/>
      <c r="J1724" s="1209"/>
      <c r="K1724" s="1210">
        <f t="shared" si="262"/>
        <v>1.05</v>
      </c>
      <c r="L1724" s="1210">
        <f t="shared" si="263"/>
        <v>0</v>
      </c>
      <c r="M1724" s="1197">
        <f t="shared" si="264"/>
        <v>0</v>
      </c>
      <c r="N1724" s="1211">
        <f t="shared" si="265"/>
        <v>0</v>
      </c>
      <c r="O1724" s="1212"/>
      <c r="P1724" s="1200"/>
      <c r="Q1724" s="1200"/>
    </row>
    <row r="1725" spans="1:17" ht="15" thickTop="1" thickBot="1" x14ac:dyDescent="0.3">
      <c r="A1725" s="1207"/>
      <c r="B1725" s="1212"/>
      <c r="C1725" s="1212"/>
      <c r="D1725" s="1212"/>
      <c r="E1725" s="1212"/>
      <c r="F1725" s="1208"/>
      <c r="G1725" s="1208"/>
      <c r="H1725" s="1208"/>
      <c r="I1725" s="1209"/>
      <c r="J1725" s="1209"/>
      <c r="K1725" s="1210">
        <f t="shared" si="262"/>
        <v>1.05</v>
      </c>
      <c r="L1725" s="1210">
        <f t="shared" si="263"/>
        <v>0</v>
      </c>
      <c r="M1725" s="1197">
        <f t="shared" si="264"/>
        <v>0</v>
      </c>
      <c r="N1725" s="1211">
        <f t="shared" si="265"/>
        <v>0</v>
      </c>
      <c r="O1725" s="1212"/>
      <c r="P1725" s="1200"/>
      <c r="Q1725" s="1200"/>
    </row>
    <row r="1726" spans="1:17" ht="15" thickTop="1" thickBot="1" x14ac:dyDescent="0.3">
      <c r="A1726" s="1207"/>
      <c r="B1726" s="1212"/>
      <c r="C1726" s="1212"/>
      <c r="D1726" s="1212"/>
      <c r="E1726" s="1212"/>
      <c r="F1726" s="1208"/>
      <c r="G1726" s="1208"/>
      <c r="H1726" s="1208"/>
      <c r="I1726" s="1209"/>
      <c r="J1726" s="1209"/>
      <c r="K1726" s="1210">
        <f t="shared" si="262"/>
        <v>1.05</v>
      </c>
      <c r="L1726" s="1210">
        <f t="shared" si="263"/>
        <v>0</v>
      </c>
      <c r="M1726" s="1197">
        <f t="shared" si="264"/>
        <v>0</v>
      </c>
      <c r="N1726" s="1211">
        <f t="shared" si="265"/>
        <v>0</v>
      </c>
      <c r="O1726" s="1212"/>
      <c r="P1726" s="1200"/>
      <c r="Q1726" s="1200"/>
    </row>
    <row r="1727" spans="1:17" ht="15" thickTop="1" thickBot="1" x14ac:dyDescent="0.3">
      <c r="A1727" s="1207"/>
      <c r="B1727" s="1212"/>
      <c r="C1727" s="1212"/>
      <c r="D1727" s="1212"/>
      <c r="E1727" s="1212"/>
      <c r="F1727" s="1208"/>
      <c r="G1727" s="1208"/>
      <c r="H1727" s="1208"/>
      <c r="I1727" s="1209"/>
      <c r="J1727" s="1209"/>
      <c r="K1727" s="1210">
        <f t="shared" si="262"/>
        <v>1.05</v>
      </c>
      <c r="L1727" s="1210">
        <f t="shared" si="263"/>
        <v>0</v>
      </c>
      <c r="M1727" s="1197">
        <f t="shared" si="264"/>
        <v>0</v>
      </c>
      <c r="N1727" s="1211">
        <f t="shared" si="265"/>
        <v>0</v>
      </c>
      <c r="O1727" s="1212"/>
      <c r="P1727" s="1200"/>
      <c r="Q1727" s="1200"/>
    </row>
    <row r="1728" spans="1:17" ht="15" thickTop="1" thickBot="1" x14ac:dyDescent="0.3">
      <c r="A1728" s="1207"/>
      <c r="B1728" s="1212"/>
      <c r="C1728" s="1212"/>
      <c r="D1728" s="1212"/>
      <c r="E1728" s="1212"/>
      <c r="F1728" s="1208"/>
      <c r="G1728" s="1208"/>
      <c r="H1728" s="1208"/>
      <c r="I1728" s="1209"/>
      <c r="J1728" s="1209"/>
      <c r="K1728" s="1210">
        <f t="shared" si="262"/>
        <v>1.05</v>
      </c>
      <c r="L1728" s="1210">
        <f t="shared" si="263"/>
        <v>0</v>
      </c>
      <c r="M1728" s="1197">
        <f t="shared" si="264"/>
        <v>0</v>
      </c>
      <c r="N1728" s="1211">
        <f t="shared" si="265"/>
        <v>0</v>
      </c>
      <c r="O1728" s="1212"/>
      <c r="P1728" s="1200"/>
      <c r="Q1728" s="1200"/>
    </row>
    <row r="1729" spans="1:17" ht="15" thickTop="1" thickBot="1" x14ac:dyDescent="0.3">
      <c r="A1729" s="1207"/>
      <c r="B1729" s="1212"/>
      <c r="C1729" s="1212"/>
      <c r="D1729" s="1212"/>
      <c r="E1729" s="1212"/>
      <c r="F1729" s="1208"/>
      <c r="G1729" s="1208"/>
      <c r="H1729" s="1208"/>
      <c r="I1729" s="1209"/>
      <c r="J1729" s="1209"/>
      <c r="K1729" s="1210">
        <f t="shared" si="262"/>
        <v>1.05</v>
      </c>
      <c r="L1729" s="1210">
        <f t="shared" si="263"/>
        <v>0</v>
      </c>
      <c r="M1729" s="1197">
        <f t="shared" si="264"/>
        <v>0</v>
      </c>
      <c r="N1729" s="1211">
        <f t="shared" si="265"/>
        <v>0</v>
      </c>
      <c r="O1729" s="1212"/>
      <c r="P1729" s="1200"/>
      <c r="Q1729" s="1200"/>
    </row>
    <row r="1730" spans="1:17" ht="15" thickTop="1" thickBot="1" x14ac:dyDescent="0.3">
      <c r="A1730" s="1207"/>
      <c r="B1730" s="1212"/>
      <c r="C1730" s="1212"/>
      <c r="D1730" s="1212"/>
      <c r="E1730" s="1212"/>
      <c r="F1730" s="1208"/>
      <c r="G1730" s="1208"/>
      <c r="H1730" s="1208"/>
      <c r="I1730" s="1209"/>
      <c r="J1730" s="1209"/>
      <c r="K1730" s="1210">
        <f t="shared" si="262"/>
        <v>1.05</v>
      </c>
      <c r="L1730" s="1210">
        <f t="shared" si="263"/>
        <v>0</v>
      </c>
      <c r="M1730" s="1197">
        <f t="shared" si="264"/>
        <v>0</v>
      </c>
      <c r="N1730" s="1211">
        <f t="shared" si="265"/>
        <v>0</v>
      </c>
      <c r="O1730" s="1212"/>
      <c r="P1730" s="1200"/>
      <c r="Q1730" s="1200"/>
    </row>
    <row r="1731" spans="1:17" ht="15" thickTop="1" thickBot="1" x14ac:dyDescent="0.3">
      <c r="A1731" s="1207"/>
      <c r="B1731" s="1212"/>
      <c r="C1731" s="1212"/>
      <c r="D1731" s="1212"/>
      <c r="E1731" s="1212"/>
      <c r="F1731" s="1208"/>
      <c r="G1731" s="1208"/>
      <c r="H1731" s="1208"/>
      <c r="I1731" s="1209"/>
      <c r="J1731" s="1209"/>
      <c r="K1731" s="1210">
        <f t="shared" si="262"/>
        <v>1.05</v>
      </c>
      <c r="L1731" s="1210">
        <f t="shared" si="263"/>
        <v>0</v>
      </c>
      <c r="M1731" s="1197">
        <f t="shared" si="264"/>
        <v>0</v>
      </c>
      <c r="N1731" s="1211">
        <f t="shared" si="265"/>
        <v>0</v>
      </c>
      <c r="O1731" s="1212"/>
      <c r="P1731" s="1200"/>
      <c r="Q1731" s="1200"/>
    </row>
    <row r="1732" spans="1:17" ht="15" thickTop="1" thickBot="1" x14ac:dyDescent="0.3">
      <c r="A1732" s="1207"/>
      <c r="B1732" s="1212"/>
      <c r="C1732" s="1212"/>
      <c r="D1732" s="1212"/>
      <c r="E1732" s="1212"/>
      <c r="F1732" s="1208"/>
      <c r="G1732" s="1208"/>
      <c r="H1732" s="1208"/>
      <c r="I1732" s="1209"/>
      <c r="J1732" s="1209"/>
      <c r="K1732" s="1210">
        <f t="shared" si="262"/>
        <v>1.05</v>
      </c>
      <c r="L1732" s="1210">
        <f t="shared" si="263"/>
        <v>0</v>
      </c>
      <c r="M1732" s="1197">
        <f t="shared" si="264"/>
        <v>0</v>
      </c>
      <c r="N1732" s="1211">
        <f t="shared" si="265"/>
        <v>0</v>
      </c>
      <c r="O1732" s="1212"/>
      <c r="P1732" s="1200"/>
      <c r="Q1732" s="1200"/>
    </row>
    <row r="1733" spans="1:17" ht="15" thickTop="1" thickBot="1" x14ac:dyDescent="0.3">
      <c r="A1733" s="1207"/>
      <c r="B1733" s="1212"/>
      <c r="C1733" s="1212"/>
      <c r="D1733" s="1212"/>
      <c r="E1733" s="1212"/>
      <c r="F1733" s="1208"/>
      <c r="G1733" s="1208"/>
      <c r="H1733" s="1208"/>
      <c r="I1733" s="1209"/>
      <c r="J1733" s="1209"/>
      <c r="K1733" s="1210">
        <f t="shared" si="262"/>
        <v>1.05</v>
      </c>
      <c r="L1733" s="1210">
        <f t="shared" si="263"/>
        <v>0</v>
      </c>
      <c r="M1733" s="1197">
        <f t="shared" si="264"/>
        <v>0</v>
      </c>
      <c r="N1733" s="1211">
        <f t="shared" si="265"/>
        <v>0</v>
      </c>
      <c r="O1733" s="1212"/>
      <c r="P1733" s="1200"/>
      <c r="Q1733" s="1200"/>
    </row>
    <row r="1734" spans="1:17" ht="15" thickTop="1" thickBot="1" x14ac:dyDescent="0.3">
      <c r="A1734" s="1207"/>
      <c r="B1734" s="1212"/>
      <c r="C1734" s="1212"/>
      <c r="D1734" s="1212"/>
      <c r="E1734" s="1212"/>
      <c r="F1734" s="1208"/>
      <c r="G1734" s="1208"/>
      <c r="H1734" s="1208"/>
      <c r="I1734" s="1209"/>
      <c r="J1734" s="1209"/>
      <c r="K1734" s="1210">
        <f t="shared" si="262"/>
        <v>1.05</v>
      </c>
      <c r="L1734" s="1210">
        <f t="shared" si="263"/>
        <v>0</v>
      </c>
      <c r="M1734" s="1197">
        <f t="shared" si="264"/>
        <v>0</v>
      </c>
      <c r="N1734" s="1211">
        <f t="shared" si="265"/>
        <v>0</v>
      </c>
      <c r="O1734" s="1212"/>
      <c r="P1734" s="1200"/>
      <c r="Q1734" s="1200"/>
    </row>
    <row r="1735" spans="1:17" ht="15" thickTop="1" thickBot="1" x14ac:dyDescent="0.3">
      <c r="A1735" s="1207"/>
      <c r="B1735" s="1212"/>
      <c r="C1735" s="1212"/>
      <c r="D1735" s="1212"/>
      <c r="E1735" s="1212"/>
      <c r="F1735" s="1208"/>
      <c r="G1735" s="1208"/>
      <c r="H1735" s="1208"/>
      <c r="I1735" s="1209"/>
      <c r="J1735" s="1209"/>
      <c r="K1735" s="1210">
        <f t="shared" si="262"/>
        <v>1.05</v>
      </c>
      <c r="L1735" s="1210">
        <f t="shared" si="263"/>
        <v>0</v>
      </c>
      <c r="M1735" s="1197">
        <f t="shared" si="264"/>
        <v>0</v>
      </c>
      <c r="N1735" s="1211">
        <f t="shared" si="265"/>
        <v>0</v>
      </c>
      <c r="O1735" s="1212"/>
      <c r="P1735" s="1200"/>
      <c r="Q1735" s="1200"/>
    </row>
    <row r="1736" spans="1:17" ht="15" thickTop="1" thickBot="1" x14ac:dyDescent="0.3">
      <c r="A1736" s="1207"/>
      <c r="B1736" s="1212"/>
      <c r="C1736" s="1212"/>
      <c r="D1736" s="1212"/>
      <c r="E1736" s="1212"/>
      <c r="F1736" s="1208"/>
      <c r="G1736" s="1208"/>
      <c r="H1736" s="1208"/>
      <c r="I1736" s="1209"/>
      <c r="J1736" s="1209"/>
      <c r="K1736" s="1210">
        <f t="shared" si="262"/>
        <v>1.05</v>
      </c>
      <c r="L1736" s="1210">
        <f t="shared" si="263"/>
        <v>0</v>
      </c>
      <c r="M1736" s="1197">
        <f t="shared" si="264"/>
        <v>0</v>
      </c>
      <c r="N1736" s="1211">
        <f t="shared" si="265"/>
        <v>0</v>
      </c>
      <c r="O1736" s="1212"/>
      <c r="P1736" s="1200"/>
      <c r="Q1736" s="1200"/>
    </row>
    <row r="1737" spans="1:17" ht="15" thickTop="1" thickBot="1" x14ac:dyDescent="0.3">
      <c r="A1737" s="1207"/>
      <c r="B1737" s="1212"/>
      <c r="C1737" s="1212"/>
      <c r="D1737" s="1212"/>
      <c r="E1737" s="1212"/>
      <c r="F1737" s="1208"/>
      <c r="G1737" s="1208"/>
      <c r="H1737" s="1208"/>
      <c r="I1737" s="1209"/>
      <c r="J1737" s="1209"/>
      <c r="K1737" s="1210">
        <f t="shared" si="262"/>
        <v>1.05</v>
      </c>
      <c r="L1737" s="1210">
        <f t="shared" si="263"/>
        <v>0</v>
      </c>
      <c r="M1737" s="1197">
        <f t="shared" si="264"/>
        <v>0</v>
      </c>
      <c r="N1737" s="1211">
        <f t="shared" si="265"/>
        <v>0</v>
      </c>
      <c r="O1737" s="1212"/>
      <c r="P1737" s="1200"/>
      <c r="Q1737" s="1200"/>
    </row>
    <row r="1738" spans="1:17" ht="15" thickTop="1" thickBot="1" x14ac:dyDescent="0.3">
      <c r="A1738" s="1207"/>
      <c r="B1738" s="1212"/>
      <c r="C1738" s="1212"/>
      <c r="D1738" s="1212"/>
      <c r="E1738" s="1212"/>
      <c r="F1738" s="1208"/>
      <c r="G1738" s="1208"/>
      <c r="H1738" s="1208"/>
      <c r="I1738" s="1209"/>
      <c r="J1738" s="1209"/>
      <c r="K1738" s="1210">
        <f t="shared" si="262"/>
        <v>1.05</v>
      </c>
      <c r="L1738" s="1210">
        <f t="shared" si="263"/>
        <v>0</v>
      </c>
      <c r="M1738" s="1197">
        <f t="shared" si="264"/>
        <v>0</v>
      </c>
      <c r="N1738" s="1211">
        <f t="shared" si="265"/>
        <v>0</v>
      </c>
      <c r="O1738" s="1212"/>
      <c r="P1738" s="1200"/>
      <c r="Q1738" s="1200"/>
    </row>
    <row r="1739" spans="1:17" ht="15" thickTop="1" thickBot="1" x14ac:dyDescent="0.3">
      <c r="A1739" s="1207"/>
      <c r="B1739" s="1212"/>
      <c r="C1739" s="1212"/>
      <c r="D1739" s="1212"/>
      <c r="E1739" s="1212"/>
      <c r="F1739" s="1208"/>
      <c r="G1739" s="1208"/>
      <c r="H1739" s="1208"/>
      <c r="I1739" s="1209"/>
      <c r="J1739" s="1209"/>
      <c r="K1739" s="1210">
        <f t="shared" ref="K1739:K1802" si="266">$K$2</f>
        <v>1.05</v>
      </c>
      <c r="L1739" s="1210">
        <f t="shared" si="263"/>
        <v>0</v>
      </c>
      <c r="M1739" s="1197">
        <f t="shared" si="264"/>
        <v>0</v>
      </c>
      <c r="N1739" s="1211">
        <f t="shared" si="265"/>
        <v>0</v>
      </c>
      <c r="O1739" s="1212"/>
      <c r="P1739" s="1200"/>
      <c r="Q1739" s="1200"/>
    </row>
    <row r="1740" spans="1:17" ht="15" thickTop="1" thickBot="1" x14ac:dyDescent="0.3">
      <c r="A1740" s="1207"/>
      <c r="B1740" s="1212"/>
      <c r="C1740" s="1212"/>
      <c r="D1740" s="1212"/>
      <c r="E1740" s="1212"/>
      <c r="F1740" s="1208"/>
      <c r="G1740" s="1208"/>
      <c r="H1740" s="1208"/>
      <c r="I1740" s="1209"/>
      <c r="J1740" s="1209"/>
      <c r="K1740" s="1210">
        <f t="shared" si="266"/>
        <v>1.05</v>
      </c>
      <c r="L1740" s="1210">
        <f t="shared" si="263"/>
        <v>0</v>
      </c>
      <c r="M1740" s="1197">
        <f t="shared" si="264"/>
        <v>0</v>
      </c>
      <c r="N1740" s="1211">
        <f t="shared" si="265"/>
        <v>0</v>
      </c>
      <c r="O1740" s="1212"/>
      <c r="P1740" s="1200"/>
      <c r="Q1740" s="1200"/>
    </row>
    <row r="1741" spans="1:17" ht="15" thickTop="1" thickBot="1" x14ac:dyDescent="0.3">
      <c r="A1741" s="1207"/>
      <c r="B1741" s="1212"/>
      <c r="C1741" s="1212"/>
      <c r="D1741" s="1212"/>
      <c r="E1741" s="1212"/>
      <c r="F1741" s="1208"/>
      <c r="G1741" s="1208"/>
      <c r="H1741" s="1208"/>
      <c r="I1741" s="1209"/>
      <c r="J1741" s="1209"/>
      <c r="K1741" s="1210">
        <f t="shared" si="266"/>
        <v>1.05</v>
      </c>
      <c r="L1741" s="1210">
        <f t="shared" si="263"/>
        <v>0</v>
      </c>
      <c r="M1741" s="1197">
        <f t="shared" si="264"/>
        <v>0</v>
      </c>
      <c r="N1741" s="1211">
        <f t="shared" si="265"/>
        <v>0</v>
      </c>
      <c r="O1741" s="1212"/>
      <c r="P1741" s="1200"/>
      <c r="Q1741" s="1200"/>
    </row>
    <row r="1742" spans="1:17" ht="15" thickTop="1" thickBot="1" x14ac:dyDescent="0.3">
      <c r="A1742" s="1207"/>
      <c r="B1742" s="1212"/>
      <c r="C1742" s="1212"/>
      <c r="D1742" s="1212"/>
      <c r="E1742" s="1212"/>
      <c r="F1742" s="1208"/>
      <c r="G1742" s="1208"/>
      <c r="H1742" s="1208"/>
      <c r="I1742" s="1209"/>
      <c r="J1742" s="1209"/>
      <c r="K1742" s="1210">
        <f t="shared" si="266"/>
        <v>1.05</v>
      </c>
      <c r="L1742" s="1210">
        <f t="shared" si="263"/>
        <v>0</v>
      </c>
      <c r="M1742" s="1197">
        <f t="shared" si="264"/>
        <v>0</v>
      </c>
      <c r="N1742" s="1211">
        <f t="shared" si="265"/>
        <v>0</v>
      </c>
      <c r="O1742" s="1212"/>
      <c r="P1742" s="1200"/>
      <c r="Q1742" s="1200"/>
    </row>
    <row r="1743" spans="1:17" ht="15" thickTop="1" thickBot="1" x14ac:dyDescent="0.3">
      <c r="A1743" s="1207"/>
      <c r="B1743" s="1212"/>
      <c r="C1743" s="1212"/>
      <c r="D1743" s="1212"/>
      <c r="E1743" s="1212"/>
      <c r="F1743" s="1208"/>
      <c r="G1743" s="1208"/>
      <c r="H1743" s="1208"/>
      <c r="I1743" s="1209"/>
      <c r="J1743" s="1209"/>
      <c r="K1743" s="1210">
        <f t="shared" si="266"/>
        <v>1.05</v>
      </c>
      <c r="L1743" s="1210">
        <f t="shared" si="263"/>
        <v>0</v>
      </c>
      <c r="M1743" s="1197">
        <f t="shared" si="264"/>
        <v>0</v>
      </c>
      <c r="N1743" s="1211">
        <f t="shared" si="265"/>
        <v>0</v>
      </c>
      <c r="O1743" s="1212"/>
      <c r="P1743" s="1200"/>
      <c r="Q1743" s="1200"/>
    </row>
    <row r="1744" spans="1:17" ht="15" thickTop="1" thickBot="1" x14ac:dyDescent="0.3">
      <c r="A1744" s="1207"/>
      <c r="B1744" s="1212"/>
      <c r="C1744" s="1212"/>
      <c r="D1744" s="1212"/>
      <c r="E1744" s="1212"/>
      <c r="F1744" s="1208"/>
      <c r="G1744" s="1208"/>
      <c r="H1744" s="1208"/>
      <c r="I1744" s="1209"/>
      <c r="J1744" s="1209"/>
      <c r="K1744" s="1210">
        <f t="shared" si="266"/>
        <v>1.05</v>
      </c>
      <c r="L1744" s="1210">
        <f t="shared" si="263"/>
        <v>0</v>
      </c>
      <c r="M1744" s="1197">
        <f t="shared" si="264"/>
        <v>0</v>
      </c>
      <c r="N1744" s="1211">
        <f t="shared" si="265"/>
        <v>0</v>
      </c>
      <c r="O1744" s="1212"/>
      <c r="P1744" s="1200"/>
      <c r="Q1744" s="1200"/>
    </row>
    <row r="1745" spans="1:17" ht="15" thickTop="1" thickBot="1" x14ac:dyDescent="0.3">
      <c r="A1745" s="1207"/>
      <c r="B1745" s="1212"/>
      <c r="C1745" s="1212"/>
      <c r="D1745" s="1212"/>
      <c r="E1745" s="1212"/>
      <c r="F1745" s="1208"/>
      <c r="G1745" s="1208"/>
      <c r="H1745" s="1208"/>
      <c r="I1745" s="1209"/>
      <c r="J1745" s="1209"/>
      <c r="K1745" s="1210">
        <f t="shared" si="266"/>
        <v>1.05</v>
      </c>
      <c r="L1745" s="1210">
        <f t="shared" si="263"/>
        <v>0</v>
      </c>
      <c r="M1745" s="1197">
        <f t="shared" si="264"/>
        <v>0</v>
      </c>
      <c r="N1745" s="1211">
        <f t="shared" si="265"/>
        <v>0</v>
      </c>
      <c r="O1745" s="1212"/>
      <c r="P1745" s="1200"/>
      <c r="Q1745" s="1200"/>
    </row>
    <row r="1746" spans="1:17" ht="15" thickTop="1" thickBot="1" x14ac:dyDescent="0.3">
      <c r="A1746" s="1207"/>
      <c r="B1746" s="1212"/>
      <c r="C1746" s="1212"/>
      <c r="D1746" s="1212"/>
      <c r="E1746" s="1212"/>
      <c r="F1746" s="1208"/>
      <c r="G1746" s="1208"/>
      <c r="H1746" s="1208"/>
      <c r="I1746" s="1209"/>
      <c r="J1746" s="1209"/>
      <c r="K1746" s="1210">
        <f t="shared" si="266"/>
        <v>1.05</v>
      </c>
      <c r="L1746" s="1210">
        <f t="shared" si="263"/>
        <v>0</v>
      </c>
      <c r="M1746" s="1197">
        <f t="shared" si="264"/>
        <v>0</v>
      </c>
      <c r="N1746" s="1211">
        <f t="shared" si="265"/>
        <v>0</v>
      </c>
      <c r="O1746" s="1212"/>
      <c r="P1746" s="1200"/>
      <c r="Q1746" s="1200"/>
    </row>
    <row r="1747" spans="1:17" ht="15" thickTop="1" thickBot="1" x14ac:dyDescent="0.3">
      <c r="A1747" s="1207"/>
      <c r="B1747" s="1212"/>
      <c r="C1747" s="1212"/>
      <c r="D1747" s="1212"/>
      <c r="E1747" s="1212"/>
      <c r="F1747" s="1208"/>
      <c r="G1747" s="1208"/>
      <c r="H1747" s="1208"/>
      <c r="I1747" s="1209"/>
      <c r="J1747" s="1209"/>
      <c r="K1747" s="1210">
        <f t="shared" si="266"/>
        <v>1.05</v>
      </c>
      <c r="L1747" s="1210">
        <f t="shared" si="263"/>
        <v>0</v>
      </c>
      <c r="M1747" s="1197">
        <f t="shared" si="264"/>
        <v>0</v>
      </c>
      <c r="N1747" s="1211">
        <f t="shared" si="265"/>
        <v>0</v>
      </c>
      <c r="O1747" s="1212"/>
      <c r="P1747" s="1200"/>
      <c r="Q1747" s="1200"/>
    </row>
    <row r="1748" spans="1:17" ht="15" thickTop="1" thickBot="1" x14ac:dyDescent="0.3">
      <c r="A1748" s="1207"/>
      <c r="B1748" s="1212"/>
      <c r="C1748" s="1212"/>
      <c r="D1748" s="1212"/>
      <c r="E1748" s="1212"/>
      <c r="F1748" s="1208"/>
      <c r="G1748" s="1208"/>
      <c r="H1748" s="1208"/>
      <c r="I1748" s="1209"/>
      <c r="J1748" s="1209"/>
      <c r="K1748" s="1210">
        <f t="shared" si="266"/>
        <v>1.05</v>
      </c>
      <c r="L1748" s="1210">
        <f t="shared" si="263"/>
        <v>0</v>
      </c>
      <c r="M1748" s="1197">
        <f t="shared" si="264"/>
        <v>0</v>
      </c>
      <c r="N1748" s="1211">
        <f t="shared" si="265"/>
        <v>0</v>
      </c>
      <c r="O1748" s="1212"/>
      <c r="P1748" s="1200"/>
      <c r="Q1748" s="1200"/>
    </row>
    <row r="1749" spans="1:17" ht="15" thickTop="1" thickBot="1" x14ac:dyDescent="0.3">
      <c r="A1749" s="1207"/>
      <c r="B1749" s="1212"/>
      <c r="C1749" s="1212"/>
      <c r="D1749" s="1212"/>
      <c r="E1749" s="1212"/>
      <c r="F1749" s="1208"/>
      <c r="G1749" s="1208"/>
      <c r="H1749" s="1208"/>
      <c r="I1749" s="1209"/>
      <c r="J1749" s="1209"/>
      <c r="K1749" s="1210">
        <f t="shared" si="266"/>
        <v>1.05</v>
      </c>
      <c r="L1749" s="1210">
        <f t="shared" si="263"/>
        <v>0</v>
      </c>
      <c r="M1749" s="1197">
        <f t="shared" si="264"/>
        <v>0</v>
      </c>
      <c r="N1749" s="1211">
        <f t="shared" si="265"/>
        <v>0</v>
      </c>
      <c r="O1749" s="1212"/>
      <c r="P1749" s="1200"/>
      <c r="Q1749" s="1200"/>
    </row>
    <row r="1750" spans="1:17" ht="15" thickTop="1" thickBot="1" x14ac:dyDescent="0.3">
      <c r="A1750" s="1207"/>
      <c r="B1750" s="1212"/>
      <c r="C1750" s="1212"/>
      <c r="D1750" s="1212"/>
      <c r="E1750" s="1212"/>
      <c r="F1750" s="1208"/>
      <c r="G1750" s="1208"/>
      <c r="H1750" s="1208"/>
      <c r="I1750" s="1209"/>
      <c r="J1750" s="1209"/>
      <c r="K1750" s="1210">
        <f t="shared" si="266"/>
        <v>1.05</v>
      </c>
      <c r="L1750" s="1210">
        <f t="shared" si="263"/>
        <v>0</v>
      </c>
      <c r="M1750" s="1197">
        <f t="shared" si="264"/>
        <v>0</v>
      </c>
      <c r="N1750" s="1211">
        <f t="shared" si="265"/>
        <v>0</v>
      </c>
      <c r="O1750" s="1212"/>
      <c r="P1750" s="1200"/>
      <c r="Q1750" s="1200"/>
    </row>
    <row r="1751" spans="1:17" ht="15" thickTop="1" thickBot="1" x14ac:dyDescent="0.3">
      <c r="A1751" s="1207"/>
      <c r="B1751" s="1212"/>
      <c r="C1751" s="1212"/>
      <c r="D1751" s="1212"/>
      <c r="E1751" s="1212"/>
      <c r="F1751" s="1208"/>
      <c r="G1751" s="1208"/>
      <c r="H1751" s="1208"/>
      <c r="I1751" s="1209"/>
      <c r="J1751" s="1209"/>
      <c r="K1751" s="1210">
        <f t="shared" si="266"/>
        <v>1.05</v>
      </c>
      <c r="L1751" s="1210">
        <f t="shared" si="263"/>
        <v>0</v>
      </c>
      <c r="M1751" s="1197">
        <f t="shared" si="264"/>
        <v>0</v>
      </c>
      <c r="N1751" s="1211">
        <f t="shared" si="265"/>
        <v>0</v>
      </c>
      <c r="O1751" s="1212"/>
      <c r="P1751" s="1200"/>
      <c r="Q1751" s="1200"/>
    </row>
    <row r="1752" spans="1:17" ht="15" thickTop="1" thickBot="1" x14ac:dyDescent="0.3">
      <c r="A1752" s="1207"/>
      <c r="B1752" s="1212"/>
      <c r="C1752" s="1212"/>
      <c r="D1752" s="1212"/>
      <c r="E1752" s="1212"/>
      <c r="F1752" s="1208"/>
      <c r="G1752" s="1208"/>
      <c r="H1752" s="1208"/>
      <c r="I1752" s="1209"/>
      <c r="J1752" s="1209"/>
      <c r="K1752" s="1210">
        <f t="shared" si="266"/>
        <v>1.05</v>
      </c>
      <c r="L1752" s="1210">
        <f t="shared" si="263"/>
        <v>0</v>
      </c>
      <c r="M1752" s="1197">
        <f t="shared" si="264"/>
        <v>0</v>
      </c>
      <c r="N1752" s="1211">
        <f t="shared" si="265"/>
        <v>0</v>
      </c>
      <c r="O1752" s="1212"/>
      <c r="P1752" s="1200"/>
      <c r="Q1752" s="1200"/>
    </row>
    <row r="1753" spans="1:17" ht="15" thickTop="1" thickBot="1" x14ac:dyDescent="0.3">
      <c r="A1753" s="1207"/>
      <c r="B1753" s="1212"/>
      <c r="C1753" s="1212"/>
      <c r="D1753" s="1212"/>
      <c r="E1753" s="1212"/>
      <c r="F1753" s="1208"/>
      <c r="G1753" s="1208"/>
      <c r="H1753" s="1208"/>
      <c r="I1753" s="1209"/>
      <c r="J1753" s="1209"/>
      <c r="K1753" s="1210">
        <f t="shared" si="266"/>
        <v>1.05</v>
      </c>
      <c r="L1753" s="1210">
        <f t="shared" si="263"/>
        <v>0</v>
      </c>
      <c r="M1753" s="1197">
        <f t="shared" si="264"/>
        <v>0</v>
      </c>
      <c r="N1753" s="1211">
        <f t="shared" si="265"/>
        <v>0</v>
      </c>
      <c r="O1753" s="1212"/>
      <c r="P1753" s="1200"/>
      <c r="Q1753" s="1200"/>
    </row>
    <row r="1754" spans="1:17" ht="15" thickTop="1" thickBot="1" x14ac:dyDescent="0.3">
      <c r="A1754" s="1207"/>
      <c r="B1754" s="1212"/>
      <c r="C1754" s="1212"/>
      <c r="D1754" s="1212"/>
      <c r="E1754" s="1212"/>
      <c r="F1754" s="1208"/>
      <c r="G1754" s="1208"/>
      <c r="H1754" s="1208"/>
      <c r="I1754" s="1209"/>
      <c r="J1754" s="1209"/>
      <c r="K1754" s="1210">
        <f t="shared" si="266"/>
        <v>1.05</v>
      </c>
      <c r="L1754" s="1210">
        <f t="shared" si="263"/>
        <v>0</v>
      </c>
      <c r="M1754" s="1197">
        <f t="shared" si="264"/>
        <v>0</v>
      </c>
      <c r="N1754" s="1211">
        <f t="shared" si="265"/>
        <v>0</v>
      </c>
      <c r="O1754" s="1212"/>
      <c r="P1754" s="1200"/>
      <c r="Q1754" s="1200"/>
    </row>
    <row r="1755" spans="1:17" ht="15" thickTop="1" thickBot="1" x14ac:dyDescent="0.3">
      <c r="A1755" s="1207"/>
      <c r="B1755" s="1212"/>
      <c r="C1755" s="1212"/>
      <c r="D1755" s="1212"/>
      <c r="E1755" s="1212"/>
      <c r="F1755" s="1208"/>
      <c r="G1755" s="1208"/>
      <c r="H1755" s="1208"/>
      <c r="I1755" s="1209"/>
      <c r="J1755" s="1209"/>
      <c r="K1755" s="1210">
        <f t="shared" si="266"/>
        <v>1.05</v>
      </c>
      <c r="L1755" s="1210">
        <f t="shared" si="263"/>
        <v>0</v>
      </c>
      <c r="M1755" s="1197">
        <f t="shared" si="264"/>
        <v>0</v>
      </c>
      <c r="N1755" s="1211">
        <f t="shared" si="265"/>
        <v>0</v>
      </c>
      <c r="O1755" s="1212"/>
      <c r="P1755" s="1200"/>
      <c r="Q1755" s="1200"/>
    </row>
    <row r="1756" spans="1:17" ht="15" thickTop="1" thickBot="1" x14ac:dyDescent="0.3">
      <c r="A1756" s="1207"/>
      <c r="B1756" s="1212"/>
      <c r="C1756" s="1212"/>
      <c r="D1756" s="1212"/>
      <c r="E1756" s="1212"/>
      <c r="F1756" s="1208"/>
      <c r="G1756" s="1208"/>
      <c r="H1756" s="1208"/>
      <c r="I1756" s="1209"/>
      <c r="J1756" s="1209"/>
      <c r="K1756" s="1210">
        <f t="shared" si="266"/>
        <v>1.05</v>
      </c>
      <c r="L1756" s="1210">
        <f t="shared" si="263"/>
        <v>0</v>
      </c>
      <c r="M1756" s="1197">
        <f t="shared" si="264"/>
        <v>0</v>
      </c>
      <c r="N1756" s="1211">
        <f t="shared" si="265"/>
        <v>0</v>
      </c>
      <c r="O1756" s="1212"/>
      <c r="P1756" s="1200"/>
      <c r="Q1756" s="1200"/>
    </row>
    <row r="1757" spans="1:17" ht="15" thickTop="1" thickBot="1" x14ac:dyDescent="0.3">
      <c r="A1757" s="1207"/>
      <c r="B1757" s="1212"/>
      <c r="C1757" s="1212"/>
      <c r="D1757" s="1212"/>
      <c r="E1757" s="1212"/>
      <c r="F1757" s="1208"/>
      <c r="G1757" s="1208"/>
      <c r="H1757" s="1208"/>
      <c r="I1757" s="1209"/>
      <c r="J1757" s="1209"/>
      <c r="K1757" s="1210">
        <f t="shared" si="266"/>
        <v>1.05</v>
      </c>
      <c r="L1757" s="1210">
        <f t="shared" si="263"/>
        <v>0</v>
      </c>
      <c r="M1757" s="1197">
        <f t="shared" si="264"/>
        <v>0</v>
      </c>
      <c r="N1757" s="1211">
        <f t="shared" si="265"/>
        <v>0</v>
      </c>
      <c r="O1757" s="1212"/>
      <c r="P1757" s="1200"/>
      <c r="Q1757" s="1200"/>
    </row>
    <row r="1758" spans="1:17" ht="15" thickTop="1" thickBot="1" x14ac:dyDescent="0.3">
      <c r="A1758" s="1207"/>
      <c r="B1758" s="1212"/>
      <c r="C1758" s="1212"/>
      <c r="D1758" s="1212"/>
      <c r="E1758" s="1212"/>
      <c r="F1758" s="1208"/>
      <c r="G1758" s="1208"/>
      <c r="H1758" s="1208"/>
      <c r="I1758" s="1209"/>
      <c r="J1758" s="1209"/>
      <c r="K1758" s="1210">
        <f t="shared" si="266"/>
        <v>1.05</v>
      </c>
      <c r="L1758" s="1210">
        <f t="shared" si="263"/>
        <v>0</v>
      </c>
      <c r="M1758" s="1197">
        <f t="shared" si="264"/>
        <v>0</v>
      </c>
      <c r="N1758" s="1211">
        <f t="shared" si="265"/>
        <v>0</v>
      </c>
      <c r="O1758" s="1212"/>
      <c r="P1758" s="1200"/>
      <c r="Q1758" s="1200"/>
    </row>
    <row r="1759" spans="1:17" ht="15" thickTop="1" thickBot="1" x14ac:dyDescent="0.3">
      <c r="A1759" s="1207"/>
      <c r="B1759" s="1212"/>
      <c r="C1759" s="1212"/>
      <c r="D1759" s="1212"/>
      <c r="E1759" s="1212"/>
      <c r="F1759" s="1208"/>
      <c r="G1759" s="1208"/>
      <c r="H1759" s="1208"/>
      <c r="I1759" s="1209"/>
      <c r="J1759" s="1209"/>
      <c r="K1759" s="1210">
        <f t="shared" si="266"/>
        <v>1.05</v>
      </c>
      <c r="L1759" s="1210">
        <f t="shared" si="263"/>
        <v>0</v>
      </c>
      <c r="M1759" s="1197">
        <f t="shared" si="264"/>
        <v>0</v>
      </c>
      <c r="N1759" s="1211">
        <f t="shared" si="265"/>
        <v>0</v>
      </c>
      <c r="O1759" s="1212"/>
      <c r="P1759" s="1200"/>
      <c r="Q1759" s="1200"/>
    </row>
    <row r="1760" spans="1:17" ht="15" thickTop="1" thickBot="1" x14ac:dyDescent="0.3">
      <c r="A1760" s="1207"/>
      <c r="B1760" s="1212"/>
      <c r="C1760" s="1212"/>
      <c r="D1760" s="1212"/>
      <c r="E1760" s="1212"/>
      <c r="F1760" s="1208"/>
      <c r="G1760" s="1208"/>
      <c r="H1760" s="1208"/>
      <c r="I1760" s="1209"/>
      <c r="J1760" s="1209"/>
      <c r="K1760" s="1210">
        <f t="shared" si="266"/>
        <v>1.05</v>
      </c>
      <c r="L1760" s="1210">
        <f t="shared" si="263"/>
        <v>0</v>
      </c>
      <c r="M1760" s="1197">
        <f t="shared" si="264"/>
        <v>0</v>
      </c>
      <c r="N1760" s="1211">
        <f t="shared" si="265"/>
        <v>0</v>
      </c>
      <c r="O1760" s="1212"/>
      <c r="P1760" s="1200"/>
      <c r="Q1760" s="1200"/>
    </row>
    <row r="1761" spans="1:17" ht="15" thickTop="1" thickBot="1" x14ac:dyDescent="0.3">
      <c r="A1761" s="1207"/>
      <c r="B1761" s="1212"/>
      <c r="C1761" s="1212"/>
      <c r="D1761" s="1212"/>
      <c r="E1761" s="1212"/>
      <c r="F1761" s="1208"/>
      <c r="G1761" s="1208"/>
      <c r="H1761" s="1208"/>
      <c r="I1761" s="1209"/>
      <c r="J1761" s="1209"/>
      <c r="K1761" s="1210">
        <f t="shared" si="266"/>
        <v>1.05</v>
      </c>
      <c r="L1761" s="1210">
        <f t="shared" si="263"/>
        <v>0</v>
      </c>
      <c r="M1761" s="1197">
        <f t="shared" si="264"/>
        <v>0</v>
      </c>
      <c r="N1761" s="1211">
        <f t="shared" si="265"/>
        <v>0</v>
      </c>
      <c r="O1761" s="1212"/>
      <c r="P1761" s="1200"/>
      <c r="Q1761" s="1200"/>
    </row>
    <row r="1762" spans="1:17" ht="15" thickTop="1" thickBot="1" x14ac:dyDescent="0.3">
      <c r="A1762" s="1207"/>
      <c r="B1762" s="1212"/>
      <c r="C1762" s="1212"/>
      <c r="D1762" s="1212"/>
      <c r="E1762" s="1212"/>
      <c r="F1762" s="1208"/>
      <c r="G1762" s="1208"/>
      <c r="H1762" s="1208"/>
      <c r="I1762" s="1209"/>
      <c r="J1762" s="1209"/>
      <c r="K1762" s="1210">
        <f t="shared" si="266"/>
        <v>1.05</v>
      </c>
      <c r="L1762" s="1210">
        <f t="shared" si="263"/>
        <v>0</v>
      </c>
      <c r="M1762" s="1197">
        <f t="shared" si="264"/>
        <v>0</v>
      </c>
      <c r="N1762" s="1211">
        <f t="shared" si="265"/>
        <v>0</v>
      </c>
      <c r="O1762" s="1212"/>
      <c r="P1762" s="1200"/>
      <c r="Q1762" s="1200"/>
    </row>
    <row r="1763" spans="1:17" ht="15" thickTop="1" thickBot="1" x14ac:dyDescent="0.3">
      <c r="A1763" s="1207"/>
      <c r="B1763" s="1212"/>
      <c r="C1763" s="1212"/>
      <c r="D1763" s="1212"/>
      <c r="E1763" s="1212"/>
      <c r="F1763" s="1208"/>
      <c r="G1763" s="1208"/>
      <c r="H1763" s="1208"/>
      <c r="I1763" s="1209"/>
      <c r="J1763" s="1209"/>
      <c r="K1763" s="1210">
        <f t="shared" si="266"/>
        <v>1.05</v>
      </c>
      <c r="L1763" s="1210">
        <f t="shared" si="263"/>
        <v>0</v>
      </c>
      <c r="M1763" s="1197">
        <f t="shared" si="264"/>
        <v>0</v>
      </c>
      <c r="N1763" s="1211">
        <f t="shared" si="265"/>
        <v>0</v>
      </c>
      <c r="O1763" s="1212"/>
      <c r="P1763" s="1200"/>
      <c r="Q1763" s="1200"/>
    </row>
    <row r="1764" spans="1:17" ht="15" thickTop="1" thickBot="1" x14ac:dyDescent="0.3">
      <c r="A1764" s="1207"/>
      <c r="B1764" s="1212"/>
      <c r="C1764" s="1212"/>
      <c r="D1764" s="1212"/>
      <c r="E1764" s="1212"/>
      <c r="F1764" s="1208"/>
      <c r="G1764" s="1208"/>
      <c r="H1764" s="1208"/>
      <c r="I1764" s="1209"/>
      <c r="J1764" s="1209"/>
      <c r="K1764" s="1210">
        <f t="shared" si="266"/>
        <v>1.05</v>
      </c>
      <c r="L1764" s="1210">
        <f t="shared" si="263"/>
        <v>0</v>
      </c>
      <c r="M1764" s="1197">
        <f t="shared" si="264"/>
        <v>0</v>
      </c>
      <c r="N1764" s="1211">
        <f t="shared" si="265"/>
        <v>0</v>
      </c>
      <c r="O1764" s="1212"/>
      <c r="P1764" s="1200"/>
      <c r="Q1764" s="1200"/>
    </row>
    <row r="1765" spans="1:17" ht="15" thickTop="1" thickBot="1" x14ac:dyDescent="0.3">
      <c r="A1765" s="1207"/>
      <c r="B1765" s="1212"/>
      <c r="C1765" s="1212"/>
      <c r="D1765" s="1212"/>
      <c r="E1765" s="1212"/>
      <c r="F1765" s="1208"/>
      <c r="G1765" s="1208"/>
      <c r="H1765" s="1208"/>
      <c r="I1765" s="1209"/>
      <c r="J1765" s="1209"/>
      <c r="K1765" s="1210">
        <f t="shared" si="266"/>
        <v>1.05</v>
      </c>
      <c r="L1765" s="1210">
        <f t="shared" si="263"/>
        <v>0</v>
      </c>
      <c r="M1765" s="1197">
        <f t="shared" si="264"/>
        <v>0</v>
      </c>
      <c r="N1765" s="1211">
        <f t="shared" si="265"/>
        <v>0</v>
      </c>
      <c r="O1765" s="1212"/>
      <c r="P1765" s="1200"/>
      <c r="Q1765" s="1200"/>
    </row>
    <row r="1766" spans="1:17" ht="15" thickTop="1" thickBot="1" x14ac:dyDescent="0.3">
      <c r="A1766" s="1207"/>
      <c r="B1766" s="1212"/>
      <c r="C1766" s="1212"/>
      <c r="D1766" s="1212"/>
      <c r="E1766" s="1212"/>
      <c r="F1766" s="1208"/>
      <c r="G1766" s="1208"/>
      <c r="H1766" s="1208"/>
      <c r="I1766" s="1209"/>
      <c r="J1766" s="1209"/>
      <c r="K1766" s="1210">
        <f t="shared" si="266"/>
        <v>1.05</v>
      </c>
      <c r="L1766" s="1210">
        <f t="shared" si="263"/>
        <v>0</v>
      </c>
      <c r="M1766" s="1197">
        <f t="shared" si="264"/>
        <v>0</v>
      </c>
      <c r="N1766" s="1211">
        <f t="shared" si="265"/>
        <v>0</v>
      </c>
      <c r="O1766" s="1212"/>
      <c r="P1766" s="1200"/>
      <c r="Q1766" s="1200"/>
    </row>
    <row r="1767" spans="1:17" ht="15" thickTop="1" thickBot="1" x14ac:dyDescent="0.3">
      <c r="A1767" s="1207"/>
      <c r="B1767" s="1212"/>
      <c r="C1767" s="1212"/>
      <c r="D1767" s="1212"/>
      <c r="E1767" s="1212"/>
      <c r="F1767" s="1208"/>
      <c r="G1767" s="1208"/>
      <c r="H1767" s="1208"/>
      <c r="I1767" s="1209"/>
      <c r="J1767" s="1209"/>
      <c r="K1767" s="1210">
        <f t="shared" si="266"/>
        <v>1.05</v>
      </c>
      <c r="L1767" s="1210">
        <f t="shared" si="263"/>
        <v>0</v>
      </c>
      <c r="M1767" s="1197">
        <f t="shared" si="264"/>
        <v>0</v>
      </c>
      <c r="N1767" s="1211">
        <f t="shared" si="265"/>
        <v>0</v>
      </c>
      <c r="O1767" s="1212"/>
      <c r="P1767" s="1200"/>
      <c r="Q1767" s="1200"/>
    </row>
    <row r="1768" spans="1:17" ht="15" thickTop="1" thickBot="1" x14ac:dyDescent="0.3">
      <c r="A1768" s="1207"/>
      <c r="B1768" s="1212"/>
      <c r="C1768" s="1212"/>
      <c r="D1768" s="1212"/>
      <c r="E1768" s="1212"/>
      <c r="F1768" s="1208"/>
      <c r="G1768" s="1208"/>
      <c r="H1768" s="1208"/>
      <c r="I1768" s="1209"/>
      <c r="J1768" s="1209"/>
      <c r="K1768" s="1210">
        <f t="shared" si="266"/>
        <v>1.05</v>
      </c>
      <c r="L1768" s="1210">
        <f t="shared" si="263"/>
        <v>0</v>
      </c>
      <c r="M1768" s="1197">
        <f t="shared" si="264"/>
        <v>0</v>
      </c>
      <c r="N1768" s="1211">
        <f t="shared" si="265"/>
        <v>0</v>
      </c>
      <c r="O1768" s="1212"/>
      <c r="P1768" s="1200"/>
      <c r="Q1768" s="1200"/>
    </row>
    <row r="1769" spans="1:17" ht="15" thickTop="1" thickBot="1" x14ac:dyDescent="0.3">
      <c r="A1769" s="1207"/>
      <c r="B1769" s="1212"/>
      <c r="C1769" s="1212"/>
      <c r="D1769" s="1212"/>
      <c r="E1769" s="1212"/>
      <c r="F1769" s="1208"/>
      <c r="G1769" s="1208"/>
      <c r="H1769" s="1208"/>
      <c r="I1769" s="1209"/>
      <c r="J1769" s="1209"/>
      <c r="K1769" s="1210">
        <f t="shared" si="266"/>
        <v>1.05</v>
      </c>
      <c r="L1769" s="1210">
        <f t="shared" si="263"/>
        <v>0</v>
      </c>
      <c r="M1769" s="1197">
        <f t="shared" si="264"/>
        <v>0</v>
      </c>
      <c r="N1769" s="1211">
        <f t="shared" si="265"/>
        <v>0</v>
      </c>
      <c r="O1769" s="1212"/>
      <c r="P1769" s="1200"/>
      <c r="Q1769" s="1200"/>
    </row>
    <row r="1770" spans="1:17" ht="15" thickTop="1" thickBot="1" x14ac:dyDescent="0.3">
      <c r="A1770" s="1207"/>
      <c r="B1770" s="1212"/>
      <c r="C1770" s="1212"/>
      <c r="D1770" s="1212"/>
      <c r="E1770" s="1212"/>
      <c r="F1770" s="1208"/>
      <c r="G1770" s="1208"/>
      <c r="H1770" s="1208"/>
      <c r="I1770" s="1209"/>
      <c r="J1770" s="1209"/>
      <c r="K1770" s="1210">
        <f t="shared" si="266"/>
        <v>1.05</v>
      </c>
      <c r="L1770" s="1210">
        <f t="shared" ref="L1770:L1833" si="267">K1770*J1770</f>
        <v>0</v>
      </c>
      <c r="M1770" s="1197">
        <f t="shared" ref="M1770:M1833" si="268">ROUND(L1770,1)</f>
        <v>0</v>
      </c>
      <c r="N1770" s="1211">
        <f t="shared" ref="N1770:N1833" si="269">ROUNDUP(M1770,0)</f>
        <v>0</v>
      </c>
      <c r="O1770" s="1212"/>
      <c r="P1770" s="1200"/>
      <c r="Q1770" s="1200"/>
    </row>
    <row r="1771" spans="1:17" ht="15" thickTop="1" thickBot="1" x14ac:dyDescent="0.3">
      <c r="A1771" s="1207"/>
      <c r="B1771" s="1212"/>
      <c r="C1771" s="1212"/>
      <c r="D1771" s="1212"/>
      <c r="E1771" s="1212"/>
      <c r="F1771" s="1208"/>
      <c r="G1771" s="1208"/>
      <c r="H1771" s="1208"/>
      <c r="I1771" s="1209"/>
      <c r="J1771" s="1209"/>
      <c r="K1771" s="1210">
        <f t="shared" si="266"/>
        <v>1.05</v>
      </c>
      <c r="L1771" s="1210">
        <f t="shared" si="267"/>
        <v>0</v>
      </c>
      <c r="M1771" s="1197">
        <f t="shared" si="268"/>
        <v>0</v>
      </c>
      <c r="N1771" s="1211">
        <f t="shared" si="269"/>
        <v>0</v>
      </c>
      <c r="O1771" s="1212"/>
      <c r="P1771" s="1200"/>
      <c r="Q1771" s="1200"/>
    </row>
    <row r="1772" spans="1:17" ht="15" thickTop="1" thickBot="1" x14ac:dyDescent="0.3">
      <c r="A1772" s="1207"/>
      <c r="B1772" s="1212"/>
      <c r="C1772" s="1212"/>
      <c r="D1772" s="1212"/>
      <c r="E1772" s="1212"/>
      <c r="F1772" s="1208"/>
      <c r="G1772" s="1208"/>
      <c r="H1772" s="1208"/>
      <c r="I1772" s="1209"/>
      <c r="J1772" s="1209"/>
      <c r="K1772" s="1210">
        <f t="shared" si="266"/>
        <v>1.05</v>
      </c>
      <c r="L1772" s="1210">
        <f t="shared" si="267"/>
        <v>0</v>
      </c>
      <c r="M1772" s="1197">
        <f t="shared" si="268"/>
        <v>0</v>
      </c>
      <c r="N1772" s="1211">
        <f t="shared" si="269"/>
        <v>0</v>
      </c>
      <c r="O1772" s="1212"/>
      <c r="P1772" s="1200"/>
      <c r="Q1772" s="1200"/>
    </row>
    <row r="1773" spans="1:17" ht="15" thickTop="1" thickBot="1" x14ac:dyDescent="0.3">
      <c r="A1773" s="1207"/>
      <c r="B1773" s="1212"/>
      <c r="C1773" s="1212"/>
      <c r="D1773" s="1212"/>
      <c r="E1773" s="1212"/>
      <c r="F1773" s="1208"/>
      <c r="G1773" s="1208"/>
      <c r="H1773" s="1208"/>
      <c r="I1773" s="1209"/>
      <c r="J1773" s="1209"/>
      <c r="K1773" s="1210">
        <f t="shared" si="266"/>
        <v>1.05</v>
      </c>
      <c r="L1773" s="1210">
        <f t="shared" si="267"/>
        <v>0</v>
      </c>
      <c r="M1773" s="1197">
        <f t="shared" si="268"/>
        <v>0</v>
      </c>
      <c r="N1773" s="1211">
        <f t="shared" si="269"/>
        <v>0</v>
      </c>
      <c r="O1773" s="1212"/>
      <c r="P1773" s="1200"/>
      <c r="Q1773" s="1200"/>
    </row>
    <row r="1774" spans="1:17" ht="15" thickTop="1" thickBot="1" x14ac:dyDescent="0.3">
      <c r="A1774" s="1207"/>
      <c r="B1774" s="1212"/>
      <c r="C1774" s="1212"/>
      <c r="D1774" s="1212"/>
      <c r="E1774" s="1212"/>
      <c r="F1774" s="1208"/>
      <c r="G1774" s="1208"/>
      <c r="H1774" s="1208"/>
      <c r="I1774" s="1209"/>
      <c r="J1774" s="1209"/>
      <c r="K1774" s="1210">
        <f t="shared" si="266"/>
        <v>1.05</v>
      </c>
      <c r="L1774" s="1210">
        <f t="shared" si="267"/>
        <v>0</v>
      </c>
      <c r="M1774" s="1197">
        <f t="shared" si="268"/>
        <v>0</v>
      </c>
      <c r="N1774" s="1211">
        <f t="shared" si="269"/>
        <v>0</v>
      </c>
      <c r="O1774" s="1212"/>
      <c r="P1774" s="1200"/>
      <c r="Q1774" s="1200"/>
    </row>
    <row r="1775" spans="1:17" ht="15" thickTop="1" thickBot="1" x14ac:dyDescent="0.3">
      <c r="A1775" s="1207"/>
      <c r="B1775" s="1212"/>
      <c r="C1775" s="1212"/>
      <c r="D1775" s="1212"/>
      <c r="E1775" s="1212"/>
      <c r="F1775" s="1208"/>
      <c r="G1775" s="1208"/>
      <c r="H1775" s="1208"/>
      <c r="I1775" s="1209"/>
      <c r="J1775" s="1209"/>
      <c r="K1775" s="1210">
        <f t="shared" si="266"/>
        <v>1.05</v>
      </c>
      <c r="L1775" s="1210">
        <f t="shared" si="267"/>
        <v>0</v>
      </c>
      <c r="M1775" s="1197">
        <f t="shared" si="268"/>
        <v>0</v>
      </c>
      <c r="N1775" s="1211">
        <f t="shared" si="269"/>
        <v>0</v>
      </c>
      <c r="O1775" s="1212"/>
      <c r="P1775" s="1200"/>
      <c r="Q1775" s="1200"/>
    </row>
    <row r="1776" spans="1:17" ht="15" thickTop="1" thickBot="1" x14ac:dyDescent="0.3">
      <c r="A1776" s="1207"/>
      <c r="B1776" s="1212"/>
      <c r="C1776" s="1212"/>
      <c r="D1776" s="1212"/>
      <c r="E1776" s="1212"/>
      <c r="F1776" s="1208"/>
      <c r="G1776" s="1208"/>
      <c r="H1776" s="1208"/>
      <c r="I1776" s="1209"/>
      <c r="J1776" s="1209"/>
      <c r="K1776" s="1210">
        <f t="shared" si="266"/>
        <v>1.05</v>
      </c>
      <c r="L1776" s="1210">
        <f t="shared" si="267"/>
        <v>0</v>
      </c>
      <c r="M1776" s="1197">
        <f t="shared" si="268"/>
        <v>0</v>
      </c>
      <c r="N1776" s="1211">
        <f t="shared" si="269"/>
        <v>0</v>
      </c>
      <c r="O1776" s="1212"/>
      <c r="P1776" s="1200"/>
      <c r="Q1776" s="1200"/>
    </row>
    <row r="1777" spans="1:17" ht="15" thickTop="1" thickBot="1" x14ac:dyDescent="0.3">
      <c r="A1777" s="1207"/>
      <c r="B1777" s="1212"/>
      <c r="C1777" s="1212"/>
      <c r="D1777" s="1212"/>
      <c r="E1777" s="1212"/>
      <c r="F1777" s="1208"/>
      <c r="G1777" s="1208"/>
      <c r="H1777" s="1208"/>
      <c r="I1777" s="1209"/>
      <c r="J1777" s="1209"/>
      <c r="K1777" s="1210">
        <f t="shared" si="266"/>
        <v>1.05</v>
      </c>
      <c r="L1777" s="1210">
        <f t="shared" si="267"/>
        <v>0</v>
      </c>
      <c r="M1777" s="1197">
        <f t="shared" si="268"/>
        <v>0</v>
      </c>
      <c r="N1777" s="1211">
        <f t="shared" si="269"/>
        <v>0</v>
      </c>
      <c r="O1777" s="1212"/>
      <c r="P1777" s="1200"/>
      <c r="Q1777" s="1200"/>
    </row>
    <row r="1778" spans="1:17" ht="15" thickTop="1" thickBot="1" x14ac:dyDescent="0.3">
      <c r="A1778" s="1207"/>
      <c r="B1778" s="1212"/>
      <c r="C1778" s="1212"/>
      <c r="D1778" s="1212"/>
      <c r="E1778" s="1212"/>
      <c r="F1778" s="1208"/>
      <c r="G1778" s="1208"/>
      <c r="H1778" s="1208"/>
      <c r="I1778" s="1209"/>
      <c r="J1778" s="1209"/>
      <c r="K1778" s="1210">
        <f t="shared" si="266"/>
        <v>1.05</v>
      </c>
      <c r="L1778" s="1210">
        <f t="shared" si="267"/>
        <v>0</v>
      </c>
      <c r="M1778" s="1197">
        <f t="shared" si="268"/>
        <v>0</v>
      </c>
      <c r="N1778" s="1211">
        <f t="shared" si="269"/>
        <v>0</v>
      </c>
      <c r="O1778" s="1212"/>
      <c r="P1778" s="1200"/>
      <c r="Q1778" s="1200"/>
    </row>
    <row r="1779" spans="1:17" ht="15" thickTop="1" thickBot="1" x14ac:dyDescent="0.3">
      <c r="A1779" s="1207"/>
      <c r="B1779" s="1212"/>
      <c r="C1779" s="1212"/>
      <c r="D1779" s="1212"/>
      <c r="E1779" s="1212"/>
      <c r="F1779" s="1208"/>
      <c r="G1779" s="1208"/>
      <c r="H1779" s="1208"/>
      <c r="I1779" s="1209"/>
      <c r="J1779" s="1209"/>
      <c r="K1779" s="1210">
        <f t="shared" si="266"/>
        <v>1.05</v>
      </c>
      <c r="L1779" s="1210">
        <f t="shared" si="267"/>
        <v>0</v>
      </c>
      <c r="M1779" s="1197">
        <f t="shared" si="268"/>
        <v>0</v>
      </c>
      <c r="N1779" s="1211">
        <f t="shared" si="269"/>
        <v>0</v>
      </c>
      <c r="O1779" s="1212"/>
      <c r="P1779" s="1200"/>
      <c r="Q1779" s="1200"/>
    </row>
    <row r="1780" spans="1:17" ht="15" thickTop="1" thickBot="1" x14ac:dyDescent="0.3">
      <c r="A1780" s="1207"/>
      <c r="B1780" s="1212"/>
      <c r="C1780" s="1212"/>
      <c r="D1780" s="1212"/>
      <c r="E1780" s="1212"/>
      <c r="F1780" s="1208"/>
      <c r="G1780" s="1208"/>
      <c r="H1780" s="1208"/>
      <c r="I1780" s="1209"/>
      <c r="J1780" s="1209"/>
      <c r="K1780" s="1210">
        <f t="shared" si="266"/>
        <v>1.05</v>
      </c>
      <c r="L1780" s="1210">
        <f t="shared" si="267"/>
        <v>0</v>
      </c>
      <c r="M1780" s="1197">
        <f t="shared" si="268"/>
        <v>0</v>
      </c>
      <c r="N1780" s="1211">
        <f t="shared" si="269"/>
        <v>0</v>
      </c>
      <c r="O1780" s="1212"/>
      <c r="P1780" s="1200"/>
      <c r="Q1780" s="1200"/>
    </row>
    <row r="1781" spans="1:17" ht="15" thickTop="1" thickBot="1" x14ac:dyDescent="0.3">
      <c r="A1781" s="1207"/>
      <c r="B1781" s="1212"/>
      <c r="C1781" s="1212"/>
      <c r="D1781" s="1212"/>
      <c r="E1781" s="1212"/>
      <c r="F1781" s="1208"/>
      <c r="G1781" s="1208"/>
      <c r="H1781" s="1208"/>
      <c r="I1781" s="1209"/>
      <c r="J1781" s="1209"/>
      <c r="K1781" s="1210">
        <f t="shared" si="266"/>
        <v>1.05</v>
      </c>
      <c r="L1781" s="1210">
        <f t="shared" si="267"/>
        <v>0</v>
      </c>
      <c r="M1781" s="1197">
        <f t="shared" si="268"/>
        <v>0</v>
      </c>
      <c r="N1781" s="1211">
        <f t="shared" si="269"/>
        <v>0</v>
      </c>
      <c r="O1781" s="1212"/>
      <c r="P1781" s="1200"/>
      <c r="Q1781" s="1200"/>
    </row>
    <row r="1782" spans="1:17" ht="15" thickTop="1" thickBot="1" x14ac:dyDescent="0.3">
      <c r="A1782" s="1207"/>
      <c r="B1782" s="1212"/>
      <c r="C1782" s="1212"/>
      <c r="D1782" s="1212"/>
      <c r="E1782" s="1212"/>
      <c r="F1782" s="1208"/>
      <c r="G1782" s="1208"/>
      <c r="H1782" s="1208"/>
      <c r="I1782" s="1209"/>
      <c r="J1782" s="1209"/>
      <c r="K1782" s="1210">
        <f t="shared" si="266"/>
        <v>1.05</v>
      </c>
      <c r="L1782" s="1210">
        <f t="shared" si="267"/>
        <v>0</v>
      </c>
      <c r="M1782" s="1197">
        <f t="shared" si="268"/>
        <v>0</v>
      </c>
      <c r="N1782" s="1211">
        <f t="shared" si="269"/>
        <v>0</v>
      </c>
      <c r="O1782" s="1212"/>
      <c r="P1782" s="1200"/>
      <c r="Q1782" s="1200"/>
    </row>
    <row r="1783" spans="1:17" ht="15" thickTop="1" thickBot="1" x14ac:dyDescent="0.3">
      <c r="A1783" s="1207"/>
      <c r="B1783" s="1212"/>
      <c r="C1783" s="1212"/>
      <c r="D1783" s="1212"/>
      <c r="E1783" s="1212"/>
      <c r="F1783" s="1208"/>
      <c r="G1783" s="1208"/>
      <c r="H1783" s="1208"/>
      <c r="I1783" s="1209"/>
      <c r="J1783" s="1209"/>
      <c r="K1783" s="1210">
        <f t="shared" si="266"/>
        <v>1.05</v>
      </c>
      <c r="L1783" s="1210">
        <f t="shared" si="267"/>
        <v>0</v>
      </c>
      <c r="M1783" s="1197">
        <f t="shared" si="268"/>
        <v>0</v>
      </c>
      <c r="N1783" s="1211">
        <f t="shared" si="269"/>
        <v>0</v>
      </c>
      <c r="O1783" s="1212"/>
      <c r="P1783" s="1200"/>
      <c r="Q1783" s="1200"/>
    </row>
    <row r="1784" spans="1:17" ht="15" thickTop="1" thickBot="1" x14ac:dyDescent="0.3">
      <c r="A1784" s="1207"/>
      <c r="B1784" s="1212"/>
      <c r="C1784" s="1212"/>
      <c r="D1784" s="1212"/>
      <c r="E1784" s="1212"/>
      <c r="F1784" s="1208"/>
      <c r="G1784" s="1208"/>
      <c r="H1784" s="1208"/>
      <c r="I1784" s="1209"/>
      <c r="J1784" s="1209"/>
      <c r="K1784" s="1210">
        <f t="shared" si="266"/>
        <v>1.05</v>
      </c>
      <c r="L1784" s="1210">
        <f t="shared" si="267"/>
        <v>0</v>
      </c>
      <c r="M1784" s="1197">
        <f t="shared" si="268"/>
        <v>0</v>
      </c>
      <c r="N1784" s="1211">
        <f t="shared" si="269"/>
        <v>0</v>
      </c>
      <c r="O1784" s="1212"/>
      <c r="P1784" s="1200"/>
      <c r="Q1784" s="1200"/>
    </row>
    <row r="1785" spans="1:17" ht="15" thickTop="1" thickBot="1" x14ac:dyDescent="0.3">
      <c r="A1785" s="1207"/>
      <c r="B1785" s="1212"/>
      <c r="C1785" s="1212"/>
      <c r="D1785" s="1212"/>
      <c r="E1785" s="1212"/>
      <c r="F1785" s="1208"/>
      <c r="G1785" s="1208"/>
      <c r="H1785" s="1208"/>
      <c r="I1785" s="1209"/>
      <c r="J1785" s="1209"/>
      <c r="K1785" s="1210">
        <f t="shared" si="266"/>
        <v>1.05</v>
      </c>
      <c r="L1785" s="1210">
        <f t="shared" si="267"/>
        <v>0</v>
      </c>
      <c r="M1785" s="1197">
        <f t="shared" si="268"/>
        <v>0</v>
      </c>
      <c r="N1785" s="1211">
        <f t="shared" si="269"/>
        <v>0</v>
      </c>
      <c r="O1785" s="1212"/>
      <c r="P1785" s="1200"/>
      <c r="Q1785" s="1200"/>
    </row>
    <row r="1786" spans="1:17" ht="15" thickTop="1" thickBot="1" x14ac:dyDescent="0.3">
      <c r="A1786" s="1207"/>
      <c r="B1786" s="1212"/>
      <c r="C1786" s="1212"/>
      <c r="D1786" s="1212"/>
      <c r="E1786" s="1212"/>
      <c r="F1786" s="1208"/>
      <c r="G1786" s="1208"/>
      <c r="H1786" s="1208"/>
      <c r="I1786" s="1209"/>
      <c r="J1786" s="1209"/>
      <c r="K1786" s="1210">
        <f t="shared" si="266"/>
        <v>1.05</v>
      </c>
      <c r="L1786" s="1210">
        <f t="shared" si="267"/>
        <v>0</v>
      </c>
      <c r="M1786" s="1197">
        <f t="shared" si="268"/>
        <v>0</v>
      </c>
      <c r="N1786" s="1211">
        <f t="shared" si="269"/>
        <v>0</v>
      </c>
      <c r="O1786" s="1212"/>
      <c r="P1786" s="1200"/>
      <c r="Q1786" s="1200"/>
    </row>
    <row r="1787" spans="1:17" ht="15" thickTop="1" thickBot="1" x14ac:dyDescent="0.3">
      <c r="A1787" s="1207"/>
      <c r="B1787" s="1212"/>
      <c r="C1787" s="1212"/>
      <c r="D1787" s="1212"/>
      <c r="E1787" s="1212"/>
      <c r="F1787" s="1208"/>
      <c r="G1787" s="1208"/>
      <c r="H1787" s="1208"/>
      <c r="I1787" s="1209"/>
      <c r="J1787" s="1209"/>
      <c r="K1787" s="1210">
        <f t="shared" si="266"/>
        <v>1.05</v>
      </c>
      <c r="L1787" s="1210">
        <f t="shared" si="267"/>
        <v>0</v>
      </c>
      <c r="M1787" s="1197">
        <f t="shared" si="268"/>
        <v>0</v>
      </c>
      <c r="N1787" s="1211">
        <f t="shared" si="269"/>
        <v>0</v>
      </c>
      <c r="O1787" s="1212"/>
      <c r="P1787" s="1200"/>
      <c r="Q1787" s="1200"/>
    </row>
    <row r="1788" spans="1:17" ht="15" thickTop="1" thickBot="1" x14ac:dyDescent="0.3">
      <c r="A1788" s="1207"/>
      <c r="B1788" s="1212"/>
      <c r="C1788" s="1212"/>
      <c r="D1788" s="1212"/>
      <c r="E1788" s="1212"/>
      <c r="F1788" s="1208"/>
      <c r="G1788" s="1208"/>
      <c r="H1788" s="1208"/>
      <c r="I1788" s="1209"/>
      <c r="J1788" s="1209"/>
      <c r="K1788" s="1210">
        <f t="shared" si="266"/>
        <v>1.05</v>
      </c>
      <c r="L1788" s="1210">
        <f t="shared" si="267"/>
        <v>0</v>
      </c>
      <c r="M1788" s="1197">
        <f t="shared" si="268"/>
        <v>0</v>
      </c>
      <c r="N1788" s="1211">
        <f t="shared" si="269"/>
        <v>0</v>
      </c>
      <c r="O1788" s="1212"/>
      <c r="P1788" s="1200"/>
      <c r="Q1788" s="1200"/>
    </row>
    <row r="1789" spans="1:17" ht="15" thickTop="1" thickBot="1" x14ac:dyDescent="0.3">
      <c r="A1789" s="1207"/>
      <c r="B1789" s="1212"/>
      <c r="C1789" s="1212"/>
      <c r="D1789" s="1212"/>
      <c r="E1789" s="1212"/>
      <c r="F1789" s="1208"/>
      <c r="G1789" s="1208"/>
      <c r="H1789" s="1208"/>
      <c r="I1789" s="1209"/>
      <c r="J1789" s="1209"/>
      <c r="K1789" s="1210">
        <f t="shared" si="266"/>
        <v>1.05</v>
      </c>
      <c r="L1789" s="1210">
        <f t="shared" si="267"/>
        <v>0</v>
      </c>
      <c r="M1789" s="1197">
        <f t="shared" si="268"/>
        <v>0</v>
      </c>
      <c r="N1789" s="1211">
        <f t="shared" si="269"/>
        <v>0</v>
      </c>
      <c r="O1789" s="1212"/>
      <c r="P1789" s="1200"/>
      <c r="Q1789" s="1200"/>
    </row>
    <row r="1790" spans="1:17" ht="15" thickTop="1" thickBot="1" x14ac:dyDescent="0.3">
      <c r="A1790" s="1207"/>
      <c r="B1790" s="1212"/>
      <c r="C1790" s="1212"/>
      <c r="D1790" s="1212"/>
      <c r="E1790" s="1212"/>
      <c r="F1790" s="1208"/>
      <c r="G1790" s="1208"/>
      <c r="H1790" s="1208"/>
      <c r="I1790" s="1209"/>
      <c r="J1790" s="1209"/>
      <c r="K1790" s="1210">
        <f t="shared" si="266"/>
        <v>1.05</v>
      </c>
      <c r="L1790" s="1210">
        <f t="shared" si="267"/>
        <v>0</v>
      </c>
      <c r="M1790" s="1197">
        <f t="shared" si="268"/>
        <v>0</v>
      </c>
      <c r="N1790" s="1211">
        <f t="shared" si="269"/>
        <v>0</v>
      </c>
      <c r="O1790" s="1212"/>
      <c r="P1790" s="1200"/>
      <c r="Q1790" s="1200"/>
    </row>
    <row r="1791" spans="1:17" ht="15" thickTop="1" thickBot="1" x14ac:dyDescent="0.3">
      <c r="A1791" s="1207"/>
      <c r="B1791" s="1212"/>
      <c r="C1791" s="1212"/>
      <c r="D1791" s="1212"/>
      <c r="E1791" s="1212"/>
      <c r="F1791" s="1208"/>
      <c r="G1791" s="1208"/>
      <c r="H1791" s="1208"/>
      <c r="I1791" s="1209"/>
      <c r="J1791" s="1209"/>
      <c r="K1791" s="1210">
        <f t="shared" si="266"/>
        <v>1.05</v>
      </c>
      <c r="L1791" s="1210">
        <f t="shared" si="267"/>
        <v>0</v>
      </c>
      <c r="M1791" s="1197">
        <f t="shared" si="268"/>
        <v>0</v>
      </c>
      <c r="N1791" s="1211">
        <f t="shared" si="269"/>
        <v>0</v>
      </c>
      <c r="O1791" s="1212"/>
      <c r="P1791" s="1200"/>
      <c r="Q1791" s="1200"/>
    </row>
    <row r="1792" spans="1:17" ht="15" thickTop="1" thickBot="1" x14ac:dyDescent="0.3">
      <c r="A1792" s="1207"/>
      <c r="B1792" s="1212"/>
      <c r="C1792" s="1212"/>
      <c r="D1792" s="1212"/>
      <c r="E1792" s="1212"/>
      <c r="F1792" s="1208"/>
      <c r="G1792" s="1208"/>
      <c r="H1792" s="1208"/>
      <c r="I1792" s="1209"/>
      <c r="J1792" s="1209"/>
      <c r="K1792" s="1210">
        <f t="shared" si="266"/>
        <v>1.05</v>
      </c>
      <c r="L1792" s="1210">
        <f t="shared" si="267"/>
        <v>0</v>
      </c>
      <c r="M1792" s="1197">
        <f t="shared" si="268"/>
        <v>0</v>
      </c>
      <c r="N1792" s="1211">
        <f t="shared" si="269"/>
        <v>0</v>
      </c>
      <c r="O1792" s="1212"/>
      <c r="P1792" s="1200"/>
      <c r="Q1792" s="1200"/>
    </row>
    <row r="1793" spans="1:17" ht="15" thickTop="1" thickBot="1" x14ac:dyDescent="0.3">
      <c r="A1793" s="1207"/>
      <c r="B1793" s="1212"/>
      <c r="C1793" s="1212"/>
      <c r="D1793" s="1212"/>
      <c r="E1793" s="1212"/>
      <c r="F1793" s="1208"/>
      <c r="G1793" s="1208"/>
      <c r="H1793" s="1208"/>
      <c r="I1793" s="1209"/>
      <c r="J1793" s="1209"/>
      <c r="K1793" s="1210">
        <f t="shared" si="266"/>
        <v>1.05</v>
      </c>
      <c r="L1793" s="1210">
        <f t="shared" si="267"/>
        <v>0</v>
      </c>
      <c r="M1793" s="1197">
        <f t="shared" si="268"/>
        <v>0</v>
      </c>
      <c r="N1793" s="1211">
        <f t="shared" si="269"/>
        <v>0</v>
      </c>
      <c r="O1793" s="1212"/>
      <c r="P1793" s="1200"/>
      <c r="Q1793" s="1200"/>
    </row>
    <row r="1794" spans="1:17" ht="15" thickTop="1" thickBot="1" x14ac:dyDescent="0.3">
      <c r="A1794" s="1207"/>
      <c r="B1794" s="1212"/>
      <c r="C1794" s="1212"/>
      <c r="D1794" s="1212"/>
      <c r="E1794" s="1212"/>
      <c r="F1794" s="1208"/>
      <c r="G1794" s="1208"/>
      <c r="H1794" s="1208"/>
      <c r="I1794" s="1209"/>
      <c r="J1794" s="1209"/>
      <c r="K1794" s="1210">
        <f t="shared" si="266"/>
        <v>1.05</v>
      </c>
      <c r="L1794" s="1210">
        <f t="shared" si="267"/>
        <v>0</v>
      </c>
      <c r="M1794" s="1197">
        <f t="shared" si="268"/>
        <v>0</v>
      </c>
      <c r="N1794" s="1211">
        <f t="shared" si="269"/>
        <v>0</v>
      </c>
      <c r="O1794" s="1212"/>
      <c r="P1794" s="1200"/>
      <c r="Q1794" s="1200"/>
    </row>
    <row r="1795" spans="1:17" ht="15" thickTop="1" thickBot="1" x14ac:dyDescent="0.3">
      <c r="A1795" s="1207"/>
      <c r="B1795" s="1212"/>
      <c r="C1795" s="1212"/>
      <c r="D1795" s="1212"/>
      <c r="E1795" s="1212"/>
      <c r="F1795" s="1208"/>
      <c r="G1795" s="1208"/>
      <c r="H1795" s="1208"/>
      <c r="I1795" s="1209"/>
      <c r="J1795" s="1209"/>
      <c r="K1795" s="1210">
        <f t="shared" si="266"/>
        <v>1.05</v>
      </c>
      <c r="L1795" s="1210">
        <f t="shared" si="267"/>
        <v>0</v>
      </c>
      <c r="M1795" s="1197">
        <f t="shared" si="268"/>
        <v>0</v>
      </c>
      <c r="N1795" s="1211">
        <f t="shared" si="269"/>
        <v>0</v>
      </c>
      <c r="O1795" s="1212"/>
      <c r="P1795" s="1200"/>
      <c r="Q1795" s="1200"/>
    </row>
    <row r="1796" spans="1:17" ht="15" thickTop="1" thickBot="1" x14ac:dyDescent="0.3">
      <c r="A1796" s="1207"/>
      <c r="B1796" s="1212"/>
      <c r="C1796" s="1212"/>
      <c r="D1796" s="1212"/>
      <c r="E1796" s="1212"/>
      <c r="F1796" s="1208"/>
      <c r="G1796" s="1208"/>
      <c r="H1796" s="1208"/>
      <c r="I1796" s="1209"/>
      <c r="J1796" s="1209"/>
      <c r="K1796" s="1210">
        <f t="shared" si="266"/>
        <v>1.05</v>
      </c>
      <c r="L1796" s="1210">
        <f t="shared" si="267"/>
        <v>0</v>
      </c>
      <c r="M1796" s="1197">
        <f t="shared" si="268"/>
        <v>0</v>
      </c>
      <c r="N1796" s="1211">
        <f t="shared" si="269"/>
        <v>0</v>
      </c>
      <c r="O1796" s="1212"/>
      <c r="P1796" s="1200"/>
      <c r="Q1796" s="1200"/>
    </row>
    <row r="1797" spans="1:17" ht="15" thickTop="1" thickBot="1" x14ac:dyDescent="0.3">
      <c r="A1797" s="1207"/>
      <c r="B1797" s="1212"/>
      <c r="C1797" s="1212"/>
      <c r="D1797" s="1212"/>
      <c r="E1797" s="1212"/>
      <c r="F1797" s="1208"/>
      <c r="G1797" s="1208"/>
      <c r="H1797" s="1208"/>
      <c r="I1797" s="1209"/>
      <c r="J1797" s="1209"/>
      <c r="K1797" s="1210">
        <f t="shared" si="266"/>
        <v>1.05</v>
      </c>
      <c r="L1797" s="1210">
        <f t="shared" si="267"/>
        <v>0</v>
      </c>
      <c r="M1797" s="1197">
        <f t="shared" si="268"/>
        <v>0</v>
      </c>
      <c r="N1797" s="1211">
        <f t="shared" si="269"/>
        <v>0</v>
      </c>
      <c r="O1797" s="1212"/>
      <c r="P1797" s="1200"/>
      <c r="Q1797" s="1200"/>
    </row>
    <row r="1798" spans="1:17" ht="15" thickTop="1" thickBot="1" x14ac:dyDescent="0.3">
      <c r="A1798" s="1207"/>
      <c r="B1798" s="1212"/>
      <c r="C1798" s="1212"/>
      <c r="D1798" s="1212"/>
      <c r="E1798" s="1212"/>
      <c r="F1798" s="1208"/>
      <c r="G1798" s="1208"/>
      <c r="H1798" s="1208"/>
      <c r="I1798" s="1209"/>
      <c r="J1798" s="1209"/>
      <c r="K1798" s="1210">
        <f t="shared" si="266"/>
        <v>1.05</v>
      </c>
      <c r="L1798" s="1210">
        <f t="shared" si="267"/>
        <v>0</v>
      </c>
      <c r="M1798" s="1197">
        <f t="shared" si="268"/>
        <v>0</v>
      </c>
      <c r="N1798" s="1211">
        <f t="shared" si="269"/>
        <v>0</v>
      </c>
      <c r="O1798" s="1212"/>
      <c r="P1798" s="1200"/>
      <c r="Q1798" s="1200"/>
    </row>
    <row r="1799" spans="1:17" ht="15" thickTop="1" thickBot="1" x14ac:dyDescent="0.3">
      <c r="A1799" s="1207"/>
      <c r="B1799" s="1212"/>
      <c r="C1799" s="1212"/>
      <c r="D1799" s="1212"/>
      <c r="E1799" s="1212"/>
      <c r="F1799" s="1208"/>
      <c r="G1799" s="1208"/>
      <c r="H1799" s="1208"/>
      <c r="I1799" s="1209"/>
      <c r="J1799" s="1209"/>
      <c r="K1799" s="1210">
        <f t="shared" si="266"/>
        <v>1.05</v>
      </c>
      <c r="L1799" s="1210">
        <f t="shared" si="267"/>
        <v>0</v>
      </c>
      <c r="M1799" s="1197">
        <f t="shared" si="268"/>
        <v>0</v>
      </c>
      <c r="N1799" s="1211">
        <f t="shared" si="269"/>
        <v>0</v>
      </c>
      <c r="O1799" s="1212"/>
      <c r="P1799" s="1200"/>
      <c r="Q1799" s="1200"/>
    </row>
    <row r="1800" spans="1:17" ht="15" thickTop="1" thickBot="1" x14ac:dyDescent="0.3">
      <c r="A1800" s="1207"/>
      <c r="B1800" s="1212"/>
      <c r="C1800" s="1212"/>
      <c r="D1800" s="1212"/>
      <c r="E1800" s="1212"/>
      <c r="F1800" s="1208"/>
      <c r="G1800" s="1208"/>
      <c r="H1800" s="1208"/>
      <c r="I1800" s="1209"/>
      <c r="J1800" s="1209"/>
      <c r="K1800" s="1210">
        <f t="shared" si="266"/>
        <v>1.05</v>
      </c>
      <c r="L1800" s="1210">
        <f t="shared" si="267"/>
        <v>0</v>
      </c>
      <c r="M1800" s="1197">
        <f t="shared" si="268"/>
        <v>0</v>
      </c>
      <c r="N1800" s="1211">
        <f t="shared" si="269"/>
        <v>0</v>
      </c>
      <c r="O1800" s="1212"/>
      <c r="P1800" s="1200"/>
      <c r="Q1800" s="1200"/>
    </row>
    <row r="1801" spans="1:17" ht="15" thickTop="1" thickBot="1" x14ac:dyDescent="0.3">
      <c r="A1801" s="1207"/>
      <c r="B1801" s="1212"/>
      <c r="C1801" s="1212"/>
      <c r="D1801" s="1212"/>
      <c r="E1801" s="1212"/>
      <c r="F1801" s="1208"/>
      <c r="G1801" s="1208"/>
      <c r="H1801" s="1208"/>
      <c r="I1801" s="1209"/>
      <c r="J1801" s="1209"/>
      <c r="K1801" s="1210">
        <f t="shared" si="266"/>
        <v>1.05</v>
      </c>
      <c r="L1801" s="1210">
        <f t="shared" si="267"/>
        <v>0</v>
      </c>
      <c r="M1801" s="1197">
        <f t="shared" si="268"/>
        <v>0</v>
      </c>
      <c r="N1801" s="1211">
        <f t="shared" si="269"/>
        <v>0</v>
      </c>
      <c r="O1801" s="1212"/>
      <c r="P1801" s="1200"/>
      <c r="Q1801" s="1200"/>
    </row>
    <row r="1802" spans="1:17" ht="15" thickTop="1" thickBot="1" x14ac:dyDescent="0.3">
      <c r="A1802" s="1207"/>
      <c r="B1802" s="1212"/>
      <c r="C1802" s="1212"/>
      <c r="D1802" s="1212"/>
      <c r="E1802" s="1212"/>
      <c r="F1802" s="1208"/>
      <c r="G1802" s="1208"/>
      <c r="H1802" s="1208"/>
      <c r="I1802" s="1209"/>
      <c r="J1802" s="1209"/>
      <c r="K1802" s="1210">
        <f t="shared" si="266"/>
        <v>1.05</v>
      </c>
      <c r="L1802" s="1210">
        <f t="shared" si="267"/>
        <v>0</v>
      </c>
      <c r="M1802" s="1197">
        <f t="shared" si="268"/>
        <v>0</v>
      </c>
      <c r="N1802" s="1211">
        <f t="shared" si="269"/>
        <v>0</v>
      </c>
      <c r="O1802" s="1212"/>
      <c r="P1802" s="1200"/>
      <c r="Q1802" s="1200"/>
    </row>
    <row r="1803" spans="1:17" ht="15" thickTop="1" thickBot="1" x14ac:dyDescent="0.3">
      <c r="A1803" s="1207"/>
      <c r="B1803" s="1212"/>
      <c r="C1803" s="1212"/>
      <c r="D1803" s="1212"/>
      <c r="E1803" s="1212"/>
      <c r="F1803" s="1208"/>
      <c r="G1803" s="1208"/>
      <c r="H1803" s="1208"/>
      <c r="I1803" s="1209"/>
      <c r="J1803" s="1209"/>
      <c r="K1803" s="1210">
        <f t="shared" ref="K1803:K1866" si="270">$K$2</f>
        <v>1.05</v>
      </c>
      <c r="L1803" s="1210">
        <f t="shared" si="267"/>
        <v>0</v>
      </c>
      <c r="M1803" s="1197">
        <f t="shared" si="268"/>
        <v>0</v>
      </c>
      <c r="N1803" s="1211">
        <f t="shared" si="269"/>
        <v>0</v>
      </c>
      <c r="O1803" s="1212"/>
      <c r="P1803" s="1200"/>
      <c r="Q1803" s="1200"/>
    </row>
    <row r="1804" spans="1:17" ht="15" thickTop="1" thickBot="1" x14ac:dyDescent="0.3">
      <c r="A1804" s="1207"/>
      <c r="B1804" s="1212"/>
      <c r="C1804" s="1212"/>
      <c r="D1804" s="1212"/>
      <c r="E1804" s="1212"/>
      <c r="F1804" s="1208"/>
      <c r="G1804" s="1208"/>
      <c r="H1804" s="1208"/>
      <c r="I1804" s="1209"/>
      <c r="J1804" s="1209"/>
      <c r="K1804" s="1210">
        <f t="shared" si="270"/>
        <v>1.05</v>
      </c>
      <c r="L1804" s="1210">
        <f t="shared" si="267"/>
        <v>0</v>
      </c>
      <c r="M1804" s="1197">
        <f t="shared" si="268"/>
        <v>0</v>
      </c>
      <c r="N1804" s="1211">
        <f t="shared" si="269"/>
        <v>0</v>
      </c>
      <c r="O1804" s="1212"/>
      <c r="P1804" s="1200"/>
      <c r="Q1804" s="1200"/>
    </row>
    <row r="1805" spans="1:17" ht="15" thickTop="1" thickBot="1" x14ac:dyDescent="0.3">
      <c r="A1805" s="1207"/>
      <c r="B1805" s="1212"/>
      <c r="C1805" s="1212"/>
      <c r="D1805" s="1212"/>
      <c r="E1805" s="1212"/>
      <c r="F1805" s="1208"/>
      <c r="G1805" s="1208"/>
      <c r="H1805" s="1208"/>
      <c r="I1805" s="1209"/>
      <c r="J1805" s="1209"/>
      <c r="K1805" s="1210">
        <f t="shared" si="270"/>
        <v>1.05</v>
      </c>
      <c r="L1805" s="1210">
        <f t="shared" si="267"/>
        <v>0</v>
      </c>
      <c r="M1805" s="1197">
        <f t="shared" si="268"/>
        <v>0</v>
      </c>
      <c r="N1805" s="1211">
        <f t="shared" si="269"/>
        <v>0</v>
      </c>
      <c r="O1805" s="1212"/>
      <c r="P1805" s="1200"/>
      <c r="Q1805" s="1200"/>
    </row>
    <row r="1806" spans="1:17" ht="15" thickTop="1" thickBot="1" x14ac:dyDescent="0.3">
      <c r="A1806" s="1207"/>
      <c r="B1806" s="1212"/>
      <c r="C1806" s="1212"/>
      <c r="D1806" s="1212"/>
      <c r="E1806" s="1212"/>
      <c r="F1806" s="1208"/>
      <c r="G1806" s="1208"/>
      <c r="H1806" s="1208"/>
      <c r="I1806" s="1209"/>
      <c r="J1806" s="1209"/>
      <c r="K1806" s="1210">
        <f t="shared" si="270"/>
        <v>1.05</v>
      </c>
      <c r="L1806" s="1210">
        <f t="shared" si="267"/>
        <v>0</v>
      </c>
      <c r="M1806" s="1197">
        <f t="shared" si="268"/>
        <v>0</v>
      </c>
      <c r="N1806" s="1211">
        <f t="shared" si="269"/>
        <v>0</v>
      </c>
      <c r="O1806" s="1212"/>
      <c r="P1806" s="1200"/>
      <c r="Q1806" s="1200"/>
    </row>
    <row r="1807" spans="1:17" ht="15" thickTop="1" thickBot="1" x14ac:dyDescent="0.3">
      <c r="A1807" s="1207"/>
      <c r="B1807" s="1212"/>
      <c r="C1807" s="1212"/>
      <c r="D1807" s="1212"/>
      <c r="E1807" s="1212"/>
      <c r="F1807" s="1208"/>
      <c r="G1807" s="1208"/>
      <c r="H1807" s="1208"/>
      <c r="I1807" s="1209"/>
      <c r="J1807" s="1209"/>
      <c r="K1807" s="1210">
        <f t="shared" si="270"/>
        <v>1.05</v>
      </c>
      <c r="L1807" s="1210">
        <f t="shared" si="267"/>
        <v>0</v>
      </c>
      <c r="M1807" s="1197">
        <f t="shared" si="268"/>
        <v>0</v>
      </c>
      <c r="N1807" s="1211">
        <f t="shared" si="269"/>
        <v>0</v>
      </c>
      <c r="O1807" s="1212"/>
      <c r="P1807" s="1200"/>
      <c r="Q1807" s="1200"/>
    </row>
    <row r="1808" spans="1:17" ht="15" thickTop="1" thickBot="1" x14ac:dyDescent="0.3">
      <c r="A1808" s="1207"/>
      <c r="B1808" s="1212"/>
      <c r="C1808" s="1212"/>
      <c r="D1808" s="1212"/>
      <c r="E1808" s="1212"/>
      <c r="F1808" s="1208"/>
      <c r="G1808" s="1208"/>
      <c r="H1808" s="1208"/>
      <c r="I1808" s="1209"/>
      <c r="J1808" s="1209"/>
      <c r="K1808" s="1210">
        <f t="shared" si="270"/>
        <v>1.05</v>
      </c>
      <c r="L1808" s="1210">
        <f t="shared" si="267"/>
        <v>0</v>
      </c>
      <c r="M1808" s="1197">
        <f t="shared" si="268"/>
        <v>0</v>
      </c>
      <c r="N1808" s="1211">
        <f t="shared" si="269"/>
        <v>0</v>
      </c>
      <c r="O1808" s="1212"/>
      <c r="P1808" s="1200"/>
      <c r="Q1808" s="1200"/>
    </row>
    <row r="1809" spans="1:17" ht="15" thickTop="1" thickBot="1" x14ac:dyDescent="0.3">
      <c r="A1809" s="1207"/>
      <c r="B1809" s="1212"/>
      <c r="C1809" s="1212"/>
      <c r="D1809" s="1212"/>
      <c r="E1809" s="1212"/>
      <c r="F1809" s="1208"/>
      <c r="G1809" s="1208"/>
      <c r="H1809" s="1208"/>
      <c r="I1809" s="1209"/>
      <c r="J1809" s="1209"/>
      <c r="K1809" s="1210">
        <f t="shared" si="270"/>
        <v>1.05</v>
      </c>
      <c r="L1809" s="1210">
        <f t="shared" si="267"/>
        <v>0</v>
      </c>
      <c r="M1809" s="1197">
        <f t="shared" si="268"/>
        <v>0</v>
      </c>
      <c r="N1809" s="1211">
        <f t="shared" si="269"/>
        <v>0</v>
      </c>
      <c r="O1809" s="1212"/>
      <c r="P1809" s="1200"/>
      <c r="Q1809" s="1200"/>
    </row>
    <row r="1810" spans="1:17" ht="15" thickTop="1" thickBot="1" x14ac:dyDescent="0.3">
      <c r="A1810" s="1207"/>
      <c r="B1810" s="1212"/>
      <c r="C1810" s="1212"/>
      <c r="D1810" s="1212"/>
      <c r="E1810" s="1212"/>
      <c r="F1810" s="1208"/>
      <c r="G1810" s="1208"/>
      <c r="H1810" s="1208"/>
      <c r="I1810" s="1209"/>
      <c r="J1810" s="1209"/>
      <c r="K1810" s="1210">
        <f t="shared" si="270"/>
        <v>1.05</v>
      </c>
      <c r="L1810" s="1210">
        <f t="shared" si="267"/>
        <v>0</v>
      </c>
      <c r="M1810" s="1197">
        <f t="shared" si="268"/>
        <v>0</v>
      </c>
      <c r="N1810" s="1211">
        <f t="shared" si="269"/>
        <v>0</v>
      </c>
      <c r="O1810" s="1212"/>
      <c r="P1810" s="1200"/>
      <c r="Q1810" s="1200"/>
    </row>
    <row r="1811" spans="1:17" ht="15" thickTop="1" thickBot="1" x14ac:dyDescent="0.3">
      <c r="A1811" s="1207"/>
      <c r="B1811" s="1212"/>
      <c r="C1811" s="1212"/>
      <c r="D1811" s="1212"/>
      <c r="E1811" s="1212"/>
      <c r="F1811" s="1208"/>
      <c r="G1811" s="1208"/>
      <c r="H1811" s="1208"/>
      <c r="I1811" s="1209"/>
      <c r="J1811" s="1209"/>
      <c r="K1811" s="1210">
        <f t="shared" si="270"/>
        <v>1.05</v>
      </c>
      <c r="L1811" s="1210">
        <f t="shared" si="267"/>
        <v>0</v>
      </c>
      <c r="M1811" s="1197">
        <f t="shared" si="268"/>
        <v>0</v>
      </c>
      <c r="N1811" s="1211">
        <f t="shared" si="269"/>
        <v>0</v>
      </c>
      <c r="O1811" s="1212"/>
      <c r="P1811" s="1200"/>
      <c r="Q1811" s="1200"/>
    </row>
    <row r="1812" spans="1:17" ht="15" thickTop="1" thickBot="1" x14ac:dyDescent="0.3">
      <c r="A1812" s="1207"/>
      <c r="B1812" s="1212"/>
      <c r="C1812" s="1212"/>
      <c r="D1812" s="1212"/>
      <c r="E1812" s="1212"/>
      <c r="F1812" s="1208"/>
      <c r="G1812" s="1208"/>
      <c r="H1812" s="1208"/>
      <c r="I1812" s="1209"/>
      <c r="J1812" s="1209"/>
      <c r="K1812" s="1210">
        <f t="shared" si="270"/>
        <v>1.05</v>
      </c>
      <c r="L1812" s="1210">
        <f t="shared" si="267"/>
        <v>0</v>
      </c>
      <c r="M1812" s="1197">
        <f t="shared" si="268"/>
        <v>0</v>
      </c>
      <c r="N1812" s="1211">
        <f t="shared" si="269"/>
        <v>0</v>
      </c>
      <c r="O1812" s="1212"/>
      <c r="P1812" s="1200"/>
      <c r="Q1812" s="1200"/>
    </row>
    <row r="1813" spans="1:17" ht="15" thickTop="1" thickBot="1" x14ac:dyDescent="0.3">
      <c r="A1813" s="1207"/>
      <c r="B1813" s="1212"/>
      <c r="C1813" s="1212"/>
      <c r="D1813" s="1212"/>
      <c r="E1813" s="1212"/>
      <c r="F1813" s="1208"/>
      <c r="G1813" s="1208"/>
      <c r="H1813" s="1208"/>
      <c r="I1813" s="1209"/>
      <c r="J1813" s="1209"/>
      <c r="K1813" s="1210">
        <f t="shared" si="270"/>
        <v>1.05</v>
      </c>
      <c r="L1813" s="1210">
        <f t="shared" si="267"/>
        <v>0</v>
      </c>
      <c r="M1813" s="1197">
        <f t="shared" si="268"/>
        <v>0</v>
      </c>
      <c r="N1813" s="1211">
        <f t="shared" si="269"/>
        <v>0</v>
      </c>
      <c r="O1813" s="1212"/>
      <c r="P1813" s="1200"/>
      <c r="Q1813" s="1200"/>
    </row>
    <row r="1814" spans="1:17" ht="15" thickTop="1" thickBot="1" x14ac:dyDescent="0.3">
      <c r="A1814" s="1207"/>
      <c r="B1814" s="1212"/>
      <c r="C1814" s="1212"/>
      <c r="D1814" s="1212"/>
      <c r="E1814" s="1212"/>
      <c r="F1814" s="1208"/>
      <c r="G1814" s="1208"/>
      <c r="H1814" s="1208"/>
      <c r="I1814" s="1209"/>
      <c r="J1814" s="1209"/>
      <c r="K1814" s="1210">
        <f t="shared" si="270"/>
        <v>1.05</v>
      </c>
      <c r="L1814" s="1210">
        <f t="shared" si="267"/>
        <v>0</v>
      </c>
      <c r="M1814" s="1197">
        <f t="shared" si="268"/>
        <v>0</v>
      </c>
      <c r="N1814" s="1211">
        <f t="shared" si="269"/>
        <v>0</v>
      </c>
      <c r="O1814" s="1212"/>
      <c r="P1814" s="1200"/>
      <c r="Q1814" s="1200"/>
    </row>
    <row r="1815" spans="1:17" ht="15" thickTop="1" thickBot="1" x14ac:dyDescent="0.3">
      <c r="A1815" s="1207"/>
      <c r="B1815" s="1212"/>
      <c r="C1815" s="1212"/>
      <c r="D1815" s="1212"/>
      <c r="E1815" s="1212"/>
      <c r="F1815" s="1208"/>
      <c r="G1815" s="1208"/>
      <c r="H1815" s="1208"/>
      <c r="I1815" s="1209"/>
      <c r="J1815" s="1209"/>
      <c r="K1815" s="1210">
        <f t="shared" si="270"/>
        <v>1.05</v>
      </c>
      <c r="L1815" s="1210">
        <f t="shared" si="267"/>
        <v>0</v>
      </c>
      <c r="M1815" s="1197">
        <f t="shared" si="268"/>
        <v>0</v>
      </c>
      <c r="N1815" s="1211">
        <f t="shared" si="269"/>
        <v>0</v>
      </c>
      <c r="O1815" s="1212"/>
      <c r="P1815" s="1200"/>
      <c r="Q1815" s="1200"/>
    </row>
    <row r="1816" spans="1:17" ht="15" thickTop="1" thickBot="1" x14ac:dyDescent="0.3">
      <c r="A1816" s="1207"/>
      <c r="B1816" s="1212"/>
      <c r="C1816" s="1212"/>
      <c r="D1816" s="1212"/>
      <c r="E1816" s="1212"/>
      <c r="F1816" s="1208"/>
      <c r="G1816" s="1208"/>
      <c r="H1816" s="1208"/>
      <c r="I1816" s="1209"/>
      <c r="J1816" s="1209"/>
      <c r="K1816" s="1210">
        <f t="shared" si="270"/>
        <v>1.05</v>
      </c>
      <c r="L1816" s="1210">
        <f t="shared" si="267"/>
        <v>0</v>
      </c>
      <c r="M1816" s="1197">
        <f t="shared" si="268"/>
        <v>0</v>
      </c>
      <c r="N1816" s="1211">
        <f t="shared" si="269"/>
        <v>0</v>
      </c>
      <c r="O1816" s="1212"/>
      <c r="P1816" s="1200"/>
      <c r="Q1816" s="1200"/>
    </row>
    <row r="1817" spans="1:17" ht="15" thickTop="1" thickBot="1" x14ac:dyDescent="0.3">
      <c r="A1817" s="1207"/>
      <c r="B1817" s="1212"/>
      <c r="C1817" s="1212"/>
      <c r="D1817" s="1212"/>
      <c r="E1817" s="1212"/>
      <c r="F1817" s="1208"/>
      <c r="G1817" s="1208"/>
      <c r="H1817" s="1208"/>
      <c r="I1817" s="1209"/>
      <c r="J1817" s="1209"/>
      <c r="K1817" s="1210">
        <f t="shared" si="270"/>
        <v>1.05</v>
      </c>
      <c r="L1817" s="1210">
        <f t="shared" si="267"/>
        <v>0</v>
      </c>
      <c r="M1817" s="1197">
        <f t="shared" si="268"/>
        <v>0</v>
      </c>
      <c r="N1817" s="1211">
        <f t="shared" si="269"/>
        <v>0</v>
      </c>
      <c r="O1817" s="1212"/>
      <c r="P1817" s="1200"/>
      <c r="Q1817" s="1200"/>
    </row>
    <row r="1818" spans="1:17" ht="15" thickTop="1" thickBot="1" x14ac:dyDescent="0.3">
      <c r="A1818" s="1207"/>
      <c r="B1818" s="1212"/>
      <c r="C1818" s="1212"/>
      <c r="D1818" s="1212"/>
      <c r="E1818" s="1212"/>
      <c r="F1818" s="1208"/>
      <c r="G1818" s="1208"/>
      <c r="H1818" s="1208"/>
      <c r="I1818" s="1209"/>
      <c r="J1818" s="1209"/>
      <c r="K1818" s="1210">
        <f t="shared" si="270"/>
        <v>1.05</v>
      </c>
      <c r="L1818" s="1210">
        <f t="shared" si="267"/>
        <v>0</v>
      </c>
      <c r="M1818" s="1197">
        <f t="shared" si="268"/>
        <v>0</v>
      </c>
      <c r="N1818" s="1211">
        <f t="shared" si="269"/>
        <v>0</v>
      </c>
      <c r="O1818" s="1212"/>
      <c r="P1818" s="1200"/>
      <c r="Q1818" s="1200"/>
    </row>
    <row r="1819" spans="1:17" ht="15" thickTop="1" thickBot="1" x14ac:dyDescent="0.3">
      <c r="A1819" s="1207"/>
      <c r="B1819" s="1212"/>
      <c r="C1819" s="1212"/>
      <c r="D1819" s="1212"/>
      <c r="E1819" s="1212"/>
      <c r="F1819" s="1208"/>
      <c r="G1819" s="1208"/>
      <c r="H1819" s="1208"/>
      <c r="I1819" s="1209"/>
      <c r="J1819" s="1209"/>
      <c r="K1819" s="1210">
        <f t="shared" si="270"/>
        <v>1.05</v>
      </c>
      <c r="L1819" s="1210">
        <f t="shared" si="267"/>
        <v>0</v>
      </c>
      <c r="M1819" s="1197">
        <f t="shared" si="268"/>
        <v>0</v>
      </c>
      <c r="N1819" s="1211">
        <f t="shared" si="269"/>
        <v>0</v>
      </c>
      <c r="O1819" s="1212"/>
      <c r="P1819" s="1200"/>
      <c r="Q1819" s="1200"/>
    </row>
    <row r="1820" spans="1:17" ht="15" thickTop="1" thickBot="1" x14ac:dyDescent="0.3">
      <c r="A1820" s="1207"/>
      <c r="B1820" s="1212"/>
      <c r="C1820" s="1212"/>
      <c r="D1820" s="1212"/>
      <c r="E1820" s="1212"/>
      <c r="F1820" s="1208"/>
      <c r="G1820" s="1208"/>
      <c r="H1820" s="1208"/>
      <c r="I1820" s="1209"/>
      <c r="J1820" s="1209"/>
      <c r="K1820" s="1210">
        <f t="shared" si="270"/>
        <v>1.05</v>
      </c>
      <c r="L1820" s="1210">
        <f t="shared" si="267"/>
        <v>0</v>
      </c>
      <c r="M1820" s="1197">
        <f t="shared" si="268"/>
        <v>0</v>
      </c>
      <c r="N1820" s="1211">
        <f t="shared" si="269"/>
        <v>0</v>
      </c>
      <c r="O1820" s="1212"/>
      <c r="P1820" s="1200"/>
      <c r="Q1820" s="1200"/>
    </row>
    <row r="1821" spans="1:17" ht="15" thickTop="1" thickBot="1" x14ac:dyDescent="0.3">
      <c r="A1821" s="1207"/>
      <c r="B1821" s="1212"/>
      <c r="C1821" s="1212"/>
      <c r="D1821" s="1212"/>
      <c r="E1821" s="1212"/>
      <c r="F1821" s="1208"/>
      <c r="G1821" s="1208"/>
      <c r="H1821" s="1208"/>
      <c r="I1821" s="1209"/>
      <c r="J1821" s="1209"/>
      <c r="K1821" s="1210">
        <f t="shared" si="270"/>
        <v>1.05</v>
      </c>
      <c r="L1821" s="1210">
        <f t="shared" si="267"/>
        <v>0</v>
      </c>
      <c r="M1821" s="1197">
        <f t="shared" si="268"/>
        <v>0</v>
      </c>
      <c r="N1821" s="1211">
        <f t="shared" si="269"/>
        <v>0</v>
      </c>
      <c r="O1821" s="1212"/>
      <c r="P1821" s="1200"/>
      <c r="Q1821" s="1200"/>
    </row>
    <row r="1822" spans="1:17" ht="15" thickTop="1" thickBot="1" x14ac:dyDescent="0.3">
      <c r="A1822" s="1207"/>
      <c r="B1822" s="1212"/>
      <c r="C1822" s="1212"/>
      <c r="D1822" s="1212"/>
      <c r="E1822" s="1212"/>
      <c r="F1822" s="1208"/>
      <c r="G1822" s="1208"/>
      <c r="H1822" s="1208"/>
      <c r="I1822" s="1209"/>
      <c r="J1822" s="1209"/>
      <c r="K1822" s="1210">
        <f t="shared" si="270"/>
        <v>1.05</v>
      </c>
      <c r="L1822" s="1210">
        <f t="shared" si="267"/>
        <v>0</v>
      </c>
      <c r="M1822" s="1197">
        <f t="shared" si="268"/>
        <v>0</v>
      </c>
      <c r="N1822" s="1211">
        <f t="shared" si="269"/>
        <v>0</v>
      </c>
      <c r="O1822" s="1212"/>
      <c r="P1822" s="1200"/>
      <c r="Q1822" s="1200"/>
    </row>
    <row r="1823" spans="1:17" ht="15" thickTop="1" thickBot="1" x14ac:dyDescent="0.3">
      <c r="A1823" s="1207"/>
      <c r="B1823" s="1212"/>
      <c r="C1823" s="1212"/>
      <c r="D1823" s="1212"/>
      <c r="E1823" s="1212"/>
      <c r="F1823" s="1208"/>
      <c r="G1823" s="1208"/>
      <c r="H1823" s="1208"/>
      <c r="I1823" s="1209"/>
      <c r="J1823" s="1209"/>
      <c r="K1823" s="1210">
        <f t="shared" si="270"/>
        <v>1.05</v>
      </c>
      <c r="L1823" s="1210">
        <f t="shared" si="267"/>
        <v>0</v>
      </c>
      <c r="M1823" s="1197">
        <f t="shared" si="268"/>
        <v>0</v>
      </c>
      <c r="N1823" s="1211">
        <f t="shared" si="269"/>
        <v>0</v>
      </c>
      <c r="O1823" s="1212"/>
      <c r="P1823" s="1200"/>
      <c r="Q1823" s="1200"/>
    </row>
    <row r="1824" spans="1:17" ht="15" thickTop="1" thickBot="1" x14ac:dyDescent="0.3">
      <c r="A1824" s="1207"/>
      <c r="B1824" s="1212"/>
      <c r="C1824" s="1212"/>
      <c r="D1824" s="1212"/>
      <c r="E1824" s="1212"/>
      <c r="F1824" s="1208"/>
      <c r="G1824" s="1208"/>
      <c r="H1824" s="1208"/>
      <c r="I1824" s="1209"/>
      <c r="J1824" s="1209"/>
      <c r="K1824" s="1210">
        <f t="shared" si="270"/>
        <v>1.05</v>
      </c>
      <c r="L1824" s="1210">
        <f t="shared" si="267"/>
        <v>0</v>
      </c>
      <c r="M1824" s="1197">
        <f t="shared" si="268"/>
        <v>0</v>
      </c>
      <c r="N1824" s="1211">
        <f t="shared" si="269"/>
        <v>0</v>
      </c>
      <c r="O1824" s="1212"/>
      <c r="P1824" s="1200"/>
      <c r="Q1824" s="1200"/>
    </row>
    <row r="1825" spans="1:17" ht="15" thickTop="1" thickBot="1" x14ac:dyDescent="0.3">
      <c r="A1825" s="1207"/>
      <c r="B1825" s="1212"/>
      <c r="C1825" s="1212"/>
      <c r="D1825" s="1212"/>
      <c r="E1825" s="1212"/>
      <c r="F1825" s="1208"/>
      <c r="G1825" s="1208"/>
      <c r="H1825" s="1208"/>
      <c r="I1825" s="1209"/>
      <c r="J1825" s="1209"/>
      <c r="K1825" s="1210">
        <f t="shared" si="270"/>
        <v>1.05</v>
      </c>
      <c r="L1825" s="1210">
        <f t="shared" si="267"/>
        <v>0</v>
      </c>
      <c r="M1825" s="1197">
        <f t="shared" si="268"/>
        <v>0</v>
      </c>
      <c r="N1825" s="1211">
        <f t="shared" si="269"/>
        <v>0</v>
      </c>
      <c r="O1825" s="1212"/>
      <c r="P1825" s="1200"/>
      <c r="Q1825" s="1200"/>
    </row>
    <row r="1826" spans="1:17" ht="15" thickTop="1" thickBot="1" x14ac:dyDescent="0.3">
      <c r="A1826" s="1207"/>
      <c r="B1826" s="1212"/>
      <c r="C1826" s="1212"/>
      <c r="D1826" s="1212"/>
      <c r="E1826" s="1212"/>
      <c r="F1826" s="1208"/>
      <c r="G1826" s="1208"/>
      <c r="H1826" s="1208"/>
      <c r="I1826" s="1209"/>
      <c r="J1826" s="1209"/>
      <c r="K1826" s="1210">
        <f t="shared" si="270"/>
        <v>1.05</v>
      </c>
      <c r="L1826" s="1210">
        <f t="shared" si="267"/>
        <v>0</v>
      </c>
      <c r="M1826" s="1197">
        <f t="shared" si="268"/>
        <v>0</v>
      </c>
      <c r="N1826" s="1211">
        <f t="shared" si="269"/>
        <v>0</v>
      </c>
      <c r="O1826" s="1212"/>
      <c r="P1826" s="1200"/>
      <c r="Q1826" s="1200"/>
    </row>
    <row r="1827" spans="1:17" ht="15" thickTop="1" thickBot="1" x14ac:dyDescent="0.3">
      <c r="A1827" s="1207"/>
      <c r="B1827" s="1212"/>
      <c r="C1827" s="1212"/>
      <c r="D1827" s="1212"/>
      <c r="E1827" s="1212"/>
      <c r="F1827" s="1208"/>
      <c r="G1827" s="1208"/>
      <c r="H1827" s="1208"/>
      <c r="I1827" s="1209"/>
      <c r="J1827" s="1209"/>
      <c r="K1827" s="1210">
        <f t="shared" si="270"/>
        <v>1.05</v>
      </c>
      <c r="L1827" s="1210">
        <f t="shared" si="267"/>
        <v>0</v>
      </c>
      <c r="M1827" s="1197">
        <f t="shared" si="268"/>
        <v>0</v>
      </c>
      <c r="N1827" s="1211">
        <f t="shared" si="269"/>
        <v>0</v>
      </c>
      <c r="O1827" s="1212"/>
      <c r="P1827" s="1200"/>
      <c r="Q1827" s="1200"/>
    </row>
    <row r="1828" spans="1:17" ht="15" thickTop="1" thickBot="1" x14ac:dyDescent="0.3">
      <c r="A1828" s="1207"/>
      <c r="B1828" s="1212"/>
      <c r="C1828" s="1212"/>
      <c r="D1828" s="1212"/>
      <c r="E1828" s="1212"/>
      <c r="F1828" s="1208"/>
      <c r="G1828" s="1208"/>
      <c r="H1828" s="1208"/>
      <c r="I1828" s="1209"/>
      <c r="J1828" s="1209"/>
      <c r="K1828" s="1210">
        <f t="shared" si="270"/>
        <v>1.05</v>
      </c>
      <c r="L1828" s="1210">
        <f t="shared" si="267"/>
        <v>0</v>
      </c>
      <c r="M1828" s="1197">
        <f t="shared" si="268"/>
        <v>0</v>
      </c>
      <c r="N1828" s="1211">
        <f t="shared" si="269"/>
        <v>0</v>
      </c>
      <c r="O1828" s="1212"/>
      <c r="P1828" s="1200"/>
      <c r="Q1828" s="1200"/>
    </row>
    <row r="1829" spans="1:17" ht="15" thickTop="1" thickBot="1" x14ac:dyDescent="0.3">
      <c r="A1829" s="1207"/>
      <c r="B1829" s="1212"/>
      <c r="C1829" s="1212"/>
      <c r="D1829" s="1212"/>
      <c r="E1829" s="1212"/>
      <c r="F1829" s="1208"/>
      <c r="G1829" s="1208"/>
      <c r="H1829" s="1208"/>
      <c r="I1829" s="1209"/>
      <c r="J1829" s="1209"/>
      <c r="K1829" s="1210">
        <f t="shared" si="270"/>
        <v>1.05</v>
      </c>
      <c r="L1829" s="1210">
        <f t="shared" si="267"/>
        <v>0</v>
      </c>
      <c r="M1829" s="1197">
        <f t="shared" si="268"/>
        <v>0</v>
      </c>
      <c r="N1829" s="1211">
        <f t="shared" si="269"/>
        <v>0</v>
      </c>
      <c r="O1829" s="1212"/>
      <c r="P1829" s="1200"/>
      <c r="Q1829" s="1200"/>
    </row>
    <row r="1830" spans="1:17" ht="15" thickTop="1" thickBot="1" x14ac:dyDescent="0.3">
      <c r="A1830" s="1207"/>
      <c r="B1830" s="1212"/>
      <c r="C1830" s="1212"/>
      <c r="D1830" s="1212"/>
      <c r="E1830" s="1212"/>
      <c r="F1830" s="1208"/>
      <c r="G1830" s="1208"/>
      <c r="H1830" s="1208"/>
      <c r="I1830" s="1209"/>
      <c r="J1830" s="1209"/>
      <c r="K1830" s="1210">
        <f t="shared" si="270"/>
        <v>1.05</v>
      </c>
      <c r="L1830" s="1210">
        <f t="shared" si="267"/>
        <v>0</v>
      </c>
      <c r="M1830" s="1197">
        <f t="shared" si="268"/>
        <v>0</v>
      </c>
      <c r="N1830" s="1211">
        <f t="shared" si="269"/>
        <v>0</v>
      </c>
      <c r="O1830" s="1212"/>
      <c r="P1830" s="1200"/>
      <c r="Q1830" s="1200"/>
    </row>
    <row r="1831" spans="1:17" ht="15" thickTop="1" thickBot="1" x14ac:dyDescent="0.3">
      <c r="A1831" s="1207"/>
      <c r="B1831" s="1212"/>
      <c r="C1831" s="1212"/>
      <c r="D1831" s="1212"/>
      <c r="E1831" s="1212"/>
      <c r="F1831" s="1208"/>
      <c r="G1831" s="1208"/>
      <c r="H1831" s="1208"/>
      <c r="I1831" s="1209"/>
      <c r="J1831" s="1209"/>
      <c r="K1831" s="1210">
        <f t="shared" si="270"/>
        <v>1.05</v>
      </c>
      <c r="L1831" s="1210">
        <f t="shared" si="267"/>
        <v>0</v>
      </c>
      <c r="M1831" s="1197">
        <f t="shared" si="268"/>
        <v>0</v>
      </c>
      <c r="N1831" s="1211">
        <f t="shared" si="269"/>
        <v>0</v>
      </c>
      <c r="O1831" s="1212"/>
      <c r="P1831" s="1200"/>
      <c r="Q1831" s="1200"/>
    </row>
    <row r="1832" spans="1:17" ht="15" thickTop="1" thickBot="1" x14ac:dyDescent="0.3">
      <c r="A1832" s="1207"/>
      <c r="B1832" s="1212"/>
      <c r="C1832" s="1212"/>
      <c r="D1832" s="1212"/>
      <c r="E1832" s="1212"/>
      <c r="F1832" s="1208"/>
      <c r="G1832" s="1208"/>
      <c r="H1832" s="1208"/>
      <c r="I1832" s="1209"/>
      <c r="J1832" s="1209"/>
      <c r="K1832" s="1210">
        <f t="shared" si="270"/>
        <v>1.05</v>
      </c>
      <c r="L1832" s="1210">
        <f t="shared" si="267"/>
        <v>0</v>
      </c>
      <c r="M1832" s="1197">
        <f t="shared" si="268"/>
        <v>0</v>
      </c>
      <c r="N1832" s="1211">
        <f t="shared" si="269"/>
        <v>0</v>
      </c>
      <c r="O1832" s="1212"/>
      <c r="P1832" s="1200"/>
      <c r="Q1832" s="1200"/>
    </row>
    <row r="1833" spans="1:17" ht="15" thickTop="1" thickBot="1" x14ac:dyDescent="0.3">
      <c r="A1833" s="1207"/>
      <c r="B1833" s="1212"/>
      <c r="C1833" s="1212"/>
      <c r="D1833" s="1212"/>
      <c r="E1833" s="1212"/>
      <c r="F1833" s="1208"/>
      <c r="G1833" s="1208"/>
      <c r="H1833" s="1208"/>
      <c r="I1833" s="1209"/>
      <c r="J1833" s="1209"/>
      <c r="K1833" s="1210">
        <f t="shared" si="270"/>
        <v>1.05</v>
      </c>
      <c r="L1833" s="1210">
        <f t="shared" si="267"/>
        <v>0</v>
      </c>
      <c r="M1833" s="1197">
        <f t="shared" si="268"/>
        <v>0</v>
      </c>
      <c r="N1833" s="1211">
        <f t="shared" si="269"/>
        <v>0</v>
      </c>
      <c r="O1833" s="1212"/>
      <c r="P1833" s="1200"/>
      <c r="Q1833" s="1200"/>
    </row>
    <row r="1834" spans="1:17" ht="15" thickTop="1" thickBot="1" x14ac:dyDescent="0.3">
      <c r="A1834" s="1207"/>
      <c r="B1834" s="1212"/>
      <c r="C1834" s="1212"/>
      <c r="D1834" s="1212"/>
      <c r="E1834" s="1212"/>
      <c r="F1834" s="1208"/>
      <c r="G1834" s="1208"/>
      <c r="H1834" s="1208"/>
      <c r="I1834" s="1209"/>
      <c r="J1834" s="1209"/>
      <c r="K1834" s="1210">
        <f t="shared" si="270"/>
        <v>1.05</v>
      </c>
      <c r="L1834" s="1210">
        <f t="shared" ref="L1834:L1897" si="271">K1834*J1834</f>
        <v>0</v>
      </c>
      <c r="M1834" s="1197">
        <f t="shared" ref="M1834:M1897" si="272">ROUND(L1834,1)</f>
        <v>0</v>
      </c>
      <c r="N1834" s="1211">
        <f t="shared" ref="N1834:N1897" si="273">ROUNDUP(M1834,0)</f>
        <v>0</v>
      </c>
      <c r="O1834" s="1212"/>
      <c r="P1834" s="1200"/>
      <c r="Q1834" s="1200"/>
    </row>
    <row r="1835" spans="1:17" ht="15" thickTop="1" thickBot="1" x14ac:dyDescent="0.3">
      <c r="A1835" s="1207"/>
      <c r="B1835" s="1212"/>
      <c r="C1835" s="1212"/>
      <c r="D1835" s="1212"/>
      <c r="E1835" s="1212"/>
      <c r="F1835" s="1208"/>
      <c r="G1835" s="1208"/>
      <c r="H1835" s="1208"/>
      <c r="I1835" s="1209"/>
      <c r="J1835" s="1209"/>
      <c r="K1835" s="1210">
        <f t="shared" si="270"/>
        <v>1.05</v>
      </c>
      <c r="L1835" s="1210">
        <f t="shared" si="271"/>
        <v>0</v>
      </c>
      <c r="M1835" s="1197">
        <f t="shared" si="272"/>
        <v>0</v>
      </c>
      <c r="N1835" s="1211">
        <f t="shared" si="273"/>
        <v>0</v>
      </c>
      <c r="O1835" s="1212"/>
      <c r="P1835" s="1200"/>
      <c r="Q1835" s="1200"/>
    </row>
    <row r="1836" spans="1:17" ht="15" thickTop="1" thickBot="1" x14ac:dyDescent="0.3">
      <c r="A1836" s="1207"/>
      <c r="B1836" s="1212"/>
      <c r="C1836" s="1212"/>
      <c r="D1836" s="1212"/>
      <c r="E1836" s="1212"/>
      <c r="F1836" s="1208"/>
      <c r="G1836" s="1208"/>
      <c r="H1836" s="1208"/>
      <c r="I1836" s="1209"/>
      <c r="J1836" s="1209"/>
      <c r="K1836" s="1210">
        <f t="shared" si="270"/>
        <v>1.05</v>
      </c>
      <c r="L1836" s="1210">
        <f t="shared" si="271"/>
        <v>0</v>
      </c>
      <c r="M1836" s="1197">
        <f t="shared" si="272"/>
        <v>0</v>
      </c>
      <c r="N1836" s="1211">
        <f t="shared" si="273"/>
        <v>0</v>
      </c>
      <c r="O1836" s="1212"/>
      <c r="P1836" s="1200"/>
      <c r="Q1836" s="1200"/>
    </row>
    <row r="1837" spans="1:17" ht="15" thickTop="1" thickBot="1" x14ac:dyDescent="0.3">
      <c r="A1837" s="1207"/>
      <c r="B1837" s="1212"/>
      <c r="C1837" s="1212"/>
      <c r="D1837" s="1212"/>
      <c r="E1837" s="1212"/>
      <c r="F1837" s="1208"/>
      <c r="G1837" s="1208"/>
      <c r="H1837" s="1208"/>
      <c r="I1837" s="1209"/>
      <c r="J1837" s="1209"/>
      <c r="K1837" s="1210">
        <f t="shared" si="270"/>
        <v>1.05</v>
      </c>
      <c r="L1837" s="1210">
        <f t="shared" si="271"/>
        <v>0</v>
      </c>
      <c r="M1837" s="1197">
        <f t="shared" si="272"/>
        <v>0</v>
      </c>
      <c r="N1837" s="1211">
        <f t="shared" si="273"/>
        <v>0</v>
      </c>
      <c r="O1837" s="1212"/>
      <c r="P1837" s="1200"/>
      <c r="Q1837" s="1200"/>
    </row>
    <row r="1838" spans="1:17" ht="15" thickTop="1" thickBot="1" x14ac:dyDescent="0.3">
      <c r="A1838" s="1207"/>
      <c r="B1838" s="1212"/>
      <c r="C1838" s="1212"/>
      <c r="D1838" s="1212"/>
      <c r="E1838" s="1212"/>
      <c r="F1838" s="1208"/>
      <c r="G1838" s="1208"/>
      <c r="H1838" s="1208"/>
      <c r="I1838" s="1209"/>
      <c r="J1838" s="1209"/>
      <c r="K1838" s="1210">
        <f t="shared" si="270"/>
        <v>1.05</v>
      </c>
      <c r="L1838" s="1210">
        <f t="shared" si="271"/>
        <v>0</v>
      </c>
      <c r="M1838" s="1197">
        <f t="shared" si="272"/>
        <v>0</v>
      </c>
      <c r="N1838" s="1211">
        <f t="shared" si="273"/>
        <v>0</v>
      </c>
      <c r="O1838" s="1212"/>
      <c r="P1838" s="1200"/>
      <c r="Q1838" s="1200"/>
    </row>
    <row r="1839" spans="1:17" ht="15" thickTop="1" thickBot="1" x14ac:dyDescent="0.3">
      <c r="A1839" s="1207"/>
      <c r="B1839" s="1212"/>
      <c r="C1839" s="1212"/>
      <c r="D1839" s="1212"/>
      <c r="E1839" s="1212"/>
      <c r="F1839" s="1208"/>
      <c r="G1839" s="1208"/>
      <c r="H1839" s="1208"/>
      <c r="I1839" s="1209"/>
      <c r="J1839" s="1209"/>
      <c r="K1839" s="1210">
        <f t="shared" si="270"/>
        <v>1.05</v>
      </c>
      <c r="L1839" s="1210">
        <f t="shared" si="271"/>
        <v>0</v>
      </c>
      <c r="M1839" s="1197">
        <f t="shared" si="272"/>
        <v>0</v>
      </c>
      <c r="N1839" s="1211">
        <f t="shared" si="273"/>
        <v>0</v>
      </c>
      <c r="O1839" s="1212"/>
      <c r="P1839" s="1200"/>
      <c r="Q1839" s="1200"/>
    </row>
    <row r="1840" spans="1:17" ht="15" thickTop="1" thickBot="1" x14ac:dyDescent="0.3">
      <c r="A1840" s="1207"/>
      <c r="B1840" s="1212"/>
      <c r="C1840" s="1212"/>
      <c r="D1840" s="1212"/>
      <c r="E1840" s="1212"/>
      <c r="F1840" s="1208"/>
      <c r="G1840" s="1208"/>
      <c r="H1840" s="1208"/>
      <c r="I1840" s="1209"/>
      <c r="J1840" s="1209"/>
      <c r="K1840" s="1210">
        <f t="shared" si="270"/>
        <v>1.05</v>
      </c>
      <c r="L1840" s="1210">
        <f t="shared" si="271"/>
        <v>0</v>
      </c>
      <c r="M1840" s="1197">
        <f t="shared" si="272"/>
        <v>0</v>
      </c>
      <c r="N1840" s="1211">
        <f t="shared" si="273"/>
        <v>0</v>
      </c>
      <c r="O1840" s="1212"/>
      <c r="P1840" s="1200"/>
      <c r="Q1840" s="1200"/>
    </row>
    <row r="1841" spans="1:17" ht="15" thickTop="1" thickBot="1" x14ac:dyDescent="0.3">
      <c r="A1841" s="1207"/>
      <c r="B1841" s="1212"/>
      <c r="C1841" s="1212"/>
      <c r="D1841" s="1212"/>
      <c r="E1841" s="1212"/>
      <c r="F1841" s="1208"/>
      <c r="G1841" s="1208"/>
      <c r="H1841" s="1208"/>
      <c r="I1841" s="1209"/>
      <c r="J1841" s="1209"/>
      <c r="K1841" s="1210">
        <f t="shared" si="270"/>
        <v>1.05</v>
      </c>
      <c r="L1841" s="1210">
        <f t="shared" si="271"/>
        <v>0</v>
      </c>
      <c r="M1841" s="1197">
        <f t="shared" si="272"/>
        <v>0</v>
      </c>
      <c r="N1841" s="1211">
        <f t="shared" si="273"/>
        <v>0</v>
      </c>
      <c r="O1841" s="1212"/>
      <c r="P1841" s="1200"/>
      <c r="Q1841" s="1200"/>
    </row>
    <row r="1842" spans="1:17" ht="15" thickTop="1" thickBot="1" x14ac:dyDescent="0.3">
      <c r="A1842" s="1207"/>
      <c r="B1842" s="1212"/>
      <c r="C1842" s="1212"/>
      <c r="D1842" s="1212"/>
      <c r="E1842" s="1212"/>
      <c r="F1842" s="1208"/>
      <c r="G1842" s="1208"/>
      <c r="H1842" s="1208"/>
      <c r="I1842" s="1209"/>
      <c r="J1842" s="1209"/>
      <c r="K1842" s="1210">
        <f t="shared" si="270"/>
        <v>1.05</v>
      </c>
      <c r="L1842" s="1210">
        <f t="shared" si="271"/>
        <v>0</v>
      </c>
      <c r="M1842" s="1197">
        <f t="shared" si="272"/>
        <v>0</v>
      </c>
      <c r="N1842" s="1211">
        <f t="shared" si="273"/>
        <v>0</v>
      </c>
      <c r="O1842" s="1212"/>
      <c r="P1842" s="1200"/>
      <c r="Q1842" s="1200"/>
    </row>
    <row r="1843" spans="1:17" ht="15" thickTop="1" thickBot="1" x14ac:dyDescent="0.3">
      <c r="A1843" s="1207"/>
      <c r="B1843" s="1212"/>
      <c r="C1843" s="1212"/>
      <c r="D1843" s="1212"/>
      <c r="E1843" s="1212"/>
      <c r="F1843" s="1208"/>
      <c r="G1843" s="1208"/>
      <c r="H1843" s="1208"/>
      <c r="I1843" s="1209"/>
      <c r="J1843" s="1209"/>
      <c r="K1843" s="1210">
        <f t="shared" si="270"/>
        <v>1.05</v>
      </c>
      <c r="L1843" s="1210">
        <f t="shared" si="271"/>
        <v>0</v>
      </c>
      <c r="M1843" s="1197">
        <f t="shared" si="272"/>
        <v>0</v>
      </c>
      <c r="N1843" s="1211">
        <f t="shared" si="273"/>
        <v>0</v>
      </c>
      <c r="O1843" s="1212"/>
      <c r="P1843" s="1200"/>
      <c r="Q1843" s="1200"/>
    </row>
    <row r="1844" spans="1:17" ht="15" thickTop="1" thickBot="1" x14ac:dyDescent="0.3">
      <c r="A1844" s="1207"/>
      <c r="B1844" s="1212"/>
      <c r="C1844" s="1212"/>
      <c r="D1844" s="1212"/>
      <c r="E1844" s="1212"/>
      <c r="F1844" s="1208"/>
      <c r="G1844" s="1208"/>
      <c r="H1844" s="1208"/>
      <c r="I1844" s="1209"/>
      <c r="J1844" s="1209"/>
      <c r="K1844" s="1210">
        <f t="shared" si="270"/>
        <v>1.05</v>
      </c>
      <c r="L1844" s="1210">
        <f t="shared" si="271"/>
        <v>0</v>
      </c>
      <c r="M1844" s="1197">
        <f t="shared" si="272"/>
        <v>0</v>
      </c>
      <c r="N1844" s="1211">
        <f t="shared" si="273"/>
        <v>0</v>
      </c>
      <c r="O1844" s="1212"/>
      <c r="P1844" s="1200"/>
      <c r="Q1844" s="1200"/>
    </row>
    <row r="1845" spans="1:17" ht="15" thickTop="1" thickBot="1" x14ac:dyDescent="0.3">
      <c r="A1845" s="1207"/>
      <c r="B1845" s="1212"/>
      <c r="C1845" s="1212"/>
      <c r="D1845" s="1212"/>
      <c r="E1845" s="1212"/>
      <c r="F1845" s="1208"/>
      <c r="G1845" s="1208"/>
      <c r="H1845" s="1208"/>
      <c r="I1845" s="1209"/>
      <c r="J1845" s="1209"/>
      <c r="K1845" s="1210">
        <f t="shared" si="270"/>
        <v>1.05</v>
      </c>
      <c r="L1845" s="1210">
        <f t="shared" si="271"/>
        <v>0</v>
      </c>
      <c r="M1845" s="1197">
        <f t="shared" si="272"/>
        <v>0</v>
      </c>
      <c r="N1845" s="1211">
        <f t="shared" si="273"/>
        <v>0</v>
      </c>
      <c r="O1845" s="1212"/>
      <c r="P1845" s="1200"/>
      <c r="Q1845" s="1200"/>
    </row>
    <row r="1846" spans="1:17" ht="15" thickTop="1" thickBot="1" x14ac:dyDescent="0.3">
      <c r="A1846" s="1207"/>
      <c r="B1846" s="1212"/>
      <c r="C1846" s="1212"/>
      <c r="D1846" s="1212"/>
      <c r="E1846" s="1212"/>
      <c r="F1846" s="1208"/>
      <c r="G1846" s="1208"/>
      <c r="H1846" s="1208"/>
      <c r="I1846" s="1209"/>
      <c r="J1846" s="1209"/>
      <c r="K1846" s="1210">
        <f t="shared" si="270"/>
        <v>1.05</v>
      </c>
      <c r="L1846" s="1210">
        <f t="shared" si="271"/>
        <v>0</v>
      </c>
      <c r="M1846" s="1197">
        <f t="shared" si="272"/>
        <v>0</v>
      </c>
      <c r="N1846" s="1211">
        <f t="shared" si="273"/>
        <v>0</v>
      </c>
      <c r="O1846" s="1212"/>
      <c r="P1846" s="1200"/>
      <c r="Q1846" s="1200"/>
    </row>
    <row r="1847" spans="1:17" ht="15" thickTop="1" thickBot="1" x14ac:dyDescent="0.3">
      <c r="A1847" s="1207"/>
      <c r="B1847" s="1212"/>
      <c r="C1847" s="1212"/>
      <c r="D1847" s="1212"/>
      <c r="E1847" s="1212"/>
      <c r="F1847" s="1208"/>
      <c r="G1847" s="1208"/>
      <c r="H1847" s="1208"/>
      <c r="I1847" s="1209"/>
      <c r="J1847" s="1209"/>
      <c r="K1847" s="1210">
        <f t="shared" si="270"/>
        <v>1.05</v>
      </c>
      <c r="L1847" s="1210">
        <f t="shared" si="271"/>
        <v>0</v>
      </c>
      <c r="M1847" s="1197">
        <f t="shared" si="272"/>
        <v>0</v>
      </c>
      <c r="N1847" s="1211">
        <f t="shared" si="273"/>
        <v>0</v>
      </c>
      <c r="O1847" s="1212"/>
      <c r="P1847" s="1200"/>
      <c r="Q1847" s="1200"/>
    </row>
    <row r="1848" spans="1:17" ht="15" thickTop="1" thickBot="1" x14ac:dyDescent="0.3">
      <c r="A1848" s="1207"/>
      <c r="B1848" s="1212"/>
      <c r="C1848" s="1212"/>
      <c r="D1848" s="1212"/>
      <c r="E1848" s="1212"/>
      <c r="F1848" s="1208"/>
      <c r="G1848" s="1208"/>
      <c r="H1848" s="1208"/>
      <c r="I1848" s="1209"/>
      <c r="J1848" s="1209"/>
      <c r="K1848" s="1210">
        <f t="shared" si="270"/>
        <v>1.05</v>
      </c>
      <c r="L1848" s="1210">
        <f t="shared" si="271"/>
        <v>0</v>
      </c>
      <c r="M1848" s="1197">
        <f t="shared" si="272"/>
        <v>0</v>
      </c>
      <c r="N1848" s="1211">
        <f t="shared" si="273"/>
        <v>0</v>
      </c>
      <c r="O1848" s="1212"/>
      <c r="P1848" s="1200"/>
      <c r="Q1848" s="1200"/>
    </row>
    <row r="1849" spans="1:17" ht="15" thickTop="1" thickBot="1" x14ac:dyDescent="0.3">
      <c r="A1849" s="1207"/>
      <c r="B1849" s="1212"/>
      <c r="C1849" s="1212"/>
      <c r="D1849" s="1212"/>
      <c r="E1849" s="1212"/>
      <c r="F1849" s="1208"/>
      <c r="G1849" s="1208"/>
      <c r="H1849" s="1208"/>
      <c r="I1849" s="1209"/>
      <c r="J1849" s="1209"/>
      <c r="K1849" s="1210">
        <f t="shared" si="270"/>
        <v>1.05</v>
      </c>
      <c r="L1849" s="1210">
        <f t="shared" si="271"/>
        <v>0</v>
      </c>
      <c r="M1849" s="1197">
        <f t="shared" si="272"/>
        <v>0</v>
      </c>
      <c r="N1849" s="1211">
        <f t="shared" si="273"/>
        <v>0</v>
      </c>
      <c r="O1849" s="1212"/>
      <c r="P1849" s="1200"/>
      <c r="Q1849" s="1200"/>
    </row>
    <row r="1850" spans="1:17" ht="15" thickTop="1" thickBot="1" x14ac:dyDescent="0.3">
      <c r="A1850" s="1207"/>
      <c r="B1850" s="1212"/>
      <c r="C1850" s="1212"/>
      <c r="D1850" s="1212"/>
      <c r="E1850" s="1212"/>
      <c r="F1850" s="1208"/>
      <c r="G1850" s="1208"/>
      <c r="H1850" s="1208"/>
      <c r="I1850" s="1209"/>
      <c r="J1850" s="1209"/>
      <c r="K1850" s="1210">
        <f t="shared" si="270"/>
        <v>1.05</v>
      </c>
      <c r="L1850" s="1210">
        <f t="shared" si="271"/>
        <v>0</v>
      </c>
      <c r="M1850" s="1197">
        <f t="shared" si="272"/>
        <v>0</v>
      </c>
      <c r="N1850" s="1211">
        <f t="shared" si="273"/>
        <v>0</v>
      </c>
      <c r="O1850" s="1212"/>
      <c r="P1850" s="1200"/>
      <c r="Q1850" s="1200"/>
    </row>
    <row r="1851" spans="1:17" ht="15" thickTop="1" thickBot="1" x14ac:dyDescent="0.3">
      <c r="A1851" s="1207"/>
      <c r="B1851" s="1212"/>
      <c r="C1851" s="1212"/>
      <c r="D1851" s="1212"/>
      <c r="E1851" s="1212"/>
      <c r="F1851" s="1208"/>
      <c r="G1851" s="1208"/>
      <c r="H1851" s="1208"/>
      <c r="I1851" s="1209"/>
      <c r="J1851" s="1209"/>
      <c r="K1851" s="1210">
        <f t="shared" si="270"/>
        <v>1.05</v>
      </c>
      <c r="L1851" s="1210">
        <f t="shared" si="271"/>
        <v>0</v>
      </c>
      <c r="M1851" s="1197">
        <f t="shared" si="272"/>
        <v>0</v>
      </c>
      <c r="N1851" s="1211">
        <f t="shared" si="273"/>
        <v>0</v>
      </c>
      <c r="O1851" s="1212"/>
      <c r="P1851" s="1200"/>
      <c r="Q1851" s="1200"/>
    </row>
    <row r="1852" spans="1:17" ht="15" thickTop="1" thickBot="1" x14ac:dyDescent="0.3">
      <c r="A1852" s="1207"/>
      <c r="B1852" s="1212"/>
      <c r="C1852" s="1212"/>
      <c r="D1852" s="1212"/>
      <c r="E1852" s="1212"/>
      <c r="F1852" s="1208"/>
      <c r="G1852" s="1208"/>
      <c r="H1852" s="1208"/>
      <c r="I1852" s="1209"/>
      <c r="J1852" s="1209"/>
      <c r="K1852" s="1210">
        <f t="shared" si="270"/>
        <v>1.05</v>
      </c>
      <c r="L1852" s="1210">
        <f t="shared" si="271"/>
        <v>0</v>
      </c>
      <c r="M1852" s="1197">
        <f t="shared" si="272"/>
        <v>0</v>
      </c>
      <c r="N1852" s="1211">
        <f t="shared" si="273"/>
        <v>0</v>
      </c>
      <c r="O1852" s="1212"/>
      <c r="P1852" s="1200"/>
      <c r="Q1852" s="1200"/>
    </row>
    <row r="1853" spans="1:17" ht="15" thickTop="1" thickBot="1" x14ac:dyDescent="0.3">
      <c r="A1853" s="1207"/>
      <c r="B1853" s="1212"/>
      <c r="C1853" s="1212"/>
      <c r="D1853" s="1212"/>
      <c r="E1853" s="1212"/>
      <c r="F1853" s="1208"/>
      <c r="G1853" s="1208"/>
      <c r="H1853" s="1208"/>
      <c r="I1853" s="1209"/>
      <c r="J1853" s="1209"/>
      <c r="K1853" s="1210">
        <f t="shared" si="270"/>
        <v>1.05</v>
      </c>
      <c r="L1853" s="1210">
        <f t="shared" si="271"/>
        <v>0</v>
      </c>
      <c r="M1853" s="1197">
        <f t="shared" si="272"/>
        <v>0</v>
      </c>
      <c r="N1853" s="1211">
        <f t="shared" si="273"/>
        <v>0</v>
      </c>
      <c r="O1853" s="1212"/>
      <c r="P1853" s="1200"/>
      <c r="Q1853" s="1200"/>
    </row>
    <row r="1854" spans="1:17" ht="15" thickTop="1" thickBot="1" x14ac:dyDescent="0.3">
      <c r="A1854" s="1207"/>
      <c r="B1854" s="1212"/>
      <c r="C1854" s="1212"/>
      <c r="D1854" s="1212"/>
      <c r="E1854" s="1212"/>
      <c r="F1854" s="1208"/>
      <c r="G1854" s="1208"/>
      <c r="H1854" s="1208"/>
      <c r="I1854" s="1209"/>
      <c r="J1854" s="1209"/>
      <c r="K1854" s="1210">
        <f t="shared" si="270"/>
        <v>1.05</v>
      </c>
      <c r="L1854" s="1210">
        <f t="shared" si="271"/>
        <v>0</v>
      </c>
      <c r="M1854" s="1197">
        <f t="shared" si="272"/>
        <v>0</v>
      </c>
      <c r="N1854" s="1211">
        <f t="shared" si="273"/>
        <v>0</v>
      </c>
      <c r="O1854" s="1212"/>
      <c r="P1854" s="1200"/>
      <c r="Q1854" s="1200"/>
    </row>
    <row r="1855" spans="1:17" ht="15" thickTop="1" thickBot="1" x14ac:dyDescent="0.3">
      <c r="A1855" s="1207"/>
      <c r="B1855" s="1212"/>
      <c r="C1855" s="1212"/>
      <c r="D1855" s="1212"/>
      <c r="E1855" s="1212"/>
      <c r="F1855" s="1208"/>
      <c r="G1855" s="1208"/>
      <c r="H1855" s="1208"/>
      <c r="I1855" s="1209"/>
      <c r="J1855" s="1209"/>
      <c r="K1855" s="1210">
        <f t="shared" si="270"/>
        <v>1.05</v>
      </c>
      <c r="L1855" s="1210">
        <f t="shared" si="271"/>
        <v>0</v>
      </c>
      <c r="M1855" s="1197">
        <f t="shared" si="272"/>
        <v>0</v>
      </c>
      <c r="N1855" s="1211">
        <f t="shared" si="273"/>
        <v>0</v>
      </c>
      <c r="O1855" s="1212"/>
      <c r="P1855" s="1200"/>
      <c r="Q1855" s="1200"/>
    </row>
    <row r="1856" spans="1:17" ht="15" thickTop="1" thickBot="1" x14ac:dyDescent="0.3">
      <c r="A1856" s="1207"/>
      <c r="B1856" s="1212"/>
      <c r="C1856" s="1212"/>
      <c r="D1856" s="1212"/>
      <c r="E1856" s="1212"/>
      <c r="F1856" s="1208"/>
      <c r="G1856" s="1208"/>
      <c r="H1856" s="1208"/>
      <c r="I1856" s="1209"/>
      <c r="J1856" s="1209"/>
      <c r="K1856" s="1210">
        <f t="shared" si="270"/>
        <v>1.05</v>
      </c>
      <c r="L1856" s="1210">
        <f t="shared" si="271"/>
        <v>0</v>
      </c>
      <c r="M1856" s="1197">
        <f t="shared" si="272"/>
        <v>0</v>
      </c>
      <c r="N1856" s="1211">
        <f t="shared" si="273"/>
        <v>0</v>
      </c>
      <c r="O1856" s="1212"/>
      <c r="P1856" s="1200"/>
      <c r="Q1856" s="1200"/>
    </row>
    <row r="1857" spans="1:17" ht="15" thickTop="1" thickBot="1" x14ac:dyDescent="0.3">
      <c r="A1857" s="1207"/>
      <c r="B1857" s="1212"/>
      <c r="C1857" s="1212"/>
      <c r="D1857" s="1212"/>
      <c r="E1857" s="1212"/>
      <c r="F1857" s="1208"/>
      <c r="G1857" s="1208"/>
      <c r="H1857" s="1208"/>
      <c r="I1857" s="1209"/>
      <c r="J1857" s="1209"/>
      <c r="K1857" s="1210">
        <f t="shared" si="270"/>
        <v>1.05</v>
      </c>
      <c r="L1857" s="1210">
        <f t="shared" si="271"/>
        <v>0</v>
      </c>
      <c r="M1857" s="1197">
        <f t="shared" si="272"/>
        <v>0</v>
      </c>
      <c r="N1857" s="1211">
        <f t="shared" si="273"/>
        <v>0</v>
      </c>
      <c r="O1857" s="1212"/>
      <c r="P1857" s="1200"/>
      <c r="Q1857" s="1200"/>
    </row>
    <row r="1858" spans="1:17" ht="15" thickTop="1" thickBot="1" x14ac:dyDescent="0.3">
      <c r="A1858" s="1207"/>
      <c r="B1858" s="1212"/>
      <c r="C1858" s="1212"/>
      <c r="D1858" s="1212"/>
      <c r="E1858" s="1212"/>
      <c r="F1858" s="1208"/>
      <c r="G1858" s="1208"/>
      <c r="H1858" s="1208"/>
      <c r="I1858" s="1209"/>
      <c r="J1858" s="1209"/>
      <c r="K1858" s="1210">
        <f t="shared" si="270"/>
        <v>1.05</v>
      </c>
      <c r="L1858" s="1210">
        <f t="shared" si="271"/>
        <v>0</v>
      </c>
      <c r="M1858" s="1197">
        <f t="shared" si="272"/>
        <v>0</v>
      </c>
      <c r="N1858" s="1211">
        <f t="shared" si="273"/>
        <v>0</v>
      </c>
      <c r="O1858" s="1212"/>
      <c r="P1858" s="1200"/>
      <c r="Q1858" s="1200"/>
    </row>
    <row r="1859" spans="1:17" ht="15" thickTop="1" thickBot="1" x14ac:dyDescent="0.3">
      <c r="A1859" s="1207"/>
      <c r="B1859" s="1212"/>
      <c r="C1859" s="1212"/>
      <c r="D1859" s="1212"/>
      <c r="E1859" s="1212"/>
      <c r="F1859" s="1208"/>
      <c r="G1859" s="1208"/>
      <c r="H1859" s="1208"/>
      <c r="I1859" s="1209"/>
      <c r="J1859" s="1209"/>
      <c r="K1859" s="1210">
        <f t="shared" si="270"/>
        <v>1.05</v>
      </c>
      <c r="L1859" s="1210">
        <f t="shared" si="271"/>
        <v>0</v>
      </c>
      <c r="M1859" s="1197">
        <f t="shared" si="272"/>
        <v>0</v>
      </c>
      <c r="N1859" s="1211">
        <f t="shared" si="273"/>
        <v>0</v>
      </c>
      <c r="O1859" s="1212"/>
      <c r="P1859" s="1200"/>
      <c r="Q1859" s="1200"/>
    </row>
    <row r="1860" spans="1:17" ht="15" thickTop="1" thickBot="1" x14ac:dyDescent="0.3">
      <c r="A1860" s="1207"/>
      <c r="B1860" s="1212"/>
      <c r="C1860" s="1212"/>
      <c r="D1860" s="1212"/>
      <c r="E1860" s="1212"/>
      <c r="F1860" s="1208"/>
      <c r="G1860" s="1208"/>
      <c r="H1860" s="1208"/>
      <c r="I1860" s="1209"/>
      <c r="J1860" s="1209"/>
      <c r="K1860" s="1210">
        <f t="shared" si="270"/>
        <v>1.05</v>
      </c>
      <c r="L1860" s="1210">
        <f t="shared" si="271"/>
        <v>0</v>
      </c>
      <c r="M1860" s="1197">
        <f t="shared" si="272"/>
        <v>0</v>
      </c>
      <c r="N1860" s="1211">
        <f t="shared" si="273"/>
        <v>0</v>
      </c>
      <c r="O1860" s="1212"/>
      <c r="P1860" s="1200"/>
      <c r="Q1860" s="1200"/>
    </row>
    <row r="1861" spans="1:17" ht="15" thickTop="1" thickBot="1" x14ac:dyDescent="0.3">
      <c r="A1861" s="1207"/>
      <c r="B1861" s="1212"/>
      <c r="C1861" s="1212"/>
      <c r="D1861" s="1212"/>
      <c r="E1861" s="1212"/>
      <c r="F1861" s="1208"/>
      <c r="G1861" s="1208"/>
      <c r="H1861" s="1208"/>
      <c r="I1861" s="1209"/>
      <c r="J1861" s="1209"/>
      <c r="K1861" s="1210">
        <f t="shared" si="270"/>
        <v>1.05</v>
      </c>
      <c r="L1861" s="1210">
        <f t="shared" si="271"/>
        <v>0</v>
      </c>
      <c r="M1861" s="1197">
        <f t="shared" si="272"/>
        <v>0</v>
      </c>
      <c r="N1861" s="1211">
        <f t="shared" si="273"/>
        <v>0</v>
      </c>
      <c r="O1861" s="1212"/>
      <c r="P1861" s="1200"/>
      <c r="Q1861" s="1200"/>
    </row>
    <row r="1862" spans="1:17" ht="15" thickTop="1" thickBot="1" x14ac:dyDescent="0.3">
      <c r="A1862" s="1207"/>
      <c r="B1862" s="1212"/>
      <c r="C1862" s="1212"/>
      <c r="D1862" s="1212"/>
      <c r="E1862" s="1212"/>
      <c r="F1862" s="1208"/>
      <c r="G1862" s="1208"/>
      <c r="H1862" s="1208"/>
      <c r="I1862" s="1209"/>
      <c r="J1862" s="1209"/>
      <c r="K1862" s="1210">
        <f t="shared" si="270"/>
        <v>1.05</v>
      </c>
      <c r="L1862" s="1210">
        <f t="shared" si="271"/>
        <v>0</v>
      </c>
      <c r="M1862" s="1197">
        <f t="shared" si="272"/>
        <v>0</v>
      </c>
      <c r="N1862" s="1211">
        <f t="shared" si="273"/>
        <v>0</v>
      </c>
      <c r="O1862" s="1212"/>
      <c r="P1862" s="1200"/>
      <c r="Q1862" s="1200"/>
    </row>
    <row r="1863" spans="1:17" ht="15" thickTop="1" thickBot="1" x14ac:dyDescent="0.3">
      <c r="A1863" s="1207"/>
      <c r="B1863" s="1212"/>
      <c r="C1863" s="1212"/>
      <c r="D1863" s="1212"/>
      <c r="E1863" s="1212"/>
      <c r="F1863" s="1208"/>
      <c r="G1863" s="1208"/>
      <c r="H1863" s="1208"/>
      <c r="I1863" s="1209"/>
      <c r="J1863" s="1209"/>
      <c r="K1863" s="1210">
        <f t="shared" si="270"/>
        <v>1.05</v>
      </c>
      <c r="L1863" s="1210">
        <f t="shared" si="271"/>
        <v>0</v>
      </c>
      <c r="M1863" s="1197">
        <f t="shared" si="272"/>
        <v>0</v>
      </c>
      <c r="N1863" s="1211">
        <f t="shared" si="273"/>
        <v>0</v>
      </c>
      <c r="O1863" s="1212"/>
      <c r="P1863" s="1200"/>
      <c r="Q1863" s="1200"/>
    </row>
    <row r="1864" spans="1:17" ht="15" thickTop="1" thickBot="1" x14ac:dyDescent="0.3">
      <c r="A1864" s="1207"/>
      <c r="B1864" s="1212"/>
      <c r="C1864" s="1212"/>
      <c r="D1864" s="1212"/>
      <c r="E1864" s="1212"/>
      <c r="F1864" s="1208"/>
      <c r="G1864" s="1208"/>
      <c r="H1864" s="1208"/>
      <c r="I1864" s="1209"/>
      <c r="J1864" s="1209"/>
      <c r="K1864" s="1210">
        <f t="shared" si="270"/>
        <v>1.05</v>
      </c>
      <c r="L1864" s="1210">
        <f t="shared" si="271"/>
        <v>0</v>
      </c>
      <c r="M1864" s="1197">
        <f t="shared" si="272"/>
        <v>0</v>
      </c>
      <c r="N1864" s="1211">
        <f t="shared" si="273"/>
        <v>0</v>
      </c>
      <c r="O1864" s="1212"/>
      <c r="P1864" s="1200"/>
      <c r="Q1864" s="1200"/>
    </row>
    <row r="1865" spans="1:17" ht="15" thickTop="1" thickBot="1" x14ac:dyDescent="0.3">
      <c r="A1865" s="1207"/>
      <c r="B1865" s="1212"/>
      <c r="C1865" s="1212"/>
      <c r="D1865" s="1212"/>
      <c r="E1865" s="1212"/>
      <c r="F1865" s="1208"/>
      <c r="G1865" s="1208"/>
      <c r="H1865" s="1208"/>
      <c r="I1865" s="1209"/>
      <c r="J1865" s="1209"/>
      <c r="K1865" s="1210">
        <f t="shared" si="270"/>
        <v>1.05</v>
      </c>
      <c r="L1865" s="1210">
        <f t="shared" si="271"/>
        <v>0</v>
      </c>
      <c r="M1865" s="1197">
        <f t="shared" si="272"/>
        <v>0</v>
      </c>
      <c r="N1865" s="1211">
        <f t="shared" si="273"/>
        <v>0</v>
      </c>
      <c r="O1865" s="1212"/>
      <c r="P1865" s="1200"/>
      <c r="Q1865" s="1200"/>
    </row>
    <row r="1866" spans="1:17" ht="15" thickTop="1" thickBot="1" x14ac:dyDescent="0.3">
      <c r="A1866" s="1207"/>
      <c r="B1866" s="1212"/>
      <c r="C1866" s="1212"/>
      <c r="D1866" s="1212"/>
      <c r="E1866" s="1212"/>
      <c r="F1866" s="1208"/>
      <c r="G1866" s="1208"/>
      <c r="H1866" s="1208"/>
      <c r="I1866" s="1209"/>
      <c r="J1866" s="1209"/>
      <c r="K1866" s="1210">
        <f t="shared" si="270"/>
        <v>1.05</v>
      </c>
      <c r="L1866" s="1210">
        <f t="shared" si="271"/>
        <v>0</v>
      </c>
      <c r="M1866" s="1197">
        <f t="shared" si="272"/>
        <v>0</v>
      </c>
      <c r="N1866" s="1211">
        <f t="shared" si="273"/>
        <v>0</v>
      </c>
      <c r="O1866" s="1212"/>
      <c r="P1866" s="1200"/>
      <c r="Q1866" s="1200"/>
    </row>
    <row r="1867" spans="1:17" ht="15" thickTop="1" thickBot="1" x14ac:dyDescent="0.3">
      <c r="A1867" s="1207"/>
      <c r="B1867" s="1212"/>
      <c r="C1867" s="1212"/>
      <c r="D1867" s="1212"/>
      <c r="E1867" s="1212"/>
      <c r="F1867" s="1208"/>
      <c r="G1867" s="1208"/>
      <c r="H1867" s="1208"/>
      <c r="I1867" s="1209"/>
      <c r="J1867" s="1209"/>
      <c r="K1867" s="1210">
        <f t="shared" ref="K1867:K1930" si="274">$K$2</f>
        <v>1.05</v>
      </c>
      <c r="L1867" s="1210">
        <f t="shared" si="271"/>
        <v>0</v>
      </c>
      <c r="M1867" s="1197">
        <f t="shared" si="272"/>
        <v>0</v>
      </c>
      <c r="N1867" s="1211">
        <f t="shared" si="273"/>
        <v>0</v>
      </c>
      <c r="O1867" s="1212"/>
      <c r="P1867" s="1200"/>
      <c r="Q1867" s="1200"/>
    </row>
    <row r="1868" spans="1:17" ht="15" thickTop="1" thickBot="1" x14ac:dyDescent="0.3">
      <c r="A1868" s="1207"/>
      <c r="B1868" s="1212"/>
      <c r="C1868" s="1212"/>
      <c r="D1868" s="1212"/>
      <c r="E1868" s="1212"/>
      <c r="F1868" s="1208"/>
      <c r="G1868" s="1208"/>
      <c r="H1868" s="1208"/>
      <c r="I1868" s="1209"/>
      <c r="J1868" s="1209"/>
      <c r="K1868" s="1210">
        <f t="shared" si="274"/>
        <v>1.05</v>
      </c>
      <c r="L1868" s="1210">
        <f t="shared" si="271"/>
        <v>0</v>
      </c>
      <c r="M1868" s="1197">
        <f t="shared" si="272"/>
        <v>0</v>
      </c>
      <c r="N1868" s="1211">
        <f t="shared" si="273"/>
        <v>0</v>
      </c>
      <c r="O1868" s="1212"/>
      <c r="P1868" s="1200"/>
      <c r="Q1868" s="1200"/>
    </row>
    <row r="1869" spans="1:17" ht="15" thickTop="1" thickBot="1" x14ac:dyDescent="0.3">
      <c r="A1869" s="1207"/>
      <c r="B1869" s="1212"/>
      <c r="C1869" s="1212"/>
      <c r="D1869" s="1212"/>
      <c r="E1869" s="1212"/>
      <c r="F1869" s="1208"/>
      <c r="G1869" s="1208"/>
      <c r="H1869" s="1208"/>
      <c r="I1869" s="1209"/>
      <c r="J1869" s="1209"/>
      <c r="K1869" s="1210">
        <f t="shared" si="274"/>
        <v>1.05</v>
      </c>
      <c r="L1869" s="1210">
        <f t="shared" si="271"/>
        <v>0</v>
      </c>
      <c r="M1869" s="1197">
        <f t="shared" si="272"/>
        <v>0</v>
      </c>
      <c r="N1869" s="1211">
        <f t="shared" si="273"/>
        <v>0</v>
      </c>
      <c r="O1869" s="1212"/>
      <c r="P1869" s="1200"/>
      <c r="Q1869" s="1200"/>
    </row>
    <row r="1870" spans="1:17" ht="15" thickTop="1" thickBot="1" x14ac:dyDescent="0.3">
      <c r="A1870" s="1207"/>
      <c r="B1870" s="1212"/>
      <c r="C1870" s="1212"/>
      <c r="D1870" s="1212"/>
      <c r="E1870" s="1212"/>
      <c r="F1870" s="1208"/>
      <c r="G1870" s="1208"/>
      <c r="H1870" s="1208"/>
      <c r="I1870" s="1209"/>
      <c r="J1870" s="1209"/>
      <c r="K1870" s="1210">
        <f t="shared" si="274"/>
        <v>1.05</v>
      </c>
      <c r="L1870" s="1210">
        <f t="shared" si="271"/>
        <v>0</v>
      </c>
      <c r="M1870" s="1197">
        <f t="shared" si="272"/>
        <v>0</v>
      </c>
      <c r="N1870" s="1211">
        <f t="shared" si="273"/>
        <v>0</v>
      </c>
      <c r="O1870" s="1212"/>
      <c r="P1870" s="1200"/>
      <c r="Q1870" s="1200"/>
    </row>
    <row r="1871" spans="1:17" ht="15" thickTop="1" thickBot="1" x14ac:dyDescent="0.3">
      <c r="A1871" s="1207"/>
      <c r="B1871" s="1212"/>
      <c r="C1871" s="1212"/>
      <c r="D1871" s="1212"/>
      <c r="E1871" s="1212"/>
      <c r="F1871" s="1208"/>
      <c r="G1871" s="1208"/>
      <c r="H1871" s="1208"/>
      <c r="I1871" s="1209"/>
      <c r="J1871" s="1209"/>
      <c r="K1871" s="1210">
        <f t="shared" si="274"/>
        <v>1.05</v>
      </c>
      <c r="L1871" s="1210">
        <f t="shared" si="271"/>
        <v>0</v>
      </c>
      <c r="M1871" s="1197">
        <f t="shared" si="272"/>
        <v>0</v>
      </c>
      <c r="N1871" s="1211">
        <f t="shared" si="273"/>
        <v>0</v>
      </c>
      <c r="O1871" s="1212"/>
      <c r="P1871" s="1200"/>
      <c r="Q1871" s="1200"/>
    </row>
    <row r="1872" spans="1:17" ht="15" thickTop="1" thickBot="1" x14ac:dyDescent="0.3">
      <c r="A1872" s="1207"/>
      <c r="B1872" s="1212"/>
      <c r="C1872" s="1212"/>
      <c r="D1872" s="1212"/>
      <c r="E1872" s="1212"/>
      <c r="F1872" s="1208"/>
      <c r="G1872" s="1208"/>
      <c r="H1872" s="1208"/>
      <c r="I1872" s="1209"/>
      <c r="J1872" s="1209"/>
      <c r="K1872" s="1210">
        <f t="shared" si="274"/>
        <v>1.05</v>
      </c>
      <c r="L1872" s="1210">
        <f t="shared" si="271"/>
        <v>0</v>
      </c>
      <c r="M1872" s="1197">
        <f t="shared" si="272"/>
        <v>0</v>
      </c>
      <c r="N1872" s="1211">
        <f t="shared" si="273"/>
        <v>0</v>
      </c>
      <c r="O1872" s="1212"/>
      <c r="P1872" s="1200"/>
      <c r="Q1872" s="1200"/>
    </row>
    <row r="1873" spans="1:17" ht="15" thickTop="1" thickBot="1" x14ac:dyDescent="0.3">
      <c r="A1873" s="1207"/>
      <c r="B1873" s="1212"/>
      <c r="C1873" s="1212"/>
      <c r="D1873" s="1212"/>
      <c r="E1873" s="1212"/>
      <c r="F1873" s="1208"/>
      <c r="G1873" s="1208"/>
      <c r="H1873" s="1208"/>
      <c r="I1873" s="1209"/>
      <c r="J1873" s="1209"/>
      <c r="K1873" s="1210">
        <f t="shared" si="274"/>
        <v>1.05</v>
      </c>
      <c r="L1873" s="1210">
        <f t="shared" si="271"/>
        <v>0</v>
      </c>
      <c r="M1873" s="1197">
        <f t="shared" si="272"/>
        <v>0</v>
      </c>
      <c r="N1873" s="1211">
        <f t="shared" si="273"/>
        <v>0</v>
      </c>
      <c r="O1873" s="1212"/>
      <c r="P1873" s="1200"/>
      <c r="Q1873" s="1200"/>
    </row>
    <row r="1874" spans="1:17" ht="15" thickTop="1" thickBot="1" x14ac:dyDescent="0.3">
      <c r="A1874" s="1207"/>
      <c r="B1874" s="1212"/>
      <c r="C1874" s="1212"/>
      <c r="D1874" s="1212"/>
      <c r="E1874" s="1212"/>
      <c r="F1874" s="1208"/>
      <c r="G1874" s="1208"/>
      <c r="H1874" s="1208"/>
      <c r="I1874" s="1209"/>
      <c r="J1874" s="1209"/>
      <c r="K1874" s="1210">
        <f t="shared" si="274"/>
        <v>1.05</v>
      </c>
      <c r="L1874" s="1210">
        <f t="shared" si="271"/>
        <v>0</v>
      </c>
      <c r="M1874" s="1197">
        <f t="shared" si="272"/>
        <v>0</v>
      </c>
      <c r="N1874" s="1211">
        <f t="shared" si="273"/>
        <v>0</v>
      </c>
      <c r="O1874" s="1212"/>
      <c r="P1874" s="1200"/>
      <c r="Q1874" s="1200"/>
    </row>
    <row r="1875" spans="1:17" ht="15" thickTop="1" thickBot="1" x14ac:dyDescent="0.3">
      <c r="A1875" s="1207"/>
      <c r="B1875" s="1212"/>
      <c r="C1875" s="1212"/>
      <c r="D1875" s="1212"/>
      <c r="E1875" s="1212"/>
      <c r="F1875" s="1208"/>
      <c r="G1875" s="1208"/>
      <c r="H1875" s="1208"/>
      <c r="I1875" s="1209"/>
      <c r="J1875" s="1209"/>
      <c r="K1875" s="1210">
        <f t="shared" si="274"/>
        <v>1.05</v>
      </c>
      <c r="L1875" s="1210">
        <f t="shared" si="271"/>
        <v>0</v>
      </c>
      <c r="M1875" s="1197">
        <f t="shared" si="272"/>
        <v>0</v>
      </c>
      <c r="N1875" s="1211">
        <f t="shared" si="273"/>
        <v>0</v>
      </c>
      <c r="O1875" s="1212"/>
      <c r="P1875" s="1200"/>
      <c r="Q1875" s="1200"/>
    </row>
    <row r="1876" spans="1:17" ht="15" thickTop="1" thickBot="1" x14ac:dyDescent="0.3">
      <c r="A1876" s="1207"/>
      <c r="B1876" s="1212"/>
      <c r="C1876" s="1212"/>
      <c r="D1876" s="1212"/>
      <c r="E1876" s="1212"/>
      <c r="F1876" s="1208"/>
      <c r="G1876" s="1208"/>
      <c r="H1876" s="1208"/>
      <c r="I1876" s="1209"/>
      <c r="J1876" s="1209"/>
      <c r="K1876" s="1210">
        <f t="shared" si="274"/>
        <v>1.05</v>
      </c>
      <c r="L1876" s="1210">
        <f t="shared" si="271"/>
        <v>0</v>
      </c>
      <c r="M1876" s="1197">
        <f t="shared" si="272"/>
        <v>0</v>
      </c>
      <c r="N1876" s="1211">
        <f t="shared" si="273"/>
        <v>0</v>
      </c>
      <c r="O1876" s="1212"/>
      <c r="P1876" s="1200"/>
      <c r="Q1876" s="1200"/>
    </row>
    <row r="1877" spans="1:17" ht="15" thickTop="1" thickBot="1" x14ac:dyDescent="0.3">
      <c r="A1877" s="1207"/>
      <c r="B1877" s="1212"/>
      <c r="C1877" s="1212"/>
      <c r="D1877" s="1212"/>
      <c r="E1877" s="1212"/>
      <c r="F1877" s="1208"/>
      <c r="G1877" s="1208"/>
      <c r="H1877" s="1208"/>
      <c r="I1877" s="1209"/>
      <c r="J1877" s="1209"/>
      <c r="K1877" s="1210">
        <f t="shared" si="274"/>
        <v>1.05</v>
      </c>
      <c r="L1877" s="1210">
        <f t="shared" si="271"/>
        <v>0</v>
      </c>
      <c r="M1877" s="1197">
        <f t="shared" si="272"/>
        <v>0</v>
      </c>
      <c r="N1877" s="1211">
        <f t="shared" si="273"/>
        <v>0</v>
      </c>
      <c r="O1877" s="1212"/>
      <c r="P1877" s="1200"/>
      <c r="Q1877" s="1200"/>
    </row>
    <row r="1878" spans="1:17" ht="15" thickTop="1" thickBot="1" x14ac:dyDescent="0.3">
      <c r="A1878" s="1207"/>
      <c r="B1878" s="1212"/>
      <c r="C1878" s="1212"/>
      <c r="D1878" s="1212"/>
      <c r="E1878" s="1212"/>
      <c r="F1878" s="1208"/>
      <c r="G1878" s="1208"/>
      <c r="H1878" s="1208"/>
      <c r="I1878" s="1209"/>
      <c r="J1878" s="1209"/>
      <c r="K1878" s="1210">
        <f t="shared" si="274"/>
        <v>1.05</v>
      </c>
      <c r="L1878" s="1210">
        <f t="shared" si="271"/>
        <v>0</v>
      </c>
      <c r="M1878" s="1197">
        <f t="shared" si="272"/>
        <v>0</v>
      </c>
      <c r="N1878" s="1211">
        <f t="shared" si="273"/>
        <v>0</v>
      </c>
      <c r="O1878" s="1212"/>
      <c r="P1878" s="1200"/>
      <c r="Q1878" s="1200"/>
    </row>
    <row r="1879" spans="1:17" ht="15" thickTop="1" thickBot="1" x14ac:dyDescent="0.3">
      <c r="A1879" s="1207"/>
      <c r="B1879" s="1212"/>
      <c r="C1879" s="1212"/>
      <c r="D1879" s="1212"/>
      <c r="E1879" s="1212"/>
      <c r="F1879" s="1208"/>
      <c r="G1879" s="1208"/>
      <c r="H1879" s="1208"/>
      <c r="I1879" s="1209"/>
      <c r="J1879" s="1209"/>
      <c r="K1879" s="1210">
        <f t="shared" si="274"/>
        <v>1.05</v>
      </c>
      <c r="L1879" s="1210">
        <f t="shared" si="271"/>
        <v>0</v>
      </c>
      <c r="M1879" s="1197">
        <f t="shared" si="272"/>
        <v>0</v>
      </c>
      <c r="N1879" s="1211">
        <f t="shared" si="273"/>
        <v>0</v>
      </c>
      <c r="O1879" s="1212"/>
      <c r="P1879" s="1200"/>
      <c r="Q1879" s="1200"/>
    </row>
    <row r="1880" spans="1:17" ht="15" thickTop="1" thickBot="1" x14ac:dyDescent="0.3">
      <c r="A1880" s="1207"/>
      <c r="B1880" s="1212"/>
      <c r="C1880" s="1212"/>
      <c r="D1880" s="1212"/>
      <c r="E1880" s="1212"/>
      <c r="F1880" s="1208"/>
      <c r="G1880" s="1208"/>
      <c r="H1880" s="1208"/>
      <c r="I1880" s="1209"/>
      <c r="J1880" s="1209"/>
      <c r="K1880" s="1210">
        <f t="shared" si="274"/>
        <v>1.05</v>
      </c>
      <c r="L1880" s="1210">
        <f t="shared" si="271"/>
        <v>0</v>
      </c>
      <c r="M1880" s="1197">
        <f t="shared" si="272"/>
        <v>0</v>
      </c>
      <c r="N1880" s="1211">
        <f t="shared" si="273"/>
        <v>0</v>
      </c>
      <c r="O1880" s="1212"/>
      <c r="P1880" s="1200"/>
      <c r="Q1880" s="1200"/>
    </row>
    <row r="1881" spans="1:17" ht="15" thickTop="1" thickBot="1" x14ac:dyDescent="0.3">
      <c r="A1881" s="1207"/>
      <c r="B1881" s="1212"/>
      <c r="C1881" s="1212"/>
      <c r="D1881" s="1212"/>
      <c r="E1881" s="1212"/>
      <c r="F1881" s="1208"/>
      <c r="G1881" s="1208"/>
      <c r="H1881" s="1208"/>
      <c r="I1881" s="1209"/>
      <c r="J1881" s="1209"/>
      <c r="K1881" s="1210">
        <f t="shared" si="274"/>
        <v>1.05</v>
      </c>
      <c r="L1881" s="1210">
        <f t="shared" si="271"/>
        <v>0</v>
      </c>
      <c r="M1881" s="1197">
        <f t="shared" si="272"/>
        <v>0</v>
      </c>
      <c r="N1881" s="1211">
        <f t="shared" si="273"/>
        <v>0</v>
      </c>
      <c r="O1881" s="1212"/>
      <c r="P1881" s="1200"/>
      <c r="Q1881" s="1200"/>
    </row>
    <row r="1882" spans="1:17" ht="15" thickTop="1" thickBot="1" x14ac:dyDescent="0.3">
      <c r="A1882" s="1207"/>
      <c r="B1882" s="1212"/>
      <c r="C1882" s="1212"/>
      <c r="D1882" s="1212"/>
      <c r="E1882" s="1212"/>
      <c r="F1882" s="1208"/>
      <c r="G1882" s="1208"/>
      <c r="H1882" s="1208"/>
      <c r="I1882" s="1209"/>
      <c r="J1882" s="1209"/>
      <c r="K1882" s="1210">
        <f t="shared" si="274"/>
        <v>1.05</v>
      </c>
      <c r="L1882" s="1210">
        <f t="shared" si="271"/>
        <v>0</v>
      </c>
      <c r="M1882" s="1197">
        <f t="shared" si="272"/>
        <v>0</v>
      </c>
      <c r="N1882" s="1211">
        <f t="shared" si="273"/>
        <v>0</v>
      </c>
      <c r="O1882" s="1212"/>
      <c r="P1882" s="1200"/>
      <c r="Q1882" s="1200"/>
    </row>
    <row r="1883" spans="1:17" ht="15" thickTop="1" thickBot="1" x14ac:dyDescent="0.3">
      <c r="A1883" s="1207"/>
      <c r="B1883" s="1212"/>
      <c r="C1883" s="1212"/>
      <c r="D1883" s="1212"/>
      <c r="E1883" s="1212"/>
      <c r="F1883" s="1208"/>
      <c r="G1883" s="1208"/>
      <c r="H1883" s="1208"/>
      <c r="I1883" s="1209"/>
      <c r="J1883" s="1209"/>
      <c r="K1883" s="1210">
        <f t="shared" si="274"/>
        <v>1.05</v>
      </c>
      <c r="L1883" s="1210">
        <f t="shared" si="271"/>
        <v>0</v>
      </c>
      <c r="M1883" s="1197">
        <f t="shared" si="272"/>
        <v>0</v>
      </c>
      <c r="N1883" s="1211">
        <f t="shared" si="273"/>
        <v>0</v>
      </c>
      <c r="O1883" s="1212"/>
      <c r="P1883" s="1200"/>
      <c r="Q1883" s="1200"/>
    </row>
    <row r="1884" spans="1:17" ht="15" thickTop="1" thickBot="1" x14ac:dyDescent="0.3">
      <c r="A1884" s="1207"/>
      <c r="B1884" s="1212"/>
      <c r="C1884" s="1212"/>
      <c r="D1884" s="1212"/>
      <c r="E1884" s="1212"/>
      <c r="F1884" s="1208"/>
      <c r="G1884" s="1208"/>
      <c r="H1884" s="1208"/>
      <c r="I1884" s="1209"/>
      <c r="J1884" s="1209"/>
      <c r="K1884" s="1210">
        <f t="shared" si="274"/>
        <v>1.05</v>
      </c>
      <c r="L1884" s="1210">
        <f t="shared" si="271"/>
        <v>0</v>
      </c>
      <c r="M1884" s="1197">
        <f t="shared" si="272"/>
        <v>0</v>
      </c>
      <c r="N1884" s="1211">
        <f t="shared" si="273"/>
        <v>0</v>
      </c>
      <c r="O1884" s="1212"/>
      <c r="P1884" s="1200"/>
      <c r="Q1884" s="1200"/>
    </row>
    <row r="1885" spans="1:17" ht="15" thickTop="1" thickBot="1" x14ac:dyDescent="0.3">
      <c r="A1885" s="1207"/>
      <c r="B1885" s="1212"/>
      <c r="C1885" s="1212"/>
      <c r="D1885" s="1212"/>
      <c r="E1885" s="1212"/>
      <c r="F1885" s="1208"/>
      <c r="G1885" s="1208"/>
      <c r="H1885" s="1208"/>
      <c r="I1885" s="1209"/>
      <c r="J1885" s="1209"/>
      <c r="K1885" s="1210">
        <f t="shared" si="274"/>
        <v>1.05</v>
      </c>
      <c r="L1885" s="1210">
        <f t="shared" si="271"/>
        <v>0</v>
      </c>
      <c r="M1885" s="1197">
        <f t="shared" si="272"/>
        <v>0</v>
      </c>
      <c r="N1885" s="1211">
        <f t="shared" si="273"/>
        <v>0</v>
      </c>
      <c r="O1885" s="1212"/>
      <c r="P1885" s="1200"/>
      <c r="Q1885" s="1200"/>
    </row>
    <row r="1886" spans="1:17" ht="15" thickTop="1" thickBot="1" x14ac:dyDescent="0.3">
      <c r="A1886" s="1207"/>
      <c r="B1886" s="1212"/>
      <c r="C1886" s="1212"/>
      <c r="D1886" s="1212"/>
      <c r="E1886" s="1212"/>
      <c r="F1886" s="1208"/>
      <c r="G1886" s="1208"/>
      <c r="H1886" s="1208"/>
      <c r="I1886" s="1209"/>
      <c r="J1886" s="1209"/>
      <c r="K1886" s="1210">
        <f t="shared" si="274"/>
        <v>1.05</v>
      </c>
      <c r="L1886" s="1210">
        <f t="shared" si="271"/>
        <v>0</v>
      </c>
      <c r="M1886" s="1197">
        <f t="shared" si="272"/>
        <v>0</v>
      </c>
      <c r="N1886" s="1211">
        <f t="shared" si="273"/>
        <v>0</v>
      </c>
      <c r="O1886" s="1212"/>
      <c r="P1886" s="1200"/>
      <c r="Q1886" s="1200"/>
    </row>
    <row r="1887" spans="1:17" ht="15" thickTop="1" thickBot="1" x14ac:dyDescent="0.3">
      <c r="A1887" s="1207"/>
      <c r="B1887" s="1212"/>
      <c r="C1887" s="1212"/>
      <c r="D1887" s="1212"/>
      <c r="E1887" s="1212"/>
      <c r="F1887" s="1208"/>
      <c r="G1887" s="1208"/>
      <c r="H1887" s="1208"/>
      <c r="I1887" s="1209"/>
      <c r="J1887" s="1209"/>
      <c r="K1887" s="1210">
        <f t="shared" si="274"/>
        <v>1.05</v>
      </c>
      <c r="L1887" s="1210">
        <f t="shared" si="271"/>
        <v>0</v>
      </c>
      <c r="M1887" s="1197">
        <f t="shared" si="272"/>
        <v>0</v>
      </c>
      <c r="N1887" s="1211">
        <f t="shared" si="273"/>
        <v>0</v>
      </c>
      <c r="O1887" s="1212"/>
      <c r="P1887" s="1200"/>
      <c r="Q1887" s="1200"/>
    </row>
    <row r="1888" spans="1:17" ht="15" thickTop="1" thickBot="1" x14ac:dyDescent="0.3">
      <c r="A1888" s="1207"/>
      <c r="B1888" s="1212"/>
      <c r="C1888" s="1212"/>
      <c r="D1888" s="1212"/>
      <c r="E1888" s="1212"/>
      <c r="F1888" s="1208"/>
      <c r="G1888" s="1208"/>
      <c r="H1888" s="1208"/>
      <c r="I1888" s="1209"/>
      <c r="J1888" s="1209"/>
      <c r="K1888" s="1210">
        <f t="shared" si="274"/>
        <v>1.05</v>
      </c>
      <c r="L1888" s="1210">
        <f t="shared" si="271"/>
        <v>0</v>
      </c>
      <c r="M1888" s="1197">
        <f t="shared" si="272"/>
        <v>0</v>
      </c>
      <c r="N1888" s="1211">
        <f t="shared" si="273"/>
        <v>0</v>
      </c>
      <c r="O1888" s="1212"/>
      <c r="P1888" s="1200"/>
      <c r="Q1888" s="1200"/>
    </row>
    <row r="1889" spans="1:17" ht="15" thickTop="1" thickBot="1" x14ac:dyDescent="0.3">
      <c r="A1889" s="1207"/>
      <c r="B1889" s="1212"/>
      <c r="C1889" s="1212"/>
      <c r="D1889" s="1212"/>
      <c r="E1889" s="1212"/>
      <c r="F1889" s="1208"/>
      <c r="G1889" s="1208"/>
      <c r="H1889" s="1208"/>
      <c r="I1889" s="1209"/>
      <c r="J1889" s="1209"/>
      <c r="K1889" s="1210">
        <f t="shared" si="274"/>
        <v>1.05</v>
      </c>
      <c r="L1889" s="1210">
        <f t="shared" si="271"/>
        <v>0</v>
      </c>
      <c r="M1889" s="1197">
        <f t="shared" si="272"/>
        <v>0</v>
      </c>
      <c r="N1889" s="1211">
        <f t="shared" si="273"/>
        <v>0</v>
      </c>
      <c r="O1889" s="1212"/>
      <c r="P1889" s="1200"/>
      <c r="Q1889" s="1200"/>
    </row>
    <row r="1890" spans="1:17" ht="15" thickTop="1" thickBot="1" x14ac:dyDescent="0.3">
      <c r="A1890" s="1207"/>
      <c r="B1890" s="1212"/>
      <c r="C1890" s="1212"/>
      <c r="D1890" s="1212"/>
      <c r="E1890" s="1212"/>
      <c r="F1890" s="1208"/>
      <c r="G1890" s="1208"/>
      <c r="H1890" s="1208"/>
      <c r="I1890" s="1209"/>
      <c r="J1890" s="1209"/>
      <c r="K1890" s="1210">
        <f t="shared" si="274"/>
        <v>1.05</v>
      </c>
      <c r="L1890" s="1210">
        <f t="shared" si="271"/>
        <v>0</v>
      </c>
      <c r="M1890" s="1197">
        <f t="shared" si="272"/>
        <v>0</v>
      </c>
      <c r="N1890" s="1211">
        <f t="shared" si="273"/>
        <v>0</v>
      </c>
      <c r="O1890" s="1212"/>
      <c r="P1890" s="1200"/>
      <c r="Q1890" s="1200"/>
    </row>
    <row r="1891" spans="1:17" ht="15" thickTop="1" thickBot="1" x14ac:dyDescent="0.3">
      <c r="A1891" s="1207"/>
      <c r="B1891" s="1212"/>
      <c r="C1891" s="1212"/>
      <c r="D1891" s="1212"/>
      <c r="E1891" s="1212"/>
      <c r="F1891" s="1208"/>
      <c r="G1891" s="1208"/>
      <c r="H1891" s="1208"/>
      <c r="I1891" s="1209"/>
      <c r="J1891" s="1209"/>
      <c r="K1891" s="1210">
        <f t="shared" si="274"/>
        <v>1.05</v>
      </c>
      <c r="L1891" s="1210">
        <f t="shared" si="271"/>
        <v>0</v>
      </c>
      <c r="M1891" s="1197">
        <f t="shared" si="272"/>
        <v>0</v>
      </c>
      <c r="N1891" s="1211">
        <f t="shared" si="273"/>
        <v>0</v>
      </c>
      <c r="O1891" s="1212"/>
      <c r="P1891" s="1200"/>
      <c r="Q1891" s="1200"/>
    </row>
    <row r="1892" spans="1:17" ht="15" thickTop="1" thickBot="1" x14ac:dyDescent="0.3">
      <c r="A1892" s="1207"/>
      <c r="B1892" s="1212"/>
      <c r="C1892" s="1212"/>
      <c r="D1892" s="1212"/>
      <c r="E1892" s="1212"/>
      <c r="F1892" s="1208"/>
      <c r="G1892" s="1208"/>
      <c r="H1892" s="1208"/>
      <c r="I1892" s="1209"/>
      <c r="J1892" s="1209"/>
      <c r="K1892" s="1210">
        <f t="shared" si="274"/>
        <v>1.05</v>
      </c>
      <c r="L1892" s="1210">
        <f t="shared" si="271"/>
        <v>0</v>
      </c>
      <c r="M1892" s="1197">
        <f t="shared" si="272"/>
        <v>0</v>
      </c>
      <c r="N1892" s="1211">
        <f t="shared" si="273"/>
        <v>0</v>
      </c>
      <c r="O1892" s="1212"/>
      <c r="P1892" s="1200"/>
      <c r="Q1892" s="1200"/>
    </row>
    <row r="1893" spans="1:17" ht="15" thickTop="1" thickBot="1" x14ac:dyDescent="0.3">
      <c r="A1893" s="1207"/>
      <c r="B1893" s="1212"/>
      <c r="C1893" s="1212"/>
      <c r="D1893" s="1212"/>
      <c r="E1893" s="1212"/>
      <c r="F1893" s="1208"/>
      <c r="G1893" s="1208"/>
      <c r="H1893" s="1208"/>
      <c r="I1893" s="1209"/>
      <c r="J1893" s="1209"/>
      <c r="K1893" s="1210">
        <f t="shared" si="274"/>
        <v>1.05</v>
      </c>
      <c r="L1893" s="1210">
        <f t="shared" si="271"/>
        <v>0</v>
      </c>
      <c r="M1893" s="1197">
        <f t="shared" si="272"/>
        <v>0</v>
      </c>
      <c r="N1893" s="1211">
        <f t="shared" si="273"/>
        <v>0</v>
      </c>
      <c r="O1893" s="1212"/>
      <c r="P1893" s="1200"/>
      <c r="Q1893" s="1200"/>
    </row>
    <row r="1894" spans="1:17" ht="15" thickTop="1" thickBot="1" x14ac:dyDescent="0.3">
      <c r="A1894" s="1207"/>
      <c r="B1894" s="1212"/>
      <c r="C1894" s="1212"/>
      <c r="D1894" s="1212"/>
      <c r="E1894" s="1212"/>
      <c r="F1894" s="1208"/>
      <c r="G1894" s="1208"/>
      <c r="H1894" s="1208"/>
      <c r="I1894" s="1209"/>
      <c r="J1894" s="1209"/>
      <c r="K1894" s="1210">
        <f t="shared" si="274"/>
        <v>1.05</v>
      </c>
      <c r="L1894" s="1210">
        <f t="shared" si="271"/>
        <v>0</v>
      </c>
      <c r="M1894" s="1197">
        <f t="shared" si="272"/>
        <v>0</v>
      </c>
      <c r="N1894" s="1211">
        <f t="shared" si="273"/>
        <v>0</v>
      </c>
      <c r="O1894" s="1212"/>
      <c r="P1894" s="1200"/>
      <c r="Q1894" s="1200"/>
    </row>
    <row r="1895" spans="1:17" ht="15" thickTop="1" thickBot="1" x14ac:dyDescent="0.3">
      <c r="A1895" s="1207"/>
      <c r="B1895" s="1212"/>
      <c r="C1895" s="1212"/>
      <c r="D1895" s="1212"/>
      <c r="E1895" s="1212"/>
      <c r="F1895" s="1208"/>
      <c r="G1895" s="1208"/>
      <c r="H1895" s="1208"/>
      <c r="I1895" s="1209"/>
      <c r="J1895" s="1209"/>
      <c r="K1895" s="1210">
        <f t="shared" si="274"/>
        <v>1.05</v>
      </c>
      <c r="L1895" s="1210">
        <f t="shared" si="271"/>
        <v>0</v>
      </c>
      <c r="M1895" s="1197">
        <f t="shared" si="272"/>
        <v>0</v>
      </c>
      <c r="N1895" s="1211">
        <f t="shared" si="273"/>
        <v>0</v>
      </c>
      <c r="O1895" s="1212"/>
      <c r="P1895" s="1200"/>
      <c r="Q1895" s="1200"/>
    </row>
    <row r="1896" spans="1:17" ht="15" thickTop="1" thickBot="1" x14ac:dyDescent="0.3">
      <c r="A1896" s="1207"/>
      <c r="B1896" s="1212"/>
      <c r="C1896" s="1212"/>
      <c r="D1896" s="1212"/>
      <c r="E1896" s="1212"/>
      <c r="F1896" s="1208"/>
      <c r="G1896" s="1208"/>
      <c r="H1896" s="1208"/>
      <c r="I1896" s="1209"/>
      <c r="J1896" s="1209"/>
      <c r="K1896" s="1210">
        <f t="shared" si="274"/>
        <v>1.05</v>
      </c>
      <c r="L1896" s="1210">
        <f t="shared" si="271"/>
        <v>0</v>
      </c>
      <c r="M1896" s="1197">
        <f t="shared" si="272"/>
        <v>0</v>
      </c>
      <c r="N1896" s="1211">
        <f t="shared" si="273"/>
        <v>0</v>
      </c>
      <c r="O1896" s="1212"/>
      <c r="P1896" s="1200"/>
      <c r="Q1896" s="1200"/>
    </row>
    <row r="1897" spans="1:17" ht="15" thickTop="1" thickBot="1" x14ac:dyDescent="0.3">
      <c r="A1897" s="1207"/>
      <c r="B1897" s="1212"/>
      <c r="C1897" s="1212"/>
      <c r="D1897" s="1212"/>
      <c r="E1897" s="1212"/>
      <c r="F1897" s="1208"/>
      <c r="G1897" s="1208"/>
      <c r="H1897" s="1208"/>
      <c r="I1897" s="1209"/>
      <c r="J1897" s="1209"/>
      <c r="K1897" s="1210">
        <f t="shared" si="274"/>
        <v>1.05</v>
      </c>
      <c r="L1897" s="1210">
        <f t="shared" si="271"/>
        <v>0</v>
      </c>
      <c r="M1897" s="1197">
        <f t="shared" si="272"/>
        <v>0</v>
      </c>
      <c r="N1897" s="1211">
        <f t="shared" si="273"/>
        <v>0</v>
      </c>
      <c r="O1897" s="1212"/>
      <c r="P1897" s="1200"/>
      <c r="Q1897" s="1200"/>
    </row>
    <row r="1898" spans="1:17" ht="15" thickTop="1" thickBot="1" x14ac:dyDescent="0.3">
      <c r="A1898" s="1207"/>
      <c r="B1898" s="1212"/>
      <c r="C1898" s="1212"/>
      <c r="D1898" s="1212"/>
      <c r="E1898" s="1212"/>
      <c r="F1898" s="1208"/>
      <c r="G1898" s="1208"/>
      <c r="H1898" s="1208"/>
      <c r="I1898" s="1209"/>
      <c r="J1898" s="1209"/>
      <c r="K1898" s="1210">
        <f t="shared" si="274"/>
        <v>1.05</v>
      </c>
      <c r="L1898" s="1210">
        <f t="shared" ref="L1898:L1961" si="275">K1898*J1898</f>
        <v>0</v>
      </c>
      <c r="M1898" s="1197">
        <f t="shared" ref="M1898:M1961" si="276">ROUND(L1898,1)</f>
        <v>0</v>
      </c>
      <c r="N1898" s="1211">
        <f t="shared" ref="N1898:N1961" si="277">ROUNDUP(M1898,0)</f>
        <v>0</v>
      </c>
      <c r="O1898" s="1212"/>
      <c r="P1898" s="1200"/>
      <c r="Q1898" s="1200"/>
    </row>
    <row r="1899" spans="1:17" ht="15" thickTop="1" thickBot="1" x14ac:dyDescent="0.3">
      <c r="A1899" s="1207"/>
      <c r="B1899" s="1212"/>
      <c r="C1899" s="1212"/>
      <c r="D1899" s="1212"/>
      <c r="E1899" s="1212"/>
      <c r="F1899" s="1208"/>
      <c r="G1899" s="1208"/>
      <c r="H1899" s="1208"/>
      <c r="I1899" s="1209"/>
      <c r="J1899" s="1209"/>
      <c r="K1899" s="1210">
        <f t="shared" si="274"/>
        <v>1.05</v>
      </c>
      <c r="L1899" s="1210">
        <f t="shared" si="275"/>
        <v>0</v>
      </c>
      <c r="M1899" s="1197">
        <f t="shared" si="276"/>
        <v>0</v>
      </c>
      <c r="N1899" s="1211">
        <f t="shared" si="277"/>
        <v>0</v>
      </c>
      <c r="O1899" s="1212"/>
      <c r="P1899" s="1200"/>
      <c r="Q1899" s="1200"/>
    </row>
    <row r="1900" spans="1:17" ht="15" thickTop="1" thickBot="1" x14ac:dyDescent="0.3">
      <c r="A1900" s="1207"/>
      <c r="B1900" s="1212"/>
      <c r="C1900" s="1212"/>
      <c r="D1900" s="1212"/>
      <c r="E1900" s="1212"/>
      <c r="F1900" s="1208"/>
      <c r="G1900" s="1208"/>
      <c r="H1900" s="1208"/>
      <c r="I1900" s="1209"/>
      <c r="J1900" s="1209"/>
      <c r="K1900" s="1210">
        <f t="shared" si="274"/>
        <v>1.05</v>
      </c>
      <c r="L1900" s="1210">
        <f t="shared" si="275"/>
        <v>0</v>
      </c>
      <c r="M1900" s="1197">
        <f t="shared" si="276"/>
        <v>0</v>
      </c>
      <c r="N1900" s="1211">
        <f t="shared" si="277"/>
        <v>0</v>
      </c>
      <c r="O1900" s="1212"/>
      <c r="P1900" s="1200"/>
      <c r="Q1900" s="1200"/>
    </row>
    <row r="1901" spans="1:17" ht="15" thickTop="1" thickBot="1" x14ac:dyDescent="0.3">
      <c r="A1901" s="1207"/>
      <c r="B1901" s="1212"/>
      <c r="C1901" s="1212"/>
      <c r="D1901" s="1212"/>
      <c r="E1901" s="1212"/>
      <c r="F1901" s="1208"/>
      <c r="G1901" s="1208"/>
      <c r="H1901" s="1208"/>
      <c r="I1901" s="1209"/>
      <c r="J1901" s="1209"/>
      <c r="K1901" s="1210">
        <f t="shared" si="274"/>
        <v>1.05</v>
      </c>
      <c r="L1901" s="1210">
        <f t="shared" si="275"/>
        <v>0</v>
      </c>
      <c r="M1901" s="1197">
        <f t="shared" si="276"/>
        <v>0</v>
      </c>
      <c r="N1901" s="1211">
        <f t="shared" si="277"/>
        <v>0</v>
      </c>
      <c r="O1901" s="1212"/>
      <c r="P1901" s="1200"/>
      <c r="Q1901" s="1200"/>
    </row>
    <row r="1902" spans="1:17" ht="15" thickTop="1" thickBot="1" x14ac:dyDescent="0.3">
      <c r="A1902" s="1207"/>
      <c r="B1902" s="1212"/>
      <c r="C1902" s="1212"/>
      <c r="D1902" s="1212"/>
      <c r="E1902" s="1212"/>
      <c r="F1902" s="1208"/>
      <c r="G1902" s="1208"/>
      <c r="H1902" s="1208"/>
      <c r="I1902" s="1209"/>
      <c r="J1902" s="1209"/>
      <c r="K1902" s="1210">
        <f t="shared" si="274"/>
        <v>1.05</v>
      </c>
      <c r="L1902" s="1210">
        <f t="shared" si="275"/>
        <v>0</v>
      </c>
      <c r="M1902" s="1197">
        <f t="shared" si="276"/>
        <v>0</v>
      </c>
      <c r="N1902" s="1211">
        <f t="shared" si="277"/>
        <v>0</v>
      </c>
      <c r="O1902" s="1212"/>
      <c r="P1902" s="1200"/>
      <c r="Q1902" s="1200"/>
    </row>
    <row r="1903" spans="1:17" ht="15" thickTop="1" thickBot="1" x14ac:dyDescent="0.3">
      <c r="A1903" s="1207"/>
      <c r="B1903" s="1212"/>
      <c r="C1903" s="1212"/>
      <c r="D1903" s="1212"/>
      <c r="E1903" s="1212"/>
      <c r="F1903" s="1208"/>
      <c r="G1903" s="1208"/>
      <c r="H1903" s="1208"/>
      <c r="I1903" s="1209"/>
      <c r="J1903" s="1209"/>
      <c r="K1903" s="1210">
        <f t="shared" si="274"/>
        <v>1.05</v>
      </c>
      <c r="L1903" s="1210">
        <f t="shared" si="275"/>
        <v>0</v>
      </c>
      <c r="M1903" s="1197">
        <f t="shared" si="276"/>
        <v>0</v>
      </c>
      <c r="N1903" s="1211">
        <f t="shared" si="277"/>
        <v>0</v>
      </c>
      <c r="O1903" s="1212"/>
      <c r="P1903" s="1200"/>
      <c r="Q1903" s="1200"/>
    </row>
    <row r="1904" spans="1:17" ht="15" thickTop="1" thickBot="1" x14ac:dyDescent="0.3">
      <c r="A1904" s="1207"/>
      <c r="B1904" s="1212"/>
      <c r="C1904" s="1212"/>
      <c r="D1904" s="1212"/>
      <c r="E1904" s="1212"/>
      <c r="F1904" s="1208"/>
      <c r="G1904" s="1208"/>
      <c r="H1904" s="1208"/>
      <c r="I1904" s="1209"/>
      <c r="J1904" s="1209"/>
      <c r="K1904" s="1210">
        <f t="shared" si="274"/>
        <v>1.05</v>
      </c>
      <c r="L1904" s="1210">
        <f t="shared" si="275"/>
        <v>0</v>
      </c>
      <c r="M1904" s="1197">
        <f t="shared" si="276"/>
        <v>0</v>
      </c>
      <c r="N1904" s="1211">
        <f t="shared" si="277"/>
        <v>0</v>
      </c>
      <c r="O1904" s="1212"/>
      <c r="P1904" s="1200"/>
      <c r="Q1904" s="1200"/>
    </row>
    <row r="1905" spans="1:17" ht="15" thickTop="1" thickBot="1" x14ac:dyDescent="0.3">
      <c r="A1905" s="1207"/>
      <c r="B1905" s="1212"/>
      <c r="C1905" s="1212"/>
      <c r="D1905" s="1212"/>
      <c r="E1905" s="1212"/>
      <c r="F1905" s="1208"/>
      <c r="G1905" s="1208"/>
      <c r="H1905" s="1208"/>
      <c r="I1905" s="1209"/>
      <c r="J1905" s="1209"/>
      <c r="K1905" s="1210">
        <f t="shared" si="274"/>
        <v>1.05</v>
      </c>
      <c r="L1905" s="1210">
        <f t="shared" si="275"/>
        <v>0</v>
      </c>
      <c r="M1905" s="1197">
        <f t="shared" si="276"/>
        <v>0</v>
      </c>
      <c r="N1905" s="1211">
        <f t="shared" si="277"/>
        <v>0</v>
      </c>
      <c r="O1905" s="1212"/>
      <c r="P1905" s="1200"/>
      <c r="Q1905" s="1200"/>
    </row>
    <row r="1906" spans="1:17" ht="15" thickTop="1" thickBot="1" x14ac:dyDescent="0.3">
      <c r="A1906" s="1207"/>
      <c r="B1906" s="1212"/>
      <c r="C1906" s="1212"/>
      <c r="D1906" s="1212"/>
      <c r="E1906" s="1212"/>
      <c r="F1906" s="1208"/>
      <c r="G1906" s="1208"/>
      <c r="H1906" s="1208"/>
      <c r="I1906" s="1209"/>
      <c r="J1906" s="1209"/>
      <c r="K1906" s="1210">
        <f t="shared" si="274"/>
        <v>1.05</v>
      </c>
      <c r="L1906" s="1210">
        <f t="shared" si="275"/>
        <v>0</v>
      </c>
      <c r="M1906" s="1197">
        <f t="shared" si="276"/>
        <v>0</v>
      </c>
      <c r="N1906" s="1211">
        <f t="shared" si="277"/>
        <v>0</v>
      </c>
      <c r="O1906" s="1212"/>
      <c r="P1906" s="1200"/>
      <c r="Q1906" s="1200"/>
    </row>
    <row r="1907" spans="1:17" ht="15" thickTop="1" thickBot="1" x14ac:dyDescent="0.3">
      <c r="A1907" s="1207"/>
      <c r="B1907" s="1212"/>
      <c r="C1907" s="1212"/>
      <c r="D1907" s="1212"/>
      <c r="E1907" s="1212"/>
      <c r="F1907" s="1208"/>
      <c r="G1907" s="1208"/>
      <c r="H1907" s="1208"/>
      <c r="I1907" s="1209"/>
      <c r="J1907" s="1209"/>
      <c r="K1907" s="1210">
        <f t="shared" si="274"/>
        <v>1.05</v>
      </c>
      <c r="L1907" s="1210">
        <f t="shared" si="275"/>
        <v>0</v>
      </c>
      <c r="M1907" s="1197">
        <f t="shared" si="276"/>
        <v>0</v>
      </c>
      <c r="N1907" s="1211">
        <f t="shared" si="277"/>
        <v>0</v>
      </c>
      <c r="O1907" s="1212"/>
      <c r="P1907" s="1200"/>
      <c r="Q1907" s="1200"/>
    </row>
    <row r="1908" spans="1:17" ht="15" thickTop="1" thickBot="1" x14ac:dyDescent="0.3">
      <c r="A1908" s="1207"/>
      <c r="B1908" s="1212"/>
      <c r="C1908" s="1212"/>
      <c r="D1908" s="1212"/>
      <c r="E1908" s="1212"/>
      <c r="F1908" s="1208"/>
      <c r="G1908" s="1208"/>
      <c r="H1908" s="1208"/>
      <c r="I1908" s="1209"/>
      <c r="J1908" s="1209"/>
      <c r="K1908" s="1210">
        <f t="shared" si="274"/>
        <v>1.05</v>
      </c>
      <c r="L1908" s="1210">
        <f t="shared" si="275"/>
        <v>0</v>
      </c>
      <c r="M1908" s="1197">
        <f t="shared" si="276"/>
        <v>0</v>
      </c>
      <c r="N1908" s="1211">
        <f t="shared" si="277"/>
        <v>0</v>
      </c>
      <c r="O1908" s="1212"/>
      <c r="P1908" s="1200"/>
      <c r="Q1908" s="1200"/>
    </row>
    <row r="1909" spans="1:17" ht="15" thickTop="1" thickBot="1" x14ac:dyDescent="0.3">
      <c r="A1909" s="1207"/>
      <c r="B1909" s="1212"/>
      <c r="C1909" s="1212"/>
      <c r="D1909" s="1212"/>
      <c r="E1909" s="1212"/>
      <c r="F1909" s="1208"/>
      <c r="G1909" s="1208"/>
      <c r="H1909" s="1208"/>
      <c r="I1909" s="1209"/>
      <c r="J1909" s="1209"/>
      <c r="K1909" s="1210">
        <f t="shared" si="274"/>
        <v>1.05</v>
      </c>
      <c r="L1909" s="1210">
        <f t="shared" si="275"/>
        <v>0</v>
      </c>
      <c r="M1909" s="1197">
        <f t="shared" si="276"/>
        <v>0</v>
      </c>
      <c r="N1909" s="1211">
        <f t="shared" si="277"/>
        <v>0</v>
      </c>
      <c r="O1909" s="1212"/>
      <c r="P1909" s="1200"/>
      <c r="Q1909" s="1200"/>
    </row>
    <row r="1910" spans="1:17" ht="15" thickTop="1" thickBot="1" x14ac:dyDescent="0.3">
      <c r="A1910" s="1207"/>
      <c r="B1910" s="1212"/>
      <c r="C1910" s="1212"/>
      <c r="D1910" s="1212"/>
      <c r="E1910" s="1212"/>
      <c r="F1910" s="1208"/>
      <c r="G1910" s="1208"/>
      <c r="H1910" s="1208"/>
      <c r="I1910" s="1209"/>
      <c r="J1910" s="1209"/>
      <c r="K1910" s="1210">
        <f t="shared" si="274"/>
        <v>1.05</v>
      </c>
      <c r="L1910" s="1210">
        <f t="shared" si="275"/>
        <v>0</v>
      </c>
      <c r="M1910" s="1197">
        <f t="shared" si="276"/>
        <v>0</v>
      </c>
      <c r="N1910" s="1211">
        <f t="shared" si="277"/>
        <v>0</v>
      </c>
      <c r="O1910" s="1212"/>
      <c r="P1910" s="1200"/>
      <c r="Q1910" s="1200"/>
    </row>
    <row r="1911" spans="1:17" ht="15" thickTop="1" thickBot="1" x14ac:dyDescent="0.3">
      <c r="A1911" s="1207"/>
      <c r="B1911" s="1212"/>
      <c r="C1911" s="1212"/>
      <c r="D1911" s="1212"/>
      <c r="E1911" s="1212"/>
      <c r="F1911" s="1208"/>
      <c r="G1911" s="1208"/>
      <c r="H1911" s="1208"/>
      <c r="I1911" s="1209"/>
      <c r="J1911" s="1209"/>
      <c r="K1911" s="1210">
        <f t="shared" si="274"/>
        <v>1.05</v>
      </c>
      <c r="L1911" s="1210">
        <f t="shared" si="275"/>
        <v>0</v>
      </c>
      <c r="M1911" s="1197">
        <f t="shared" si="276"/>
        <v>0</v>
      </c>
      <c r="N1911" s="1211">
        <f t="shared" si="277"/>
        <v>0</v>
      </c>
      <c r="O1911" s="1212"/>
      <c r="P1911" s="1200"/>
      <c r="Q1911" s="1200"/>
    </row>
    <row r="1912" spans="1:17" ht="15" thickTop="1" thickBot="1" x14ac:dyDescent="0.3">
      <c r="A1912" s="1207"/>
      <c r="B1912" s="1212"/>
      <c r="C1912" s="1212"/>
      <c r="D1912" s="1212"/>
      <c r="E1912" s="1212"/>
      <c r="F1912" s="1208"/>
      <c r="G1912" s="1208"/>
      <c r="H1912" s="1208"/>
      <c r="I1912" s="1209"/>
      <c r="J1912" s="1209"/>
      <c r="K1912" s="1210">
        <f t="shared" si="274"/>
        <v>1.05</v>
      </c>
      <c r="L1912" s="1210">
        <f t="shared" si="275"/>
        <v>0</v>
      </c>
      <c r="M1912" s="1197">
        <f t="shared" si="276"/>
        <v>0</v>
      </c>
      <c r="N1912" s="1211">
        <f t="shared" si="277"/>
        <v>0</v>
      </c>
      <c r="O1912" s="1212"/>
      <c r="P1912" s="1200"/>
      <c r="Q1912" s="1200"/>
    </row>
    <row r="1913" spans="1:17" ht="15" thickTop="1" thickBot="1" x14ac:dyDescent="0.3">
      <c r="A1913" s="1207"/>
      <c r="B1913" s="1212"/>
      <c r="C1913" s="1212"/>
      <c r="D1913" s="1212"/>
      <c r="E1913" s="1212"/>
      <c r="F1913" s="1208"/>
      <c r="G1913" s="1208"/>
      <c r="H1913" s="1208"/>
      <c r="I1913" s="1209"/>
      <c r="J1913" s="1209"/>
      <c r="K1913" s="1210">
        <f t="shared" si="274"/>
        <v>1.05</v>
      </c>
      <c r="L1913" s="1210">
        <f t="shared" si="275"/>
        <v>0</v>
      </c>
      <c r="M1913" s="1197">
        <f t="shared" si="276"/>
        <v>0</v>
      </c>
      <c r="N1913" s="1211">
        <f t="shared" si="277"/>
        <v>0</v>
      </c>
      <c r="O1913" s="1212"/>
      <c r="P1913" s="1200"/>
      <c r="Q1913" s="1200"/>
    </row>
    <row r="1914" spans="1:17" ht="15" thickTop="1" thickBot="1" x14ac:dyDescent="0.3">
      <c r="A1914" s="1207"/>
      <c r="B1914" s="1212"/>
      <c r="C1914" s="1212"/>
      <c r="D1914" s="1212"/>
      <c r="E1914" s="1212"/>
      <c r="F1914" s="1208"/>
      <c r="G1914" s="1208"/>
      <c r="H1914" s="1208"/>
      <c r="I1914" s="1209"/>
      <c r="J1914" s="1209"/>
      <c r="K1914" s="1210">
        <f t="shared" si="274"/>
        <v>1.05</v>
      </c>
      <c r="L1914" s="1210">
        <f t="shared" si="275"/>
        <v>0</v>
      </c>
      <c r="M1914" s="1197">
        <f t="shared" si="276"/>
        <v>0</v>
      </c>
      <c r="N1914" s="1211">
        <f t="shared" si="277"/>
        <v>0</v>
      </c>
      <c r="O1914" s="1212"/>
      <c r="P1914" s="1200"/>
      <c r="Q1914" s="1200"/>
    </row>
    <row r="1915" spans="1:17" ht="15" thickTop="1" thickBot="1" x14ac:dyDescent="0.3">
      <c r="A1915" s="1207"/>
      <c r="B1915" s="1212"/>
      <c r="C1915" s="1212"/>
      <c r="D1915" s="1212"/>
      <c r="E1915" s="1212"/>
      <c r="F1915" s="1208"/>
      <c r="G1915" s="1208"/>
      <c r="H1915" s="1208"/>
      <c r="I1915" s="1209"/>
      <c r="J1915" s="1209"/>
      <c r="K1915" s="1210">
        <f t="shared" si="274"/>
        <v>1.05</v>
      </c>
      <c r="L1915" s="1210">
        <f t="shared" si="275"/>
        <v>0</v>
      </c>
      <c r="M1915" s="1197">
        <f t="shared" si="276"/>
        <v>0</v>
      </c>
      <c r="N1915" s="1211">
        <f t="shared" si="277"/>
        <v>0</v>
      </c>
      <c r="O1915" s="1212"/>
      <c r="P1915" s="1200"/>
      <c r="Q1915" s="1200"/>
    </row>
    <row r="1916" spans="1:17" ht="15" thickTop="1" thickBot="1" x14ac:dyDescent="0.3">
      <c r="A1916" s="1207"/>
      <c r="B1916" s="1212"/>
      <c r="C1916" s="1212"/>
      <c r="D1916" s="1212"/>
      <c r="E1916" s="1212"/>
      <c r="F1916" s="1208"/>
      <c r="G1916" s="1208"/>
      <c r="H1916" s="1208"/>
      <c r="I1916" s="1209"/>
      <c r="J1916" s="1209"/>
      <c r="K1916" s="1210">
        <f t="shared" si="274"/>
        <v>1.05</v>
      </c>
      <c r="L1916" s="1210">
        <f t="shared" si="275"/>
        <v>0</v>
      </c>
      <c r="M1916" s="1197">
        <f t="shared" si="276"/>
        <v>0</v>
      </c>
      <c r="N1916" s="1211">
        <f t="shared" si="277"/>
        <v>0</v>
      </c>
      <c r="O1916" s="1212"/>
      <c r="P1916" s="1200"/>
      <c r="Q1916" s="1200"/>
    </row>
    <row r="1917" spans="1:17" ht="15" thickTop="1" thickBot="1" x14ac:dyDescent="0.3">
      <c r="A1917" s="1207"/>
      <c r="B1917" s="1212"/>
      <c r="C1917" s="1212"/>
      <c r="D1917" s="1212"/>
      <c r="E1917" s="1212"/>
      <c r="F1917" s="1208"/>
      <c r="G1917" s="1208"/>
      <c r="H1917" s="1208"/>
      <c r="I1917" s="1209"/>
      <c r="J1917" s="1209"/>
      <c r="K1917" s="1210">
        <f t="shared" si="274"/>
        <v>1.05</v>
      </c>
      <c r="L1917" s="1210">
        <f t="shared" si="275"/>
        <v>0</v>
      </c>
      <c r="M1917" s="1197">
        <f t="shared" si="276"/>
        <v>0</v>
      </c>
      <c r="N1917" s="1211">
        <f t="shared" si="277"/>
        <v>0</v>
      </c>
      <c r="O1917" s="1212"/>
      <c r="P1917" s="1200"/>
      <c r="Q1917" s="1200"/>
    </row>
    <row r="1918" spans="1:17" ht="15" thickTop="1" thickBot="1" x14ac:dyDescent="0.3">
      <c r="A1918" s="1207"/>
      <c r="B1918" s="1212"/>
      <c r="C1918" s="1212"/>
      <c r="D1918" s="1212"/>
      <c r="E1918" s="1212"/>
      <c r="F1918" s="1208"/>
      <c r="G1918" s="1208"/>
      <c r="H1918" s="1208"/>
      <c r="I1918" s="1209"/>
      <c r="J1918" s="1209"/>
      <c r="K1918" s="1210">
        <f t="shared" si="274"/>
        <v>1.05</v>
      </c>
      <c r="L1918" s="1210">
        <f t="shared" si="275"/>
        <v>0</v>
      </c>
      <c r="M1918" s="1197">
        <f t="shared" si="276"/>
        <v>0</v>
      </c>
      <c r="N1918" s="1211">
        <f t="shared" si="277"/>
        <v>0</v>
      </c>
      <c r="O1918" s="1212"/>
      <c r="P1918" s="1200"/>
      <c r="Q1918" s="1200"/>
    </row>
    <row r="1919" spans="1:17" ht="15" thickTop="1" thickBot="1" x14ac:dyDescent="0.3">
      <c r="A1919" s="1207"/>
      <c r="B1919" s="1212"/>
      <c r="C1919" s="1212"/>
      <c r="D1919" s="1212"/>
      <c r="E1919" s="1212"/>
      <c r="F1919" s="1208"/>
      <c r="G1919" s="1208"/>
      <c r="H1919" s="1208"/>
      <c r="I1919" s="1209"/>
      <c r="J1919" s="1209"/>
      <c r="K1919" s="1210">
        <f t="shared" si="274"/>
        <v>1.05</v>
      </c>
      <c r="L1919" s="1210">
        <f t="shared" si="275"/>
        <v>0</v>
      </c>
      <c r="M1919" s="1197">
        <f t="shared" si="276"/>
        <v>0</v>
      </c>
      <c r="N1919" s="1211">
        <f t="shared" si="277"/>
        <v>0</v>
      </c>
      <c r="O1919" s="1212"/>
      <c r="P1919" s="1200"/>
      <c r="Q1919" s="1200"/>
    </row>
    <row r="1920" spans="1:17" ht="15" thickTop="1" thickBot="1" x14ac:dyDescent="0.3">
      <c r="A1920" s="1207"/>
      <c r="B1920" s="1212"/>
      <c r="C1920" s="1212"/>
      <c r="D1920" s="1212"/>
      <c r="E1920" s="1212"/>
      <c r="F1920" s="1208"/>
      <c r="G1920" s="1208"/>
      <c r="H1920" s="1208"/>
      <c r="I1920" s="1209"/>
      <c r="J1920" s="1209"/>
      <c r="K1920" s="1210">
        <f t="shared" si="274"/>
        <v>1.05</v>
      </c>
      <c r="L1920" s="1210">
        <f t="shared" si="275"/>
        <v>0</v>
      </c>
      <c r="M1920" s="1197">
        <f t="shared" si="276"/>
        <v>0</v>
      </c>
      <c r="N1920" s="1211">
        <f t="shared" si="277"/>
        <v>0</v>
      </c>
      <c r="O1920" s="1212"/>
      <c r="P1920" s="1200"/>
      <c r="Q1920" s="1200"/>
    </row>
    <row r="1921" spans="1:17" ht="15" thickTop="1" thickBot="1" x14ac:dyDescent="0.3">
      <c r="A1921" s="1207"/>
      <c r="B1921" s="1212"/>
      <c r="C1921" s="1212"/>
      <c r="D1921" s="1212"/>
      <c r="E1921" s="1212"/>
      <c r="F1921" s="1208"/>
      <c r="G1921" s="1208"/>
      <c r="H1921" s="1208"/>
      <c r="I1921" s="1209"/>
      <c r="J1921" s="1209"/>
      <c r="K1921" s="1210">
        <f t="shared" si="274"/>
        <v>1.05</v>
      </c>
      <c r="L1921" s="1210">
        <f t="shared" si="275"/>
        <v>0</v>
      </c>
      <c r="M1921" s="1197">
        <f t="shared" si="276"/>
        <v>0</v>
      </c>
      <c r="N1921" s="1211">
        <f t="shared" si="277"/>
        <v>0</v>
      </c>
      <c r="O1921" s="1212"/>
      <c r="P1921" s="1200"/>
      <c r="Q1921" s="1200"/>
    </row>
    <row r="1922" spans="1:17" ht="15" thickTop="1" thickBot="1" x14ac:dyDescent="0.3">
      <c r="A1922" s="1207"/>
      <c r="B1922" s="1212"/>
      <c r="C1922" s="1212"/>
      <c r="D1922" s="1212"/>
      <c r="E1922" s="1212"/>
      <c r="F1922" s="1208"/>
      <c r="G1922" s="1208"/>
      <c r="H1922" s="1208"/>
      <c r="I1922" s="1209"/>
      <c r="J1922" s="1209"/>
      <c r="K1922" s="1210">
        <f t="shared" si="274"/>
        <v>1.05</v>
      </c>
      <c r="L1922" s="1210">
        <f t="shared" si="275"/>
        <v>0</v>
      </c>
      <c r="M1922" s="1197">
        <f t="shared" si="276"/>
        <v>0</v>
      </c>
      <c r="N1922" s="1211">
        <f t="shared" si="277"/>
        <v>0</v>
      </c>
      <c r="O1922" s="1212"/>
      <c r="P1922" s="1200"/>
      <c r="Q1922" s="1200"/>
    </row>
    <row r="1923" spans="1:17" ht="15" thickTop="1" thickBot="1" x14ac:dyDescent="0.3">
      <c r="A1923" s="1207"/>
      <c r="B1923" s="1212"/>
      <c r="C1923" s="1212"/>
      <c r="D1923" s="1212"/>
      <c r="E1923" s="1212"/>
      <c r="F1923" s="1208"/>
      <c r="G1923" s="1208"/>
      <c r="H1923" s="1208"/>
      <c r="I1923" s="1209"/>
      <c r="J1923" s="1209"/>
      <c r="K1923" s="1210">
        <f t="shared" si="274"/>
        <v>1.05</v>
      </c>
      <c r="L1923" s="1210">
        <f t="shared" si="275"/>
        <v>0</v>
      </c>
      <c r="M1923" s="1197">
        <f t="shared" si="276"/>
        <v>0</v>
      </c>
      <c r="N1923" s="1211">
        <f t="shared" si="277"/>
        <v>0</v>
      </c>
      <c r="O1923" s="1212"/>
      <c r="P1923" s="1200"/>
      <c r="Q1923" s="1200"/>
    </row>
    <row r="1924" spans="1:17" ht="15" thickTop="1" thickBot="1" x14ac:dyDescent="0.3">
      <c r="A1924" s="1207"/>
      <c r="B1924" s="1212"/>
      <c r="C1924" s="1212"/>
      <c r="D1924" s="1212"/>
      <c r="E1924" s="1212"/>
      <c r="F1924" s="1208"/>
      <c r="G1924" s="1208"/>
      <c r="H1924" s="1208"/>
      <c r="I1924" s="1209"/>
      <c r="J1924" s="1209"/>
      <c r="K1924" s="1210">
        <f t="shared" si="274"/>
        <v>1.05</v>
      </c>
      <c r="L1924" s="1210">
        <f t="shared" si="275"/>
        <v>0</v>
      </c>
      <c r="M1924" s="1197">
        <f t="shared" si="276"/>
        <v>0</v>
      </c>
      <c r="N1924" s="1211">
        <f t="shared" si="277"/>
        <v>0</v>
      </c>
      <c r="O1924" s="1212"/>
      <c r="P1924" s="1200"/>
      <c r="Q1924" s="1200"/>
    </row>
    <row r="1925" spans="1:17" ht="15" thickTop="1" thickBot="1" x14ac:dyDescent="0.3">
      <c r="A1925" s="1207"/>
      <c r="B1925" s="1212"/>
      <c r="C1925" s="1212"/>
      <c r="D1925" s="1212"/>
      <c r="E1925" s="1212"/>
      <c r="F1925" s="1208"/>
      <c r="G1925" s="1208"/>
      <c r="H1925" s="1208"/>
      <c r="I1925" s="1209"/>
      <c r="J1925" s="1209"/>
      <c r="K1925" s="1210">
        <f t="shared" si="274"/>
        <v>1.05</v>
      </c>
      <c r="L1925" s="1210">
        <f t="shared" si="275"/>
        <v>0</v>
      </c>
      <c r="M1925" s="1197">
        <f t="shared" si="276"/>
        <v>0</v>
      </c>
      <c r="N1925" s="1211">
        <f t="shared" si="277"/>
        <v>0</v>
      </c>
      <c r="O1925" s="1212"/>
      <c r="P1925" s="1200"/>
      <c r="Q1925" s="1200"/>
    </row>
    <row r="1926" spans="1:17" ht="15" thickTop="1" thickBot="1" x14ac:dyDescent="0.3">
      <c r="A1926" s="1207"/>
      <c r="B1926" s="1212"/>
      <c r="C1926" s="1212"/>
      <c r="D1926" s="1212"/>
      <c r="E1926" s="1212"/>
      <c r="F1926" s="1208"/>
      <c r="G1926" s="1208"/>
      <c r="H1926" s="1208"/>
      <c r="I1926" s="1209"/>
      <c r="J1926" s="1209"/>
      <c r="K1926" s="1210">
        <f t="shared" si="274"/>
        <v>1.05</v>
      </c>
      <c r="L1926" s="1210">
        <f t="shared" si="275"/>
        <v>0</v>
      </c>
      <c r="M1926" s="1197">
        <f t="shared" si="276"/>
        <v>0</v>
      </c>
      <c r="N1926" s="1211">
        <f t="shared" si="277"/>
        <v>0</v>
      </c>
      <c r="O1926" s="1212"/>
      <c r="P1926" s="1200"/>
      <c r="Q1926" s="1200"/>
    </row>
    <row r="1927" spans="1:17" ht="15" thickTop="1" thickBot="1" x14ac:dyDescent="0.3">
      <c r="A1927" s="1207"/>
      <c r="B1927" s="1212"/>
      <c r="C1927" s="1212"/>
      <c r="D1927" s="1212"/>
      <c r="E1927" s="1212"/>
      <c r="F1927" s="1208"/>
      <c r="G1927" s="1208"/>
      <c r="H1927" s="1208"/>
      <c r="I1927" s="1209"/>
      <c r="J1927" s="1209"/>
      <c r="K1927" s="1210">
        <f t="shared" si="274"/>
        <v>1.05</v>
      </c>
      <c r="L1927" s="1210">
        <f t="shared" si="275"/>
        <v>0</v>
      </c>
      <c r="M1927" s="1197">
        <f t="shared" si="276"/>
        <v>0</v>
      </c>
      <c r="N1927" s="1211">
        <f t="shared" si="277"/>
        <v>0</v>
      </c>
      <c r="O1927" s="1212"/>
      <c r="P1927" s="1200"/>
      <c r="Q1927" s="1200"/>
    </row>
    <row r="1928" spans="1:17" ht="15" thickTop="1" thickBot="1" x14ac:dyDescent="0.3">
      <c r="A1928" s="1207"/>
      <c r="B1928" s="1212"/>
      <c r="C1928" s="1212"/>
      <c r="D1928" s="1212"/>
      <c r="E1928" s="1212"/>
      <c r="F1928" s="1208"/>
      <c r="G1928" s="1208"/>
      <c r="H1928" s="1208"/>
      <c r="I1928" s="1209"/>
      <c r="J1928" s="1209"/>
      <c r="K1928" s="1210">
        <f t="shared" si="274"/>
        <v>1.05</v>
      </c>
      <c r="L1928" s="1210">
        <f t="shared" si="275"/>
        <v>0</v>
      </c>
      <c r="M1928" s="1197">
        <f t="shared" si="276"/>
        <v>0</v>
      </c>
      <c r="N1928" s="1211">
        <f t="shared" si="277"/>
        <v>0</v>
      </c>
      <c r="O1928" s="1212"/>
      <c r="P1928" s="1200"/>
      <c r="Q1928" s="1200"/>
    </row>
    <row r="1929" spans="1:17" ht="15" thickTop="1" thickBot="1" x14ac:dyDescent="0.3">
      <c r="A1929" s="1207"/>
      <c r="B1929" s="1212"/>
      <c r="C1929" s="1212"/>
      <c r="D1929" s="1212"/>
      <c r="E1929" s="1212"/>
      <c r="F1929" s="1208"/>
      <c r="G1929" s="1208"/>
      <c r="H1929" s="1208"/>
      <c r="I1929" s="1209"/>
      <c r="J1929" s="1209"/>
      <c r="K1929" s="1210">
        <f t="shared" si="274"/>
        <v>1.05</v>
      </c>
      <c r="L1929" s="1210">
        <f t="shared" si="275"/>
        <v>0</v>
      </c>
      <c r="M1929" s="1197">
        <f t="shared" si="276"/>
        <v>0</v>
      </c>
      <c r="N1929" s="1211">
        <f t="shared" si="277"/>
        <v>0</v>
      </c>
      <c r="O1929" s="1212"/>
      <c r="P1929" s="1200"/>
      <c r="Q1929" s="1200"/>
    </row>
    <row r="1930" spans="1:17" ht="15" thickTop="1" thickBot="1" x14ac:dyDescent="0.3">
      <c r="A1930" s="1207"/>
      <c r="B1930" s="1212"/>
      <c r="C1930" s="1212"/>
      <c r="D1930" s="1212"/>
      <c r="E1930" s="1212"/>
      <c r="F1930" s="1208"/>
      <c r="G1930" s="1208"/>
      <c r="H1930" s="1208"/>
      <c r="I1930" s="1209"/>
      <c r="J1930" s="1209"/>
      <c r="K1930" s="1210">
        <f t="shared" si="274"/>
        <v>1.05</v>
      </c>
      <c r="L1930" s="1210">
        <f t="shared" si="275"/>
        <v>0</v>
      </c>
      <c r="M1930" s="1197">
        <f t="shared" si="276"/>
        <v>0</v>
      </c>
      <c r="N1930" s="1211">
        <f t="shared" si="277"/>
        <v>0</v>
      </c>
      <c r="O1930" s="1212"/>
      <c r="P1930" s="1200"/>
      <c r="Q1930" s="1200"/>
    </row>
    <row r="1931" spans="1:17" ht="15" thickTop="1" thickBot="1" x14ac:dyDescent="0.3">
      <c r="A1931" s="1207"/>
      <c r="B1931" s="1212"/>
      <c r="C1931" s="1212"/>
      <c r="D1931" s="1212"/>
      <c r="E1931" s="1212"/>
      <c r="F1931" s="1208"/>
      <c r="G1931" s="1208"/>
      <c r="H1931" s="1208"/>
      <c r="I1931" s="1209"/>
      <c r="J1931" s="1209"/>
      <c r="K1931" s="1210">
        <f t="shared" ref="K1931:K1994" si="278">$K$2</f>
        <v>1.05</v>
      </c>
      <c r="L1931" s="1210">
        <f t="shared" si="275"/>
        <v>0</v>
      </c>
      <c r="M1931" s="1197">
        <f t="shared" si="276"/>
        <v>0</v>
      </c>
      <c r="N1931" s="1211">
        <f t="shared" si="277"/>
        <v>0</v>
      </c>
      <c r="O1931" s="1212"/>
      <c r="P1931" s="1200"/>
      <c r="Q1931" s="1200"/>
    </row>
    <row r="1932" spans="1:17" ht="15" thickTop="1" thickBot="1" x14ac:dyDescent="0.3">
      <c r="A1932" s="1207"/>
      <c r="B1932" s="1212"/>
      <c r="C1932" s="1212"/>
      <c r="D1932" s="1212"/>
      <c r="E1932" s="1212"/>
      <c r="F1932" s="1208"/>
      <c r="G1932" s="1208"/>
      <c r="H1932" s="1208"/>
      <c r="I1932" s="1209"/>
      <c r="J1932" s="1209"/>
      <c r="K1932" s="1210">
        <f t="shared" si="278"/>
        <v>1.05</v>
      </c>
      <c r="L1932" s="1210">
        <f t="shared" si="275"/>
        <v>0</v>
      </c>
      <c r="M1932" s="1197">
        <f t="shared" si="276"/>
        <v>0</v>
      </c>
      <c r="N1932" s="1211">
        <f t="shared" si="277"/>
        <v>0</v>
      </c>
      <c r="O1932" s="1212"/>
      <c r="P1932" s="1200"/>
      <c r="Q1932" s="1200"/>
    </row>
    <row r="1933" spans="1:17" ht="15" thickTop="1" thickBot="1" x14ac:dyDescent="0.3">
      <c r="A1933" s="1207"/>
      <c r="B1933" s="1212"/>
      <c r="C1933" s="1212"/>
      <c r="D1933" s="1212"/>
      <c r="E1933" s="1212"/>
      <c r="F1933" s="1208"/>
      <c r="G1933" s="1208"/>
      <c r="H1933" s="1208"/>
      <c r="I1933" s="1209"/>
      <c r="J1933" s="1209"/>
      <c r="K1933" s="1210">
        <f t="shared" si="278"/>
        <v>1.05</v>
      </c>
      <c r="L1933" s="1210">
        <f t="shared" si="275"/>
        <v>0</v>
      </c>
      <c r="M1933" s="1197">
        <f t="shared" si="276"/>
        <v>0</v>
      </c>
      <c r="N1933" s="1211">
        <f t="shared" si="277"/>
        <v>0</v>
      </c>
      <c r="O1933" s="1212"/>
      <c r="P1933" s="1200"/>
      <c r="Q1933" s="1200"/>
    </row>
    <row r="1934" spans="1:17" ht="15" thickTop="1" thickBot="1" x14ac:dyDescent="0.3">
      <c r="A1934" s="1207"/>
      <c r="B1934" s="1212"/>
      <c r="C1934" s="1212"/>
      <c r="D1934" s="1212"/>
      <c r="E1934" s="1212"/>
      <c r="F1934" s="1208"/>
      <c r="G1934" s="1208"/>
      <c r="H1934" s="1208"/>
      <c r="I1934" s="1209"/>
      <c r="J1934" s="1209"/>
      <c r="K1934" s="1210">
        <f t="shared" si="278"/>
        <v>1.05</v>
      </c>
      <c r="L1934" s="1210">
        <f t="shared" si="275"/>
        <v>0</v>
      </c>
      <c r="M1934" s="1197">
        <f t="shared" si="276"/>
        <v>0</v>
      </c>
      <c r="N1934" s="1211">
        <f t="shared" si="277"/>
        <v>0</v>
      </c>
      <c r="O1934" s="1212"/>
      <c r="P1934" s="1200"/>
      <c r="Q1934" s="1200"/>
    </row>
    <row r="1935" spans="1:17" ht="15" thickTop="1" thickBot="1" x14ac:dyDescent="0.3">
      <c r="A1935" s="1207"/>
      <c r="B1935" s="1212"/>
      <c r="C1935" s="1212"/>
      <c r="D1935" s="1212"/>
      <c r="E1935" s="1212"/>
      <c r="F1935" s="1208"/>
      <c r="G1935" s="1208"/>
      <c r="H1935" s="1208"/>
      <c r="I1935" s="1209"/>
      <c r="J1935" s="1209"/>
      <c r="K1935" s="1210">
        <f t="shared" si="278"/>
        <v>1.05</v>
      </c>
      <c r="L1935" s="1210">
        <f t="shared" si="275"/>
        <v>0</v>
      </c>
      <c r="M1935" s="1197">
        <f t="shared" si="276"/>
        <v>0</v>
      </c>
      <c r="N1935" s="1211">
        <f t="shared" si="277"/>
        <v>0</v>
      </c>
      <c r="O1935" s="1212"/>
      <c r="P1935" s="1200"/>
      <c r="Q1935" s="1200"/>
    </row>
    <row r="1936" spans="1:17" ht="15" thickTop="1" thickBot="1" x14ac:dyDescent="0.3">
      <c r="A1936" s="1207"/>
      <c r="B1936" s="1212"/>
      <c r="C1936" s="1212"/>
      <c r="D1936" s="1212"/>
      <c r="E1936" s="1212"/>
      <c r="F1936" s="1208"/>
      <c r="G1936" s="1208"/>
      <c r="H1936" s="1208"/>
      <c r="I1936" s="1209"/>
      <c r="J1936" s="1209"/>
      <c r="K1936" s="1210">
        <f t="shared" si="278"/>
        <v>1.05</v>
      </c>
      <c r="L1936" s="1210">
        <f t="shared" si="275"/>
        <v>0</v>
      </c>
      <c r="M1936" s="1197">
        <f t="shared" si="276"/>
        <v>0</v>
      </c>
      <c r="N1936" s="1211">
        <f t="shared" si="277"/>
        <v>0</v>
      </c>
      <c r="O1936" s="1212"/>
      <c r="P1936" s="1200"/>
      <c r="Q1936" s="1200"/>
    </row>
    <row r="1937" spans="1:17" ht="15" thickTop="1" thickBot="1" x14ac:dyDescent="0.3">
      <c r="A1937" s="1207"/>
      <c r="B1937" s="1212"/>
      <c r="C1937" s="1212"/>
      <c r="D1937" s="1212"/>
      <c r="E1937" s="1212"/>
      <c r="F1937" s="1208"/>
      <c r="G1937" s="1208"/>
      <c r="H1937" s="1208"/>
      <c r="I1937" s="1209"/>
      <c r="J1937" s="1209"/>
      <c r="K1937" s="1210">
        <f t="shared" si="278"/>
        <v>1.05</v>
      </c>
      <c r="L1937" s="1210">
        <f t="shared" si="275"/>
        <v>0</v>
      </c>
      <c r="M1937" s="1197">
        <f t="shared" si="276"/>
        <v>0</v>
      </c>
      <c r="N1937" s="1211">
        <f t="shared" si="277"/>
        <v>0</v>
      </c>
      <c r="O1937" s="1212"/>
      <c r="P1937" s="1200"/>
      <c r="Q1937" s="1200"/>
    </row>
    <row r="1938" spans="1:17" ht="15" thickTop="1" thickBot="1" x14ac:dyDescent="0.3">
      <c r="A1938" s="1207"/>
      <c r="B1938" s="1212"/>
      <c r="C1938" s="1212"/>
      <c r="D1938" s="1212"/>
      <c r="E1938" s="1212"/>
      <c r="F1938" s="1208"/>
      <c r="G1938" s="1208"/>
      <c r="H1938" s="1208"/>
      <c r="I1938" s="1209"/>
      <c r="J1938" s="1209"/>
      <c r="K1938" s="1210">
        <f t="shared" si="278"/>
        <v>1.05</v>
      </c>
      <c r="L1938" s="1210">
        <f t="shared" si="275"/>
        <v>0</v>
      </c>
      <c r="M1938" s="1197">
        <f t="shared" si="276"/>
        <v>0</v>
      </c>
      <c r="N1938" s="1211">
        <f t="shared" si="277"/>
        <v>0</v>
      </c>
      <c r="O1938" s="1212"/>
      <c r="P1938" s="1200"/>
      <c r="Q1938" s="1200"/>
    </row>
    <row r="1939" spans="1:17" ht="15" thickTop="1" thickBot="1" x14ac:dyDescent="0.3">
      <c r="A1939" s="1207"/>
      <c r="B1939" s="1212"/>
      <c r="C1939" s="1212"/>
      <c r="D1939" s="1212"/>
      <c r="E1939" s="1212"/>
      <c r="F1939" s="1208"/>
      <c r="G1939" s="1208"/>
      <c r="H1939" s="1208"/>
      <c r="I1939" s="1209"/>
      <c r="J1939" s="1209"/>
      <c r="K1939" s="1210">
        <f t="shared" si="278"/>
        <v>1.05</v>
      </c>
      <c r="L1939" s="1210">
        <f t="shared" si="275"/>
        <v>0</v>
      </c>
      <c r="M1939" s="1197">
        <f t="shared" si="276"/>
        <v>0</v>
      </c>
      <c r="N1939" s="1211">
        <f t="shared" si="277"/>
        <v>0</v>
      </c>
      <c r="O1939" s="1212"/>
      <c r="P1939" s="1200"/>
      <c r="Q1939" s="1200"/>
    </row>
    <row r="1940" spans="1:17" ht="15" thickTop="1" thickBot="1" x14ac:dyDescent="0.3">
      <c r="A1940" s="1207"/>
      <c r="B1940" s="1212"/>
      <c r="C1940" s="1212"/>
      <c r="D1940" s="1212"/>
      <c r="E1940" s="1212"/>
      <c r="F1940" s="1208"/>
      <c r="G1940" s="1208"/>
      <c r="H1940" s="1208"/>
      <c r="I1940" s="1209"/>
      <c r="J1940" s="1209"/>
      <c r="K1940" s="1210">
        <f t="shared" si="278"/>
        <v>1.05</v>
      </c>
      <c r="L1940" s="1210">
        <f t="shared" si="275"/>
        <v>0</v>
      </c>
      <c r="M1940" s="1197">
        <f t="shared" si="276"/>
        <v>0</v>
      </c>
      <c r="N1940" s="1211">
        <f t="shared" si="277"/>
        <v>0</v>
      </c>
      <c r="O1940" s="1212"/>
      <c r="P1940" s="1200"/>
      <c r="Q1940" s="1200"/>
    </row>
    <row r="1941" spans="1:17" ht="15" thickTop="1" thickBot="1" x14ac:dyDescent="0.3">
      <c r="A1941" s="1207"/>
      <c r="B1941" s="1212"/>
      <c r="C1941" s="1212"/>
      <c r="D1941" s="1212"/>
      <c r="E1941" s="1212"/>
      <c r="F1941" s="1208"/>
      <c r="G1941" s="1208"/>
      <c r="H1941" s="1208"/>
      <c r="I1941" s="1209"/>
      <c r="J1941" s="1209"/>
      <c r="K1941" s="1210">
        <f t="shared" si="278"/>
        <v>1.05</v>
      </c>
      <c r="L1941" s="1210">
        <f t="shared" si="275"/>
        <v>0</v>
      </c>
      <c r="M1941" s="1197">
        <f t="shared" si="276"/>
        <v>0</v>
      </c>
      <c r="N1941" s="1211">
        <f t="shared" si="277"/>
        <v>0</v>
      </c>
      <c r="O1941" s="1212"/>
      <c r="P1941" s="1200"/>
      <c r="Q1941" s="1200"/>
    </row>
    <row r="1942" spans="1:17" ht="15" thickTop="1" thickBot="1" x14ac:dyDescent="0.3">
      <c r="A1942" s="1207"/>
      <c r="B1942" s="1212"/>
      <c r="C1942" s="1212"/>
      <c r="D1942" s="1212"/>
      <c r="E1942" s="1212"/>
      <c r="F1942" s="1208"/>
      <c r="G1942" s="1208"/>
      <c r="H1942" s="1208"/>
      <c r="I1942" s="1209"/>
      <c r="J1942" s="1209"/>
      <c r="K1942" s="1210">
        <f t="shared" si="278"/>
        <v>1.05</v>
      </c>
      <c r="L1942" s="1210">
        <f t="shared" si="275"/>
        <v>0</v>
      </c>
      <c r="M1942" s="1197">
        <f t="shared" si="276"/>
        <v>0</v>
      </c>
      <c r="N1942" s="1211">
        <f t="shared" si="277"/>
        <v>0</v>
      </c>
      <c r="O1942" s="1212"/>
      <c r="P1942" s="1200"/>
      <c r="Q1942" s="1200"/>
    </row>
    <row r="1943" spans="1:17" ht="15" thickTop="1" thickBot="1" x14ac:dyDescent="0.3">
      <c r="A1943" s="1207"/>
      <c r="B1943" s="1212"/>
      <c r="C1943" s="1212"/>
      <c r="D1943" s="1212"/>
      <c r="E1943" s="1212"/>
      <c r="F1943" s="1208"/>
      <c r="G1943" s="1208"/>
      <c r="H1943" s="1208"/>
      <c r="I1943" s="1209"/>
      <c r="J1943" s="1209"/>
      <c r="K1943" s="1210">
        <f t="shared" si="278"/>
        <v>1.05</v>
      </c>
      <c r="L1943" s="1210">
        <f t="shared" si="275"/>
        <v>0</v>
      </c>
      <c r="M1943" s="1197">
        <f t="shared" si="276"/>
        <v>0</v>
      </c>
      <c r="N1943" s="1211">
        <f t="shared" si="277"/>
        <v>0</v>
      </c>
      <c r="O1943" s="1212"/>
      <c r="P1943" s="1200"/>
      <c r="Q1943" s="1200"/>
    </row>
    <row r="1944" spans="1:17" ht="15" thickTop="1" thickBot="1" x14ac:dyDescent="0.3">
      <c r="A1944" s="1207"/>
      <c r="B1944" s="1212"/>
      <c r="C1944" s="1212"/>
      <c r="D1944" s="1212"/>
      <c r="E1944" s="1212"/>
      <c r="F1944" s="1208"/>
      <c r="G1944" s="1208"/>
      <c r="H1944" s="1208"/>
      <c r="I1944" s="1209"/>
      <c r="J1944" s="1209"/>
      <c r="K1944" s="1210">
        <f t="shared" si="278"/>
        <v>1.05</v>
      </c>
      <c r="L1944" s="1210">
        <f t="shared" si="275"/>
        <v>0</v>
      </c>
      <c r="M1944" s="1197">
        <f t="shared" si="276"/>
        <v>0</v>
      </c>
      <c r="N1944" s="1211">
        <f t="shared" si="277"/>
        <v>0</v>
      </c>
      <c r="O1944" s="1212"/>
      <c r="P1944" s="1200"/>
      <c r="Q1944" s="1200"/>
    </row>
    <row r="1945" spans="1:17" ht="15" thickTop="1" thickBot="1" x14ac:dyDescent="0.3">
      <c r="A1945" s="1207"/>
      <c r="B1945" s="1212"/>
      <c r="C1945" s="1212"/>
      <c r="D1945" s="1212"/>
      <c r="E1945" s="1212"/>
      <c r="F1945" s="1208"/>
      <c r="G1945" s="1208"/>
      <c r="H1945" s="1208"/>
      <c r="I1945" s="1209"/>
      <c r="J1945" s="1209"/>
      <c r="K1945" s="1210">
        <f t="shared" si="278"/>
        <v>1.05</v>
      </c>
      <c r="L1945" s="1210">
        <f t="shared" si="275"/>
        <v>0</v>
      </c>
      <c r="M1945" s="1197">
        <f t="shared" si="276"/>
        <v>0</v>
      </c>
      <c r="N1945" s="1211">
        <f t="shared" si="277"/>
        <v>0</v>
      </c>
      <c r="O1945" s="1212"/>
      <c r="P1945" s="1200"/>
      <c r="Q1945" s="1200"/>
    </row>
    <row r="1946" spans="1:17" ht="15" thickTop="1" thickBot="1" x14ac:dyDescent="0.3">
      <c r="A1946" s="1207"/>
      <c r="B1946" s="1212"/>
      <c r="C1946" s="1212"/>
      <c r="D1946" s="1212"/>
      <c r="E1946" s="1212"/>
      <c r="F1946" s="1208"/>
      <c r="G1946" s="1208"/>
      <c r="H1946" s="1208"/>
      <c r="I1946" s="1209"/>
      <c r="J1946" s="1209"/>
      <c r="K1946" s="1210">
        <f t="shared" si="278"/>
        <v>1.05</v>
      </c>
      <c r="L1946" s="1210">
        <f t="shared" si="275"/>
        <v>0</v>
      </c>
      <c r="M1946" s="1197">
        <f t="shared" si="276"/>
        <v>0</v>
      </c>
      <c r="N1946" s="1211">
        <f t="shared" si="277"/>
        <v>0</v>
      </c>
      <c r="O1946" s="1212"/>
      <c r="P1946" s="1200"/>
      <c r="Q1946" s="1200"/>
    </row>
    <row r="1947" spans="1:17" ht="15" thickTop="1" thickBot="1" x14ac:dyDescent="0.3">
      <c r="A1947" s="1207"/>
      <c r="B1947" s="1212"/>
      <c r="C1947" s="1212"/>
      <c r="D1947" s="1212"/>
      <c r="E1947" s="1212"/>
      <c r="F1947" s="1208"/>
      <c r="G1947" s="1208"/>
      <c r="H1947" s="1208"/>
      <c r="I1947" s="1209"/>
      <c r="J1947" s="1209"/>
      <c r="K1947" s="1210">
        <f t="shared" si="278"/>
        <v>1.05</v>
      </c>
      <c r="L1947" s="1210">
        <f t="shared" si="275"/>
        <v>0</v>
      </c>
      <c r="M1947" s="1197">
        <f t="shared" si="276"/>
        <v>0</v>
      </c>
      <c r="N1947" s="1211">
        <f t="shared" si="277"/>
        <v>0</v>
      </c>
      <c r="O1947" s="1212"/>
      <c r="P1947" s="1200"/>
      <c r="Q1947" s="1200"/>
    </row>
    <row r="1948" spans="1:17" ht="15" thickTop="1" thickBot="1" x14ac:dyDescent="0.3">
      <c r="A1948" s="1207"/>
      <c r="B1948" s="1212"/>
      <c r="C1948" s="1212"/>
      <c r="D1948" s="1212"/>
      <c r="E1948" s="1212"/>
      <c r="F1948" s="1208"/>
      <c r="G1948" s="1208"/>
      <c r="H1948" s="1208"/>
      <c r="I1948" s="1209"/>
      <c r="J1948" s="1209"/>
      <c r="K1948" s="1210">
        <f t="shared" si="278"/>
        <v>1.05</v>
      </c>
      <c r="L1948" s="1210">
        <f t="shared" si="275"/>
        <v>0</v>
      </c>
      <c r="M1948" s="1197">
        <f t="shared" si="276"/>
        <v>0</v>
      </c>
      <c r="N1948" s="1211">
        <f t="shared" si="277"/>
        <v>0</v>
      </c>
      <c r="O1948" s="1212"/>
      <c r="P1948" s="1200"/>
      <c r="Q1948" s="1200"/>
    </row>
    <row r="1949" spans="1:17" ht="15" thickTop="1" thickBot="1" x14ac:dyDescent="0.3">
      <c r="A1949" s="1207"/>
      <c r="B1949" s="1212"/>
      <c r="C1949" s="1212"/>
      <c r="D1949" s="1212"/>
      <c r="E1949" s="1212"/>
      <c r="F1949" s="1208"/>
      <c r="G1949" s="1208"/>
      <c r="H1949" s="1208"/>
      <c r="I1949" s="1209"/>
      <c r="J1949" s="1209"/>
      <c r="K1949" s="1210">
        <f t="shared" si="278"/>
        <v>1.05</v>
      </c>
      <c r="L1949" s="1210">
        <f t="shared" si="275"/>
        <v>0</v>
      </c>
      <c r="M1949" s="1197">
        <f t="shared" si="276"/>
        <v>0</v>
      </c>
      <c r="N1949" s="1211">
        <f t="shared" si="277"/>
        <v>0</v>
      </c>
      <c r="O1949" s="1212"/>
      <c r="P1949" s="1200"/>
      <c r="Q1949" s="1200"/>
    </row>
    <row r="1950" spans="1:17" ht="15" thickTop="1" thickBot="1" x14ac:dyDescent="0.3">
      <c r="A1950" s="1207"/>
      <c r="B1950" s="1212"/>
      <c r="C1950" s="1212"/>
      <c r="D1950" s="1212"/>
      <c r="E1950" s="1212"/>
      <c r="F1950" s="1208"/>
      <c r="G1950" s="1208"/>
      <c r="H1950" s="1208"/>
      <c r="I1950" s="1209"/>
      <c r="J1950" s="1209"/>
      <c r="K1950" s="1210">
        <f t="shared" si="278"/>
        <v>1.05</v>
      </c>
      <c r="L1950" s="1210">
        <f t="shared" si="275"/>
        <v>0</v>
      </c>
      <c r="M1950" s="1197">
        <f t="shared" si="276"/>
        <v>0</v>
      </c>
      <c r="N1950" s="1211">
        <f t="shared" si="277"/>
        <v>0</v>
      </c>
      <c r="O1950" s="1212"/>
      <c r="P1950" s="1200"/>
      <c r="Q1950" s="1200"/>
    </row>
    <row r="1951" spans="1:17" ht="15" thickTop="1" thickBot="1" x14ac:dyDescent="0.3">
      <c r="A1951" s="1207"/>
      <c r="B1951" s="1212"/>
      <c r="C1951" s="1212"/>
      <c r="D1951" s="1212"/>
      <c r="E1951" s="1212"/>
      <c r="F1951" s="1208"/>
      <c r="G1951" s="1208"/>
      <c r="H1951" s="1208"/>
      <c r="I1951" s="1209"/>
      <c r="J1951" s="1209"/>
      <c r="K1951" s="1210">
        <f t="shared" si="278"/>
        <v>1.05</v>
      </c>
      <c r="L1951" s="1210">
        <f t="shared" si="275"/>
        <v>0</v>
      </c>
      <c r="M1951" s="1197">
        <f t="shared" si="276"/>
        <v>0</v>
      </c>
      <c r="N1951" s="1211">
        <f t="shared" si="277"/>
        <v>0</v>
      </c>
      <c r="O1951" s="1212"/>
      <c r="P1951" s="1200"/>
      <c r="Q1951" s="1200"/>
    </row>
    <row r="1952" spans="1:17" ht="15" thickTop="1" thickBot="1" x14ac:dyDescent="0.3">
      <c r="A1952" s="1207"/>
      <c r="B1952" s="1212"/>
      <c r="C1952" s="1212"/>
      <c r="D1952" s="1212"/>
      <c r="E1952" s="1212"/>
      <c r="F1952" s="1208"/>
      <c r="G1952" s="1208"/>
      <c r="H1952" s="1208"/>
      <c r="I1952" s="1209"/>
      <c r="J1952" s="1209"/>
      <c r="K1952" s="1210">
        <f t="shared" si="278"/>
        <v>1.05</v>
      </c>
      <c r="L1952" s="1210">
        <f t="shared" si="275"/>
        <v>0</v>
      </c>
      <c r="M1952" s="1197">
        <f t="shared" si="276"/>
        <v>0</v>
      </c>
      <c r="N1952" s="1211">
        <f t="shared" si="277"/>
        <v>0</v>
      </c>
      <c r="O1952" s="1212"/>
      <c r="P1952" s="1200"/>
      <c r="Q1952" s="1200"/>
    </row>
    <row r="1953" spans="1:17" ht="15" thickTop="1" thickBot="1" x14ac:dyDescent="0.3">
      <c r="A1953" s="1207"/>
      <c r="B1953" s="1212"/>
      <c r="C1953" s="1212"/>
      <c r="D1953" s="1212"/>
      <c r="E1953" s="1212"/>
      <c r="F1953" s="1208"/>
      <c r="G1953" s="1208"/>
      <c r="H1953" s="1208"/>
      <c r="I1953" s="1209"/>
      <c r="J1953" s="1209"/>
      <c r="K1953" s="1210">
        <f t="shared" si="278"/>
        <v>1.05</v>
      </c>
      <c r="L1953" s="1210">
        <f t="shared" si="275"/>
        <v>0</v>
      </c>
      <c r="M1953" s="1197">
        <f t="shared" si="276"/>
        <v>0</v>
      </c>
      <c r="N1953" s="1211">
        <f t="shared" si="277"/>
        <v>0</v>
      </c>
      <c r="O1953" s="1212"/>
      <c r="P1953" s="1200"/>
      <c r="Q1953" s="1200"/>
    </row>
    <row r="1954" spans="1:17" ht="15" thickTop="1" thickBot="1" x14ac:dyDescent="0.3">
      <c r="A1954" s="1207"/>
      <c r="B1954" s="1212"/>
      <c r="C1954" s="1212"/>
      <c r="D1954" s="1212"/>
      <c r="E1954" s="1212"/>
      <c r="F1954" s="1208"/>
      <c r="G1954" s="1208"/>
      <c r="H1954" s="1208"/>
      <c r="I1954" s="1209"/>
      <c r="J1954" s="1209"/>
      <c r="K1954" s="1210">
        <f t="shared" si="278"/>
        <v>1.05</v>
      </c>
      <c r="L1954" s="1210">
        <f t="shared" si="275"/>
        <v>0</v>
      </c>
      <c r="M1954" s="1197">
        <f t="shared" si="276"/>
        <v>0</v>
      </c>
      <c r="N1954" s="1211">
        <f t="shared" si="277"/>
        <v>0</v>
      </c>
      <c r="O1954" s="1212"/>
      <c r="P1954" s="1200"/>
      <c r="Q1954" s="1200"/>
    </row>
    <row r="1955" spans="1:17" ht="15" thickTop="1" thickBot="1" x14ac:dyDescent="0.3">
      <c r="A1955" s="1207"/>
      <c r="B1955" s="1212"/>
      <c r="C1955" s="1212"/>
      <c r="D1955" s="1212"/>
      <c r="E1955" s="1212"/>
      <c r="F1955" s="1208"/>
      <c r="G1955" s="1208"/>
      <c r="H1955" s="1208"/>
      <c r="I1955" s="1209"/>
      <c r="J1955" s="1209"/>
      <c r="K1955" s="1210">
        <f t="shared" si="278"/>
        <v>1.05</v>
      </c>
      <c r="L1955" s="1210">
        <f t="shared" si="275"/>
        <v>0</v>
      </c>
      <c r="M1955" s="1197">
        <f t="shared" si="276"/>
        <v>0</v>
      </c>
      <c r="N1955" s="1211">
        <f t="shared" si="277"/>
        <v>0</v>
      </c>
      <c r="O1955" s="1212"/>
      <c r="P1955" s="1200"/>
      <c r="Q1955" s="1200"/>
    </row>
    <row r="1956" spans="1:17" ht="15" thickTop="1" thickBot="1" x14ac:dyDescent="0.3">
      <c r="A1956" s="1207"/>
      <c r="B1956" s="1212"/>
      <c r="C1956" s="1212"/>
      <c r="D1956" s="1212"/>
      <c r="E1956" s="1212"/>
      <c r="F1956" s="1208"/>
      <c r="G1956" s="1208"/>
      <c r="H1956" s="1208"/>
      <c r="I1956" s="1209"/>
      <c r="J1956" s="1209"/>
      <c r="K1956" s="1210">
        <f t="shared" si="278"/>
        <v>1.05</v>
      </c>
      <c r="L1956" s="1210">
        <f t="shared" si="275"/>
        <v>0</v>
      </c>
      <c r="M1956" s="1197">
        <f t="shared" si="276"/>
        <v>0</v>
      </c>
      <c r="N1956" s="1211">
        <f t="shared" si="277"/>
        <v>0</v>
      </c>
      <c r="O1956" s="1212"/>
      <c r="P1956" s="1200"/>
      <c r="Q1956" s="1200"/>
    </row>
    <row r="1957" spans="1:17" ht="15" thickTop="1" thickBot="1" x14ac:dyDescent="0.3">
      <c r="A1957" s="1207"/>
      <c r="B1957" s="1212"/>
      <c r="C1957" s="1212"/>
      <c r="D1957" s="1212"/>
      <c r="E1957" s="1212"/>
      <c r="F1957" s="1208"/>
      <c r="G1957" s="1208"/>
      <c r="H1957" s="1208"/>
      <c r="I1957" s="1209"/>
      <c r="J1957" s="1209"/>
      <c r="K1957" s="1210">
        <f t="shared" si="278"/>
        <v>1.05</v>
      </c>
      <c r="L1957" s="1210">
        <f t="shared" si="275"/>
        <v>0</v>
      </c>
      <c r="M1957" s="1197">
        <f t="shared" si="276"/>
        <v>0</v>
      </c>
      <c r="N1957" s="1211">
        <f t="shared" si="277"/>
        <v>0</v>
      </c>
      <c r="O1957" s="1212"/>
      <c r="P1957" s="1200"/>
      <c r="Q1957" s="1200"/>
    </row>
    <row r="1958" spans="1:17" ht="15" thickTop="1" thickBot="1" x14ac:dyDescent="0.3">
      <c r="A1958" s="1207"/>
      <c r="B1958" s="1212"/>
      <c r="C1958" s="1212"/>
      <c r="D1958" s="1212"/>
      <c r="E1958" s="1212"/>
      <c r="F1958" s="1208"/>
      <c r="G1958" s="1208"/>
      <c r="H1958" s="1208"/>
      <c r="I1958" s="1209"/>
      <c r="J1958" s="1209"/>
      <c r="K1958" s="1210">
        <f t="shared" si="278"/>
        <v>1.05</v>
      </c>
      <c r="L1958" s="1210">
        <f t="shared" si="275"/>
        <v>0</v>
      </c>
      <c r="M1958" s="1197">
        <f t="shared" si="276"/>
        <v>0</v>
      </c>
      <c r="N1958" s="1211">
        <f t="shared" si="277"/>
        <v>0</v>
      </c>
      <c r="O1958" s="1212"/>
      <c r="P1958" s="1200"/>
      <c r="Q1958" s="1200"/>
    </row>
    <row r="1959" spans="1:17" ht="15" thickTop="1" thickBot="1" x14ac:dyDescent="0.3">
      <c r="A1959" s="1207"/>
      <c r="B1959" s="1212"/>
      <c r="C1959" s="1212"/>
      <c r="D1959" s="1212"/>
      <c r="E1959" s="1212"/>
      <c r="F1959" s="1208"/>
      <c r="G1959" s="1208"/>
      <c r="H1959" s="1208"/>
      <c r="I1959" s="1209"/>
      <c r="J1959" s="1209"/>
      <c r="K1959" s="1210">
        <f t="shared" si="278"/>
        <v>1.05</v>
      </c>
      <c r="L1959" s="1210">
        <f t="shared" si="275"/>
        <v>0</v>
      </c>
      <c r="M1959" s="1197">
        <f t="shared" si="276"/>
        <v>0</v>
      </c>
      <c r="N1959" s="1211">
        <f t="shared" si="277"/>
        <v>0</v>
      </c>
      <c r="O1959" s="1212"/>
      <c r="P1959" s="1200"/>
      <c r="Q1959" s="1200"/>
    </row>
    <row r="1960" spans="1:17" ht="15" thickTop="1" thickBot="1" x14ac:dyDescent="0.3">
      <c r="A1960" s="1207"/>
      <c r="B1960" s="1212"/>
      <c r="C1960" s="1212"/>
      <c r="D1960" s="1212"/>
      <c r="E1960" s="1212"/>
      <c r="F1960" s="1208"/>
      <c r="G1960" s="1208"/>
      <c r="H1960" s="1208"/>
      <c r="I1960" s="1209"/>
      <c r="J1960" s="1209"/>
      <c r="K1960" s="1210">
        <f t="shared" si="278"/>
        <v>1.05</v>
      </c>
      <c r="L1960" s="1210">
        <f t="shared" si="275"/>
        <v>0</v>
      </c>
      <c r="M1960" s="1197">
        <f t="shared" si="276"/>
        <v>0</v>
      </c>
      <c r="N1960" s="1211">
        <f t="shared" si="277"/>
        <v>0</v>
      </c>
      <c r="O1960" s="1212"/>
      <c r="P1960" s="1200"/>
      <c r="Q1960" s="1200"/>
    </row>
    <row r="1961" spans="1:17" ht="15" thickTop="1" thickBot="1" x14ac:dyDescent="0.3">
      <c r="A1961" s="1207"/>
      <c r="B1961" s="1212"/>
      <c r="C1961" s="1212"/>
      <c r="D1961" s="1212"/>
      <c r="E1961" s="1212"/>
      <c r="F1961" s="1208"/>
      <c r="G1961" s="1208"/>
      <c r="H1961" s="1208"/>
      <c r="I1961" s="1209"/>
      <c r="J1961" s="1209"/>
      <c r="K1961" s="1210">
        <f t="shared" si="278"/>
        <v>1.05</v>
      </c>
      <c r="L1961" s="1210">
        <f t="shared" si="275"/>
        <v>0</v>
      </c>
      <c r="M1961" s="1197">
        <f t="shared" si="276"/>
        <v>0</v>
      </c>
      <c r="N1961" s="1211">
        <f t="shared" si="277"/>
        <v>0</v>
      </c>
      <c r="O1961" s="1212"/>
      <c r="P1961" s="1200"/>
      <c r="Q1961" s="1200"/>
    </row>
    <row r="1962" spans="1:17" ht="15" thickTop="1" thickBot="1" x14ac:dyDescent="0.3">
      <c r="A1962" s="1207"/>
      <c r="B1962" s="1212"/>
      <c r="C1962" s="1212"/>
      <c r="D1962" s="1212"/>
      <c r="E1962" s="1212"/>
      <c r="F1962" s="1208"/>
      <c r="G1962" s="1208"/>
      <c r="H1962" s="1208"/>
      <c r="I1962" s="1209"/>
      <c r="J1962" s="1209"/>
      <c r="K1962" s="1210">
        <f t="shared" si="278"/>
        <v>1.05</v>
      </c>
      <c r="L1962" s="1210">
        <f t="shared" ref="L1962:L2025" si="279">K1962*J1962</f>
        <v>0</v>
      </c>
      <c r="M1962" s="1197">
        <f t="shared" ref="M1962:M2025" si="280">ROUND(L1962,1)</f>
        <v>0</v>
      </c>
      <c r="N1962" s="1211">
        <f t="shared" ref="N1962:N2025" si="281">ROUNDUP(M1962,0)</f>
        <v>0</v>
      </c>
      <c r="O1962" s="1212"/>
      <c r="P1962" s="1200"/>
      <c r="Q1962" s="1200"/>
    </row>
    <row r="1963" spans="1:17" ht="15" thickTop="1" thickBot="1" x14ac:dyDescent="0.3">
      <c r="A1963" s="1207"/>
      <c r="B1963" s="1212"/>
      <c r="C1963" s="1212"/>
      <c r="D1963" s="1212"/>
      <c r="E1963" s="1212"/>
      <c r="F1963" s="1208"/>
      <c r="G1963" s="1208"/>
      <c r="H1963" s="1208"/>
      <c r="I1963" s="1209"/>
      <c r="J1963" s="1209"/>
      <c r="K1963" s="1210">
        <f t="shared" si="278"/>
        <v>1.05</v>
      </c>
      <c r="L1963" s="1210">
        <f t="shared" si="279"/>
        <v>0</v>
      </c>
      <c r="M1963" s="1197">
        <f t="shared" si="280"/>
        <v>0</v>
      </c>
      <c r="N1963" s="1211">
        <f t="shared" si="281"/>
        <v>0</v>
      </c>
      <c r="O1963" s="1212"/>
      <c r="P1963" s="1200"/>
      <c r="Q1963" s="1200"/>
    </row>
    <row r="1964" spans="1:17" ht="15" thickTop="1" thickBot="1" x14ac:dyDescent="0.3">
      <c r="A1964" s="1207"/>
      <c r="B1964" s="1212"/>
      <c r="C1964" s="1212"/>
      <c r="D1964" s="1212"/>
      <c r="E1964" s="1212"/>
      <c r="F1964" s="1208"/>
      <c r="G1964" s="1208"/>
      <c r="H1964" s="1208"/>
      <c r="I1964" s="1209"/>
      <c r="J1964" s="1209"/>
      <c r="K1964" s="1210">
        <f t="shared" si="278"/>
        <v>1.05</v>
      </c>
      <c r="L1964" s="1210">
        <f t="shared" si="279"/>
        <v>0</v>
      </c>
      <c r="M1964" s="1197">
        <f t="shared" si="280"/>
        <v>0</v>
      </c>
      <c r="N1964" s="1211">
        <f t="shared" si="281"/>
        <v>0</v>
      </c>
      <c r="O1964" s="1212"/>
      <c r="P1964" s="1200"/>
      <c r="Q1964" s="1200"/>
    </row>
    <row r="1965" spans="1:17" ht="15" thickTop="1" thickBot="1" x14ac:dyDescent="0.3">
      <c r="A1965" s="1207"/>
      <c r="B1965" s="1212"/>
      <c r="C1965" s="1212"/>
      <c r="D1965" s="1212"/>
      <c r="E1965" s="1212"/>
      <c r="F1965" s="1208"/>
      <c r="G1965" s="1208"/>
      <c r="H1965" s="1208"/>
      <c r="I1965" s="1209"/>
      <c r="J1965" s="1209"/>
      <c r="K1965" s="1210">
        <f t="shared" si="278"/>
        <v>1.05</v>
      </c>
      <c r="L1965" s="1210">
        <f t="shared" si="279"/>
        <v>0</v>
      </c>
      <c r="M1965" s="1197">
        <f t="shared" si="280"/>
        <v>0</v>
      </c>
      <c r="N1965" s="1211">
        <f t="shared" si="281"/>
        <v>0</v>
      </c>
      <c r="O1965" s="1212"/>
      <c r="P1965" s="1200"/>
      <c r="Q1965" s="1200"/>
    </row>
    <row r="1966" spans="1:17" ht="15" thickTop="1" thickBot="1" x14ac:dyDescent="0.3">
      <c r="A1966" s="1207"/>
      <c r="B1966" s="1212"/>
      <c r="C1966" s="1212"/>
      <c r="D1966" s="1212"/>
      <c r="E1966" s="1212"/>
      <c r="F1966" s="1208"/>
      <c r="G1966" s="1208"/>
      <c r="H1966" s="1208"/>
      <c r="I1966" s="1209"/>
      <c r="J1966" s="1209"/>
      <c r="K1966" s="1210">
        <f t="shared" si="278"/>
        <v>1.05</v>
      </c>
      <c r="L1966" s="1210">
        <f t="shared" si="279"/>
        <v>0</v>
      </c>
      <c r="M1966" s="1197">
        <f t="shared" si="280"/>
        <v>0</v>
      </c>
      <c r="N1966" s="1211">
        <f t="shared" si="281"/>
        <v>0</v>
      </c>
      <c r="O1966" s="1212"/>
      <c r="P1966" s="1200"/>
      <c r="Q1966" s="1200"/>
    </row>
    <row r="1967" spans="1:17" ht="15" thickTop="1" thickBot="1" x14ac:dyDescent="0.3">
      <c r="A1967" s="1207"/>
      <c r="B1967" s="1212"/>
      <c r="C1967" s="1212"/>
      <c r="D1967" s="1212"/>
      <c r="E1967" s="1212"/>
      <c r="F1967" s="1208"/>
      <c r="G1967" s="1208"/>
      <c r="H1967" s="1208"/>
      <c r="I1967" s="1209"/>
      <c r="J1967" s="1209"/>
      <c r="K1967" s="1210">
        <f t="shared" si="278"/>
        <v>1.05</v>
      </c>
      <c r="L1967" s="1210">
        <f t="shared" si="279"/>
        <v>0</v>
      </c>
      <c r="M1967" s="1197">
        <f t="shared" si="280"/>
        <v>0</v>
      </c>
      <c r="N1967" s="1211">
        <f t="shared" si="281"/>
        <v>0</v>
      </c>
      <c r="O1967" s="1212"/>
      <c r="P1967" s="1200"/>
      <c r="Q1967" s="1200"/>
    </row>
    <row r="1968" spans="1:17" ht="15" thickTop="1" thickBot="1" x14ac:dyDescent="0.3">
      <c r="A1968" s="1207"/>
      <c r="B1968" s="1212"/>
      <c r="C1968" s="1212"/>
      <c r="D1968" s="1212"/>
      <c r="E1968" s="1212"/>
      <c r="F1968" s="1208"/>
      <c r="G1968" s="1208"/>
      <c r="H1968" s="1208"/>
      <c r="I1968" s="1209"/>
      <c r="J1968" s="1209"/>
      <c r="K1968" s="1210">
        <f t="shared" si="278"/>
        <v>1.05</v>
      </c>
      <c r="L1968" s="1210">
        <f t="shared" si="279"/>
        <v>0</v>
      </c>
      <c r="M1968" s="1197">
        <f t="shared" si="280"/>
        <v>0</v>
      </c>
      <c r="N1968" s="1211">
        <f t="shared" si="281"/>
        <v>0</v>
      </c>
      <c r="O1968" s="1212"/>
      <c r="P1968" s="1200"/>
      <c r="Q1968" s="1200"/>
    </row>
    <row r="1969" spans="1:17" ht="15" thickTop="1" thickBot="1" x14ac:dyDescent="0.3">
      <c r="A1969" s="1207"/>
      <c r="B1969" s="1212"/>
      <c r="C1969" s="1212"/>
      <c r="D1969" s="1212"/>
      <c r="E1969" s="1212"/>
      <c r="F1969" s="1208"/>
      <c r="G1969" s="1208"/>
      <c r="H1969" s="1208"/>
      <c r="I1969" s="1209"/>
      <c r="J1969" s="1209"/>
      <c r="K1969" s="1210">
        <f t="shared" si="278"/>
        <v>1.05</v>
      </c>
      <c r="L1969" s="1210">
        <f t="shared" si="279"/>
        <v>0</v>
      </c>
      <c r="M1969" s="1197">
        <f t="shared" si="280"/>
        <v>0</v>
      </c>
      <c r="N1969" s="1211">
        <f t="shared" si="281"/>
        <v>0</v>
      </c>
      <c r="O1969" s="1212"/>
      <c r="P1969" s="1200"/>
      <c r="Q1969" s="1200"/>
    </row>
    <row r="1970" spans="1:17" ht="15" thickTop="1" thickBot="1" x14ac:dyDescent="0.3">
      <c r="A1970" s="1207"/>
      <c r="B1970" s="1212"/>
      <c r="C1970" s="1212"/>
      <c r="D1970" s="1212"/>
      <c r="E1970" s="1212"/>
      <c r="F1970" s="1208"/>
      <c r="G1970" s="1208"/>
      <c r="H1970" s="1208"/>
      <c r="I1970" s="1209"/>
      <c r="J1970" s="1209"/>
      <c r="K1970" s="1210">
        <f t="shared" si="278"/>
        <v>1.05</v>
      </c>
      <c r="L1970" s="1210">
        <f t="shared" si="279"/>
        <v>0</v>
      </c>
      <c r="M1970" s="1197">
        <f t="shared" si="280"/>
        <v>0</v>
      </c>
      <c r="N1970" s="1211">
        <f t="shared" si="281"/>
        <v>0</v>
      </c>
      <c r="O1970" s="1212"/>
      <c r="P1970" s="1200"/>
      <c r="Q1970" s="1200"/>
    </row>
    <row r="1971" spans="1:17" ht="15" thickTop="1" thickBot="1" x14ac:dyDescent="0.3">
      <c r="A1971" s="1207"/>
      <c r="B1971" s="1212"/>
      <c r="C1971" s="1212"/>
      <c r="D1971" s="1212"/>
      <c r="E1971" s="1212"/>
      <c r="F1971" s="1208"/>
      <c r="G1971" s="1208"/>
      <c r="H1971" s="1208"/>
      <c r="I1971" s="1209"/>
      <c r="J1971" s="1209"/>
      <c r="K1971" s="1210">
        <f t="shared" si="278"/>
        <v>1.05</v>
      </c>
      <c r="L1971" s="1210">
        <f t="shared" si="279"/>
        <v>0</v>
      </c>
      <c r="M1971" s="1197">
        <f t="shared" si="280"/>
        <v>0</v>
      </c>
      <c r="N1971" s="1211">
        <f t="shared" si="281"/>
        <v>0</v>
      </c>
      <c r="O1971" s="1212"/>
      <c r="P1971" s="1200"/>
      <c r="Q1971" s="1200"/>
    </row>
    <row r="1972" spans="1:17" ht="15" thickTop="1" thickBot="1" x14ac:dyDescent="0.3">
      <c r="A1972" s="1207"/>
      <c r="B1972" s="1212"/>
      <c r="C1972" s="1212"/>
      <c r="D1972" s="1212"/>
      <c r="E1972" s="1212"/>
      <c r="F1972" s="1208"/>
      <c r="G1972" s="1208"/>
      <c r="H1972" s="1208"/>
      <c r="I1972" s="1209"/>
      <c r="J1972" s="1209"/>
      <c r="K1972" s="1210">
        <f t="shared" si="278"/>
        <v>1.05</v>
      </c>
      <c r="L1972" s="1210">
        <f t="shared" si="279"/>
        <v>0</v>
      </c>
      <c r="M1972" s="1197">
        <f t="shared" si="280"/>
        <v>0</v>
      </c>
      <c r="N1972" s="1211">
        <f t="shared" si="281"/>
        <v>0</v>
      </c>
      <c r="O1972" s="1212"/>
      <c r="P1972" s="1200"/>
      <c r="Q1972" s="1200"/>
    </row>
    <row r="1973" spans="1:17" ht="15" thickTop="1" thickBot="1" x14ac:dyDescent="0.3">
      <c r="A1973" s="1207"/>
      <c r="B1973" s="1212"/>
      <c r="C1973" s="1212"/>
      <c r="D1973" s="1212"/>
      <c r="E1973" s="1212"/>
      <c r="F1973" s="1208"/>
      <c r="G1973" s="1208"/>
      <c r="H1973" s="1208"/>
      <c r="I1973" s="1209"/>
      <c r="J1973" s="1209"/>
      <c r="K1973" s="1210">
        <f t="shared" si="278"/>
        <v>1.05</v>
      </c>
      <c r="L1973" s="1210">
        <f t="shared" si="279"/>
        <v>0</v>
      </c>
      <c r="M1973" s="1197">
        <f t="shared" si="280"/>
        <v>0</v>
      </c>
      <c r="N1973" s="1211">
        <f t="shared" si="281"/>
        <v>0</v>
      </c>
      <c r="O1973" s="1212"/>
      <c r="P1973" s="1200"/>
      <c r="Q1973" s="1200"/>
    </row>
    <row r="1974" spans="1:17" ht="15" thickTop="1" thickBot="1" x14ac:dyDescent="0.3">
      <c r="A1974" s="1207"/>
      <c r="B1974" s="1212"/>
      <c r="C1974" s="1212"/>
      <c r="D1974" s="1212"/>
      <c r="E1974" s="1212"/>
      <c r="F1974" s="1208"/>
      <c r="G1974" s="1208"/>
      <c r="H1974" s="1208"/>
      <c r="I1974" s="1209"/>
      <c r="J1974" s="1209"/>
      <c r="K1974" s="1210">
        <f t="shared" si="278"/>
        <v>1.05</v>
      </c>
      <c r="L1974" s="1210">
        <f t="shared" si="279"/>
        <v>0</v>
      </c>
      <c r="M1974" s="1197">
        <f t="shared" si="280"/>
        <v>0</v>
      </c>
      <c r="N1974" s="1211">
        <f t="shared" si="281"/>
        <v>0</v>
      </c>
      <c r="O1974" s="1212"/>
      <c r="P1974" s="1200"/>
      <c r="Q1974" s="1200"/>
    </row>
    <row r="1975" spans="1:17" ht="15" thickTop="1" thickBot="1" x14ac:dyDescent="0.3">
      <c r="A1975" s="1207"/>
      <c r="B1975" s="1212"/>
      <c r="C1975" s="1212"/>
      <c r="D1975" s="1212"/>
      <c r="E1975" s="1212"/>
      <c r="F1975" s="1208"/>
      <c r="G1975" s="1208"/>
      <c r="H1975" s="1208"/>
      <c r="I1975" s="1209"/>
      <c r="J1975" s="1209"/>
      <c r="K1975" s="1210">
        <f t="shared" si="278"/>
        <v>1.05</v>
      </c>
      <c r="L1975" s="1210">
        <f t="shared" si="279"/>
        <v>0</v>
      </c>
      <c r="M1975" s="1197">
        <f t="shared" si="280"/>
        <v>0</v>
      </c>
      <c r="N1975" s="1211">
        <f t="shared" si="281"/>
        <v>0</v>
      </c>
      <c r="O1975" s="1212"/>
      <c r="P1975" s="1200"/>
      <c r="Q1975" s="1200"/>
    </row>
    <row r="1976" spans="1:17" ht="15" thickTop="1" thickBot="1" x14ac:dyDescent="0.3">
      <c r="A1976" s="1207"/>
      <c r="B1976" s="1212"/>
      <c r="C1976" s="1212"/>
      <c r="D1976" s="1212"/>
      <c r="E1976" s="1212"/>
      <c r="F1976" s="1208"/>
      <c r="G1976" s="1208"/>
      <c r="H1976" s="1208"/>
      <c r="I1976" s="1209"/>
      <c r="J1976" s="1209"/>
      <c r="K1976" s="1210">
        <f t="shared" si="278"/>
        <v>1.05</v>
      </c>
      <c r="L1976" s="1210">
        <f t="shared" si="279"/>
        <v>0</v>
      </c>
      <c r="M1976" s="1197">
        <f t="shared" si="280"/>
        <v>0</v>
      </c>
      <c r="N1976" s="1211">
        <f t="shared" si="281"/>
        <v>0</v>
      </c>
      <c r="O1976" s="1212"/>
      <c r="P1976" s="1200"/>
      <c r="Q1976" s="1200"/>
    </row>
    <row r="1977" spans="1:17" ht="15" thickTop="1" thickBot="1" x14ac:dyDescent="0.3">
      <c r="A1977" s="1207"/>
      <c r="B1977" s="1212"/>
      <c r="C1977" s="1212"/>
      <c r="D1977" s="1212"/>
      <c r="E1977" s="1212"/>
      <c r="F1977" s="1208"/>
      <c r="G1977" s="1208"/>
      <c r="H1977" s="1208"/>
      <c r="I1977" s="1209"/>
      <c r="J1977" s="1209"/>
      <c r="K1977" s="1210">
        <f t="shared" si="278"/>
        <v>1.05</v>
      </c>
      <c r="L1977" s="1210">
        <f t="shared" si="279"/>
        <v>0</v>
      </c>
      <c r="M1977" s="1197">
        <f t="shared" si="280"/>
        <v>0</v>
      </c>
      <c r="N1977" s="1211">
        <f t="shared" si="281"/>
        <v>0</v>
      </c>
      <c r="O1977" s="1212"/>
      <c r="P1977" s="1200"/>
      <c r="Q1977" s="1200"/>
    </row>
    <row r="1978" spans="1:17" ht="15" thickTop="1" thickBot="1" x14ac:dyDescent="0.3">
      <c r="A1978" s="1207"/>
      <c r="B1978" s="1212"/>
      <c r="C1978" s="1212"/>
      <c r="D1978" s="1212"/>
      <c r="E1978" s="1212"/>
      <c r="F1978" s="1208"/>
      <c r="G1978" s="1208"/>
      <c r="H1978" s="1208"/>
      <c r="I1978" s="1209"/>
      <c r="J1978" s="1209"/>
      <c r="K1978" s="1210">
        <f t="shared" si="278"/>
        <v>1.05</v>
      </c>
      <c r="L1978" s="1210">
        <f t="shared" si="279"/>
        <v>0</v>
      </c>
      <c r="M1978" s="1197">
        <f t="shared" si="280"/>
        <v>0</v>
      </c>
      <c r="N1978" s="1211">
        <f t="shared" si="281"/>
        <v>0</v>
      </c>
      <c r="O1978" s="1212"/>
      <c r="P1978" s="1200"/>
      <c r="Q1978" s="1200"/>
    </row>
    <row r="1979" spans="1:17" ht="15" thickTop="1" thickBot="1" x14ac:dyDescent="0.3">
      <c r="A1979" s="1207"/>
      <c r="B1979" s="1212"/>
      <c r="C1979" s="1212"/>
      <c r="D1979" s="1212"/>
      <c r="E1979" s="1212"/>
      <c r="F1979" s="1208"/>
      <c r="G1979" s="1208"/>
      <c r="H1979" s="1208"/>
      <c r="I1979" s="1209"/>
      <c r="J1979" s="1209"/>
      <c r="K1979" s="1210">
        <f t="shared" si="278"/>
        <v>1.05</v>
      </c>
      <c r="L1979" s="1210">
        <f t="shared" si="279"/>
        <v>0</v>
      </c>
      <c r="M1979" s="1197">
        <f t="shared" si="280"/>
        <v>0</v>
      </c>
      <c r="N1979" s="1211">
        <f t="shared" si="281"/>
        <v>0</v>
      </c>
      <c r="O1979" s="1212"/>
      <c r="P1979" s="1200"/>
      <c r="Q1979" s="1200"/>
    </row>
    <row r="1980" spans="1:17" ht="15" thickTop="1" thickBot="1" x14ac:dyDescent="0.3">
      <c r="A1980" s="1207"/>
      <c r="B1980" s="1212"/>
      <c r="C1980" s="1212"/>
      <c r="D1980" s="1212"/>
      <c r="E1980" s="1212"/>
      <c r="F1980" s="1208"/>
      <c r="G1980" s="1208"/>
      <c r="H1980" s="1208"/>
      <c r="I1980" s="1209"/>
      <c r="J1980" s="1209"/>
      <c r="K1980" s="1210">
        <f t="shared" si="278"/>
        <v>1.05</v>
      </c>
      <c r="L1980" s="1210">
        <f t="shared" si="279"/>
        <v>0</v>
      </c>
      <c r="M1980" s="1197">
        <f t="shared" si="280"/>
        <v>0</v>
      </c>
      <c r="N1980" s="1211">
        <f t="shared" si="281"/>
        <v>0</v>
      </c>
      <c r="O1980" s="1212"/>
      <c r="P1980" s="1200"/>
      <c r="Q1980" s="1200"/>
    </row>
    <row r="1981" spans="1:17" ht="15" thickTop="1" thickBot="1" x14ac:dyDescent="0.3">
      <c r="A1981" s="1207"/>
      <c r="B1981" s="1212"/>
      <c r="C1981" s="1212"/>
      <c r="D1981" s="1212"/>
      <c r="E1981" s="1212"/>
      <c r="F1981" s="1208"/>
      <c r="G1981" s="1208"/>
      <c r="H1981" s="1208"/>
      <c r="I1981" s="1209"/>
      <c r="J1981" s="1209"/>
      <c r="K1981" s="1210">
        <f t="shared" si="278"/>
        <v>1.05</v>
      </c>
      <c r="L1981" s="1210">
        <f t="shared" si="279"/>
        <v>0</v>
      </c>
      <c r="M1981" s="1197">
        <f t="shared" si="280"/>
        <v>0</v>
      </c>
      <c r="N1981" s="1211">
        <f t="shared" si="281"/>
        <v>0</v>
      </c>
      <c r="O1981" s="1212"/>
      <c r="P1981" s="1200"/>
      <c r="Q1981" s="1200"/>
    </row>
    <row r="1982" spans="1:17" ht="15" thickTop="1" thickBot="1" x14ac:dyDescent="0.3">
      <c r="A1982" s="1207"/>
      <c r="B1982" s="1212"/>
      <c r="C1982" s="1212"/>
      <c r="D1982" s="1212"/>
      <c r="E1982" s="1212"/>
      <c r="F1982" s="1208"/>
      <c r="G1982" s="1208"/>
      <c r="H1982" s="1208"/>
      <c r="I1982" s="1209"/>
      <c r="J1982" s="1209"/>
      <c r="K1982" s="1210">
        <f t="shared" si="278"/>
        <v>1.05</v>
      </c>
      <c r="L1982" s="1210">
        <f t="shared" si="279"/>
        <v>0</v>
      </c>
      <c r="M1982" s="1197">
        <f t="shared" si="280"/>
        <v>0</v>
      </c>
      <c r="N1982" s="1211">
        <f t="shared" si="281"/>
        <v>0</v>
      </c>
      <c r="O1982" s="1212"/>
      <c r="P1982" s="1200"/>
      <c r="Q1982" s="1200"/>
    </row>
    <row r="1983" spans="1:17" ht="15" thickTop="1" thickBot="1" x14ac:dyDescent="0.3">
      <c r="A1983" s="1207"/>
      <c r="B1983" s="1212"/>
      <c r="C1983" s="1212"/>
      <c r="D1983" s="1212"/>
      <c r="E1983" s="1212"/>
      <c r="F1983" s="1208"/>
      <c r="G1983" s="1208"/>
      <c r="H1983" s="1208"/>
      <c r="I1983" s="1209"/>
      <c r="J1983" s="1209"/>
      <c r="K1983" s="1210">
        <f t="shared" si="278"/>
        <v>1.05</v>
      </c>
      <c r="L1983" s="1210">
        <f t="shared" si="279"/>
        <v>0</v>
      </c>
      <c r="M1983" s="1197">
        <f t="shared" si="280"/>
        <v>0</v>
      </c>
      <c r="N1983" s="1211">
        <f t="shared" si="281"/>
        <v>0</v>
      </c>
      <c r="O1983" s="1212"/>
      <c r="P1983" s="1200"/>
      <c r="Q1983" s="1200"/>
    </row>
    <row r="1984" spans="1:17" ht="15" thickTop="1" thickBot="1" x14ac:dyDescent="0.3">
      <c r="A1984" s="1207"/>
      <c r="B1984" s="1212"/>
      <c r="C1984" s="1212"/>
      <c r="D1984" s="1212"/>
      <c r="E1984" s="1212"/>
      <c r="F1984" s="1208"/>
      <c r="G1984" s="1208"/>
      <c r="H1984" s="1208"/>
      <c r="I1984" s="1209"/>
      <c r="J1984" s="1209"/>
      <c r="K1984" s="1210">
        <f t="shared" si="278"/>
        <v>1.05</v>
      </c>
      <c r="L1984" s="1210">
        <f t="shared" si="279"/>
        <v>0</v>
      </c>
      <c r="M1984" s="1197">
        <f t="shared" si="280"/>
        <v>0</v>
      </c>
      <c r="N1984" s="1211">
        <f t="shared" si="281"/>
        <v>0</v>
      </c>
      <c r="O1984" s="1212"/>
      <c r="P1984" s="1200"/>
      <c r="Q1984" s="1200"/>
    </row>
    <row r="1985" spans="1:17" ht="15" thickTop="1" thickBot="1" x14ac:dyDescent="0.3">
      <c r="A1985" s="1207"/>
      <c r="B1985" s="1212"/>
      <c r="C1985" s="1212"/>
      <c r="D1985" s="1212"/>
      <c r="E1985" s="1212"/>
      <c r="F1985" s="1208"/>
      <c r="G1985" s="1208"/>
      <c r="H1985" s="1208"/>
      <c r="I1985" s="1209"/>
      <c r="J1985" s="1209"/>
      <c r="K1985" s="1210">
        <f t="shared" si="278"/>
        <v>1.05</v>
      </c>
      <c r="L1985" s="1210">
        <f t="shared" si="279"/>
        <v>0</v>
      </c>
      <c r="M1985" s="1197">
        <f t="shared" si="280"/>
        <v>0</v>
      </c>
      <c r="N1985" s="1211">
        <f t="shared" si="281"/>
        <v>0</v>
      </c>
      <c r="O1985" s="1212"/>
      <c r="P1985" s="1200"/>
      <c r="Q1985" s="1200"/>
    </row>
    <row r="1986" spans="1:17" ht="15" thickTop="1" thickBot="1" x14ac:dyDescent="0.3">
      <c r="A1986" s="1207"/>
      <c r="B1986" s="1212"/>
      <c r="C1986" s="1212"/>
      <c r="D1986" s="1212"/>
      <c r="E1986" s="1212"/>
      <c r="F1986" s="1208"/>
      <c r="G1986" s="1208"/>
      <c r="H1986" s="1208"/>
      <c r="I1986" s="1209"/>
      <c r="J1986" s="1209"/>
      <c r="K1986" s="1210">
        <f t="shared" si="278"/>
        <v>1.05</v>
      </c>
      <c r="L1986" s="1210">
        <f t="shared" si="279"/>
        <v>0</v>
      </c>
      <c r="M1986" s="1197">
        <f t="shared" si="280"/>
        <v>0</v>
      </c>
      <c r="N1986" s="1211">
        <f t="shared" si="281"/>
        <v>0</v>
      </c>
      <c r="O1986" s="1212"/>
      <c r="P1986" s="1200"/>
      <c r="Q1986" s="1200"/>
    </row>
    <row r="1987" spans="1:17" ht="15" thickTop="1" thickBot="1" x14ac:dyDescent="0.3">
      <c r="A1987" s="1207"/>
      <c r="B1987" s="1212"/>
      <c r="C1987" s="1212"/>
      <c r="D1987" s="1212"/>
      <c r="E1987" s="1212"/>
      <c r="F1987" s="1208"/>
      <c r="G1987" s="1208"/>
      <c r="H1987" s="1208"/>
      <c r="I1987" s="1209"/>
      <c r="J1987" s="1209"/>
      <c r="K1987" s="1210">
        <f t="shared" si="278"/>
        <v>1.05</v>
      </c>
      <c r="L1987" s="1210">
        <f t="shared" si="279"/>
        <v>0</v>
      </c>
      <c r="M1987" s="1197">
        <f t="shared" si="280"/>
        <v>0</v>
      </c>
      <c r="N1987" s="1211">
        <f t="shared" si="281"/>
        <v>0</v>
      </c>
      <c r="O1987" s="1212"/>
      <c r="P1987" s="1200"/>
      <c r="Q1987" s="1200"/>
    </row>
    <row r="1988" spans="1:17" ht="15" thickTop="1" thickBot="1" x14ac:dyDescent="0.3">
      <c r="A1988" s="1207"/>
      <c r="B1988" s="1212"/>
      <c r="C1988" s="1212"/>
      <c r="D1988" s="1212"/>
      <c r="E1988" s="1212"/>
      <c r="F1988" s="1208"/>
      <c r="G1988" s="1208"/>
      <c r="H1988" s="1208"/>
      <c r="I1988" s="1209"/>
      <c r="J1988" s="1209"/>
      <c r="K1988" s="1210">
        <f t="shared" si="278"/>
        <v>1.05</v>
      </c>
      <c r="L1988" s="1210">
        <f t="shared" si="279"/>
        <v>0</v>
      </c>
      <c r="M1988" s="1197">
        <f t="shared" si="280"/>
        <v>0</v>
      </c>
      <c r="N1988" s="1211">
        <f t="shared" si="281"/>
        <v>0</v>
      </c>
      <c r="O1988" s="1212"/>
      <c r="P1988" s="1200"/>
      <c r="Q1988" s="1200"/>
    </row>
    <row r="1989" spans="1:17" ht="15" thickTop="1" thickBot="1" x14ac:dyDescent="0.3">
      <c r="A1989" s="1207"/>
      <c r="B1989" s="1212"/>
      <c r="C1989" s="1212"/>
      <c r="D1989" s="1212"/>
      <c r="E1989" s="1212"/>
      <c r="F1989" s="1208"/>
      <c r="G1989" s="1208"/>
      <c r="H1989" s="1208"/>
      <c r="I1989" s="1209"/>
      <c r="J1989" s="1209"/>
      <c r="K1989" s="1210">
        <f t="shared" si="278"/>
        <v>1.05</v>
      </c>
      <c r="L1989" s="1210">
        <f t="shared" si="279"/>
        <v>0</v>
      </c>
      <c r="M1989" s="1197">
        <f t="shared" si="280"/>
        <v>0</v>
      </c>
      <c r="N1989" s="1211">
        <f t="shared" si="281"/>
        <v>0</v>
      </c>
      <c r="O1989" s="1212"/>
      <c r="P1989" s="1200"/>
      <c r="Q1989" s="1200"/>
    </row>
    <row r="1990" spans="1:17" ht="15" thickTop="1" thickBot="1" x14ac:dyDescent="0.3">
      <c r="A1990" s="1207"/>
      <c r="B1990" s="1212"/>
      <c r="C1990" s="1212"/>
      <c r="D1990" s="1212"/>
      <c r="E1990" s="1212"/>
      <c r="F1990" s="1208"/>
      <c r="G1990" s="1208"/>
      <c r="H1990" s="1208"/>
      <c r="I1990" s="1209"/>
      <c r="J1990" s="1209"/>
      <c r="K1990" s="1210">
        <f t="shared" si="278"/>
        <v>1.05</v>
      </c>
      <c r="L1990" s="1210">
        <f t="shared" si="279"/>
        <v>0</v>
      </c>
      <c r="M1990" s="1197">
        <f t="shared" si="280"/>
        <v>0</v>
      </c>
      <c r="N1990" s="1211">
        <f t="shared" si="281"/>
        <v>0</v>
      </c>
      <c r="O1990" s="1212"/>
      <c r="P1990" s="1200"/>
      <c r="Q1990" s="1200"/>
    </row>
    <row r="1991" spans="1:17" ht="15" thickTop="1" thickBot="1" x14ac:dyDescent="0.3">
      <c r="A1991" s="1207"/>
      <c r="B1991" s="1212"/>
      <c r="C1991" s="1212"/>
      <c r="D1991" s="1212"/>
      <c r="E1991" s="1212"/>
      <c r="F1991" s="1208"/>
      <c r="G1991" s="1208"/>
      <c r="H1991" s="1208"/>
      <c r="I1991" s="1209"/>
      <c r="J1991" s="1209"/>
      <c r="K1991" s="1210">
        <f t="shared" si="278"/>
        <v>1.05</v>
      </c>
      <c r="L1991" s="1210">
        <f t="shared" si="279"/>
        <v>0</v>
      </c>
      <c r="M1991" s="1197">
        <f t="shared" si="280"/>
        <v>0</v>
      </c>
      <c r="N1991" s="1211">
        <f t="shared" si="281"/>
        <v>0</v>
      </c>
      <c r="O1991" s="1212"/>
      <c r="P1991" s="1200"/>
      <c r="Q1991" s="1200"/>
    </row>
    <row r="1992" spans="1:17" ht="15" thickTop="1" thickBot="1" x14ac:dyDescent="0.3">
      <c r="A1992" s="1207"/>
      <c r="B1992" s="1212"/>
      <c r="C1992" s="1212"/>
      <c r="D1992" s="1212"/>
      <c r="E1992" s="1212"/>
      <c r="F1992" s="1208"/>
      <c r="G1992" s="1208"/>
      <c r="H1992" s="1208"/>
      <c r="I1992" s="1209"/>
      <c r="J1992" s="1209"/>
      <c r="K1992" s="1210">
        <f t="shared" si="278"/>
        <v>1.05</v>
      </c>
      <c r="L1992" s="1210">
        <f t="shared" si="279"/>
        <v>0</v>
      </c>
      <c r="M1992" s="1197">
        <f t="shared" si="280"/>
        <v>0</v>
      </c>
      <c r="N1992" s="1211">
        <f t="shared" si="281"/>
        <v>0</v>
      </c>
      <c r="O1992" s="1212"/>
      <c r="P1992" s="1200"/>
      <c r="Q1992" s="1200"/>
    </row>
    <row r="1993" spans="1:17" ht="15" thickTop="1" thickBot="1" x14ac:dyDescent="0.3">
      <c r="A1993" s="1207"/>
      <c r="B1993" s="1212"/>
      <c r="C1993" s="1212"/>
      <c r="D1993" s="1212"/>
      <c r="E1993" s="1212"/>
      <c r="F1993" s="1208"/>
      <c r="G1993" s="1208"/>
      <c r="H1993" s="1208"/>
      <c r="I1993" s="1209"/>
      <c r="J1993" s="1209"/>
      <c r="K1993" s="1210">
        <f t="shared" si="278"/>
        <v>1.05</v>
      </c>
      <c r="L1993" s="1210">
        <f t="shared" si="279"/>
        <v>0</v>
      </c>
      <c r="M1993" s="1197">
        <f t="shared" si="280"/>
        <v>0</v>
      </c>
      <c r="N1993" s="1211">
        <f t="shared" si="281"/>
        <v>0</v>
      </c>
      <c r="O1993" s="1212"/>
      <c r="P1993" s="1200"/>
      <c r="Q1993" s="1200"/>
    </row>
    <row r="1994" spans="1:17" ht="15" thickTop="1" thickBot="1" x14ac:dyDescent="0.3">
      <c r="A1994" s="1207"/>
      <c r="B1994" s="1212"/>
      <c r="C1994" s="1212"/>
      <c r="D1994" s="1212"/>
      <c r="E1994" s="1212"/>
      <c r="F1994" s="1208"/>
      <c r="G1994" s="1208"/>
      <c r="H1994" s="1208"/>
      <c r="I1994" s="1209"/>
      <c r="J1994" s="1209"/>
      <c r="K1994" s="1210">
        <f t="shared" si="278"/>
        <v>1.05</v>
      </c>
      <c r="L1994" s="1210">
        <f t="shared" si="279"/>
        <v>0</v>
      </c>
      <c r="M1994" s="1197">
        <f t="shared" si="280"/>
        <v>0</v>
      </c>
      <c r="N1994" s="1211">
        <f t="shared" si="281"/>
        <v>0</v>
      </c>
      <c r="O1994" s="1212"/>
      <c r="P1994" s="1200"/>
      <c r="Q1994" s="1200"/>
    </row>
    <row r="1995" spans="1:17" ht="15" thickTop="1" thickBot="1" x14ac:dyDescent="0.3">
      <c r="A1995" s="1207"/>
      <c r="B1995" s="1212"/>
      <c r="C1995" s="1212"/>
      <c r="D1995" s="1212"/>
      <c r="E1995" s="1212"/>
      <c r="F1995" s="1208"/>
      <c r="G1995" s="1208"/>
      <c r="H1995" s="1208"/>
      <c r="I1995" s="1209"/>
      <c r="J1995" s="1209"/>
      <c r="K1995" s="1210">
        <f t="shared" ref="K1995:K2058" si="282">$K$2</f>
        <v>1.05</v>
      </c>
      <c r="L1995" s="1210">
        <f t="shared" si="279"/>
        <v>0</v>
      </c>
      <c r="M1995" s="1197">
        <f t="shared" si="280"/>
        <v>0</v>
      </c>
      <c r="N1995" s="1211">
        <f t="shared" si="281"/>
        <v>0</v>
      </c>
      <c r="O1995" s="1212"/>
      <c r="P1995" s="1200"/>
      <c r="Q1995" s="1200"/>
    </row>
    <row r="1996" spans="1:17" ht="15" thickTop="1" thickBot="1" x14ac:dyDescent="0.3">
      <c r="A1996" s="1207"/>
      <c r="B1996" s="1212"/>
      <c r="C1996" s="1212"/>
      <c r="D1996" s="1212"/>
      <c r="E1996" s="1212"/>
      <c r="F1996" s="1208"/>
      <c r="G1996" s="1208"/>
      <c r="H1996" s="1208"/>
      <c r="I1996" s="1209"/>
      <c r="J1996" s="1209"/>
      <c r="K1996" s="1210">
        <f t="shared" si="282"/>
        <v>1.05</v>
      </c>
      <c r="L1996" s="1210">
        <f t="shared" si="279"/>
        <v>0</v>
      </c>
      <c r="M1996" s="1197">
        <f t="shared" si="280"/>
        <v>0</v>
      </c>
      <c r="N1996" s="1211">
        <f t="shared" si="281"/>
        <v>0</v>
      </c>
      <c r="O1996" s="1212"/>
      <c r="P1996" s="1200"/>
      <c r="Q1996" s="1200"/>
    </row>
    <row r="1997" spans="1:17" ht="15" thickTop="1" thickBot="1" x14ac:dyDescent="0.3">
      <c r="A1997" s="1207"/>
      <c r="B1997" s="1212"/>
      <c r="C1997" s="1212"/>
      <c r="D1997" s="1212"/>
      <c r="E1997" s="1212"/>
      <c r="F1997" s="1208"/>
      <c r="G1997" s="1208"/>
      <c r="H1997" s="1208"/>
      <c r="I1997" s="1209"/>
      <c r="J1997" s="1209"/>
      <c r="K1997" s="1210">
        <f t="shared" si="282"/>
        <v>1.05</v>
      </c>
      <c r="L1997" s="1210">
        <f t="shared" si="279"/>
        <v>0</v>
      </c>
      <c r="M1997" s="1197">
        <f t="shared" si="280"/>
        <v>0</v>
      </c>
      <c r="N1997" s="1211">
        <f t="shared" si="281"/>
        <v>0</v>
      </c>
      <c r="O1997" s="1212"/>
      <c r="P1997" s="1200"/>
      <c r="Q1997" s="1200"/>
    </row>
    <row r="1998" spans="1:17" ht="15" thickTop="1" thickBot="1" x14ac:dyDescent="0.3">
      <c r="A1998" s="1207"/>
      <c r="B1998" s="1212"/>
      <c r="C1998" s="1212"/>
      <c r="D1998" s="1212"/>
      <c r="E1998" s="1212"/>
      <c r="F1998" s="1208"/>
      <c r="G1998" s="1208"/>
      <c r="H1998" s="1208"/>
      <c r="I1998" s="1209"/>
      <c r="J1998" s="1209"/>
      <c r="K1998" s="1210">
        <f t="shared" si="282"/>
        <v>1.05</v>
      </c>
      <c r="L1998" s="1210">
        <f t="shared" si="279"/>
        <v>0</v>
      </c>
      <c r="M1998" s="1197">
        <f t="shared" si="280"/>
        <v>0</v>
      </c>
      <c r="N1998" s="1211">
        <f t="shared" si="281"/>
        <v>0</v>
      </c>
      <c r="O1998" s="1212"/>
      <c r="P1998" s="1200"/>
      <c r="Q1998" s="1200"/>
    </row>
    <row r="1999" spans="1:17" ht="15" thickTop="1" thickBot="1" x14ac:dyDescent="0.3">
      <c r="A1999" s="1207"/>
      <c r="B1999" s="1212"/>
      <c r="C1999" s="1212"/>
      <c r="D1999" s="1212"/>
      <c r="E1999" s="1212"/>
      <c r="F1999" s="1208"/>
      <c r="G1999" s="1208"/>
      <c r="H1999" s="1208"/>
      <c r="I1999" s="1209"/>
      <c r="J1999" s="1209"/>
      <c r="K1999" s="1210">
        <f t="shared" si="282"/>
        <v>1.05</v>
      </c>
      <c r="L1999" s="1210">
        <f t="shared" si="279"/>
        <v>0</v>
      </c>
      <c r="M1999" s="1197">
        <f t="shared" si="280"/>
        <v>0</v>
      </c>
      <c r="N1999" s="1211">
        <f t="shared" si="281"/>
        <v>0</v>
      </c>
      <c r="O1999" s="1212"/>
      <c r="P1999" s="1200"/>
      <c r="Q1999" s="1200"/>
    </row>
    <row r="2000" spans="1:17" ht="15" thickTop="1" thickBot="1" x14ac:dyDescent="0.3">
      <c r="A2000" s="1207"/>
      <c r="B2000" s="1212"/>
      <c r="C2000" s="1212"/>
      <c r="D2000" s="1212"/>
      <c r="E2000" s="1212"/>
      <c r="F2000" s="1208"/>
      <c r="G2000" s="1208"/>
      <c r="H2000" s="1208"/>
      <c r="I2000" s="1209"/>
      <c r="J2000" s="1209"/>
      <c r="K2000" s="1210">
        <f t="shared" si="282"/>
        <v>1.05</v>
      </c>
      <c r="L2000" s="1210">
        <f t="shared" si="279"/>
        <v>0</v>
      </c>
      <c r="M2000" s="1197">
        <f t="shared" si="280"/>
        <v>0</v>
      </c>
      <c r="N2000" s="1211">
        <f t="shared" si="281"/>
        <v>0</v>
      </c>
      <c r="O2000" s="1212"/>
      <c r="P2000" s="1200"/>
      <c r="Q2000" s="1200"/>
    </row>
    <row r="2001" spans="1:17" ht="15" thickTop="1" thickBot="1" x14ac:dyDescent="0.3">
      <c r="A2001" s="1207"/>
      <c r="B2001" s="1212"/>
      <c r="C2001" s="1212"/>
      <c r="D2001" s="1212"/>
      <c r="E2001" s="1212"/>
      <c r="F2001" s="1208"/>
      <c r="G2001" s="1208"/>
      <c r="H2001" s="1208"/>
      <c r="I2001" s="1209"/>
      <c r="J2001" s="1209"/>
      <c r="K2001" s="1210">
        <f t="shared" si="282"/>
        <v>1.05</v>
      </c>
      <c r="L2001" s="1210">
        <f t="shared" si="279"/>
        <v>0</v>
      </c>
      <c r="M2001" s="1197">
        <f t="shared" si="280"/>
        <v>0</v>
      </c>
      <c r="N2001" s="1211">
        <f t="shared" si="281"/>
        <v>0</v>
      </c>
      <c r="O2001" s="1212"/>
      <c r="P2001" s="1200"/>
      <c r="Q2001" s="1200"/>
    </row>
    <row r="2002" spans="1:17" ht="15" thickTop="1" thickBot="1" x14ac:dyDescent="0.3">
      <c r="A2002" s="1207"/>
      <c r="B2002" s="1212"/>
      <c r="C2002" s="1212"/>
      <c r="D2002" s="1212"/>
      <c r="E2002" s="1212"/>
      <c r="F2002" s="1208"/>
      <c r="G2002" s="1208"/>
      <c r="H2002" s="1208"/>
      <c r="I2002" s="1209"/>
      <c r="J2002" s="1209"/>
      <c r="K2002" s="1210">
        <f t="shared" si="282"/>
        <v>1.05</v>
      </c>
      <c r="L2002" s="1210">
        <f t="shared" si="279"/>
        <v>0</v>
      </c>
      <c r="M2002" s="1197">
        <f t="shared" si="280"/>
        <v>0</v>
      </c>
      <c r="N2002" s="1211">
        <f t="shared" si="281"/>
        <v>0</v>
      </c>
      <c r="O2002" s="1212"/>
      <c r="P2002" s="1200"/>
      <c r="Q2002" s="1200"/>
    </row>
    <row r="2003" spans="1:17" ht="15" thickTop="1" thickBot="1" x14ac:dyDescent="0.3">
      <c r="A2003" s="1207"/>
      <c r="B2003" s="1212"/>
      <c r="C2003" s="1212"/>
      <c r="D2003" s="1212"/>
      <c r="E2003" s="1212"/>
      <c r="F2003" s="1208"/>
      <c r="G2003" s="1208"/>
      <c r="H2003" s="1208"/>
      <c r="I2003" s="1209"/>
      <c r="J2003" s="1209"/>
      <c r="K2003" s="1210">
        <f t="shared" si="282"/>
        <v>1.05</v>
      </c>
      <c r="L2003" s="1210">
        <f t="shared" si="279"/>
        <v>0</v>
      </c>
      <c r="M2003" s="1197">
        <f t="shared" si="280"/>
        <v>0</v>
      </c>
      <c r="N2003" s="1211">
        <f t="shared" si="281"/>
        <v>0</v>
      </c>
      <c r="O2003" s="1212"/>
      <c r="P2003" s="1200"/>
      <c r="Q2003" s="1200"/>
    </row>
    <row r="2004" spans="1:17" ht="15" thickTop="1" thickBot="1" x14ac:dyDescent="0.3">
      <c r="A2004" s="1207"/>
      <c r="B2004" s="1212"/>
      <c r="C2004" s="1212"/>
      <c r="D2004" s="1212"/>
      <c r="E2004" s="1212"/>
      <c r="F2004" s="1208"/>
      <c r="G2004" s="1208"/>
      <c r="H2004" s="1208"/>
      <c r="I2004" s="1209"/>
      <c r="J2004" s="1209"/>
      <c r="K2004" s="1210">
        <f t="shared" si="282"/>
        <v>1.05</v>
      </c>
      <c r="L2004" s="1210">
        <f t="shared" si="279"/>
        <v>0</v>
      </c>
      <c r="M2004" s="1197">
        <f t="shared" si="280"/>
        <v>0</v>
      </c>
      <c r="N2004" s="1211">
        <f t="shared" si="281"/>
        <v>0</v>
      </c>
      <c r="O2004" s="1212"/>
      <c r="P2004" s="1200"/>
      <c r="Q2004" s="1200"/>
    </row>
    <row r="2005" spans="1:17" ht="15" thickTop="1" thickBot="1" x14ac:dyDescent="0.3">
      <c r="A2005" s="1207"/>
      <c r="B2005" s="1212"/>
      <c r="C2005" s="1212"/>
      <c r="D2005" s="1212"/>
      <c r="E2005" s="1212"/>
      <c r="F2005" s="1208"/>
      <c r="G2005" s="1208"/>
      <c r="H2005" s="1208"/>
      <c r="I2005" s="1209"/>
      <c r="J2005" s="1209"/>
      <c r="K2005" s="1210">
        <f t="shared" si="282"/>
        <v>1.05</v>
      </c>
      <c r="L2005" s="1210">
        <f t="shared" si="279"/>
        <v>0</v>
      </c>
      <c r="M2005" s="1197">
        <f t="shared" si="280"/>
        <v>0</v>
      </c>
      <c r="N2005" s="1211">
        <f t="shared" si="281"/>
        <v>0</v>
      </c>
      <c r="O2005" s="1212"/>
      <c r="P2005" s="1200"/>
      <c r="Q2005" s="1200"/>
    </row>
    <row r="2006" spans="1:17" ht="15" thickTop="1" thickBot="1" x14ac:dyDescent="0.3">
      <c r="A2006" s="1207"/>
      <c r="B2006" s="1212"/>
      <c r="C2006" s="1212"/>
      <c r="D2006" s="1212"/>
      <c r="E2006" s="1212"/>
      <c r="F2006" s="1208"/>
      <c r="G2006" s="1208"/>
      <c r="H2006" s="1208"/>
      <c r="I2006" s="1209"/>
      <c r="J2006" s="1209"/>
      <c r="K2006" s="1210">
        <f t="shared" si="282"/>
        <v>1.05</v>
      </c>
      <c r="L2006" s="1210">
        <f t="shared" si="279"/>
        <v>0</v>
      </c>
      <c r="M2006" s="1197">
        <f t="shared" si="280"/>
        <v>0</v>
      </c>
      <c r="N2006" s="1211">
        <f t="shared" si="281"/>
        <v>0</v>
      </c>
      <c r="O2006" s="1212"/>
      <c r="P2006" s="1200"/>
      <c r="Q2006" s="1200"/>
    </row>
    <row r="2007" spans="1:17" ht="15" thickTop="1" thickBot="1" x14ac:dyDescent="0.3">
      <c r="A2007" s="1207"/>
      <c r="B2007" s="1212"/>
      <c r="C2007" s="1212"/>
      <c r="D2007" s="1212"/>
      <c r="E2007" s="1212"/>
      <c r="F2007" s="1208"/>
      <c r="G2007" s="1208"/>
      <c r="H2007" s="1208"/>
      <c r="I2007" s="1209"/>
      <c r="J2007" s="1209"/>
      <c r="K2007" s="1210">
        <f t="shared" si="282"/>
        <v>1.05</v>
      </c>
      <c r="L2007" s="1210">
        <f t="shared" si="279"/>
        <v>0</v>
      </c>
      <c r="M2007" s="1197">
        <f t="shared" si="280"/>
        <v>0</v>
      </c>
      <c r="N2007" s="1211">
        <f t="shared" si="281"/>
        <v>0</v>
      </c>
      <c r="O2007" s="1212"/>
      <c r="P2007" s="1200"/>
      <c r="Q2007" s="1200"/>
    </row>
    <row r="2008" spans="1:17" ht="15" thickTop="1" thickBot="1" x14ac:dyDescent="0.3">
      <c r="A2008" s="1207"/>
      <c r="B2008" s="1212"/>
      <c r="C2008" s="1212"/>
      <c r="D2008" s="1212"/>
      <c r="E2008" s="1212"/>
      <c r="F2008" s="1208"/>
      <c r="G2008" s="1208"/>
      <c r="H2008" s="1208"/>
      <c r="I2008" s="1209"/>
      <c r="J2008" s="1209"/>
      <c r="K2008" s="1210">
        <f t="shared" si="282"/>
        <v>1.05</v>
      </c>
      <c r="L2008" s="1210">
        <f t="shared" si="279"/>
        <v>0</v>
      </c>
      <c r="M2008" s="1197">
        <f t="shared" si="280"/>
        <v>0</v>
      </c>
      <c r="N2008" s="1211">
        <f t="shared" si="281"/>
        <v>0</v>
      </c>
      <c r="O2008" s="1212"/>
      <c r="P2008" s="1200"/>
      <c r="Q2008" s="1200"/>
    </row>
    <row r="2009" spans="1:17" ht="15" thickTop="1" thickBot="1" x14ac:dyDescent="0.3">
      <c r="A2009" s="1207"/>
      <c r="B2009" s="1212"/>
      <c r="C2009" s="1212"/>
      <c r="D2009" s="1212"/>
      <c r="E2009" s="1212"/>
      <c r="F2009" s="1208"/>
      <c r="G2009" s="1208"/>
      <c r="H2009" s="1208"/>
      <c r="I2009" s="1209"/>
      <c r="J2009" s="1209"/>
      <c r="K2009" s="1210">
        <f t="shared" si="282"/>
        <v>1.05</v>
      </c>
      <c r="L2009" s="1210">
        <f t="shared" si="279"/>
        <v>0</v>
      </c>
      <c r="M2009" s="1197">
        <f t="shared" si="280"/>
        <v>0</v>
      </c>
      <c r="N2009" s="1211">
        <f t="shared" si="281"/>
        <v>0</v>
      </c>
      <c r="O2009" s="1212"/>
      <c r="P2009" s="1200"/>
      <c r="Q2009" s="1200"/>
    </row>
    <row r="2010" spans="1:17" ht="15" thickTop="1" thickBot="1" x14ac:dyDescent="0.3">
      <c r="A2010" s="1207"/>
      <c r="B2010" s="1212"/>
      <c r="C2010" s="1212"/>
      <c r="D2010" s="1212"/>
      <c r="E2010" s="1212"/>
      <c r="F2010" s="1208"/>
      <c r="G2010" s="1208"/>
      <c r="H2010" s="1208"/>
      <c r="I2010" s="1209"/>
      <c r="J2010" s="1209"/>
      <c r="K2010" s="1210">
        <f t="shared" si="282"/>
        <v>1.05</v>
      </c>
      <c r="L2010" s="1210">
        <f t="shared" si="279"/>
        <v>0</v>
      </c>
      <c r="M2010" s="1197">
        <f t="shared" si="280"/>
        <v>0</v>
      </c>
      <c r="N2010" s="1211">
        <f t="shared" si="281"/>
        <v>0</v>
      </c>
      <c r="O2010" s="1212"/>
      <c r="P2010" s="1200"/>
      <c r="Q2010" s="1200"/>
    </row>
    <row r="2011" spans="1:17" ht="15" thickTop="1" thickBot="1" x14ac:dyDescent="0.3">
      <c r="A2011" s="1207"/>
      <c r="B2011" s="1212"/>
      <c r="C2011" s="1212"/>
      <c r="D2011" s="1212"/>
      <c r="E2011" s="1212"/>
      <c r="F2011" s="1208"/>
      <c r="G2011" s="1208"/>
      <c r="H2011" s="1208"/>
      <c r="I2011" s="1209"/>
      <c r="J2011" s="1209"/>
      <c r="K2011" s="1210">
        <f t="shared" si="282"/>
        <v>1.05</v>
      </c>
      <c r="L2011" s="1210">
        <f t="shared" si="279"/>
        <v>0</v>
      </c>
      <c r="M2011" s="1197">
        <f t="shared" si="280"/>
        <v>0</v>
      </c>
      <c r="N2011" s="1211">
        <f t="shared" si="281"/>
        <v>0</v>
      </c>
      <c r="O2011" s="1212"/>
      <c r="P2011" s="1200"/>
      <c r="Q2011" s="1200"/>
    </row>
    <row r="2012" spans="1:17" ht="15" thickTop="1" thickBot="1" x14ac:dyDescent="0.3">
      <c r="A2012" s="1207"/>
      <c r="B2012" s="1212"/>
      <c r="C2012" s="1212"/>
      <c r="D2012" s="1212"/>
      <c r="E2012" s="1212"/>
      <c r="F2012" s="1208"/>
      <c r="G2012" s="1208"/>
      <c r="H2012" s="1208"/>
      <c r="I2012" s="1209"/>
      <c r="J2012" s="1209"/>
      <c r="K2012" s="1210">
        <f t="shared" si="282"/>
        <v>1.05</v>
      </c>
      <c r="L2012" s="1210">
        <f t="shared" si="279"/>
        <v>0</v>
      </c>
      <c r="M2012" s="1197">
        <f t="shared" si="280"/>
        <v>0</v>
      </c>
      <c r="N2012" s="1211">
        <f t="shared" si="281"/>
        <v>0</v>
      </c>
      <c r="O2012" s="1212"/>
      <c r="P2012" s="1200"/>
      <c r="Q2012" s="1200"/>
    </row>
    <row r="2013" spans="1:17" ht="15" thickTop="1" thickBot="1" x14ac:dyDescent="0.3">
      <c r="A2013" s="1207"/>
      <c r="B2013" s="1212"/>
      <c r="C2013" s="1212"/>
      <c r="D2013" s="1212"/>
      <c r="E2013" s="1212"/>
      <c r="F2013" s="1208"/>
      <c r="G2013" s="1208"/>
      <c r="H2013" s="1208"/>
      <c r="I2013" s="1209"/>
      <c r="J2013" s="1209"/>
      <c r="K2013" s="1210">
        <f t="shared" si="282"/>
        <v>1.05</v>
      </c>
      <c r="L2013" s="1210">
        <f t="shared" si="279"/>
        <v>0</v>
      </c>
      <c r="M2013" s="1197">
        <f t="shared" si="280"/>
        <v>0</v>
      </c>
      <c r="N2013" s="1211">
        <f t="shared" si="281"/>
        <v>0</v>
      </c>
      <c r="O2013" s="1212"/>
      <c r="P2013" s="1200"/>
      <c r="Q2013" s="1200"/>
    </row>
    <row r="2014" spans="1:17" ht="15" thickTop="1" thickBot="1" x14ac:dyDescent="0.3">
      <c r="A2014" s="1207"/>
      <c r="B2014" s="1212"/>
      <c r="C2014" s="1212"/>
      <c r="D2014" s="1212"/>
      <c r="E2014" s="1212"/>
      <c r="F2014" s="1208"/>
      <c r="G2014" s="1208"/>
      <c r="H2014" s="1208"/>
      <c r="I2014" s="1209"/>
      <c r="J2014" s="1209"/>
      <c r="K2014" s="1210">
        <f t="shared" si="282"/>
        <v>1.05</v>
      </c>
      <c r="L2014" s="1210">
        <f t="shared" si="279"/>
        <v>0</v>
      </c>
      <c r="M2014" s="1197">
        <f t="shared" si="280"/>
        <v>0</v>
      </c>
      <c r="N2014" s="1211">
        <f t="shared" si="281"/>
        <v>0</v>
      </c>
      <c r="O2014" s="1212"/>
      <c r="P2014" s="1200"/>
      <c r="Q2014" s="1200"/>
    </row>
    <row r="2015" spans="1:17" ht="15" thickTop="1" thickBot="1" x14ac:dyDescent="0.3">
      <c r="A2015" s="1207"/>
      <c r="B2015" s="1212"/>
      <c r="C2015" s="1212"/>
      <c r="D2015" s="1212"/>
      <c r="E2015" s="1212"/>
      <c r="F2015" s="1208"/>
      <c r="G2015" s="1208"/>
      <c r="H2015" s="1208"/>
      <c r="I2015" s="1209"/>
      <c r="J2015" s="1209"/>
      <c r="K2015" s="1210">
        <f t="shared" si="282"/>
        <v>1.05</v>
      </c>
      <c r="L2015" s="1210">
        <f t="shared" si="279"/>
        <v>0</v>
      </c>
      <c r="M2015" s="1197">
        <f t="shared" si="280"/>
        <v>0</v>
      </c>
      <c r="N2015" s="1211">
        <f t="shared" si="281"/>
        <v>0</v>
      </c>
      <c r="O2015" s="1212"/>
      <c r="P2015" s="1200"/>
      <c r="Q2015" s="1200"/>
    </row>
    <row r="2016" spans="1:17" ht="15" thickTop="1" thickBot="1" x14ac:dyDescent="0.3">
      <c r="A2016" s="1207"/>
      <c r="B2016" s="1212"/>
      <c r="C2016" s="1212"/>
      <c r="D2016" s="1212"/>
      <c r="E2016" s="1212"/>
      <c r="F2016" s="1208"/>
      <c r="G2016" s="1208"/>
      <c r="H2016" s="1208"/>
      <c r="I2016" s="1209"/>
      <c r="J2016" s="1209"/>
      <c r="K2016" s="1210">
        <f t="shared" si="282"/>
        <v>1.05</v>
      </c>
      <c r="L2016" s="1210">
        <f t="shared" si="279"/>
        <v>0</v>
      </c>
      <c r="M2016" s="1197">
        <f t="shared" si="280"/>
        <v>0</v>
      </c>
      <c r="N2016" s="1211">
        <f t="shared" si="281"/>
        <v>0</v>
      </c>
      <c r="O2016" s="1212"/>
      <c r="P2016" s="1200"/>
      <c r="Q2016" s="1200"/>
    </row>
    <row r="2017" spans="1:17" ht="15" thickTop="1" thickBot="1" x14ac:dyDescent="0.3">
      <c r="A2017" s="1207"/>
      <c r="B2017" s="1212"/>
      <c r="C2017" s="1212"/>
      <c r="D2017" s="1212"/>
      <c r="E2017" s="1212"/>
      <c r="F2017" s="1208"/>
      <c r="G2017" s="1208"/>
      <c r="H2017" s="1208"/>
      <c r="I2017" s="1209"/>
      <c r="J2017" s="1209"/>
      <c r="K2017" s="1210">
        <f t="shared" si="282"/>
        <v>1.05</v>
      </c>
      <c r="L2017" s="1210">
        <f t="shared" si="279"/>
        <v>0</v>
      </c>
      <c r="M2017" s="1197">
        <f t="shared" si="280"/>
        <v>0</v>
      </c>
      <c r="N2017" s="1211">
        <f t="shared" si="281"/>
        <v>0</v>
      </c>
      <c r="O2017" s="1212"/>
      <c r="P2017" s="1200"/>
      <c r="Q2017" s="1200"/>
    </row>
    <row r="2018" spans="1:17" ht="15" thickTop="1" thickBot="1" x14ac:dyDescent="0.3">
      <c r="A2018" s="1207"/>
      <c r="B2018" s="1212"/>
      <c r="C2018" s="1212"/>
      <c r="D2018" s="1212"/>
      <c r="E2018" s="1212"/>
      <c r="F2018" s="1208"/>
      <c r="G2018" s="1208"/>
      <c r="H2018" s="1208"/>
      <c r="I2018" s="1209"/>
      <c r="J2018" s="1209"/>
      <c r="K2018" s="1210">
        <f t="shared" si="282"/>
        <v>1.05</v>
      </c>
      <c r="L2018" s="1210">
        <f t="shared" si="279"/>
        <v>0</v>
      </c>
      <c r="M2018" s="1197">
        <f t="shared" si="280"/>
        <v>0</v>
      </c>
      <c r="N2018" s="1211">
        <f t="shared" si="281"/>
        <v>0</v>
      </c>
      <c r="O2018" s="1212"/>
      <c r="P2018" s="1200"/>
      <c r="Q2018" s="1200"/>
    </row>
    <row r="2019" spans="1:17" ht="15" thickTop="1" thickBot="1" x14ac:dyDescent="0.3">
      <c r="A2019" s="1207"/>
      <c r="B2019" s="1212"/>
      <c r="C2019" s="1212"/>
      <c r="D2019" s="1212"/>
      <c r="E2019" s="1212"/>
      <c r="F2019" s="1208"/>
      <c r="G2019" s="1208"/>
      <c r="H2019" s="1208"/>
      <c r="I2019" s="1209"/>
      <c r="J2019" s="1209"/>
      <c r="K2019" s="1210">
        <f t="shared" si="282"/>
        <v>1.05</v>
      </c>
      <c r="L2019" s="1210">
        <f t="shared" si="279"/>
        <v>0</v>
      </c>
      <c r="M2019" s="1197">
        <f t="shared" si="280"/>
        <v>0</v>
      </c>
      <c r="N2019" s="1211">
        <f t="shared" si="281"/>
        <v>0</v>
      </c>
      <c r="O2019" s="1212"/>
      <c r="P2019" s="1200"/>
      <c r="Q2019" s="1200"/>
    </row>
    <row r="2020" spans="1:17" ht="15" thickTop="1" thickBot="1" x14ac:dyDescent="0.3">
      <c r="A2020" s="1207"/>
      <c r="B2020" s="1212"/>
      <c r="C2020" s="1212"/>
      <c r="D2020" s="1212"/>
      <c r="E2020" s="1212"/>
      <c r="F2020" s="1208"/>
      <c r="G2020" s="1208"/>
      <c r="H2020" s="1208"/>
      <c r="I2020" s="1209"/>
      <c r="J2020" s="1209"/>
      <c r="K2020" s="1210">
        <f t="shared" si="282"/>
        <v>1.05</v>
      </c>
      <c r="L2020" s="1210">
        <f t="shared" si="279"/>
        <v>0</v>
      </c>
      <c r="M2020" s="1197">
        <f t="shared" si="280"/>
        <v>0</v>
      </c>
      <c r="N2020" s="1211">
        <f t="shared" si="281"/>
        <v>0</v>
      </c>
      <c r="O2020" s="1212"/>
      <c r="P2020" s="1200"/>
      <c r="Q2020" s="1200"/>
    </row>
    <row r="2021" spans="1:17" ht="15" thickTop="1" thickBot="1" x14ac:dyDescent="0.3">
      <c r="A2021" s="1207"/>
      <c r="B2021" s="1212"/>
      <c r="C2021" s="1212"/>
      <c r="D2021" s="1212"/>
      <c r="E2021" s="1212"/>
      <c r="F2021" s="1208"/>
      <c r="G2021" s="1208"/>
      <c r="H2021" s="1208"/>
      <c r="I2021" s="1209"/>
      <c r="J2021" s="1209"/>
      <c r="K2021" s="1210">
        <f t="shared" si="282"/>
        <v>1.05</v>
      </c>
      <c r="L2021" s="1210">
        <f t="shared" si="279"/>
        <v>0</v>
      </c>
      <c r="M2021" s="1197">
        <f t="shared" si="280"/>
        <v>0</v>
      </c>
      <c r="N2021" s="1211">
        <f t="shared" si="281"/>
        <v>0</v>
      </c>
      <c r="O2021" s="1212"/>
      <c r="P2021" s="1200"/>
      <c r="Q2021" s="1200"/>
    </row>
    <row r="2022" spans="1:17" ht="15" thickTop="1" thickBot="1" x14ac:dyDescent="0.3">
      <c r="A2022" s="1207"/>
      <c r="B2022" s="1212"/>
      <c r="C2022" s="1212"/>
      <c r="D2022" s="1212"/>
      <c r="E2022" s="1212"/>
      <c r="F2022" s="1208"/>
      <c r="G2022" s="1208"/>
      <c r="H2022" s="1208"/>
      <c r="I2022" s="1209"/>
      <c r="J2022" s="1209"/>
      <c r="K2022" s="1210">
        <f t="shared" si="282"/>
        <v>1.05</v>
      </c>
      <c r="L2022" s="1210">
        <f t="shared" si="279"/>
        <v>0</v>
      </c>
      <c r="M2022" s="1197">
        <f t="shared" si="280"/>
        <v>0</v>
      </c>
      <c r="N2022" s="1211">
        <f t="shared" si="281"/>
        <v>0</v>
      </c>
      <c r="O2022" s="1212"/>
      <c r="P2022" s="1200"/>
      <c r="Q2022" s="1200"/>
    </row>
    <row r="2023" spans="1:17" ht="15" thickTop="1" thickBot="1" x14ac:dyDescent="0.3">
      <c r="A2023" s="1207"/>
      <c r="B2023" s="1212"/>
      <c r="C2023" s="1212"/>
      <c r="D2023" s="1212"/>
      <c r="E2023" s="1212"/>
      <c r="F2023" s="1208"/>
      <c r="G2023" s="1208"/>
      <c r="H2023" s="1208"/>
      <c r="I2023" s="1209"/>
      <c r="J2023" s="1209"/>
      <c r="K2023" s="1210">
        <f t="shared" si="282"/>
        <v>1.05</v>
      </c>
      <c r="L2023" s="1210">
        <f t="shared" si="279"/>
        <v>0</v>
      </c>
      <c r="M2023" s="1197">
        <f t="shared" si="280"/>
        <v>0</v>
      </c>
      <c r="N2023" s="1211">
        <f t="shared" si="281"/>
        <v>0</v>
      </c>
      <c r="O2023" s="1212"/>
      <c r="P2023" s="1200"/>
      <c r="Q2023" s="1200"/>
    </row>
    <row r="2024" spans="1:17" ht="15" thickTop="1" thickBot="1" x14ac:dyDescent="0.3">
      <c r="A2024" s="1207"/>
      <c r="B2024" s="1212"/>
      <c r="C2024" s="1212"/>
      <c r="D2024" s="1212"/>
      <c r="E2024" s="1212"/>
      <c r="F2024" s="1208"/>
      <c r="G2024" s="1208"/>
      <c r="H2024" s="1208"/>
      <c r="I2024" s="1209"/>
      <c r="J2024" s="1209"/>
      <c r="K2024" s="1210">
        <f t="shared" si="282"/>
        <v>1.05</v>
      </c>
      <c r="L2024" s="1210">
        <f t="shared" si="279"/>
        <v>0</v>
      </c>
      <c r="M2024" s="1197">
        <f t="shared" si="280"/>
        <v>0</v>
      </c>
      <c r="N2024" s="1211">
        <f t="shared" si="281"/>
        <v>0</v>
      </c>
      <c r="O2024" s="1212"/>
      <c r="P2024" s="1200"/>
      <c r="Q2024" s="1200"/>
    </row>
    <row r="2025" spans="1:17" ht="15" thickTop="1" thickBot="1" x14ac:dyDescent="0.3">
      <c r="A2025" s="1207"/>
      <c r="B2025" s="1212"/>
      <c r="C2025" s="1212"/>
      <c r="D2025" s="1212"/>
      <c r="E2025" s="1212"/>
      <c r="F2025" s="1208"/>
      <c r="G2025" s="1208"/>
      <c r="H2025" s="1208"/>
      <c r="I2025" s="1209"/>
      <c r="J2025" s="1209"/>
      <c r="K2025" s="1210">
        <f t="shared" si="282"/>
        <v>1.05</v>
      </c>
      <c r="L2025" s="1210">
        <f t="shared" si="279"/>
        <v>0</v>
      </c>
      <c r="M2025" s="1197">
        <f t="shared" si="280"/>
        <v>0</v>
      </c>
      <c r="N2025" s="1211">
        <f t="shared" si="281"/>
        <v>0</v>
      </c>
      <c r="O2025" s="1212"/>
      <c r="P2025" s="1200"/>
      <c r="Q2025" s="1200"/>
    </row>
    <row r="2026" spans="1:17" ht="15" thickTop="1" thickBot="1" x14ac:dyDescent="0.3">
      <c r="A2026" s="1207"/>
      <c r="B2026" s="1212"/>
      <c r="C2026" s="1212"/>
      <c r="D2026" s="1212"/>
      <c r="E2026" s="1212"/>
      <c r="F2026" s="1208"/>
      <c r="G2026" s="1208"/>
      <c r="H2026" s="1208"/>
      <c r="I2026" s="1209"/>
      <c r="J2026" s="1209"/>
      <c r="K2026" s="1210">
        <f t="shared" si="282"/>
        <v>1.05</v>
      </c>
      <c r="L2026" s="1210">
        <f t="shared" ref="L2026:L2089" si="283">K2026*J2026</f>
        <v>0</v>
      </c>
      <c r="M2026" s="1197">
        <f t="shared" ref="M2026:M2089" si="284">ROUND(L2026,1)</f>
        <v>0</v>
      </c>
      <c r="N2026" s="1211">
        <f t="shared" ref="N2026:N2089" si="285">ROUNDUP(M2026,0)</f>
        <v>0</v>
      </c>
      <c r="O2026" s="1212"/>
      <c r="P2026" s="1200"/>
      <c r="Q2026" s="1200"/>
    </row>
    <row r="2027" spans="1:17" ht="15" thickTop="1" thickBot="1" x14ac:dyDescent="0.3">
      <c r="A2027" s="1207"/>
      <c r="B2027" s="1212"/>
      <c r="C2027" s="1212"/>
      <c r="D2027" s="1212"/>
      <c r="E2027" s="1212"/>
      <c r="F2027" s="1208"/>
      <c r="G2027" s="1208"/>
      <c r="H2027" s="1208"/>
      <c r="I2027" s="1209"/>
      <c r="J2027" s="1209"/>
      <c r="K2027" s="1210">
        <f t="shared" si="282"/>
        <v>1.05</v>
      </c>
      <c r="L2027" s="1210">
        <f t="shared" si="283"/>
        <v>0</v>
      </c>
      <c r="M2027" s="1197">
        <f t="shared" si="284"/>
        <v>0</v>
      </c>
      <c r="N2027" s="1211">
        <f t="shared" si="285"/>
        <v>0</v>
      </c>
      <c r="O2027" s="1212"/>
      <c r="P2027" s="1200"/>
      <c r="Q2027" s="1200"/>
    </row>
    <row r="2028" spans="1:17" ht="15" thickTop="1" thickBot="1" x14ac:dyDescent="0.3">
      <c r="A2028" s="1207"/>
      <c r="B2028" s="1212"/>
      <c r="C2028" s="1212"/>
      <c r="D2028" s="1212"/>
      <c r="E2028" s="1212"/>
      <c r="F2028" s="1208"/>
      <c r="G2028" s="1208"/>
      <c r="H2028" s="1208"/>
      <c r="I2028" s="1209"/>
      <c r="J2028" s="1209"/>
      <c r="K2028" s="1210">
        <f t="shared" si="282"/>
        <v>1.05</v>
      </c>
      <c r="L2028" s="1210">
        <f t="shared" si="283"/>
        <v>0</v>
      </c>
      <c r="M2028" s="1197">
        <f t="shared" si="284"/>
        <v>0</v>
      </c>
      <c r="N2028" s="1211">
        <f t="shared" si="285"/>
        <v>0</v>
      </c>
      <c r="O2028" s="1212"/>
      <c r="P2028" s="1200"/>
      <c r="Q2028" s="1200"/>
    </row>
    <row r="2029" spans="1:17" ht="15" thickTop="1" thickBot="1" x14ac:dyDescent="0.3">
      <c r="A2029" s="1207"/>
      <c r="B2029" s="1212"/>
      <c r="C2029" s="1212"/>
      <c r="D2029" s="1212"/>
      <c r="E2029" s="1212"/>
      <c r="F2029" s="1208"/>
      <c r="G2029" s="1208"/>
      <c r="H2029" s="1208"/>
      <c r="I2029" s="1209"/>
      <c r="J2029" s="1209"/>
      <c r="K2029" s="1210">
        <f t="shared" si="282"/>
        <v>1.05</v>
      </c>
      <c r="L2029" s="1210">
        <f t="shared" si="283"/>
        <v>0</v>
      </c>
      <c r="M2029" s="1197">
        <f t="shared" si="284"/>
        <v>0</v>
      </c>
      <c r="N2029" s="1211">
        <f t="shared" si="285"/>
        <v>0</v>
      </c>
      <c r="O2029" s="1212"/>
      <c r="P2029" s="1200"/>
      <c r="Q2029" s="1200"/>
    </row>
    <row r="2030" spans="1:17" ht="15" thickTop="1" thickBot="1" x14ac:dyDescent="0.3">
      <c r="A2030" s="1207"/>
      <c r="B2030" s="1212"/>
      <c r="C2030" s="1212"/>
      <c r="D2030" s="1212"/>
      <c r="E2030" s="1212"/>
      <c r="F2030" s="1208"/>
      <c r="G2030" s="1208"/>
      <c r="H2030" s="1208"/>
      <c r="I2030" s="1209"/>
      <c r="J2030" s="1209"/>
      <c r="K2030" s="1210">
        <f t="shared" si="282"/>
        <v>1.05</v>
      </c>
      <c r="L2030" s="1210">
        <f t="shared" si="283"/>
        <v>0</v>
      </c>
      <c r="M2030" s="1197">
        <f t="shared" si="284"/>
        <v>0</v>
      </c>
      <c r="N2030" s="1211">
        <f t="shared" si="285"/>
        <v>0</v>
      </c>
      <c r="O2030" s="1212"/>
      <c r="P2030" s="1200"/>
      <c r="Q2030" s="1200"/>
    </row>
    <row r="2031" spans="1:17" ht="15" thickTop="1" thickBot="1" x14ac:dyDescent="0.3">
      <c r="A2031" s="1207"/>
      <c r="B2031" s="1212"/>
      <c r="C2031" s="1212"/>
      <c r="D2031" s="1212"/>
      <c r="E2031" s="1212"/>
      <c r="F2031" s="1208"/>
      <c r="G2031" s="1208"/>
      <c r="H2031" s="1208"/>
      <c r="I2031" s="1209"/>
      <c r="J2031" s="1209"/>
      <c r="K2031" s="1210">
        <f t="shared" si="282"/>
        <v>1.05</v>
      </c>
      <c r="L2031" s="1210">
        <f t="shared" si="283"/>
        <v>0</v>
      </c>
      <c r="M2031" s="1197">
        <f t="shared" si="284"/>
        <v>0</v>
      </c>
      <c r="N2031" s="1211">
        <f t="shared" si="285"/>
        <v>0</v>
      </c>
      <c r="O2031" s="1212"/>
      <c r="P2031" s="1200"/>
      <c r="Q2031" s="1200"/>
    </row>
    <row r="2032" spans="1:17" ht="15" thickTop="1" thickBot="1" x14ac:dyDescent="0.3">
      <c r="A2032" s="1207"/>
      <c r="B2032" s="1212"/>
      <c r="C2032" s="1212"/>
      <c r="D2032" s="1212"/>
      <c r="E2032" s="1212"/>
      <c r="F2032" s="1208"/>
      <c r="G2032" s="1208"/>
      <c r="H2032" s="1208"/>
      <c r="I2032" s="1209"/>
      <c r="J2032" s="1209"/>
      <c r="K2032" s="1210">
        <f t="shared" si="282"/>
        <v>1.05</v>
      </c>
      <c r="L2032" s="1210">
        <f t="shared" si="283"/>
        <v>0</v>
      </c>
      <c r="M2032" s="1197">
        <f t="shared" si="284"/>
        <v>0</v>
      </c>
      <c r="N2032" s="1211">
        <f t="shared" si="285"/>
        <v>0</v>
      </c>
      <c r="O2032" s="1212"/>
      <c r="P2032" s="1200"/>
      <c r="Q2032" s="1200"/>
    </row>
    <row r="2033" spans="1:17" ht="15" thickTop="1" thickBot="1" x14ac:dyDescent="0.3">
      <c r="A2033" s="1207"/>
      <c r="B2033" s="1212"/>
      <c r="C2033" s="1212"/>
      <c r="D2033" s="1212"/>
      <c r="E2033" s="1212"/>
      <c r="F2033" s="1208"/>
      <c r="G2033" s="1208"/>
      <c r="H2033" s="1208"/>
      <c r="I2033" s="1209"/>
      <c r="J2033" s="1209"/>
      <c r="K2033" s="1210">
        <f t="shared" si="282"/>
        <v>1.05</v>
      </c>
      <c r="L2033" s="1210">
        <f t="shared" si="283"/>
        <v>0</v>
      </c>
      <c r="M2033" s="1197">
        <f t="shared" si="284"/>
        <v>0</v>
      </c>
      <c r="N2033" s="1211">
        <f t="shared" si="285"/>
        <v>0</v>
      </c>
      <c r="O2033" s="1212"/>
      <c r="P2033" s="1200"/>
      <c r="Q2033" s="1200"/>
    </row>
    <row r="2034" spans="1:17" ht="15" thickTop="1" thickBot="1" x14ac:dyDescent="0.3">
      <c r="A2034" s="1207"/>
      <c r="B2034" s="1212"/>
      <c r="C2034" s="1212"/>
      <c r="D2034" s="1212"/>
      <c r="E2034" s="1212"/>
      <c r="F2034" s="1208"/>
      <c r="G2034" s="1208"/>
      <c r="H2034" s="1208"/>
      <c r="I2034" s="1209"/>
      <c r="J2034" s="1209"/>
      <c r="K2034" s="1210">
        <f t="shared" si="282"/>
        <v>1.05</v>
      </c>
      <c r="L2034" s="1210">
        <f t="shared" si="283"/>
        <v>0</v>
      </c>
      <c r="M2034" s="1197">
        <f t="shared" si="284"/>
        <v>0</v>
      </c>
      <c r="N2034" s="1211">
        <f t="shared" si="285"/>
        <v>0</v>
      </c>
      <c r="O2034" s="1212"/>
      <c r="P2034" s="1200"/>
      <c r="Q2034" s="1200"/>
    </row>
    <row r="2035" spans="1:17" ht="15" thickTop="1" thickBot="1" x14ac:dyDescent="0.3">
      <c r="A2035" s="1207"/>
      <c r="B2035" s="1212"/>
      <c r="C2035" s="1212"/>
      <c r="D2035" s="1212"/>
      <c r="E2035" s="1212"/>
      <c r="F2035" s="1208"/>
      <c r="G2035" s="1208"/>
      <c r="H2035" s="1208"/>
      <c r="I2035" s="1209"/>
      <c r="J2035" s="1209"/>
      <c r="K2035" s="1210">
        <f t="shared" si="282"/>
        <v>1.05</v>
      </c>
      <c r="L2035" s="1210">
        <f t="shared" si="283"/>
        <v>0</v>
      </c>
      <c r="M2035" s="1197">
        <f t="shared" si="284"/>
        <v>0</v>
      </c>
      <c r="N2035" s="1211">
        <f t="shared" si="285"/>
        <v>0</v>
      </c>
      <c r="O2035" s="1212"/>
      <c r="P2035" s="1200"/>
      <c r="Q2035" s="1200"/>
    </row>
    <row r="2036" spans="1:17" ht="15" thickTop="1" thickBot="1" x14ac:dyDescent="0.3">
      <c r="A2036" s="1207"/>
      <c r="B2036" s="1212"/>
      <c r="C2036" s="1212"/>
      <c r="D2036" s="1212"/>
      <c r="E2036" s="1212"/>
      <c r="F2036" s="1208"/>
      <c r="G2036" s="1208"/>
      <c r="H2036" s="1208"/>
      <c r="I2036" s="1209"/>
      <c r="J2036" s="1209"/>
      <c r="K2036" s="1210">
        <f t="shared" si="282"/>
        <v>1.05</v>
      </c>
      <c r="L2036" s="1210">
        <f t="shared" si="283"/>
        <v>0</v>
      </c>
      <c r="M2036" s="1197">
        <f t="shared" si="284"/>
        <v>0</v>
      </c>
      <c r="N2036" s="1211">
        <f t="shared" si="285"/>
        <v>0</v>
      </c>
      <c r="O2036" s="1212"/>
      <c r="P2036" s="1200"/>
      <c r="Q2036" s="1200"/>
    </row>
    <row r="2037" spans="1:17" ht="15" thickTop="1" thickBot="1" x14ac:dyDescent="0.3">
      <c r="A2037" s="1207"/>
      <c r="B2037" s="1212"/>
      <c r="C2037" s="1212"/>
      <c r="D2037" s="1212"/>
      <c r="E2037" s="1212"/>
      <c r="F2037" s="1208"/>
      <c r="G2037" s="1208"/>
      <c r="H2037" s="1208"/>
      <c r="I2037" s="1209"/>
      <c r="J2037" s="1209"/>
      <c r="K2037" s="1210">
        <f t="shared" si="282"/>
        <v>1.05</v>
      </c>
      <c r="L2037" s="1210">
        <f t="shared" si="283"/>
        <v>0</v>
      </c>
      <c r="M2037" s="1197">
        <f t="shared" si="284"/>
        <v>0</v>
      </c>
      <c r="N2037" s="1211">
        <f t="shared" si="285"/>
        <v>0</v>
      </c>
      <c r="O2037" s="1212"/>
      <c r="P2037" s="1200"/>
      <c r="Q2037" s="1200"/>
    </row>
    <row r="2038" spans="1:17" ht="15" thickTop="1" thickBot="1" x14ac:dyDescent="0.3">
      <c r="A2038" s="1207"/>
      <c r="B2038" s="1212"/>
      <c r="C2038" s="1212"/>
      <c r="D2038" s="1212"/>
      <c r="E2038" s="1212"/>
      <c r="F2038" s="1208"/>
      <c r="G2038" s="1208"/>
      <c r="H2038" s="1208"/>
      <c r="I2038" s="1209"/>
      <c r="J2038" s="1209"/>
      <c r="K2038" s="1210">
        <f t="shared" si="282"/>
        <v>1.05</v>
      </c>
      <c r="L2038" s="1210">
        <f t="shared" si="283"/>
        <v>0</v>
      </c>
      <c r="M2038" s="1197">
        <f t="shared" si="284"/>
        <v>0</v>
      </c>
      <c r="N2038" s="1211">
        <f t="shared" si="285"/>
        <v>0</v>
      </c>
      <c r="O2038" s="1212"/>
      <c r="P2038" s="1200"/>
      <c r="Q2038" s="1200"/>
    </row>
    <row r="2039" spans="1:17" ht="15" thickTop="1" thickBot="1" x14ac:dyDescent="0.3">
      <c r="A2039" s="1207"/>
      <c r="B2039" s="1212"/>
      <c r="C2039" s="1212"/>
      <c r="D2039" s="1212"/>
      <c r="E2039" s="1212"/>
      <c r="F2039" s="1208"/>
      <c r="G2039" s="1208"/>
      <c r="H2039" s="1208"/>
      <c r="I2039" s="1209"/>
      <c r="J2039" s="1209"/>
      <c r="K2039" s="1210">
        <f t="shared" si="282"/>
        <v>1.05</v>
      </c>
      <c r="L2039" s="1210">
        <f t="shared" si="283"/>
        <v>0</v>
      </c>
      <c r="M2039" s="1197">
        <f t="shared" si="284"/>
        <v>0</v>
      </c>
      <c r="N2039" s="1211">
        <f t="shared" si="285"/>
        <v>0</v>
      </c>
      <c r="O2039" s="1212"/>
      <c r="P2039" s="1200"/>
      <c r="Q2039" s="1200"/>
    </row>
    <row r="2040" spans="1:17" ht="15" thickTop="1" thickBot="1" x14ac:dyDescent="0.3">
      <c r="A2040" s="1207"/>
      <c r="B2040" s="1212"/>
      <c r="C2040" s="1212"/>
      <c r="D2040" s="1212"/>
      <c r="E2040" s="1212"/>
      <c r="F2040" s="1208"/>
      <c r="G2040" s="1208"/>
      <c r="H2040" s="1208"/>
      <c r="I2040" s="1209"/>
      <c r="J2040" s="1209"/>
      <c r="K2040" s="1210">
        <f t="shared" si="282"/>
        <v>1.05</v>
      </c>
      <c r="L2040" s="1210">
        <f t="shared" si="283"/>
        <v>0</v>
      </c>
      <c r="M2040" s="1197">
        <f t="shared" si="284"/>
        <v>0</v>
      </c>
      <c r="N2040" s="1211">
        <f t="shared" si="285"/>
        <v>0</v>
      </c>
      <c r="O2040" s="1212"/>
      <c r="P2040" s="1200"/>
      <c r="Q2040" s="1200"/>
    </row>
    <row r="2041" spans="1:17" ht="15" thickTop="1" thickBot="1" x14ac:dyDescent="0.3">
      <c r="A2041" s="1207"/>
      <c r="B2041" s="1212"/>
      <c r="C2041" s="1212"/>
      <c r="D2041" s="1212"/>
      <c r="E2041" s="1212"/>
      <c r="F2041" s="1208"/>
      <c r="G2041" s="1208"/>
      <c r="H2041" s="1208"/>
      <c r="I2041" s="1209"/>
      <c r="J2041" s="1209"/>
      <c r="K2041" s="1210">
        <f t="shared" si="282"/>
        <v>1.05</v>
      </c>
      <c r="L2041" s="1210">
        <f t="shared" si="283"/>
        <v>0</v>
      </c>
      <c r="M2041" s="1197">
        <f t="shared" si="284"/>
        <v>0</v>
      </c>
      <c r="N2041" s="1211">
        <f t="shared" si="285"/>
        <v>0</v>
      </c>
      <c r="O2041" s="1212"/>
      <c r="P2041" s="1200"/>
      <c r="Q2041" s="1200"/>
    </row>
    <row r="2042" spans="1:17" ht="15" thickTop="1" thickBot="1" x14ac:dyDescent="0.3">
      <c r="A2042" s="1207"/>
      <c r="B2042" s="1212"/>
      <c r="C2042" s="1212"/>
      <c r="D2042" s="1212"/>
      <c r="E2042" s="1212"/>
      <c r="F2042" s="1208"/>
      <c r="G2042" s="1208"/>
      <c r="H2042" s="1208"/>
      <c r="I2042" s="1209"/>
      <c r="J2042" s="1209"/>
      <c r="K2042" s="1210">
        <f t="shared" si="282"/>
        <v>1.05</v>
      </c>
      <c r="L2042" s="1210">
        <f t="shared" si="283"/>
        <v>0</v>
      </c>
      <c r="M2042" s="1197">
        <f t="shared" si="284"/>
        <v>0</v>
      </c>
      <c r="N2042" s="1211">
        <f t="shared" si="285"/>
        <v>0</v>
      </c>
      <c r="O2042" s="1212"/>
      <c r="P2042" s="1200"/>
      <c r="Q2042" s="1200"/>
    </row>
    <row r="2043" spans="1:17" ht="15" thickTop="1" thickBot="1" x14ac:dyDescent="0.3">
      <c r="A2043" s="1207"/>
      <c r="B2043" s="1212"/>
      <c r="C2043" s="1212"/>
      <c r="D2043" s="1212"/>
      <c r="E2043" s="1212"/>
      <c r="F2043" s="1208"/>
      <c r="G2043" s="1208"/>
      <c r="H2043" s="1208"/>
      <c r="I2043" s="1209"/>
      <c r="J2043" s="1209"/>
      <c r="K2043" s="1210">
        <f t="shared" si="282"/>
        <v>1.05</v>
      </c>
      <c r="L2043" s="1210">
        <f t="shared" si="283"/>
        <v>0</v>
      </c>
      <c r="M2043" s="1197">
        <f t="shared" si="284"/>
        <v>0</v>
      </c>
      <c r="N2043" s="1211">
        <f t="shared" si="285"/>
        <v>0</v>
      </c>
      <c r="O2043" s="1212"/>
      <c r="P2043" s="1200"/>
      <c r="Q2043" s="1200"/>
    </row>
    <row r="2044" spans="1:17" ht="15" thickTop="1" thickBot="1" x14ac:dyDescent="0.3">
      <c r="A2044" s="1207"/>
      <c r="B2044" s="1212"/>
      <c r="C2044" s="1212"/>
      <c r="D2044" s="1212"/>
      <c r="E2044" s="1212"/>
      <c r="F2044" s="1208"/>
      <c r="G2044" s="1208"/>
      <c r="H2044" s="1208"/>
      <c r="I2044" s="1209"/>
      <c r="J2044" s="1209"/>
      <c r="K2044" s="1210">
        <f t="shared" si="282"/>
        <v>1.05</v>
      </c>
      <c r="L2044" s="1210">
        <f t="shared" si="283"/>
        <v>0</v>
      </c>
      <c r="M2044" s="1197">
        <f t="shared" si="284"/>
        <v>0</v>
      </c>
      <c r="N2044" s="1211">
        <f t="shared" si="285"/>
        <v>0</v>
      </c>
      <c r="O2044" s="1212"/>
      <c r="P2044" s="1200"/>
      <c r="Q2044" s="1200"/>
    </row>
    <row r="2045" spans="1:17" ht="15" thickTop="1" thickBot="1" x14ac:dyDescent="0.3">
      <c r="A2045" s="1207"/>
      <c r="B2045" s="1212"/>
      <c r="C2045" s="1212"/>
      <c r="D2045" s="1212"/>
      <c r="E2045" s="1212"/>
      <c r="F2045" s="1208"/>
      <c r="G2045" s="1208"/>
      <c r="H2045" s="1208"/>
      <c r="I2045" s="1209"/>
      <c r="J2045" s="1209"/>
      <c r="K2045" s="1210">
        <f t="shared" si="282"/>
        <v>1.05</v>
      </c>
      <c r="L2045" s="1210">
        <f t="shared" si="283"/>
        <v>0</v>
      </c>
      <c r="M2045" s="1197">
        <f t="shared" si="284"/>
        <v>0</v>
      </c>
      <c r="N2045" s="1211">
        <f t="shared" si="285"/>
        <v>0</v>
      </c>
      <c r="O2045" s="1212"/>
      <c r="P2045" s="1200"/>
      <c r="Q2045" s="1200"/>
    </row>
    <row r="2046" spans="1:17" ht="15" thickTop="1" thickBot="1" x14ac:dyDescent="0.3">
      <c r="A2046" s="1207"/>
      <c r="B2046" s="1212"/>
      <c r="C2046" s="1212"/>
      <c r="D2046" s="1212"/>
      <c r="E2046" s="1212"/>
      <c r="F2046" s="1208"/>
      <c r="G2046" s="1208"/>
      <c r="H2046" s="1208"/>
      <c r="I2046" s="1209"/>
      <c r="J2046" s="1209"/>
      <c r="K2046" s="1210">
        <f t="shared" si="282"/>
        <v>1.05</v>
      </c>
      <c r="L2046" s="1210">
        <f t="shared" si="283"/>
        <v>0</v>
      </c>
      <c r="M2046" s="1197">
        <f t="shared" si="284"/>
        <v>0</v>
      </c>
      <c r="N2046" s="1211">
        <f t="shared" si="285"/>
        <v>0</v>
      </c>
      <c r="O2046" s="1212"/>
      <c r="P2046" s="1200"/>
      <c r="Q2046" s="1200"/>
    </row>
    <row r="2047" spans="1:17" ht="15" thickTop="1" thickBot="1" x14ac:dyDescent="0.3">
      <c r="A2047" s="1207"/>
      <c r="B2047" s="1212"/>
      <c r="C2047" s="1212"/>
      <c r="D2047" s="1212"/>
      <c r="E2047" s="1212"/>
      <c r="F2047" s="1208"/>
      <c r="G2047" s="1208"/>
      <c r="H2047" s="1208"/>
      <c r="I2047" s="1209"/>
      <c r="J2047" s="1209"/>
      <c r="K2047" s="1210">
        <f t="shared" si="282"/>
        <v>1.05</v>
      </c>
      <c r="L2047" s="1210">
        <f t="shared" si="283"/>
        <v>0</v>
      </c>
      <c r="M2047" s="1197">
        <f t="shared" si="284"/>
        <v>0</v>
      </c>
      <c r="N2047" s="1211">
        <f t="shared" si="285"/>
        <v>0</v>
      </c>
      <c r="O2047" s="1212"/>
      <c r="P2047" s="1200"/>
      <c r="Q2047" s="1200"/>
    </row>
    <row r="2048" spans="1:17" ht="15" thickTop="1" thickBot="1" x14ac:dyDescent="0.3">
      <c r="A2048" s="1207"/>
      <c r="B2048" s="1212"/>
      <c r="C2048" s="1212"/>
      <c r="D2048" s="1212"/>
      <c r="E2048" s="1212"/>
      <c r="F2048" s="1208"/>
      <c r="G2048" s="1208"/>
      <c r="H2048" s="1208"/>
      <c r="I2048" s="1209"/>
      <c r="J2048" s="1209"/>
      <c r="K2048" s="1210">
        <f t="shared" si="282"/>
        <v>1.05</v>
      </c>
      <c r="L2048" s="1210">
        <f t="shared" si="283"/>
        <v>0</v>
      </c>
      <c r="M2048" s="1197">
        <f t="shared" si="284"/>
        <v>0</v>
      </c>
      <c r="N2048" s="1211">
        <f t="shared" si="285"/>
        <v>0</v>
      </c>
      <c r="O2048" s="1212"/>
      <c r="P2048" s="1200"/>
      <c r="Q2048" s="1200"/>
    </row>
    <row r="2049" spans="1:17" ht="15" thickTop="1" thickBot="1" x14ac:dyDescent="0.3">
      <c r="A2049" s="1207"/>
      <c r="B2049" s="1212"/>
      <c r="C2049" s="1212"/>
      <c r="D2049" s="1212"/>
      <c r="E2049" s="1212"/>
      <c r="F2049" s="1208"/>
      <c r="G2049" s="1208"/>
      <c r="H2049" s="1208"/>
      <c r="I2049" s="1209"/>
      <c r="J2049" s="1209"/>
      <c r="K2049" s="1210">
        <f t="shared" si="282"/>
        <v>1.05</v>
      </c>
      <c r="L2049" s="1210">
        <f t="shared" si="283"/>
        <v>0</v>
      </c>
      <c r="M2049" s="1197">
        <f t="shared" si="284"/>
        <v>0</v>
      </c>
      <c r="N2049" s="1211">
        <f t="shared" si="285"/>
        <v>0</v>
      </c>
      <c r="O2049" s="1212"/>
      <c r="P2049" s="1200"/>
      <c r="Q2049" s="1200"/>
    </row>
    <row r="2050" spans="1:17" ht="15" thickTop="1" thickBot="1" x14ac:dyDescent="0.3">
      <c r="A2050" s="1207"/>
      <c r="B2050" s="1212"/>
      <c r="C2050" s="1212"/>
      <c r="D2050" s="1212"/>
      <c r="E2050" s="1212"/>
      <c r="F2050" s="1208"/>
      <c r="G2050" s="1208"/>
      <c r="H2050" s="1208"/>
      <c r="I2050" s="1209"/>
      <c r="J2050" s="1209"/>
      <c r="K2050" s="1210">
        <f t="shared" si="282"/>
        <v>1.05</v>
      </c>
      <c r="L2050" s="1210">
        <f t="shared" si="283"/>
        <v>0</v>
      </c>
      <c r="M2050" s="1197">
        <f t="shared" si="284"/>
        <v>0</v>
      </c>
      <c r="N2050" s="1211">
        <f t="shared" si="285"/>
        <v>0</v>
      </c>
      <c r="O2050" s="1212"/>
      <c r="P2050" s="1200"/>
      <c r="Q2050" s="1200"/>
    </row>
    <row r="2051" spans="1:17" ht="15" thickTop="1" thickBot="1" x14ac:dyDescent="0.3">
      <c r="A2051" s="1207"/>
      <c r="B2051" s="1212"/>
      <c r="C2051" s="1212"/>
      <c r="D2051" s="1212"/>
      <c r="E2051" s="1212"/>
      <c r="F2051" s="1208"/>
      <c r="G2051" s="1208"/>
      <c r="H2051" s="1208"/>
      <c r="I2051" s="1209"/>
      <c r="J2051" s="1209"/>
      <c r="K2051" s="1210">
        <f t="shared" si="282"/>
        <v>1.05</v>
      </c>
      <c r="L2051" s="1210">
        <f t="shared" si="283"/>
        <v>0</v>
      </c>
      <c r="M2051" s="1197">
        <f t="shared" si="284"/>
        <v>0</v>
      </c>
      <c r="N2051" s="1211">
        <f t="shared" si="285"/>
        <v>0</v>
      </c>
      <c r="O2051" s="1212"/>
      <c r="P2051" s="1200"/>
      <c r="Q2051" s="1200"/>
    </row>
    <row r="2052" spans="1:17" ht="15" thickTop="1" thickBot="1" x14ac:dyDescent="0.3">
      <c r="A2052" s="1207"/>
      <c r="B2052" s="1212"/>
      <c r="C2052" s="1212"/>
      <c r="D2052" s="1212"/>
      <c r="E2052" s="1212"/>
      <c r="F2052" s="1208"/>
      <c r="G2052" s="1208"/>
      <c r="H2052" s="1208"/>
      <c r="I2052" s="1209"/>
      <c r="J2052" s="1209"/>
      <c r="K2052" s="1210">
        <f t="shared" si="282"/>
        <v>1.05</v>
      </c>
      <c r="L2052" s="1210">
        <f t="shared" si="283"/>
        <v>0</v>
      </c>
      <c r="M2052" s="1197">
        <f t="shared" si="284"/>
        <v>0</v>
      </c>
      <c r="N2052" s="1211">
        <f t="shared" si="285"/>
        <v>0</v>
      </c>
      <c r="O2052" s="1212"/>
      <c r="P2052" s="1200"/>
      <c r="Q2052" s="1200"/>
    </row>
    <row r="2053" spans="1:17" ht="15" thickTop="1" thickBot="1" x14ac:dyDescent="0.3">
      <c r="A2053" s="1207"/>
      <c r="B2053" s="1212"/>
      <c r="C2053" s="1212"/>
      <c r="D2053" s="1212"/>
      <c r="E2053" s="1212"/>
      <c r="F2053" s="1208"/>
      <c r="G2053" s="1208"/>
      <c r="H2053" s="1208"/>
      <c r="I2053" s="1209"/>
      <c r="J2053" s="1209"/>
      <c r="K2053" s="1210">
        <f t="shared" si="282"/>
        <v>1.05</v>
      </c>
      <c r="L2053" s="1210">
        <f t="shared" si="283"/>
        <v>0</v>
      </c>
      <c r="M2053" s="1197">
        <f t="shared" si="284"/>
        <v>0</v>
      </c>
      <c r="N2053" s="1211">
        <f t="shared" si="285"/>
        <v>0</v>
      </c>
      <c r="O2053" s="1212"/>
      <c r="P2053" s="1200"/>
      <c r="Q2053" s="1200"/>
    </row>
    <row r="2054" spans="1:17" ht="15" thickTop="1" thickBot="1" x14ac:dyDescent="0.3">
      <c r="A2054" s="1207"/>
      <c r="B2054" s="1212"/>
      <c r="C2054" s="1212"/>
      <c r="D2054" s="1212"/>
      <c r="E2054" s="1212"/>
      <c r="F2054" s="1208"/>
      <c r="G2054" s="1208"/>
      <c r="H2054" s="1208"/>
      <c r="I2054" s="1209"/>
      <c r="J2054" s="1209"/>
      <c r="K2054" s="1210">
        <f t="shared" si="282"/>
        <v>1.05</v>
      </c>
      <c r="L2054" s="1210">
        <f t="shared" si="283"/>
        <v>0</v>
      </c>
      <c r="M2054" s="1197">
        <f t="shared" si="284"/>
        <v>0</v>
      </c>
      <c r="N2054" s="1211">
        <f t="shared" si="285"/>
        <v>0</v>
      </c>
      <c r="O2054" s="1212"/>
      <c r="P2054" s="1200"/>
      <c r="Q2054" s="1200"/>
    </row>
    <row r="2055" spans="1:17" ht="15" thickTop="1" thickBot="1" x14ac:dyDescent="0.3">
      <c r="A2055" s="1207"/>
      <c r="B2055" s="1212"/>
      <c r="C2055" s="1212"/>
      <c r="D2055" s="1212"/>
      <c r="E2055" s="1212"/>
      <c r="F2055" s="1208"/>
      <c r="G2055" s="1208"/>
      <c r="H2055" s="1208"/>
      <c r="I2055" s="1209"/>
      <c r="J2055" s="1209"/>
      <c r="K2055" s="1210">
        <f t="shared" si="282"/>
        <v>1.05</v>
      </c>
      <c r="L2055" s="1210">
        <f t="shared" si="283"/>
        <v>0</v>
      </c>
      <c r="M2055" s="1197">
        <f t="shared" si="284"/>
        <v>0</v>
      </c>
      <c r="N2055" s="1211">
        <f t="shared" si="285"/>
        <v>0</v>
      </c>
      <c r="O2055" s="1212"/>
      <c r="P2055" s="1200"/>
      <c r="Q2055" s="1200"/>
    </row>
    <row r="2056" spans="1:17" ht="15" thickTop="1" thickBot="1" x14ac:dyDescent="0.3">
      <c r="A2056" s="1207"/>
      <c r="B2056" s="1212"/>
      <c r="C2056" s="1212"/>
      <c r="D2056" s="1212"/>
      <c r="E2056" s="1212"/>
      <c r="F2056" s="1208"/>
      <c r="G2056" s="1208"/>
      <c r="H2056" s="1208"/>
      <c r="I2056" s="1209"/>
      <c r="J2056" s="1209"/>
      <c r="K2056" s="1210">
        <f t="shared" si="282"/>
        <v>1.05</v>
      </c>
      <c r="L2056" s="1210">
        <f t="shared" si="283"/>
        <v>0</v>
      </c>
      <c r="M2056" s="1197">
        <f t="shared" si="284"/>
        <v>0</v>
      </c>
      <c r="N2056" s="1211">
        <f t="shared" si="285"/>
        <v>0</v>
      </c>
      <c r="O2056" s="1212"/>
      <c r="P2056" s="1200"/>
      <c r="Q2056" s="1200"/>
    </row>
    <row r="2057" spans="1:17" ht="15" thickTop="1" thickBot="1" x14ac:dyDescent="0.3">
      <c r="A2057" s="1207"/>
      <c r="B2057" s="1212"/>
      <c r="C2057" s="1212"/>
      <c r="D2057" s="1212"/>
      <c r="E2057" s="1212"/>
      <c r="F2057" s="1208"/>
      <c r="G2057" s="1208"/>
      <c r="H2057" s="1208"/>
      <c r="I2057" s="1209"/>
      <c r="J2057" s="1209"/>
      <c r="K2057" s="1210">
        <f t="shared" si="282"/>
        <v>1.05</v>
      </c>
      <c r="L2057" s="1210">
        <f t="shared" si="283"/>
        <v>0</v>
      </c>
      <c r="M2057" s="1197">
        <f t="shared" si="284"/>
        <v>0</v>
      </c>
      <c r="N2057" s="1211">
        <f t="shared" si="285"/>
        <v>0</v>
      </c>
      <c r="O2057" s="1212"/>
      <c r="P2057" s="1200"/>
      <c r="Q2057" s="1200"/>
    </row>
    <row r="2058" spans="1:17" ht="15" thickTop="1" thickBot="1" x14ac:dyDescent="0.3">
      <c r="A2058" s="1207"/>
      <c r="B2058" s="1212"/>
      <c r="C2058" s="1212"/>
      <c r="D2058" s="1212"/>
      <c r="E2058" s="1212"/>
      <c r="F2058" s="1208"/>
      <c r="G2058" s="1208"/>
      <c r="H2058" s="1208"/>
      <c r="I2058" s="1209"/>
      <c r="J2058" s="1209"/>
      <c r="K2058" s="1210">
        <f t="shared" si="282"/>
        <v>1.05</v>
      </c>
      <c r="L2058" s="1210">
        <f t="shared" si="283"/>
        <v>0</v>
      </c>
      <c r="M2058" s="1197">
        <f t="shared" si="284"/>
        <v>0</v>
      </c>
      <c r="N2058" s="1211">
        <f t="shared" si="285"/>
        <v>0</v>
      </c>
      <c r="O2058" s="1212"/>
      <c r="P2058" s="1200"/>
      <c r="Q2058" s="1200"/>
    </row>
    <row r="2059" spans="1:17" ht="15" thickTop="1" thickBot="1" x14ac:dyDescent="0.3">
      <c r="A2059" s="1207"/>
      <c r="B2059" s="1212"/>
      <c r="C2059" s="1212"/>
      <c r="D2059" s="1212"/>
      <c r="E2059" s="1212"/>
      <c r="F2059" s="1208"/>
      <c r="G2059" s="1208"/>
      <c r="H2059" s="1208"/>
      <c r="I2059" s="1209"/>
      <c r="J2059" s="1209"/>
      <c r="K2059" s="1210">
        <f t="shared" ref="K2059:K2122" si="286">$K$2</f>
        <v>1.05</v>
      </c>
      <c r="L2059" s="1210">
        <f t="shared" si="283"/>
        <v>0</v>
      </c>
      <c r="M2059" s="1197">
        <f t="shared" si="284"/>
        <v>0</v>
      </c>
      <c r="N2059" s="1211">
        <f t="shared" si="285"/>
        <v>0</v>
      </c>
      <c r="O2059" s="1212"/>
      <c r="P2059" s="1200"/>
      <c r="Q2059" s="1200"/>
    </row>
    <row r="2060" spans="1:17" ht="15" thickTop="1" thickBot="1" x14ac:dyDescent="0.3">
      <c r="A2060" s="1207"/>
      <c r="B2060" s="1212"/>
      <c r="C2060" s="1212"/>
      <c r="D2060" s="1212"/>
      <c r="E2060" s="1212"/>
      <c r="F2060" s="1208"/>
      <c r="G2060" s="1208"/>
      <c r="H2060" s="1208"/>
      <c r="I2060" s="1209"/>
      <c r="J2060" s="1209"/>
      <c r="K2060" s="1210">
        <f t="shared" si="286"/>
        <v>1.05</v>
      </c>
      <c r="L2060" s="1210">
        <f t="shared" si="283"/>
        <v>0</v>
      </c>
      <c r="M2060" s="1197">
        <f t="shared" si="284"/>
        <v>0</v>
      </c>
      <c r="N2060" s="1211">
        <f t="shared" si="285"/>
        <v>0</v>
      </c>
      <c r="O2060" s="1212"/>
      <c r="P2060" s="1200"/>
      <c r="Q2060" s="1200"/>
    </row>
    <row r="2061" spans="1:17" ht="15" thickTop="1" thickBot="1" x14ac:dyDescent="0.3">
      <c r="A2061" s="1207"/>
      <c r="B2061" s="1212"/>
      <c r="C2061" s="1212"/>
      <c r="D2061" s="1212"/>
      <c r="E2061" s="1212"/>
      <c r="F2061" s="1208"/>
      <c r="G2061" s="1208"/>
      <c r="H2061" s="1208"/>
      <c r="I2061" s="1209"/>
      <c r="J2061" s="1209"/>
      <c r="K2061" s="1210">
        <f t="shared" si="286"/>
        <v>1.05</v>
      </c>
      <c r="L2061" s="1210">
        <f t="shared" si="283"/>
        <v>0</v>
      </c>
      <c r="M2061" s="1197">
        <f t="shared" si="284"/>
        <v>0</v>
      </c>
      <c r="N2061" s="1211">
        <f t="shared" si="285"/>
        <v>0</v>
      </c>
      <c r="O2061" s="1212"/>
      <c r="P2061" s="1200"/>
      <c r="Q2061" s="1200"/>
    </row>
    <row r="2062" spans="1:17" ht="15" thickTop="1" thickBot="1" x14ac:dyDescent="0.3">
      <c r="A2062" s="1207"/>
      <c r="B2062" s="1212"/>
      <c r="C2062" s="1212"/>
      <c r="D2062" s="1212"/>
      <c r="E2062" s="1212"/>
      <c r="F2062" s="1208"/>
      <c r="G2062" s="1208"/>
      <c r="H2062" s="1208"/>
      <c r="I2062" s="1209"/>
      <c r="J2062" s="1209"/>
      <c r="K2062" s="1210">
        <f t="shared" si="286"/>
        <v>1.05</v>
      </c>
      <c r="L2062" s="1210">
        <f t="shared" si="283"/>
        <v>0</v>
      </c>
      <c r="M2062" s="1197">
        <f t="shared" si="284"/>
        <v>0</v>
      </c>
      <c r="N2062" s="1211">
        <f t="shared" si="285"/>
        <v>0</v>
      </c>
      <c r="O2062" s="1212"/>
      <c r="P2062" s="1200"/>
      <c r="Q2062" s="1200"/>
    </row>
    <row r="2063" spans="1:17" ht="15" thickTop="1" thickBot="1" x14ac:dyDescent="0.3">
      <c r="A2063" s="1207"/>
      <c r="B2063" s="1212"/>
      <c r="C2063" s="1212"/>
      <c r="D2063" s="1212"/>
      <c r="E2063" s="1212"/>
      <c r="F2063" s="1208"/>
      <c r="G2063" s="1208"/>
      <c r="H2063" s="1208"/>
      <c r="I2063" s="1209"/>
      <c r="J2063" s="1209"/>
      <c r="K2063" s="1210">
        <f t="shared" si="286"/>
        <v>1.05</v>
      </c>
      <c r="L2063" s="1210">
        <f t="shared" si="283"/>
        <v>0</v>
      </c>
      <c r="M2063" s="1197">
        <f t="shared" si="284"/>
        <v>0</v>
      </c>
      <c r="N2063" s="1211">
        <f t="shared" si="285"/>
        <v>0</v>
      </c>
      <c r="O2063" s="1212"/>
      <c r="P2063" s="1200"/>
      <c r="Q2063" s="1200"/>
    </row>
    <row r="2064" spans="1:17" ht="15" thickTop="1" thickBot="1" x14ac:dyDescent="0.3">
      <c r="A2064" s="1207"/>
      <c r="B2064" s="1212"/>
      <c r="C2064" s="1212"/>
      <c r="D2064" s="1212"/>
      <c r="E2064" s="1212"/>
      <c r="F2064" s="1208"/>
      <c r="G2064" s="1208"/>
      <c r="H2064" s="1208"/>
      <c r="I2064" s="1209"/>
      <c r="J2064" s="1209"/>
      <c r="K2064" s="1210">
        <f t="shared" si="286"/>
        <v>1.05</v>
      </c>
      <c r="L2064" s="1210">
        <f t="shared" si="283"/>
        <v>0</v>
      </c>
      <c r="M2064" s="1197">
        <f t="shared" si="284"/>
        <v>0</v>
      </c>
      <c r="N2064" s="1211">
        <f t="shared" si="285"/>
        <v>0</v>
      </c>
      <c r="O2064" s="1212"/>
      <c r="P2064" s="1200"/>
      <c r="Q2064" s="1200"/>
    </row>
    <row r="2065" spans="1:17" ht="15" thickTop="1" thickBot="1" x14ac:dyDescent="0.3">
      <c r="A2065" s="1207"/>
      <c r="B2065" s="1212"/>
      <c r="C2065" s="1212"/>
      <c r="D2065" s="1212"/>
      <c r="E2065" s="1212"/>
      <c r="F2065" s="1208"/>
      <c r="G2065" s="1208"/>
      <c r="H2065" s="1208"/>
      <c r="I2065" s="1209"/>
      <c r="J2065" s="1209"/>
      <c r="K2065" s="1210">
        <f t="shared" si="286"/>
        <v>1.05</v>
      </c>
      <c r="L2065" s="1210">
        <f t="shared" si="283"/>
        <v>0</v>
      </c>
      <c r="M2065" s="1197">
        <f t="shared" si="284"/>
        <v>0</v>
      </c>
      <c r="N2065" s="1211">
        <f t="shared" si="285"/>
        <v>0</v>
      </c>
      <c r="O2065" s="1212"/>
      <c r="P2065" s="1200"/>
      <c r="Q2065" s="1200"/>
    </row>
    <row r="2066" spans="1:17" ht="15" thickTop="1" thickBot="1" x14ac:dyDescent="0.3">
      <c r="A2066" s="1207"/>
      <c r="B2066" s="1212"/>
      <c r="C2066" s="1212"/>
      <c r="D2066" s="1212"/>
      <c r="E2066" s="1212"/>
      <c r="F2066" s="1208"/>
      <c r="G2066" s="1208"/>
      <c r="H2066" s="1208"/>
      <c r="I2066" s="1209"/>
      <c r="J2066" s="1209"/>
      <c r="K2066" s="1210">
        <f t="shared" si="286"/>
        <v>1.05</v>
      </c>
      <c r="L2066" s="1210">
        <f t="shared" si="283"/>
        <v>0</v>
      </c>
      <c r="M2066" s="1197">
        <f t="shared" si="284"/>
        <v>0</v>
      </c>
      <c r="N2066" s="1211">
        <f t="shared" si="285"/>
        <v>0</v>
      </c>
      <c r="O2066" s="1212"/>
      <c r="P2066" s="1200"/>
      <c r="Q2066" s="1200"/>
    </row>
    <row r="2067" spans="1:17" ht="15" thickTop="1" thickBot="1" x14ac:dyDescent="0.3">
      <c r="A2067" s="1207"/>
      <c r="B2067" s="1212"/>
      <c r="C2067" s="1212"/>
      <c r="D2067" s="1212"/>
      <c r="E2067" s="1212"/>
      <c r="F2067" s="1208"/>
      <c r="G2067" s="1208"/>
      <c r="H2067" s="1208"/>
      <c r="I2067" s="1209"/>
      <c r="J2067" s="1209"/>
      <c r="K2067" s="1210">
        <f t="shared" si="286"/>
        <v>1.05</v>
      </c>
      <c r="L2067" s="1210">
        <f t="shared" si="283"/>
        <v>0</v>
      </c>
      <c r="M2067" s="1197">
        <f t="shared" si="284"/>
        <v>0</v>
      </c>
      <c r="N2067" s="1211">
        <f t="shared" si="285"/>
        <v>0</v>
      </c>
      <c r="O2067" s="1212"/>
      <c r="P2067" s="1200"/>
      <c r="Q2067" s="1200"/>
    </row>
    <row r="2068" spans="1:17" ht="15" thickTop="1" thickBot="1" x14ac:dyDescent="0.3">
      <c r="A2068" s="1207"/>
      <c r="B2068" s="1212"/>
      <c r="C2068" s="1212"/>
      <c r="D2068" s="1212"/>
      <c r="E2068" s="1212"/>
      <c r="F2068" s="1208"/>
      <c r="G2068" s="1208"/>
      <c r="H2068" s="1208"/>
      <c r="I2068" s="1209"/>
      <c r="J2068" s="1209"/>
      <c r="K2068" s="1210">
        <f t="shared" si="286"/>
        <v>1.05</v>
      </c>
      <c r="L2068" s="1210">
        <f t="shared" si="283"/>
        <v>0</v>
      </c>
      <c r="M2068" s="1197">
        <f t="shared" si="284"/>
        <v>0</v>
      </c>
      <c r="N2068" s="1211">
        <f t="shared" si="285"/>
        <v>0</v>
      </c>
      <c r="O2068" s="1212"/>
      <c r="P2068" s="1200"/>
      <c r="Q2068" s="1200"/>
    </row>
    <row r="2069" spans="1:17" ht="15" thickTop="1" thickBot="1" x14ac:dyDescent="0.3">
      <c r="A2069" s="1207"/>
      <c r="B2069" s="1212"/>
      <c r="C2069" s="1212"/>
      <c r="D2069" s="1212"/>
      <c r="E2069" s="1212"/>
      <c r="F2069" s="1208"/>
      <c r="G2069" s="1208"/>
      <c r="H2069" s="1208"/>
      <c r="I2069" s="1209"/>
      <c r="J2069" s="1209"/>
      <c r="K2069" s="1210">
        <f t="shared" si="286"/>
        <v>1.05</v>
      </c>
      <c r="L2069" s="1210">
        <f t="shared" si="283"/>
        <v>0</v>
      </c>
      <c r="M2069" s="1197">
        <f t="shared" si="284"/>
        <v>0</v>
      </c>
      <c r="N2069" s="1211">
        <f t="shared" si="285"/>
        <v>0</v>
      </c>
      <c r="O2069" s="1212"/>
      <c r="P2069" s="1200"/>
      <c r="Q2069" s="1200"/>
    </row>
    <row r="2070" spans="1:17" ht="15" thickTop="1" thickBot="1" x14ac:dyDescent="0.3">
      <c r="A2070" s="1207"/>
      <c r="B2070" s="1212"/>
      <c r="C2070" s="1212"/>
      <c r="D2070" s="1212"/>
      <c r="E2070" s="1212"/>
      <c r="F2070" s="1208"/>
      <c r="G2070" s="1208"/>
      <c r="H2070" s="1208"/>
      <c r="I2070" s="1209"/>
      <c r="J2070" s="1209"/>
      <c r="K2070" s="1210">
        <f t="shared" si="286"/>
        <v>1.05</v>
      </c>
      <c r="L2070" s="1210">
        <f t="shared" si="283"/>
        <v>0</v>
      </c>
      <c r="M2070" s="1197">
        <f t="shared" si="284"/>
        <v>0</v>
      </c>
      <c r="N2070" s="1211">
        <f t="shared" si="285"/>
        <v>0</v>
      </c>
      <c r="O2070" s="1212"/>
      <c r="P2070" s="1200"/>
      <c r="Q2070" s="1200"/>
    </row>
    <row r="2071" spans="1:17" ht="15" thickTop="1" thickBot="1" x14ac:dyDescent="0.3">
      <c r="A2071" s="1207"/>
      <c r="B2071" s="1212"/>
      <c r="C2071" s="1212"/>
      <c r="D2071" s="1212"/>
      <c r="E2071" s="1212"/>
      <c r="F2071" s="1208"/>
      <c r="G2071" s="1208"/>
      <c r="H2071" s="1208"/>
      <c r="I2071" s="1209"/>
      <c r="J2071" s="1209"/>
      <c r="K2071" s="1210">
        <f t="shared" si="286"/>
        <v>1.05</v>
      </c>
      <c r="L2071" s="1210">
        <f t="shared" si="283"/>
        <v>0</v>
      </c>
      <c r="M2071" s="1197">
        <f t="shared" si="284"/>
        <v>0</v>
      </c>
      <c r="N2071" s="1211">
        <f t="shared" si="285"/>
        <v>0</v>
      </c>
      <c r="O2071" s="1212"/>
      <c r="P2071" s="1200"/>
      <c r="Q2071" s="1200"/>
    </row>
    <row r="2072" spans="1:17" ht="15" thickTop="1" thickBot="1" x14ac:dyDescent="0.3">
      <c r="A2072" s="1207"/>
      <c r="B2072" s="1212"/>
      <c r="C2072" s="1212"/>
      <c r="D2072" s="1212"/>
      <c r="E2072" s="1212"/>
      <c r="F2072" s="1208"/>
      <c r="G2072" s="1208"/>
      <c r="H2072" s="1208"/>
      <c r="I2072" s="1209"/>
      <c r="J2072" s="1209"/>
      <c r="K2072" s="1210">
        <f t="shared" si="286"/>
        <v>1.05</v>
      </c>
      <c r="L2072" s="1210">
        <f t="shared" si="283"/>
        <v>0</v>
      </c>
      <c r="M2072" s="1197">
        <f t="shared" si="284"/>
        <v>0</v>
      </c>
      <c r="N2072" s="1211">
        <f t="shared" si="285"/>
        <v>0</v>
      </c>
      <c r="O2072" s="1212"/>
      <c r="P2072" s="1200"/>
      <c r="Q2072" s="1200"/>
    </row>
    <row r="2073" spans="1:17" ht="15" thickTop="1" thickBot="1" x14ac:dyDescent="0.3">
      <c r="A2073" s="1207"/>
      <c r="B2073" s="1212"/>
      <c r="C2073" s="1212"/>
      <c r="D2073" s="1212"/>
      <c r="E2073" s="1212"/>
      <c r="F2073" s="1208"/>
      <c r="G2073" s="1208"/>
      <c r="H2073" s="1208"/>
      <c r="I2073" s="1209"/>
      <c r="J2073" s="1209"/>
      <c r="K2073" s="1210">
        <f t="shared" si="286"/>
        <v>1.05</v>
      </c>
      <c r="L2073" s="1210">
        <f t="shared" si="283"/>
        <v>0</v>
      </c>
      <c r="M2073" s="1197">
        <f t="shared" si="284"/>
        <v>0</v>
      </c>
      <c r="N2073" s="1211">
        <f t="shared" si="285"/>
        <v>0</v>
      </c>
      <c r="O2073" s="1212"/>
      <c r="P2073" s="1200"/>
      <c r="Q2073" s="1200"/>
    </row>
    <row r="2074" spans="1:17" ht="15" thickTop="1" thickBot="1" x14ac:dyDescent="0.3">
      <c r="A2074" s="1207"/>
      <c r="B2074" s="1212"/>
      <c r="C2074" s="1212"/>
      <c r="D2074" s="1212"/>
      <c r="E2074" s="1212"/>
      <c r="F2074" s="1208"/>
      <c r="G2074" s="1208"/>
      <c r="H2074" s="1208"/>
      <c r="I2074" s="1209"/>
      <c r="J2074" s="1209"/>
      <c r="K2074" s="1210">
        <f t="shared" si="286"/>
        <v>1.05</v>
      </c>
      <c r="L2074" s="1210">
        <f t="shared" si="283"/>
        <v>0</v>
      </c>
      <c r="M2074" s="1197">
        <f t="shared" si="284"/>
        <v>0</v>
      </c>
      <c r="N2074" s="1211">
        <f t="shared" si="285"/>
        <v>0</v>
      </c>
      <c r="O2074" s="1212"/>
      <c r="P2074" s="1200"/>
      <c r="Q2074" s="1200"/>
    </row>
    <row r="2075" spans="1:17" ht="15" thickTop="1" thickBot="1" x14ac:dyDescent="0.3">
      <c r="A2075" s="1207"/>
      <c r="B2075" s="1212"/>
      <c r="C2075" s="1212"/>
      <c r="D2075" s="1212"/>
      <c r="E2075" s="1212"/>
      <c r="F2075" s="1208"/>
      <c r="G2075" s="1208"/>
      <c r="H2075" s="1208"/>
      <c r="I2075" s="1209"/>
      <c r="J2075" s="1209"/>
      <c r="K2075" s="1210">
        <f t="shared" si="286"/>
        <v>1.05</v>
      </c>
      <c r="L2075" s="1210">
        <f t="shared" si="283"/>
        <v>0</v>
      </c>
      <c r="M2075" s="1197">
        <f t="shared" si="284"/>
        <v>0</v>
      </c>
      <c r="N2075" s="1211">
        <f t="shared" si="285"/>
        <v>0</v>
      </c>
      <c r="O2075" s="1212"/>
      <c r="P2075" s="1200"/>
      <c r="Q2075" s="1200"/>
    </row>
    <row r="2076" spans="1:17" ht="15" thickTop="1" thickBot="1" x14ac:dyDescent="0.3">
      <c r="A2076" s="1207"/>
      <c r="B2076" s="1212"/>
      <c r="C2076" s="1212"/>
      <c r="D2076" s="1212"/>
      <c r="E2076" s="1212"/>
      <c r="F2076" s="1208"/>
      <c r="G2076" s="1208"/>
      <c r="H2076" s="1208"/>
      <c r="I2076" s="1209"/>
      <c r="J2076" s="1209"/>
      <c r="K2076" s="1210">
        <f t="shared" si="286"/>
        <v>1.05</v>
      </c>
      <c r="L2076" s="1210">
        <f t="shared" si="283"/>
        <v>0</v>
      </c>
      <c r="M2076" s="1197">
        <f t="shared" si="284"/>
        <v>0</v>
      </c>
      <c r="N2076" s="1211">
        <f t="shared" si="285"/>
        <v>0</v>
      </c>
      <c r="O2076" s="1212"/>
      <c r="P2076" s="1200"/>
      <c r="Q2076" s="1200"/>
    </row>
    <row r="2077" spans="1:17" ht="15" thickTop="1" thickBot="1" x14ac:dyDescent="0.3">
      <c r="A2077" s="1207"/>
      <c r="B2077" s="1212"/>
      <c r="C2077" s="1212"/>
      <c r="D2077" s="1212"/>
      <c r="E2077" s="1212"/>
      <c r="F2077" s="1208"/>
      <c r="G2077" s="1208"/>
      <c r="H2077" s="1208"/>
      <c r="I2077" s="1209"/>
      <c r="J2077" s="1209"/>
      <c r="K2077" s="1210">
        <f t="shared" si="286"/>
        <v>1.05</v>
      </c>
      <c r="L2077" s="1210">
        <f t="shared" si="283"/>
        <v>0</v>
      </c>
      <c r="M2077" s="1197">
        <f t="shared" si="284"/>
        <v>0</v>
      </c>
      <c r="N2077" s="1211">
        <f t="shared" si="285"/>
        <v>0</v>
      </c>
      <c r="O2077" s="1212"/>
      <c r="P2077" s="1200"/>
      <c r="Q2077" s="1200"/>
    </row>
    <row r="2078" spans="1:17" ht="15" thickTop="1" thickBot="1" x14ac:dyDescent="0.3">
      <c r="A2078" s="1207"/>
      <c r="B2078" s="1212"/>
      <c r="C2078" s="1212"/>
      <c r="D2078" s="1212"/>
      <c r="E2078" s="1212"/>
      <c r="F2078" s="1208"/>
      <c r="G2078" s="1208"/>
      <c r="H2078" s="1208"/>
      <c r="I2078" s="1209"/>
      <c r="J2078" s="1209"/>
      <c r="K2078" s="1210">
        <f t="shared" si="286"/>
        <v>1.05</v>
      </c>
      <c r="L2078" s="1210">
        <f t="shared" si="283"/>
        <v>0</v>
      </c>
      <c r="M2078" s="1197">
        <f t="shared" si="284"/>
        <v>0</v>
      </c>
      <c r="N2078" s="1211">
        <f t="shared" si="285"/>
        <v>0</v>
      </c>
      <c r="O2078" s="1212"/>
      <c r="P2078" s="1200"/>
      <c r="Q2078" s="1200"/>
    </row>
    <row r="2079" spans="1:17" ht="15" thickTop="1" thickBot="1" x14ac:dyDescent="0.3">
      <c r="A2079" s="1207"/>
      <c r="B2079" s="1212"/>
      <c r="C2079" s="1212"/>
      <c r="D2079" s="1212"/>
      <c r="E2079" s="1212"/>
      <c r="F2079" s="1208"/>
      <c r="G2079" s="1208"/>
      <c r="H2079" s="1208"/>
      <c r="I2079" s="1209"/>
      <c r="J2079" s="1209"/>
      <c r="K2079" s="1210">
        <f t="shared" si="286"/>
        <v>1.05</v>
      </c>
      <c r="L2079" s="1210">
        <f t="shared" si="283"/>
        <v>0</v>
      </c>
      <c r="M2079" s="1197">
        <f t="shared" si="284"/>
        <v>0</v>
      </c>
      <c r="N2079" s="1211">
        <f t="shared" si="285"/>
        <v>0</v>
      </c>
      <c r="O2079" s="1212"/>
      <c r="P2079" s="1200"/>
      <c r="Q2079" s="1200"/>
    </row>
    <row r="2080" spans="1:17" ht="15" thickTop="1" thickBot="1" x14ac:dyDescent="0.3">
      <c r="A2080" s="1207"/>
      <c r="B2080" s="1212"/>
      <c r="C2080" s="1212"/>
      <c r="D2080" s="1212"/>
      <c r="E2080" s="1212"/>
      <c r="F2080" s="1208"/>
      <c r="G2080" s="1208"/>
      <c r="H2080" s="1208"/>
      <c r="I2080" s="1209"/>
      <c r="J2080" s="1209"/>
      <c r="K2080" s="1210">
        <f t="shared" si="286"/>
        <v>1.05</v>
      </c>
      <c r="L2080" s="1210">
        <f t="shared" si="283"/>
        <v>0</v>
      </c>
      <c r="M2080" s="1197">
        <f t="shared" si="284"/>
        <v>0</v>
      </c>
      <c r="N2080" s="1211">
        <f t="shared" si="285"/>
        <v>0</v>
      </c>
      <c r="O2080" s="1212"/>
      <c r="P2080" s="1200"/>
      <c r="Q2080" s="1200"/>
    </row>
    <row r="2081" spans="1:17" ht="15" thickTop="1" thickBot="1" x14ac:dyDescent="0.3">
      <c r="A2081" s="1207"/>
      <c r="B2081" s="1212"/>
      <c r="C2081" s="1212"/>
      <c r="D2081" s="1212"/>
      <c r="E2081" s="1212"/>
      <c r="F2081" s="1208"/>
      <c r="G2081" s="1208"/>
      <c r="H2081" s="1208"/>
      <c r="I2081" s="1209"/>
      <c r="J2081" s="1209"/>
      <c r="K2081" s="1210">
        <f t="shared" si="286"/>
        <v>1.05</v>
      </c>
      <c r="L2081" s="1210">
        <f t="shared" si="283"/>
        <v>0</v>
      </c>
      <c r="M2081" s="1197">
        <f t="shared" si="284"/>
        <v>0</v>
      </c>
      <c r="N2081" s="1211">
        <f t="shared" si="285"/>
        <v>0</v>
      </c>
      <c r="O2081" s="1212"/>
      <c r="P2081" s="1200"/>
      <c r="Q2081" s="1200"/>
    </row>
    <row r="2082" spans="1:17" ht="15" thickTop="1" thickBot="1" x14ac:dyDescent="0.3">
      <c r="A2082" s="1207"/>
      <c r="B2082" s="1212"/>
      <c r="C2082" s="1212"/>
      <c r="D2082" s="1212"/>
      <c r="E2082" s="1212"/>
      <c r="F2082" s="1208"/>
      <c r="G2082" s="1208"/>
      <c r="H2082" s="1208"/>
      <c r="I2082" s="1209"/>
      <c r="J2082" s="1209"/>
      <c r="K2082" s="1210">
        <f t="shared" si="286"/>
        <v>1.05</v>
      </c>
      <c r="L2082" s="1210">
        <f t="shared" si="283"/>
        <v>0</v>
      </c>
      <c r="M2082" s="1197">
        <f t="shared" si="284"/>
        <v>0</v>
      </c>
      <c r="N2082" s="1211">
        <f t="shared" si="285"/>
        <v>0</v>
      </c>
      <c r="O2082" s="1212"/>
      <c r="P2082" s="1200"/>
      <c r="Q2082" s="1200"/>
    </row>
    <row r="2083" spans="1:17" ht="15" thickTop="1" thickBot="1" x14ac:dyDescent="0.3">
      <c r="A2083" s="1207"/>
      <c r="B2083" s="1212"/>
      <c r="C2083" s="1212"/>
      <c r="D2083" s="1212"/>
      <c r="E2083" s="1212"/>
      <c r="F2083" s="1208"/>
      <c r="G2083" s="1208"/>
      <c r="H2083" s="1208"/>
      <c r="I2083" s="1209"/>
      <c r="J2083" s="1209"/>
      <c r="K2083" s="1210">
        <f t="shared" si="286"/>
        <v>1.05</v>
      </c>
      <c r="L2083" s="1210">
        <f t="shared" si="283"/>
        <v>0</v>
      </c>
      <c r="M2083" s="1197">
        <f t="shared" si="284"/>
        <v>0</v>
      </c>
      <c r="N2083" s="1211">
        <f t="shared" si="285"/>
        <v>0</v>
      </c>
      <c r="O2083" s="1212"/>
      <c r="P2083" s="1200"/>
      <c r="Q2083" s="1200"/>
    </row>
    <row r="2084" spans="1:17" ht="15" thickTop="1" thickBot="1" x14ac:dyDescent="0.3">
      <c r="A2084" s="1207"/>
      <c r="B2084" s="1212"/>
      <c r="C2084" s="1212"/>
      <c r="D2084" s="1212"/>
      <c r="E2084" s="1212"/>
      <c r="F2084" s="1208"/>
      <c r="G2084" s="1208"/>
      <c r="H2084" s="1208"/>
      <c r="I2084" s="1209"/>
      <c r="J2084" s="1209"/>
      <c r="K2084" s="1210">
        <f t="shared" si="286"/>
        <v>1.05</v>
      </c>
      <c r="L2084" s="1210">
        <f t="shared" si="283"/>
        <v>0</v>
      </c>
      <c r="M2084" s="1197">
        <f t="shared" si="284"/>
        <v>0</v>
      </c>
      <c r="N2084" s="1211">
        <f t="shared" si="285"/>
        <v>0</v>
      </c>
      <c r="O2084" s="1212"/>
      <c r="P2084" s="1200"/>
      <c r="Q2084" s="1200"/>
    </row>
    <row r="2085" spans="1:17" ht="15" thickTop="1" thickBot="1" x14ac:dyDescent="0.3">
      <c r="A2085" s="1207"/>
      <c r="B2085" s="1212"/>
      <c r="C2085" s="1212"/>
      <c r="D2085" s="1212"/>
      <c r="E2085" s="1212"/>
      <c r="F2085" s="1208"/>
      <c r="G2085" s="1208"/>
      <c r="H2085" s="1208"/>
      <c r="I2085" s="1209"/>
      <c r="J2085" s="1209"/>
      <c r="K2085" s="1210">
        <f t="shared" si="286"/>
        <v>1.05</v>
      </c>
      <c r="L2085" s="1210">
        <f t="shared" si="283"/>
        <v>0</v>
      </c>
      <c r="M2085" s="1197">
        <f t="shared" si="284"/>
        <v>0</v>
      </c>
      <c r="N2085" s="1211">
        <f t="shared" si="285"/>
        <v>0</v>
      </c>
      <c r="O2085" s="1212"/>
      <c r="P2085" s="1200"/>
      <c r="Q2085" s="1200"/>
    </row>
    <row r="2086" spans="1:17" ht="15" thickTop="1" thickBot="1" x14ac:dyDescent="0.3">
      <c r="A2086" s="1207"/>
      <c r="B2086" s="1212"/>
      <c r="C2086" s="1212"/>
      <c r="D2086" s="1212"/>
      <c r="E2086" s="1212"/>
      <c r="F2086" s="1208"/>
      <c r="G2086" s="1208"/>
      <c r="H2086" s="1208"/>
      <c r="I2086" s="1209"/>
      <c r="J2086" s="1209"/>
      <c r="K2086" s="1210">
        <f t="shared" si="286"/>
        <v>1.05</v>
      </c>
      <c r="L2086" s="1210">
        <f t="shared" si="283"/>
        <v>0</v>
      </c>
      <c r="M2086" s="1197">
        <f t="shared" si="284"/>
        <v>0</v>
      </c>
      <c r="N2086" s="1211">
        <f t="shared" si="285"/>
        <v>0</v>
      </c>
      <c r="O2086" s="1212"/>
      <c r="P2086" s="1200"/>
      <c r="Q2086" s="1200"/>
    </row>
    <row r="2087" spans="1:17" ht="15" thickTop="1" thickBot="1" x14ac:dyDescent="0.3">
      <c r="A2087" s="1207"/>
      <c r="B2087" s="1212"/>
      <c r="C2087" s="1212"/>
      <c r="D2087" s="1212"/>
      <c r="E2087" s="1212"/>
      <c r="F2087" s="1208"/>
      <c r="G2087" s="1208"/>
      <c r="H2087" s="1208"/>
      <c r="I2087" s="1209"/>
      <c r="J2087" s="1209"/>
      <c r="K2087" s="1210">
        <f t="shared" si="286"/>
        <v>1.05</v>
      </c>
      <c r="L2087" s="1210">
        <f t="shared" si="283"/>
        <v>0</v>
      </c>
      <c r="M2087" s="1197">
        <f t="shared" si="284"/>
        <v>0</v>
      </c>
      <c r="N2087" s="1211">
        <f t="shared" si="285"/>
        <v>0</v>
      </c>
      <c r="O2087" s="1212"/>
      <c r="P2087" s="1200"/>
      <c r="Q2087" s="1200"/>
    </row>
    <row r="2088" spans="1:17" ht="15" thickTop="1" thickBot="1" x14ac:dyDescent="0.3">
      <c r="A2088" s="1207"/>
      <c r="B2088" s="1212"/>
      <c r="C2088" s="1212"/>
      <c r="D2088" s="1212"/>
      <c r="E2088" s="1212"/>
      <c r="F2088" s="1208"/>
      <c r="G2088" s="1208"/>
      <c r="H2088" s="1208"/>
      <c r="I2088" s="1209"/>
      <c r="J2088" s="1209"/>
      <c r="K2088" s="1210">
        <f t="shared" si="286"/>
        <v>1.05</v>
      </c>
      <c r="L2088" s="1210">
        <f t="shared" si="283"/>
        <v>0</v>
      </c>
      <c r="M2088" s="1197">
        <f t="shared" si="284"/>
        <v>0</v>
      </c>
      <c r="N2088" s="1211">
        <f t="shared" si="285"/>
        <v>0</v>
      </c>
      <c r="O2088" s="1212"/>
      <c r="P2088" s="1200"/>
      <c r="Q2088" s="1200"/>
    </row>
    <row r="2089" spans="1:17" ht="15" thickTop="1" thickBot="1" x14ac:dyDescent="0.3">
      <c r="A2089" s="1207"/>
      <c r="B2089" s="1212"/>
      <c r="C2089" s="1212"/>
      <c r="D2089" s="1212"/>
      <c r="E2089" s="1212"/>
      <c r="F2089" s="1208"/>
      <c r="G2089" s="1208"/>
      <c r="H2089" s="1208"/>
      <c r="I2089" s="1209"/>
      <c r="J2089" s="1209"/>
      <c r="K2089" s="1210">
        <f t="shared" si="286"/>
        <v>1.05</v>
      </c>
      <c r="L2089" s="1210">
        <f t="shared" si="283"/>
        <v>0</v>
      </c>
      <c r="M2089" s="1197">
        <f t="shared" si="284"/>
        <v>0</v>
      </c>
      <c r="N2089" s="1211">
        <f t="shared" si="285"/>
        <v>0</v>
      </c>
      <c r="O2089" s="1212"/>
      <c r="P2089" s="1200"/>
      <c r="Q2089" s="1200"/>
    </row>
    <row r="2090" spans="1:17" ht="15" thickTop="1" thickBot="1" x14ac:dyDescent="0.3">
      <c r="A2090" s="1207"/>
      <c r="B2090" s="1212"/>
      <c r="C2090" s="1212"/>
      <c r="D2090" s="1212"/>
      <c r="E2090" s="1212"/>
      <c r="F2090" s="1208"/>
      <c r="G2090" s="1208"/>
      <c r="H2090" s="1208"/>
      <c r="I2090" s="1209"/>
      <c r="J2090" s="1209"/>
      <c r="K2090" s="1210">
        <f t="shared" si="286"/>
        <v>1.05</v>
      </c>
      <c r="L2090" s="1210">
        <f t="shared" ref="L2090:L2153" si="287">K2090*J2090</f>
        <v>0</v>
      </c>
      <c r="M2090" s="1197">
        <f t="shared" ref="M2090:M2153" si="288">ROUND(L2090,1)</f>
        <v>0</v>
      </c>
      <c r="N2090" s="1211">
        <f t="shared" ref="N2090:N2153" si="289">ROUNDUP(M2090,0)</f>
        <v>0</v>
      </c>
      <c r="O2090" s="1212"/>
      <c r="P2090" s="1200"/>
      <c r="Q2090" s="1200"/>
    </row>
    <row r="2091" spans="1:17" ht="15" thickTop="1" thickBot="1" x14ac:dyDescent="0.3">
      <c r="A2091" s="1207"/>
      <c r="B2091" s="1212"/>
      <c r="C2091" s="1212"/>
      <c r="D2091" s="1212"/>
      <c r="E2091" s="1212"/>
      <c r="F2091" s="1208"/>
      <c r="G2091" s="1208"/>
      <c r="H2091" s="1208"/>
      <c r="I2091" s="1209"/>
      <c r="J2091" s="1209"/>
      <c r="K2091" s="1210">
        <f t="shared" si="286"/>
        <v>1.05</v>
      </c>
      <c r="L2091" s="1210">
        <f t="shared" si="287"/>
        <v>0</v>
      </c>
      <c r="M2091" s="1197">
        <f t="shared" si="288"/>
        <v>0</v>
      </c>
      <c r="N2091" s="1211">
        <f t="shared" si="289"/>
        <v>0</v>
      </c>
      <c r="O2091" s="1212"/>
      <c r="P2091" s="1200"/>
      <c r="Q2091" s="1200"/>
    </row>
    <row r="2092" spans="1:17" ht="15" thickTop="1" thickBot="1" x14ac:dyDescent="0.3">
      <c r="A2092" s="1207"/>
      <c r="B2092" s="1212"/>
      <c r="C2092" s="1212"/>
      <c r="D2092" s="1212"/>
      <c r="E2092" s="1212"/>
      <c r="F2092" s="1208"/>
      <c r="G2092" s="1208"/>
      <c r="H2092" s="1208"/>
      <c r="I2092" s="1209"/>
      <c r="J2092" s="1209"/>
      <c r="K2092" s="1210">
        <f t="shared" si="286"/>
        <v>1.05</v>
      </c>
      <c r="L2092" s="1210">
        <f t="shared" si="287"/>
        <v>0</v>
      </c>
      <c r="M2092" s="1197">
        <f t="shared" si="288"/>
        <v>0</v>
      </c>
      <c r="N2092" s="1211">
        <f t="shared" si="289"/>
        <v>0</v>
      </c>
      <c r="O2092" s="1212"/>
      <c r="P2092" s="1200"/>
      <c r="Q2092" s="1200"/>
    </row>
    <row r="2093" spans="1:17" ht="15" thickTop="1" thickBot="1" x14ac:dyDescent="0.3">
      <c r="A2093" s="1207"/>
      <c r="B2093" s="1212"/>
      <c r="C2093" s="1212"/>
      <c r="D2093" s="1212"/>
      <c r="E2093" s="1212"/>
      <c r="F2093" s="1208"/>
      <c r="G2093" s="1208"/>
      <c r="H2093" s="1208"/>
      <c r="I2093" s="1209"/>
      <c r="J2093" s="1209"/>
      <c r="K2093" s="1210">
        <f t="shared" si="286"/>
        <v>1.05</v>
      </c>
      <c r="L2093" s="1210">
        <f t="shared" si="287"/>
        <v>0</v>
      </c>
      <c r="M2093" s="1197">
        <f t="shared" si="288"/>
        <v>0</v>
      </c>
      <c r="N2093" s="1211">
        <f t="shared" si="289"/>
        <v>0</v>
      </c>
      <c r="O2093" s="1212"/>
      <c r="P2093" s="1200"/>
      <c r="Q2093" s="1200"/>
    </row>
    <row r="2094" spans="1:17" ht="15" thickTop="1" thickBot="1" x14ac:dyDescent="0.3">
      <c r="A2094" s="1207"/>
      <c r="B2094" s="1212"/>
      <c r="C2094" s="1212"/>
      <c r="D2094" s="1212"/>
      <c r="E2094" s="1212"/>
      <c r="F2094" s="1208"/>
      <c r="G2094" s="1208"/>
      <c r="H2094" s="1208"/>
      <c r="I2094" s="1209"/>
      <c r="J2094" s="1209"/>
      <c r="K2094" s="1210">
        <f t="shared" si="286"/>
        <v>1.05</v>
      </c>
      <c r="L2094" s="1210">
        <f t="shared" si="287"/>
        <v>0</v>
      </c>
      <c r="M2094" s="1197">
        <f t="shared" si="288"/>
        <v>0</v>
      </c>
      <c r="N2094" s="1211">
        <f t="shared" si="289"/>
        <v>0</v>
      </c>
      <c r="O2094" s="1212"/>
      <c r="P2094" s="1200"/>
      <c r="Q2094" s="1200"/>
    </row>
    <row r="2095" spans="1:17" ht="15" thickTop="1" thickBot="1" x14ac:dyDescent="0.3">
      <c r="A2095" s="1207"/>
      <c r="B2095" s="1212"/>
      <c r="C2095" s="1212"/>
      <c r="D2095" s="1212"/>
      <c r="E2095" s="1212"/>
      <c r="F2095" s="1208"/>
      <c r="G2095" s="1208"/>
      <c r="H2095" s="1208"/>
      <c r="I2095" s="1209"/>
      <c r="J2095" s="1209"/>
      <c r="K2095" s="1210">
        <f t="shared" si="286"/>
        <v>1.05</v>
      </c>
      <c r="L2095" s="1210">
        <f t="shared" si="287"/>
        <v>0</v>
      </c>
      <c r="M2095" s="1197">
        <f t="shared" si="288"/>
        <v>0</v>
      </c>
      <c r="N2095" s="1211">
        <f t="shared" si="289"/>
        <v>0</v>
      </c>
      <c r="O2095" s="1212"/>
      <c r="P2095" s="1200"/>
      <c r="Q2095" s="1200"/>
    </row>
    <row r="2096" spans="1:17" ht="15" thickTop="1" thickBot="1" x14ac:dyDescent="0.3">
      <c r="A2096" s="1207"/>
      <c r="B2096" s="1212"/>
      <c r="C2096" s="1212"/>
      <c r="D2096" s="1212"/>
      <c r="E2096" s="1212"/>
      <c r="F2096" s="1208"/>
      <c r="G2096" s="1208"/>
      <c r="H2096" s="1208"/>
      <c r="I2096" s="1209"/>
      <c r="J2096" s="1209"/>
      <c r="K2096" s="1210">
        <f t="shared" si="286"/>
        <v>1.05</v>
      </c>
      <c r="L2096" s="1210">
        <f t="shared" si="287"/>
        <v>0</v>
      </c>
      <c r="M2096" s="1197">
        <f t="shared" si="288"/>
        <v>0</v>
      </c>
      <c r="N2096" s="1211">
        <f t="shared" si="289"/>
        <v>0</v>
      </c>
      <c r="O2096" s="1212"/>
      <c r="P2096" s="1200"/>
      <c r="Q2096" s="1200"/>
    </row>
    <row r="2097" spans="1:17" ht="15" thickTop="1" thickBot="1" x14ac:dyDescent="0.3">
      <c r="A2097" s="1207"/>
      <c r="B2097" s="1212"/>
      <c r="C2097" s="1212"/>
      <c r="D2097" s="1212"/>
      <c r="E2097" s="1212"/>
      <c r="F2097" s="1208"/>
      <c r="G2097" s="1208"/>
      <c r="H2097" s="1208"/>
      <c r="I2097" s="1209"/>
      <c r="J2097" s="1209"/>
      <c r="K2097" s="1210">
        <f t="shared" si="286"/>
        <v>1.05</v>
      </c>
      <c r="L2097" s="1210">
        <f t="shared" si="287"/>
        <v>0</v>
      </c>
      <c r="M2097" s="1197">
        <f t="shared" si="288"/>
        <v>0</v>
      </c>
      <c r="N2097" s="1211">
        <f t="shared" si="289"/>
        <v>0</v>
      </c>
      <c r="O2097" s="1212"/>
      <c r="P2097" s="1200"/>
      <c r="Q2097" s="1200"/>
    </row>
    <row r="2098" spans="1:17" ht="15" thickTop="1" thickBot="1" x14ac:dyDescent="0.3">
      <c r="A2098" s="1207"/>
      <c r="B2098" s="1212"/>
      <c r="C2098" s="1212"/>
      <c r="D2098" s="1212"/>
      <c r="E2098" s="1212"/>
      <c r="F2098" s="1208"/>
      <c r="G2098" s="1208"/>
      <c r="H2098" s="1208"/>
      <c r="I2098" s="1209"/>
      <c r="J2098" s="1209"/>
      <c r="K2098" s="1210">
        <f t="shared" si="286"/>
        <v>1.05</v>
      </c>
      <c r="L2098" s="1210">
        <f t="shared" si="287"/>
        <v>0</v>
      </c>
      <c r="M2098" s="1197">
        <f t="shared" si="288"/>
        <v>0</v>
      </c>
      <c r="N2098" s="1211">
        <f t="shared" si="289"/>
        <v>0</v>
      </c>
      <c r="O2098" s="1212"/>
      <c r="P2098" s="1200"/>
      <c r="Q2098" s="1200"/>
    </row>
    <row r="2099" spans="1:17" ht="15" thickTop="1" thickBot="1" x14ac:dyDescent="0.3">
      <c r="A2099" s="1207"/>
      <c r="B2099" s="1212"/>
      <c r="C2099" s="1212"/>
      <c r="D2099" s="1212"/>
      <c r="E2099" s="1212"/>
      <c r="F2099" s="1208"/>
      <c r="G2099" s="1208"/>
      <c r="H2099" s="1208"/>
      <c r="I2099" s="1209"/>
      <c r="J2099" s="1209"/>
      <c r="K2099" s="1210">
        <f t="shared" si="286"/>
        <v>1.05</v>
      </c>
      <c r="L2099" s="1210">
        <f t="shared" si="287"/>
        <v>0</v>
      </c>
      <c r="M2099" s="1197">
        <f t="shared" si="288"/>
        <v>0</v>
      </c>
      <c r="N2099" s="1211">
        <f t="shared" si="289"/>
        <v>0</v>
      </c>
      <c r="O2099" s="1212"/>
      <c r="P2099" s="1200"/>
      <c r="Q2099" s="1200"/>
    </row>
    <row r="2100" spans="1:17" ht="15" thickTop="1" thickBot="1" x14ac:dyDescent="0.3">
      <c r="A2100" s="1207"/>
      <c r="B2100" s="1212"/>
      <c r="C2100" s="1212"/>
      <c r="D2100" s="1212"/>
      <c r="E2100" s="1212"/>
      <c r="F2100" s="1208"/>
      <c r="G2100" s="1208"/>
      <c r="H2100" s="1208"/>
      <c r="I2100" s="1209"/>
      <c r="J2100" s="1209"/>
      <c r="K2100" s="1210">
        <f t="shared" si="286"/>
        <v>1.05</v>
      </c>
      <c r="L2100" s="1210">
        <f t="shared" si="287"/>
        <v>0</v>
      </c>
      <c r="M2100" s="1197">
        <f t="shared" si="288"/>
        <v>0</v>
      </c>
      <c r="N2100" s="1211">
        <f t="shared" si="289"/>
        <v>0</v>
      </c>
      <c r="O2100" s="1212"/>
      <c r="P2100" s="1200"/>
      <c r="Q2100" s="1200"/>
    </row>
    <row r="2101" spans="1:17" ht="15" thickTop="1" thickBot="1" x14ac:dyDescent="0.3">
      <c r="A2101" s="1207"/>
      <c r="B2101" s="1212"/>
      <c r="C2101" s="1212"/>
      <c r="D2101" s="1212"/>
      <c r="E2101" s="1212"/>
      <c r="F2101" s="1208"/>
      <c r="G2101" s="1208"/>
      <c r="H2101" s="1208"/>
      <c r="I2101" s="1209"/>
      <c r="J2101" s="1209"/>
      <c r="K2101" s="1210">
        <f t="shared" si="286"/>
        <v>1.05</v>
      </c>
      <c r="L2101" s="1210">
        <f t="shared" si="287"/>
        <v>0</v>
      </c>
      <c r="M2101" s="1197">
        <f t="shared" si="288"/>
        <v>0</v>
      </c>
      <c r="N2101" s="1211">
        <f t="shared" si="289"/>
        <v>0</v>
      </c>
      <c r="O2101" s="1212"/>
      <c r="P2101" s="1200"/>
      <c r="Q2101" s="1200"/>
    </row>
    <row r="2102" spans="1:17" ht="15" thickTop="1" thickBot="1" x14ac:dyDescent="0.3">
      <c r="A2102" s="1207"/>
      <c r="B2102" s="1212"/>
      <c r="C2102" s="1212"/>
      <c r="D2102" s="1212"/>
      <c r="E2102" s="1212"/>
      <c r="F2102" s="1208"/>
      <c r="G2102" s="1208"/>
      <c r="H2102" s="1208"/>
      <c r="I2102" s="1209"/>
      <c r="J2102" s="1209"/>
      <c r="K2102" s="1210">
        <f t="shared" si="286"/>
        <v>1.05</v>
      </c>
      <c r="L2102" s="1210">
        <f t="shared" si="287"/>
        <v>0</v>
      </c>
      <c r="M2102" s="1197">
        <f t="shared" si="288"/>
        <v>0</v>
      </c>
      <c r="N2102" s="1211">
        <f t="shared" si="289"/>
        <v>0</v>
      </c>
      <c r="O2102" s="1212"/>
      <c r="P2102" s="1200"/>
      <c r="Q2102" s="1200"/>
    </row>
    <row r="2103" spans="1:17" ht="15" thickTop="1" thickBot="1" x14ac:dyDescent="0.3">
      <c r="A2103" s="1207"/>
      <c r="B2103" s="1212"/>
      <c r="C2103" s="1212"/>
      <c r="D2103" s="1212"/>
      <c r="E2103" s="1212"/>
      <c r="F2103" s="1208"/>
      <c r="G2103" s="1208"/>
      <c r="H2103" s="1208"/>
      <c r="I2103" s="1209"/>
      <c r="J2103" s="1209"/>
      <c r="K2103" s="1210">
        <f t="shared" si="286"/>
        <v>1.05</v>
      </c>
      <c r="L2103" s="1210">
        <f t="shared" si="287"/>
        <v>0</v>
      </c>
      <c r="M2103" s="1197">
        <f t="shared" si="288"/>
        <v>0</v>
      </c>
      <c r="N2103" s="1211">
        <f t="shared" si="289"/>
        <v>0</v>
      </c>
      <c r="O2103" s="1212"/>
      <c r="P2103" s="1200"/>
      <c r="Q2103" s="1200"/>
    </row>
    <row r="2104" spans="1:17" ht="15" thickTop="1" thickBot="1" x14ac:dyDescent="0.3">
      <c r="A2104" s="1207"/>
      <c r="B2104" s="1212"/>
      <c r="C2104" s="1212"/>
      <c r="D2104" s="1212"/>
      <c r="E2104" s="1212"/>
      <c r="F2104" s="1208"/>
      <c r="G2104" s="1208"/>
      <c r="H2104" s="1208"/>
      <c r="I2104" s="1209"/>
      <c r="J2104" s="1209"/>
      <c r="K2104" s="1210">
        <f t="shared" si="286"/>
        <v>1.05</v>
      </c>
      <c r="L2104" s="1210">
        <f t="shared" si="287"/>
        <v>0</v>
      </c>
      <c r="M2104" s="1197">
        <f t="shared" si="288"/>
        <v>0</v>
      </c>
      <c r="N2104" s="1211">
        <f t="shared" si="289"/>
        <v>0</v>
      </c>
      <c r="O2104" s="1212"/>
      <c r="P2104" s="1200"/>
      <c r="Q2104" s="1200"/>
    </row>
    <row r="2105" spans="1:17" ht="15" thickTop="1" thickBot="1" x14ac:dyDescent="0.3">
      <c r="A2105" s="1207"/>
      <c r="B2105" s="1212"/>
      <c r="C2105" s="1212"/>
      <c r="D2105" s="1212"/>
      <c r="E2105" s="1212"/>
      <c r="F2105" s="1208"/>
      <c r="G2105" s="1208"/>
      <c r="H2105" s="1208"/>
      <c r="I2105" s="1209"/>
      <c r="J2105" s="1209"/>
      <c r="K2105" s="1210">
        <f t="shared" si="286"/>
        <v>1.05</v>
      </c>
      <c r="L2105" s="1210">
        <f t="shared" si="287"/>
        <v>0</v>
      </c>
      <c r="M2105" s="1197">
        <f t="shared" si="288"/>
        <v>0</v>
      </c>
      <c r="N2105" s="1211">
        <f t="shared" si="289"/>
        <v>0</v>
      </c>
      <c r="O2105" s="1212"/>
      <c r="P2105" s="1200"/>
      <c r="Q2105" s="1200"/>
    </row>
    <row r="2106" spans="1:17" ht="15" thickTop="1" thickBot="1" x14ac:dyDescent="0.3">
      <c r="A2106" s="1207"/>
      <c r="B2106" s="1212"/>
      <c r="C2106" s="1212"/>
      <c r="D2106" s="1212"/>
      <c r="E2106" s="1212"/>
      <c r="F2106" s="1208"/>
      <c r="G2106" s="1208"/>
      <c r="H2106" s="1208"/>
      <c r="I2106" s="1209"/>
      <c r="J2106" s="1209"/>
      <c r="K2106" s="1210">
        <f t="shared" si="286"/>
        <v>1.05</v>
      </c>
      <c r="L2106" s="1210">
        <f t="shared" si="287"/>
        <v>0</v>
      </c>
      <c r="M2106" s="1197">
        <f t="shared" si="288"/>
        <v>0</v>
      </c>
      <c r="N2106" s="1211">
        <f t="shared" si="289"/>
        <v>0</v>
      </c>
      <c r="O2106" s="1212"/>
      <c r="P2106" s="1200"/>
      <c r="Q2106" s="1200"/>
    </row>
    <row r="2107" spans="1:17" ht="15" thickTop="1" thickBot="1" x14ac:dyDescent="0.3">
      <c r="A2107" s="1207"/>
      <c r="B2107" s="1212"/>
      <c r="C2107" s="1212"/>
      <c r="D2107" s="1212"/>
      <c r="E2107" s="1212"/>
      <c r="F2107" s="1208"/>
      <c r="G2107" s="1208"/>
      <c r="H2107" s="1208"/>
      <c r="I2107" s="1209"/>
      <c r="J2107" s="1209"/>
      <c r="K2107" s="1210">
        <f t="shared" si="286"/>
        <v>1.05</v>
      </c>
      <c r="L2107" s="1210">
        <f t="shared" si="287"/>
        <v>0</v>
      </c>
      <c r="M2107" s="1197">
        <f t="shared" si="288"/>
        <v>0</v>
      </c>
      <c r="N2107" s="1211">
        <f t="shared" si="289"/>
        <v>0</v>
      </c>
      <c r="O2107" s="1212"/>
      <c r="P2107" s="1200"/>
      <c r="Q2107" s="1200"/>
    </row>
    <row r="2108" spans="1:17" ht="15" thickTop="1" thickBot="1" x14ac:dyDescent="0.3">
      <c r="A2108" s="1207"/>
      <c r="B2108" s="1212"/>
      <c r="C2108" s="1212"/>
      <c r="D2108" s="1212"/>
      <c r="E2108" s="1212"/>
      <c r="F2108" s="1208"/>
      <c r="G2108" s="1208"/>
      <c r="H2108" s="1208"/>
      <c r="I2108" s="1209"/>
      <c r="J2108" s="1209"/>
      <c r="K2108" s="1210">
        <f t="shared" si="286"/>
        <v>1.05</v>
      </c>
      <c r="L2108" s="1210">
        <f t="shared" si="287"/>
        <v>0</v>
      </c>
      <c r="M2108" s="1197">
        <f t="shared" si="288"/>
        <v>0</v>
      </c>
      <c r="N2108" s="1211">
        <f t="shared" si="289"/>
        <v>0</v>
      </c>
      <c r="O2108" s="1212"/>
      <c r="P2108" s="1200"/>
      <c r="Q2108" s="1200"/>
    </row>
    <row r="2109" spans="1:17" ht="15" thickTop="1" thickBot="1" x14ac:dyDescent="0.3">
      <c r="A2109" s="1207"/>
      <c r="B2109" s="1212"/>
      <c r="C2109" s="1212"/>
      <c r="D2109" s="1212"/>
      <c r="E2109" s="1212"/>
      <c r="F2109" s="1208"/>
      <c r="G2109" s="1208"/>
      <c r="H2109" s="1208"/>
      <c r="I2109" s="1209"/>
      <c r="J2109" s="1209"/>
      <c r="K2109" s="1210">
        <f t="shared" si="286"/>
        <v>1.05</v>
      </c>
      <c r="L2109" s="1210">
        <f t="shared" si="287"/>
        <v>0</v>
      </c>
      <c r="M2109" s="1197">
        <f t="shared" si="288"/>
        <v>0</v>
      </c>
      <c r="N2109" s="1211">
        <f t="shared" si="289"/>
        <v>0</v>
      </c>
      <c r="O2109" s="1212"/>
      <c r="P2109" s="1200"/>
      <c r="Q2109" s="1200"/>
    </row>
    <row r="2110" spans="1:17" ht="15" thickTop="1" thickBot="1" x14ac:dyDescent="0.3">
      <c r="A2110" s="1207"/>
      <c r="B2110" s="1212"/>
      <c r="C2110" s="1212"/>
      <c r="D2110" s="1212"/>
      <c r="E2110" s="1212"/>
      <c r="F2110" s="1208"/>
      <c r="G2110" s="1208"/>
      <c r="H2110" s="1208"/>
      <c r="I2110" s="1209"/>
      <c r="J2110" s="1209"/>
      <c r="K2110" s="1210">
        <f t="shared" si="286"/>
        <v>1.05</v>
      </c>
      <c r="L2110" s="1210">
        <f t="shared" si="287"/>
        <v>0</v>
      </c>
      <c r="M2110" s="1197">
        <f t="shared" si="288"/>
        <v>0</v>
      </c>
      <c r="N2110" s="1211">
        <f t="shared" si="289"/>
        <v>0</v>
      </c>
      <c r="O2110" s="1212"/>
      <c r="P2110" s="1200"/>
      <c r="Q2110" s="1200"/>
    </row>
    <row r="2111" spans="1:17" ht="15" thickTop="1" thickBot="1" x14ac:dyDescent="0.3">
      <c r="A2111" s="1207"/>
      <c r="B2111" s="1212"/>
      <c r="C2111" s="1212"/>
      <c r="D2111" s="1212"/>
      <c r="E2111" s="1212"/>
      <c r="F2111" s="1208"/>
      <c r="G2111" s="1208"/>
      <c r="H2111" s="1208"/>
      <c r="I2111" s="1209"/>
      <c r="J2111" s="1209"/>
      <c r="K2111" s="1210">
        <f t="shared" si="286"/>
        <v>1.05</v>
      </c>
      <c r="L2111" s="1210">
        <f t="shared" si="287"/>
        <v>0</v>
      </c>
      <c r="M2111" s="1197">
        <f t="shared" si="288"/>
        <v>0</v>
      </c>
      <c r="N2111" s="1211">
        <f t="shared" si="289"/>
        <v>0</v>
      </c>
      <c r="O2111" s="1212"/>
      <c r="P2111" s="1200"/>
      <c r="Q2111" s="1200"/>
    </row>
    <row r="2112" spans="1:17" ht="15" thickTop="1" thickBot="1" x14ac:dyDescent="0.3">
      <c r="A2112" s="1207"/>
      <c r="B2112" s="1212"/>
      <c r="C2112" s="1212"/>
      <c r="D2112" s="1212"/>
      <c r="E2112" s="1212"/>
      <c r="F2112" s="1208"/>
      <c r="G2112" s="1208"/>
      <c r="H2112" s="1208"/>
      <c r="I2112" s="1209"/>
      <c r="J2112" s="1209"/>
      <c r="K2112" s="1210">
        <f t="shared" si="286"/>
        <v>1.05</v>
      </c>
      <c r="L2112" s="1210">
        <f t="shared" si="287"/>
        <v>0</v>
      </c>
      <c r="M2112" s="1197">
        <f t="shared" si="288"/>
        <v>0</v>
      </c>
      <c r="N2112" s="1211">
        <f t="shared" si="289"/>
        <v>0</v>
      </c>
      <c r="O2112" s="1212"/>
      <c r="P2112" s="1200"/>
      <c r="Q2112" s="1200"/>
    </row>
    <row r="2113" spans="1:17" ht="15" thickTop="1" thickBot="1" x14ac:dyDescent="0.3">
      <c r="A2113" s="1207"/>
      <c r="B2113" s="1212"/>
      <c r="C2113" s="1212"/>
      <c r="D2113" s="1212"/>
      <c r="E2113" s="1212"/>
      <c r="F2113" s="1208"/>
      <c r="G2113" s="1208"/>
      <c r="H2113" s="1208"/>
      <c r="I2113" s="1209"/>
      <c r="J2113" s="1209"/>
      <c r="K2113" s="1210">
        <f t="shared" si="286"/>
        <v>1.05</v>
      </c>
      <c r="L2113" s="1210">
        <f t="shared" si="287"/>
        <v>0</v>
      </c>
      <c r="M2113" s="1197">
        <f t="shared" si="288"/>
        <v>0</v>
      </c>
      <c r="N2113" s="1211">
        <f t="shared" si="289"/>
        <v>0</v>
      </c>
      <c r="O2113" s="1212"/>
      <c r="P2113" s="1200"/>
      <c r="Q2113" s="1200"/>
    </row>
    <row r="2114" spans="1:17" ht="15" thickTop="1" thickBot="1" x14ac:dyDescent="0.3">
      <c r="A2114" s="1207"/>
      <c r="B2114" s="1212"/>
      <c r="C2114" s="1212"/>
      <c r="D2114" s="1212"/>
      <c r="E2114" s="1212"/>
      <c r="F2114" s="1208"/>
      <c r="G2114" s="1208"/>
      <c r="H2114" s="1208"/>
      <c r="I2114" s="1209"/>
      <c r="J2114" s="1209"/>
      <c r="K2114" s="1210">
        <f t="shared" si="286"/>
        <v>1.05</v>
      </c>
      <c r="L2114" s="1210">
        <f t="shared" si="287"/>
        <v>0</v>
      </c>
      <c r="M2114" s="1197">
        <f t="shared" si="288"/>
        <v>0</v>
      </c>
      <c r="N2114" s="1211">
        <f t="shared" si="289"/>
        <v>0</v>
      </c>
      <c r="O2114" s="1212"/>
      <c r="P2114" s="1200"/>
      <c r="Q2114" s="1200"/>
    </row>
    <row r="2115" spans="1:17" ht="15" thickTop="1" thickBot="1" x14ac:dyDescent="0.3">
      <c r="A2115" s="1207"/>
      <c r="B2115" s="1212"/>
      <c r="C2115" s="1212"/>
      <c r="D2115" s="1212"/>
      <c r="E2115" s="1212"/>
      <c r="F2115" s="1208"/>
      <c r="G2115" s="1208"/>
      <c r="H2115" s="1208"/>
      <c r="I2115" s="1209"/>
      <c r="J2115" s="1209"/>
      <c r="K2115" s="1210">
        <f t="shared" si="286"/>
        <v>1.05</v>
      </c>
      <c r="L2115" s="1210">
        <f t="shared" si="287"/>
        <v>0</v>
      </c>
      <c r="M2115" s="1197">
        <f t="shared" si="288"/>
        <v>0</v>
      </c>
      <c r="N2115" s="1211">
        <f t="shared" si="289"/>
        <v>0</v>
      </c>
      <c r="O2115" s="1212"/>
      <c r="P2115" s="1200"/>
      <c r="Q2115" s="1200"/>
    </row>
    <row r="2116" spans="1:17" ht="15" thickTop="1" thickBot="1" x14ac:dyDescent="0.3">
      <c r="A2116" s="1207"/>
      <c r="B2116" s="1212"/>
      <c r="C2116" s="1212"/>
      <c r="D2116" s="1212"/>
      <c r="E2116" s="1212"/>
      <c r="F2116" s="1208"/>
      <c r="G2116" s="1208"/>
      <c r="H2116" s="1208"/>
      <c r="I2116" s="1209"/>
      <c r="J2116" s="1209"/>
      <c r="K2116" s="1210">
        <f t="shared" si="286"/>
        <v>1.05</v>
      </c>
      <c r="L2116" s="1210">
        <f t="shared" si="287"/>
        <v>0</v>
      </c>
      <c r="M2116" s="1197">
        <f t="shared" si="288"/>
        <v>0</v>
      </c>
      <c r="N2116" s="1211">
        <f t="shared" si="289"/>
        <v>0</v>
      </c>
      <c r="O2116" s="1212"/>
      <c r="P2116" s="1200"/>
      <c r="Q2116" s="1200"/>
    </row>
    <row r="2117" spans="1:17" ht="15" thickTop="1" thickBot="1" x14ac:dyDescent="0.3">
      <c r="A2117" s="1207"/>
      <c r="B2117" s="1212"/>
      <c r="C2117" s="1212"/>
      <c r="D2117" s="1212"/>
      <c r="E2117" s="1212"/>
      <c r="F2117" s="1208"/>
      <c r="G2117" s="1208"/>
      <c r="H2117" s="1208"/>
      <c r="I2117" s="1209"/>
      <c r="J2117" s="1209"/>
      <c r="K2117" s="1210">
        <f t="shared" si="286"/>
        <v>1.05</v>
      </c>
      <c r="L2117" s="1210">
        <f t="shared" si="287"/>
        <v>0</v>
      </c>
      <c r="M2117" s="1197">
        <f t="shared" si="288"/>
        <v>0</v>
      </c>
      <c r="N2117" s="1211">
        <f t="shared" si="289"/>
        <v>0</v>
      </c>
      <c r="O2117" s="1212"/>
      <c r="P2117" s="1200"/>
      <c r="Q2117" s="1200"/>
    </row>
    <row r="2118" spans="1:17" ht="15" thickTop="1" thickBot="1" x14ac:dyDescent="0.3">
      <c r="A2118" s="1207"/>
      <c r="B2118" s="1212"/>
      <c r="C2118" s="1212"/>
      <c r="D2118" s="1212"/>
      <c r="E2118" s="1212"/>
      <c r="F2118" s="1208"/>
      <c r="G2118" s="1208"/>
      <c r="H2118" s="1208"/>
      <c r="I2118" s="1209"/>
      <c r="J2118" s="1209"/>
      <c r="K2118" s="1210">
        <f t="shared" si="286"/>
        <v>1.05</v>
      </c>
      <c r="L2118" s="1210">
        <f t="shared" si="287"/>
        <v>0</v>
      </c>
      <c r="M2118" s="1197">
        <f t="shared" si="288"/>
        <v>0</v>
      </c>
      <c r="N2118" s="1211">
        <f t="shared" si="289"/>
        <v>0</v>
      </c>
      <c r="O2118" s="1212"/>
      <c r="P2118" s="1200"/>
      <c r="Q2118" s="1200"/>
    </row>
    <row r="2119" spans="1:17" ht="15" thickTop="1" thickBot="1" x14ac:dyDescent="0.3">
      <c r="A2119" s="1207"/>
      <c r="B2119" s="1212"/>
      <c r="C2119" s="1212"/>
      <c r="D2119" s="1212"/>
      <c r="E2119" s="1212"/>
      <c r="F2119" s="1208"/>
      <c r="G2119" s="1208"/>
      <c r="H2119" s="1208"/>
      <c r="I2119" s="1209"/>
      <c r="J2119" s="1209"/>
      <c r="K2119" s="1210">
        <f t="shared" si="286"/>
        <v>1.05</v>
      </c>
      <c r="L2119" s="1210">
        <f t="shared" si="287"/>
        <v>0</v>
      </c>
      <c r="M2119" s="1197">
        <f t="shared" si="288"/>
        <v>0</v>
      </c>
      <c r="N2119" s="1211">
        <f t="shared" si="289"/>
        <v>0</v>
      </c>
      <c r="O2119" s="1212"/>
      <c r="P2119" s="1200"/>
      <c r="Q2119" s="1200"/>
    </row>
    <row r="2120" spans="1:17" ht="15" thickTop="1" thickBot="1" x14ac:dyDescent="0.3">
      <c r="A2120" s="1207"/>
      <c r="B2120" s="1212"/>
      <c r="C2120" s="1212"/>
      <c r="D2120" s="1212"/>
      <c r="E2120" s="1212"/>
      <c r="F2120" s="1208"/>
      <c r="G2120" s="1208"/>
      <c r="H2120" s="1208"/>
      <c r="I2120" s="1209"/>
      <c r="J2120" s="1209"/>
      <c r="K2120" s="1210">
        <f t="shared" si="286"/>
        <v>1.05</v>
      </c>
      <c r="L2120" s="1210">
        <f t="shared" si="287"/>
        <v>0</v>
      </c>
      <c r="M2120" s="1197">
        <f t="shared" si="288"/>
        <v>0</v>
      </c>
      <c r="N2120" s="1211">
        <f t="shared" si="289"/>
        <v>0</v>
      </c>
      <c r="O2120" s="1212"/>
      <c r="P2120" s="1200"/>
      <c r="Q2120" s="1200"/>
    </row>
    <row r="2121" spans="1:17" ht="15" thickTop="1" thickBot="1" x14ac:dyDescent="0.3">
      <c r="A2121" s="1207"/>
      <c r="B2121" s="1212"/>
      <c r="C2121" s="1212"/>
      <c r="D2121" s="1212"/>
      <c r="E2121" s="1212"/>
      <c r="F2121" s="1208"/>
      <c r="G2121" s="1208"/>
      <c r="H2121" s="1208"/>
      <c r="I2121" s="1209"/>
      <c r="J2121" s="1209"/>
      <c r="K2121" s="1210">
        <f t="shared" si="286"/>
        <v>1.05</v>
      </c>
      <c r="L2121" s="1210">
        <f t="shared" si="287"/>
        <v>0</v>
      </c>
      <c r="M2121" s="1197">
        <f t="shared" si="288"/>
        <v>0</v>
      </c>
      <c r="N2121" s="1211">
        <f t="shared" si="289"/>
        <v>0</v>
      </c>
      <c r="O2121" s="1212"/>
      <c r="P2121" s="1200"/>
      <c r="Q2121" s="1200"/>
    </row>
    <row r="2122" spans="1:17" ht="15" thickTop="1" thickBot="1" x14ac:dyDescent="0.3">
      <c r="A2122" s="1207"/>
      <c r="B2122" s="1212"/>
      <c r="C2122" s="1212"/>
      <c r="D2122" s="1212"/>
      <c r="E2122" s="1212"/>
      <c r="F2122" s="1208"/>
      <c r="G2122" s="1208"/>
      <c r="H2122" s="1208"/>
      <c r="I2122" s="1209"/>
      <c r="J2122" s="1209"/>
      <c r="K2122" s="1210">
        <f t="shared" si="286"/>
        <v>1.05</v>
      </c>
      <c r="L2122" s="1210">
        <f t="shared" si="287"/>
        <v>0</v>
      </c>
      <c r="M2122" s="1197">
        <f t="shared" si="288"/>
        <v>0</v>
      </c>
      <c r="N2122" s="1211">
        <f t="shared" si="289"/>
        <v>0</v>
      </c>
      <c r="O2122" s="1212"/>
      <c r="P2122" s="1200"/>
      <c r="Q2122" s="1200"/>
    </row>
    <row r="2123" spans="1:17" ht="15" thickTop="1" thickBot="1" x14ac:dyDescent="0.3">
      <c r="A2123" s="1207"/>
      <c r="B2123" s="1212"/>
      <c r="C2123" s="1212"/>
      <c r="D2123" s="1212"/>
      <c r="E2123" s="1212"/>
      <c r="F2123" s="1208"/>
      <c r="G2123" s="1208"/>
      <c r="H2123" s="1208"/>
      <c r="I2123" s="1209"/>
      <c r="J2123" s="1209"/>
      <c r="K2123" s="1210">
        <f t="shared" ref="K2123:K2186" si="290">$K$2</f>
        <v>1.05</v>
      </c>
      <c r="L2123" s="1210">
        <f t="shared" si="287"/>
        <v>0</v>
      </c>
      <c r="M2123" s="1197">
        <f t="shared" si="288"/>
        <v>0</v>
      </c>
      <c r="N2123" s="1211">
        <f t="shared" si="289"/>
        <v>0</v>
      </c>
      <c r="O2123" s="1212"/>
      <c r="P2123" s="1200"/>
      <c r="Q2123" s="1200"/>
    </row>
    <row r="2124" spans="1:17" ht="15" thickTop="1" thickBot="1" x14ac:dyDescent="0.3">
      <c r="A2124" s="1207"/>
      <c r="B2124" s="1212"/>
      <c r="C2124" s="1212"/>
      <c r="D2124" s="1212"/>
      <c r="E2124" s="1212"/>
      <c r="F2124" s="1208"/>
      <c r="G2124" s="1208"/>
      <c r="H2124" s="1208"/>
      <c r="I2124" s="1209"/>
      <c r="J2124" s="1209"/>
      <c r="K2124" s="1210">
        <f t="shared" si="290"/>
        <v>1.05</v>
      </c>
      <c r="L2124" s="1210">
        <f t="shared" si="287"/>
        <v>0</v>
      </c>
      <c r="M2124" s="1197">
        <f t="shared" si="288"/>
        <v>0</v>
      </c>
      <c r="N2124" s="1211">
        <f t="shared" si="289"/>
        <v>0</v>
      </c>
      <c r="O2124" s="1212"/>
      <c r="P2124" s="1200"/>
      <c r="Q2124" s="1200"/>
    </row>
    <row r="2125" spans="1:17" ht="15" thickTop="1" thickBot="1" x14ac:dyDescent="0.3">
      <c r="A2125" s="1207"/>
      <c r="B2125" s="1212"/>
      <c r="C2125" s="1212"/>
      <c r="D2125" s="1212"/>
      <c r="E2125" s="1212"/>
      <c r="F2125" s="1208"/>
      <c r="G2125" s="1208"/>
      <c r="H2125" s="1208"/>
      <c r="I2125" s="1209"/>
      <c r="J2125" s="1209"/>
      <c r="K2125" s="1210">
        <f t="shared" si="290"/>
        <v>1.05</v>
      </c>
      <c r="L2125" s="1210">
        <f t="shared" si="287"/>
        <v>0</v>
      </c>
      <c r="M2125" s="1197">
        <f t="shared" si="288"/>
        <v>0</v>
      </c>
      <c r="N2125" s="1211">
        <f t="shared" si="289"/>
        <v>0</v>
      </c>
      <c r="O2125" s="1212"/>
      <c r="P2125" s="1200"/>
      <c r="Q2125" s="1200"/>
    </row>
    <row r="2126" spans="1:17" ht="15" thickTop="1" thickBot="1" x14ac:dyDescent="0.3">
      <c r="A2126" s="1207"/>
      <c r="B2126" s="1212"/>
      <c r="C2126" s="1212"/>
      <c r="D2126" s="1212"/>
      <c r="E2126" s="1212"/>
      <c r="F2126" s="1208"/>
      <c r="G2126" s="1208"/>
      <c r="H2126" s="1208"/>
      <c r="I2126" s="1209"/>
      <c r="J2126" s="1209"/>
      <c r="K2126" s="1210">
        <f t="shared" si="290"/>
        <v>1.05</v>
      </c>
      <c r="L2126" s="1210">
        <f t="shared" si="287"/>
        <v>0</v>
      </c>
      <c r="M2126" s="1197">
        <f t="shared" si="288"/>
        <v>0</v>
      </c>
      <c r="N2126" s="1211">
        <f t="shared" si="289"/>
        <v>0</v>
      </c>
      <c r="O2126" s="1212"/>
      <c r="P2126" s="1200"/>
      <c r="Q2126" s="1200"/>
    </row>
    <row r="2127" spans="1:17" ht="15" thickTop="1" thickBot="1" x14ac:dyDescent="0.3">
      <c r="A2127" s="1207"/>
      <c r="B2127" s="1212"/>
      <c r="C2127" s="1212"/>
      <c r="D2127" s="1212"/>
      <c r="E2127" s="1212"/>
      <c r="F2127" s="1208"/>
      <c r="G2127" s="1208"/>
      <c r="H2127" s="1208"/>
      <c r="I2127" s="1209"/>
      <c r="J2127" s="1209"/>
      <c r="K2127" s="1210">
        <f t="shared" si="290"/>
        <v>1.05</v>
      </c>
      <c r="L2127" s="1210">
        <f t="shared" si="287"/>
        <v>0</v>
      </c>
      <c r="M2127" s="1197">
        <f t="shared" si="288"/>
        <v>0</v>
      </c>
      <c r="N2127" s="1211">
        <f t="shared" si="289"/>
        <v>0</v>
      </c>
      <c r="O2127" s="1212"/>
      <c r="P2127" s="1200"/>
      <c r="Q2127" s="1200"/>
    </row>
    <row r="2128" spans="1:17" ht="15" thickTop="1" thickBot="1" x14ac:dyDescent="0.3">
      <c r="A2128" s="1207"/>
      <c r="B2128" s="1212"/>
      <c r="C2128" s="1212"/>
      <c r="D2128" s="1212"/>
      <c r="E2128" s="1212"/>
      <c r="F2128" s="1208"/>
      <c r="G2128" s="1208"/>
      <c r="H2128" s="1208"/>
      <c r="I2128" s="1209"/>
      <c r="J2128" s="1209"/>
      <c r="K2128" s="1210">
        <f t="shared" si="290"/>
        <v>1.05</v>
      </c>
      <c r="L2128" s="1210">
        <f t="shared" si="287"/>
        <v>0</v>
      </c>
      <c r="M2128" s="1197">
        <f t="shared" si="288"/>
        <v>0</v>
      </c>
      <c r="N2128" s="1211">
        <f t="shared" si="289"/>
        <v>0</v>
      </c>
      <c r="O2128" s="1212"/>
      <c r="P2128" s="1200"/>
      <c r="Q2128" s="1200"/>
    </row>
    <row r="2129" spans="1:17" ht="15" thickTop="1" thickBot="1" x14ac:dyDescent="0.3">
      <c r="A2129" s="1207"/>
      <c r="B2129" s="1212"/>
      <c r="C2129" s="1212"/>
      <c r="D2129" s="1212"/>
      <c r="E2129" s="1212"/>
      <c r="F2129" s="1208"/>
      <c r="G2129" s="1208"/>
      <c r="H2129" s="1208"/>
      <c r="I2129" s="1209"/>
      <c r="J2129" s="1209"/>
      <c r="K2129" s="1210">
        <f t="shared" si="290"/>
        <v>1.05</v>
      </c>
      <c r="L2129" s="1210">
        <f t="shared" si="287"/>
        <v>0</v>
      </c>
      <c r="M2129" s="1197">
        <f t="shared" si="288"/>
        <v>0</v>
      </c>
      <c r="N2129" s="1211">
        <f t="shared" si="289"/>
        <v>0</v>
      </c>
      <c r="O2129" s="1212"/>
      <c r="P2129" s="1200"/>
      <c r="Q2129" s="1200"/>
    </row>
    <row r="2130" spans="1:17" ht="15" thickTop="1" thickBot="1" x14ac:dyDescent="0.3">
      <c r="A2130" s="1207"/>
      <c r="B2130" s="1212"/>
      <c r="C2130" s="1212"/>
      <c r="D2130" s="1212"/>
      <c r="E2130" s="1212"/>
      <c r="F2130" s="1208"/>
      <c r="G2130" s="1208"/>
      <c r="H2130" s="1208"/>
      <c r="I2130" s="1209"/>
      <c r="J2130" s="1209"/>
      <c r="K2130" s="1210">
        <f t="shared" si="290"/>
        <v>1.05</v>
      </c>
      <c r="L2130" s="1210">
        <f t="shared" si="287"/>
        <v>0</v>
      </c>
      <c r="M2130" s="1197">
        <f t="shared" si="288"/>
        <v>0</v>
      </c>
      <c r="N2130" s="1211">
        <f t="shared" si="289"/>
        <v>0</v>
      </c>
      <c r="O2130" s="1212"/>
      <c r="P2130" s="1200"/>
      <c r="Q2130" s="1200"/>
    </row>
    <row r="2131" spans="1:17" ht="15" thickTop="1" thickBot="1" x14ac:dyDescent="0.3">
      <c r="A2131" s="1207"/>
      <c r="B2131" s="1212"/>
      <c r="C2131" s="1212"/>
      <c r="D2131" s="1212"/>
      <c r="E2131" s="1212"/>
      <c r="F2131" s="1208"/>
      <c r="G2131" s="1208"/>
      <c r="H2131" s="1208"/>
      <c r="I2131" s="1209"/>
      <c r="J2131" s="1209"/>
      <c r="K2131" s="1210">
        <f t="shared" si="290"/>
        <v>1.05</v>
      </c>
      <c r="L2131" s="1210">
        <f t="shared" si="287"/>
        <v>0</v>
      </c>
      <c r="M2131" s="1197">
        <f t="shared" si="288"/>
        <v>0</v>
      </c>
      <c r="N2131" s="1211">
        <f t="shared" si="289"/>
        <v>0</v>
      </c>
      <c r="O2131" s="1212"/>
      <c r="P2131" s="1200"/>
      <c r="Q2131" s="1200"/>
    </row>
    <row r="2132" spans="1:17" ht="15" thickTop="1" thickBot="1" x14ac:dyDescent="0.3">
      <c r="A2132" s="1207"/>
      <c r="B2132" s="1212"/>
      <c r="C2132" s="1212"/>
      <c r="D2132" s="1212"/>
      <c r="E2132" s="1212"/>
      <c r="F2132" s="1208"/>
      <c r="G2132" s="1208"/>
      <c r="H2132" s="1208"/>
      <c r="I2132" s="1209"/>
      <c r="J2132" s="1209"/>
      <c r="K2132" s="1210">
        <f t="shared" si="290"/>
        <v>1.05</v>
      </c>
      <c r="L2132" s="1210">
        <f t="shared" si="287"/>
        <v>0</v>
      </c>
      <c r="M2132" s="1197">
        <f t="shared" si="288"/>
        <v>0</v>
      </c>
      <c r="N2132" s="1211">
        <f t="shared" si="289"/>
        <v>0</v>
      </c>
      <c r="O2132" s="1212"/>
      <c r="P2132" s="1200"/>
      <c r="Q2132" s="1200"/>
    </row>
    <row r="2133" spans="1:17" ht="15" thickTop="1" thickBot="1" x14ac:dyDescent="0.3">
      <c r="A2133" s="1207"/>
      <c r="B2133" s="1212"/>
      <c r="C2133" s="1212"/>
      <c r="D2133" s="1212"/>
      <c r="E2133" s="1212"/>
      <c r="F2133" s="1208"/>
      <c r="G2133" s="1208"/>
      <c r="H2133" s="1208"/>
      <c r="I2133" s="1209"/>
      <c r="J2133" s="1209"/>
      <c r="K2133" s="1210">
        <f t="shared" si="290"/>
        <v>1.05</v>
      </c>
      <c r="L2133" s="1210">
        <f t="shared" si="287"/>
        <v>0</v>
      </c>
      <c r="M2133" s="1197">
        <f t="shared" si="288"/>
        <v>0</v>
      </c>
      <c r="N2133" s="1211">
        <f t="shared" si="289"/>
        <v>0</v>
      </c>
      <c r="O2133" s="1212"/>
      <c r="P2133" s="1200"/>
      <c r="Q2133" s="1200"/>
    </row>
    <row r="2134" spans="1:17" ht="15" thickTop="1" thickBot="1" x14ac:dyDescent="0.3">
      <c r="A2134" s="1207"/>
      <c r="B2134" s="1212"/>
      <c r="C2134" s="1212"/>
      <c r="D2134" s="1212"/>
      <c r="E2134" s="1212"/>
      <c r="F2134" s="1208"/>
      <c r="G2134" s="1208"/>
      <c r="H2134" s="1208"/>
      <c r="I2134" s="1209"/>
      <c r="J2134" s="1209"/>
      <c r="K2134" s="1210">
        <f t="shared" si="290"/>
        <v>1.05</v>
      </c>
      <c r="L2134" s="1210">
        <f t="shared" si="287"/>
        <v>0</v>
      </c>
      <c r="M2134" s="1197">
        <f t="shared" si="288"/>
        <v>0</v>
      </c>
      <c r="N2134" s="1211">
        <f t="shared" si="289"/>
        <v>0</v>
      </c>
      <c r="O2134" s="1212"/>
      <c r="P2134" s="1200"/>
      <c r="Q2134" s="1200"/>
    </row>
    <row r="2135" spans="1:17" ht="15" thickTop="1" thickBot="1" x14ac:dyDescent="0.3">
      <c r="A2135" s="1207"/>
      <c r="B2135" s="1212"/>
      <c r="C2135" s="1212"/>
      <c r="D2135" s="1212"/>
      <c r="E2135" s="1212"/>
      <c r="F2135" s="1208"/>
      <c r="G2135" s="1208"/>
      <c r="H2135" s="1208"/>
      <c r="I2135" s="1209"/>
      <c r="J2135" s="1209"/>
      <c r="K2135" s="1210">
        <f t="shared" si="290"/>
        <v>1.05</v>
      </c>
      <c r="L2135" s="1210">
        <f t="shared" si="287"/>
        <v>0</v>
      </c>
      <c r="M2135" s="1197">
        <f t="shared" si="288"/>
        <v>0</v>
      </c>
      <c r="N2135" s="1211">
        <f t="shared" si="289"/>
        <v>0</v>
      </c>
      <c r="O2135" s="1212"/>
      <c r="P2135" s="1200"/>
      <c r="Q2135" s="1200"/>
    </row>
    <row r="2136" spans="1:17" ht="15" thickTop="1" thickBot="1" x14ac:dyDescent="0.3">
      <c r="A2136" s="1207"/>
      <c r="B2136" s="1212"/>
      <c r="C2136" s="1212"/>
      <c r="D2136" s="1212"/>
      <c r="E2136" s="1212"/>
      <c r="F2136" s="1208"/>
      <c r="G2136" s="1208"/>
      <c r="H2136" s="1208"/>
      <c r="I2136" s="1209"/>
      <c r="J2136" s="1209"/>
      <c r="K2136" s="1210">
        <f t="shared" si="290"/>
        <v>1.05</v>
      </c>
      <c r="L2136" s="1210">
        <f t="shared" si="287"/>
        <v>0</v>
      </c>
      <c r="M2136" s="1197">
        <f t="shared" si="288"/>
        <v>0</v>
      </c>
      <c r="N2136" s="1211">
        <f t="shared" si="289"/>
        <v>0</v>
      </c>
      <c r="O2136" s="1212"/>
      <c r="P2136" s="1200"/>
      <c r="Q2136" s="1200"/>
    </row>
    <row r="2137" spans="1:17" ht="15" thickTop="1" thickBot="1" x14ac:dyDescent="0.3">
      <c r="A2137" s="1207"/>
      <c r="B2137" s="1212"/>
      <c r="C2137" s="1212"/>
      <c r="D2137" s="1212"/>
      <c r="E2137" s="1212"/>
      <c r="F2137" s="1208"/>
      <c r="G2137" s="1208"/>
      <c r="H2137" s="1208"/>
      <c r="I2137" s="1209"/>
      <c r="J2137" s="1209"/>
      <c r="K2137" s="1210">
        <f t="shared" si="290"/>
        <v>1.05</v>
      </c>
      <c r="L2137" s="1210">
        <f t="shared" si="287"/>
        <v>0</v>
      </c>
      <c r="M2137" s="1197">
        <f t="shared" si="288"/>
        <v>0</v>
      </c>
      <c r="N2137" s="1211">
        <f t="shared" si="289"/>
        <v>0</v>
      </c>
      <c r="O2137" s="1212"/>
      <c r="P2137" s="1200"/>
      <c r="Q2137" s="1200"/>
    </row>
    <row r="2138" spans="1:17" ht="15" thickTop="1" thickBot="1" x14ac:dyDescent="0.3">
      <c r="A2138" s="1207"/>
      <c r="B2138" s="1212"/>
      <c r="C2138" s="1212"/>
      <c r="D2138" s="1212"/>
      <c r="E2138" s="1212"/>
      <c r="F2138" s="1208"/>
      <c r="G2138" s="1208"/>
      <c r="H2138" s="1208"/>
      <c r="I2138" s="1209"/>
      <c r="J2138" s="1209"/>
      <c r="K2138" s="1210">
        <f t="shared" si="290"/>
        <v>1.05</v>
      </c>
      <c r="L2138" s="1210">
        <f t="shared" si="287"/>
        <v>0</v>
      </c>
      <c r="M2138" s="1197">
        <f t="shared" si="288"/>
        <v>0</v>
      </c>
      <c r="N2138" s="1211">
        <f t="shared" si="289"/>
        <v>0</v>
      </c>
      <c r="O2138" s="1212"/>
      <c r="P2138" s="1200"/>
      <c r="Q2138" s="1200"/>
    </row>
    <row r="2139" spans="1:17" ht="15" thickTop="1" thickBot="1" x14ac:dyDescent="0.3">
      <c r="A2139" s="1207"/>
      <c r="B2139" s="1212"/>
      <c r="C2139" s="1212"/>
      <c r="D2139" s="1212"/>
      <c r="E2139" s="1212"/>
      <c r="F2139" s="1208"/>
      <c r="G2139" s="1208"/>
      <c r="H2139" s="1208"/>
      <c r="I2139" s="1209"/>
      <c r="J2139" s="1209"/>
      <c r="K2139" s="1210">
        <f t="shared" si="290"/>
        <v>1.05</v>
      </c>
      <c r="L2139" s="1210">
        <f t="shared" si="287"/>
        <v>0</v>
      </c>
      <c r="M2139" s="1197">
        <f t="shared" si="288"/>
        <v>0</v>
      </c>
      <c r="N2139" s="1211">
        <f t="shared" si="289"/>
        <v>0</v>
      </c>
      <c r="O2139" s="1212"/>
      <c r="P2139" s="1200"/>
      <c r="Q2139" s="1200"/>
    </row>
    <row r="2140" spans="1:17" ht="15" thickTop="1" thickBot="1" x14ac:dyDescent="0.3">
      <c r="A2140" s="1207"/>
      <c r="B2140" s="1212"/>
      <c r="C2140" s="1212"/>
      <c r="D2140" s="1212"/>
      <c r="E2140" s="1212"/>
      <c r="F2140" s="1208"/>
      <c r="G2140" s="1208"/>
      <c r="H2140" s="1208"/>
      <c r="I2140" s="1209"/>
      <c r="J2140" s="1209"/>
      <c r="K2140" s="1210">
        <f t="shared" si="290"/>
        <v>1.05</v>
      </c>
      <c r="L2140" s="1210">
        <f t="shared" si="287"/>
        <v>0</v>
      </c>
      <c r="M2140" s="1197">
        <f t="shared" si="288"/>
        <v>0</v>
      </c>
      <c r="N2140" s="1211">
        <f t="shared" si="289"/>
        <v>0</v>
      </c>
      <c r="O2140" s="1212"/>
      <c r="P2140" s="1200"/>
      <c r="Q2140" s="1200"/>
    </row>
    <row r="2141" spans="1:17" ht="15" thickTop="1" thickBot="1" x14ac:dyDescent="0.3">
      <c r="A2141" s="1207"/>
      <c r="B2141" s="1212"/>
      <c r="C2141" s="1212"/>
      <c r="D2141" s="1212"/>
      <c r="E2141" s="1212"/>
      <c r="F2141" s="1208"/>
      <c r="G2141" s="1208"/>
      <c r="H2141" s="1208"/>
      <c r="I2141" s="1209"/>
      <c r="J2141" s="1209"/>
      <c r="K2141" s="1210">
        <f t="shared" si="290"/>
        <v>1.05</v>
      </c>
      <c r="L2141" s="1210">
        <f t="shared" si="287"/>
        <v>0</v>
      </c>
      <c r="M2141" s="1197">
        <f t="shared" si="288"/>
        <v>0</v>
      </c>
      <c r="N2141" s="1211">
        <f t="shared" si="289"/>
        <v>0</v>
      </c>
      <c r="O2141" s="1212"/>
      <c r="P2141" s="1200"/>
      <c r="Q2141" s="1200"/>
    </row>
    <row r="2142" spans="1:17" ht="15" thickTop="1" thickBot="1" x14ac:dyDescent="0.3">
      <c r="A2142" s="1207"/>
      <c r="B2142" s="1212"/>
      <c r="C2142" s="1212"/>
      <c r="D2142" s="1212"/>
      <c r="E2142" s="1212"/>
      <c r="F2142" s="1208"/>
      <c r="G2142" s="1208"/>
      <c r="H2142" s="1208"/>
      <c r="I2142" s="1209"/>
      <c r="J2142" s="1209"/>
      <c r="K2142" s="1210">
        <f t="shared" si="290"/>
        <v>1.05</v>
      </c>
      <c r="L2142" s="1210">
        <f t="shared" si="287"/>
        <v>0</v>
      </c>
      <c r="M2142" s="1197">
        <f t="shared" si="288"/>
        <v>0</v>
      </c>
      <c r="N2142" s="1211">
        <f t="shared" si="289"/>
        <v>0</v>
      </c>
      <c r="O2142" s="1212"/>
      <c r="P2142" s="1200"/>
      <c r="Q2142" s="1200"/>
    </row>
    <row r="2143" spans="1:17" ht="15" thickTop="1" thickBot="1" x14ac:dyDescent="0.3">
      <c r="A2143" s="1207"/>
      <c r="B2143" s="1212"/>
      <c r="C2143" s="1212"/>
      <c r="D2143" s="1212"/>
      <c r="E2143" s="1212"/>
      <c r="F2143" s="1208"/>
      <c r="G2143" s="1208"/>
      <c r="H2143" s="1208"/>
      <c r="I2143" s="1209"/>
      <c r="J2143" s="1209"/>
      <c r="K2143" s="1210">
        <f t="shared" si="290"/>
        <v>1.05</v>
      </c>
      <c r="L2143" s="1210">
        <f t="shared" si="287"/>
        <v>0</v>
      </c>
      <c r="M2143" s="1197">
        <f t="shared" si="288"/>
        <v>0</v>
      </c>
      <c r="N2143" s="1211">
        <f t="shared" si="289"/>
        <v>0</v>
      </c>
      <c r="O2143" s="1212"/>
      <c r="P2143" s="1200"/>
      <c r="Q2143" s="1200"/>
    </row>
    <row r="2144" spans="1:17" ht="15" thickTop="1" thickBot="1" x14ac:dyDescent="0.3">
      <c r="A2144" s="1207"/>
      <c r="B2144" s="1212"/>
      <c r="C2144" s="1212"/>
      <c r="D2144" s="1212"/>
      <c r="E2144" s="1212"/>
      <c r="F2144" s="1208"/>
      <c r="G2144" s="1208"/>
      <c r="H2144" s="1208"/>
      <c r="I2144" s="1209"/>
      <c r="J2144" s="1209"/>
      <c r="K2144" s="1210">
        <f t="shared" si="290"/>
        <v>1.05</v>
      </c>
      <c r="L2144" s="1210">
        <f t="shared" si="287"/>
        <v>0</v>
      </c>
      <c r="M2144" s="1197">
        <f t="shared" si="288"/>
        <v>0</v>
      </c>
      <c r="N2144" s="1211">
        <f t="shared" si="289"/>
        <v>0</v>
      </c>
      <c r="O2144" s="1212"/>
      <c r="P2144" s="1200"/>
      <c r="Q2144" s="1200"/>
    </row>
    <row r="2145" spans="1:17" ht="15" thickTop="1" thickBot="1" x14ac:dyDescent="0.3">
      <c r="A2145" s="1207"/>
      <c r="B2145" s="1212"/>
      <c r="C2145" s="1212"/>
      <c r="D2145" s="1212"/>
      <c r="E2145" s="1212"/>
      <c r="F2145" s="1208"/>
      <c r="G2145" s="1208"/>
      <c r="H2145" s="1208"/>
      <c r="I2145" s="1209"/>
      <c r="J2145" s="1209"/>
      <c r="K2145" s="1210">
        <f t="shared" si="290"/>
        <v>1.05</v>
      </c>
      <c r="L2145" s="1210">
        <f t="shared" si="287"/>
        <v>0</v>
      </c>
      <c r="M2145" s="1197">
        <f t="shared" si="288"/>
        <v>0</v>
      </c>
      <c r="N2145" s="1211">
        <f t="shared" si="289"/>
        <v>0</v>
      </c>
      <c r="O2145" s="1212"/>
      <c r="P2145" s="1200"/>
      <c r="Q2145" s="1200"/>
    </row>
    <row r="2146" spans="1:17" ht="15" thickTop="1" thickBot="1" x14ac:dyDescent="0.3">
      <c r="A2146" s="1207"/>
      <c r="B2146" s="1212"/>
      <c r="C2146" s="1212"/>
      <c r="D2146" s="1212"/>
      <c r="E2146" s="1212"/>
      <c r="F2146" s="1208"/>
      <c r="G2146" s="1208"/>
      <c r="H2146" s="1208"/>
      <c r="I2146" s="1209"/>
      <c r="J2146" s="1209"/>
      <c r="K2146" s="1210">
        <f t="shared" si="290"/>
        <v>1.05</v>
      </c>
      <c r="L2146" s="1210">
        <f t="shared" si="287"/>
        <v>0</v>
      </c>
      <c r="M2146" s="1197">
        <f t="shared" si="288"/>
        <v>0</v>
      </c>
      <c r="N2146" s="1211">
        <f t="shared" si="289"/>
        <v>0</v>
      </c>
      <c r="O2146" s="1212"/>
      <c r="P2146" s="1200"/>
      <c r="Q2146" s="1200"/>
    </row>
    <row r="2147" spans="1:17" ht="15" thickTop="1" thickBot="1" x14ac:dyDescent="0.3">
      <c r="A2147" s="1207"/>
      <c r="B2147" s="1212"/>
      <c r="C2147" s="1212"/>
      <c r="D2147" s="1212"/>
      <c r="E2147" s="1212"/>
      <c r="F2147" s="1208"/>
      <c r="G2147" s="1208"/>
      <c r="H2147" s="1208"/>
      <c r="I2147" s="1209"/>
      <c r="J2147" s="1209"/>
      <c r="K2147" s="1210">
        <f t="shared" si="290"/>
        <v>1.05</v>
      </c>
      <c r="L2147" s="1210">
        <f t="shared" si="287"/>
        <v>0</v>
      </c>
      <c r="M2147" s="1197">
        <f t="shared" si="288"/>
        <v>0</v>
      </c>
      <c r="N2147" s="1211">
        <f t="shared" si="289"/>
        <v>0</v>
      </c>
      <c r="O2147" s="1212"/>
      <c r="P2147" s="1200"/>
      <c r="Q2147" s="1200"/>
    </row>
    <row r="2148" spans="1:17" ht="15" thickTop="1" thickBot="1" x14ac:dyDescent="0.3">
      <c r="A2148" s="1207"/>
      <c r="B2148" s="1212"/>
      <c r="C2148" s="1212"/>
      <c r="D2148" s="1212"/>
      <c r="E2148" s="1212"/>
      <c r="F2148" s="1208"/>
      <c r="G2148" s="1208"/>
      <c r="H2148" s="1208"/>
      <c r="I2148" s="1209"/>
      <c r="J2148" s="1209"/>
      <c r="K2148" s="1210">
        <f t="shared" si="290"/>
        <v>1.05</v>
      </c>
      <c r="L2148" s="1210">
        <f t="shared" si="287"/>
        <v>0</v>
      </c>
      <c r="M2148" s="1197">
        <f t="shared" si="288"/>
        <v>0</v>
      </c>
      <c r="N2148" s="1211">
        <f t="shared" si="289"/>
        <v>0</v>
      </c>
      <c r="O2148" s="1212"/>
      <c r="P2148" s="1200"/>
      <c r="Q2148" s="1200"/>
    </row>
    <row r="2149" spans="1:17" ht="15" thickTop="1" thickBot="1" x14ac:dyDescent="0.3">
      <c r="A2149" s="1207"/>
      <c r="B2149" s="1212"/>
      <c r="C2149" s="1212"/>
      <c r="D2149" s="1212"/>
      <c r="E2149" s="1212"/>
      <c r="F2149" s="1208"/>
      <c r="G2149" s="1208"/>
      <c r="H2149" s="1208"/>
      <c r="I2149" s="1209"/>
      <c r="J2149" s="1209"/>
      <c r="K2149" s="1210">
        <f t="shared" si="290"/>
        <v>1.05</v>
      </c>
      <c r="L2149" s="1210">
        <f t="shared" si="287"/>
        <v>0</v>
      </c>
      <c r="M2149" s="1197">
        <f t="shared" si="288"/>
        <v>0</v>
      </c>
      <c r="N2149" s="1211">
        <f t="shared" si="289"/>
        <v>0</v>
      </c>
      <c r="O2149" s="1212"/>
      <c r="P2149" s="1200"/>
      <c r="Q2149" s="1200"/>
    </row>
    <row r="2150" spans="1:17" ht="15" thickTop="1" thickBot="1" x14ac:dyDescent="0.3">
      <c r="A2150" s="1207"/>
      <c r="B2150" s="1212"/>
      <c r="C2150" s="1212"/>
      <c r="D2150" s="1212"/>
      <c r="E2150" s="1212"/>
      <c r="F2150" s="1208"/>
      <c r="G2150" s="1208"/>
      <c r="H2150" s="1208"/>
      <c r="I2150" s="1209"/>
      <c r="J2150" s="1209"/>
      <c r="K2150" s="1210">
        <f t="shared" si="290"/>
        <v>1.05</v>
      </c>
      <c r="L2150" s="1210">
        <f t="shared" si="287"/>
        <v>0</v>
      </c>
      <c r="M2150" s="1197">
        <f t="shared" si="288"/>
        <v>0</v>
      </c>
      <c r="N2150" s="1211">
        <f t="shared" si="289"/>
        <v>0</v>
      </c>
      <c r="O2150" s="1212"/>
      <c r="P2150" s="1200"/>
      <c r="Q2150" s="1200"/>
    </row>
    <row r="2151" spans="1:17" ht="15" thickTop="1" thickBot="1" x14ac:dyDescent="0.3">
      <c r="A2151" s="1207"/>
      <c r="B2151" s="1212"/>
      <c r="C2151" s="1212"/>
      <c r="D2151" s="1212"/>
      <c r="E2151" s="1212"/>
      <c r="F2151" s="1208"/>
      <c r="G2151" s="1208"/>
      <c r="H2151" s="1208"/>
      <c r="I2151" s="1209"/>
      <c r="J2151" s="1209"/>
      <c r="K2151" s="1210">
        <f t="shared" si="290"/>
        <v>1.05</v>
      </c>
      <c r="L2151" s="1210">
        <f t="shared" si="287"/>
        <v>0</v>
      </c>
      <c r="M2151" s="1197">
        <f t="shared" si="288"/>
        <v>0</v>
      </c>
      <c r="N2151" s="1211">
        <f t="shared" si="289"/>
        <v>0</v>
      </c>
      <c r="O2151" s="1212"/>
      <c r="P2151" s="1200"/>
      <c r="Q2151" s="1200"/>
    </row>
    <row r="2152" spans="1:17" ht="15" thickTop="1" thickBot="1" x14ac:dyDescent="0.3">
      <c r="A2152" s="1207"/>
      <c r="B2152" s="1212"/>
      <c r="C2152" s="1212"/>
      <c r="D2152" s="1212"/>
      <c r="E2152" s="1212"/>
      <c r="F2152" s="1208"/>
      <c r="G2152" s="1208"/>
      <c r="H2152" s="1208"/>
      <c r="I2152" s="1209"/>
      <c r="J2152" s="1209"/>
      <c r="K2152" s="1210">
        <f t="shared" si="290"/>
        <v>1.05</v>
      </c>
      <c r="L2152" s="1210">
        <f t="shared" si="287"/>
        <v>0</v>
      </c>
      <c r="M2152" s="1197">
        <f t="shared" si="288"/>
        <v>0</v>
      </c>
      <c r="N2152" s="1211">
        <f t="shared" si="289"/>
        <v>0</v>
      </c>
      <c r="O2152" s="1212"/>
      <c r="P2152" s="1200"/>
      <c r="Q2152" s="1200"/>
    </row>
    <row r="2153" spans="1:17" ht="15" thickTop="1" thickBot="1" x14ac:dyDescent="0.3">
      <c r="A2153" s="1207"/>
      <c r="B2153" s="1212"/>
      <c r="C2153" s="1212"/>
      <c r="D2153" s="1212"/>
      <c r="E2153" s="1212"/>
      <c r="F2153" s="1208"/>
      <c r="G2153" s="1208"/>
      <c r="H2153" s="1208"/>
      <c r="I2153" s="1209"/>
      <c r="J2153" s="1209"/>
      <c r="K2153" s="1210">
        <f t="shared" si="290"/>
        <v>1.05</v>
      </c>
      <c r="L2153" s="1210">
        <f t="shared" si="287"/>
        <v>0</v>
      </c>
      <c r="M2153" s="1197">
        <f t="shared" si="288"/>
        <v>0</v>
      </c>
      <c r="N2153" s="1211">
        <f t="shared" si="289"/>
        <v>0</v>
      </c>
      <c r="O2153" s="1212"/>
      <c r="P2153" s="1200"/>
      <c r="Q2153" s="1200"/>
    </row>
    <row r="2154" spans="1:17" ht="15" thickTop="1" thickBot="1" x14ac:dyDescent="0.3">
      <c r="A2154" s="1207"/>
      <c r="B2154" s="1212"/>
      <c r="C2154" s="1212"/>
      <c r="D2154" s="1212"/>
      <c r="E2154" s="1212"/>
      <c r="F2154" s="1208"/>
      <c r="G2154" s="1208"/>
      <c r="H2154" s="1208"/>
      <c r="I2154" s="1209"/>
      <c r="J2154" s="1209"/>
      <c r="K2154" s="1210">
        <f t="shared" si="290"/>
        <v>1.05</v>
      </c>
      <c r="L2154" s="1210">
        <f t="shared" ref="L2154:L2217" si="291">K2154*J2154</f>
        <v>0</v>
      </c>
      <c r="M2154" s="1197">
        <f t="shared" ref="M2154:M2217" si="292">ROUND(L2154,1)</f>
        <v>0</v>
      </c>
      <c r="N2154" s="1211">
        <f t="shared" ref="N2154:N2217" si="293">ROUNDUP(M2154,0)</f>
        <v>0</v>
      </c>
      <c r="O2154" s="1212"/>
      <c r="P2154" s="1200"/>
      <c r="Q2154" s="1200"/>
    </row>
    <row r="2155" spans="1:17" ht="15" thickTop="1" thickBot="1" x14ac:dyDescent="0.3">
      <c r="A2155" s="1207"/>
      <c r="B2155" s="1212"/>
      <c r="C2155" s="1212"/>
      <c r="D2155" s="1212"/>
      <c r="E2155" s="1212"/>
      <c r="F2155" s="1208"/>
      <c r="G2155" s="1208"/>
      <c r="H2155" s="1208"/>
      <c r="I2155" s="1209"/>
      <c r="J2155" s="1209"/>
      <c r="K2155" s="1210">
        <f t="shared" si="290"/>
        <v>1.05</v>
      </c>
      <c r="L2155" s="1210">
        <f t="shared" si="291"/>
        <v>0</v>
      </c>
      <c r="M2155" s="1197">
        <f t="shared" si="292"/>
        <v>0</v>
      </c>
      <c r="N2155" s="1211">
        <f t="shared" si="293"/>
        <v>0</v>
      </c>
      <c r="O2155" s="1212"/>
      <c r="P2155" s="1200"/>
      <c r="Q2155" s="1200"/>
    </row>
    <row r="2156" spans="1:17" ht="15" thickTop="1" thickBot="1" x14ac:dyDescent="0.3">
      <c r="A2156" s="1207"/>
      <c r="B2156" s="1212"/>
      <c r="C2156" s="1212"/>
      <c r="D2156" s="1212"/>
      <c r="E2156" s="1212"/>
      <c r="F2156" s="1208"/>
      <c r="G2156" s="1208"/>
      <c r="H2156" s="1208"/>
      <c r="I2156" s="1209"/>
      <c r="J2156" s="1209"/>
      <c r="K2156" s="1210">
        <f t="shared" si="290"/>
        <v>1.05</v>
      </c>
      <c r="L2156" s="1210">
        <f t="shared" si="291"/>
        <v>0</v>
      </c>
      <c r="M2156" s="1197">
        <f t="shared" si="292"/>
        <v>0</v>
      </c>
      <c r="N2156" s="1211">
        <f t="shared" si="293"/>
        <v>0</v>
      </c>
      <c r="O2156" s="1212"/>
      <c r="P2156" s="1200"/>
      <c r="Q2156" s="1200"/>
    </row>
    <row r="2157" spans="1:17" ht="15" thickTop="1" thickBot="1" x14ac:dyDescent="0.3">
      <c r="A2157" s="1207"/>
      <c r="B2157" s="1212"/>
      <c r="C2157" s="1212"/>
      <c r="D2157" s="1212"/>
      <c r="E2157" s="1212"/>
      <c r="F2157" s="1208"/>
      <c r="G2157" s="1208"/>
      <c r="H2157" s="1208"/>
      <c r="I2157" s="1209"/>
      <c r="J2157" s="1209"/>
      <c r="K2157" s="1210">
        <f t="shared" si="290"/>
        <v>1.05</v>
      </c>
      <c r="L2157" s="1210">
        <f t="shared" si="291"/>
        <v>0</v>
      </c>
      <c r="M2157" s="1197">
        <f t="shared" si="292"/>
        <v>0</v>
      </c>
      <c r="N2157" s="1211">
        <f t="shared" si="293"/>
        <v>0</v>
      </c>
      <c r="O2157" s="1212"/>
      <c r="P2157" s="1200"/>
      <c r="Q2157" s="1200"/>
    </row>
    <row r="2158" spans="1:17" ht="15" thickTop="1" thickBot="1" x14ac:dyDescent="0.3">
      <c r="A2158" s="1207"/>
      <c r="B2158" s="1212"/>
      <c r="C2158" s="1212"/>
      <c r="D2158" s="1212"/>
      <c r="E2158" s="1212"/>
      <c r="F2158" s="1208"/>
      <c r="G2158" s="1208"/>
      <c r="H2158" s="1208"/>
      <c r="I2158" s="1209"/>
      <c r="J2158" s="1209"/>
      <c r="K2158" s="1210">
        <f t="shared" si="290"/>
        <v>1.05</v>
      </c>
      <c r="L2158" s="1210">
        <f t="shared" si="291"/>
        <v>0</v>
      </c>
      <c r="M2158" s="1197">
        <f t="shared" si="292"/>
        <v>0</v>
      </c>
      <c r="N2158" s="1211">
        <f t="shared" si="293"/>
        <v>0</v>
      </c>
      <c r="O2158" s="1212"/>
      <c r="P2158" s="1200"/>
      <c r="Q2158" s="1200"/>
    </row>
    <row r="2159" spans="1:17" ht="15" thickTop="1" thickBot="1" x14ac:dyDescent="0.3">
      <c r="A2159" s="1207"/>
      <c r="B2159" s="1212"/>
      <c r="C2159" s="1212"/>
      <c r="D2159" s="1212"/>
      <c r="E2159" s="1212"/>
      <c r="F2159" s="1208"/>
      <c r="G2159" s="1208"/>
      <c r="H2159" s="1208"/>
      <c r="I2159" s="1209"/>
      <c r="J2159" s="1209"/>
      <c r="K2159" s="1210">
        <f t="shared" si="290"/>
        <v>1.05</v>
      </c>
      <c r="L2159" s="1210">
        <f t="shared" si="291"/>
        <v>0</v>
      </c>
      <c r="M2159" s="1197">
        <f t="shared" si="292"/>
        <v>0</v>
      </c>
      <c r="N2159" s="1211">
        <f t="shared" si="293"/>
        <v>0</v>
      </c>
      <c r="O2159" s="1212"/>
      <c r="P2159" s="1200"/>
      <c r="Q2159" s="1200"/>
    </row>
    <row r="2160" spans="1:17" ht="15" thickTop="1" thickBot="1" x14ac:dyDescent="0.3">
      <c r="A2160" s="1207"/>
      <c r="B2160" s="1212"/>
      <c r="C2160" s="1212"/>
      <c r="D2160" s="1212"/>
      <c r="E2160" s="1212"/>
      <c r="F2160" s="1208"/>
      <c r="G2160" s="1208"/>
      <c r="H2160" s="1208"/>
      <c r="I2160" s="1209"/>
      <c r="J2160" s="1209"/>
      <c r="K2160" s="1210">
        <f t="shared" si="290"/>
        <v>1.05</v>
      </c>
      <c r="L2160" s="1210">
        <f t="shared" si="291"/>
        <v>0</v>
      </c>
      <c r="M2160" s="1197">
        <f t="shared" si="292"/>
        <v>0</v>
      </c>
      <c r="N2160" s="1211">
        <f t="shared" si="293"/>
        <v>0</v>
      </c>
      <c r="O2160" s="1212"/>
      <c r="P2160" s="1200"/>
      <c r="Q2160" s="1200"/>
    </row>
    <row r="2161" spans="1:17" ht="15" thickTop="1" thickBot="1" x14ac:dyDescent="0.3">
      <c r="A2161" s="1207"/>
      <c r="B2161" s="1212"/>
      <c r="C2161" s="1212"/>
      <c r="D2161" s="1212"/>
      <c r="E2161" s="1212"/>
      <c r="F2161" s="1208"/>
      <c r="G2161" s="1208"/>
      <c r="H2161" s="1208"/>
      <c r="I2161" s="1209"/>
      <c r="J2161" s="1209"/>
      <c r="K2161" s="1210">
        <f t="shared" si="290"/>
        <v>1.05</v>
      </c>
      <c r="L2161" s="1210">
        <f t="shared" si="291"/>
        <v>0</v>
      </c>
      <c r="M2161" s="1197">
        <f t="shared" si="292"/>
        <v>0</v>
      </c>
      <c r="N2161" s="1211">
        <f t="shared" si="293"/>
        <v>0</v>
      </c>
      <c r="O2161" s="1212"/>
      <c r="P2161" s="1200"/>
      <c r="Q2161" s="1200"/>
    </row>
    <row r="2162" spans="1:17" ht="15" thickTop="1" thickBot="1" x14ac:dyDescent="0.3">
      <c r="A2162" s="1207"/>
      <c r="B2162" s="1212"/>
      <c r="C2162" s="1212"/>
      <c r="D2162" s="1212"/>
      <c r="E2162" s="1212"/>
      <c r="F2162" s="1208"/>
      <c r="G2162" s="1208"/>
      <c r="H2162" s="1208"/>
      <c r="I2162" s="1209"/>
      <c r="J2162" s="1209"/>
      <c r="K2162" s="1210">
        <f t="shared" si="290"/>
        <v>1.05</v>
      </c>
      <c r="L2162" s="1210">
        <f t="shared" si="291"/>
        <v>0</v>
      </c>
      <c r="M2162" s="1197">
        <f t="shared" si="292"/>
        <v>0</v>
      </c>
      <c r="N2162" s="1211">
        <f t="shared" si="293"/>
        <v>0</v>
      </c>
      <c r="O2162" s="1212"/>
      <c r="P2162" s="1200"/>
      <c r="Q2162" s="1200"/>
    </row>
    <row r="2163" spans="1:17" ht="15" thickTop="1" thickBot="1" x14ac:dyDescent="0.3">
      <c r="A2163" s="1207"/>
      <c r="B2163" s="1212"/>
      <c r="C2163" s="1212"/>
      <c r="D2163" s="1212"/>
      <c r="E2163" s="1212"/>
      <c r="F2163" s="1208"/>
      <c r="G2163" s="1208"/>
      <c r="H2163" s="1208"/>
      <c r="I2163" s="1209"/>
      <c r="J2163" s="1209"/>
      <c r="K2163" s="1210">
        <f t="shared" si="290"/>
        <v>1.05</v>
      </c>
      <c r="L2163" s="1210">
        <f t="shared" si="291"/>
        <v>0</v>
      </c>
      <c r="M2163" s="1197">
        <f t="shared" si="292"/>
        <v>0</v>
      </c>
      <c r="N2163" s="1211">
        <f t="shared" si="293"/>
        <v>0</v>
      </c>
      <c r="O2163" s="1212"/>
      <c r="P2163" s="1200"/>
      <c r="Q2163" s="1200"/>
    </row>
    <row r="2164" spans="1:17" ht="15" thickTop="1" thickBot="1" x14ac:dyDescent="0.3">
      <c r="A2164" s="1207"/>
      <c r="B2164" s="1212"/>
      <c r="C2164" s="1212"/>
      <c r="D2164" s="1212"/>
      <c r="E2164" s="1212"/>
      <c r="F2164" s="1208"/>
      <c r="G2164" s="1208"/>
      <c r="H2164" s="1208"/>
      <c r="I2164" s="1209"/>
      <c r="J2164" s="1209"/>
      <c r="K2164" s="1210">
        <f t="shared" si="290"/>
        <v>1.05</v>
      </c>
      <c r="L2164" s="1210">
        <f t="shared" si="291"/>
        <v>0</v>
      </c>
      <c r="M2164" s="1197">
        <f t="shared" si="292"/>
        <v>0</v>
      </c>
      <c r="N2164" s="1211">
        <f t="shared" si="293"/>
        <v>0</v>
      </c>
      <c r="O2164" s="1212"/>
      <c r="P2164" s="1200"/>
      <c r="Q2164" s="1200"/>
    </row>
    <row r="2165" spans="1:17" ht="15" thickTop="1" thickBot="1" x14ac:dyDescent="0.3">
      <c r="A2165" s="1207"/>
      <c r="B2165" s="1212"/>
      <c r="C2165" s="1212"/>
      <c r="D2165" s="1212"/>
      <c r="E2165" s="1212"/>
      <c r="F2165" s="1208"/>
      <c r="G2165" s="1208"/>
      <c r="H2165" s="1208"/>
      <c r="I2165" s="1209"/>
      <c r="J2165" s="1209"/>
      <c r="K2165" s="1210">
        <f t="shared" si="290"/>
        <v>1.05</v>
      </c>
      <c r="L2165" s="1210">
        <f t="shared" si="291"/>
        <v>0</v>
      </c>
      <c r="M2165" s="1197">
        <f t="shared" si="292"/>
        <v>0</v>
      </c>
      <c r="N2165" s="1211">
        <f t="shared" si="293"/>
        <v>0</v>
      </c>
      <c r="O2165" s="1212"/>
      <c r="P2165" s="1200"/>
      <c r="Q2165" s="1200"/>
    </row>
    <row r="2166" spans="1:17" ht="15" thickTop="1" thickBot="1" x14ac:dyDescent="0.3">
      <c r="A2166" s="1207"/>
      <c r="B2166" s="1212"/>
      <c r="C2166" s="1212"/>
      <c r="D2166" s="1212"/>
      <c r="E2166" s="1212"/>
      <c r="F2166" s="1208"/>
      <c r="G2166" s="1208"/>
      <c r="H2166" s="1208"/>
      <c r="I2166" s="1209"/>
      <c r="J2166" s="1209"/>
      <c r="K2166" s="1210">
        <f t="shared" si="290"/>
        <v>1.05</v>
      </c>
      <c r="L2166" s="1210">
        <f t="shared" si="291"/>
        <v>0</v>
      </c>
      <c r="M2166" s="1197">
        <f t="shared" si="292"/>
        <v>0</v>
      </c>
      <c r="N2166" s="1211">
        <f t="shared" si="293"/>
        <v>0</v>
      </c>
      <c r="O2166" s="1212"/>
      <c r="P2166" s="1200"/>
      <c r="Q2166" s="1200"/>
    </row>
    <row r="2167" spans="1:17" ht="15" thickTop="1" thickBot="1" x14ac:dyDescent="0.3">
      <c r="A2167" s="1207"/>
      <c r="B2167" s="1212"/>
      <c r="C2167" s="1212"/>
      <c r="D2167" s="1212"/>
      <c r="E2167" s="1212"/>
      <c r="F2167" s="1208"/>
      <c r="G2167" s="1208"/>
      <c r="H2167" s="1208"/>
      <c r="I2167" s="1209"/>
      <c r="J2167" s="1209"/>
      <c r="K2167" s="1210">
        <f t="shared" si="290"/>
        <v>1.05</v>
      </c>
      <c r="L2167" s="1210">
        <f t="shared" si="291"/>
        <v>0</v>
      </c>
      <c r="M2167" s="1197">
        <f t="shared" si="292"/>
        <v>0</v>
      </c>
      <c r="N2167" s="1211">
        <f t="shared" si="293"/>
        <v>0</v>
      </c>
      <c r="O2167" s="1212"/>
      <c r="P2167" s="1200"/>
      <c r="Q2167" s="1200"/>
    </row>
    <row r="2168" spans="1:17" ht="15" thickTop="1" thickBot="1" x14ac:dyDescent="0.3">
      <c r="A2168" s="1207"/>
      <c r="B2168" s="1212"/>
      <c r="C2168" s="1212"/>
      <c r="D2168" s="1212"/>
      <c r="E2168" s="1212"/>
      <c r="F2168" s="1208"/>
      <c r="G2168" s="1208"/>
      <c r="H2168" s="1208"/>
      <c r="I2168" s="1209"/>
      <c r="J2168" s="1209"/>
      <c r="K2168" s="1210">
        <f t="shared" si="290"/>
        <v>1.05</v>
      </c>
      <c r="L2168" s="1210">
        <f t="shared" si="291"/>
        <v>0</v>
      </c>
      <c r="M2168" s="1197">
        <f t="shared" si="292"/>
        <v>0</v>
      </c>
      <c r="N2168" s="1211">
        <f t="shared" si="293"/>
        <v>0</v>
      </c>
      <c r="O2168" s="1212"/>
      <c r="P2168" s="1200"/>
      <c r="Q2168" s="1200"/>
    </row>
    <row r="2169" spans="1:17" ht="15" thickTop="1" thickBot="1" x14ac:dyDescent="0.3">
      <c r="A2169" s="1207"/>
      <c r="B2169" s="1212"/>
      <c r="C2169" s="1212"/>
      <c r="D2169" s="1212"/>
      <c r="E2169" s="1212"/>
      <c r="F2169" s="1208"/>
      <c r="G2169" s="1208"/>
      <c r="H2169" s="1208"/>
      <c r="I2169" s="1209"/>
      <c r="J2169" s="1209"/>
      <c r="K2169" s="1210">
        <f t="shared" si="290"/>
        <v>1.05</v>
      </c>
      <c r="L2169" s="1210">
        <f t="shared" si="291"/>
        <v>0</v>
      </c>
      <c r="M2169" s="1197">
        <f t="shared" si="292"/>
        <v>0</v>
      </c>
      <c r="N2169" s="1211">
        <f t="shared" si="293"/>
        <v>0</v>
      </c>
      <c r="O2169" s="1212"/>
      <c r="P2169" s="1200"/>
      <c r="Q2169" s="1200"/>
    </row>
    <row r="2170" spans="1:17" ht="15" thickTop="1" thickBot="1" x14ac:dyDescent="0.3">
      <c r="A2170" s="1207"/>
      <c r="B2170" s="1212"/>
      <c r="C2170" s="1212"/>
      <c r="D2170" s="1212"/>
      <c r="E2170" s="1212"/>
      <c r="F2170" s="1208"/>
      <c r="G2170" s="1208"/>
      <c r="H2170" s="1208"/>
      <c r="I2170" s="1209"/>
      <c r="J2170" s="1209"/>
      <c r="K2170" s="1210">
        <f t="shared" si="290"/>
        <v>1.05</v>
      </c>
      <c r="L2170" s="1210">
        <f t="shared" si="291"/>
        <v>0</v>
      </c>
      <c r="M2170" s="1197">
        <f t="shared" si="292"/>
        <v>0</v>
      </c>
      <c r="N2170" s="1211">
        <f t="shared" si="293"/>
        <v>0</v>
      </c>
      <c r="O2170" s="1212"/>
      <c r="P2170" s="1200"/>
      <c r="Q2170" s="1200"/>
    </row>
    <row r="2171" spans="1:17" ht="15" thickTop="1" thickBot="1" x14ac:dyDescent="0.3">
      <c r="A2171" s="1207"/>
      <c r="B2171" s="1212"/>
      <c r="C2171" s="1212"/>
      <c r="D2171" s="1212"/>
      <c r="E2171" s="1212"/>
      <c r="F2171" s="1208"/>
      <c r="G2171" s="1208"/>
      <c r="H2171" s="1208"/>
      <c r="I2171" s="1209"/>
      <c r="J2171" s="1209"/>
      <c r="K2171" s="1210">
        <f t="shared" si="290"/>
        <v>1.05</v>
      </c>
      <c r="L2171" s="1210">
        <f t="shared" si="291"/>
        <v>0</v>
      </c>
      <c r="M2171" s="1197">
        <f t="shared" si="292"/>
        <v>0</v>
      </c>
      <c r="N2171" s="1211">
        <f t="shared" si="293"/>
        <v>0</v>
      </c>
      <c r="O2171" s="1212"/>
      <c r="P2171" s="1200"/>
      <c r="Q2171" s="1200"/>
    </row>
    <row r="2172" spans="1:17" ht="15" thickTop="1" thickBot="1" x14ac:dyDescent="0.3">
      <c r="A2172" s="1207"/>
      <c r="B2172" s="1212"/>
      <c r="C2172" s="1212"/>
      <c r="D2172" s="1212"/>
      <c r="E2172" s="1212"/>
      <c r="F2172" s="1208"/>
      <c r="G2172" s="1208"/>
      <c r="H2172" s="1208"/>
      <c r="I2172" s="1209"/>
      <c r="J2172" s="1209"/>
      <c r="K2172" s="1210">
        <f t="shared" si="290"/>
        <v>1.05</v>
      </c>
      <c r="L2172" s="1210">
        <f t="shared" si="291"/>
        <v>0</v>
      </c>
      <c r="M2172" s="1197">
        <f t="shared" si="292"/>
        <v>0</v>
      </c>
      <c r="N2172" s="1211">
        <f t="shared" si="293"/>
        <v>0</v>
      </c>
      <c r="O2172" s="1212"/>
      <c r="P2172" s="1200"/>
      <c r="Q2172" s="1200"/>
    </row>
    <row r="2173" spans="1:17" ht="15" thickTop="1" thickBot="1" x14ac:dyDescent="0.3">
      <c r="A2173" s="1207"/>
      <c r="B2173" s="1212"/>
      <c r="C2173" s="1212"/>
      <c r="D2173" s="1212"/>
      <c r="E2173" s="1212"/>
      <c r="F2173" s="1208"/>
      <c r="G2173" s="1208"/>
      <c r="H2173" s="1208"/>
      <c r="I2173" s="1209"/>
      <c r="J2173" s="1209"/>
      <c r="K2173" s="1210">
        <f t="shared" si="290"/>
        <v>1.05</v>
      </c>
      <c r="L2173" s="1210">
        <f t="shared" si="291"/>
        <v>0</v>
      </c>
      <c r="M2173" s="1197">
        <f t="shared" si="292"/>
        <v>0</v>
      </c>
      <c r="N2173" s="1211">
        <f t="shared" si="293"/>
        <v>0</v>
      </c>
      <c r="O2173" s="1212"/>
      <c r="P2173" s="1200"/>
      <c r="Q2173" s="1200"/>
    </row>
    <row r="2174" spans="1:17" ht="15" thickTop="1" thickBot="1" x14ac:dyDescent="0.3">
      <c r="A2174" s="1207"/>
      <c r="B2174" s="1212"/>
      <c r="C2174" s="1212"/>
      <c r="D2174" s="1212"/>
      <c r="E2174" s="1212"/>
      <c r="F2174" s="1208"/>
      <c r="G2174" s="1208"/>
      <c r="H2174" s="1208"/>
      <c r="I2174" s="1209"/>
      <c r="J2174" s="1209"/>
      <c r="K2174" s="1210">
        <f t="shared" si="290"/>
        <v>1.05</v>
      </c>
      <c r="L2174" s="1210">
        <f t="shared" si="291"/>
        <v>0</v>
      </c>
      <c r="M2174" s="1197">
        <f t="shared" si="292"/>
        <v>0</v>
      </c>
      <c r="N2174" s="1211">
        <f t="shared" si="293"/>
        <v>0</v>
      </c>
      <c r="O2174" s="1212"/>
      <c r="P2174" s="1200"/>
      <c r="Q2174" s="1200"/>
    </row>
    <row r="2175" spans="1:17" ht="15" thickTop="1" thickBot="1" x14ac:dyDescent="0.3">
      <c r="A2175" s="1207"/>
      <c r="B2175" s="1212"/>
      <c r="C2175" s="1212"/>
      <c r="D2175" s="1212"/>
      <c r="E2175" s="1212"/>
      <c r="F2175" s="1208"/>
      <c r="G2175" s="1208"/>
      <c r="H2175" s="1208"/>
      <c r="I2175" s="1209"/>
      <c r="J2175" s="1209"/>
      <c r="K2175" s="1210">
        <f t="shared" si="290"/>
        <v>1.05</v>
      </c>
      <c r="L2175" s="1210">
        <f t="shared" si="291"/>
        <v>0</v>
      </c>
      <c r="M2175" s="1197">
        <f t="shared" si="292"/>
        <v>0</v>
      </c>
      <c r="N2175" s="1211">
        <f t="shared" si="293"/>
        <v>0</v>
      </c>
      <c r="O2175" s="1212"/>
      <c r="P2175" s="1200"/>
      <c r="Q2175" s="1200"/>
    </row>
    <row r="2176" spans="1:17" ht="15" thickTop="1" thickBot="1" x14ac:dyDescent="0.3">
      <c r="A2176" s="1207"/>
      <c r="B2176" s="1212"/>
      <c r="C2176" s="1212"/>
      <c r="D2176" s="1212"/>
      <c r="E2176" s="1212"/>
      <c r="F2176" s="1208"/>
      <c r="G2176" s="1208"/>
      <c r="H2176" s="1208"/>
      <c r="I2176" s="1209"/>
      <c r="J2176" s="1209"/>
      <c r="K2176" s="1210">
        <f t="shared" si="290"/>
        <v>1.05</v>
      </c>
      <c r="L2176" s="1210">
        <f t="shared" si="291"/>
        <v>0</v>
      </c>
      <c r="M2176" s="1197">
        <f t="shared" si="292"/>
        <v>0</v>
      </c>
      <c r="N2176" s="1211">
        <f t="shared" si="293"/>
        <v>0</v>
      </c>
      <c r="O2176" s="1212"/>
      <c r="P2176" s="1200"/>
      <c r="Q2176" s="1200"/>
    </row>
    <row r="2177" spans="1:17" ht="15" thickTop="1" thickBot="1" x14ac:dyDescent="0.3">
      <c r="A2177" s="1207"/>
      <c r="B2177" s="1212"/>
      <c r="C2177" s="1212"/>
      <c r="D2177" s="1212"/>
      <c r="E2177" s="1212"/>
      <c r="F2177" s="1208"/>
      <c r="G2177" s="1208"/>
      <c r="H2177" s="1208"/>
      <c r="I2177" s="1209"/>
      <c r="J2177" s="1209"/>
      <c r="K2177" s="1210">
        <f t="shared" si="290"/>
        <v>1.05</v>
      </c>
      <c r="L2177" s="1210">
        <f t="shared" si="291"/>
        <v>0</v>
      </c>
      <c r="M2177" s="1197">
        <f t="shared" si="292"/>
        <v>0</v>
      </c>
      <c r="N2177" s="1211">
        <f t="shared" si="293"/>
        <v>0</v>
      </c>
      <c r="O2177" s="1212"/>
      <c r="P2177" s="1200"/>
      <c r="Q2177" s="1200"/>
    </row>
    <row r="2178" spans="1:17" ht="15" thickTop="1" thickBot="1" x14ac:dyDescent="0.3">
      <c r="A2178" s="1207"/>
      <c r="B2178" s="1212"/>
      <c r="C2178" s="1212"/>
      <c r="D2178" s="1212"/>
      <c r="E2178" s="1212"/>
      <c r="F2178" s="1208"/>
      <c r="G2178" s="1208"/>
      <c r="H2178" s="1208"/>
      <c r="I2178" s="1209"/>
      <c r="J2178" s="1209"/>
      <c r="K2178" s="1210">
        <f t="shared" si="290"/>
        <v>1.05</v>
      </c>
      <c r="L2178" s="1210">
        <f t="shared" si="291"/>
        <v>0</v>
      </c>
      <c r="M2178" s="1197">
        <f t="shared" si="292"/>
        <v>0</v>
      </c>
      <c r="N2178" s="1211">
        <f t="shared" si="293"/>
        <v>0</v>
      </c>
      <c r="O2178" s="1212"/>
      <c r="P2178" s="1200"/>
      <c r="Q2178" s="1200"/>
    </row>
    <row r="2179" spans="1:17" ht="15" thickTop="1" thickBot="1" x14ac:dyDescent="0.3">
      <c r="A2179" s="1207"/>
      <c r="B2179" s="1212"/>
      <c r="C2179" s="1212"/>
      <c r="D2179" s="1212"/>
      <c r="E2179" s="1212"/>
      <c r="F2179" s="1208"/>
      <c r="G2179" s="1208"/>
      <c r="H2179" s="1208"/>
      <c r="I2179" s="1209"/>
      <c r="J2179" s="1209"/>
      <c r="K2179" s="1210">
        <f t="shared" si="290"/>
        <v>1.05</v>
      </c>
      <c r="L2179" s="1210">
        <f t="shared" si="291"/>
        <v>0</v>
      </c>
      <c r="M2179" s="1197">
        <f t="shared" si="292"/>
        <v>0</v>
      </c>
      <c r="N2179" s="1211">
        <f t="shared" si="293"/>
        <v>0</v>
      </c>
      <c r="O2179" s="1212"/>
      <c r="P2179" s="1200"/>
      <c r="Q2179" s="1200"/>
    </row>
    <row r="2180" spans="1:17" ht="15" thickTop="1" thickBot="1" x14ac:dyDescent="0.3">
      <c r="A2180" s="1207"/>
      <c r="B2180" s="1212"/>
      <c r="C2180" s="1212"/>
      <c r="D2180" s="1212"/>
      <c r="E2180" s="1212"/>
      <c r="F2180" s="1208"/>
      <c r="G2180" s="1208"/>
      <c r="H2180" s="1208"/>
      <c r="I2180" s="1209"/>
      <c r="J2180" s="1209"/>
      <c r="K2180" s="1210">
        <f t="shared" si="290"/>
        <v>1.05</v>
      </c>
      <c r="L2180" s="1210">
        <f t="shared" si="291"/>
        <v>0</v>
      </c>
      <c r="M2180" s="1197">
        <f t="shared" si="292"/>
        <v>0</v>
      </c>
      <c r="N2180" s="1211">
        <f t="shared" si="293"/>
        <v>0</v>
      </c>
      <c r="O2180" s="1212"/>
      <c r="P2180" s="1200"/>
      <c r="Q2180" s="1200"/>
    </row>
    <row r="2181" spans="1:17" ht="15" thickTop="1" thickBot="1" x14ac:dyDescent="0.3">
      <c r="A2181" s="1207"/>
      <c r="B2181" s="1212"/>
      <c r="C2181" s="1212"/>
      <c r="D2181" s="1212"/>
      <c r="E2181" s="1212"/>
      <c r="F2181" s="1208"/>
      <c r="G2181" s="1208"/>
      <c r="H2181" s="1208"/>
      <c r="I2181" s="1209"/>
      <c r="J2181" s="1209"/>
      <c r="K2181" s="1210">
        <f t="shared" si="290"/>
        <v>1.05</v>
      </c>
      <c r="L2181" s="1210">
        <f t="shared" si="291"/>
        <v>0</v>
      </c>
      <c r="M2181" s="1197">
        <f t="shared" si="292"/>
        <v>0</v>
      </c>
      <c r="N2181" s="1211">
        <f t="shared" si="293"/>
        <v>0</v>
      </c>
      <c r="O2181" s="1212"/>
      <c r="P2181" s="1200"/>
      <c r="Q2181" s="1200"/>
    </row>
    <row r="2182" spans="1:17" ht="15" thickTop="1" thickBot="1" x14ac:dyDescent="0.3">
      <c r="A2182" s="1207"/>
      <c r="B2182" s="1212"/>
      <c r="C2182" s="1212"/>
      <c r="D2182" s="1212"/>
      <c r="E2182" s="1212"/>
      <c r="F2182" s="1208"/>
      <c r="G2182" s="1208"/>
      <c r="H2182" s="1208"/>
      <c r="I2182" s="1209"/>
      <c r="J2182" s="1209"/>
      <c r="K2182" s="1210">
        <f t="shared" si="290"/>
        <v>1.05</v>
      </c>
      <c r="L2182" s="1210">
        <f t="shared" si="291"/>
        <v>0</v>
      </c>
      <c r="M2182" s="1197">
        <f t="shared" si="292"/>
        <v>0</v>
      </c>
      <c r="N2182" s="1211">
        <f t="shared" si="293"/>
        <v>0</v>
      </c>
      <c r="O2182" s="1212"/>
      <c r="P2182" s="1200"/>
      <c r="Q2182" s="1200"/>
    </row>
    <row r="2183" spans="1:17" ht="15" thickTop="1" thickBot="1" x14ac:dyDescent="0.3">
      <c r="A2183" s="1207"/>
      <c r="B2183" s="1212"/>
      <c r="C2183" s="1212"/>
      <c r="D2183" s="1212"/>
      <c r="E2183" s="1212"/>
      <c r="F2183" s="1208"/>
      <c r="G2183" s="1208"/>
      <c r="H2183" s="1208"/>
      <c r="I2183" s="1209"/>
      <c r="J2183" s="1209"/>
      <c r="K2183" s="1210">
        <f t="shared" si="290"/>
        <v>1.05</v>
      </c>
      <c r="L2183" s="1210">
        <f t="shared" si="291"/>
        <v>0</v>
      </c>
      <c r="M2183" s="1197">
        <f t="shared" si="292"/>
        <v>0</v>
      </c>
      <c r="N2183" s="1211">
        <f t="shared" si="293"/>
        <v>0</v>
      </c>
      <c r="O2183" s="1212"/>
      <c r="P2183" s="1200"/>
      <c r="Q2183" s="1200"/>
    </row>
    <row r="2184" spans="1:17" ht="15" thickTop="1" thickBot="1" x14ac:dyDescent="0.3">
      <c r="A2184" s="1207"/>
      <c r="B2184" s="1212"/>
      <c r="C2184" s="1212"/>
      <c r="D2184" s="1212"/>
      <c r="E2184" s="1212"/>
      <c r="F2184" s="1208"/>
      <c r="G2184" s="1208"/>
      <c r="H2184" s="1208"/>
      <c r="I2184" s="1209"/>
      <c r="J2184" s="1209"/>
      <c r="K2184" s="1210">
        <f t="shared" si="290"/>
        <v>1.05</v>
      </c>
      <c r="L2184" s="1210">
        <f t="shared" si="291"/>
        <v>0</v>
      </c>
      <c r="M2184" s="1197">
        <f t="shared" si="292"/>
        <v>0</v>
      </c>
      <c r="N2184" s="1211">
        <f t="shared" si="293"/>
        <v>0</v>
      </c>
      <c r="O2184" s="1212"/>
      <c r="P2184" s="1200"/>
      <c r="Q2184" s="1200"/>
    </row>
    <row r="2185" spans="1:17" ht="15" thickTop="1" thickBot="1" x14ac:dyDescent="0.3">
      <c r="A2185" s="1207"/>
      <c r="B2185" s="1212"/>
      <c r="C2185" s="1212"/>
      <c r="D2185" s="1212"/>
      <c r="E2185" s="1212"/>
      <c r="F2185" s="1208"/>
      <c r="G2185" s="1208"/>
      <c r="H2185" s="1208"/>
      <c r="I2185" s="1209"/>
      <c r="J2185" s="1209"/>
      <c r="K2185" s="1210">
        <f t="shared" si="290"/>
        <v>1.05</v>
      </c>
      <c r="L2185" s="1210">
        <f t="shared" si="291"/>
        <v>0</v>
      </c>
      <c r="M2185" s="1197">
        <f t="shared" si="292"/>
        <v>0</v>
      </c>
      <c r="N2185" s="1211">
        <f t="shared" si="293"/>
        <v>0</v>
      </c>
      <c r="O2185" s="1212"/>
      <c r="P2185" s="1200"/>
      <c r="Q2185" s="1200"/>
    </row>
    <row r="2186" spans="1:17" ht="15" thickTop="1" thickBot="1" x14ac:dyDescent="0.3">
      <c r="A2186" s="1207"/>
      <c r="B2186" s="1212"/>
      <c r="C2186" s="1212"/>
      <c r="D2186" s="1212"/>
      <c r="E2186" s="1212"/>
      <c r="F2186" s="1208"/>
      <c r="G2186" s="1208"/>
      <c r="H2186" s="1208"/>
      <c r="I2186" s="1209"/>
      <c r="J2186" s="1209"/>
      <c r="K2186" s="1210">
        <f t="shared" si="290"/>
        <v>1.05</v>
      </c>
      <c r="L2186" s="1210">
        <f t="shared" si="291"/>
        <v>0</v>
      </c>
      <c r="M2186" s="1197">
        <f t="shared" si="292"/>
        <v>0</v>
      </c>
      <c r="N2186" s="1211">
        <f t="shared" si="293"/>
        <v>0</v>
      </c>
      <c r="O2186" s="1212"/>
      <c r="P2186" s="1200"/>
      <c r="Q2186" s="1200"/>
    </row>
    <row r="2187" spans="1:17" ht="15" thickTop="1" thickBot="1" x14ac:dyDescent="0.3">
      <c r="A2187" s="1207"/>
      <c r="B2187" s="1212"/>
      <c r="C2187" s="1212"/>
      <c r="D2187" s="1212"/>
      <c r="E2187" s="1212"/>
      <c r="F2187" s="1208"/>
      <c r="G2187" s="1208"/>
      <c r="H2187" s="1208"/>
      <c r="I2187" s="1209"/>
      <c r="J2187" s="1209"/>
      <c r="K2187" s="1210">
        <f t="shared" ref="K2187:K2221" si="294">$K$2</f>
        <v>1.05</v>
      </c>
      <c r="L2187" s="1210">
        <f t="shared" si="291"/>
        <v>0</v>
      </c>
      <c r="M2187" s="1197">
        <f t="shared" si="292"/>
        <v>0</v>
      </c>
      <c r="N2187" s="1211">
        <f t="shared" si="293"/>
        <v>0</v>
      </c>
      <c r="O2187" s="1212"/>
      <c r="P2187" s="1200"/>
      <c r="Q2187" s="1200"/>
    </row>
    <row r="2188" spans="1:17" ht="15" thickTop="1" thickBot="1" x14ac:dyDescent="0.3">
      <c r="A2188" s="1207"/>
      <c r="B2188" s="1212"/>
      <c r="C2188" s="1212"/>
      <c r="D2188" s="1212"/>
      <c r="E2188" s="1212"/>
      <c r="F2188" s="1208"/>
      <c r="G2188" s="1208"/>
      <c r="H2188" s="1208"/>
      <c r="I2188" s="1209"/>
      <c r="J2188" s="1209"/>
      <c r="K2188" s="1210">
        <f t="shared" si="294"/>
        <v>1.05</v>
      </c>
      <c r="L2188" s="1210">
        <f t="shared" si="291"/>
        <v>0</v>
      </c>
      <c r="M2188" s="1197">
        <f t="shared" si="292"/>
        <v>0</v>
      </c>
      <c r="N2188" s="1211">
        <f t="shared" si="293"/>
        <v>0</v>
      </c>
      <c r="O2188" s="1212"/>
      <c r="P2188" s="1200"/>
      <c r="Q2188" s="1200"/>
    </row>
    <row r="2189" spans="1:17" ht="15" thickTop="1" thickBot="1" x14ac:dyDescent="0.3">
      <c r="A2189" s="1207"/>
      <c r="B2189" s="1212"/>
      <c r="C2189" s="1212"/>
      <c r="D2189" s="1212"/>
      <c r="E2189" s="1212"/>
      <c r="F2189" s="1208"/>
      <c r="G2189" s="1208"/>
      <c r="H2189" s="1208"/>
      <c r="I2189" s="1209"/>
      <c r="J2189" s="1209"/>
      <c r="K2189" s="1210">
        <f t="shared" si="294"/>
        <v>1.05</v>
      </c>
      <c r="L2189" s="1210">
        <f t="shared" si="291"/>
        <v>0</v>
      </c>
      <c r="M2189" s="1197">
        <f t="shared" si="292"/>
        <v>0</v>
      </c>
      <c r="N2189" s="1211">
        <f t="shared" si="293"/>
        <v>0</v>
      </c>
      <c r="O2189" s="1212"/>
      <c r="P2189" s="1200"/>
      <c r="Q2189" s="1200"/>
    </row>
    <row r="2190" spans="1:17" ht="15" thickTop="1" thickBot="1" x14ac:dyDescent="0.3">
      <c r="A2190" s="1207"/>
      <c r="B2190" s="1212"/>
      <c r="C2190" s="1212"/>
      <c r="D2190" s="1212"/>
      <c r="E2190" s="1212"/>
      <c r="F2190" s="1208"/>
      <c r="G2190" s="1208"/>
      <c r="H2190" s="1208"/>
      <c r="I2190" s="1209"/>
      <c r="J2190" s="1209"/>
      <c r="K2190" s="1210">
        <f t="shared" si="294"/>
        <v>1.05</v>
      </c>
      <c r="L2190" s="1210">
        <f t="shared" si="291"/>
        <v>0</v>
      </c>
      <c r="M2190" s="1197">
        <f t="shared" si="292"/>
        <v>0</v>
      </c>
      <c r="N2190" s="1211">
        <f t="shared" si="293"/>
        <v>0</v>
      </c>
      <c r="O2190" s="1212"/>
      <c r="P2190" s="1200"/>
      <c r="Q2190" s="1200"/>
    </row>
    <row r="2191" spans="1:17" ht="15" thickTop="1" thickBot="1" x14ac:dyDescent="0.3">
      <c r="A2191" s="1207"/>
      <c r="B2191" s="1212"/>
      <c r="C2191" s="1212"/>
      <c r="D2191" s="1212"/>
      <c r="E2191" s="1212"/>
      <c r="F2191" s="1208"/>
      <c r="G2191" s="1208"/>
      <c r="H2191" s="1208"/>
      <c r="I2191" s="1209"/>
      <c r="J2191" s="1209"/>
      <c r="K2191" s="1210">
        <f t="shared" si="294"/>
        <v>1.05</v>
      </c>
      <c r="L2191" s="1210">
        <f t="shared" si="291"/>
        <v>0</v>
      </c>
      <c r="M2191" s="1197">
        <f t="shared" si="292"/>
        <v>0</v>
      </c>
      <c r="N2191" s="1211">
        <f t="shared" si="293"/>
        <v>0</v>
      </c>
      <c r="O2191" s="1212"/>
      <c r="P2191" s="1200"/>
      <c r="Q2191" s="1200"/>
    </row>
    <row r="2192" spans="1:17" ht="15" thickTop="1" thickBot="1" x14ac:dyDescent="0.3">
      <c r="A2192" s="1207"/>
      <c r="B2192" s="1212"/>
      <c r="C2192" s="1212"/>
      <c r="D2192" s="1212"/>
      <c r="E2192" s="1212"/>
      <c r="F2192" s="1208"/>
      <c r="G2192" s="1208"/>
      <c r="H2192" s="1208"/>
      <c r="I2192" s="1209"/>
      <c r="J2192" s="1209"/>
      <c r="K2192" s="1210">
        <f t="shared" si="294"/>
        <v>1.05</v>
      </c>
      <c r="L2192" s="1210">
        <f t="shared" si="291"/>
        <v>0</v>
      </c>
      <c r="M2192" s="1197">
        <f t="shared" si="292"/>
        <v>0</v>
      </c>
      <c r="N2192" s="1211">
        <f t="shared" si="293"/>
        <v>0</v>
      </c>
      <c r="O2192" s="1212"/>
      <c r="P2192" s="1200"/>
      <c r="Q2192" s="1200"/>
    </row>
    <row r="2193" spans="1:17" ht="15" thickTop="1" thickBot="1" x14ac:dyDescent="0.3">
      <c r="A2193" s="1207"/>
      <c r="B2193" s="1212"/>
      <c r="C2193" s="1212"/>
      <c r="D2193" s="1212"/>
      <c r="E2193" s="1212"/>
      <c r="F2193" s="1208"/>
      <c r="G2193" s="1208"/>
      <c r="H2193" s="1208"/>
      <c r="I2193" s="1209"/>
      <c r="J2193" s="1209"/>
      <c r="K2193" s="1210">
        <f t="shared" si="294"/>
        <v>1.05</v>
      </c>
      <c r="L2193" s="1210">
        <f t="shared" si="291"/>
        <v>0</v>
      </c>
      <c r="M2193" s="1197">
        <f t="shared" si="292"/>
        <v>0</v>
      </c>
      <c r="N2193" s="1211">
        <f t="shared" si="293"/>
        <v>0</v>
      </c>
      <c r="O2193" s="1212"/>
      <c r="P2193" s="1200"/>
      <c r="Q2193" s="1200"/>
    </row>
    <row r="2194" spans="1:17" ht="15" thickTop="1" thickBot="1" x14ac:dyDescent="0.3">
      <c r="A2194" s="1207"/>
      <c r="B2194" s="1212"/>
      <c r="C2194" s="1212"/>
      <c r="D2194" s="1212"/>
      <c r="E2194" s="1212"/>
      <c r="F2194" s="1208"/>
      <c r="G2194" s="1208"/>
      <c r="H2194" s="1208"/>
      <c r="I2194" s="1209"/>
      <c r="J2194" s="1209"/>
      <c r="K2194" s="1210">
        <f t="shared" si="294"/>
        <v>1.05</v>
      </c>
      <c r="L2194" s="1210">
        <f t="shared" si="291"/>
        <v>0</v>
      </c>
      <c r="M2194" s="1197">
        <f t="shared" si="292"/>
        <v>0</v>
      </c>
      <c r="N2194" s="1211">
        <f t="shared" si="293"/>
        <v>0</v>
      </c>
      <c r="O2194" s="1212"/>
      <c r="P2194" s="1200"/>
      <c r="Q2194" s="1200"/>
    </row>
    <row r="2195" spans="1:17" ht="15" thickTop="1" thickBot="1" x14ac:dyDescent="0.3">
      <c r="A2195" s="1207"/>
      <c r="B2195" s="1212"/>
      <c r="C2195" s="1212"/>
      <c r="D2195" s="1212"/>
      <c r="E2195" s="1212"/>
      <c r="F2195" s="1208"/>
      <c r="G2195" s="1208"/>
      <c r="H2195" s="1208"/>
      <c r="I2195" s="1209"/>
      <c r="J2195" s="1209"/>
      <c r="K2195" s="1210">
        <f t="shared" si="294"/>
        <v>1.05</v>
      </c>
      <c r="L2195" s="1210">
        <f t="shared" si="291"/>
        <v>0</v>
      </c>
      <c r="M2195" s="1197">
        <f t="shared" si="292"/>
        <v>0</v>
      </c>
      <c r="N2195" s="1211">
        <f t="shared" si="293"/>
        <v>0</v>
      </c>
      <c r="O2195" s="1212"/>
      <c r="P2195" s="1200"/>
      <c r="Q2195" s="1200"/>
    </row>
    <row r="2196" spans="1:17" ht="15" thickTop="1" thickBot="1" x14ac:dyDescent="0.3">
      <c r="A2196" s="1207"/>
      <c r="B2196" s="1212"/>
      <c r="C2196" s="1212"/>
      <c r="D2196" s="1212"/>
      <c r="E2196" s="1212"/>
      <c r="F2196" s="1208"/>
      <c r="G2196" s="1208"/>
      <c r="H2196" s="1208"/>
      <c r="I2196" s="1209"/>
      <c r="J2196" s="1209"/>
      <c r="K2196" s="1210">
        <f t="shared" si="294"/>
        <v>1.05</v>
      </c>
      <c r="L2196" s="1210">
        <f t="shared" si="291"/>
        <v>0</v>
      </c>
      <c r="M2196" s="1197">
        <f t="shared" si="292"/>
        <v>0</v>
      </c>
      <c r="N2196" s="1211">
        <f t="shared" si="293"/>
        <v>0</v>
      </c>
      <c r="O2196" s="1212"/>
      <c r="P2196" s="1200"/>
      <c r="Q2196" s="1200"/>
    </row>
    <row r="2197" spans="1:17" ht="15" thickTop="1" thickBot="1" x14ac:dyDescent="0.3">
      <c r="A2197" s="1207"/>
      <c r="B2197" s="1212"/>
      <c r="C2197" s="1212"/>
      <c r="D2197" s="1212"/>
      <c r="E2197" s="1212"/>
      <c r="F2197" s="1208"/>
      <c r="G2197" s="1208"/>
      <c r="H2197" s="1208"/>
      <c r="I2197" s="1209"/>
      <c r="J2197" s="1209"/>
      <c r="K2197" s="1210">
        <f t="shared" si="294"/>
        <v>1.05</v>
      </c>
      <c r="L2197" s="1210">
        <f t="shared" si="291"/>
        <v>0</v>
      </c>
      <c r="M2197" s="1197">
        <f t="shared" si="292"/>
        <v>0</v>
      </c>
      <c r="N2197" s="1211">
        <f t="shared" si="293"/>
        <v>0</v>
      </c>
      <c r="O2197" s="1212"/>
      <c r="P2197" s="1200"/>
      <c r="Q2197" s="1200"/>
    </row>
    <row r="2198" spans="1:17" ht="15" thickTop="1" thickBot="1" x14ac:dyDescent="0.3">
      <c r="A2198" s="1207"/>
      <c r="B2198" s="1212"/>
      <c r="C2198" s="1212"/>
      <c r="D2198" s="1212"/>
      <c r="E2198" s="1212"/>
      <c r="F2198" s="1208"/>
      <c r="G2198" s="1208"/>
      <c r="H2198" s="1208"/>
      <c r="I2198" s="1209"/>
      <c r="J2198" s="1209"/>
      <c r="K2198" s="1210">
        <f t="shared" si="294"/>
        <v>1.05</v>
      </c>
      <c r="L2198" s="1210">
        <f t="shared" si="291"/>
        <v>0</v>
      </c>
      <c r="M2198" s="1197">
        <f t="shared" si="292"/>
        <v>0</v>
      </c>
      <c r="N2198" s="1211">
        <f t="shared" si="293"/>
        <v>0</v>
      </c>
      <c r="O2198" s="1212"/>
      <c r="P2198" s="1200"/>
      <c r="Q2198" s="1200"/>
    </row>
    <row r="2199" spans="1:17" ht="15" thickTop="1" thickBot="1" x14ac:dyDescent="0.3">
      <c r="A2199" s="1207"/>
      <c r="B2199" s="1212"/>
      <c r="C2199" s="1212"/>
      <c r="D2199" s="1212"/>
      <c r="E2199" s="1212"/>
      <c r="F2199" s="1208"/>
      <c r="G2199" s="1208"/>
      <c r="H2199" s="1208"/>
      <c r="I2199" s="1209"/>
      <c r="J2199" s="1209"/>
      <c r="K2199" s="1210">
        <f t="shared" si="294"/>
        <v>1.05</v>
      </c>
      <c r="L2199" s="1210">
        <f t="shared" si="291"/>
        <v>0</v>
      </c>
      <c r="M2199" s="1197">
        <f t="shared" si="292"/>
        <v>0</v>
      </c>
      <c r="N2199" s="1211">
        <f t="shared" si="293"/>
        <v>0</v>
      </c>
      <c r="O2199" s="1212"/>
      <c r="P2199" s="1200"/>
      <c r="Q2199" s="1200"/>
    </row>
    <row r="2200" spans="1:17" ht="15" thickTop="1" thickBot="1" x14ac:dyDescent="0.3">
      <c r="A2200" s="1207"/>
      <c r="B2200" s="1212"/>
      <c r="C2200" s="1212"/>
      <c r="D2200" s="1212"/>
      <c r="E2200" s="1212"/>
      <c r="F2200" s="1208"/>
      <c r="G2200" s="1208"/>
      <c r="H2200" s="1208"/>
      <c r="I2200" s="1209"/>
      <c r="J2200" s="1209"/>
      <c r="K2200" s="1210">
        <f t="shared" si="294"/>
        <v>1.05</v>
      </c>
      <c r="L2200" s="1210">
        <f t="shared" si="291"/>
        <v>0</v>
      </c>
      <c r="M2200" s="1197">
        <f t="shared" si="292"/>
        <v>0</v>
      </c>
      <c r="N2200" s="1211">
        <f t="shared" si="293"/>
        <v>0</v>
      </c>
      <c r="O2200" s="1212"/>
      <c r="P2200" s="1200"/>
      <c r="Q2200" s="1200"/>
    </row>
    <row r="2201" spans="1:17" ht="15" thickTop="1" thickBot="1" x14ac:dyDescent="0.3">
      <c r="A2201" s="1207"/>
      <c r="B2201" s="1212"/>
      <c r="C2201" s="1212"/>
      <c r="D2201" s="1212"/>
      <c r="E2201" s="1212"/>
      <c r="F2201" s="1208"/>
      <c r="G2201" s="1208"/>
      <c r="H2201" s="1208"/>
      <c r="I2201" s="1209"/>
      <c r="J2201" s="1209"/>
      <c r="K2201" s="1210">
        <f t="shared" si="294"/>
        <v>1.05</v>
      </c>
      <c r="L2201" s="1210">
        <f t="shared" si="291"/>
        <v>0</v>
      </c>
      <c r="M2201" s="1197">
        <f t="shared" si="292"/>
        <v>0</v>
      </c>
      <c r="N2201" s="1211">
        <f t="shared" si="293"/>
        <v>0</v>
      </c>
      <c r="O2201" s="1212"/>
      <c r="P2201" s="1200"/>
      <c r="Q2201" s="1200"/>
    </row>
    <row r="2202" spans="1:17" ht="15" thickTop="1" thickBot="1" x14ac:dyDescent="0.3">
      <c r="A2202" s="1207"/>
      <c r="B2202" s="1212"/>
      <c r="C2202" s="1212"/>
      <c r="D2202" s="1212"/>
      <c r="E2202" s="1212"/>
      <c r="F2202" s="1208"/>
      <c r="G2202" s="1208"/>
      <c r="H2202" s="1208"/>
      <c r="I2202" s="1209"/>
      <c r="J2202" s="1209"/>
      <c r="K2202" s="1210">
        <f t="shared" si="294"/>
        <v>1.05</v>
      </c>
      <c r="L2202" s="1210">
        <f t="shared" si="291"/>
        <v>0</v>
      </c>
      <c r="M2202" s="1197">
        <f t="shared" si="292"/>
        <v>0</v>
      </c>
      <c r="N2202" s="1211">
        <f t="shared" si="293"/>
        <v>0</v>
      </c>
      <c r="O2202" s="1212"/>
      <c r="P2202" s="1200"/>
      <c r="Q2202" s="1200"/>
    </row>
    <row r="2203" spans="1:17" ht="15" thickTop="1" thickBot="1" x14ac:dyDescent="0.3">
      <c r="A2203" s="1207"/>
      <c r="B2203" s="1212"/>
      <c r="C2203" s="1212"/>
      <c r="D2203" s="1212"/>
      <c r="E2203" s="1212"/>
      <c r="F2203" s="1208"/>
      <c r="G2203" s="1208"/>
      <c r="H2203" s="1208"/>
      <c r="I2203" s="1209"/>
      <c r="J2203" s="1209"/>
      <c r="K2203" s="1210">
        <f t="shared" si="294"/>
        <v>1.05</v>
      </c>
      <c r="L2203" s="1210">
        <f t="shared" si="291"/>
        <v>0</v>
      </c>
      <c r="M2203" s="1197">
        <f t="shared" si="292"/>
        <v>0</v>
      </c>
      <c r="N2203" s="1211">
        <f t="shared" si="293"/>
        <v>0</v>
      </c>
      <c r="O2203" s="1212"/>
      <c r="P2203" s="1200"/>
      <c r="Q2203" s="1200"/>
    </row>
    <row r="2204" spans="1:17" ht="15" thickTop="1" thickBot="1" x14ac:dyDescent="0.3">
      <c r="A2204" s="1207"/>
      <c r="B2204" s="1212"/>
      <c r="C2204" s="1212"/>
      <c r="D2204" s="1212"/>
      <c r="E2204" s="1212"/>
      <c r="F2204" s="1208"/>
      <c r="G2204" s="1208"/>
      <c r="H2204" s="1208"/>
      <c r="I2204" s="1209"/>
      <c r="J2204" s="1209"/>
      <c r="K2204" s="1210">
        <f t="shared" si="294"/>
        <v>1.05</v>
      </c>
      <c r="L2204" s="1210">
        <f t="shared" si="291"/>
        <v>0</v>
      </c>
      <c r="M2204" s="1197">
        <f t="shared" si="292"/>
        <v>0</v>
      </c>
      <c r="N2204" s="1211">
        <f t="shared" si="293"/>
        <v>0</v>
      </c>
      <c r="O2204" s="1212"/>
      <c r="P2204" s="1200"/>
      <c r="Q2204" s="1200"/>
    </row>
    <row r="2205" spans="1:17" ht="15" thickTop="1" thickBot="1" x14ac:dyDescent="0.3">
      <c r="A2205" s="1207"/>
      <c r="B2205" s="1212"/>
      <c r="C2205" s="1212"/>
      <c r="D2205" s="1212"/>
      <c r="E2205" s="1212"/>
      <c r="F2205" s="1208"/>
      <c r="G2205" s="1208"/>
      <c r="H2205" s="1208"/>
      <c r="I2205" s="1209"/>
      <c r="J2205" s="1209"/>
      <c r="K2205" s="1210">
        <f t="shared" si="294"/>
        <v>1.05</v>
      </c>
      <c r="L2205" s="1210">
        <f t="shared" si="291"/>
        <v>0</v>
      </c>
      <c r="M2205" s="1197">
        <f t="shared" si="292"/>
        <v>0</v>
      </c>
      <c r="N2205" s="1211">
        <f t="shared" si="293"/>
        <v>0</v>
      </c>
      <c r="O2205" s="1212"/>
      <c r="P2205" s="1200"/>
      <c r="Q2205" s="1200"/>
    </row>
    <row r="2206" spans="1:17" ht="15" thickTop="1" thickBot="1" x14ac:dyDescent="0.3">
      <c r="A2206" s="1207"/>
      <c r="B2206" s="1212"/>
      <c r="C2206" s="1212"/>
      <c r="D2206" s="1212"/>
      <c r="E2206" s="1212"/>
      <c r="F2206" s="1208"/>
      <c r="G2206" s="1208"/>
      <c r="H2206" s="1208"/>
      <c r="I2206" s="1209"/>
      <c r="J2206" s="1209"/>
      <c r="K2206" s="1210">
        <f t="shared" si="294"/>
        <v>1.05</v>
      </c>
      <c r="L2206" s="1210">
        <f t="shared" si="291"/>
        <v>0</v>
      </c>
      <c r="M2206" s="1197">
        <f t="shared" si="292"/>
        <v>0</v>
      </c>
      <c r="N2206" s="1211">
        <f t="shared" si="293"/>
        <v>0</v>
      </c>
      <c r="O2206" s="1212"/>
      <c r="P2206" s="1200"/>
      <c r="Q2206" s="1200"/>
    </row>
    <row r="2207" spans="1:17" ht="15" thickTop="1" thickBot="1" x14ac:dyDescent="0.3">
      <c r="A2207" s="1207"/>
      <c r="B2207" s="1212"/>
      <c r="C2207" s="1212"/>
      <c r="D2207" s="1212"/>
      <c r="E2207" s="1212"/>
      <c r="F2207" s="1208"/>
      <c r="G2207" s="1208"/>
      <c r="H2207" s="1208"/>
      <c r="I2207" s="1209"/>
      <c r="J2207" s="1209"/>
      <c r="K2207" s="1210">
        <f t="shared" si="294"/>
        <v>1.05</v>
      </c>
      <c r="L2207" s="1210">
        <f t="shared" si="291"/>
        <v>0</v>
      </c>
      <c r="M2207" s="1197">
        <f t="shared" si="292"/>
        <v>0</v>
      </c>
      <c r="N2207" s="1211">
        <f t="shared" si="293"/>
        <v>0</v>
      </c>
      <c r="O2207" s="1212"/>
      <c r="P2207" s="1200"/>
      <c r="Q2207" s="1200"/>
    </row>
    <row r="2208" spans="1:17" ht="15" thickTop="1" thickBot="1" x14ac:dyDescent="0.3">
      <c r="A2208" s="1207"/>
      <c r="B2208" s="1212"/>
      <c r="C2208" s="1212"/>
      <c r="D2208" s="1212"/>
      <c r="E2208" s="1212"/>
      <c r="F2208" s="1208"/>
      <c r="G2208" s="1208"/>
      <c r="H2208" s="1208"/>
      <c r="I2208" s="1209"/>
      <c r="J2208" s="1209"/>
      <c r="K2208" s="1210">
        <f t="shared" si="294"/>
        <v>1.05</v>
      </c>
      <c r="L2208" s="1210">
        <f t="shared" si="291"/>
        <v>0</v>
      </c>
      <c r="M2208" s="1197">
        <f t="shared" si="292"/>
        <v>0</v>
      </c>
      <c r="N2208" s="1211">
        <f t="shared" si="293"/>
        <v>0</v>
      </c>
      <c r="O2208" s="1212"/>
      <c r="P2208" s="1200"/>
      <c r="Q2208" s="1200"/>
    </row>
    <row r="2209" spans="1:17" ht="15" thickTop="1" thickBot="1" x14ac:dyDescent="0.3">
      <c r="A2209" s="1207"/>
      <c r="B2209" s="1212"/>
      <c r="C2209" s="1212"/>
      <c r="D2209" s="1212"/>
      <c r="E2209" s="1212"/>
      <c r="F2209" s="1208"/>
      <c r="G2209" s="1208"/>
      <c r="H2209" s="1208"/>
      <c r="I2209" s="1209"/>
      <c r="J2209" s="1209"/>
      <c r="K2209" s="1210">
        <f t="shared" si="294"/>
        <v>1.05</v>
      </c>
      <c r="L2209" s="1210">
        <f t="shared" si="291"/>
        <v>0</v>
      </c>
      <c r="M2209" s="1197">
        <f t="shared" si="292"/>
        <v>0</v>
      </c>
      <c r="N2209" s="1211">
        <f t="shared" si="293"/>
        <v>0</v>
      </c>
      <c r="O2209" s="1212"/>
      <c r="P2209" s="1200"/>
      <c r="Q2209" s="1200"/>
    </row>
    <row r="2210" spans="1:17" ht="15" thickTop="1" thickBot="1" x14ac:dyDescent="0.3">
      <c r="A2210" s="1207"/>
      <c r="B2210" s="1212"/>
      <c r="C2210" s="1212"/>
      <c r="D2210" s="1212"/>
      <c r="E2210" s="1212"/>
      <c r="F2210" s="1208"/>
      <c r="G2210" s="1208"/>
      <c r="H2210" s="1208"/>
      <c r="I2210" s="1209"/>
      <c r="J2210" s="1209"/>
      <c r="K2210" s="1210">
        <f t="shared" si="294"/>
        <v>1.05</v>
      </c>
      <c r="L2210" s="1210">
        <f t="shared" si="291"/>
        <v>0</v>
      </c>
      <c r="M2210" s="1197">
        <f t="shared" si="292"/>
        <v>0</v>
      </c>
      <c r="N2210" s="1211">
        <f t="shared" si="293"/>
        <v>0</v>
      </c>
      <c r="O2210" s="1212"/>
      <c r="P2210" s="1200"/>
      <c r="Q2210" s="1200"/>
    </row>
    <row r="2211" spans="1:17" ht="15" thickTop="1" thickBot="1" x14ac:dyDescent="0.3">
      <c r="A2211" s="1207"/>
      <c r="B2211" s="1212"/>
      <c r="C2211" s="1212"/>
      <c r="D2211" s="1212"/>
      <c r="E2211" s="1212"/>
      <c r="F2211" s="1208"/>
      <c r="G2211" s="1208"/>
      <c r="H2211" s="1208"/>
      <c r="I2211" s="1209"/>
      <c r="J2211" s="1209"/>
      <c r="K2211" s="1210">
        <f t="shared" si="294"/>
        <v>1.05</v>
      </c>
      <c r="L2211" s="1210">
        <f t="shared" si="291"/>
        <v>0</v>
      </c>
      <c r="M2211" s="1197">
        <f t="shared" si="292"/>
        <v>0</v>
      </c>
      <c r="N2211" s="1211">
        <f t="shared" si="293"/>
        <v>0</v>
      </c>
      <c r="O2211" s="1212"/>
      <c r="P2211" s="1200"/>
      <c r="Q2211" s="1200"/>
    </row>
    <row r="2212" spans="1:17" ht="15" thickTop="1" thickBot="1" x14ac:dyDescent="0.3">
      <c r="A2212" s="1207"/>
      <c r="B2212" s="1212"/>
      <c r="C2212" s="1212"/>
      <c r="D2212" s="1212"/>
      <c r="E2212" s="1212"/>
      <c r="F2212" s="1208"/>
      <c r="G2212" s="1208"/>
      <c r="H2212" s="1208"/>
      <c r="I2212" s="1209"/>
      <c r="J2212" s="1209"/>
      <c r="K2212" s="1210">
        <f t="shared" si="294"/>
        <v>1.05</v>
      </c>
      <c r="L2212" s="1210">
        <f t="shared" si="291"/>
        <v>0</v>
      </c>
      <c r="M2212" s="1197">
        <f t="shared" si="292"/>
        <v>0</v>
      </c>
      <c r="N2212" s="1211">
        <f t="shared" si="293"/>
        <v>0</v>
      </c>
      <c r="O2212" s="1212"/>
      <c r="P2212" s="1200"/>
      <c r="Q2212" s="1200"/>
    </row>
    <row r="2213" spans="1:17" ht="15" thickTop="1" thickBot="1" x14ac:dyDescent="0.3">
      <c r="A2213" s="1207"/>
      <c r="B2213" s="1212"/>
      <c r="C2213" s="1212"/>
      <c r="D2213" s="1212"/>
      <c r="E2213" s="1212"/>
      <c r="F2213" s="1208"/>
      <c r="G2213" s="1208"/>
      <c r="H2213" s="1208"/>
      <c r="I2213" s="1209"/>
      <c r="J2213" s="1209"/>
      <c r="K2213" s="1210">
        <f t="shared" si="294"/>
        <v>1.05</v>
      </c>
      <c r="L2213" s="1210">
        <f t="shared" si="291"/>
        <v>0</v>
      </c>
      <c r="M2213" s="1197">
        <f t="shared" si="292"/>
        <v>0</v>
      </c>
      <c r="N2213" s="1211">
        <f t="shared" si="293"/>
        <v>0</v>
      </c>
      <c r="O2213" s="1212"/>
      <c r="P2213" s="1200"/>
      <c r="Q2213" s="1200"/>
    </row>
    <row r="2214" spans="1:17" ht="15" thickTop="1" thickBot="1" x14ac:dyDescent="0.3">
      <c r="A2214" s="1207"/>
      <c r="B2214" s="1212"/>
      <c r="C2214" s="1212"/>
      <c r="D2214" s="1212"/>
      <c r="E2214" s="1212"/>
      <c r="F2214" s="1208"/>
      <c r="G2214" s="1208"/>
      <c r="H2214" s="1208"/>
      <c r="I2214" s="1209"/>
      <c r="J2214" s="1209"/>
      <c r="K2214" s="1210">
        <f t="shared" si="294"/>
        <v>1.05</v>
      </c>
      <c r="L2214" s="1210">
        <f t="shared" si="291"/>
        <v>0</v>
      </c>
      <c r="M2214" s="1197">
        <f t="shared" si="292"/>
        <v>0</v>
      </c>
      <c r="N2214" s="1211">
        <f t="shared" si="293"/>
        <v>0</v>
      </c>
      <c r="O2214" s="1212"/>
      <c r="P2214" s="1200"/>
      <c r="Q2214" s="1200"/>
    </row>
    <row r="2215" spans="1:17" ht="15" thickTop="1" thickBot="1" x14ac:dyDescent="0.3">
      <c r="A2215" s="1207"/>
      <c r="B2215" s="1212"/>
      <c r="C2215" s="1212"/>
      <c r="D2215" s="1212"/>
      <c r="E2215" s="1212"/>
      <c r="F2215" s="1208"/>
      <c r="G2215" s="1208"/>
      <c r="H2215" s="1208"/>
      <c r="I2215" s="1209"/>
      <c r="J2215" s="1209"/>
      <c r="K2215" s="1210">
        <f t="shared" si="294"/>
        <v>1.05</v>
      </c>
      <c r="L2215" s="1210">
        <f t="shared" si="291"/>
        <v>0</v>
      </c>
      <c r="M2215" s="1197">
        <f t="shared" si="292"/>
        <v>0</v>
      </c>
      <c r="N2215" s="1211">
        <f t="shared" si="293"/>
        <v>0</v>
      </c>
      <c r="O2215" s="1212"/>
      <c r="P2215" s="1200"/>
      <c r="Q2215" s="1200"/>
    </row>
    <row r="2216" spans="1:17" ht="15" thickTop="1" thickBot="1" x14ac:dyDescent="0.3">
      <c r="A2216" s="1207"/>
      <c r="B2216" s="1212"/>
      <c r="C2216" s="1212"/>
      <c r="D2216" s="1212"/>
      <c r="E2216" s="1212"/>
      <c r="F2216" s="1208"/>
      <c r="G2216" s="1208"/>
      <c r="H2216" s="1208"/>
      <c r="I2216" s="1209"/>
      <c r="J2216" s="1209"/>
      <c r="K2216" s="1210">
        <f t="shared" si="294"/>
        <v>1.05</v>
      </c>
      <c r="L2216" s="1210">
        <f t="shared" si="291"/>
        <v>0</v>
      </c>
      <c r="M2216" s="1197">
        <f t="shared" si="292"/>
        <v>0</v>
      </c>
      <c r="N2216" s="1211">
        <f t="shared" si="293"/>
        <v>0</v>
      </c>
      <c r="O2216" s="1212"/>
      <c r="P2216" s="1200"/>
      <c r="Q2216" s="1200"/>
    </row>
    <row r="2217" spans="1:17" ht="15" thickTop="1" thickBot="1" x14ac:dyDescent="0.3">
      <c r="A2217" s="1207"/>
      <c r="B2217" s="1212"/>
      <c r="C2217" s="1212"/>
      <c r="D2217" s="1212"/>
      <c r="E2217" s="1212"/>
      <c r="F2217" s="1208"/>
      <c r="G2217" s="1208"/>
      <c r="H2217" s="1208"/>
      <c r="I2217" s="1209"/>
      <c r="J2217" s="1209"/>
      <c r="K2217" s="1210">
        <f t="shared" si="294"/>
        <v>1.05</v>
      </c>
      <c r="L2217" s="1210">
        <f t="shared" si="291"/>
        <v>0</v>
      </c>
      <c r="M2217" s="1197">
        <f t="shared" si="292"/>
        <v>0</v>
      </c>
      <c r="N2217" s="1211">
        <f t="shared" si="293"/>
        <v>0</v>
      </c>
      <c r="O2217" s="1212"/>
      <c r="P2217" s="1200"/>
      <c r="Q2217" s="1200"/>
    </row>
    <row r="2218" spans="1:17" ht="15" thickTop="1" thickBot="1" x14ac:dyDescent="0.3">
      <c r="A2218" s="1207"/>
      <c r="B2218" s="1212"/>
      <c r="C2218" s="1212"/>
      <c r="D2218" s="1212"/>
      <c r="E2218" s="1212"/>
      <c r="F2218" s="1208"/>
      <c r="G2218" s="1208"/>
      <c r="H2218" s="1208"/>
      <c r="I2218" s="1209"/>
      <c r="J2218" s="1209"/>
      <c r="K2218" s="1210">
        <f t="shared" si="294"/>
        <v>1.05</v>
      </c>
      <c r="L2218" s="1210">
        <f t="shared" ref="L2218:L2221" si="295">K2218*J2218</f>
        <v>0</v>
      </c>
      <c r="M2218" s="1197">
        <f t="shared" ref="M2218:M2221" si="296">ROUND(L2218,1)</f>
        <v>0</v>
      </c>
      <c r="N2218" s="1211">
        <f t="shared" ref="N2218:N2221" si="297">ROUNDUP(M2218,0)</f>
        <v>0</v>
      </c>
      <c r="O2218" s="1212"/>
      <c r="P2218" s="1200"/>
      <c r="Q2218" s="1200"/>
    </row>
    <row r="2219" spans="1:17" ht="15" thickTop="1" thickBot="1" x14ac:dyDescent="0.3">
      <c r="A2219" s="1207"/>
      <c r="B2219" s="1212"/>
      <c r="C2219" s="1212"/>
      <c r="D2219" s="1212"/>
      <c r="E2219" s="1212"/>
      <c r="F2219" s="1208"/>
      <c r="G2219" s="1208"/>
      <c r="H2219" s="1208"/>
      <c r="I2219" s="1209"/>
      <c r="J2219" s="1209"/>
      <c r="K2219" s="1210">
        <f t="shared" si="294"/>
        <v>1.05</v>
      </c>
      <c r="L2219" s="1210">
        <f t="shared" si="295"/>
        <v>0</v>
      </c>
      <c r="M2219" s="1197">
        <f t="shared" si="296"/>
        <v>0</v>
      </c>
      <c r="N2219" s="1211">
        <f t="shared" si="297"/>
        <v>0</v>
      </c>
      <c r="O2219" s="1212"/>
      <c r="P2219" s="1200"/>
      <c r="Q2219" s="1200"/>
    </row>
    <row r="2220" spans="1:17" ht="15" thickTop="1" thickBot="1" x14ac:dyDescent="0.3">
      <c r="A2220" s="1207"/>
      <c r="B2220" s="1212"/>
      <c r="C2220" s="1212"/>
      <c r="D2220" s="1212"/>
      <c r="E2220" s="1212"/>
      <c r="F2220" s="1208"/>
      <c r="G2220" s="1208"/>
      <c r="H2220" s="1208"/>
      <c r="I2220" s="1209"/>
      <c r="J2220" s="1209"/>
      <c r="K2220" s="1210">
        <f t="shared" si="294"/>
        <v>1.05</v>
      </c>
      <c r="L2220" s="1210">
        <f t="shared" si="295"/>
        <v>0</v>
      </c>
      <c r="M2220" s="1197">
        <f t="shared" si="296"/>
        <v>0</v>
      </c>
      <c r="N2220" s="1211">
        <f t="shared" si="297"/>
        <v>0</v>
      </c>
      <c r="O2220" s="1212"/>
      <c r="P2220" s="1200"/>
      <c r="Q2220" s="1200"/>
    </row>
    <row r="2221" spans="1:17" ht="15" thickTop="1" thickBot="1" x14ac:dyDescent="0.3">
      <c r="A2221" s="1207"/>
      <c r="B2221" s="1212"/>
      <c r="C2221" s="1212"/>
      <c r="D2221" s="1212"/>
      <c r="E2221" s="1212"/>
      <c r="F2221" s="1208"/>
      <c r="G2221" s="1208"/>
      <c r="H2221" s="1208"/>
      <c r="I2221" s="1209"/>
      <c r="J2221" s="1209"/>
      <c r="K2221" s="1210">
        <f t="shared" si="294"/>
        <v>1.05</v>
      </c>
      <c r="L2221" s="1210">
        <f t="shared" si="295"/>
        <v>0</v>
      </c>
      <c r="M2221" s="1197">
        <f t="shared" si="296"/>
        <v>0</v>
      </c>
      <c r="N2221" s="1211">
        <f t="shared" si="297"/>
        <v>0</v>
      </c>
      <c r="O2221" s="1212"/>
      <c r="P2221" s="1200"/>
      <c r="Q2221" s="1200"/>
    </row>
    <row r="2222" spans="1:17" ht="15" thickTop="1" thickBot="1" x14ac:dyDescent="0.3">
      <c r="A2222" s="1207"/>
      <c r="B2222" s="1212"/>
      <c r="C2222" s="1212"/>
      <c r="D2222" s="1212"/>
      <c r="E2222" s="1212"/>
      <c r="F2222" s="1208"/>
      <c r="G2222" s="1208"/>
      <c r="H2222" s="1208"/>
      <c r="I2222" s="1209"/>
      <c r="J2222" s="1209"/>
      <c r="K2222" s="1210">
        <f t="shared" ref="K2222:K2226" si="298">$K$2</f>
        <v>1.05</v>
      </c>
      <c r="L2222" s="1210">
        <f t="shared" ref="L2222:L2226" si="299">K2222*J2222</f>
        <v>0</v>
      </c>
      <c r="M2222" s="1197">
        <f t="shared" ref="M2222:M2226" si="300">ROUND(L2222,1)</f>
        <v>0</v>
      </c>
      <c r="N2222" s="1211">
        <f t="shared" ref="N2222:N2226" si="301">ROUNDUP(M2222,0)</f>
        <v>0</v>
      </c>
      <c r="O2222" s="1212"/>
      <c r="P2222" s="1200"/>
      <c r="Q2222" s="1200"/>
    </row>
    <row r="2223" spans="1:17" ht="15" thickTop="1" thickBot="1" x14ac:dyDescent="0.3">
      <c r="A2223" s="1207"/>
      <c r="B2223" s="1212"/>
      <c r="C2223" s="1212"/>
      <c r="D2223" s="1212"/>
      <c r="E2223" s="1212"/>
      <c r="F2223" s="1208"/>
      <c r="G2223" s="1208"/>
      <c r="H2223" s="1208"/>
      <c r="I2223" s="1209"/>
      <c r="J2223" s="1209"/>
      <c r="K2223" s="1210">
        <f t="shared" si="298"/>
        <v>1.05</v>
      </c>
      <c r="L2223" s="1210">
        <f t="shared" si="299"/>
        <v>0</v>
      </c>
      <c r="M2223" s="1197">
        <f t="shared" si="300"/>
        <v>0</v>
      </c>
      <c r="N2223" s="1211">
        <f t="shared" si="301"/>
        <v>0</v>
      </c>
      <c r="O2223" s="1212"/>
      <c r="P2223" s="1200"/>
      <c r="Q2223" s="1200"/>
    </row>
    <row r="2224" spans="1:17" ht="15" thickTop="1" thickBot="1" x14ac:dyDescent="0.3">
      <c r="A2224" s="1207"/>
      <c r="B2224" s="1212"/>
      <c r="C2224" s="1212"/>
      <c r="D2224" s="1212"/>
      <c r="E2224" s="1212"/>
      <c r="F2224" s="1208"/>
      <c r="G2224" s="1208"/>
      <c r="H2224" s="1208"/>
      <c r="I2224" s="1209"/>
      <c r="J2224" s="1209"/>
      <c r="K2224" s="1210">
        <f t="shared" si="298"/>
        <v>1.05</v>
      </c>
      <c r="L2224" s="1210">
        <f t="shared" si="299"/>
        <v>0</v>
      </c>
      <c r="M2224" s="1197">
        <f t="shared" si="300"/>
        <v>0</v>
      </c>
      <c r="N2224" s="1211">
        <f t="shared" si="301"/>
        <v>0</v>
      </c>
      <c r="O2224" s="1212"/>
      <c r="P2224" s="1200"/>
      <c r="Q2224" s="1200"/>
    </row>
    <row r="2225" spans="1:17" ht="15" thickTop="1" thickBot="1" x14ac:dyDescent="0.3">
      <c r="A2225" s="1207"/>
      <c r="B2225" s="1212"/>
      <c r="C2225" s="1212"/>
      <c r="D2225" s="1212"/>
      <c r="E2225" s="1212"/>
      <c r="F2225" s="1208"/>
      <c r="G2225" s="1208"/>
      <c r="H2225" s="1208"/>
      <c r="I2225" s="1209"/>
      <c r="J2225" s="1209"/>
      <c r="K2225" s="1210">
        <f t="shared" si="298"/>
        <v>1.05</v>
      </c>
      <c r="L2225" s="1210">
        <f t="shared" si="299"/>
        <v>0</v>
      </c>
      <c r="M2225" s="1197">
        <f t="shared" si="300"/>
        <v>0</v>
      </c>
      <c r="N2225" s="1211">
        <f t="shared" si="301"/>
        <v>0</v>
      </c>
      <c r="O2225" s="1212"/>
      <c r="P2225" s="1200"/>
      <c r="Q2225" s="1200"/>
    </row>
    <row r="2226" spans="1:17" ht="15" thickTop="1" thickBot="1" x14ac:dyDescent="0.3">
      <c r="A2226" s="1207"/>
      <c r="B2226" s="1212"/>
      <c r="C2226" s="1212"/>
      <c r="D2226" s="1212"/>
      <c r="E2226" s="1212"/>
      <c r="F2226" s="1208"/>
      <c r="G2226" s="1208"/>
      <c r="H2226" s="1208"/>
      <c r="I2226" s="1209"/>
      <c r="J2226" s="1209"/>
      <c r="K2226" s="1210">
        <f t="shared" si="298"/>
        <v>1.05</v>
      </c>
      <c r="L2226" s="1210">
        <f t="shared" si="299"/>
        <v>0</v>
      </c>
      <c r="M2226" s="1197">
        <f t="shared" si="300"/>
        <v>0</v>
      </c>
      <c r="N2226" s="1211">
        <f t="shared" si="301"/>
        <v>0</v>
      </c>
      <c r="O2226" s="1212"/>
      <c r="P2226" s="1200"/>
      <c r="Q2226" s="1200"/>
    </row>
    <row r="2227" spans="1:17" ht="14.4" thickTop="1" x14ac:dyDescent="0.25"/>
  </sheetData>
  <mergeCells count="1">
    <mergeCell ref="C1:E1"/>
  </mergeCells>
  <pageMargins left="0.7" right="0.7" top="0.75" bottom="0.75" header="0.3" footer="0.3"/>
  <pageSetup orientation="portrait" r:id="rId1"/>
  <colBreaks count="1" manualBreakCount="1">
    <brk id="15"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626"/>
  <sheetViews>
    <sheetView topLeftCell="A118" workbookViewId="0">
      <selection activeCell="H125" sqref="H125"/>
    </sheetView>
  </sheetViews>
  <sheetFormatPr defaultColWidth="9.21875" defaultRowHeight="13.8" x14ac:dyDescent="0.25"/>
  <cols>
    <col min="1" max="1" width="8.21875" style="593" customWidth="1"/>
    <col min="2" max="2" width="64.21875" style="521" customWidth="1"/>
    <col min="3" max="3" width="10.77734375" style="594" customWidth="1"/>
    <col min="4" max="4" width="9" style="593" customWidth="1"/>
    <col min="5" max="5" width="12.77734375" style="595" bestFit="1" customWidth="1"/>
    <col min="6" max="6" width="15.77734375" style="594" bestFit="1" customWidth="1"/>
    <col min="7" max="7" width="9.21875" style="484"/>
    <col min="8" max="8" width="13.109375" style="485" bestFit="1" customWidth="1"/>
    <col min="9" max="9" width="10" style="484" bestFit="1" customWidth="1"/>
    <col min="10" max="10" width="11" style="484" bestFit="1" customWidth="1"/>
    <col min="11" max="11" width="10" style="484" bestFit="1" customWidth="1"/>
    <col min="12" max="16384" width="9.21875" style="484"/>
  </cols>
  <sheetData>
    <row r="1" spans="1:8" s="426" customFormat="1" x14ac:dyDescent="0.25">
      <c r="A1" s="2959" t="s">
        <v>126</v>
      </c>
      <c r="B1" s="2960"/>
      <c r="C1" s="2960"/>
      <c r="D1" s="2960"/>
      <c r="E1" s="2960"/>
      <c r="F1" s="2961"/>
      <c r="H1" s="427"/>
    </row>
    <row r="2" spans="1:8" s="426" customFormat="1" ht="14.4" thickBot="1" x14ac:dyDescent="0.3">
      <c r="A2" s="2962"/>
      <c r="B2" s="2963"/>
      <c r="C2" s="2963"/>
      <c r="D2" s="2963"/>
      <c r="E2" s="2963"/>
      <c r="F2" s="2964"/>
      <c r="H2" s="427"/>
    </row>
    <row r="3" spans="1:8" s="426" customFormat="1" ht="14.4" thickBot="1" x14ac:dyDescent="0.3">
      <c r="A3" s="428" t="s">
        <v>0</v>
      </c>
      <c r="B3" s="429" t="s">
        <v>1</v>
      </c>
      <c r="C3" s="430" t="s">
        <v>2</v>
      </c>
      <c r="D3" s="431" t="s">
        <v>3</v>
      </c>
      <c r="E3" s="432" t="s">
        <v>4</v>
      </c>
      <c r="F3" s="49" t="s">
        <v>5</v>
      </c>
      <c r="H3" s="427"/>
    </row>
    <row r="4" spans="1:8" s="426" customFormat="1" x14ac:dyDescent="0.25">
      <c r="A4" s="433"/>
      <c r="B4" s="434" t="s">
        <v>6</v>
      </c>
      <c r="C4" s="435"/>
      <c r="D4" s="436"/>
      <c r="E4" s="437"/>
      <c r="F4" s="438"/>
      <c r="H4" s="427"/>
    </row>
    <row r="5" spans="1:8" s="426" customFormat="1" x14ac:dyDescent="0.25">
      <c r="A5" s="439" t="s">
        <v>7</v>
      </c>
      <c r="B5" s="434" t="s">
        <v>8</v>
      </c>
      <c r="C5" s="435"/>
      <c r="D5" s="440"/>
      <c r="E5" s="441"/>
      <c r="F5" s="438"/>
      <c r="H5" s="427"/>
    </row>
    <row r="6" spans="1:8" s="426" customFormat="1" x14ac:dyDescent="0.25">
      <c r="A6" s="433"/>
      <c r="B6" s="442"/>
      <c r="C6" s="435"/>
      <c r="D6" s="440"/>
      <c r="E6" s="441"/>
      <c r="F6" s="438"/>
      <c r="H6" s="427"/>
    </row>
    <row r="7" spans="1:8" s="426" customFormat="1" x14ac:dyDescent="0.25">
      <c r="A7" s="443"/>
      <c r="B7" s="434" t="s">
        <v>9</v>
      </c>
      <c r="C7" s="59"/>
      <c r="D7" s="444"/>
      <c r="E7" s="445"/>
      <c r="F7" s="62"/>
      <c r="H7" s="427"/>
    </row>
    <row r="8" spans="1:8" s="426" customFormat="1" ht="55.2" x14ac:dyDescent="0.25">
      <c r="A8" s="443"/>
      <c r="B8" s="446" t="s">
        <v>10</v>
      </c>
      <c r="C8" s="59"/>
      <c r="D8" s="444"/>
      <c r="E8" s="445"/>
      <c r="F8" s="62"/>
      <c r="H8" s="427"/>
    </row>
    <row r="9" spans="1:8" s="426" customFormat="1" x14ac:dyDescent="0.25">
      <c r="A9" s="443"/>
      <c r="B9" s="446"/>
      <c r="C9" s="59"/>
      <c r="D9" s="444"/>
      <c r="E9" s="445"/>
      <c r="F9" s="62"/>
      <c r="H9" s="427"/>
    </row>
    <row r="10" spans="1:8" s="426" customFormat="1" x14ac:dyDescent="0.25">
      <c r="A10" s="443" t="s">
        <v>11</v>
      </c>
      <c r="B10" s="446" t="s">
        <v>12</v>
      </c>
      <c r="C10" s="64">
        <v>1</v>
      </c>
      <c r="D10" s="447" t="s">
        <v>13</v>
      </c>
      <c r="E10" s="445">
        <v>685000</v>
      </c>
      <c r="F10" s="62">
        <f>C10*E10</f>
        <v>685000</v>
      </c>
      <c r="H10" s="427"/>
    </row>
    <row r="11" spans="1:8" s="426" customFormat="1" x14ac:dyDescent="0.25">
      <c r="A11" s="443"/>
      <c r="B11" s="446"/>
      <c r="C11" s="59"/>
      <c r="D11" s="444"/>
      <c r="E11" s="445"/>
      <c r="F11" s="62"/>
      <c r="H11" s="427"/>
    </row>
    <row r="12" spans="1:8" s="426" customFormat="1" x14ac:dyDescent="0.25">
      <c r="A12" s="443" t="s">
        <v>14</v>
      </c>
      <c r="B12" s="446" t="s">
        <v>15</v>
      </c>
      <c r="C12" s="64">
        <v>1</v>
      </c>
      <c r="D12" s="447" t="s">
        <v>13</v>
      </c>
      <c r="E12" s="445">
        <v>20000</v>
      </c>
      <c r="F12" s="62">
        <f>C12*E12</f>
        <v>20000</v>
      </c>
      <c r="H12" s="427"/>
    </row>
    <row r="13" spans="1:8" s="426" customFormat="1" x14ac:dyDescent="0.25">
      <c r="A13" s="443"/>
      <c r="B13" s="446"/>
      <c r="C13" s="59"/>
      <c r="D13" s="444"/>
      <c r="E13" s="445"/>
      <c r="F13" s="62"/>
      <c r="H13" s="427"/>
    </row>
    <row r="14" spans="1:8" s="426" customFormat="1" ht="41.4" x14ac:dyDescent="0.25">
      <c r="A14" s="443" t="s">
        <v>16</v>
      </c>
      <c r="B14" s="446" t="s">
        <v>17</v>
      </c>
      <c r="C14" s="64">
        <v>1</v>
      </c>
      <c r="D14" s="447" t="s">
        <v>13</v>
      </c>
      <c r="E14" s="445">
        <v>810000</v>
      </c>
      <c r="F14" s="62">
        <f>C14*E14</f>
        <v>810000</v>
      </c>
      <c r="H14" s="427"/>
    </row>
    <row r="15" spans="1:8" s="426" customFormat="1" x14ac:dyDescent="0.25">
      <c r="A15" s="443"/>
      <c r="B15" s="446"/>
      <c r="C15" s="59"/>
      <c r="D15" s="444"/>
      <c r="E15" s="445"/>
      <c r="F15" s="62"/>
      <c r="H15" s="427"/>
    </row>
    <row r="16" spans="1:8" s="426" customFormat="1" ht="41.4" x14ac:dyDescent="0.25">
      <c r="A16" s="443" t="s">
        <v>18</v>
      </c>
      <c r="B16" s="446" t="s">
        <v>19</v>
      </c>
      <c r="C16" s="64">
        <v>1</v>
      </c>
      <c r="D16" s="447" t="s">
        <v>13</v>
      </c>
      <c r="E16" s="445">
        <v>30000</v>
      </c>
      <c r="F16" s="62">
        <f>C16*E16</f>
        <v>30000</v>
      </c>
      <c r="H16" s="427"/>
    </row>
    <row r="17" spans="1:8" s="426" customFormat="1" x14ac:dyDescent="0.25">
      <c r="A17" s="443"/>
      <c r="B17" s="446"/>
      <c r="C17" s="59"/>
      <c r="D17" s="444"/>
      <c r="E17" s="445"/>
      <c r="F17" s="62"/>
      <c r="H17" s="427"/>
    </row>
    <row r="18" spans="1:8" s="426" customFormat="1" ht="27.6" x14ac:dyDescent="0.25">
      <c r="A18" s="443" t="s">
        <v>20</v>
      </c>
      <c r="B18" s="446" t="s">
        <v>397</v>
      </c>
      <c r="C18" s="64">
        <v>1</v>
      </c>
      <c r="D18" s="447" t="s">
        <v>13</v>
      </c>
      <c r="E18" s="445">
        <v>160000</v>
      </c>
      <c r="F18" s="62">
        <f>C18*E18</f>
        <v>160000</v>
      </c>
      <c r="H18" s="427"/>
    </row>
    <row r="19" spans="1:8" s="426" customFormat="1" x14ac:dyDescent="0.25">
      <c r="A19" s="443"/>
      <c r="B19" s="446"/>
      <c r="C19" s="64"/>
      <c r="D19" s="447"/>
      <c r="E19" s="448"/>
      <c r="F19" s="66"/>
      <c r="H19" s="427"/>
    </row>
    <row r="20" spans="1:8" s="426" customFormat="1" ht="27.6" x14ac:dyDescent="0.25">
      <c r="A20" s="443" t="s">
        <v>21</v>
      </c>
      <c r="B20" s="446" t="s">
        <v>22</v>
      </c>
      <c r="C20" s="64">
        <v>1</v>
      </c>
      <c r="D20" s="447" t="s">
        <v>13</v>
      </c>
      <c r="E20" s="445">
        <v>100000</v>
      </c>
      <c r="F20" s="62">
        <f>C20*E20</f>
        <v>100000</v>
      </c>
      <c r="H20" s="427"/>
    </row>
    <row r="21" spans="1:8" s="426" customFormat="1" x14ac:dyDescent="0.25">
      <c r="A21" s="443"/>
      <c r="B21" s="446"/>
      <c r="C21" s="64"/>
      <c r="D21" s="447"/>
      <c r="E21" s="445"/>
      <c r="F21" s="62"/>
      <c r="H21" s="427"/>
    </row>
    <row r="22" spans="1:8" s="426" customFormat="1" x14ac:dyDescent="0.25">
      <c r="A22" s="443" t="s">
        <v>23</v>
      </c>
      <c r="B22" s="446" t="s">
        <v>398</v>
      </c>
      <c r="C22" s="64">
        <v>1</v>
      </c>
      <c r="D22" s="447" t="s">
        <v>13</v>
      </c>
      <c r="E22" s="445">
        <v>15000</v>
      </c>
      <c r="F22" s="62">
        <f>C22*E22</f>
        <v>15000</v>
      </c>
      <c r="H22" s="427"/>
    </row>
    <row r="23" spans="1:8" s="426" customFormat="1" x14ac:dyDescent="0.25">
      <c r="A23" s="443"/>
      <c r="B23" s="446"/>
      <c r="C23" s="64"/>
      <c r="D23" s="447"/>
      <c r="E23" s="445"/>
      <c r="F23" s="62"/>
      <c r="H23" s="427"/>
    </row>
    <row r="24" spans="1:8" s="426" customFormat="1" ht="41.4" x14ac:dyDescent="0.25">
      <c r="A24" s="443" t="s">
        <v>24</v>
      </c>
      <c r="B24" s="449" t="s">
        <v>25</v>
      </c>
      <c r="C24" s="59"/>
      <c r="D24" s="447" t="s">
        <v>13</v>
      </c>
      <c r="E24" s="445"/>
      <c r="F24" s="68" t="s">
        <v>26</v>
      </c>
      <c r="H24" s="427"/>
    </row>
    <row r="25" spans="1:8" s="426" customFormat="1" x14ac:dyDescent="0.25">
      <c r="A25" s="443"/>
      <c r="B25" s="449"/>
      <c r="C25" s="59"/>
      <c r="D25" s="444"/>
      <c r="E25" s="445"/>
      <c r="F25" s="68"/>
      <c r="H25" s="427"/>
    </row>
    <row r="26" spans="1:8" s="426" customFormat="1" ht="41.4" x14ac:dyDescent="0.25">
      <c r="A26" s="443" t="s">
        <v>27</v>
      </c>
      <c r="B26" s="449" t="s">
        <v>28</v>
      </c>
      <c r="C26" s="59"/>
      <c r="D26" s="447" t="s">
        <v>13</v>
      </c>
      <c r="E26" s="445"/>
      <c r="F26" s="68" t="s">
        <v>26</v>
      </c>
      <c r="H26" s="427"/>
    </row>
    <row r="27" spans="1:8" s="426" customFormat="1" x14ac:dyDescent="0.25">
      <c r="A27" s="443"/>
      <c r="B27" s="446"/>
      <c r="C27" s="64"/>
      <c r="D27" s="447"/>
      <c r="E27" s="445"/>
      <c r="F27" s="62"/>
      <c r="H27" s="427"/>
    </row>
    <row r="28" spans="1:8" s="426" customFormat="1" ht="27.6" x14ac:dyDescent="0.25">
      <c r="A28" s="443" t="s">
        <v>29</v>
      </c>
      <c r="B28" s="446" t="s">
        <v>399</v>
      </c>
      <c r="C28" s="64">
        <v>1</v>
      </c>
      <c r="D28" s="447" t="s">
        <v>13</v>
      </c>
      <c r="E28" s="445">
        <v>50000</v>
      </c>
      <c r="F28" s="62">
        <f>C28*E28</f>
        <v>50000</v>
      </c>
      <c r="H28" s="427"/>
    </row>
    <row r="29" spans="1:8" s="426" customFormat="1" x14ac:dyDescent="0.25">
      <c r="A29" s="443"/>
      <c r="B29" s="450"/>
      <c r="C29" s="64"/>
      <c r="D29" s="447"/>
      <c r="E29" s="445"/>
      <c r="F29" s="62"/>
      <c r="H29" s="427"/>
    </row>
    <row r="30" spans="1:8" s="426" customFormat="1" x14ac:dyDescent="0.25">
      <c r="A30" s="443" t="s">
        <v>30</v>
      </c>
      <c r="B30" s="446" t="s">
        <v>400</v>
      </c>
      <c r="C30" s="64">
        <v>1</v>
      </c>
      <c r="D30" s="447" t="s">
        <v>13</v>
      </c>
      <c r="E30" s="445">
        <v>60000</v>
      </c>
      <c r="F30" s="62">
        <f>C30*E30</f>
        <v>60000</v>
      </c>
      <c r="H30" s="427"/>
    </row>
    <row r="31" spans="1:8" s="426" customFormat="1" x14ac:dyDescent="0.25">
      <c r="A31" s="443"/>
      <c r="B31" s="450"/>
      <c r="C31" s="64"/>
      <c r="D31" s="447"/>
      <c r="E31" s="445"/>
      <c r="F31" s="62"/>
      <c r="H31" s="427"/>
    </row>
    <row r="32" spans="1:8" s="426" customFormat="1" ht="41.4" x14ac:dyDescent="0.25">
      <c r="A32" s="443" t="s">
        <v>31</v>
      </c>
      <c r="B32" s="446" t="s">
        <v>401</v>
      </c>
      <c r="C32" s="64">
        <v>1</v>
      </c>
      <c r="D32" s="447" t="s">
        <v>13</v>
      </c>
      <c r="E32" s="445">
        <v>150000</v>
      </c>
      <c r="F32" s="62">
        <f t="shared" ref="F32:F48" si="0">C32*E32</f>
        <v>150000</v>
      </c>
      <c r="H32" s="427"/>
    </row>
    <row r="33" spans="1:8" s="426" customFormat="1" ht="14.4" thickBot="1" x14ac:dyDescent="0.3">
      <c r="A33" s="451"/>
      <c r="B33" s="452"/>
      <c r="C33" s="72"/>
      <c r="D33" s="453"/>
      <c r="E33" s="454"/>
      <c r="F33" s="74"/>
      <c r="H33" s="427"/>
    </row>
    <row r="34" spans="1:8" s="426" customFormat="1" x14ac:dyDescent="0.25">
      <c r="A34" s="455" t="s">
        <v>32</v>
      </c>
      <c r="B34" s="456" t="s">
        <v>402</v>
      </c>
      <c r="C34" s="77">
        <v>1</v>
      </c>
      <c r="D34" s="457" t="s">
        <v>13</v>
      </c>
      <c r="E34" s="458">
        <v>50000</v>
      </c>
      <c r="F34" s="79">
        <f t="shared" si="0"/>
        <v>50000</v>
      </c>
      <c r="H34" s="427"/>
    </row>
    <row r="35" spans="1:8" s="426" customFormat="1" x14ac:dyDescent="0.25">
      <c r="A35" s="443"/>
      <c r="B35" s="446"/>
      <c r="C35" s="64"/>
      <c r="D35" s="447"/>
      <c r="E35" s="445"/>
      <c r="F35" s="62"/>
      <c r="H35" s="427"/>
    </row>
    <row r="36" spans="1:8" s="426" customFormat="1" ht="27.6" x14ac:dyDescent="0.25">
      <c r="A36" s="443" t="s">
        <v>33</v>
      </c>
      <c r="B36" s="446" t="s">
        <v>403</v>
      </c>
      <c r="C36" s="64">
        <v>1</v>
      </c>
      <c r="D36" s="447" t="s">
        <v>13</v>
      </c>
      <c r="E36" s="445">
        <v>300000</v>
      </c>
      <c r="F36" s="62">
        <f t="shared" si="0"/>
        <v>300000</v>
      </c>
      <c r="H36" s="427"/>
    </row>
    <row r="37" spans="1:8" s="426" customFormat="1" x14ac:dyDescent="0.25">
      <c r="A37" s="443"/>
      <c r="B37" s="446"/>
      <c r="C37" s="64"/>
      <c r="D37" s="447"/>
      <c r="E37" s="445"/>
      <c r="F37" s="62"/>
      <c r="H37" s="427"/>
    </row>
    <row r="38" spans="1:8" s="426" customFormat="1" ht="27.6" x14ac:dyDescent="0.25">
      <c r="A38" s="443" t="s">
        <v>34</v>
      </c>
      <c r="B38" s="446" t="s">
        <v>404</v>
      </c>
      <c r="C38" s="64">
        <v>1</v>
      </c>
      <c r="D38" s="447" t="s">
        <v>13</v>
      </c>
      <c r="E38" s="445">
        <v>200000</v>
      </c>
      <c r="F38" s="62">
        <f t="shared" si="0"/>
        <v>200000</v>
      </c>
      <c r="H38" s="427"/>
    </row>
    <row r="39" spans="1:8" s="426" customFormat="1" x14ac:dyDescent="0.25">
      <c r="A39" s="443"/>
      <c r="B39" s="446"/>
      <c r="C39" s="64"/>
      <c r="D39" s="447"/>
      <c r="E39" s="445"/>
      <c r="F39" s="62"/>
      <c r="H39" s="427"/>
    </row>
    <row r="40" spans="1:8" s="426" customFormat="1" ht="27.6" x14ac:dyDescent="0.25">
      <c r="A40" s="443" t="s">
        <v>35</v>
      </c>
      <c r="B40" s="446" t="s">
        <v>36</v>
      </c>
      <c r="C40" s="64">
        <v>1</v>
      </c>
      <c r="D40" s="447" t="s">
        <v>13</v>
      </c>
      <c r="E40" s="445">
        <v>100000</v>
      </c>
      <c r="F40" s="62">
        <f t="shared" si="0"/>
        <v>100000</v>
      </c>
      <c r="H40" s="427"/>
    </row>
    <row r="41" spans="1:8" s="426" customFormat="1" x14ac:dyDescent="0.25">
      <c r="A41" s="443"/>
      <c r="B41" s="446"/>
      <c r="C41" s="64"/>
      <c r="D41" s="447"/>
      <c r="E41" s="445"/>
      <c r="F41" s="62"/>
      <c r="H41" s="427"/>
    </row>
    <row r="42" spans="1:8" s="426" customFormat="1" ht="41.4" x14ac:dyDescent="0.25">
      <c r="A42" s="443" t="s">
        <v>37</v>
      </c>
      <c r="B42" s="446" t="s">
        <v>38</v>
      </c>
      <c r="C42" s="64">
        <v>1</v>
      </c>
      <c r="D42" s="447" t="s">
        <v>13</v>
      </c>
      <c r="E42" s="445">
        <v>75000</v>
      </c>
      <c r="F42" s="62">
        <f t="shared" si="0"/>
        <v>75000</v>
      </c>
      <c r="H42" s="427"/>
    </row>
    <row r="43" spans="1:8" s="426" customFormat="1" x14ac:dyDescent="0.25">
      <c r="A43" s="443"/>
      <c r="B43" s="446"/>
      <c r="C43" s="64"/>
      <c r="D43" s="447"/>
      <c r="E43" s="445"/>
      <c r="F43" s="62"/>
      <c r="H43" s="427"/>
    </row>
    <row r="44" spans="1:8" s="426" customFormat="1" x14ac:dyDescent="0.25">
      <c r="A44" s="443" t="s">
        <v>39</v>
      </c>
      <c r="B44" s="446" t="s">
        <v>40</v>
      </c>
      <c r="C44" s="64">
        <v>1</v>
      </c>
      <c r="D44" s="447" t="s">
        <v>13</v>
      </c>
      <c r="E44" s="445">
        <v>30000</v>
      </c>
      <c r="F44" s="62">
        <f t="shared" si="0"/>
        <v>30000</v>
      </c>
      <c r="H44" s="427"/>
    </row>
    <row r="45" spans="1:8" s="426" customFormat="1" x14ac:dyDescent="0.25">
      <c r="A45" s="443"/>
      <c r="B45" s="446"/>
      <c r="C45" s="64"/>
      <c r="D45" s="447"/>
      <c r="E45" s="445"/>
      <c r="F45" s="62"/>
      <c r="H45" s="427"/>
    </row>
    <row r="46" spans="1:8" s="426" customFormat="1" ht="41.4" x14ac:dyDescent="0.25">
      <c r="A46" s="443" t="s">
        <v>41</v>
      </c>
      <c r="B46" s="446" t="s">
        <v>43</v>
      </c>
      <c r="C46" s="64">
        <v>1</v>
      </c>
      <c r="D46" s="447" t="s">
        <v>13</v>
      </c>
      <c r="E46" s="445">
        <v>20000</v>
      </c>
      <c r="F46" s="62">
        <f t="shared" si="0"/>
        <v>20000</v>
      </c>
      <c r="H46" s="427"/>
    </row>
    <row r="47" spans="1:8" s="426" customFormat="1" x14ac:dyDescent="0.25">
      <c r="A47" s="443"/>
      <c r="B47" s="459"/>
      <c r="C47" s="64"/>
      <c r="D47" s="447"/>
      <c r="E47" s="445"/>
      <c r="F47" s="62"/>
      <c r="H47" s="427"/>
    </row>
    <row r="48" spans="1:8" s="426" customFormat="1" ht="27.6" x14ac:dyDescent="0.25">
      <c r="A48" s="443" t="s">
        <v>42</v>
      </c>
      <c r="B48" s="446" t="s">
        <v>44</v>
      </c>
      <c r="C48" s="64">
        <v>1</v>
      </c>
      <c r="D48" s="447" t="s">
        <v>13</v>
      </c>
      <c r="E48" s="445">
        <v>15000</v>
      </c>
      <c r="F48" s="62">
        <f t="shared" si="0"/>
        <v>15000</v>
      </c>
      <c r="H48" s="427"/>
    </row>
    <row r="49" spans="1:8" s="426" customFormat="1" x14ac:dyDescent="0.25">
      <c r="A49" s="433"/>
      <c r="B49" s="460"/>
      <c r="C49" s="82"/>
      <c r="D49" s="461"/>
      <c r="E49" s="462"/>
      <c r="F49" s="84"/>
      <c r="H49" s="427"/>
    </row>
    <row r="50" spans="1:8" s="426" customFormat="1" x14ac:dyDescent="0.25">
      <c r="A50" s="433"/>
      <c r="B50" s="460"/>
      <c r="C50" s="82"/>
      <c r="D50" s="461"/>
      <c r="E50" s="462"/>
      <c r="F50" s="84"/>
      <c r="H50" s="427"/>
    </row>
    <row r="51" spans="1:8" s="426" customFormat="1" x14ac:dyDescent="0.25">
      <c r="A51" s="433"/>
      <c r="B51" s="460"/>
      <c r="C51" s="82"/>
      <c r="D51" s="461"/>
      <c r="E51" s="462"/>
      <c r="F51" s="84"/>
      <c r="H51" s="427"/>
    </row>
    <row r="52" spans="1:8" s="426" customFormat="1" x14ac:dyDescent="0.25">
      <c r="A52" s="433"/>
      <c r="B52" s="460"/>
      <c r="C52" s="82"/>
      <c r="D52" s="461"/>
      <c r="E52" s="462"/>
      <c r="F52" s="84"/>
      <c r="H52" s="427"/>
    </row>
    <row r="53" spans="1:8" s="426" customFormat="1" x14ac:dyDescent="0.25">
      <c r="A53" s="433"/>
      <c r="B53" s="460"/>
      <c r="C53" s="82"/>
      <c r="D53" s="461"/>
      <c r="E53" s="462"/>
      <c r="F53" s="84"/>
      <c r="H53" s="427"/>
    </row>
    <row r="54" spans="1:8" s="426" customFormat="1" x14ac:dyDescent="0.25">
      <c r="A54" s="433"/>
      <c r="B54" s="463"/>
      <c r="C54" s="86"/>
      <c r="D54" s="464"/>
      <c r="E54" s="462"/>
      <c r="F54" s="84"/>
      <c r="H54" s="427"/>
    </row>
    <row r="55" spans="1:8" s="426" customFormat="1" x14ac:dyDescent="0.25">
      <c r="A55" s="447"/>
      <c r="B55" s="465" t="s">
        <v>45</v>
      </c>
      <c r="C55" s="59"/>
      <c r="D55" s="466"/>
      <c r="E55" s="445"/>
      <c r="F55" s="61">
        <f>SUM(F10:F54)</f>
        <v>2870000</v>
      </c>
      <c r="H55" s="427"/>
    </row>
    <row r="56" spans="1:8" s="426" customFormat="1" ht="14.4" thickBot="1" x14ac:dyDescent="0.3">
      <c r="A56" s="467"/>
      <c r="B56" s="468"/>
      <c r="C56" s="92"/>
      <c r="D56" s="469"/>
      <c r="E56" s="470"/>
      <c r="F56" s="94"/>
      <c r="H56" s="427"/>
    </row>
    <row r="57" spans="1:8" s="477" customFormat="1" ht="28.05" customHeight="1" x14ac:dyDescent="0.25">
      <c r="A57" s="471"/>
      <c r="B57" s="472" t="s">
        <v>136</v>
      </c>
      <c r="C57" s="473"/>
      <c r="D57" s="474"/>
      <c r="E57" s="475"/>
      <c r="F57" s="476"/>
      <c r="H57" s="478"/>
    </row>
    <row r="58" spans="1:8" s="477" customFormat="1" ht="20.100000000000001" customHeight="1" x14ac:dyDescent="0.25">
      <c r="A58" s="471"/>
      <c r="B58" s="479" t="s">
        <v>137</v>
      </c>
      <c r="C58" s="480"/>
      <c r="D58" s="474"/>
      <c r="E58" s="475"/>
      <c r="F58" s="476"/>
      <c r="H58" s="478"/>
    </row>
    <row r="59" spans="1:8" ht="27.6" x14ac:dyDescent="0.25">
      <c r="A59" s="481" t="s">
        <v>138</v>
      </c>
      <c r="B59" s="482" t="s">
        <v>128</v>
      </c>
      <c r="C59" s="483">
        <v>43.63</v>
      </c>
      <c r="D59" s="474" t="s">
        <v>129</v>
      </c>
      <c r="E59" s="475">
        <v>1640</v>
      </c>
      <c r="F59" s="476">
        <f>+C59*E59</f>
        <v>71553.2</v>
      </c>
      <c r="H59" s="485">
        <f>95/10.76</f>
        <v>8.828996282527882</v>
      </c>
    </row>
    <row r="60" spans="1:8" x14ac:dyDescent="0.25">
      <c r="A60" s="481"/>
      <c r="B60" s="482"/>
      <c r="C60" s="483"/>
      <c r="D60" s="474"/>
      <c r="E60" s="475"/>
      <c r="F60" s="476"/>
    </row>
    <row r="61" spans="1:8" s="477" customFormat="1" ht="27.6" x14ac:dyDescent="0.25">
      <c r="A61" s="471"/>
      <c r="B61" s="486" t="s">
        <v>139</v>
      </c>
      <c r="C61" s="487"/>
      <c r="D61" s="474"/>
      <c r="E61" s="475"/>
      <c r="F61" s="476"/>
      <c r="H61" s="478"/>
    </row>
    <row r="62" spans="1:8" ht="41.4" x14ac:dyDescent="0.25">
      <c r="A62" s="481" t="s">
        <v>405</v>
      </c>
      <c r="B62" s="482" t="s">
        <v>130</v>
      </c>
      <c r="C62" s="483">
        <v>18.2</v>
      </c>
      <c r="D62" s="474" t="s">
        <v>131</v>
      </c>
      <c r="E62" s="475">
        <v>3450</v>
      </c>
      <c r="F62" s="476">
        <f>+C62*E62</f>
        <v>62790</v>
      </c>
    </row>
    <row r="63" spans="1:8" s="477" customFormat="1" x14ac:dyDescent="0.25">
      <c r="A63" s="471"/>
      <c r="B63" s="488"/>
      <c r="C63" s="489"/>
      <c r="D63" s="474"/>
      <c r="E63" s="475"/>
      <c r="F63" s="476"/>
      <c r="H63" s="478"/>
    </row>
    <row r="64" spans="1:8" s="477" customFormat="1" ht="25.05" customHeight="1" x14ac:dyDescent="0.25">
      <c r="A64" s="471"/>
      <c r="B64" s="479" t="s">
        <v>142</v>
      </c>
      <c r="C64" s="480"/>
      <c r="D64" s="474"/>
      <c r="E64" s="475"/>
      <c r="F64" s="476"/>
      <c r="H64" s="478"/>
    </row>
    <row r="65" spans="1:8" s="477" customFormat="1" ht="15" customHeight="1" x14ac:dyDescent="0.25">
      <c r="A65" s="471"/>
      <c r="B65" s="479" t="s">
        <v>143</v>
      </c>
      <c r="C65" s="480"/>
      <c r="D65" s="474"/>
      <c r="E65" s="475"/>
      <c r="F65" s="476"/>
      <c r="H65" s="478"/>
    </row>
    <row r="66" spans="1:8" s="477" customFormat="1" ht="27.6" x14ac:dyDescent="0.25">
      <c r="A66" s="471"/>
      <c r="B66" s="486" t="s">
        <v>144</v>
      </c>
      <c r="C66" s="487"/>
      <c r="D66" s="474"/>
      <c r="E66" s="475"/>
      <c r="F66" s="476"/>
      <c r="H66" s="478"/>
    </row>
    <row r="67" spans="1:8" s="477" customFormat="1" ht="27.6" x14ac:dyDescent="0.25">
      <c r="A67" s="490" t="s">
        <v>145</v>
      </c>
      <c r="B67" s="486" t="s">
        <v>146</v>
      </c>
      <c r="C67" s="487"/>
      <c r="D67" s="474"/>
      <c r="E67" s="475"/>
      <c r="F67" s="476"/>
      <c r="H67" s="478"/>
    </row>
    <row r="68" spans="1:8" s="477" customFormat="1" ht="30.75" customHeight="1" x14ac:dyDescent="0.25">
      <c r="A68" s="490" t="s">
        <v>147</v>
      </c>
      <c r="B68" s="486" t="s">
        <v>148</v>
      </c>
      <c r="C68" s="487"/>
      <c r="D68" s="474"/>
      <c r="E68" s="475"/>
      <c r="F68" s="476"/>
      <c r="H68" s="478"/>
    </row>
    <row r="69" spans="1:8" s="477" customFormat="1" ht="43.05" customHeight="1" x14ac:dyDescent="0.25">
      <c r="A69" s="490" t="s">
        <v>149</v>
      </c>
      <c r="B69" s="486" t="s">
        <v>150</v>
      </c>
      <c r="C69" s="487"/>
      <c r="D69" s="474"/>
      <c r="E69" s="475"/>
      <c r="F69" s="476"/>
      <c r="H69" s="478"/>
    </row>
    <row r="70" spans="1:8" s="477" customFormat="1" ht="43.05" customHeight="1" x14ac:dyDescent="0.25">
      <c r="A70" s="490" t="s">
        <v>151</v>
      </c>
      <c r="B70" s="486" t="s">
        <v>152</v>
      </c>
      <c r="C70" s="487"/>
      <c r="D70" s="474"/>
      <c r="E70" s="475"/>
      <c r="F70" s="476"/>
      <c r="H70" s="478"/>
    </row>
    <row r="71" spans="1:8" x14ac:dyDescent="0.25">
      <c r="A71" s="481" t="s">
        <v>406</v>
      </c>
      <c r="B71" s="482" t="s">
        <v>334</v>
      </c>
      <c r="C71" s="483">
        <v>21.3</v>
      </c>
      <c r="D71" s="474" t="s">
        <v>131</v>
      </c>
      <c r="E71" s="475">
        <v>3570</v>
      </c>
      <c r="F71" s="476">
        <f>+C71*E71</f>
        <v>76041</v>
      </c>
      <c r="H71" s="485">
        <f>8.9+21.3</f>
        <v>30.200000000000003</v>
      </c>
    </row>
    <row r="72" spans="1:8" s="477" customFormat="1" ht="41.4" x14ac:dyDescent="0.25">
      <c r="A72" s="481" t="s">
        <v>140</v>
      </c>
      <c r="B72" s="488" t="s">
        <v>335</v>
      </c>
      <c r="C72" s="489"/>
      <c r="D72" s="474" t="s">
        <v>153</v>
      </c>
      <c r="E72" s="475">
        <v>157</v>
      </c>
      <c r="F72" s="476"/>
      <c r="H72" s="478"/>
    </row>
    <row r="73" spans="1:8" s="477" customFormat="1" ht="82.8" x14ac:dyDescent="0.25">
      <c r="A73" s="481" t="s">
        <v>407</v>
      </c>
      <c r="B73" s="488" t="s">
        <v>336</v>
      </c>
      <c r="C73" s="483">
        <v>30.2</v>
      </c>
      <c r="D73" s="474" t="s">
        <v>131</v>
      </c>
      <c r="E73" s="475">
        <v>1470</v>
      </c>
      <c r="F73" s="476">
        <f t="shared" ref="F73" si="1">+C73*E73</f>
        <v>44394</v>
      </c>
      <c r="H73" s="478"/>
    </row>
    <row r="74" spans="1:8" s="477" customFormat="1" x14ac:dyDescent="0.25">
      <c r="A74" s="471"/>
      <c r="B74" s="488"/>
      <c r="C74" s="489"/>
      <c r="D74" s="474"/>
      <c r="E74" s="475"/>
      <c r="F74" s="476"/>
      <c r="H74" s="478"/>
    </row>
    <row r="75" spans="1:8" s="477" customFormat="1" x14ac:dyDescent="0.25">
      <c r="A75" s="471"/>
      <c r="B75" s="479" t="s">
        <v>154</v>
      </c>
      <c r="C75" s="480"/>
      <c r="D75" s="474"/>
      <c r="E75" s="475"/>
      <c r="F75" s="476"/>
      <c r="H75" s="478"/>
    </row>
    <row r="76" spans="1:8" s="426" customFormat="1" x14ac:dyDescent="0.25">
      <c r="A76" s="481" t="s">
        <v>408</v>
      </c>
      <c r="B76" s="488" t="s">
        <v>155</v>
      </c>
      <c r="C76" s="489"/>
      <c r="D76" s="474" t="s">
        <v>156</v>
      </c>
      <c r="E76" s="475">
        <v>3000</v>
      </c>
      <c r="F76" s="476"/>
      <c r="H76" s="427"/>
    </row>
    <row r="77" spans="1:8" s="426" customFormat="1" x14ac:dyDescent="0.25">
      <c r="A77" s="481" t="s">
        <v>409</v>
      </c>
      <c r="B77" s="488" t="s">
        <v>157</v>
      </c>
      <c r="C77" s="489"/>
      <c r="D77" s="474" t="s">
        <v>156</v>
      </c>
      <c r="E77" s="475">
        <v>4000</v>
      </c>
      <c r="F77" s="476"/>
      <c r="H77" s="427"/>
    </row>
    <row r="78" spans="1:8" s="477" customFormat="1" ht="34.5" customHeight="1" x14ac:dyDescent="0.25">
      <c r="A78" s="471"/>
      <c r="B78" s="491" t="s">
        <v>158</v>
      </c>
      <c r="C78" s="492"/>
      <c r="D78" s="474"/>
      <c r="E78" s="475"/>
      <c r="F78" s="476"/>
      <c r="H78" s="478"/>
    </row>
    <row r="79" spans="1:8" ht="112.05" customHeight="1" x14ac:dyDescent="0.25">
      <c r="A79" s="481" t="s">
        <v>410</v>
      </c>
      <c r="B79" s="482" t="s">
        <v>159</v>
      </c>
      <c r="C79" s="483">
        <v>4363</v>
      </c>
      <c r="D79" s="474" t="s">
        <v>141</v>
      </c>
      <c r="E79" s="475">
        <v>32</v>
      </c>
      <c r="F79" s="476">
        <f t="shared" ref="F79" si="2">+C79*E79</f>
        <v>139616</v>
      </c>
    </row>
    <row r="80" spans="1:8" x14ac:dyDescent="0.25">
      <c r="A80" s="481"/>
      <c r="B80" s="482"/>
      <c r="C80" s="483"/>
      <c r="D80" s="474"/>
      <c r="E80" s="475"/>
      <c r="F80" s="476"/>
    </row>
    <row r="81" spans="1:9" x14ac:dyDescent="0.25">
      <c r="A81" s="493"/>
      <c r="B81" s="494"/>
      <c r="C81" s="495"/>
      <c r="D81" s="496"/>
      <c r="E81" s="497"/>
      <c r="F81" s="498"/>
    </row>
    <row r="82" spans="1:9" s="477" customFormat="1" x14ac:dyDescent="0.25">
      <c r="A82" s="499"/>
      <c r="B82" s="500" t="s">
        <v>46</v>
      </c>
      <c r="C82" s="501"/>
      <c r="D82" s="502"/>
      <c r="E82" s="503"/>
      <c r="F82" s="504">
        <f>SUM(F59:F80)</f>
        <v>394394.2</v>
      </c>
      <c r="H82" s="478"/>
    </row>
    <row r="83" spans="1:9" s="477" customFormat="1" ht="28.05" customHeight="1" x14ac:dyDescent="0.25">
      <c r="A83" s="505"/>
      <c r="B83" s="506" t="s">
        <v>160</v>
      </c>
      <c r="C83" s="507"/>
      <c r="D83" s="508"/>
      <c r="E83" s="509"/>
      <c r="F83" s="510"/>
      <c r="H83" s="478"/>
    </row>
    <row r="84" spans="1:9" s="477" customFormat="1" ht="20.100000000000001" customHeight="1" x14ac:dyDescent="0.25">
      <c r="A84" s="471"/>
      <c r="B84" s="479" t="s">
        <v>161</v>
      </c>
      <c r="C84" s="480"/>
      <c r="D84" s="474"/>
      <c r="E84" s="475"/>
      <c r="F84" s="476"/>
      <c r="H84" s="478"/>
    </row>
    <row r="85" spans="1:9" s="477" customFormat="1" ht="55.05" customHeight="1" x14ac:dyDescent="0.25">
      <c r="A85" s="471"/>
      <c r="B85" s="486" t="s">
        <v>162</v>
      </c>
      <c r="C85" s="487"/>
      <c r="D85" s="474"/>
      <c r="E85" s="475"/>
      <c r="F85" s="476"/>
      <c r="H85" s="478"/>
    </row>
    <row r="86" spans="1:9" s="477" customFormat="1" x14ac:dyDescent="0.25">
      <c r="A86" s="471"/>
      <c r="B86" s="479" t="s">
        <v>340</v>
      </c>
      <c r="C86" s="487"/>
      <c r="D86" s="474"/>
      <c r="E86" s="475"/>
      <c r="F86" s="476"/>
      <c r="H86" s="478"/>
    </row>
    <row r="87" spans="1:9" s="477" customFormat="1" ht="28.05" customHeight="1" x14ac:dyDescent="0.25">
      <c r="A87" s="471"/>
      <c r="B87" s="479" t="s">
        <v>163</v>
      </c>
      <c r="C87" s="480"/>
      <c r="D87" s="474"/>
      <c r="E87" s="475"/>
      <c r="F87" s="476"/>
      <c r="H87" s="478"/>
    </row>
    <row r="88" spans="1:9" ht="55.2" x14ac:dyDescent="0.25">
      <c r="A88" s="481" t="s">
        <v>411</v>
      </c>
      <c r="B88" s="482" t="s">
        <v>337</v>
      </c>
      <c r="C88" s="483">
        <v>3.81</v>
      </c>
      <c r="D88" s="474" t="s">
        <v>129</v>
      </c>
      <c r="E88" s="475">
        <v>6235</v>
      </c>
      <c r="F88" s="476">
        <f t="shared" ref="F88" si="3">+C88*E88</f>
        <v>23755.35</v>
      </c>
      <c r="H88" s="478">
        <f>14292*2.83</f>
        <v>40446.36</v>
      </c>
    </row>
    <row r="89" spans="1:9" x14ac:dyDescent="0.25">
      <c r="A89" s="481"/>
      <c r="B89" s="482"/>
      <c r="C89" s="483"/>
      <c r="D89" s="474"/>
      <c r="E89" s="475"/>
      <c r="F89" s="476"/>
    </row>
    <row r="90" spans="1:9" s="477" customFormat="1" ht="28.05" customHeight="1" x14ac:dyDescent="0.25">
      <c r="A90" s="471"/>
      <c r="B90" s="479" t="s">
        <v>166</v>
      </c>
      <c r="C90" s="480"/>
      <c r="D90" s="474"/>
      <c r="E90" s="475"/>
      <c r="F90" s="476"/>
      <c r="H90" s="478"/>
    </row>
    <row r="91" spans="1:9" s="477" customFormat="1" x14ac:dyDescent="0.25">
      <c r="A91" s="471"/>
      <c r="B91" s="479"/>
      <c r="C91" s="480"/>
      <c r="D91" s="474"/>
      <c r="E91" s="475"/>
      <c r="F91" s="476"/>
      <c r="H91" s="478"/>
    </row>
    <row r="92" spans="1:9" s="477" customFormat="1" ht="55.2" x14ac:dyDescent="0.25">
      <c r="A92" s="481" t="s">
        <v>164</v>
      </c>
      <c r="B92" s="488" t="s">
        <v>339</v>
      </c>
      <c r="C92" s="480"/>
      <c r="D92" s="474"/>
      <c r="E92" s="475"/>
      <c r="F92" s="476"/>
      <c r="H92" s="478"/>
    </row>
    <row r="93" spans="1:9" s="426" customFormat="1" x14ac:dyDescent="0.25">
      <c r="A93" s="511" t="s">
        <v>412</v>
      </c>
      <c r="B93" s="488" t="s">
        <v>108</v>
      </c>
      <c r="C93" s="489">
        <v>13.86</v>
      </c>
      <c r="D93" s="474" t="s">
        <v>131</v>
      </c>
      <c r="E93" s="475">
        <v>46030</v>
      </c>
      <c r="F93" s="476">
        <f>C93*E93</f>
        <v>637975.79999999993</v>
      </c>
      <c r="H93" s="427">
        <f>+C93/2.83</f>
        <v>4.8975265017667837</v>
      </c>
      <c r="I93" s="426">
        <v>4.8975265017667837</v>
      </c>
    </row>
    <row r="94" spans="1:9" s="426" customFormat="1" x14ac:dyDescent="0.25">
      <c r="A94" s="511" t="s">
        <v>413</v>
      </c>
      <c r="B94" s="488" t="s">
        <v>98</v>
      </c>
      <c r="C94" s="489">
        <v>1.77</v>
      </c>
      <c r="D94" s="474" t="s">
        <v>131</v>
      </c>
      <c r="E94" s="475">
        <v>46030</v>
      </c>
      <c r="F94" s="476">
        <f>C94*E94</f>
        <v>81473.100000000006</v>
      </c>
      <c r="H94" s="427">
        <f t="shared" ref="H94:H96" si="4">+C94/2.83</f>
        <v>0.62544169611307421</v>
      </c>
      <c r="I94" s="426">
        <v>0.62544169611307421</v>
      </c>
    </row>
    <row r="95" spans="1:9" s="426" customFormat="1" x14ac:dyDescent="0.25">
      <c r="A95" s="511" t="s">
        <v>414</v>
      </c>
      <c r="B95" s="488" t="s">
        <v>99</v>
      </c>
      <c r="C95" s="489">
        <v>17.63</v>
      </c>
      <c r="D95" s="474" t="s">
        <v>131</v>
      </c>
      <c r="E95" s="475">
        <v>46030</v>
      </c>
      <c r="F95" s="476">
        <f>C95*E95</f>
        <v>811508.89999999991</v>
      </c>
      <c r="H95" s="427">
        <f t="shared" si="4"/>
        <v>6.2296819787985864</v>
      </c>
      <c r="I95" s="426">
        <v>6.2296819787985864</v>
      </c>
    </row>
    <row r="96" spans="1:9" s="426" customFormat="1" x14ac:dyDescent="0.25">
      <c r="A96" s="511" t="s">
        <v>415</v>
      </c>
      <c r="B96" s="488" t="s">
        <v>100</v>
      </c>
      <c r="C96" s="489">
        <v>1.07</v>
      </c>
      <c r="D96" s="474" t="s">
        <v>131</v>
      </c>
      <c r="E96" s="475">
        <v>46030</v>
      </c>
      <c r="F96" s="476">
        <f>C96*E96</f>
        <v>49252.100000000006</v>
      </c>
      <c r="H96" s="427">
        <f t="shared" si="4"/>
        <v>0.37809187279151946</v>
      </c>
      <c r="I96" s="426">
        <v>0.37809187279151946</v>
      </c>
    </row>
    <row r="97" spans="1:9" s="426" customFormat="1" x14ac:dyDescent="0.25">
      <c r="A97" s="511"/>
      <c r="B97" s="488"/>
      <c r="C97" s="489"/>
      <c r="D97" s="474"/>
      <c r="E97" s="475"/>
      <c r="F97" s="476"/>
      <c r="H97" s="427"/>
    </row>
    <row r="98" spans="1:9" s="477" customFormat="1" ht="69" x14ac:dyDescent="0.25">
      <c r="A98" s="481" t="s">
        <v>416</v>
      </c>
      <c r="B98" s="488" t="s">
        <v>338</v>
      </c>
      <c r="C98" s="483"/>
      <c r="D98" s="474"/>
      <c r="E98" s="475"/>
      <c r="F98" s="476"/>
      <c r="H98" s="478">
        <f>18.76/2.83</f>
        <v>6.6289752650176679</v>
      </c>
    </row>
    <row r="99" spans="1:9" s="477" customFormat="1" x14ac:dyDescent="0.3">
      <c r="A99" s="511" t="s">
        <v>417</v>
      </c>
      <c r="B99" s="512" t="s">
        <v>341</v>
      </c>
      <c r="C99" s="483">
        <v>6.63</v>
      </c>
      <c r="D99" s="474" t="s">
        <v>131</v>
      </c>
      <c r="E99" s="475">
        <v>37095</v>
      </c>
      <c r="F99" s="476">
        <f t="shared" ref="F99:F101" si="5">+C99*E99</f>
        <v>245939.85</v>
      </c>
      <c r="H99" s="513">
        <v>2.5</v>
      </c>
      <c r="I99" s="477">
        <f>+H99/2.83</f>
        <v>0.88339222614840984</v>
      </c>
    </row>
    <row r="100" spans="1:9" s="477" customFormat="1" x14ac:dyDescent="0.3">
      <c r="A100" s="511" t="s">
        <v>418</v>
      </c>
      <c r="B100" s="512" t="s">
        <v>102</v>
      </c>
      <c r="C100" s="483">
        <v>0.88</v>
      </c>
      <c r="D100" s="474" t="s">
        <v>131</v>
      </c>
      <c r="E100" s="475">
        <v>37095</v>
      </c>
      <c r="F100" s="476">
        <f t="shared" si="5"/>
        <v>32643.599999999999</v>
      </c>
      <c r="H100" s="513"/>
    </row>
    <row r="101" spans="1:9" s="477" customFormat="1" x14ac:dyDescent="0.3">
      <c r="A101" s="511" t="s">
        <v>419</v>
      </c>
      <c r="B101" s="512" t="s">
        <v>1191</v>
      </c>
      <c r="C101" s="483">
        <v>0.23</v>
      </c>
      <c r="D101" s="474" t="s">
        <v>131</v>
      </c>
      <c r="E101" s="475">
        <v>37095</v>
      </c>
      <c r="F101" s="476">
        <f t="shared" si="5"/>
        <v>8531.85</v>
      </c>
      <c r="H101" s="513">
        <v>0.65</v>
      </c>
      <c r="I101" s="477">
        <f>+H101/2.83</f>
        <v>0.22968197879858657</v>
      </c>
    </row>
    <row r="102" spans="1:9" s="477" customFormat="1" ht="14.4" thickBot="1" x14ac:dyDescent="0.3">
      <c r="A102" s="481"/>
      <c r="B102" s="488"/>
      <c r="C102" s="483"/>
      <c r="D102" s="474"/>
      <c r="E102" s="475"/>
      <c r="F102" s="476"/>
      <c r="H102" s="478"/>
    </row>
    <row r="103" spans="1:9" s="477" customFormat="1" ht="15.6" x14ac:dyDescent="0.25">
      <c r="A103" s="481"/>
      <c r="B103" s="514" t="s">
        <v>47</v>
      </c>
      <c r="C103" s="483"/>
      <c r="D103" s="474"/>
      <c r="E103" s="475"/>
      <c r="F103" s="476"/>
      <c r="H103" s="478"/>
    </row>
    <row r="104" spans="1:9" s="477" customFormat="1" x14ac:dyDescent="0.25">
      <c r="A104" s="481"/>
      <c r="B104" s="488"/>
      <c r="C104" s="483"/>
      <c r="D104" s="474"/>
      <c r="E104" s="475"/>
      <c r="F104" s="476"/>
      <c r="H104" s="478"/>
    </row>
    <row r="105" spans="1:9" s="477" customFormat="1" ht="55.2" x14ac:dyDescent="0.25">
      <c r="A105" s="481" t="s">
        <v>165</v>
      </c>
      <c r="B105" s="488" t="s">
        <v>339</v>
      </c>
      <c r="C105" s="483"/>
      <c r="D105" s="474"/>
      <c r="E105" s="475"/>
      <c r="F105" s="476"/>
      <c r="H105" s="478"/>
    </row>
    <row r="106" spans="1:9" s="426" customFormat="1" x14ac:dyDescent="0.25">
      <c r="A106" s="511" t="s">
        <v>420</v>
      </c>
      <c r="B106" s="488" t="s">
        <v>48</v>
      </c>
      <c r="C106" s="489">
        <v>2.31</v>
      </c>
      <c r="D106" s="474" t="s">
        <v>131</v>
      </c>
      <c r="E106" s="475">
        <v>46030</v>
      </c>
      <c r="F106" s="476">
        <f>C106*E106</f>
        <v>106329.3</v>
      </c>
      <c r="H106" s="478"/>
      <c r="I106" s="477"/>
    </row>
    <row r="107" spans="1:9" s="426" customFormat="1" x14ac:dyDescent="0.25">
      <c r="A107" s="511" t="s">
        <v>422</v>
      </c>
      <c r="B107" s="488" t="s">
        <v>49</v>
      </c>
      <c r="C107" s="489">
        <v>1.83</v>
      </c>
      <c r="D107" s="474" t="s">
        <v>131</v>
      </c>
      <c r="E107" s="475">
        <v>47410</v>
      </c>
      <c r="F107" s="476">
        <f t="shared" ref="F107:F109" si="6">C107*E107</f>
        <v>86760.3</v>
      </c>
      <c r="H107" s="478"/>
      <c r="I107" s="477"/>
    </row>
    <row r="108" spans="1:9" s="426" customFormat="1" x14ac:dyDescent="0.25">
      <c r="A108" s="511" t="s">
        <v>421</v>
      </c>
      <c r="B108" s="488" t="s">
        <v>109</v>
      </c>
      <c r="C108" s="489">
        <v>1.3</v>
      </c>
      <c r="D108" s="474" t="s">
        <v>131</v>
      </c>
      <c r="E108" s="475">
        <v>48330</v>
      </c>
      <c r="F108" s="476">
        <f t="shared" si="6"/>
        <v>62829</v>
      </c>
      <c r="H108" s="478"/>
      <c r="I108" s="477"/>
    </row>
    <row r="109" spans="1:9" s="426" customFormat="1" x14ac:dyDescent="0.25">
      <c r="A109" s="511" t="s">
        <v>423</v>
      </c>
      <c r="B109" s="488" t="s">
        <v>110</v>
      </c>
      <c r="C109" s="489">
        <v>0.8</v>
      </c>
      <c r="D109" s="474" t="s">
        <v>131</v>
      </c>
      <c r="E109" s="475">
        <v>49250</v>
      </c>
      <c r="F109" s="476">
        <f t="shared" si="6"/>
        <v>39400</v>
      </c>
      <c r="H109" s="478"/>
      <c r="I109" s="477"/>
    </row>
    <row r="110" spans="1:9" s="477" customFormat="1" x14ac:dyDescent="0.25">
      <c r="A110" s="481"/>
      <c r="B110" s="488"/>
      <c r="C110" s="483"/>
      <c r="D110" s="474"/>
      <c r="E110" s="475"/>
      <c r="F110" s="476"/>
      <c r="H110" s="478"/>
    </row>
    <row r="111" spans="1:9" s="477" customFormat="1" x14ac:dyDescent="0.25">
      <c r="A111" s="481"/>
      <c r="B111" s="488"/>
      <c r="C111" s="483"/>
      <c r="D111" s="474"/>
      <c r="E111" s="475"/>
      <c r="F111" s="476"/>
      <c r="H111" s="478"/>
    </row>
    <row r="112" spans="1:9" s="477" customFormat="1" x14ac:dyDescent="0.25">
      <c r="A112" s="471"/>
      <c r="B112" s="479" t="s">
        <v>169</v>
      </c>
      <c r="C112" s="480"/>
      <c r="D112" s="474"/>
      <c r="E112" s="475"/>
      <c r="F112" s="476"/>
      <c r="H112" s="478"/>
    </row>
    <row r="113" spans="1:12" ht="55.2" x14ac:dyDescent="0.25">
      <c r="A113" s="481" t="s">
        <v>424</v>
      </c>
      <c r="B113" s="482" t="s">
        <v>347</v>
      </c>
      <c r="C113" s="483"/>
      <c r="D113" s="474"/>
      <c r="E113" s="475">
        <v>14690</v>
      </c>
      <c r="F113" s="476"/>
    </row>
    <row r="114" spans="1:12" s="426" customFormat="1" x14ac:dyDescent="0.25">
      <c r="A114" s="511" t="s">
        <v>425</v>
      </c>
      <c r="B114" s="488" t="s">
        <v>50</v>
      </c>
      <c r="C114" s="489">
        <v>15.33</v>
      </c>
      <c r="D114" s="474" t="s">
        <v>170</v>
      </c>
      <c r="E114" s="475">
        <v>14690</v>
      </c>
      <c r="F114" s="476">
        <f>C114*E114</f>
        <v>225197.7</v>
      </c>
      <c r="H114" s="478">
        <f>+C114+C119+C124</f>
        <v>50.440000000000005</v>
      </c>
      <c r="I114" s="477">
        <f>+H114*E113+H114*500+21750+725*20.44</f>
        <v>802752.60000000009</v>
      </c>
      <c r="J114" s="426">
        <f>236.65*5.25</f>
        <v>1242.4125000000001</v>
      </c>
      <c r="K114" s="426">
        <f>SUM(I114:J114)</f>
        <v>803995.01250000007</v>
      </c>
      <c r="L114" s="426">
        <f>+K114/H114</f>
        <v>15939.631492862807</v>
      </c>
    </row>
    <row r="115" spans="1:12" s="426" customFormat="1" x14ac:dyDescent="0.25">
      <c r="A115" s="511" t="s">
        <v>426</v>
      </c>
      <c r="B115" s="488" t="s">
        <v>51</v>
      </c>
      <c r="C115" s="489">
        <v>13.83</v>
      </c>
      <c r="D115" s="474" t="s">
        <v>170</v>
      </c>
      <c r="E115" s="475">
        <v>14690</v>
      </c>
      <c r="F115" s="476">
        <f>C115*E115</f>
        <v>203162.7</v>
      </c>
      <c r="H115" s="478">
        <f>+C115+C120+C125</f>
        <v>48.940000000000005</v>
      </c>
      <c r="I115" s="477">
        <f>+H115*E113+H115*500+21750+725*18.94</f>
        <v>778880.10000000009</v>
      </c>
      <c r="J115" s="426">
        <f>236.65*5.25</f>
        <v>1242.4125000000001</v>
      </c>
      <c r="K115" s="426">
        <f>SUM(I115:J115)</f>
        <v>780122.51250000007</v>
      </c>
      <c r="L115" s="426">
        <f>+K115/H115</f>
        <v>15940.386442582754</v>
      </c>
    </row>
    <row r="116" spans="1:12" s="426" customFormat="1" x14ac:dyDescent="0.25">
      <c r="A116" s="511" t="s">
        <v>427</v>
      </c>
      <c r="B116" s="488" t="s">
        <v>111</v>
      </c>
      <c r="C116" s="489">
        <v>7.35</v>
      </c>
      <c r="D116" s="474" t="s">
        <v>170</v>
      </c>
      <c r="E116" s="475">
        <v>14690</v>
      </c>
      <c r="F116" s="476">
        <f>C116*E116</f>
        <v>107971.5</v>
      </c>
      <c r="H116" s="478">
        <f>+C116+C121</f>
        <v>11.71</v>
      </c>
      <c r="I116" s="477"/>
    </row>
    <row r="117" spans="1:12" s="426" customFormat="1" x14ac:dyDescent="0.25">
      <c r="A117" s="511" t="s">
        <v>428</v>
      </c>
      <c r="B117" s="488" t="s">
        <v>112</v>
      </c>
      <c r="C117" s="489">
        <v>2.67</v>
      </c>
      <c r="D117" s="474" t="s">
        <v>170</v>
      </c>
      <c r="E117" s="475">
        <v>14690</v>
      </c>
      <c r="F117" s="476">
        <f>C117*E117</f>
        <v>39222.299999999996</v>
      </c>
      <c r="H117" s="478">
        <f>+C117+C122</f>
        <v>7.03</v>
      </c>
      <c r="I117" s="477"/>
    </row>
    <row r="118" spans="1:12" s="426" customFormat="1" x14ac:dyDescent="0.25">
      <c r="A118" s="511"/>
      <c r="B118" s="488"/>
      <c r="C118" s="489"/>
      <c r="D118" s="474"/>
      <c r="E118" s="475"/>
      <c r="F118" s="476"/>
      <c r="H118" s="478"/>
      <c r="I118" s="477"/>
    </row>
    <row r="119" spans="1:12" s="426" customFormat="1" x14ac:dyDescent="0.25">
      <c r="A119" s="511" t="s">
        <v>429</v>
      </c>
      <c r="B119" s="488" t="s">
        <v>52</v>
      </c>
      <c r="C119" s="489">
        <v>30.91</v>
      </c>
      <c r="D119" s="474" t="s">
        <v>170</v>
      </c>
      <c r="E119" s="475">
        <v>14690</v>
      </c>
      <c r="F119" s="476">
        <f>C119*E119</f>
        <v>454067.9</v>
      </c>
      <c r="H119" s="478">
        <f>SUM(H114:H115)</f>
        <v>99.38000000000001</v>
      </c>
      <c r="I119" s="477"/>
    </row>
    <row r="120" spans="1:12" s="426" customFormat="1" x14ac:dyDescent="0.25">
      <c r="A120" s="511" t="s">
        <v>430</v>
      </c>
      <c r="B120" s="488" t="s">
        <v>53</v>
      </c>
      <c r="C120" s="489">
        <v>30.91</v>
      </c>
      <c r="D120" s="474" t="s">
        <v>170</v>
      </c>
      <c r="E120" s="475">
        <v>14690</v>
      </c>
      <c r="F120" s="476">
        <f>C120*E120</f>
        <v>454067.9</v>
      </c>
      <c r="H120" s="478"/>
      <c r="I120" s="477"/>
    </row>
    <row r="121" spans="1:12" s="426" customFormat="1" x14ac:dyDescent="0.25">
      <c r="A121" s="511" t="s">
        <v>431</v>
      </c>
      <c r="B121" s="488" t="s">
        <v>114</v>
      </c>
      <c r="C121" s="489">
        <v>4.3600000000000003</v>
      </c>
      <c r="D121" s="474" t="s">
        <v>170</v>
      </c>
      <c r="E121" s="475">
        <v>14690</v>
      </c>
      <c r="F121" s="476">
        <f>C121*E121</f>
        <v>64048.4</v>
      </c>
      <c r="H121" s="478"/>
      <c r="I121" s="477"/>
    </row>
    <row r="122" spans="1:12" s="426" customFormat="1" x14ac:dyDescent="0.25">
      <c r="A122" s="511" t="s">
        <v>432</v>
      </c>
      <c r="B122" s="488" t="s">
        <v>115</v>
      </c>
      <c r="C122" s="489">
        <v>4.3600000000000003</v>
      </c>
      <c r="D122" s="474" t="s">
        <v>170</v>
      </c>
      <c r="E122" s="475">
        <v>14690</v>
      </c>
      <c r="F122" s="476">
        <f>C122*E122</f>
        <v>64048.4</v>
      </c>
      <c r="H122" s="478"/>
      <c r="I122" s="477"/>
    </row>
    <row r="123" spans="1:12" s="426" customFormat="1" x14ac:dyDescent="0.25">
      <c r="A123" s="511"/>
      <c r="B123" s="488"/>
      <c r="C123" s="489"/>
      <c r="D123" s="474"/>
      <c r="E123" s="475"/>
      <c r="F123" s="476"/>
      <c r="H123" s="478"/>
      <c r="I123" s="477"/>
    </row>
    <row r="124" spans="1:12" s="426" customFormat="1" x14ac:dyDescent="0.25">
      <c r="A124" s="511" t="s">
        <v>433</v>
      </c>
      <c r="B124" s="488" t="s">
        <v>54</v>
      </c>
      <c r="C124" s="489">
        <v>4.2</v>
      </c>
      <c r="D124" s="474" t="s">
        <v>170</v>
      </c>
      <c r="E124" s="475">
        <v>14690</v>
      </c>
      <c r="F124" s="476">
        <f>C124*E124</f>
        <v>61698</v>
      </c>
      <c r="H124" s="478"/>
      <c r="I124" s="477"/>
      <c r="J124" s="426">
        <f>C116+C117+C121+C122+C124+C125</f>
        <v>27.139999999999997</v>
      </c>
    </row>
    <row r="125" spans="1:12" s="426" customFormat="1" x14ac:dyDescent="0.25">
      <c r="A125" s="511" t="s">
        <v>434</v>
      </c>
      <c r="B125" s="488" t="s">
        <v>55</v>
      </c>
      <c r="C125" s="489">
        <v>4.2</v>
      </c>
      <c r="D125" s="474" t="s">
        <v>170</v>
      </c>
      <c r="E125" s="475">
        <v>14690</v>
      </c>
      <c r="F125" s="476">
        <f>C125*E125</f>
        <v>61698</v>
      </c>
      <c r="H125" s="478"/>
      <c r="I125" s="477"/>
    </row>
    <row r="126" spans="1:12" s="426" customFormat="1" x14ac:dyDescent="0.25">
      <c r="A126" s="511"/>
      <c r="B126" s="488"/>
      <c r="C126" s="489"/>
      <c r="D126" s="474"/>
      <c r="E126" s="475"/>
      <c r="F126" s="476"/>
      <c r="H126" s="478"/>
      <c r="I126" s="477"/>
    </row>
    <row r="127" spans="1:12" s="477" customFormat="1" ht="16.8" x14ac:dyDescent="0.25">
      <c r="A127" s="511" t="s">
        <v>435</v>
      </c>
      <c r="B127" s="488" t="s">
        <v>171</v>
      </c>
      <c r="C127" s="489"/>
      <c r="D127" s="474" t="s">
        <v>172</v>
      </c>
      <c r="E127" s="475">
        <v>325</v>
      </c>
      <c r="F127" s="476"/>
      <c r="H127" s="478"/>
    </row>
    <row r="128" spans="1:12" s="477" customFormat="1" x14ac:dyDescent="0.25">
      <c r="A128" s="511" t="s">
        <v>436</v>
      </c>
      <c r="B128" s="488" t="s">
        <v>173</v>
      </c>
      <c r="C128" s="489">
        <v>118.12</v>
      </c>
      <c r="D128" s="474" t="s">
        <v>170</v>
      </c>
      <c r="E128" s="475">
        <v>500</v>
      </c>
      <c r="F128" s="476">
        <f>C128*E128</f>
        <v>59060</v>
      </c>
      <c r="H128" s="478">
        <f>C114+C115+C116+C117+C119+C120+C121+C122+C124+C125</f>
        <v>118.12</v>
      </c>
    </row>
    <row r="129" spans="1:9" s="477" customFormat="1" ht="16.8" x14ac:dyDescent="0.25">
      <c r="A129" s="511" t="s">
        <v>437</v>
      </c>
      <c r="B129" s="488" t="s">
        <v>342</v>
      </c>
      <c r="C129" s="489">
        <v>4</v>
      </c>
      <c r="D129" s="474" t="s">
        <v>78</v>
      </c>
      <c r="E129" s="475">
        <v>21750</v>
      </c>
      <c r="F129" s="476">
        <f>C129*E129</f>
        <v>87000</v>
      </c>
      <c r="H129" s="478">
        <f>H128/5</f>
        <v>23.624000000000002</v>
      </c>
      <c r="I129" s="477">
        <f>H129*3</f>
        <v>70.872000000000014</v>
      </c>
    </row>
    <row r="130" spans="1:9" ht="33.6" x14ac:dyDescent="0.25">
      <c r="A130" s="511" t="s">
        <v>438</v>
      </c>
      <c r="B130" s="482" t="s">
        <v>343</v>
      </c>
      <c r="C130" s="483">
        <v>39.380000000000003</v>
      </c>
      <c r="D130" s="474" t="s">
        <v>170</v>
      </c>
      <c r="E130" s="475">
        <v>725</v>
      </c>
      <c r="F130" s="476">
        <f t="shared" ref="F130:F132" si="7">C130*E130</f>
        <v>28550.500000000004</v>
      </c>
      <c r="G130" s="477"/>
      <c r="H130" s="478"/>
    </row>
    <row r="131" spans="1:9" ht="27.6" x14ac:dyDescent="0.25">
      <c r="A131" s="511" t="s">
        <v>439</v>
      </c>
      <c r="B131" s="515" t="s">
        <v>344</v>
      </c>
      <c r="C131" s="483">
        <f>532*10.76</f>
        <v>5724.32</v>
      </c>
      <c r="D131" s="474" t="s">
        <v>346</v>
      </c>
      <c r="E131" s="475">
        <v>5.25</v>
      </c>
      <c r="F131" s="476">
        <f t="shared" si="7"/>
        <v>30052.68</v>
      </c>
      <c r="G131" s="477"/>
      <c r="H131" s="478"/>
    </row>
    <row r="132" spans="1:9" ht="55.2" x14ac:dyDescent="0.25">
      <c r="A132" s="511" t="s">
        <v>440</v>
      </c>
      <c r="B132" s="482" t="s">
        <v>345</v>
      </c>
      <c r="C132" s="483">
        <v>72</v>
      </c>
      <c r="D132" s="474" t="s">
        <v>78</v>
      </c>
      <c r="E132" s="475">
        <v>1155</v>
      </c>
      <c r="F132" s="476">
        <f t="shared" si="7"/>
        <v>83160</v>
      </c>
      <c r="G132" s="477"/>
      <c r="H132" s="478"/>
    </row>
    <row r="133" spans="1:9" x14ac:dyDescent="0.25">
      <c r="A133" s="511"/>
      <c r="B133" s="482"/>
      <c r="C133" s="483"/>
      <c r="D133" s="474"/>
      <c r="E133" s="475"/>
      <c r="F133" s="476"/>
      <c r="G133" s="477"/>
      <c r="H133" s="478"/>
    </row>
    <row r="134" spans="1:9" x14ac:dyDescent="0.25">
      <c r="A134" s="511"/>
      <c r="B134" s="482"/>
      <c r="C134" s="483"/>
      <c r="D134" s="474"/>
      <c r="E134" s="475"/>
      <c r="F134" s="476"/>
      <c r="G134" s="477"/>
      <c r="H134" s="478"/>
    </row>
    <row r="135" spans="1:9" s="477" customFormat="1" x14ac:dyDescent="0.25">
      <c r="A135" s="499"/>
      <c r="B135" s="500" t="s">
        <v>46</v>
      </c>
      <c r="C135" s="501"/>
      <c r="D135" s="502"/>
      <c r="E135" s="503"/>
      <c r="F135" s="504">
        <f>SUM(F88:F133)</f>
        <v>4209405.1300000008</v>
      </c>
      <c r="H135" s="478"/>
    </row>
    <row r="136" spans="1:9" s="519" customFormat="1" ht="28.05" customHeight="1" x14ac:dyDescent="0.25">
      <c r="A136" s="490"/>
      <c r="B136" s="491" t="s">
        <v>174</v>
      </c>
      <c r="C136" s="492"/>
      <c r="D136" s="516"/>
      <c r="E136" s="517"/>
      <c r="F136" s="518"/>
      <c r="H136" s="520"/>
    </row>
    <row r="137" spans="1:9" s="519" customFormat="1" ht="20.100000000000001" customHeight="1" x14ac:dyDescent="0.25">
      <c r="A137" s="490"/>
      <c r="B137" s="479" t="s">
        <v>175</v>
      </c>
      <c r="C137" s="480"/>
      <c r="D137" s="516"/>
      <c r="E137" s="517"/>
      <c r="F137" s="518"/>
      <c r="H137" s="520"/>
    </row>
    <row r="138" spans="1:9" s="519" customFormat="1" ht="88.05" customHeight="1" x14ac:dyDescent="0.25">
      <c r="A138" s="490" t="s">
        <v>176</v>
      </c>
      <c r="B138" s="486" t="s">
        <v>177</v>
      </c>
      <c r="C138" s="487"/>
      <c r="D138" s="516"/>
      <c r="E138" s="517"/>
      <c r="F138" s="518"/>
      <c r="H138" s="520"/>
    </row>
    <row r="139" spans="1:9" s="519" customFormat="1" ht="88.05" customHeight="1" x14ac:dyDescent="0.25">
      <c r="A139" s="490" t="s">
        <v>178</v>
      </c>
      <c r="B139" s="486" t="s">
        <v>179</v>
      </c>
      <c r="C139" s="487"/>
      <c r="D139" s="516"/>
      <c r="E139" s="517"/>
      <c r="F139" s="518"/>
      <c r="H139" s="520"/>
    </row>
    <row r="140" spans="1:9" s="519" customFormat="1" ht="58.5" customHeight="1" x14ac:dyDescent="0.25">
      <c r="A140" s="490" t="s">
        <v>180</v>
      </c>
      <c r="B140" s="486" t="s">
        <v>181</v>
      </c>
      <c r="C140" s="487"/>
      <c r="D140" s="516"/>
      <c r="E140" s="517"/>
      <c r="F140" s="518"/>
      <c r="H140" s="520"/>
    </row>
    <row r="141" spans="1:9" ht="27.6" x14ac:dyDescent="0.25">
      <c r="A141" s="481" t="s">
        <v>182</v>
      </c>
      <c r="B141" s="482" t="s">
        <v>183</v>
      </c>
      <c r="C141" s="483"/>
      <c r="D141" s="474"/>
      <c r="E141" s="475"/>
      <c r="F141" s="476"/>
      <c r="G141" s="477"/>
      <c r="H141" s="478">
        <f>35.04*10.76</f>
        <v>377.03039999999999</v>
      </c>
    </row>
    <row r="142" spans="1:9" x14ac:dyDescent="0.25">
      <c r="A142" s="481" t="s">
        <v>441</v>
      </c>
      <c r="B142" s="482" t="s">
        <v>108</v>
      </c>
      <c r="C142" s="483">
        <v>3.77</v>
      </c>
      <c r="D142" s="474" t="s">
        <v>129</v>
      </c>
      <c r="E142" s="475">
        <v>3725</v>
      </c>
      <c r="F142" s="476">
        <f t="shared" ref="F142:F144" si="8">C142*E142</f>
        <v>14043.25</v>
      </c>
      <c r="G142" s="477"/>
      <c r="H142" s="478"/>
    </row>
    <row r="143" spans="1:9" x14ac:dyDescent="0.25">
      <c r="A143" s="481" t="s">
        <v>442</v>
      </c>
      <c r="B143" s="482" t="s">
        <v>102</v>
      </c>
      <c r="C143" s="483">
        <v>0.61</v>
      </c>
      <c r="D143" s="474" t="s">
        <v>129</v>
      </c>
      <c r="E143" s="475">
        <v>3725</v>
      </c>
      <c r="F143" s="476">
        <f t="shared" si="8"/>
        <v>2272.25</v>
      </c>
      <c r="G143" s="477"/>
      <c r="H143" s="478">
        <f>+C143*10.76</f>
        <v>6.5636000000000001</v>
      </c>
    </row>
    <row r="144" spans="1:9" x14ac:dyDescent="0.25">
      <c r="A144" s="481" t="s">
        <v>443</v>
      </c>
      <c r="B144" s="482" t="s">
        <v>113</v>
      </c>
      <c r="C144" s="483">
        <v>0.12</v>
      </c>
      <c r="D144" s="474" t="s">
        <v>129</v>
      </c>
      <c r="E144" s="475">
        <v>3725</v>
      </c>
      <c r="F144" s="476">
        <f t="shared" si="8"/>
        <v>447</v>
      </c>
      <c r="G144" s="477"/>
      <c r="H144" s="478">
        <f>+C144*10.76</f>
        <v>1.2911999999999999</v>
      </c>
    </row>
    <row r="145" spans="1:9" x14ac:dyDescent="0.25">
      <c r="A145" s="481"/>
      <c r="B145" s="482"/>
      <c r="C145" s="483"/>
      <c r="D145" s="474"/>
      <c r="E145" s="475"/>
      <c r="F145" s="476"/>
      <c r="G145" s="477"/>
      <c r="H145" s="478"/>
    </row>
    <row r="146" spans="1:9" ht="38.1" customHeight="1" x14ac:dyDescent="0.25">
      <c r="A146" s="481" t="s">
        <v>184</v>
      </c>
      <c r="B146" s="482" t="s">
        <v>185</v>
      </c>
      <c r="C146" s="483">
        <v>11.35</v>
      </c>
      <c r="D146" s="474" t="s">
        <v>129</v>
      </c>
      <c r="E146" s="475">
        <v>13385</v>
      </c>
      <c r="F146" s="476">
        <f t="shared" ref="F146" si="9">C146*E146</f>
        <v>151919.75</v>
      </c>
      <c r="H146" s="485">
        <f>105.5*10.76</f>
        <v>1135.18</v>
      </c>
    </row>
    <row r="147" spans="1:9" x14ac:dyDescent="0.25">
      <c r="A147" s="481"/>
      <c r="B147" s="482"/>
      <c r="C147" s="483"/>
      <c r="D147" s="474"/>
      <c r="E147" s="475"/>
      <c r="F147" s="476"/>
    </row>
    <row r="148" spans="1:9" ht="22.5" customHeight="1" x14ac:dyDescent="0.25">
      <c r="A148" s="481" t="s">
        <v>186</v>
      </c>
      <c r="B148" s="482" t="s">
        <v>132</v>
      </c>
      <c r="C148" s="483"/>
      <c r="D148" s="474"/>
      <c r="E148" s="475"/>
      <c r="F148" s="476"/>
    </row>
    <row r="149" spans="1:9" x14ac:dyDescent="0.25">
      <c r="A149" s="481"/>
      <c r="B149" s="482" t="s">
        <v>348</v>
      </c>
      <c r="C149" s="483">
        <v>2.63</v>
      </c>
      <c r="D149" s="474" t="s">
        <v>129</v>
      </c>
      <c r="E149" s="475">
        <v>15850</v>
      </c>
      <c r="F149" s="476">
        <f t="shared" ref="F149:F153" si="10">C149*E149</f>
        <v>41685.5</v>
      </c>
      <c r="H149" s="485">
        <f>24.47*10.76</f>
        <v>263.29719999999998</v>
      </c>
    </row>
    <row r="150" spans="1:9" x14ac:dyDescent="0.25">
      <c r="A150" s="481" t="s">
        <v>445</v>
      </c>
      <c r="B150" s="482" t="s">
        <v>48</v>
      </c>
      <c r="C150" s="483">
        <v>10.06</v>
      </c>
      <c r="D150" s="474" t="s">
        <v>129</v>
      </c>
      <c r="E150" s="475">
        <f>+E149*1.03</f>
        <v>16325.5</v>
      </c>
      <c r="F150" s="476">
        <f t="shared" si="10"/>
        <v>164234.53</v>
      </c>
      <c r="H150" s="485">
        <f>+C150*10.76</f>
        <v>108.24560000000001</v>
      </c>
      <c r="I150" s="484">
        <v>1005.522</v>
      </c>
    </row>
    <row r="151" spans="1:9" x14ac:dyDescent="0.25">
      <c r="A151" s="481" t="s">
        <v>446</v>
      </c>
      <c r="B151" s="482" t="s">
        <v>49</v>
      </c>
      <c r="C151" s="483">
        <v>7.41</v>
      </c>
      <c r="D151" s="474" t="s">
        <v>129</v>
      </c>
      <c r="E151" s="475">
        <f>+E149*1.05</f>
        <v>16642.5</v>
      </c>
      <c r="F151" s="476">
        <f t="shared" si="10"/>
        <v>123320.925</v>
      </c>
      <c r="H151" s="485">
        <f t="shared" ref="H151:H153" si="11">+C151*10.76</f>
        <v>79.7316</v>
      </c>
      <c r="I151" s="484">
        <v>741.14879999999994</v>
      </c>
    </row>
    <row r="152" spans="1:9" x14ac:dyDescent="0.25">
      <c r="A152" s="481" t="s">
        <v>447</v>
      </c>
      <c r="B152" s="482" t="s">
        <v>109</v>
      </c>
      <c r="C152" s="483">
        <v>5.29</v>
      </c>
      <c r="D152" s="474" t="s">
        <v>129</v>
      </c>
      <c r="E152" s="475">
        <f>+E149*1.07</f>
        <v>16959.5</v>
      </c>
      <c r="F152" s="476">
        <f t="shared" si="10"/>
        <v>89715.755000000005</v>
      </c>
      <c r="H152" s="485">
        <f t="shared" si="11"/>
        <v>56.920400000000001</v>
      </c>
      <c r="I152" s="484">
        <v>529.39200000000005</v>
      </c>
    </row>
    <row r="153" spans="1:9" x14ac:dyDescent="0.25">
      <c r="A153" s="481" t="s">
        <v>448</v>
      </c>
      <c r="B153" s="482" t="s">
        <v>110</v>
      </c>
      <c r="C153" s="483">
        <v>3.24</v>
      </c>
      <c r="D153" s="474" t="s">
        <v>129</v>
      </c>
      <c r="E153" s="475">
        <f>+E149*1.1</f>
        <v>17435</v>
      </c>
      <c r="F153" s="476">
        <f t="shared" si="10"/>
        <v>56489.4</v>
      </c>
      <c r="H153" s="485">
        <f t="shared" si="11"/>
        <v>34.862400000000001</v>
      </c>
      <c r="I153" s="484">
        <v>324.09120000000001</v>
      </c>
    </row>
    <row r="154" spans="1:9" x14ac:dyDescent="0.25">
      <c r="A154" s="481"/>
      <c r="B154" s="482"/>
      <c r="C154" s="483"/>
      <c r="D154" s="474"/>
      <c r="E154" s="475"/>
      <c r="F154" s="476"/>
    </row>
    <row r="155" spans="1:9" ht="38.1" customHeight="1" x14ac:dyDescent="0.25">
      <c r="A155" s="481" t="s">
        <v>444</v>
      </c>
      <c r="B155" s="482" t="s">
        <v>349</v>
      </c>
      <c r="C155" s="483"/>
      <c r="D155" s="474" t="s">
        <v>129</v>
      </c>
      <c r="E155" s="475"/>
      <c r="F155" s="476"/>
    </row>
    <row r="156" spans="1:9" x14ac:dyDescent="0.25">
      <c r="A156" s="481" t="s">
        <v>449</v>
      </c>
      <c r="B156" s="482" t="s">
        <v>52</v>
      </c>
      <c r="C156" s="483">
        <v>25.46</v>
      </c>
      <c r="D156" s="474" t="s">
        <v>129</v>
      </c>
      <c r="E156" s="475">
        <v>13600</v>
      </c>
      <c r="F156" s="476">
        <f t="shared" ref="F156:F159" si="12">C156*E156</f>
        <v>346256</v>
      </c>
      <c r="H156" s="485">
        <f>+C156*10.76</f>
        <v>273.94959999999998</v>
      </c>
      <c r="I156" s="484">
        <v>25.46</v>
      </c>
    </row>
    <row r="157" spans="1:9" x14ac:dyDescent="0.25">
      <c r="A157" s="481" t="s">
        <v>450</v>
      </c>
      <c r="B157" s="482" t="s">
        <v>53</v>
      </c>
      <c r="C157" s="483">
        <v>25.46</v>
      </c>
      <c r="D157" s="474" t="s">
        <v>129</v>
      </c>
      <c r="E157" s="475">
        <f>+E156*1.03</f>
        <v>14008</v>
      </c>
      <c r="F157" s="476">
        <f t="shared" si="12"/>
        <v>356643.68</v>
      </c>
      <c r="H157" s="485">
        <f t="shared" ref="H157:H159" si="13">+C157*10.76</f>
        <v>273.94959999999998</v>
      </c>
      <c r="I157" s="484">
        <v>25.46</v>
      </c>
    </row>
    <row r="158" spans="1:9" x14ac:dyDescent="0.25">
      <c r="A158" s="481" t="s">
        <v>451</v>
      </c>
      <c r="B158" s="482" t="s">
        <v>114</v>
      </c>
      <c r="C158" s="483">
        <v>3.13</v>
      </c>
      <c r="D158" s="474" t="s">
        <v>129</v>
      </c>
      <c r="E158" s="475">
        <f>+E156*1.05</f>
        <v>14280</v>
      </c>
      <c r="F158" s="476">
        <f t="shared" si="12"/>
        <v>44696.4</v>
      </c>
      <c r="H158" s="485">
        <f t="shared" si="13"/>
        <v>33.678799999999995</v>
      </c>
      <c r="I158" s="484">
        <v>3.13</v>
      </c>
    </row>
    <row r="159" spans="1:9" x14ac:dyDescent="0.25">
      <c r="A159" s="481" t="s">
        <v>452</v>
      </c>
      <c r="B159" s="482" t="s">
        <v>115</v>
      </c>
      <c r="C159" s="483">
        <v>3.13</v>
      </c>
      <c r="D159" s="474" t="s">
        <v>129</v>
      </c>
      <c r="E159" s="475">
        <f>+E156*1.07</f>
        <v>14552</v>
      </c>
      <c r="F159" s="476">
        <f t="shared" si="12"/>
        <v>45547.76</v>
      </c>
      <c r="H159" s="485">
        <f t="shared" si="13"/>
        <v>33.678799999999995</v>
      </c>
      <c r="I159" s="484">
        <v>3.13</v>
      </c>
    </row>
    <row r="160" spans="1:9" x14ac:dyDescent="0.25">
      <c r="A160" s="481"/>
      <c r="B160" s="482"/>
      <c r="C160" s="483"/>
      <c r="D160" s="474"/>
      <c r="E160" s="475"/>
      <c r="F160" s="476"/>
    </row>
    <row r="161" spans="1:9" x14ac:dyDescent="0.25">
      <c r="A161" s="481"/>
      <c r="B161" s="482"/>
      <c r="C161" s="483"/>
      <c r="D161" s="474"/>
      <c r="E161" s="475"/>
      <c r="F161" s="476"/>
    </row>
    <row r="162" spans="1:9" ht="55.2" x14ac:dyDescent="0.25">
      <c r="A162" s="481" t="s">
        <v>187</v>
      </c>
      <c r="B162" s="482" t="s">
        <v>350</v>
      </c>
      <c r="C162" s="483"/>
      <c r="D162" s="474"/>
      <c r="E162" s="475"/>
      <c r="F162" s="476"/>
    </row>
    <row r="163" spans="1:9" x14ac:dyDescent="0.25">
      <c r="A163" s="481" t="s">
        <v>454</v>
      </c>
      <c r="B163" s="482" t="s">
        <v>50</v>
      </c>
      <c r="C163" s="483">
        <v>15.36</v>
      </c>
      <c r="D163" s="474" t="s">
        <v>129</v>
      </c>
      <c r="E163" s="475">
        <v>18735</v>
      </c>
      <c r="F163" s="476">
        <f t="shared" ref="F163:F166" si="14">C163*E163</f>
        <v>287769.59999999998</v>
      </c>
      <c r="H163" s="485">
        <f>+C163*10.76</f>
        <v>165.27359999999999</v>
      </c>
      <c r="I163" s="484">
        <v>1535.5596</v>
      </c>
    </row>
    <row r="164" spans="1:9" x14ac:dyDescent="0.25">
      <c r="A164" s="481" t="s">
        <v>455</v>
      </c>
      <c r="B164" s="482" t="s">
        <v>51</v>
      </c>
      <c r="C164" s="483">
        <v>13.21</v>
      </c>
      <c r="D164" s="474" t="s">
        <v>129</v>
      </c>
      <c r="E164" s="475">
        <f>+E163*1.03</f>
        <v>19297.05</v>
      </c>
      <c r="F164" s="476">
        <f t="shared" si="14"/>
        <v>254914.03049999999</v>
      </c>
      <c r="H164" s="485">
        <f t="shared" ref="H164:H166" si="15">+C164*10.76</f>
        <v>142.1396</v>
      </c>
      <c r="I164" s="484">
        <v>1321.328</v>
      </c>
    </row>
    <row r="165" spans="1:9" x14ac:dyDescent="0.25">
      <c r="A165" s="481" t="s">
        <v>456</v>
      </c>
      <c r="B165" s="482" t="s">
        <v>111</v>
      </c>
      <c r="C165" s="483">
        <v>7.25</v>
      </c>
      <c r="D165" s="474" t="s">
        <v>129</v>
      </c>
      <c r="E165" s="475">
        <f>+E163*1.05</f>
        <v>19671.75</v>
      </c>
      <c r="F165" s="476">
        <f t="shared" si="14"/>
        <v>142620.1875</v>
      </c>
      <c r="H165" s="485">
        <f t="shared" si="15"/>
        <v>78.010000000000005</v>
      </c>
      <c r="I165" s="484">
        <v>724.79359999999997</v>
      </c>
    </row>
    <row r="166" spans="1:9" x14ac:dyDescent="0.25">
      <c r="A166" s="481" t="s">
        <v>457</v>
      </c>
      <c r="B166" s="482" t="s">
        <v>112</v>
      </c>
      <c r="C166" s="483">
        <v>2.63</v>
      </c>
      <c r="D166" s="474" t="s">
        <v>129</v>
      </c>
      <c r="E166" s="475">
        <f>+E163*1.07</f>
        <v>20046.45</v>
      </c>
      <c r="F166" s="476">
        <f t="shared" si="14"/>
        <v>52722.163500000002</v>
      </c>
      <c r="H166" s="485">
        <f t="shared" si="15"/>
        <v>28.2988</v>
      </c>
      <c r="I166" s="484">
        <v>262.9744</v>
      </c>
    </row>
    <row r="167" spans="1:9" x14ac:dyDescent="0.25">
      <c r="A167" s="481"/>
      <c r="B167" s="482"/>
      <c r="C167" s="483"/>
      <c r="D167" s="474"/>
      <c r="E167" s="475"/>
      <c r="F167" s="476"/>
    </row>
    <row r="168" spans="1:9" s="477" customFormat="1" ht="28.05" customHeight="1" x14ac:dyDescent="0.25">
      <c r="A168" s="471"/>
      <c r="B168" s="486" t="s">
        <v>188</v>
      </c>
      <c r="C168" s="487"/>
      <c r="D168" s="474"/>
      <c r="E168" s="475"/>
      <c r="F168" s="476"/>
      <c r="H168" s="478"/>
    </row>
    <row r="169" spans="1:9" s="477" customFormat="1" ht="71.25" customHeight="1" x14ac:dyDescent="0.25">
      <c r="A169" s="471"/>
      <c r="B169" s="486" t="s">
        <v>189</v>
      </c>
      <c r="C169" s="487"/>
      <c r="D169" s="474"/>
      <c r="E169" s="475"/>
      <c r="F169" s="476"/>
      <c r="H169" s="478"/>
    </row>
    <row r="170" spans="1:9" ht="38.1" customHeight="1" x14ac:dyDescent="0.25">
      <c r="A170" s="481" t="s">
        <v>453</v>
      </c>
      <c r="B170" s="482" t="s">
        <v>190</v>
      </c>
      <c r="C170" s="483"/>
      <c r="D170" s="474"/>
      <c r="E170" s="475"/>
      <c r="F170" s="476"/>
    </row>
    <row r="171" spans="1:9" x14ac:dyDescent="0.25">
      <c r="A171" s="481" t="s">
        <v>458</v>
      </c>
      <c r="B171" s="482" t="s">
        <v>351</v>
      </c>
      <c r="C171" s="483">
        <v>0.65</v>
      </c>
      <c r="D171" s="474" t="s">
        <v>129</v>
      </c>
      <c r="E171" s="475">
        <v>3700</v>
      </c>
      <c r="F171" s="476">
        <f>C171*E171</f>
        <v>2405</v>
      </c>
    </row>
    <row r="172" spans="1:9" x14ac:dyDescent="0.25">
      <c r="A172" s="481" t="s">
        <v>459</v>
      </c>
      <c r="B172" s="482" t="s">
        <v>54</v>
      </c>
      <c r="C172" s="483">
        <v>4</v>
      </c>
      <c r="D172" s="474" t="s">
        <v>129</v>
      </c>
      <c r="E172" s="475">
        <f>+E171*1.03</f>
        <v>3811</v>
      </c>
      <c r="F172" s="476">
        <f t="shared" ref="F172:F173" si="16">C172*E172</f>
        <v>15244</v>
      </c>
      <c r="H172" s="485" t="e">
        <f>+#REF!*10.76</f>
        <v>#REF!</v>
      </c>
      <c r="I172" s="484">
        <v>399.5188</v>
      </c>
    </row>
    <row r="173" spans="1:9" x14ac:dyDescent="0.25">
      <c r="A173" s="481" t="s">
        <v>460</v>
      </c>
      <c r="B173" s="482" t="s">
        <v>55</v>
      </c>
      <c r="C173" s="483">
        <v>4</v>
      </c>
      <c r="D173" s="474" t="s">
        <v>129</v>
      </c>
      <c r="E173" s="475">
        <f>+E171*1.05</f>
        <v>3885</v>
      </c>
      <c r="F173" s="476">
        <f t="shared" si="16"/>
        <v>15540</v>
      </c>
      <c r="H173" s="485" t="e">
        <f>+#REF!*10.76</f>
        <v>#REF!</v>
      </c>
      <c r="I173" s="484">
        <v>399.5188</v>
      </c>
    </row>
    <row r="174" spans="1:9" x14ac:dyDescent="0.25">
      <c r="A174" s="474"/>
      <c r="B174" s="482"/>
      <c r="C174" s="483"/>
      <c r="D174" s="474"/>
      <c r="E174" s="475"/>
      <c r="F174" s="476"/>
    </row>
    <row r="175" spans="1:9" x14ac:dyDescent="0.25">
      <c r="A175" s="474"/>
      <c r="B175" s="482"/>
      <c r="C175" s="483"/>
      <c r="D175" s="474"/>
      <c r="E175" s="475"/>
      <c r="F175" s="476"/>
    </row>
    <row r="176" spans="1:9" x14ac:dyDescent="0.25">
      <c r="A176" s="474"/>
      <c r="B176" s="482"/>
      <c r="C176" s="483"/>
      <c r="D176" s="474"/>
      <c r="E176" s="475"/>
      <c r="F176" s="476"/>
    </row>
    <row r="177" spans="1:8" x14ac:dyDescent="0.25">
      <c r="A177" s="474"/>
      <c r="B177" s="482"/>
      <c r="C177" s="483"/>
      <c r="D177" s="474"/>
      <c r="E177" s="475"/>
      <c r="F177" s="476"/>
    </row>
    <row r="178" spans="1:8" s="477" customFormat="1" x14ac:dyDescent="0.25">
      <c r="A178" s="499"/>
      <c r="B178" s="500" t="s">
        <v>46</v>
      </c>
      <c r="C178" s="501"/>
      <c r="D178" s="502"/>
      <c r="E178" s="503"/>
      <c r="F178" s="504">
        <f>SUM(F141:F176)</f>
        <v>2208487.1814999995</v>
      </c>
      <c r="H178" s="478"/>
    </row>
    <row r="179" spans="1:8" s="477" customFormat="1" ht="28.05" customHeight="1" x14ac:dyDescent="0.25">
      <c r="A179" s="471"/>
      <c r="B179" s="491" t="s">
        <v>191</v>
      </c>
      <c r="C179" s="492"/>
      <c r="D179" s="474"/>
      <c r="E179" s="475"/>
      <c r="F179" s="476"/>
      <c r="H179" s="478"/>
    </row>
    <row r="180" spans="1:8" ht="55.05" customHeight="1" x14ac:dyDescent="0.25">
      <c r="A180" s="481" t="s">
        <v>192</v>
      </c>
      <c r="B180" s="482" t="s">
        <v>352</v>
      </c>
      <c r="C180" s="483"/>
      <c r="D180" s="474"/>
      <c r="E180" s="475"/>
      <c r="F180" s="476"/>
    </row>
    <row r="181" spans="1:8" x14ac:dyDescent="0.25">
      <c r="A181" s="474" t="s">
        <v>461</v>
      </c>
      <c r="B181" s="482" t="s">
        <v>98</v>
      </c>
      <c r="C181" s="483">
        <v>160</v>
      </c>
      <c r="D181" s="474" t="s">
        <v>134</v>
      </c>
      <c r="E181" s="475">
        <v>192</v>
      </c>
      <c r="F181" s="476">
        <f>+C181*E181</f>
        <v>30720</v>
      </c>
    </row>
    <row r="182" spans="1:8" x14ac:dyDescent="0.25">
      <c r="A182" s="474" t="s">
        <v>462</v>
      </c>
      <c r="B182" s="482" t="s">
        <v>99</v>
      </c>
      <c r="C182" s="483">
        <v>930</v>
      </c>
      <c r="D182" s="474" t="s">
        <v>134</v>
      </c>
      <c r="E182" s="475">
        <v>192</v>
      </c>
      <c r="F182" s="476">
        <f>+C182*E182</f>
        <v>178560</v>
      </c>
    </row>
    <row r="183" spans="1:8" x14ac:dyDescent="0.25">
      <c r="A183" s="481"/>
      <c r="B183" s="482"/>
      <c r="C183" s="483"/>
      <c r="D183" s="474"/>
      <c r="E183" s="475"/>
      <c r="F183" s="476"/>
    </row>
    <row r="184" spans="1:8" ht="41.4" x14ac:dyDescent="0.25">
      <c r="A184" s="481" t="s">
        <v>193</v>
      </c>
      <c r="B184" s="482" t="s">
        <v>133</v>
      </c>
      <c r="C184" s="483"/>
      <c r="D184" s="474"/>
      <c r="E184" s="475"/>
      <c r="F184" s="476"/>
    </row>
    <row r="185" spans="1:8" x14ac:dyDescent="0.25">
      <c r="A185" s="474" t="s">
        <v>463</v>
      </c>
      <c r="B185" s="482" t="s">
        <v>98</v>
      </c>
      <c r="C185" s="483">
        <v>360.5</v>
      </c>
      <c r="D185" s="474" t="s">
        <v>134</v>
      </c>
      <c r="E185" s="475">
        <v>192</v>
      </c>
      <c r="F185" s="476">
        <f>+C185*E185</f>
        <v>69216</v>
      </c>
    </row>
    <row r="186" spans="1:8" x14ac:dyDescent="0.25">
      <c r="A186" s="474" t="s">
        <v>464</v>
      </c>
      <c r="B186" s="482" t="s">
        <v>354</v>
      </c>
      <c r="C186" s="483">
        <v>805</v>
      </c>
      <c r="D186" s="474" t="s">
        <v>134</v>
      </c>
      <c r="E186" s="475">
        <v>192</v>
      </c>
      <c r="F186" s="476">
        <f>+C186*E186</f>
        <v>154560</v>
      </c>
    </row>
    <row r="187" spans="1:8" x14ac:dyDescent="0.25">
      <c r="A187" s="481"/>
      <c r="B187" s="482"/>
      <c r="C187" s="483"/>
      <c r="D187" s="474"/>
      <c r="E187" s="475"/>
      <c r="F187" s="476"/>
    </row>
    <row r="188" spans="1:8" ht="55.05" customHeight="1" x14ac:dyDescent="0.25">
      <c r="A188" s="481" t="s">
        <v>195</v>
      </c>
      <c r="B188" s="482" t="s">
        <v>194</v>
      </c>
      <c r="C188" s="483"/>
      <c r="D188" s="474"/>
      <c r="E188" s="475"/>
      <c r="F188" s="476"/>
    </row>
    <row r="189" spans="1:8" x14ac:dyDescent="0.25">
      <c r="A189" s="481" t="s">
        <v>465</v>
      </c>
      <c r="B189" s="482" t="s">
        <v>98</v>
      </c>
      <c r="C189" s="483">
        <v>287</v>
      </c>
      <c r="D189" s="474" t="s">
        <v>134</v>
      </c>
      <c r="E189" s="475">
        <v>198</v>
      </c>
      <c r="F189" s="476">
        <f>+C189*E189</f>
        <v>56826</v>
      </c>
    </row>
    <row r="190" spans="1:8" x14ac:dyDescent="0.25">
      <c r="A190" s="481" t="s">
        <v>466</v>
      </c>
      <c r="B190" s="482" t="s">
        <v>354</v>
      </c>
      <c r="C190" s="483">
        <v>724.5</v>
      </c>
      <c r="D190" s="474" t="s">
        <v>134</v>
      </c>
      <c r="E190" s="475">
        <v>198</v>
      </c>
      <c r="F190" s="476">
        <f>+C190*E190</f>
        <v>143451</v>
      </c>
    </row>
    <row r="191" spans="1:8" x14ac:dyDescent="0.25">
      <c r="A191" s="481"/>
      <c r="B191" s="482"/>
      <c r="C191" s="483"/>
      <c r="D191" s="474"/>
      <c r="E191" s="475"/>
      <c r="F191" s="476"/>
    </row>
    <row r="192" spans="1:8" ht="55.05" customHeight="1" x14ac:dyDescent="0.25">
      <c r="A192" s="481" t="s">
        <v>197</v>
      </c>
      <c r="B192" s="482" t="s">
        <v>196</v>
      </c>
      <c r="C192" s="483"/>
      <c r="D192" s="474"/>
      <c r="E192" s="475"/>
      <c r="F192" s="476"/>
    </row>
    <row r="193" spans="1:6" x14ac:dyDescent="0.25">
      <c r="A193" s="481" t="s">
        <v>467</v>
      </c>
      <c r="B193" s="482" t="s">
        <v>98</v>
      </c>
      <c r="C193" s="483">
        <v>203</v>
      </c>
      <c r="D193" s="474" t="s">
        <v>134</v>
      </c>
      <c r="E193" s="475">
        <v>202</v>
      </c>
      <c r="F193" s="476">
        <f>+C193*E193</f>
        <v>41006</v>
      </c>
    </row>
    <row r="194" spans="1:6" x14ac:dyDescent="0.25">
      <c r="A194" s="481" t="s">
        <v>468</v>
      </c>
      <c r="B194" s="482" t="s">
        <v>354</v>
      </c>
      <c r="C194" s="483">
        <v>385</v>
      </c>
      <c r="D194" s="474" t="s">
        <v>134</v>
      </c>
      <c r="E194" s="475">
        <v>202</v>
      </c>
      <c r="F194" s="476">
        <f>+C194*E194</f>
        <v>77770</v>
      </c>
    </row>
    <row r="195" spans="1:6" x14ac:dyDescent="0.25">
      <c r="A195" s="481"/>
      <c r="B195" s="482"/>
      <c r="C195" s="483"/>
      <c r="D195" s="474"/>
      <c r="E195" s="475"/>
      <c r="F195" s="476"/>
    </row>
    <row r="196" spans="1:6" ht="41.4" x14ac:dyDescent="0.25">
      <c r="A196" s="481" t="s">
        <v>198</v>
      </c>
      <c r="B196" s="482" t="s">
        <v>357</v>
      </c>
      <c r="C196" s="483"/>
      <c r="D196" s="474"/>
      <c r="E196" s="475"/>
      <c r="F196" s="476"/>
    </row>
    <row r="197" spans="1:6" x14ac:dyDescent="0.25">
      <c r="A197" s="481" t="s">
        <v>469</v>
      </c>
      <c r="B197" s="482" t="s">
        <v>98</v>
      </c>
      <c r="C197" s="483">
        <v>126</v>
      </c>
      <c r="D197" s="474" t="s">
        <v>134</v>
      </c>
      <c r="E197" s="475">
        <v>208</v>
      </c>
      <c r="F197" s="476">
        <f>+C197*E197</f>
        <v>26208</v>
      </c>
    </row>
    <row r="198" spans="1:6" x14ac:dyDescent="0.25">
      <c r="A198" s="481" t="s">
        <v>470</v>
      </c>
      <c r="B198" s="482" t="s">
        <v>354</v>
      </c>
      <c r="C198" s="483">
        <v>140</v>
      </c>
      <c r="D198" s="474" t="s">
        <v>134</v>
      </c>
      <c r="E198" s="475">
        <v>208</v>
      </c>
      <c r="F198" s="476">
        <f>+C198*E198</f>
        <v>29120</v>
      </c>
    </row>
    <row r="199" spans="1:6" x14ac:dyDescent="0.25">
      <c r="A199" s="481"/>
      <c r="B199" s="482"/>
      <c r="C199" s="483"/>
      <c r="D199" s="474"/>
      <c r="E199" s="475"/>
      <c r="F199" s="476"/>
    </row>
    <row r="200" spans="1:6" ht="55.05" customHeight="1" x14ac:dyDescent="0.25">
      <c r="A200" s="481" t="s">
        <v>200</v>
      </c>
      <c r="B200" s="482" t="s">
        <v>353</v>
      </c>
      <c r="C200" s="483"/>
      <c r="D200" s="474" t="s">
        <v>134</v>
      </c>
      <c r="E200" s="475">
        <v>164</v>
      </c>
      <c r="F200" s="476"/>
    </row>
    <row r="201" spans="1:6" x14ac:dyDescent="0.25">
      <c r="A201" s="474" t="s">
        <v>471</v>
      </c>
      <c r="B201" s="482" t="s">
        <v>108</v>
      </c>
      <c r="C201" s="483">
        <v>360</v>
      </c>
      <c r="D201" s="474" t="s">
        <v>134</v>
      </c>
      <c r="E201" s="475">
        <v>204</v>
      </c>
      <c r="F201" s="476">
        <f>+C201*E201</f>
        <v>73440</v>
      </c>
    </row>
    <row r="202" spans="1:6" x14ac:dyDescent="0.25">
      <c r="A202" s="474" t="s">
        <v>472</v>
      </c>
      <c r="B202" s="482" t="s">
        <v>98</v>
      </c>
      <c r="C202" s="483">
        <f>490-160</f>
        <v>330</v>
      </c>
      <c r="D202" s="474" t="s">
        <v>134</v>
      </c>
      <c r="E202" s="475">
        <v>204</v>
      </c>
      <c r="F202" s="476">
        <f>+C202*E202</f>
        <v>67320</v>
      </c>
    </row>
    <row r="203" spans="1:6" x14ac:dyDescent="0.25">
      <c r="A203" s="474" t="s">
        <v>473</v>
      </c>
      <c r="B203" s="482" t="s">
        <v>99</v>
      </c>
      <c r="C203" s="483">
        <f>2640-930</f>
        <v>1710</v>
      </c>
      <c r="D203" s="474" t="s">
        <v>134</v>
      </c>
      <c r="E203" s="475">
        <v>204</v>
      </c>
      <c r="F203" s="476">
        <f t="shared" ref="F203:F204" si="17">+C203*E203</f>
        <v>348840</v>
      </c>
    </row>
    <row r="204" spans="1:6" x14ac:dyDescent="0.25">
      <c r="A204" s="474" t="s">
        <v>474</v>
      </c>
      <c r="B204" s="482" t="s">
        <v>100</v>
      </c>
      <c r="C204" s="483">
        <v>320</v>
      </c>
      <c r="D204" s="474" t="s">
        <v>134</v>
      </c>
      <c r="E204" s="475">
        <v>204</v>
      </c>
      <c r="F204" s="476">
        <f t="shared" si="17"/>
        <v>65280</v>
      </c>
    </row>
    <row r="205" spans="1:6" x14ac:dyDescent="0.25">
      <c r="A205" s="481"/>
      <c r="B205" s="482"/>
      <c r="C205" s="483"/>
      <c r="D205" s="474"/>
      <c r="E205" s="475"/>
      <c r="F205" s="476"/>
    </row>
    <row r="206" spans="1:6" ht="41.4" x14ac:dyDescent="0.25">
      <c r="A206" s="481" t="s">
        <v>475</v>
      </c>
      <c r="B206" s="482" t="s">
        <v>135</v>
      </c>
      <c r="C206" s="483"/>
      <c r="D206" s="474"/>
      <c r="E206" s="475"/>
      <c r="F206" s="476"/>
    </row>
    <row r="207" spans="1:6" x14ac:dyDescent="0.25">
      <c r="A207" s="481" t="s">
        <v>476</v>
      </c>
      <c r="B207" s="482" t="s">
        <v>98</v>
      </c>
      <c r="C207" s="483">
        <v>669.5</v>
      </c>
      <c r="D207" s="474" t="s">
        <v>134</v>
      </c>
      <c r="E207" s="475">
        <v>204</v>
      </c>
      <c r="F207" s="476">
        <f>+C207*E207</f>
        <v>136578</v>
      </c>
    </row>
    <row r="208" spans="1:6" x14ac:dyDescent="0.25">
      <c r="A208" s="481" t="s">
        <v>478</v>
      </c>
      <c r="B208" s="482" t="s">
        <v>354</v>
      </c>
      <c r="C208" s="483">
        <v>1495.5</v>
      </c>
      <c r="D208" s="474" t="s">
        <v>134</v>
      </c>
      <c r="E208" s="475">
        <v>204</v>
      </c>
      <c r="F208" s="476">
        <f>+C208*E208</f>
        <v>305082</v>
      </c>
    </row>
    <row r="209" spans="1:6" x14ac:dyDescent="0.25">
      <c r="A209" s="481" t="s">
        <v>477</v>
      </c>
      <c r="B209" s="482" t="s">
        <v>355</v>
      </c>
      <c r="C209" s="483">
        <v>3090</v>
      </c>
      <c r="D209" s="474" t="s">
        <v>134</v>
      </c>
      <c r="E209" s="475">
        <v>204</v>
      </c>
      <c r="F209" s="476">
        <f t="shared" ref="F209:F210" si="18">+C209*E209</f>
        <v>630360</v>
      </c>
    </row>
    <row r="210" spans="1:6" x14ac:dyDescent="0.25">
      <c r="A210" s="481" t="s">
        <v>479</v>
      </c>
      <c r="B210" s="482" t="s">
        <v>356</v>
      </c>
      <c r="C210" s="483">
        <v>501</v>
      </c>
      <c r="D210" s="474" t="s">
        <v>134</v>
      </c>
      <c r="E210" s="475">
        <v>204</v>
      </c>
      <c r="F210" s="476">
        <f t="shared" si="18"/>
        <v>102204</v>
      </c>
    </row>
    <row r="211" spans="1:6" x14ac:dyDescent="0.25">
      <c r="A211" s="481"/>
      <c r="B211" s="482"/>
      <c r="C211" s="483"/>
      <c r="D211" s="474"/>
      <c r="E211" s="475"/>
      <c r="F211" s="476"/>
    </row>
    <row r="212" spans="1:6" ht="55.05" customHeight="1" x14ac:dyDescent="0.25">
      <c r="A212" s="481" t="s">
        <v>480</v>
      </c>
      <c r="B212" s="482" t="s">
        <v>199</v>
      </c>
      <c r="C212" s="483"/>
      <c r="D212" s="474"/>
      <c r="E212" s="475"/>
      <c r="F212" s="476"/>
    </row>
    <row r="213" spans="1:6" x14ac:dyDescent="0.25">
      <c r="A213" s="481" t="s">
        <v>481</v>
      </c>
      <c r="B213" s="482" t="s">
        <v>98</v>
      </c>
      <c r="C213" s="483">
        <v>533</v>
      </c>
      <c r="D213" s="474" t="s">
        <v>134</v>
      </c>
      <c r="E213" s="475">
        <v>210</v>
      </c>
      <c r="F213" s="476">
        <f>+C213*E213</f>
        <v>111930</v>
      </c>
    </row>
    <row r="214" spans="1:6" x14ac:dyDescent="0.25">
      <c r="A214" s="481" t="s">
        <v>482</v>
      </c>
      <c r="B214" s="482" t="s">
        <v>354</v>
      </c>
      <c r="C214" s="483">
        <v>1345.5</v>
      </c>
      <c r="D214" s="474" t="s">
        <v>134</v>
      </c>
      <c r="E214" s="475">
        <v>210</v>
      </c>
      <c r="F214" s="476">
        <f>+C214*E214</f>
        <v>282555</v>
      </c>
    </row>
    <row r="215" spans="1:6" x14ac:dyDescent="0.25">
      <c r="A215" s="481" t="s">
        <v>483</v>
      </c>
      <c r="B215" s="482" t="s">
        <v>355</v>
      </c>
      <c r="C215" s="483">
        <v>3090</v>
      </c>
      <c r="D215" s="474" t="s">
        <v>134</v>
      </c>
      <c r="E215" s="475">
        <v>210</v>
      </c>
      <c r="F215" s="476">
        <f t="shared" ref="F215:F216" si="19">+C215*E215</f>
        <v>648900</v>
      </c>
    </row>
    <row r="216" spans="1:6" x14ac:dyDescent="0.25">
      <c r="A216" s="481" t="s">
        <v>484</v>
      </c>
      <c r="B216" s="482" t="s">
        <v>356</v>
      </c>
      <c r="C216" s="483">
        <v>501</v>
      </c>
      <c r="D216" s="474" t="s">
        <v>134</v>
      </c>
      <c r="E216" s="475">
        <v>210</v>
      </c>
      <c r="F216" s="476">
        <f t="shared" si="19"/>
        <v>105210</v>
      </c>
    </row>
    <row r="217" spans="1:6" x14ac:dyDescent="0.25">
      <c r="A217" s="481"/>
      <c r="B217" s="482"/>
      <c r="C217" s="483"/>
      <c r="D217" s="474"/>
      <c r="E217" s="475"/>
      <c r="F217" s="476"/>
    </row>
    <row r="218" spans="1:6" ht="55.05" customHeight="1" x14ac:dyDescent="0.25">
      <c r="A218" s="481" t="s">
        <v>485</v>
      </c>
      <c r="B218" s="482" t="s">
        <v>201</v>
      </c>
      <c r="C218" s="483"/>
      <c r="D218" s="474"/>
      <c r="E218" s="475"/>
      <c r="F218" s="476"/>
    </row>
    <row r="219" spans="1:6" x14ac:dyDescent="0.25">
      <c r="A219" s="481" t="s">
        <v>486</v>
      </c>
      <c r="B219" s="482" t="s">
        <v>98</v>
      </c>
      <c r="C219" s="483">
        <v>377</v>
      </c>
      <c r="D219" s="474" t="s">
        <v>134</v>
      </c>
      <c r="E219" s="475">
        <v>210</v>
      </c>
      <c r="F219" s="476">
        <f>+C219*E219</f>
        <v>79170</v>
      </c>
    </row>
    <row r="220" spans="1:6" x14ac:dyDescent="0.25">
      <c r="A220" s="481" t="s">
        <v>487</v>
      </c>
      <c r="B220" s="482" t="s">
        <v>354</v>
      </c>
      <c r="C220" s="483">
        <v>715</v>
      </c>
      <c r="D220" s="474" t="s">
        <v>134</v>
      </c>
      <c r="E220" s="475">
        <v>210</v>
      </c>
      <c r="F220" s="476">
        <f>+C220*E220</f>
        <v>150150</v>
      </c>
    </row>
    <row r="221" spans="1:6" x14ac:dyDescent="0.25">
      <c r="A221" s="481" t="s">
        <v>488</v>
      </c>
      <c r="B221" s="482" t="s">
        <v>355</v>
      </c>
      <c r="C221" s="483">
        <v>440</v>
      </c>
      <c r="D221" s="474" t="s">
        <v>134</v>
      </c>
      <c r="E221" s="475">
        <v>210</v>
      </c>
      <c r="F221" s="476">
        <f t="shared" ref="F221" si="20">+C221*E221</f>
        <v>92400</v>
      </c>
    </row>
    <row r="222" spans="1:6" x14ac:dyDescent="0.25">
      <c r="A222" s="481"/>
      <c r="B222" s="482"/>
      <c r="C222" s="483"/>
      <c r="D222" s="474"/>
      <c r="E222" s="475"/>
      <c r="F222" s="476"/>
    </row>
    <row r="223" spans="1:6" ht="41.4" x14ac:dyDescent="0.25">
      <c r="A223" s="481" t="s">
        <v>489</v>
      </c>
      <c r="B223" s="482" t="s">
        <v>358</v>
      </c>
      <c r="C223" s="483"/>
      <c r="D223" s="474"/>
      <c r="E223" s="475"/>
      <c r="F223" s="476"/>
    </row>
    <row r="224" spans="1:6" x14ac:dyDescent="0.25">
      <c r="A224" s="481" t="s">
        <v>490</v>
      </c>
      <c r="B224" s="482" t="s">
        <v>98</v>
      </c>
      <c r="C224" s="483">
        <v>234</v>
      </c>
      <c r="D224" s="474" t="s">
        <v>134</v>
      </c>
      <c r="E224" s="475">
        <v>216</v>
      </c>
      <c r="F224" s="476">
        <f>+C224*E224</f>
        <v>50544</v>
      </c>
    </row>
    <row r="225" spans="1:8" x14ac:dyDescent="0.25">
      <c r="A225" s="481" t="s">
        <v>491</v>
      </c>
      <c r="B225" s="482" t="s">
        <v>354</v>
      </c>
      <c r="C225" s="483">
        <v>260</v>
      </c>
      <c r="D225" s="474" t="s">
        <v>134</v>
      </c>
      <c r="E225" s="475">
        <v>216</v>
      </c>
      <c r="F225" s="476">
        <f>+C225*E225</f>
        <v>56160</v>
      </c>
    </row>
    <row r="226" spans="1:8" x14ac:dyDescent="0.25">
      <c r="A226" s="481" t="s">
        <v>492</v>
      </c>
      <c r="B226" s="482" t="s">
        <v>355</v>
      </c>
      <c r="C226" s="483">
        <v>440</v>
      </c>
      <c r="D226" s="474" t="s">
        <v>134</v>
      </c>
      <c r="E226" s="475">
        <v>216</v>
      </c>
      <c r="F226" s="476">
        <f t="shared" ref="F226" si="21">+C226*E226</f>
        <v>95040</v>
      </c>
    </row>
    <row r="227" spans="1:8" x14ac:dyDescent="0.25">
      <c r="A227" s="481"/>
      <c r="B227" s="482"/>
      <c r="C227" s="483"/>
      <c r="D227" s="474"/>
      <c r="E227" s="475"/>
      <c r="F227" s="476"/>
    </row>
    <row r="228" spans="1:8" x14ac:dyDescent="0.25">
      <c r="A228" s="481"/>
      <c r="B228" s="482"/>
      <c r="C228" s="483"/>
      <c r="D228" s="474"/>
      <c r="E228" s="475"/>
      <c r="F228" s="476"/>
    </row>
    <row r="229" spans="1:8" x14ac:dyDescent="0.25">
      <c r="A229" s="481"/>
      <c r="B229" s="482"/>
      <c r="C229" s="483"/>
      <c r="D229" s="474"/>
      <c r="E229" s="475"/>
      <c r="F229" s="476"/>
    </row>
    <row r="230" spans="1:8" s="477" customFormat="1" x14ac:dyDescent="0.25">
      <c r="A230" s="499"/>
      <c r="B230" s="500" t="s">
        <v>46</v>
      </c>
      <c r="C230" s="501"/>
      <c r="D230" s="502"/>
      <c r="E230" s="503"/>
      <c r="F230" s="504">
        <f>SUM(F180:F228)</f>
        <v>4208600</v>
      </c>
      <c r="H230" s="478"/>
    </row>
    <row r="231" spans="1:8" s="477" customFormat="1" ht="28.05" customHeight="1" x14ac:dyDescent="0.25">
      <c r="A231" s="471"/>
      <c r="B231" s="491" t="s">
        <v>202</v>
      </c>
      <c r="C231" s="492"/>
      <c r="D231" s="474"/>
      <c r="E231" s="475"/>
      <c r="F231" s="476"/>
      <c r="H231" s="478"/>
    </row>
    <row r="232" spans="1:8" ht="38.1" customHeight="1" x14ac:dyDescent="0.25">
      <c r="A232" s="481" t="s">
        <v>493</v>
      </c>
      <c r="B232" s="482" t="s">
        <v>204</v>
      </c>
      <c r="C232" s="483">
        <v>50.32</v>
      </c>
      <c r="D232" s="474" t="s">
        <v>131</v>
      </c>
      <c r="E232" s="475">
        <v>40650</v>
      </c>
      <c r="F232" s="476">
        <f t="shared" ref="F232:F234" si="22">+C232*E232</f>
        <v>2045508</v>
      </c>
    </row>
    <row r="233" spans="1:8" ht="38.1" customHeight="1" x14ac:dyDescent="0.25">
      <c r="A233" s="481" t="s">
        <v>203</v>
      </c>
      <c r="B233" s="482" t="s">
        <v>206</v>
      </c>
      <c r="C233" s="483">
        <v>36.6</v>
      </c>
      <c r="D233" s="474" t="s">
        <v>131</v>
      </c>
      <c r="E233" s="475">
        <v>42680</v>
      </c>
      <c r="F233" s="476">
        <f t="shared" si="22"/>
        <v>1562088</v>
      </c>
    </row>
    <row r="234" spans="1:8" ht="38.1" customHeight="1" x14ac:dyDescent="0.25">
      <c r="A234" s="481" t="s">
        <v>205</v>
      </c>
      <c r="B234" s="482" t="s">
        <v>207</v>
      </c>
      <c r="C234" s="483">
        <v>17.25</v>
      </c>
      <c r="D234" s="474" t="s">
        <v>131</v>
      </c>
      <c r="E234" s="475">
        <v>43500</v>
      </c>
      <c r="F234" s="476">
        <f t="shared" si="22"/>
        <v>750375</v>
      </c>
    </row>
    <row r="235" spans="1:8" x14ac:dyDescent="0.25">
      <c r="A235" s="481"/>
      <c r="B235" s="482"/>
      <c r="C235" s="483"/>
      <c r="D235" s="474"/>
      <c r="E235" s="475"/>
      <c r="F235" s="476"/>
    </row>
    <row r="236" spans="1:8" x14ac:dyDescent="0.25">
      <c r="A236" s="481"/>
      <c r="B236" s="482"/>
      <c r="C236" s="483"/>
      <c r="D236" s="474"/>
      <c r="E236" s="475"/>
      <c r="F236" s="476"/>
    </row>
    <row r="237" spans="1:8" s="477" customFormat="1" x14ac:dyDescent="0.25">
      <c r="A237" s="499"/>
      <c r="B237" s="500" t="s">
        <v>46</v>
      </c>
      <c r="C237" s="501"/>
      <c r="D237" s="502"/>
      <c r="E237" s="503"/>
      <c r="F237" s="504">
        <f>SUM(F232:F236)</f>
        <v>4357971</v>
      </c>
      <c r="H237" s="478"/>
    </row>
    <row r="238" spans="1:8" x14ac:dyDescent="0.25">
      <c r="A238" s="481"/>
      <c r="B238" s="482"/>
      <c r="C238" s="483"/>
      <c r="D238" s="474"/>
      <c r="E238" s="475"/>
      <c r="F238" s="476"/>
    </row>
    <row r="239" spans="1:8" s="477" customFormat="1" ht="28.05" customHeight="1" x14ac:dyDescent="0.25">
      <c r="A239" s="471"/>
      <c r="B239" s="491" t="s">
        <v>208</v>
      </c>
      <c r="C239" s="492"/>
      <c r="D239" s="474"/>
      <c r="E239" s="475"/>
      <c r="F239" s="476"/>
      <c r="H239" s="478"/>
    </row>
    <row r="240" spans="1:8" ht="55.05" customHeight="1" x14ac:dyDescent="0.25">
      <c r="A240" s="481" t="s">
        <v>494</v>
      </c>
      <c r="B240" s="482" t="s">
        <v>359</v>
      </c>
      <c r="C240" s="483"/>
      <c r="D240" s="474"/>
      <c r="E240" s="475"/>
      <c r="F240" s="476"/>
    </row>
    <row r="241" spans="1:9" x14ac:dyDescent="0.25">
      <c r="A241" s="481" t="s">
        <v>495</v>
      </c>
      <c r="B241" s="482" t="s">
        <v>58</v>
      </c>
      <c r="C241" s="483">
        <v>9.7799999999999994</v>
      </c>
      <c r="D241" s="474" t="s">
        <v>129</v>
      </c>
      <c r="E241" s="475">
        <v>20338.5</v>
      </c>
      <c r="F241" s="476">
        <f t="shared" ref="F241:F244" si="23">+C241*E241</f>
        <v>198910.53</v>
      </c>
      <c r="H241" s="485">
        <f>+C241*10.76/100</f>
        <v>1.0523279999999999</v>
      </c>
      <c r="I241" s="484">
        <v>9.7797640000000001</v>
      </c>
    </row>
    <row r="242" spans="1:9" x14ac:dyDescent="0.25">
      <c r="A242" s="481" t="s">
        <v>496</v>
      </c>
      <c r="B242" s="482" t="s">
        <v>59</v>
      </c>
      <c r="C242" s="483">
        <v>13.93</v>
      </c>
      <c r="D242" s="474" t="s">
        <v>129</v>
      </c>
      <c r="E242" s="475">
        <v>20725.900000000001</v>
      </c>
      <c r="F242" s="476">
        <f t="shared" si="23"/>
        <v>288711.78700000001</v>
      </c>
      <c r="H242" s="485">
        <f t="shared" ref="H242:H244" si="24">+C242*10.76/100</f>
        <v>1.4988679999999999</v>
      </c>
      <c r="I242" s="484">
        <v>13.927744000000001</v>
      </c>
    </row>
    <row r="243" spans="1:9" x14ac:dyDescent="0.25">
      <c r="A243" s="481" t="s">
        <v>497</v>
      </c>
      <c r="B243" s="482" t="s">
        <v>116</v>
      </c>
      <c r="C243" s="483">
        <v>14.46</v>
      </c>
      <c r="D243" s="474" t="s">
        <v>129</v>
      </c>
      <c r="E243" s="475">
        <v>21307</v>
      </c>
      <c r="F243" s="476">
        <f t="shared" si="23"/>
        <v>308099.22000000003</v>
      </c>
      <c r="H243" s="485">
        <f t="shared" si="24"/>
        <v>1.5558960000000002</v>
      </c>
      <c r="I243" s="484">
        <v>14.462515999999999</v>
      </c>
    </row>
    <row r="244" spans="1:9" x14ac:dyDescent="0.25">
      <c r="A244" s="481" t="s">
        <v>498</v>
      </c>
      <c r="B244" s="482" t="s">
        <v>117</v>
      </c>
      <c r="C244" s="483">
        <v>1.52</v>
      </c>
      <c r="D244" s="474" t="s">
        <v>129</v>
      </c>
      <c r="E244" s="475">
        <v>22275.5</v>
      </c>
      <c r="F244" s="476">
        <f t="shared" si="23"/>
        <v>33858.76</v>
      </c>
      <c r="H244" s="485">
        <f t="shared" si="24"/>
        <v>0.163552</v>
      </c>
      <c r="I244" s="484">
        <v>1.516084</v>
      </c>
    </row>
    <row r="245" spans="1:9" x14ac:dyDescent="0.25">
      <c r="A245" s="481"/>
      <c r="B245" s="482"/>
      <c r="C245" s="483"/>
      <c r="D245" s="474"/>
      <c r="E245" s="475"/>
      <c r="F245" s="476"/>
    </row>
    <row r="246" spans="1:9" ht="55.05" customHeight="1" x14ac:dyDescent="0.25">
      <c r="A246" s="481" t="s">
        <v>209</v>
      </c>
      <c r="B246" s="482" t="s">
        <v>360</v>
      </c>
      <c r="C246" s="483"/>
      <c r="D246" s="474"/>
      <c r="E246" s="475"/>
      <c r="F246" s="476"/>
    </row>
    <row r="247" spans="1:9" x14ac:dyDescent="0.25">
      <c r="A247" s="481" t="s">
        <v>499</v>
      </c>
      <c r="B247" s="482" t="s">
        <v>57</v>
      </c>
      <c r="C247" s="483">
        <v>5.29</v>
      </c>
      <c r="D247" s="474" t="s">
        <v>129</v>
      </c>
      <c r="E247" s="475">
        <v>13920</v>
      </c>
      <c r="F247" s="476">
        <f t="shared" ref="F247:F249" si="25">+C247*E247</f>
        <v>73636.800000000003</v>
      </c>
      <c r="H247" s="485">
        <f>+C247*10.76/100</f>
        <v>0.56920400000000004</v>
      </c>
      <c r="I247" s="484">
        <v>5.2928439999999997</v>
      </c>
    </row>
    <row r="248" spans="1:9" x14ac:dyDescent="0.25">
      <c r="A248" s="481" t="s">
        <v>500</v>
      </c>
      <c r="B248" s="482" t="s">
        <v>58</v>
      </c>
      <c r="C248" s="483">
        <v>5.47</v>
      </c>
      <c r="D248" s="474" t="s">
        <v>129</v>
      </c>
      <c r="E248" s="475">
        <f>+E247*1.05</f>
        <v>14616</v>
      </c>
      <c r="F248" s="476">
        <f t="shared" si="25"/>
        <v>79949.51999999999</v>
      </c>
      <c r="H248" s="485">
        <f t="shared" ref="H248:H249" si="26">+C248*10.76/100</f>
        <v>0.58857199999999998</v>
      </c>
      <c r="I248" s="484">
        <v>5.4703840000000001</v>
      </c>
    </row>
    <row r="249" spans="1:9" x14ac:dyDescent="0.25">
      <c r="A249" s="481" t="s">
        <v>501</v>
      </c>
      <c r="B249" s="482" t="s">
        <v>59</v>
      </c>
      <c r="C249" s="483">
        <v>6.62</v>
      </c>
      <c r="D249" s="474" t="s">
        <v>129</v>
      </c>
      <c r="E249" s="475">
        <f>+E247*1.07</f>
        <v>14894.400000000001</v>
      </c>
      <c r="F249" s="476">
        <f t="shared" si="25"/>
        <v>98600.928000000014</v>
      </c>
      <c r="H249" s="485">
        <f t="shared" si="26"/>
        <v>0.71231200000000006</v>
      </c>
      <c r="I249" s="484">
        <v>6.6173999999999999</v>
      </c>
    </row>
    <row r="250" spans="1:9" x14ac:dyDescent="0.25">
      <c r="A250" s="481"/>
      <c r="B250" s="482"/>
      <c r="C250" s="483"/>
      <c r="D250" s="474"/>
      <c r="E250" s="475"/>
      <c r="F250" s="476"/>
    </row>
    <row r="251" spans="1:9" x14ac:dyDescent="0.25">
      <c r="A251" s="481"/>
      <c r="B251" s="482"/>
      <c r="C251" s="483"/>
      <c r="D251" s="474"/>
      <c r="E251" s="475"/>
      <c r="F251" s="476"/>
    </row>
    <row r="252" spans="1:9" x14ac:dyDescent="0.25">
      <c r="A252" s="481"/>
      <c r="B252" s="482"/>
      <c r="C252" s="483"/>
      <c r="D252" s="474"/>
      <c r="E252" s="475"/>
      <c r="F252" s="476"/>
    </row>
    <row r="253" spans="1:9" x14ac:dyDescent="0.25">
      <c r="A253" s="481"/>
      <c r="B253" s="482"/>
      <c r="C253" s="483"/>
      <c r="D253" s="474"/>
      <c r="E253" s="475"/>
      <c r="F253" s="476"/>
    </row>
    <row r="254" spans="1:9" s="477" customFormat="1" x14ac:dyDescent="0.25">
      <c r="A254" s="499"/>
      <c r="B254" s="500" t="s">
        <v>46</v>
      </c>
      <c r="C254" s="501"/>
      <c r="D254" s="502"/>
      <c r="E254" s="503"/>
      <c r="F254" s="504">
        <f>SUM(F240:F252)</f>
        <v>1081767.5450000002</v>
      </c>
      <c r="H254" s="478"/>
    </row>
    <row r="255" spans="1:9" s="477" customFormat="1" ht="30" customHeight="1" x14ac:dyDescent="0.25">
      <c r="A255" s="471"/>
      <c r="B255" s="491" t="s">
        <v>210</v>
      </c>
      <c r="C255" s="492"/>
      <c r="D255" s="474"/>
      <c r="E255" s="475"/>
      <c r="F255" s="476"/>
      <c r="H255" s="478"/>
    </row>
    <row r="256" spans="1:9" s="521" customFormat="1" ht="38.1" customHeight="1" x14ac:dyDescent="0.25">
      <c r="A256" s="481" t="s">
        <v>211</v>
      </c>
      <c r="B256" s="482" t="s">
        <v>212</v>
      </c>
      <c r="C256" s="483">
        <v>5.07</v>
      </c>
      <c r="D256" s="474" t="s">
        <v>131</v>
      </c>
      <c r="E256" s="475">
        <v>31540</v>
      </c>
      <c r="F256" s="476">
        <f t="shared" ref="F256:F265" si="27">+C256*E256</f>
        <v>159907.80000000002</v>
      </c>
      <c r="H256" s="522">
        <f>14.36/2.83</f>
        <v>5.0742049469964661</v>
      </c>
    </row>
    <row r="257" spans="1:10" s="521" customFormat="1" x14ac:dyDescent="0.25">
      <c r="A257" s="481"/>
      <c r="B257" s="482"/>
      <c r="C257" s="483"/>
      <c r="D257" s="474"/>
      <c r="E257" s="475"/>
      <c r="F257" s="476"/>
      <c r="H257" s="522"/>
    </row>
    <row r="258" spans="1:10" s="521" customFormat="1" x14ac:dyDescent="0.25">
      <c r="A258" s="481"/>
      <c r="B258" s="482"/>
      <c r="C258" s="483"/>
      <c r="D258" s="474"/>
      <c r="E258" s="475"/>
      <c r="F258" s="476"/>
      <c r="H258" s="522"/>
    </row>
    <row r="259" spans="1:10" s="477" customFormat="1" x14ac:dyDescent="0.25">
      <c r="A259" s="499"/>
      <c r="B259" s="500" t="s">
        <v>46</v>
      </c>
      <c r="C259" s="501"/>
      <c r="D259" s="502"/>
      <c r="E259" s="503"/>
      <c r="F259" s="504">
        <f>SUM(F256:F258)</f>
        <v>159907.80000000002</v>
      </c>
      <c r="H259" s="478"/>
    </row>
    <row r="260" spans="1:10" s="477" customFormat="1" ht="28.05" customHeight="1" x14ac:dyDescent="0.25">
      <c r="A260" s="471"/>
      <c r="B260" s="491" t="s">
        <v>213</v>
      </c>
      <c r="C260" s="492"/>
      <c r="D260" s="474"/>
      <c r="E260" s="475"/>
      <c r="F260" s="476"/>
      <c r="H260" s="478"/>
    </row>
    <row r="261" spans="1:10" ht="38.1" customHeight="1" x14ac:dyDescent="0.25">
      <c r="A261" s="481" t="s">
        <v>214</v>
      </c>
      <c r="B261" s="482" t="s">
        <v>215</v>
      </c>
      <c r="C261" s="483">
        <v>3.29</v>
      </c>
      <c r="D261" s="474" t="s">
        <v>129</v>
      </c>
      <c r="E261" s="475">
        <v>10140</v>
      </c>
      <c r="F261" s="476">
        <f t="shared" si="27"/>
        <v>33360.6</v>
      </c>
      <c r="G261" s="484">
        <f>101.91*0.3*10.76/100</f>
        <v>3.2896547999999997</v>
      </c>
    </row>
    <row r="262" spans="1:10" ht="41.4" x14ac:dyDescent="0.3">
      <c r="A262" s="481" t="s">
        <v>216</v>
      </c>
      <c r="B262" s="482" t="s">
        <v>217</v>
      </c>
      <c r="C262" s="483">
        <v>26.92</v>
      </c>
      <c r="D262" s="474" t="s">
        <v>129</v>
      </c>
      <c r="E262" s="475">
        <v>399</v>
      </c>
      <c r="F262" s="476">
        <f t="shared" si="27"/>
        <v>10741.08</v>
      </c>
      <c r="G262" s="484">
        <f>250.16*10.76/100</f>
        <v>26.917216</v>
      </c>
      <c r="I262" s="523" t="s">
        <v>116</v>
      </c>
      <c r="J262" s="4">
        <v>34.880000000000003</v>
      </c>
    </row>
    <row r="263" spans="1:10" ht="55.2" x14ac:dyDescent="0.3">
      <c r="A263" s="481" t="s">
        <v>218</v>
      </c>
      <c r="B263" s="482" t="s">
        <v>362</v>
      </c>
      <c r="C263" s="483"/>
      <c r="D263" s="474"/>
      <c r="E263" s="475"/>
      <c r="F263" s="476"/>
      <c r="I263" s="523" t="s">
        <v>124</v>
      </c>
      <c r="J263" s="4">
        <v>34.880000000000003</v>
      </c>
    </row>
    <row r="264" spans="1:10" x14ac:dyDescent="0.3">
      <c r="A264" s="481" t="s">
        <v>502</v>
      </c>
      <c r="B264" s="482" t="s">
        <v>116</v>
      </c>
      <c r="C264" s="483">
        <v>3.75</v>
      </c>
      <c r="D264" s="474" t="s">
        <v>129</v>
      </c>
      <c r="E264" s="475">
        <v>7300</v>
      </c>
      <c r="F264" s="476">
        <f t="shared" si="27"/>
        <v>27375</v>
      </c>
      <c r="G264" s="484">
        <f>+C264*10.76/100</f>
        <v>0.40350000000000003</v>
      </c>
      <c r="I264" s="523"/>
      <c r="J264" s="4"/>
    </row>
    <row r="265" spans="1:10" x14ac:dyDescent="0.3">
      <c r="A265" s="481" t="s">
        <v>503</v>
      </c>
      <c r="B265" s="482" t="s">
        <v>124</v>
      </c>
      <c r="C265" s="483">
        <v>3.75</v>
      </c>
      <c r="D265" s="474" t="s">
        <v>129</v>
      </c>
      <c r="E265" s="475">
        <v>7600</v>
      </c>
      <c r="F265" s="476">
        <f t="shared" si="27"/>
        <v>28500</v>
      </c>
      <c r="I265" s="523"/>
      <c r="J265" s="4"/>
    </row>
    <row r="266" spans="1:10" x14ac:dyDescent="0.3">
      <c r="A266" s="481"/>
      <c r="B266" s="482"/>
      <c r="C266" s="483"/>
      <c r="D266" s="474"/>
      <c r="E266" s="475"/>
      <c r="F266" s="476"/>
      <c r="I266" s="524"/>
      <c r="J266" s="44"/>
    </row>
    <row r="267" spans="1:10" x14ac:dyDescent="0.25">
      <c r="A267" s="481"/>
      <c r="B267" s="482"/>
      <c r="C267" s="483"/>
      <c r="D267" s="474"/>
      <c r="E267" s="475"/>
      <c r="F267" s="476"/>
    </row>
    <row r="268" spans="1:10" s="519" customFormat="1" ht="28.05" customHeight="1" x14ac:dyDescent="0.25">
      <c r="A268" s="490"/>
      <c r="B268" s="491" t="s">
        <v>219</v>
      </c>
      <c r="C268" s="492"/>
      <c r="D268" s="516"/>
      <c r="E268" s="517"/>
      <c r="F268" s="518"/>
      <c r="H268" s="520"/>
    </row>
    <row r="269" spans="1:10" ht="112.05" customHeight="1" x14ac:dyDescent="0.25">
      <c r="A269" s="481" t="s">
        <v>504</v>
      </c>
      <c r="B269" s="482" t="s">
        <v>361</v>
      </c>
      <c r="C269" s="483">
        <v>1183</v>
      </c>
      <c r="D269" s="474" t="s">
        <v>141</v>
      </c>
      <c r="E269" s="475">
        <v>263</v>
      </c>
      <c r="F269" s="476">
        <f>+C269*E269</f>
        <v>311129</v>
      </c>
    </row>
    <row r="270" spans="1:10" x14ac:dyDescent="0.25">
      <c r="A270" s="481"/>
      <c r="B270" s="482"/>
      <c r="C270" s="483"/>
      <c r="D270" s="474"/>
      <c r="E270" s="475"/>
      <c r="F270" s="476"/>
    </row>
    <row r="271" spans="1:10" x14ac:dyDescent="0.25">
      <c r="A271" s="481"/>
      <c r="B271" s="482"/>
      <c r="C271" s="483"/>
      <c r="D271" s="474"/>
      <c r="E271" s="475"/>
      <c r="F271" s="476"/>
    </row>
    <row r="272" spans="1:10" x14ac:dyDescent="0.25">
      <c r="A272" s="481"/>
      <c r="B272" s="482"/>
      <c r="C272" s="483"/>
      <c r="D272" s="474"/>
      <c r="E272" s="475"/>
      <c r="F272" s="476"/>
    </row>
    <row r="273" spans="1:10" x14ac:dyDescent="0.25">
      <c r="A273" s="481"/>
      <c r="B273" s="482"/>
      <c r="C273" s="483"/>
      <c r="D273" s="474"/>
      <c r="E273" s="475"/>
      <c r="F273" s="476"/>
    </row>
    <row r="274" spans="1:10" s="477" customFormat="1" x14ac:dyDescent="0.25">
      <c r="A274" s="499"/>
      <c r="B274" s="500" t="s">
        <v>46</v>
      </c>
      <c r="C274" s="501"/>
      <c r="D274" s="502"/>
      <c r="E274" s="503"/>
      <c r="F274" s="504">
        <f>SUM(F261:F271)</f>
        <v>411105.68</v>
      </c>
      <c r="H274" s="478"/>
    </row>
    <row r="275" spans="1:10" s="477" customFormat="1" ht="28.05" customHeight="1" x14ac:dyDescent="0.25">
      <c r="A275" s="471"/>
      <c r="B275" s="491" t="s">
        <v>220</v>
      </c>
      <c r="C275" s="492"/>
      <c r="D275" s="474"/>
      <c r="E275" s="475"/>
      <c r="F275" s="476"/>
      <c r="H275" s="478"/>
    </row>
    <row r="276" spans="1:10" ht="38.1" customHeight="1" x14ac:dyDescent="0.25">
      <c r="A276" s="481" t="s">
        <v>221</v>
      </c>
      <c r="B276" s="482" t="s">
        <v>363</v>
      </c>
      <c r="C276" s="483">
        <v>4.3899999999999997</v>
      </c>
      <c r="D276" s="474" t="s">
        <v>129</v>
      </c>
      <c r="E276" s="475">
        <v>6440</v>
      </c>
      <c r="F276" s="476">
        <f>+C276*E276</f>
        <v>28271.599999999999</v>
      </c>
      <c r="H276" s="485">
        <f>40.8*10.76/100</f>
        <v>4.3900800000000002</v>
      </c>
    </row>
    <row r="277" spans="1:10" ht="35.25" customHeight="1" x14ac:dyDescent="0.25">
      <c r="A277" s="481" t="s">
        <v>222</v>
      </c>
      <c r="B277" s="482" t="s">
        <v>364</v>
      </c>
      <c r="C277" s="483"/>
      <c r="D277" s="474"/>
      <c r="E277" s="475"/>
      <c r="F277" s="476"/>
      <c r="J277" s="484">
        <v>267</v>
      </c>
    </row>
    <row r="278" spans="1:10" x14ac:dyDescent="0.25">
      <c r="A278" s="481" t="s">
        <v>505</v>
      </c>
      <c r="B278" s="482" t="s">
        <v>61</v>
      </c>
      <c r="C278" s="483">
        <v>17.326827999999999</v>
      </c>
      <c r="D278" s="474" t="s">
        <v>129</v>
      </c>
      <c r="E278" s="475">
        <v>6235</v>
      </c>
      <c r="F278" s="476">
        <f>+C278*E278</f>
        <v>108032.77257999999</v>
      </c>
      <c r="H278" s="485">
        <f>+C278*10.76/100</f>
        <v>1.8643666928</v>
      </c>
    </row>
    <row r="279" spans="1:10" x14ac:dyDescent="0.25">
      <c r="A279" s="481" t="s">
        <v>506</v>
      </c>
      <c r="B279" s="482" t="s">
        <v>62</v>
      </c>
      <c r="C279" s="483">
        <v>22.020340000000001</v>
      </c>
      <c r="D279" s="474" t="s">
        <v>129</v>
      </c>
      <c r="E279" s="475">
        <f>+E278*1.05</f>
        <v>6546.75</v>
      </c>
      <c r="F279" s="476">
        <f t="shared" ref="F279:F284" si="28">+C279*E279</f>
        <v>144161.66089500001</v>
      </c>
      <c r="H279" s="485">
        <f t="shared" ref="H279:H282" si="29">+C279*10.76/100</f>
        <v>2.3693885840000002</v>
      </c>
    </row>
    <row r="280" spans="1:10" x14ac:dyDescent="0.25">
      <c r="A280" s="481" t="s">
        <v>507</v>
      </c>
      <c r="B280" s="482" t="s">
        <v>63</v>
      </c>
      <c r="C280" s="483">
        <v>25.9316</v>
      </c>
      <c r="D280" s="474" t="s">
        <v>129</v>
      </c>
      <c r="E280" s="475">
        <f>+E278*1.1</f>
        <v>6858.5000000000009</v>
      </c>
      <c r="F280" s="476">
        <f t="shared" si="28"/>
        <v>177851.87860000003</v>
      </c>
      <c r="H280" s="485">
        <f t="shared" si="29"/>
        <v>2.7902401600000002</v>
      </c>
    </row>
    <row r="281" spans="1:10" x14ac:dyDescent="0.25">
      <c r="A281" s="481" t="s">
        <v>508</v>
      </c>
      <c r="B281" s="482" t="s">
        <v>116</v>
      </c>
      <c r="C281" s="483">
        <v>14.462515999999999</v>
      </c>
      <c r="D281" s="474" t="s">
        <v>129</v>
      </c>
      <c r="E281" s="475">
        <f>+E278*1.15</f>
        <v>7170.2499999999991</v>
      </c>
      <c r="F281" s="476">
        <f t="shared" si="28"/>
        <v>103699.85534899998</v>
      </c>
      <c r="H281" s="485">
        <f t="shared" si="29"/>
        <v>1.5561667215999997</v>
      </c>
    </row>
    <row r="282" spans="1:10" x14ac:dyDescent="0.25">
      <c r="A282" s="481" t="s">
        <v>509</v>
      </c>
      <c r="B282" s="482" t="s">
        <v>124</v>
      </c>
      <c r="C282" s="483">
        <v>1.516084</v>
      </c>
      <c r="D282" s="474" t="s">
        <v>129</v>
      </c>
      <c r="E282" s="475">
        <f>+E278*1.2</f>
        <v>7482</v>
      </c>
      <c r="F282" s="476">
        <f t="shared" si="28"/>
        <v>11343.340488</v>
      </c>
      <c r="H282" s="485">
        <f t="shared" si="29"/>
        <v>0.16313063839999997</v>
      </c>
    </row>
    <row r="283" spans="1:10" x14ac:dyDescent="0.3">
      <c r="A283" s="481"/>
      <c r="B283" s="524"/>
      <c r="C283" s="44"/>
      <c r="D283" s="474"/>
      <c r="E283" s="475"/>
      <c r="F283" s="476"/>
    </row>
    <row r="284" spans="1:10" ht="41.4" x14ac:dyDescent="0.25">
      <c r="A284" s="481" t="s">
        <v>223</v>
      </c>
      <c r="B284" s="482" t="s">
        <v>365</v>
      </c>
      <c r="C284" s="483">
        <v>532</v>
      </c>
      <c r="D284" s="474" t="s">
        <v>167</v>
      </c>
      <c r="E284" s="475">
        <v>196</v>
      </c>
      <c r="F284" s="476">
        <f t="shared" si="28"/>
        <v>104272</v>
      </c>
      <c r="J284" s="484">
        <v>162</v>
      </c>
    </row>
    <row r="285" spans="1:10" ht="34.5" customHeight="1" x14ac:dyDescent="0.25">
      <c r="A285" s="481" t="s">
        <v>224</v>
      </c>
      <c r="B285" s="482" t="s">
        <v>366</v>
      </c>
      <c r="C285" s="483"/>
      <c r="D285" s="474"/>
      <c r="E285" s="475"/>
      <c r="F285" s="476"/>
      <c r="J285" s="484">
        <f>+J277*2-J284</f>
        <v>372</v>
      </c>
    </row>
    <row r="286" spans="1:10" x14ac:dyDescent="0.25">
      <c r="A286" s="481" t="s">
        <v>510</v>
      </c>
      <c r="B286" s="482" t="s">
        <v>61</v>
      </c>
      <c r="C286" s="483">
        <v>34.118884000000001</v>
      </c>
      <c r="D286" s="474" t="s">
        <v>129</v>
      </c>
      <c r="E286" s="475">
        <v>8315</v>
      </c>
      <c r="F286" s="476">
        <f>+C286*E286</f>
        <v>283698.52046000003</v>
      </c>
      <c r="H286" s="485">
        <f>+C286*10.76/100</f>
        <v>3.6711919183999999</v>
      </c>
    </row>
    <row r="287" spans="1:10" x14ac:dyDescent="0.25">
      <c r="A287" s="481" t="s">
        <v>512</v>
      </c>
      <c r="B287" s="482" t="s">
        <v>62</v>
      </c>
      <c r="C287" s="483">
        <v>38.203380000000003</v>
      </c>
      <c r="D287" s="474" t="s">
        <v>129</v>
      </c>
      <c r="E287" s="475">
        <f>+E286*1.05</f>
        <v>8730.75</v>
      </c>
      <c r="F287" s="476">
        <f t="shared" ref="F287:F292" si="30">+C287*E287</f>
        <v>333544.159935</v>
      </c>
      <c r="H287" s="485">
        <f t="shared" ref="H287:H290" si="31">+C287*10.76/100</f>
        <v>4.1106836879999999</v>
      </c>
    </row>
    <row r="288" spans="1:10" x14ac:dyDescent="0.25">
      <c r="A288" s="481" t="s">
        <v>513</v>
      </c>
      <c r="B288" s="482" t="s">
        <v>63</v>
      </c>
      <c r="C288" s="483">
        <v>29.168208</v>
      </c>
      <c r="D288" s="474" t="s">
        <v>129</v>
      </c>
      <c r="E288" s="475">
        <f>+E286*1.1</f>
        <v>9146.5</v>
      </c>
      <c r="F288" s="476">
        <f t="shared" si="30"/>
        <v>266787.01447200001</v>
      </c>
      <c r="H288" s="485">
        <f t="shared" si="31"/>
        <v>3.1384991808000002</v>
      </c>
    </row>
    <row r="289" spans="1:8" x14ac:dyDescent="0.25">
      <c r="A289" s="481" t="s">
        <v>511</v>
      </c>
      <c r="B289" s="482" t="s">
        <v>116</v>
      </c>
      <c r="C289" s="483">
        <v>14.462515999999999</v>
      </c>
      <c r="D289" s="474" t="s">
        <v>129</v>
      </c>
      <c r="E289" s="475">
        <f>+E286*1.15</f>
        <v>9562.25</v>
      </c>
      <c r="F289" s="476">
        <f t="shared" si="30"/>
        <v>138294.19362099998</v>
      </c>
      <c r="H289" s="485">
        <f t="shared" si="31"/>
        <v>1.5561667215999997</v>
      </c>
    </row>
    <row r="290" spans="1:8" x14ac:dyDescent="0.25">
      <c r="A290" s="481" t="s">
        <v>514</v>
      </c>
      <c r="B290" s="482" t="s">
        <v>124</v>
      </c>
      <c r="C290" s="483">
        <v>1.516084</v>
      </c>
      <c r="D290" s="474" t="s">
        <v>129</v>
      </c>
      <c r="E290" s="475">
        <f>+E286*1.2</f>
        <v>9978</v>
      </c>
      <c r="F290" s="476">
        <f t="shared" si="30"/>
        <v>15127.486151999999</v>
      </c>
      <c r="H290" s="485">
        <f t="shared" si="31"/>
        <v>0.16313063839999997</v>
      </c>
    </row>
    <row r="291" spans="1:8" x14ac:dyDescent="0.25">
      <c r="A291" s="481"/>
      <c r="B291" s="482"/>
      <c r="C291" s="483"/>
      <c r="D291" s="474"/>
      <c r="E291" s="475"/>
      <c r="F291" s="476"/>
    </row>
    <row r="292" spans="1:8" ht="27.6" x14ac:dyDescent="0.25">
      <c r="A292" s="481" t="s">
        <v>225</v>
      </c>
      <c r="B292" s="482" t="s">
        <v>367</v>
      </c>
      <c r="C292" s="483">
        <v>1220</v>
      </c>
      <c r="D292" s="474" t="s">
        <v>167</v>
      </c>
      <c r="E292" s="475">
        <v>162</v>
      </c>
      <c r="F292" s="476">
        <f t="shared" si="30"/>
        <v>197640</v>
      </c>
    </row>
    <row r="293" spans="1:8" x14ac:dyDescent="0.25">
      <c r="A293" s="481"/>
      <c r="B293" s="482"/>
      <c r="C293" s="483"/>
      <c r="D293" s="474"/>
      <c r="E293" s="475"/>
      <c r="F293" s="476"/>
    </row>
    <row r="294" spans="1:8" ht="55.05" customHeight="1" x14ac:dyDescent="0.25">
      <c r="A294" s="481" t="s">
        <v>226</v>
      </c>
      <c r="B294" s="482" t="s">
        <v>227</v>
      </c>
      <c r="C294" s="483"/>
      <c r="D294" s="474"/>
      <c r="E294" s="475"/>
      <c r="F294" s="476"/>
    </row>
    <row r="295" spans="1:8" x14ac:dyDescent="0.25">
      <c r="A295" s="481" t="s">
        <v>515</v>
      </c>
      <c r="B295" s="482" t="s">
        <v>61</v>
      </c>
      <c r="C295" s="483">
        <v>25.410816000000001</v>
      </c>
      <c r="D295" s="474" t="s">
        <v>129</v>
      </c>
      <c r="E295" s="475">
        <v>9505</v>
      </c>
      <c r="F295" s="476">
        <f>+C295*E295</f>
        <v>241529.80608000001</v>
      </c>
      <c r="H295" s="485">
        <f>+C295*10.76/100</f>
        <v>2.7342038015999997</v>
      </c>
    </row>
    <row r="296" spans="1:8" x14ac:dyDescent="0.25">
      <c r="A296" s="481" t="s">
        <v>516</v>
      </c>
      <c r="B296" s="482" t="s">
        <v>62</v>
      </c>
      <c r="C296" s="483">
        <v>20.624768</v>
      </c>
      <c r="D296" s="474" t="s">
        <v>129</v>
      </c>
      <c r="E296" s="475">
        <f>+E295*1.05</f>
        <v>9980.25</v>
      </c>
      <c r="F296" s="476">
        <f t="shared" ref="F296:F298" si="32">+C296*E296</f>
        <v>205840.34083199999</v>
      </c>
      <c r="H296" s="485">
        <f t="shared" ref="H296:H298" si="33">+C296*10.76/100</f>
        <v>2.2192250367999997</v>
      </c>
    </row>
    <row r="297" spans="1:8" x14ac:dyDescent="0.25">
      <c r="A297" s="481" t="s">
        <v>517</v>
      </c>
      <c r="B297" s="482" t="s">
        <v>63</v>
      </c>
      <c r="C297" s="483">
        <v>12.541856000000001</v>
      </c>
      <c r="D297" s="474" t="s">
        <v>129</v>
      </c>
      <c r="E297" s="475">
        <f>+E295*1.1</f>
        <v>10455.5</v>
      </c>
      <c r="F297" s="476">
        <f t="shared" si="32"/>
        <v>131131.37540800002</v>
      </c>
      <c r="H297" s="485">
        <f t="shared" si="33"/>
        <v>1.3495037056000001</v>
      </c>
    </row>
    <row r="298" spans="1:8" x14ac:dyDescent="0.25">
      <c r="A298" s="481" t="s">
        <v>518</v>
      </c>
      <c r="B298" s="482" t="s">
        <v>116</v>
      </c>
      <c r="C298" s="483">
        <v>5.8706560000000003</v>
      </c>
      <c r="D298" s="474" t="s">
        <v>129</v>
      </c>
      <c r="E298" s="475">
        <f>+E295*1.15</f>
        <v>10930.75</v>
      </c>
      <c r="F298" s="476">
        <f t="shared" si="32"/>
        <v>64170.673072000005</v>
      </c>
      <c r="H298" s="485">
        <f t="shared" si="33"/>
        <v>0.63168258560000001</v>
      </c>
    </row>
    <row r="299" spans="1:8" x14ac:dyDescent="0.25">
      <c r="A299" s="481"/>
      <c r="B299" s="482"/>
      <c r="C299" s="483"/>
      <c r="D299" s="474"/>
      <c r="E299" s="475"/>
      <c r="F299" s="476"/>
    </row>
    <row r="300" spans="1:8" x14ac:dyDescent="0.25">
      <c r="A300" s="481"/>
      <c r="B300" s="482"/>
      <c r="C300" s="483"/>
      <c r="D300" s="474"/>
      <c r="E300" s="475"/>
      <c r="F300" s="476"/>
    </row>
    <row r="301" spans="1:8" x14ac:dyDescent="0.25">
      <c r="A301" s="481"/>
      <c r="B301" s="482"/>
      <c r="C301" s="483"/>
      <c r="D301" s="474"/>
      <c r="E301" s="475"/>
      <c r="F301" s="476"/>
    </row>
    <row r="302" spans="1:8" x14ac:dyDescent="0.25">
      <c r="A302" s="481"/>
      <c r="B302" s="482"/>
      <c r="C302" s="483"/>
      <c r="D302" s="474"/>
      <c r="E302" s="475"/>
      <c r="F302" s="476"/>
    </row>
    <row r="303" spans="1:8" s="477" customFormat="1" x14ac:dyDescent="0.25">
      <c r="A303" s="499"/>
      <c r="B303" s="500" t="s">
        <v>46</v>
      </c>
      <c r="C303" s="501"/>
      <c r="D303" s="502"/>
      <c r="E303" s="503"/>
      <c r="F303" s="504">
        <f>SUM(F276:F301)</f>
        <v>2555396.6779439999</v>
      </c>
      <c r="H303" s="478"/>
    </row>
    <row r="304" spans="1:8" s="477" customFormat="1" ht="28.05" customHeight="1" x14ac:dyDescent="0.25">
      <c r="A304" s="471"/>
      <c r="B304" s="491" t="s">
        <v>228</v>
      </c>
      <c r="C304" s="492"/>
      <c r="D304" s="474"/>
      <c r="E304" s="475"/>
      <c r="F304" s="476"/>
      <c r="H304" s="478"/>
    </row>
    <row r="305" spans="1:8" s="477" customFormat="1" ht="20.100000000000001" customHeight="1" x14ac:dyDescent="0.25">
      <c r="A305" s="471"/>
      <c r="B305" s="479" t="s">
        <v>175</v>
      </c>
      <c r="C305" s="480"/>
      <c r="D305" s="474"/>
      <c r="E305" s="475"/>
      <c r="F305" s="476"/>
      <c r="H305" s="478"/>
    </row>
    <row r="306" spans="1:8" s="477" customFormat="1" ht="38.1" customHeight="1" x14ac:dyDescent="0.25">
      <c r="A306" s="471"/>
      <c r="B306" s="486" t="s">
        <v>229</v>
      </c>
      <c r="C306" s="487"/>
      <c r="D306" s="474"/>
      <c r="E306" s="475"/>
      <c r="F306" s="476"/>
      <c r="H306" s="478"/>
    </row>
    <row r="307" spans="1:8" s="477" customFormat="1" ht="36.75" customHeight="1" x14ac:dyDescent="0.25">
      <c r="A307" s="471"/>
      <c r="B307" s="486" t="s">
        <v>230</v>
      </c>
      <c r="C307" s="487"/>
      <c r="D307" s="474"/>
      <c r="E307" s="475"/>
      <c r="F307" s="476"/>
      <c r="H307" s="478"/>
    </row>
    <row r="308" spans="1:8" s="477" customFormat="1" ht="25.05" customHeight="1" x14ac:dyDescent="0.25">
      <c r="A308" s="471"/>
      <c r="B308" s="479" t="s">
        <v>231</v>
      </c>
      <c r="C308" s="480"/>
      <c r="D308" s="474"/>
      <c r="E308" s="475"/>
      <c r="F308" s="476"/>
      <c r="H308" s="478"/>
    </row>
    <row r="309" spans="1:8" ht="81.75" customHeight="1" x14ac:dyDescent="0.25">
      <c r="A309" s="481" t="s">
        <v>519</v>
      </c>
      <c r="B309" s="482" t="s">
        <v>368</v>
      </c>
      <c r="C309" s="483"/>
      <c r="D309" s="474"/>
      <c r="E309" s="475"/>
      <c r="F309" s="476"/>
    </row>
    <row r="310" spans="1:8" x14ac:dyDescent="0.25">
      <c r="A310" s="481" t="s">
        <v>520</v>
      </c>
      <c r="B310" s="482" t="s">
        <v>62</v>
      </c>
      <c r="C310" s="483">
        <v>9.41</v>
      </c>
      <c r="D310" s="474" t="s">
        <v>129</v>
      </c>
      <c r="E310" s="475">
        <v>38440</v>
      </c>
      <c r="F310" s="476">
        <f>+C310*E310</f>
        <v>361720.4</v>
      </c>
      <c r="H310" s="485">
        <f>+C310*10.76/100</f>
        <v>1.012516</v>
      </c>
    </row>
    <row r="311" spans="1:8" x14ac:dyDescent="0.25">
      <c r="A311" s="481" t="s">
        <v>521</v>
      </c>
      <c r="B311" s="482" t="s">
        <v>63</v>
      </c>
      <c r="C311" s="483">
        <v>2.2599999999999998</v>
      </c>
      <c r="D311" s="474" t="s">
        <v>129</v>
      </c>
      <c r="E311" s="475">
        <f>+E310*1.02</f>
        <v>39208.800000000003</v>
      </c>
      <c r="F311" s="476">
        <f t="shared" ref="F311:F313" si="34">+C311*E311</f>
        <v>88611.887999999992</v>
      </c>
      <c r="H311" s="485">
        <f t="shared" ref="H311" si="35">+C311*10.76/100</f>
        <v>0.24317599999999998</v>
      </c>
    </row>
    <row r="312" spans="1:8" x14ac:dyDescent="0.25">
      <c r="A312" s="481"/>
      <c r="B312" s="482"/>
      <c r="C312" s="483"/>
      <c r="D312" s="474"/>
      <c r="E312" s="475"/>
      <c r="F312" s="476"/>
    </row>
    <row r="313" spans="1:8" x14ac:dyDescent="0.25">
      <c r="A313" s="481" t="s">
        <v>232</v>
      </c>
      <c r="B313" s="482" t="s">
        <v>234</v>
      </c>
      <c r="C313" s="483">
        <f>+C310+C311</f>
        <v>11.67</v>
      </c>
      <c r="D313" s="474" t="s">
        <v>129</v>
      </c>
      <c r="E313" s="475">
        <v>5985</v>
      </c>
      <c r="F313" s="476">
        <f t="shared" si="34"/>
        <v>69844.95</v>
      </c>
    </row>
    <row r="314" spans="1:8" s="477" customFormat="1" ht="28.05" customHeight="1" x14ac:dyDescent="0.25">
      <c r="A314" s="471"/>
      <c r="B314" s="479" t="s">
        <v>235</v>
      </c>
      <c r="C314" s="480"/>
      <c r="D314" s="474"/>
      <c r="E314" s="475"/>
      <c r="F314" s="476"/>
      <c r="H314" s="478"/>
    </row>
    <row r="315" spans="1:8" s="477" customFormat="1" ht="20.100000000000001" customHeight="1" x14ac:dyDescent="0.25">
      <c r="A315" s="471"/>
      <c r="B315" s="479" t="s">
        <v>236</v>
      </c>
      <c r="C315" s="480"/>
      <c r="D315" s="474"/>
      <c r="E315" s="475"/>
      <c r="F315" s="476"/>
      <c r="H315" s="478"/>
    </row>
    <row r="316" spans="1:8" s="477" customFormat="1" ht="88.05" customHeight="1" x14ac:dyDescent="0.25">
      <c r="A316" s="471"/>
      <c r="B316" s="486" t="s">
        <v>237</v>
      </c>
      <c r="C316" s="487"/>
      <c r="D316" s="474"/>
      <c r="E316" s="475"/>
      <c r="F316" s="476"/>
      <c r="H316" s="478"/>
    </row>
    <row r="317" spans="1:8" ht="55.05" customHeight="1" x14ac:dyDescent="0.25">
      <c r="A317" s="481" t="s">
        <v>522</v>
      </c>
      <c r="B317" s="482" t="s">
        <v>369</v>
      </c>
      <c r="C317" s="483"/>
      <c r="D317" s="474" t="s">
        <v>129</v>
      </c>
      <c r="E317" s="475">
        <v>40360</v>
      </c>
      <c r="F317" s="476"/>
    </row>
    <row r="318" spans="1:8" x14ac:dyDescent="0.25">
      <c r="A318" s="481" t="s">
        <v>523</v>
      </c>
      <c r="B318" s="482" t="s">
        <v>61</v>
      </c>
      <c r="C318" s="483">
        <v>22.079519999999999</v>
      </c>
      <c r="D318" s="474" t="s">
        <v>129</v>
      </c>
      <c r="E318" s="475">
        <v>40360</v>
      </c>
      <c r="F318" s="476">
        <f>+C318*E318</f>
        <v>891129.42719999992</v>
      </c>
      <c r="H318" s="485">
        <f>+C318*10.76/100</f>
        <v>2.3757563519999998</v>
      </c>
    </row>
    <row r="319" spans="1:8" x14ac:dyDescent="0.25">
      <c r="A319" s="481" t="s">
        <v>524</v>
      </c>
      <c r="B319" s="482" t="s">
        <v>62</v>
      </c>
      <c r="C319" s="483">
        <v>27.377743999999996</v>
      </c>
      <c r="D319" s="474" t="s">
        <v>129</v>
      </c>
      <c r="E319" s="475">
        <f>+E318*1.02</f>
        <v>41167.199999999997</v>
      </c>
      <c r="F319" s="476">
        <f t="shared" ref="F319:F324" si="36">+C319*E319</f>
        <v>1127065.0627967997</v>
      </c>
      <c r="H319" s="485">
        <f t="shared" ref="H319:H320" si="37">+C319*10.76/100</f>
        <v>2.9458452543999996</v>
      </c>
    </row>
    <row r="320" spans="1:8" x14ac:dyDescent="0.25">
      <c r="A320" s="481" t="s">
        <v>525</v>
      </c>
      <c r="B320" s="482" t="s">
        <v>63</v>
      </c>
      <c r="C320" s="483">
        <v>27.377743999999996</v>
      </c>
      <c r="D320" s="474" t="s">
        <v>129</v>
      </c>
      <c r="E320" s="475">
        <f>+E318*1.04</f>
        <v>41974.400000000001</v>
      </c>
      <c r="F320" s="476">
        <f t="shared" si="36"/>
        <v>1149164.3777535998</v>
      </c>
      <c r="H320" s="485">
        <f t="shared" si="37"/>
        <v>2.9458452543999996</v>
      </c>
    </row>
    <row r="321" spans="1:18" x14ac:dyDescent="0.25">
      <c r="A321" s="481"/>
      <c r="B321" s="482"/>
      <c r="C321" s="483"/>
      <c r="D321" s="474"/>
      <c r="E321" s="475"/>
      <c r="F321" s="476"/>
    </row>
    <row r="322" spans="1:18" ht="60" customHeight="1" x14ac:dyDescent="0.25">
      <c r="A322" s="481" t="s">
        <v>233</v>
      </c>
      <c r="B322" s="482" t="s">
        <v>370</v>
      </c>
      <c r="C322" s="483">
        <v>3.49</v>
      </c>
      <c r="D322" s="474" t="s">
        <v>129</v>
      </c>
      <c r="E322" s="475">
        <v>51440</v>
      </c>
      <c r="F322" s="476">
        <f t="shared" si="36"/>
        <v>179525.6</v>
      </c>
    </row>
    <row r="323" spans="1:18" ht="35.25" customHeight="1" x14ac:dyDescent="0.25">
      <c r="A323" s="481" t="s">
        <v>238</v>
      </c>
      <c r="B323" s="482" t="s">
        <v>372</v>
      </c>
      <c r="C323" s="483">
        <v>498</v>
      </c>
      <c r="D323" s="474" t="s">
        <v>373</v>
      </c>
      <c r="E323" s="475">
        <v>140</v>
      </c>
      <c r="F323" s="476">
        <f t="shared" si="36"/>
        <v>69720</v>
      </c>
    </row>
    <row r="324" spans="1:18" ht="35.25" customHeight="1" x14ac:dyDescent="0.25">
      <c r="A324" s="481" t="s">
        <v>526</v>
      </c>
      <c r="B324" s="482" t="s">
        <v>371</v>
      </c>
      <c r="C324" s="483">
        <v>144</v>
      </c>
      <c r="D324" s="474" t="s">
        <v>373</v>
      </c>
      <c r="E324" s="475">
        <v>177</v>
      </c>
      <c r="F324" s="476">
        <f t="shared" si="36"/>
        <v>25488</v>
      </c>
    </row>
    <row r="325" spans="1:18" x14ac:dyDescent="0.25">
      <c r="A325" s="481"/>
      <c r="B325" s="482"/>
      <c r="C325" s="483"/>
      <c r="D325" s="474"/>
      <c r="E325" s="475"/>
      <c r="F325" s="476"/>
    </row>
    <row r="326" spans="1:18" x14ac:dyDescent="0.25">
      <c r="A326" s="481"/>
      <c r="B326" s="482"/>
      <c r="C326" s="483"/>
      <c r="D326" s="474"/>
      <c r="E326" s="475"/>
      <c r="F326" s="476"/>
    </row>
    <row r="327" spans="1:18" x14ac:dyDescent="0.25">
      <c r="A327" s="481"/>
      <c r="B327" s="482"/>
      <c r="C327" s="483"/>
      <c r="D327" s="474"/>
      <c r="E327" s="475"/>
      <c r="F327" s="476"/>
    </row>
    <row r="328" spans="1:18" s="477" customFormat="1" x14ac:dyDescent="0.25">
      <c r="A328" s="499"/>
      <c r="B328" s="500" t="s">
        <v>46</v>
      </c>
      <c r="C328" s="501"/>
      <c r="D328" s="502"/>
      <c r="E328" s="503"/>
      <c r="F328" s="504">
        <f>SUM(F309:F326)</f>
        <v>3962269.7057503997</v>
      </c>
      <c r="H328" s="478"/>
    </row>
    <row r="329" spans="1:18" s="426" customFormat="1" ht="45" customHeight="1" x14ac:dyDescent="0.25">
      <c r="A329" s="511"/>
      <c r="B329" s="491" t="s">
        <v>239</v>
      </c>
      <c r="C329" s="492"/>
      <c r="D329" s="474"/>
      <c r="E329" s="475"/>
      <c r="F329" s="476"/>
      <c r="H329" s="427"/>
    </row>
    <row r="330" spans="1:18" ht="27.6" x14ac:dyDescent="0.25">
      <c r="A330" s="481" t="s">
        <v>527</v>
      </c>
      <c r="B330" s="482" t="s">
        <v>375</v>
      </c>
      <c r="C330" s="483"/>
      <c r="D330" s="474"/>
      <c r="E330" s="475"/>
      <c r="F330" s="476"/>
    </row>
    <row r="331" spans="1:18" x14ac:dyDescent="0.25">
      <c r="A331" s="481" t="s">
        <v>528</v>
      </c>
      <c r="B331" s="482" t="s">
        <v>61</v>
      </c>
      <c r="C331" s="483">
        <v>76.86</v>
      </c>
      <c r="D331" s="474" t="s">
        <v>129</v>
      </c>
      <c r="E331" s="475">
        <v>2550</v>
      </c>
      <c r="F331" s="476">
        <f t="shared" ref="F331:F335" si="38">+C331*E331</f>
        <v>195993</v>
      </c>
      <c r="H331" s="485">
        <v>827.03</v>
      </c>
      <c r="I331" s="484">
        <v>161.03</v>
      </c>
      <c r="J331" s="484">
        <v>273.78000000000003</v>
      </c>
      <c r="K331" s="484">
        <f>+H331*10.76/100</f>
        <v>88.988427999999999</v>
      </c>
      <c r="L331" s="484">
        <f>+I331*10.76/100</f>
        <v>17.326827999999999</v>
      </c>
      <c r="M331" s="484">
        <f>+J331*10.76/100</f>
        <v>29.458728000000001</v>
      </c>
      <c r="N331" s="484">
        <f>+K331-M331</f>
        <v>59.529699999999998</v>
      </c>
      <c r="P331" s="484">
        <f>+L331+N331</f>
        <v>76.856527999999997</v>
      </c>
      <c r="R331" s="484">
        <f>SUM(K331:L331)</f>
        <v>106.31525600000001</v>
      </c>
    </row>
    <row r="332" spans="1:18" x14ac:dyDescent="0.25">
      <c r="A332" s="481" t="s">
        <v>529</v>
      </c>
      <c r="B332" s="482" t="s">
        <v>62</v>
      </c>
      <c r="C332" s="483">
        <v>80.849999999999994</v>
      </c>
      <c r="D332" s="474" t="s">
        <v>129</v>
      </c>
      <c r="E332" s="475">
        <f>+E331*1.03</f>
        <v>2626.5</v>
      </c>
      <c r="F332" s="476">
        <f t="shared" si="38"/>
        <v>212352.52499999999</v>
      </c>
      <c r="H332" s="485">
        <v>820.51</v>
      </c>
      <c r="I332" s="484">
        <v>204.65</v>
      </c>
      <c r="J332" s="484">
        <v>273.78000000000003</v>
      </c>
      <c r="K332" s="484">
        <f t="shared" ref="K332:M335" si="39">+H332*10.76/100</f>
        <v>88.286875999999992</v>
      </c>
      <c r="L332" s="484">
        <f t="shared" si="39"/>
        <v>22.020340000000001</v>
      </c>
      <c r="M332" s="484">
        <f t="shared" si="39"/>
        <v>29.458728000000001</v>
      </c>
      <c r="N332" s="484">
        <f t="shared" ref="N332:N335" si="40">+K332-M332</f>
        <v>58.828147999999992</v>
      </c>
      <c r="P332" s="484">
        <f t="shared" ref="P332:P335" si="41">+L332+N332</f>
        <v>80.848487999999989</v>
      </c>
      <c r="R332" s="484">
        <f>SUM(K332:L332)</f>
        <v>110.307216</v>
      </c>
    </row>
    <row r="333" spans="1:18" x14ac:dyDescent="0.25">
      <c r="A333" s="481" t="s">
        <v>530</v>
      </c>
      <c r="B333" s="482" t="s">
        <v>63</v>
      </c>
      <c r="C333" s="483">
        <v>67.64</v>
      </c>
      <c r="D333" s="474" t="s">
        <v>129</v>
      </c>
      <c r="E333" s="475">
        <f>+E331*1.06</f>
        <v>2703</v>
      </c>
      <c r="F333" s="476">
        <f t="shared" si="38"/>
        <v>182830.92</v>
      </c>
      <c r="H333" s="485">
        <v>416.72</v>
      </c>
      <c r="I333" s="484">
        <v>241</v>
      </c>
      <c r="J333" s="484">
        <v>29.08</v>
      </c>
      <c r="K333" s="484">
        <f t="shared" si="39"/>
        <v>44.839072000000009</v>
      </c>
      <c r="L333" s="484">
        <f t="shared" si="39"/>
        <v>25.9316</v>
      </c>
      <c r="M333" s="484">
        <f t="shared" si="39"/>
        <v>3.1290080000000002</v>
      </c>
      <c r="N333" s="484">
        <f t="shared" si="40"/>
        <v>41.71006400000001</v>
      </c>
      <c r="P333" s="484">
        <f t="shared" si="41"/>
        <v>67.641664000000006</v>
      </c>
      <c r="R333" s="484">
        <f>SUM(K333:L333)</f>
        <v>70.770672000000005</v>
      </c>
    </row>
    <row r="334" spans="1:18" x14ac:dyDescent="0.25">
      <c r="A334" s="481" t="s">
        <v>531</v>
      </c>
      <c r="B334" s="482" t="s">
        <v>116</v>
      </c>
      <c r="C334" s="483">
        <v>34.799999999999997</v>
      </c>
      <c r="D334" s="474" t="s">
        <v>129</v>
      </c>
      <c r="E334" s="475">
        <f>+E331*1.09</f>
        <v>2779.5</v>
      </c>
      <c r="F334" s="476">
        <f t="shared" si="38"/>
        <v>96726.599999999991</v>
      </c>
      <c r="H334" s="485">
        <v>218.05</v>
      </c>
      <c r="I334" s="484">
        <v>134.41</v>
      </c>
      <c r="J334" s="484">
        <v>29.08</v>
      </c>
      <c r="K334" s="484">
        <f t="shared" si="39"/>
        <v>23.462180000000004</v>
      </c>
      <c r="L334" s="484">
        <f t="shared" si="39"/>
        <v>14.462515999999999</v>
      </c>
      <c r="M334" s="484">
        <f t="shared" si="39"/>
        <v>3.1290080000000002</v>
      </c>
      <c r="N334" s="484">
        <f t="shared" si="40"/>
        <v>20.333172000000005</v>
      </c>
      <c r="P334" s="484">
        <f t="shared" si="41"/>
        <v>34.795688000000006</v>
      </c>
      <c r="R334" s="484">
        <f>SUM(K334:L334)</f>
        <v>37.924696000000004</v>
      </c>
    </row>
    <row r="335" spans="1:18" x14ac:dyDescent="0.25">
      <c r="A335" s="481" t="s">
        <v>532</v>
      </c>
      <c r="B335" s="482" t="s">
        <v>124</v>
      </c>
      <c r="C335" s="483">
        <v>3.03</v>
      </c>
      <c r="D335" s="474" t="s">
        <v>129</v>
      </c>
      <c r="E335" s="475">
        <f>+E331*1.12</f>
        <v>2856.0000000000005</v>
      </c>
      <c r="F335" s="476">
        <f t="shared" si="38"/>
        <v>8653.68</v>
      </c>
      <c r="H335" s="485">
        <v>14.09</v>
      </c>
      <c r="I335" s="484">
        <v>14.09</v>
      </c>
      <c r="K335" s="484">
        <f t="shared" si="39"/>
        <v>1.516084</v>
      </c>
      <c r="L335" s="484">
        <f t="shared" si="39"/>
        <v>1.516084</v>
      </c>
      <c r="M335" s="484">
        <f t="shared" si="39"/>
        <v>0</v>
      </c>
      <c r="N335" s="484">
        <f t="shared" si="40"/>
        <v>1.516084</v>
      </c>
      <c r="P335" s="484">
        <f t="shared" si="41"/>
        <v>3.032168</v>
      </c>
      <c r="R335" s="484">
        <f>SUM(K335:L335)</f>
        <v>3.032168</v>
      </c>
    </row>
    <row r="336" spans="1:18" x14ac:dyDescent="0.25">
      <c r="A336" s="481"/>
      <c r="B336" s="482"/>
      <c r="C336" s="483"/>
      <c r="D336" s="474"/>
      <c r="E336" s="475"/>
      <c r="F336" s="476"/>
    </row>
    <row r="337" spans="1:6" ht="38.1" customHeight="1" x14ac:dyDescent="0.25">
      <c r="A337" s="481" t="s">
        <v>533</v>
      </c>
      <c r="B337" s="482" t="s">
        <v>374</v>
      </c>
      <c r="C337" s="483"/>
      <c r="D337" s="474"/>
      <c r="E337" s="475"/>
      <c r="F337" s="476"/>
    </row>
    <row r="338" spans="1:6" x14ac:dyDescent="0.25">
      <c r="A338" s="481" t="s">
        <v>534</v>
      </c>
      <c r="B338" s="482" t="s">
        <v>61</v>
      </c>
      <c r="C338" s="483">
        <v>59.529699999999998</v>
      </c>
      <c r="D338" s="474" t="s">
        <v>129</v>
      </c>
      <c r="E338" s="475">
        <v>2375</v>
      </c>
      <c r="F338" s="476">
        <f t="shared" ref="F338:F342" si="42">+C338*E338</f>
        <v>141383.03750000001</v>
      </c>
    </row>
    <row r="339" spans="1:6" x14ac:dyDescent="0.25">
      <c r="A339" s="481" t="s">
        <v>537</v>
      </c>
      <c r="B339" s="482" t="s">
        <v>62</v>
      </c>
      <c r="C339" s="483">
        <v>58.828147999999992</v>
      </c>
      <c r="D339" s="474" t="s">
        <v>129</v>
      </c>
      <c r="E339" s="475">
        <f>+E338*1.03</f>
        <v>2446.25</v>
      </c>
      <c r="F339" s="476">
        <f t="shared" si="42"/>
        <v>143908.35704499998</v>
      </c>
    </row>
    <row r="340" spans="1:6" x14ac:dyDescent="0.25">
      <c r="A340" s="481" t="s">
        <v>538</v>
      </c>
      <c r="B340" s="482" t="s">
        <v>63</v>
      </c>
      <c r="C340" s="483">
        <v>41.71006400000001</v>
      </c>
      <c r="D340" s="474" t="s">
        <v>129</v>
      </c>
      <c r="E340" s="475">
        <f>+E338*1.06</f>
        <v>2517.5</v>
      </c>
      <c r="F340" s="476">
        <f t="shared" si="42"/>
        <v>105005.08612000002</v>
      </c>
    </row>
    <row r="341" spans="1:6" x14ac:dyDescent="0.25">
      <c r="A341" s="481" t="s">
        <v>536</v>
      </c>
      <c r="B341" s="482" t="s">
        <v>116</v>
      </c>
      <c r="C341" s="483">
        <v>20.333172000000005</v>
      </c>
      <c r="D341" s="474" t="s">
        <v>129</v>
      </c>
      <c r="E341" s="475">
        <f>+E338*1.09</f>
        <v>2588.75</v>
      </c>
      <c r="F341" s="476">
        <f t="shared" si="42"/>
        <v>52637.499015000009</v>
      </c>
    </row>
    <row r="342" spans="1:6" x14ac:dyDescent="0.25">
      <c r="A342" s="481" t="s">
        <v>535</v>
      </c>
      <c r="B342" s="482" t="s">
        <v>124</v>
      </c>
      <c r="C342" s="483">
        <v>1.516084</v>
      </c>
      <c r="D342" s="474" t="s">
        <v>129</v>
      </c>
      <c r="E342" s="475">
        <f>+E338*1.12</f>
        <v>2660.0000000000005</v>
      </c>
      <c r="F342" s="476">
        <f t="shared" si="42"/>
        <v>4032.7834400000006</v>
      </c>
    </row>
    <row r="343" spans="1:6" x14ac:dyDescent="0.25">
      <c r="A343" s="481"/>
      <c r="B343" s="482"/>
      <c r="C343" s="483"/>
      <c r="D343" s="474"/>
      <c r="E343" s="475"/>
      <c r="F343" s="476"/>
    </row>
    <row r="344" spans="1:6" ht="37.5" customHeight="1" x14ac:dyDescent="0.25">
      <c r="A344" s="481" t="s">
        <v>240</v>
      </c>
      <c r="B344" s="482" t="s">
        <v>376</v>
      </c>
      <c r="C344" s="483"/>
      <c r="D344" s="474"/>
      <c r="E344" s="475"/>
      <c r="F344" s="476"/>
    </row>
    <row r="345" spans="1:6" x14ac:dyDescent="0.25">
      <c r="A345" s="481" t="s">
        <v>540</v>
      </c>
      <c r="B345" s="482" t="s">
        <v>61</v>
      </c>
      <c r="C345" s="483">
        <v>29.458728000000001</v>
      </c>
      <c r="D345" s="474" t="s">
        <v>129</v>
      </c>
      <c r="E345" s="475">
        <v>2855</v>
      </c>
      <c r="F345" s="476">
        <f t="shared" ref="F345:F348" si="43">+C345*E345</f>
        <v>84104.668440000009</v>
      </c>
    </row>
    <row r="346" spans="1:6" x14ac:dyDescent="0.25">
      <c r="A346" s="481" t="s">
        <v>543</v>
      </c>
      <c r="B346" s="482" t="s">
        <v>62</v>
      </c>
      <c r="C346" s="483">
        <v>29.458728000000001</v>
      </c>
      <c r="D346" s="474" t="s">
        <v>129</v>
      </c>
      <c r="E346" s="475">
        <f>+E345*1.03</f>
        <v>2940.65</v>
      </c>
      <c r="F346" s="476">
        <f t="shared" si="43"/>
        <v>86627.808493200006</v>
      </c>
    </row>
    <row r="347" spans="1:6" x14ac:dyDescent="0.25">
      <c r="A347" s="481" t="s">
        <v>544</v>
      </c>
      <c r="B347" s="482" t="s">
        <v>63</v>
      </c>
      <c r="C347" s="483">
        <v>3.1290080000000002</v>
      </c>
      <c r="D347" s="474" t="s">
        <v>129</v>
      </c>
      <c r="E347" s="475">
        <f>+E345*1.06</f>
        <v>3026.3</v>
      </c>
      <c r="F347" s="476">
        <f t="shared" si="43"/>
        <v>9469.3169104000008</v>
      </c>
    </row>
    <row r="348" spans="1:6" x14ac:dyDescent="0.25">
      <c r="A348" s="481" t="s">
        <v>545</v>
      </c>
      <c r="B348" s="482" t="s">
        <v>116</v>
      </c>
      <c r="C348" s="483">
        <v>3.1290080000000002</v>
      </c>
      <c r="D348" s="474" t="s">
        <v>129</v>
      </c>
      <c r="E348" s="475">
        <f>+E345*1.09</f>
        <v>3111.9500000000003</v>
      </c>
      <c r="F348" s="476">
        <f t="shared" si="43"/>
        <v>9737.3164456000013</v>
      </c>
    </row>
    <row r="349" spans="1:6" x14ac:dyDescent="0.25">
      <c r="A349" s="481"/>
      <c r="B349" s="482"/>
      <c r="C349" s="483"/>
      <c r="D349" s="474"/>
      <c r="E349" s="475"/>
      <c r="F349" s="476"/>
    </row>
    <row r="350" spans="1:6" ht="41.4" x14ac:dyDescent="0.25">
      <c r="A350" s="481" t="s">
        <v>539</v>
      </c>
      <c r="B350" s="482" t="s">
        <v>377</v>
      </c>
      <c r="C350" s="483"/>
      <c r="D350" s="474"/>
      <c r="E350" s="475"/>
      <c r="F350" s="476"/>
    </row>
    <row r="351" spans="1:6" x14ac:dyDescent="0.25">
      <c r="A351" s="481" t="s">
        <v>541</v>
      </c>
      <c r="B351" s="482" t="s">
        <v>61</v>
      </c>
      <c r="C351" s="483">
        <v>17.326827999999999</v>
      </c>
      <c r="D351" s="474" t="s">
        <v>129</v>
      </c>
      <c r="E351" s="475">
        <v>3410</v>
      </c>
      <c r="F351" s="476">
        <f t="shared" ref="F351:F355" si="44">+C351*E351</f>
        <v>59084.483479999995</v>
      </c>
    </row>
    <row r="352" spans="1:6" x14ac:dyDescent="0.25">
      <c r="A352" s="481" t="s">
        <v>542</v>
      </c>
      <c r="B352" s="482" t="s">
        <v>62</v>
      </c>
      <c r="C352" s="483">
        <v>22.020340000000001</v>
      </c>
      <c r="D352" s="474" t="s">
        <v>129</v>
      </c>
      <c r="E352" s="475">
        <f>+E351*1.03</f>
        <v>3512.3</v>
      </c>
      <c r="F352" s="476">
        <f t="shared" si="44"/>
        <v>77342.040182000012</v>
      </c>
    </row>
    <row r="353" spans="1:10" x14ac:dyDescent="0.25">
      <c r="A353" s="481" t="s">
        <v>546</v>
      </c>
      <c r="B353" s="482" t="s">
        <v>63</v>
      </c>
      <c r="C353" s="483">
        <v>25.9316</v>
      </c>
      <c r="D353" s="474" t="s">
        <v>129</v>
      </c>
      <c r="E353" s="475">
        <f>+E351*1.06</f>
        <v>3614.6000000000004</v>
      </c>
      <c r="F353" s="476">
        <f t="shared" si="44"/>
        <v>93732.36136000001</v>
      </c>
    </row>
    <row r="354" spans="1:10" x14ac:dyDescent="0.25">
      <c r="A354" s="481" t="s">
        <v>547</v>
      </c>
      <c r="B354" s="482" t="s">
        <v>116</v>
      </c>
      <c r="C354" s="483">
        <v>14.462515999999999</v>
      </c>
      <c r="D354" s="474" t="s">
        <v>129</v>
      </c>
      <c r="E354" s="475">
        <f>+E351*1.09</f>
        <v>3716.9</v>
      </c>
      <c r="F354" s="476">
        <f t="shared" si="44"/>
        <v>53755.725720399998</v>
      </c>
    </row>
    <row r="355" spans="1:10" x14ac:dyDescent="0.25">
      <c r="A355" s="481" t="s">
        <v>548</v>
      </c>
      <c r="B355" s="482" t="s">
        <v>124</v>
      </c>
      <c r="C355" s="483">
        <v>1.516084</v>
      </c>
      <c r="D355" s="474" t="s">
        <v>129</v>
      </c>
      <c r="E355" s="475">
        <f>+E351*1.12</f>
        <v>3819.2000000000003</v>
      </c>
      <c r="F355" s="476">
        <f t="shared" si="44"/>
        <v>5790.2280128000002</v>
      </c>
    </row>
    <row r="356" spans="1:10" x14ac:dyDescent="0.25">
      <c r="A356" s="481"/>
      <c r="B356" s="482"/>
      <c r="C356" s="483"/>
      <c r="D356" s="474"/>
      <c r="E356" s="475"/>
      <c r="F356" s="476"/>
    </row>
    <row r="357" spans="1:10" x14ac:dyDescent="0.25">
      <c r="A357" s="481"/>
      <c r="B357" s="482"/>
      <c r="C357" s="483"/>
      <c r="D357" s="474"/>
      <c r="E357" s="475"/>
      <c r="F357" s="476"/>
    </row>
    <row r="358" spans="1:10" x14ac:dyDescent="0.25">
      <c r="A358" s="481"/>
      <c r="B358" s="482"/>
      <c r="C358" s="483"/>
      <c r="D358" s="474"/>
      <c r="E358" s="475"/>
      <c r="F358" s="476"/>
    </row>
    <row r="359" spans="1:10" s="477" customFormat="1" x14ac:dyDescent="0.25">
      <c r="A359" s="499"/>
      <c r="B359" s="500" t="s">
        <v>46</v>
      </c>
      <c r="C359" s="501"/>
      <c r="D359" s="502"/>
      <c r="E359" s="503"/>
      <c r="F359" s="504">
        <f>SUM(F330:F357)</f>
        <v>1623167.4371643998</v>
      </c>
      <c r="H359" s="478"/>
    </row>
    <row r="360" spans="1:10" x14ac:dyDescent="0.25">
      <c r="A360" s="481"/>
      <c r="B360" s="482"/>
      <c r="C360" s="483"/>
      <c r="D360" s="474"/>
      <c r="E360" s="475"/>
      <c r="F360" s="476"/>
    </row>
    <row r="361" spans="1:10" ht="15.6" x14ac:dyDescent="0.25">
      <c r="A361" s="481"/>
      <c r="B361" s="491" t="s">
        <v>396</v>
      </c>
      <c r="C361" s="483"/>
      <c r="D361" s="474"/>
      <c r="E361" s="475"/>
      <c r="F361" s="476"/>
    </row>
    <row r="362" spans="1:10" ht="15.6" x14ac:dyDescent="0.25">
      <c r="A362" s="481"/>
      <c r="B362" s="491"/>
      <c r="C362" s="483"/>
      <c r="D362" s="474"/>
      <c r="E362" s="475"/>
      <c r="F362" s="476"/>
    </row>
    <row r="363" spans="1:10" ht="55.2" x14ac:dyDescent="0.25">
      <c r="A363" s="481" t="s">
        <v>549</v>
      </c>
      <c r="B363" s="482" t="s">
        <v>118</v>
      </c>
      <c r="C363" s="483">
        <v>54</v>
      </c>
      <c r="D363" s="474" t="s">
        <v>587</v>
      </c>
      <c r="E363" s="475">
        <v>2400</v>
      </c>
      <c r="F363" s="476">
        <f>C363*E363</f>
        <v>129600</v>
      </c>
    </row>
    <row r="364" spans="1:10" ht="110.4" x14ac:dyDescent="0.25">
      <c r="A364" s="481" t="s">
        <v>550</v>
      </c>
      <c r="B364" s="482" t="s">
        <v>588</v>
      </c>
      <c r="C364" s="483">
        <v>139.44999999999999</v>
      </c>
      <c r="D364" s="474" t="s">
        <v>587</v>
      </c>
      <c r="E364" s="475">
        <v>1450</v>
      </c>
      <c r="F364" s="476">
        <f>C364*E364</f>
        <v>202202.49999999997</v>
      </c>
      <c r="H364" s="485">
        <f>1260*1.15</f>
        <v>1449</v>
      </c>
      <c r="I364" s="484">
        <f>12.96*10.76</f>
        <v>139.4496</v>
      </c>
    </row>
    <row r="365" spans="1:10" ht="96.6" x14ac:dyDescent="0.25">
      <c r="A365" s="481" t="s">
        <v>551</v>
      </c>
      <c r="B365" s="482" t="s">
        <v>589</v>
      </c>
      <c r="C365" s="483">
        <v>737.92</v>
      </c>
      <c r="D365" s="474" t="s">
        <v>587</v>
      </c>
      <c r="E365" s="475">
        <v>1265</v>
      </c>
      <c r="F365" s="476">
        <f t="shared" ref="F365:F368" si="45">C365*E365</f>
        <v>933468.79999999993</v>
      </c>
      <c r="H365" s="485">
        <v>1100</v>
      </c>
      <c r="I365" s="484">
        <f>+H365*1.15</f>
        <v>1265</v>
      </c>
      <c r="J365" s="484">
        <f>68.58*10.76</f>
        <v>737.92079999999999</v>
      </c>
    </row>
    <row r="366" spans="1:10" ht="138" x14ac:dyDescent="0.25">
      <c r="A366" s="481" t="s">
        <v>552</v>
      </c>
      <c r="B366" s="482" t="s">
        <v>590</v>
      </c>
      <c r="C366" s="483">
        <v>151.07</v>
      </c>
      <c r="D366" s="474" t="s">
        <v>587</v>
      </c>
      <c r="E366" s="475">
        <v>1305.25</v>
      </c>
      <c r="F366" s="476">
        <f t="shared" si="45"/>
        <v>197184.11749999999</v>
      </c>
      <c r="H366" s="485">
        <v>1135</v>
      </c>
      <c r="I366" s="484">
        <f>+H366*1.15</f>
        <v>1305.25</v>
      </c>
      <c r="J366" s="484">
        <f>14.04*10.76</f>
        <v>151.07039999999998</v>
      </c>
    </row>
    <row r="367" spans="1:10" ht="41.4" x14ac:dyDescent="0.25">
      <c r="A367" s="481" t="s">
        <v>553</v>
      </c>
      <c r="B367" s="482" t="s">
        <v>591</v>
      </c>
      <c r="C367" s="483">
        <v>34.22</v>
      </c>
      <c r="D367" s="474" t="s">
        <v>587</v>
      </c>
      <c r="E367" s="475">
        <v>1178</v>
      </c>
      <c r="F367" s="476">
        <f t="shared" si="45"/>
        <v>40311.159999999996</v>
      </c>
      <c r="H367" s="485">
        <v>1025</v>
      </c>
      <c r="I367" s="484">
        <f>+H367*1.15</f>
        <v>1178.75</v>
      </c>
      <c r="J367" s="484">
        <f>3.18*10.76</f>
        <v>34.216799999999999</v>
      </c>
    </row>
    <row r="368" spans="1:10" ht="41.4" x14ac:dyDescent="0.25">
      <c r="A368" s="481" t="s">
        <v>554</v>
      </c>
      <c r="B368" s="482" t="s">
        <v>605</v>
      </c>
      <c r="C368" s="483">
        <v>852</v>
      </c>
      <c r="D368" s="474" t="s">
        <v>587</v>
      </c>
      <c r="E368" s="475">
        <v>1452</v>
      </c>
      <c r="F368" s="476">
        <f t="shared" si="45"/>
        <v>1237104</v>
      </c>
      <c r="H368" s="485">
        <f>6*12+13*12*5</f>
        <v>852</v>
      </c>
    </row>
    <row r="369" spans="1:9" x14ac:dyDescent="0.25">
      <c r="A369" s="481"/>
      <c r="B369" s="482"/>
      <c r="C369" s="483"/>
      <c r="D369" s="474"/>
      <c r="E369" s="475"/>
      <c r="F369" s="476"/>
    </row>
    <row r="370" spans="1:9" x14ac:dyDescent="0.25">
      <c r="A370" s="481"/>
      <c r="B370" s="482"/>
      <c r="C370" s="483"/>
      <c r="D370" s="474"/>
      <c r="E370" s="475"/>
      <c r="F370" s="476"/>
    </row>
    <row r="371" spans="1:9" x14ac:dyDescent="0.25">
      <c r="A371" s="481"/>
      <c r="B371" s="482"/>
      <c r="C371" s="483"/>
      <c r="D371" s="474"/>
      <c r="E371" s="475"/>
      <c r="F371" s="476"/>
    </row>
    <row r="372" spans="1:9" ht="15.6" x14ac:dyDescent="0.25">
      <c r="A372" s="481"/>
      <c r="B372" s="491"/>
      <c r="C372" s="483"/>
      <c r="D372" s="474"/>
      <c r="E372" s="475"/>
      <c r="F372" s="476"/>
      <c r="H372" s="485" t="s">
        <v>592</v>
      </c>
    </row>
    <row r="373" spans="1:9" ht="15.6" x14ac:dyDescent="0.25">
      <c r="A373" s="481"/>
      <c r="B373" s="491"/>
      <c r="C373" s="483"/>
      <c r="D373" s="474"/>
      <c r="E373" s="475"/>
      <c r="F373" s="476"/>
    </row>
    <row r="374" spans="1:9" ht="15.6" x14ac:dyDescent="0.25">
      <c r="A374" s="481"/>
      <c r="B374" s="491"/>
      <c r="C374" s="483"/>
      <c r="D374" s="474"/>
      <c r="E374" s="475"/>
      <c r="F374" s="476"/>
    </row>
    <row r="375" spans="1:9" s="477" customFormat="1" x14ac:dyDescent="0.25">
      <c r="A375" s="499"/>
      <c r="B375" s="500" t="s">
        <v>46</v>
      </c>
      <c r="C375" s="501"/>
      <c r="D375" s="502"/>
      <c r="E375" s="503"/>
      <c r="F375" s="504">
        <f>SUM(F363:F374)</f>
        <v>2739870.5774999997</v>
      </c>
      <c r="H375" s="478"/>
    </row>
    <row r="376" spans="1:9" s="477" customFormat="1" ht="28.05" customHeight="1" x14ac:dyDescent="0.25">
      <c r="A376" s="471"/>
      <c r="B376" s="491" t="s">
        <v>241</v>
      </c>
      <c r="C376" s="492"/>
      <c r="D376" s="474"/>
      <c r="E376" s="475"/>
      <c r="F376" s="476"/>
      <c r="H376" s="478"/>
    </row>
    <row r="377" spans="1:9" x14ac:dyDescent="0.25">
      <c r="A377" s="481"/>
      <c r="B377" s="482"/>
      <c r="C377" s="483"/>
      <c r="D377" s="474"/>
      <c r="E377" s="475"/>
      <c r="F377" s="476"/>
    </row>
    <row r="378" spans="1:9" ht="27.6" x14ac:dyDescent="0.25">
      <c r="A378" s="481" t="s">
        <v>242</v>
      </c>
      <c r="B378" s="482" t="s">
        <v>122</v>
      </c>
      <c r="C378" s="483">
        <v>14.3</v>
      </c>
      <c r="D378" s="474" t="s">
        <v>129</v>
      </c>
      <c r="E378" s="475">
        <v>4845</v>
      </c>
      <c r="F378" s="476">
        <f t="shared" ref="F378:F383" si="46">C378*E378</f>
        <v>69283.5</v>
      </c>
      <c r="H378" s="485">
        <f>+C378*10.76/100</f>
        <v>1.53868</v>
      </c>
      <c r="I378" s="484">
        <v>14.3</v>
      </c>
    </row>
    <row r="379" spans="1:9" ht="41.4" x14ac:dyDescent="0.25">
      <c r="A379" s="481" t="s">
        <v>243</v>
      </c>
      <c r="B379" s="482" t="s">
        <v>123</v>
      </c>
      <c r="C379" s="483">
        <v>2.14</v>
      </c>
      <c r="D379" s="474" t="s">
        <v>129</v>
      </c>
      <c r="E379" s="475">
        <v>14525</v>
      </c>
      <c r="F379" s="476">
        <f t="shared" si="46"/>
        <v>31083.5</v>
      </c>
      <c r="H379" s="485">
        <f>+C379*10.76/100</f>
        <v>0.23026400000000002</v>
      </c>
      <c r="I379" s="484">
        <v>2.14</v>
      </c>
    </row>
    <row r="380" spans="1:9" ht="151.80000000000001" x14ac:dyDescent="0.25">
      <c r="A380" s="481" t="s">
        <v>244</v>
      </c>
      <c r="B380" s="482" t="s">
        <v>379</v>
      </c>
      <c r="C380" s="483">
        <v>44</v>
      </c>
      <c r="D380" s="474" t="s">
        <v>373</v>
      </c>
      <c r="E380" s="475">
        <v>710</v>
      </c>
      <c r="F380" s="476">
        <f t="shared" si="46"/>
        <v>31240</v>
      </c>
      <c r="H380" s="485">
        <f>+C380*3.28</f>
        <v>144.32</v>
      </c>
      <c r="I380" s="484">
        <v>44</v>
      </c>
    </row>
    <row r="381" spans="1:9" ht="82.8" x14ac:dyDescent="0.25">
      <c r="A381" s="481" t="s">
        <v>245</v>
      </c>
      <c r="B381" s="482" t="s">
        <v>380</v>
      </c>
      <c r="C381" s="483">
        <v>243</v>
      </c>
      <c r="D381" s="474" t="s">
        <v>373</v>
      </c>
      <c r="E381" s="475">
        <v>529</v>
      </c>
      <c r="F381" s="476">
        <f t="shared" si="46"/>
        <v>128547</v>
      </c>
      <c r="H381" s="485">
        <f t="shared" ref="H381:H382" si="47">+C381*3.28</f>
        <v>797.04</v>
      </c>
      <c r="I381" s="484">
        <v>243</v>
      </c>
    </row>
    <row r="382" spans="1:9" x14ac:dyDescent="0.25">
      <c r="A382" s="481" t="s">
        <v>246</v>
      </c>
      <c r="B382" s="482" t="s">
        <v>107</v>
      </c>
      <c r="C382" s="483">
        <v>44</v>
      </c>
      <c r="D382" s="474" t="s">
        <v>373</v>
      </c>
      <c r="E382" s="475">
        <v>1075</v>
      </c>
      <c r="F382" s="476">
        <f t="shared" si="46"/>
        <v>47300</v>
      </c>
      <c r="H382" s="485">
        <f t="shared" si="47"/>
        <v>144.32</v>
      </c>
      <c r="I382" s="484">
        <v>44</v>
      </c>
    </row>
    <row r="383" spans="1:9" ht="41.4" x14ac:dyDescent="0.25">
      <c r="A383" s="481" t="s">
        <v>247</v>
      </c>
      <c r="B383" s="482" t="s">
        <v>378</v>
      </c>
      <c r="C383" s="483">
        <v>66</v>
      </c>
      <c r="D383" s="474" t="s">
        <v>373</v>
      </c>
      <c r="E383" s="475">
        <v>488</v>
      </c>
      <c r="F383" s="476">
        <f t="shared" si="46"/>
        <v>32208</v>
      </c>
    </row>
    <row r="384" spans="1:9" x14ac:dyDescent="0.25">
      <c r="A384" s="481"/>
      <c r="B384" s="482"/>
      <c r="C384" s="483"/>
      <c r="D384" s="474"/>
      <c r="E384" s="475"/>
      <c r="F384" s="476"/>
    </row>
    <row r="385" spans="1:8" x14ac:dyDescent="0.25">
      <c r="A385" s="481"/>
      <c r="B385" s="482"/>
      <c r="C385" s="483"/>
      <c r="D385" s="474"/>
      <c r="E385" s="475"/>
      <c r="F385" s="476"/>
    </row>
    <row r="386" spans="1:8" s="477" customFormat="1" x14ac:dyDescent="0.25">
      <c r="A386" s="499"/>
      <c r="B386" s="500" t="s">
        <v>46</v>
      </c>
      <c r="C386" s="501"/>
      <c r="D386" s="502"/>
      <c r="E386" s="503"/>
      <c r="F386" s="504">
        <f>SUM(F378:F385)</f>
        <v>339662</v>
      </c>
      <c r="H386" s="478"/>
    </row>
    <row r="387" spans="1:8" s="477" customFormat="1" ht="28.05" customHeight="1" x14ac:dyDescent="0.25">
      <c r="A387" s="471"/>
      <c r="B387" s="491" t="s">
        <v>248</v>
      </c>
      <c r="C387" s="492"/>
      <c r="D387" s="474"/>
      <c r="E387" s="475"/>
      <c r="F387" s="476"/>
      <c r="H387" s="478"/>
    </row>
    <row r="388" spans="1:8" ht="112.05" customHeight="1" x14ac:dyDescent="0.25">
      <c r="A388" s="481" t="s">
        <v>249</v>
      </c>
      <c r="B388" s="482" t="s">
        <v>382</v>
      </c>
      <c r="C388" s="483">
        <v>2</v>
      </c>
      <c r="D388" s="474" t="s">
        <v>168</v>
      </c>
      <c r="E388" s="475">
        <v>16550</v>
      </c>
      <c r="F388" s="476">
        <f>+C388*E388</f>
        <v>33100</v>
      </c>
      <c r="H388" s="485">
        <f>C388++C390</f>
        <v>3</v>
      </c>
    </row>
    <row r="389" spans="1:8" ht="128.1" customHeight="1" x14ac:dyDescent="0.25">
      <c r="A389" s="481" t="s">
        <v>250</v>
      </c>
      <c r="B389" s="482" t="s">
        <v>383</v>
      </c>
      <c r="C389" s="483">
        <v>4</v>
      </c>
      <c r="D389" s="474" t="s">
        <v>168</v>
      </c>
      <c r="E389" s="475">
        <v>24840</v>
      </c>
      <c r="F389" s="476">
        <f t="shared" ref="F389:F409" si="48">+C389*E389</f>
        <v>99360</v>
      </c>
    </row>
    <row r="390" spans="1:8" ht="50.25" customHeight="1" x14ac:dyDescent="0.25">
      <c r="A390" s="481" t="s">
        <v>251</v>
      </c>
      <c r="B390" s="482" t="s">
        <v>394</v>
      </c>
      <c r="C390" s="483">
        <v>1</v>
      </c>
      <c r="D390" s="474" t="s">
        <v>168</v>
      </c>
      <c r="E390" s="475">
        <v>16940</v>
      </c>
      <c r="F390" s="476">
        <f t="shared" si="48"/>
        <v>16940</v>
      </c>
    </row>
    <row r="391" spans="1:8" ht="82.8" x14ac:dyDescent="0.25">
      <c r="A391" s="481" t="s">
        <v>252</v>
      </c>
      <c r="B391" s="482" t="s">
        <v>395</v>
      </c>
      <c r="C391" s="483">
        <v>1</v>
      </c>
      <c r="D391" s="474" t="s">
        <v>168</v>
      </c>
      <c r="E391" s="475">
        <v>10760</v>
      </c>
      <c r="F391" s="476">
        <f t="shared" si="48"/>
        <v>10760</v>
      </c>
    </row>
    <row r="392" spans="1:8" ht="69" x14ac:dyDescent="0.25">
      <c r="A392" s="481" t="s">
        <v>253</v>
      </c>
      <c r="B392" s="482" t="s">
        <v>381</v>
      </c>
      <c r="C392" s="483">
        <v>5</v>
      </c>
      <c r="D392" s="474" t="s">
        <v>168</v>
      </c>
      <c r="E392" s="475">
        <v>9140</v>
      </c>
      <c r="F392" s="476">
        <f t="shared" si="48"/>
        <v>45700</v>
      </c>
    </row>
    <row r="393" spans="1:8" ht="41.4" x14ac:dyDescent="0.25">
      <c r="A393" s="481" t="s">
        <v>254</v>
      </c>
      <c r="B393" s="482" t="s">
        <v>384</v>
      </c>
      <c r="C393" s="483">
        <v>3</v>
      </c>
      <c r="D393" s="474" t="s">
        <v>168</v>
      </c>
      <c r="E393" s="475">
        <v>33880</v>
      </c>
      <c r="F393" s="476">
        <f t="shared" si="48"/>
        <v>101640</v>
      </c>
      <c r="H393" s="485">
        <f>C393+C392+C391+C390+C389+C388</f>
        <v>16</v>
      </c>
    </row>
    <row r="394" spans="1:8" ht="41.4" x14ac:dyDescent="0.25">
      <c r="A394" s="481" t="s">
        <v>255</v>
      </c>
      <c r="B394" s="482" t="s">
        <v>385</v>
      </c>
      <c r="C394" s="483">
        <v>16</v>
      </c>
      <c r="D394" s="474" t="s">
        <v>168</v>
      </c>
      <c r="E394" s="475">
        <v>2385</v>
      </c>
      <c r="F394" s="476">
        <f t="shared" si="48"/>
        <v>38160</v>
      </c>
    </row>
    <row r="395" spans="1:8" ht="41.4" x14ac:dyDescent="0.25">
      <c r="A395" s="481" t="s">
        <v>256</v>
      </c>
      <c r="B395" s="482" t="s">
        <v>386</v>
      </c>
      <c r="C395" s="483">
        <v>4</v>
      </c>
      <c r="D395" s="474" t="s">
        <v>168</v>
      </c>
      <c r="E395" s="475">
        <v>2830</v>
      </c>
      <c r="F395" s="476">
        <f t="shared" si="48"/>
        <v>11320</v>
      </c>
    </row>
    <row r="396" spans="1:8" ht="55.05" customHeight="1" x14ac:dyDescent="0.25">
      <c r="A396" s="481" t="s">
        <v>257</v>
      </c>
      <c r="B396" s="482" t="s">
        <v>387</v>
      </c>
      <c r="C396" s="483">
        <v>5</v>
      </c>
      <c r="D396" s="474" t="s">
        <v>168</v>
      </c>
      <c r="E396" s="475">
        <v>4370</v>
      </c>
      <c r="F396" s="476">
        <f t="shared" si="48"/>
        <v>21850</v>
      </c>
    </row>
    <row r="397" spans="1:8" ht="41.4" x14ac:dyDescent="0.25">
      <c r="A397" s="481" t="s">
        <v>258</v>
      </c>
      <c r="B397" s="482" t="s">
        <v>388</v>
      </c>
      <c r="C397" s="483">
        <v>5</v>
      </c>
      <c r="D397" s="474" t="s">
        <v>168</v>
      </c>
      <c r="E397" s="475">
        <v>3640</v>
      </c>
      <c r="F397" s="476">
        <f t="shared" si="48"/>
        <v>18200</v>
      </c>
    </row>
    <row r="398" spans="1:8" ht="41.4" x14ac:dyDescent="0.25">
      <c r="A398" s="481" t="s">
        <v>259</v>
      </c>
      <c r="B398" s="482" t="s">
        <v>389</v>
      </c>
      <c r="C398" s="483">
        <v>5</v>
      </c>
      <c r="D398" s="474" t="s">
        <v>168</v>
      </c>
      <c r="E398" s="475">
        <v>4215</v>
      </c>
      <c r="F398" s="476">
        <f t="shared" si="48"/>
        <v>21075</v>
      </c>
    </row>
    <row r="399" spans="1:8" ht="41.4" x14ac:dyDescent="0.25">
      <c r="A399" s="481" t="s">
        <v>260</v>
      </c>
      <c r="B399" s="482" t="s">
        <v>390</v>
      </c>
      <c r="C399" s="483">
        <v>5</v>
      </c>
      <c r="D399" s="474" t="s">
        <v>168</v>
      </c>
      <c r="E399" s="475">
        <v>732</v>
      </c>
      <c r="F399" s="476">
        <f t="shared" si="48"/>
        <v>3660</v>
      </c>
    </row>
    <row r="400" spans="1:8" s="477" customFormat="1" ht="25.05" customHeight="1" x14ac:dyDescent="0.25">
      <c r="A400" s="471"/>
      <c r="B400" s="479" t="s">
        <v>277</v>
      </c>
      <c r="C400" s="480"/>
      <c r="D400" s="474"/>
      <c r="E400" s="475"/>
      <c r="F400" s="476"/>
      <c r="H400" s="478"/>
    </row>
    <row r="401" spans="1:9" s="477" customFormat="1" x14ac:dyDescent="0.25">
      <c r="A401" s="481" t="s">
        <v>261</v>
      </c>
      <c r="B401" s="488" t="s">
        <v>391</v>
      </c>
      <c r="C401" s="483">
        <v>2</v>
      </c>
      <c r="D401" s="474" t="s">
        <v>168</v>
      </c>
      <c r="E401" s="475">
        <v>1105</v>
      </c>
      <c r="F401" s="476">
        <f t="shared" si="48"/>
        <v>2210</v>
      </c>
      <c r="H401" s="478"/>
    </row>
    <row r="402" spans="1:9" s="477" customFormat="1" x14ac:dyDescent="0.25">
      <c r="A402" s="481"/>
      <c r="B402" s="488"/>
      <c r="C402" s="483"/>
      <c r="D402" s="474"/>
      <c r="E402" s="475"/>
      <c r="F402" s="476"/>
      <c r="H402" s="478"/>
    </row>
    <row r="403" spans="1:9" s="477" customFormat="1" x14ac:dyDescent="0.25">
      <c r="A403" s="481"/>
      <c r="B403" s="488"/>
      <c r="C403" s="483"/>
      <c r="D403" s="474"/>
      <c r="E403" s="475"/>
      <c r="F403" s="476"/>
      <c r="H403" s="478"/>
    </row>
    <row r="404" spans="1:9" s="477" customFormat="1" x14ac:dyDescent="0.25">
      <c r="A404" s="481"/>
      <c r="B404" s="488"/>
      <c r="C404" s="483"/>
      <c r="D404" s="474"/>
      <c r="E404" s="475"/>
      <c r="F404" s="476"/>
      <c r="H404" s="478"/>
    </row>
    <row r="405" spans="1:9" s="477" customFormat="1" x14ac:dyDescent="0.25">
      <c r="A405" s="499"/>
      <c r="B405" s="500" t="s">
        <v>46</v>
      </c>
      <c r="C405" s="501"/>
      <c r="D405" s="502"/>
      <c r="E405" s="503"/>
      <c r="F405" s="504">
        <f>SUM(F388:F403)</f>
        <v>423975</v>
      </c>
      <c r="H405" s="478"/>
    </row>
    <row r="406" spans="1:9" s="477" customFormat="1" x14ac:dyDescent="0.25">
      <c r="A406" s="481"/>
      <c r="B406" s="479" t="s">
        <v>262</v>
      </c>
      <c r="C406" s="483"/>
      <c r="D406" s="474"/>
      <c r="E406" s="475"/>
      <c r="F406" s="476"/>
      <c r="H406" s="478"/>
    </row>
    <row r="407" spans="1:9" s="477" customFormat="1" x14ac:dyDescent="0.25">
      <c r="A407" s="481"/>
      <c r="B407" s="488"/>
      <c r="C407" s="483"/>
      <c r="D407" s="474"/>
      <c r="E407" s="475"/>
      <c r="F407" s="476"/>
      <c r="H407" s="478"/>
    </row>
    <row r="408" spans="1:9" s="477" customFormat="1" ht="25.05" customHeight="1" x14ac:dyDescent="0.25">
      <c r="A408" s="471"/>
      <c r="B408" s="479" t="s">
        <v>278</v>
      </c>
      <c r="C408" s="480"/>
      <c r="D408" s="474"/>
      <c r="E408" s="475"/>
      <c r="F408" s="476"/>
      <c r="H408" s="478"/>
    </row>
    <row r="409" spans="1:9" ht="41.4" x14ac:dyDescent="0.25">
      <c r="A409" s="481" t="s">
        <v>263</v>
      </c>
      <c r="B409" s="482" t="s">
        <v>280</v>
      </c>
      <c r="C409" s="483">
        <v>2</v>
      </c>
      <c r="D409" s="474" t="s">
        <v>168</v>
      </c>
      <c r="E409" s="475">
        <v>72470</v>
      </c>
      <c r="F409" s="476">
        <f t="shared" si="48"/>
        <v>144940</v>
      </c>
    </row>
    <row r="410" spans="1:9" ht="38.1" hidden="1" customHeight="1" x14ac:dyDescent="0.25">
      <c r="A410" s="481" t="s">
        <v>279</v>
      </c>
      <c r="B410" s="482" t="s">
        <v>281</v>
      </c>
      <c r="C410" s="483"/>
      <c r="D410" s="474" t="s">
        <v>282</v>
      </c>
      <c r="E410" s="475"/>
      <c r="F410" s="476"/>
    </row>
    <row r="411" spans="1:9" s="477" customFormat="1" ht="28.05" customHeight="1" x14ac:dyDescent="0.25">
      <c r="A411" s="471"/>
      <c r="B411" s="479" t="s">
        <v>283</v>
      </c>
      <c r="C411" s="480"/>
      <c r="D411" s="474"/>
      <c r="E411" s="475"/>
      <c r="F411" s="476"/>
      <c r="H411" s="478"/>
    </row>
    <row r="412" spans="1:9" s="477" customFormat="1" ht="28.05" customHeight="1" x14ac:dyDescent="0.25">
      <c r="A412" s="471"/>
      <c r="B412" s="486" t="s">
        <v>284</v>
      </c>
      <c r="C412" s="487"/>
      <c r="D412" s="474"/>
      <c r="E412" s="475"/>
      <c r="F412" s="476"/>
      <c r="H412" s="478"/>
    </row>
    <row r="413" spans="1:9" s="477" customFormat="1" ht="28.05" customHeight="1" x14ac:dyDescent="0.25">
      <c r="A413" s="471"/>
      <c r="B413" s="479" t="s">
        <v>285</v>
      </c>
      <c r="C413" s="480"/>
      <c r="D413" s="474"/>
      <c r="E413" s="475"/>
      <c r="F413" s="476"/>
      <c r="H413" s="478"/>
    </row>
    <row r="414" spans="1:9" ht="38.1" customHeight="1" x14ac:dyDescent="0.25">
      <c r="A414" s="481" t="s">
        <v>264</v>
      </c>
      <c r="B414" s="482" t="s">
        <v>606</v>
      </c>
      <c r="C414" s="483">
        <v>79</v>
      </c>
      <c r="D414" s="474" t="s">
        <v>167</v>
      </c>
      <c r="E414" s="475">
        <v>68</v>
      </c>
      <c r="F414" s="476">
        <f>+C414*E414</f>
        <v>5372</v>
      </c>
    </row>
    <row r="415" spans="1:9" ht="38.1" customHeight="1" x14ac:dyDescent="0.25">
      <c r="A415" s="481" t="s">
        <v>265</v>
      </c>
      <c r="B415" s="482" t="s">
        <v>607</v>
      </c>
      <c r="C415" s="483">
        <v>33</v>
      </c>
      <c r="D415" s="474" t="s">
        <v>167</v>
      </c>
      <c r="E415" s="475">
        <v>103</v>
      </c>
      <c r="F415" s="476">
        <f t="shared" ref="F415:F430" si="49">+C415*E415</f>
        <v>3399</v>
      </c>
      <c r="I415" s="484">
        <v>78.72</v>
      </c>
    </row>
    <row r="416" spans="1:9" ht="38.1" customHeight="1" x14ac:dyDescent="0.25">
      <c r="A416" s="481" t="s">
        <v>266</v>
      </c>
      <c r="B416" s="482" t="s">
        <v>608</v>
      </c>
      <c r="C416" s="483">
        <v>171</v>
      </c>
      <c r="D416" s="474" t="s">
        <v>167</v>
      </c>
      <c r="E416" s="475">
        <v>121</v>
      </c>
      <c r="F416" s="476">
        <f t="shared" si="49"/>
        <v>20691</v>
      </c>
      <c r="I416" s="484">
        <v>32.799999999999997</v>
      </c>
    </row>
    <row r="417" spans="1:9" ht="38.1" customHeight="1" x14ac:dyDescent="0.25">
      <c r="A417" s="481" t="s">
        <v>267</v>
      </c>
      <c r="B417" s="482" t="s">
        <v>609</v>
      </c>
      <c r="C417" s="483">
        <v>108</v>
      </c>
      <c r="D417" s="474" t="s">
        <v>167</v>
      </c>
      <c r="E417" s="475">
        <v>147</v>
      </c>
      <c r="F417" s="476">
        <f t="shared" si="49"/>
        <v>15876</v>
      </c>
      <c r="I417" s="484">
        <v>170.56</v>
      </c>
    </row>
    <row r="418" spans="1:9" ht="38.1" customHeight="1" x14ac:dyDescent="0.25">
      <c r="A418" s="481" t="s">
        <v>268</v>
      </c>
      <c r="B418" s="482" t="s">
        <v>610</v>
      </c>
      <c r="C418" s="483">
        <v>184</v>
      </c>
      <c r="D418" s="474" t="s">
        <v>167</v>
      </c>
      <c r="E418" s="475">
        <v>303</v>
      </c>
      <c r="F418" s="476">
        <f t="shared" si="49"/>
        <v>55752</v>
      </c>
      <c r="I418" s="484">
        <v>183.67999999999998</v>
      </c>
    </row>
    <row r="419" spans="1:9" s="477" customFormat="1" ht="28.05" customHeight="1" x14ac:dyDescent="0.25">
      <c r="A419" s="471"/>
      <c r="B419" s="479" t="s">
        <v>286</v>
      </c>
      <c r="C419" s="480"/>
      <c r="D419" s="474"/>
      <c r="E419" s="475"/>
      <c r="F419" s="476"/>
      <c r="H419" s="478"/>
    </row>
    <row r="420" spans="1:9" s="477" customFormat="1" x14ac:dyDescent="0.25">
      <c r="A420" s="481" t="s">
        <v>269</v>
      </c>
      <c r="B420" s="488" t="s">
        <v>287</v>
      </c>
      <c r="C420" s="489">
        <v>33</v>
      </c>
      <c r="D420" s="474" t="s">
        <v>167</v>
      </c>
      <c r="E420" s="475">
        <v>153</v>
      </c>
      <c r="F420" s="476">
        <f t="shared" si="49"/>
        <v>5049</v>
      </c>
      <c r="H420" s="478">
        <v>10</v>
      </c>
      <c r="I420" s="477">
        <f>+H420*3.28</f>
        <v>32.799999999999997</v>
      </c>
    </row>
    <row r="421" spans="1:9" s="477" customFormat="1" x14ac:dyDescent="0.25">
      <c r="A421" s="481" t="s">
        <v>270</v>
      </c>
      <c r="B421" s="488" t="s">
        <v>288</v>
      </c>
      <c r="C421" s="489">
        <v>171</v>
      </c>
      <c r="D421" s="474" t="s">
        <v>167</v>
      </c>
      <c r="E421" s="475">
        <v>175</v>
      </c>
      <c r="F421" s="476">
        <f t="shared" si="49"/>
        <v>29925</v>
      </c>
      <c r="H421" s="478">
        <v>52</v>
      </c>
      <c r="I421" s="477">
        <f t="shared" ref="I421:I422" si="50">+H421*3.28</f>
        <v>170.56</v>
      </c>
    </row>
    <row r="422" spans="1:9" s="477" customFormat="1" x14ac:dyDescent="0.25">
      <c r="A422" s="481" t="s">
        <v>271</v>
      </c>
      <c r="B422" s="488" t="s">
        <v>289</v>
      </c>
      <c r="C422" s="489">
        <v>79</v>
      </c>
      <c r="D422" s="474" t="s">
        <v>167</v>
      </c>
      <c r="E422" s="475">
        <v>251</v>
      </c>
      <c r="F422" s="476">
        <f t="shared" si="49"/>
        <v>19829</v>
      </c>
      <c r="H422" s="478">
        <v>24</v>
      </c>
      <c r="I422" s="477">
        <f t="shared" si="50"/>
        <v>78.72</v>
      </c>
    </row>
    <row r="423" spans="1:9" s="477" customFormat="1" ht="28.05" customHeight="1" x14ac:dyDescent="0.25">
      <c r="A423" s="471"/>
      <c r="B423" s="479" t="s">
        <v>290</v>
      </c>
      <c r="C423" s="480"/>
      <c r="D423" s="474"/>
      <c r="E423" s="475"/>
      <c r="F423" s="476"/>
      <c r="H423" s="478"/>
    </row>
    <row r="424" spans="1:9" ht="55.05" customHeight="1" x14ac:dyDescent="0.25">
      <c r="A424" s="481" t="s">
        <v>272</v>
      </c>
      <c r="B424" s="482" t="s">
        <v>291</v>
      </c>
      <c r="C424" s="483">
        <v>131</v>
      </c>
      <c r="D424" s="474" t="s">
        <v>167</v>
      </c>
      <c r="E424" s="475">
        <v>1190</v>
      </c>
      <c r="F424" s="476">
        <f t="shared" si="49"/>
        <v>155890</v>
      </c>
      <c r="H424" s="485">
        <f>40*3.28</f>
        <v>131.19999999999999</v>
      </c>
    </row>
    <row r="425" spans="1:9" ht="38.1" customHeight="1" x14ac:dyDescent="0.25">
      <c r="A425" s="481" t="s">
        <v>273</v>
      </c>
      <c r="B425" s="482" t="s">
        <v>292</v>
      </c>
      <c r="C425" s="483">
        <v>82</v>
      </c>
      <c r="D425" s="474" t="s">
        <v>167</v>
      </c>
      <c r="E425" s="475">
        <v>699</v>
      </c>
      <c r="F425" s="476">
        <f t="shared" si="49"/>
        <v>57318</v>
      </c>
      <c r="H425" s="485">
        <f>25*3.28</f>
        <v>82</v>
      </c>
    </row>
    <row r="426" spans="1:9" s="477" customFormat="1" ht="28.05" customHeight="1" x14ac:dyDescent="0.25">
      <c r="A426" s="471"/>
      <c r="B426" s="479" t="s">
        <v>293</v>
      </c>
      <c r="C426" s="480"/>
      <c r="D426" s="474"/>
      <c r="E426" s="475"/>
      <c r="F426" s="476"/>
      <c r="H426" s="478"/>
    </row>
    <row r="427" spans="1:9" ht="160.05000000000001" customHeight="1" x14ac:dyDescent="0.25">
      <c r="A427" s="481" t="s">
        <v>274</v>
      </c>
      <c r="B427" s="482" t="s">
        <v>392</v>
      </c>
      <c r="C427" s="483">
        <v>1</v>
      </c>
      <c r="D427" s="474" t="s">
        <v>168</v>
      </c>
      <c r="E427" s="475">
        <v>24260</v>
      </c>
      <c r="F427" s="476">
        <f t="shared" si="49"/>
        <v>24260</v>
      </c>
    </row>
    <row r="428" spans="1:9" s="477" customFormat="1" ht="28.05" customHeight="1" x14ac:dyDescent="0.25">
      <c r="A428" s="471"/>
      <c r="B428" s="479" t="s">
        <v>154</v>
      </c>
      <c r="C428" s="480"/>
      <c r="D428" s="474"/>
      <c r="E428" s="475"/>
      <c r="F428" s="476"/>
      <c r="H428" s="478"/>
    </row>
    <row r="429" spans="1:9" s="477" customFormat="1" x14ac:dyDescent="0.25">
      <c r="A429" s="481" t="s">
        <v>275</v>
      </c>
      <c r="B429" s="488" t="s">
        <v>294</v>
      </c>
      <c r="C429" s="489">
        <v>1</v>
      </c>
      <c r="D429" s="474" t="s">
        <v>13</v>
      </c>
      <c r="E429" s="475">
        <v>1000</v>
      </c>
      <c r="F429" s="476">
        <f t="shared" si="49"/>
        <v>1000</v>
      </c>
      <c r="H429" s="478"/>
    </row>
    <row r="430" spans="1:9" s="477" customFormat="1" x14ac:dyDescent="0.25">
      <c r="A430" s="481" t="s">
        <v>276</v>
      </c>
      <c r="B430" s="488" t="s">
        <v>295</v>
      </c>
      <c r="C430" s="489">
        <v>1</v>
      </c>
      <c r="D430" s="474" t="s">
        <v>13</v>
      </c>
      <c r="E430" s="475">
        <v>4000</v>
      </c>
      <c r="F430" s="476">
        <f t="shared" si="49"/>
        <v>4000</v>
      </c>
      <c r="H430" s="478"/>
    </row>
    <row r="431" spans="1:9" s="477" customFormat="1" x14ac:dyDescent="0.25">
      <c r="A431" s="481"/>
      <c r="B431" s="488"/>
      <c r="C431" s="489"/>
      <c r="D431" s="474"/>
      <c r="E431" s="475"/>
      <c r="F431" s="476"/>
      <c r="H431" s="478"/>
    </row>
    <row r="432" spans="1:9" s="477" customFormat="1" x14ac:dyDescent="0.25">
      <c r="A432" s="481"/>
      <c r="B432" s="488"/>
      <c r="C432" s="489"/>
      <c r="D432" s="474"/>
      <c r="E432" s="475"/>
      <c r="F432" s="476"/>
      <c r="H432" s="478"/>
    </row>
    <row r="433" spans="1:8" s="477" customFormat="1" x14ac:dyDescent="0.25">
      <c r="A433" s="481"/>
      <c r="B433" s="488"/>
      <c r="C433" s="489"/>
      <c r="D433" s="474"/>
      <c r="E433" s="475"/>
      <c r="F433" s="476"/>
      <c r="H433" s="478"/>
    </row>
    <row r="434" spans="1:8" s="477" customFormat="1" x14ac:dyDescent="0.25">
      <c r="A434" s="481"/>
      <c r="B434" s="488"/>
      <c r="C434" s="489"/>
      <c r="D434" s="474"/>
      <c r="E434" s="475"/>
      <c r="F434" s="476"/>
      <c r="H434" s="478"/>
    </row>
    <row r="435" spans="1:8" s="477" customFormat="1" x14ac:dyDescent="0.25">
      <c r="A435" s="499"/>
      <c r="B435" s="500" t="s">
        <v>46</v>
      </c>
      <c r="C435" s="501"/>
      <c r="D435" s="502"/>
      <c r="E435" s="503"/>
      <c r="F435" s="504">
        <f>SUM(F414:F433)</f>
        <v>398361</v>
      </c>
      <c r="H435" s="478"/>
    </row>
    <row r="436" spans="1:8" s="477" customFormat="1" ht="28.05" customHeight="1" x14ac:dyDescent="0.25">
      <c r="A436" s="471"/>
      <c r="B436" s="491" t="s">
        <v>296</v>
      </c>
      <c r="C436" s="492"/>
      <c r="D436" s="474"/>
      <c r="E436" s="475"/>
      <c r="F436" s="476"/>
      <c r="H436" s="478"/>
    </row>
    <row r="437" spans="1:8" s="477" customFormat="1" ht="28.05" customHeight="1" x14ac:dyDescent="0.25">
      <c r="A437" s="471"/>
      <c r="B437" s="491" t="s">
        <v>297</v>
      </c>
      <c r="C437" s="492"/>
      <c r="D437" s="474"/>
      <c r="E437" s="475"/>
      <c r="F437" s="476"/>
      <c r="H437" s="478"/>
    </row>
    <row r="438" spans="1:8" ht="152.25" customHeight="1" x14ac:dyDescent="0.25">
      <c r="A438" s="481" t="s">
        <v>298</v>
      </c>
      <c r="B438" s="482" t="s">
        <v>300</v>
      </c>
      <c r="C438" s="483">
        <v>3</v>
      </c>
      <c r="D438" s="474" t="s">
        <v>168</v>
      </c>
      <c r="E438" s="475">
        <v>4965</v>
      </c>
      <c r="F438" s="476">
        <f t="shared" ref="F438:F448" si="51">+C438*E438</f>
        <v>14895</v>
      </c>
    </row>
    <row r="439" spans="1:8" s="477" customFormat="1" ht="28.5" customHeight="1" x14ac:dyDescent="0.25">
      <c r="A439" s="471"/>
      <c r="B439" s="491" t="s">
        <v>305</v>
      </c>
      <c r="C439" s="492"/>
      <c r="D439" s="474"/>
      <c r="E439" s="475"/>
      <c r="F439" s="476"/>
      <c r="H439" s="478"/>
    </row>
    <row r="440" spans="1:8" ht="156.75" customHeight="1" x14ac:dyDescent="0.25">
      <c r="A440" s="481" t="s">
        <v>299</v>
      </c>
      <c r="B440" s="482" t="s">
        <v>306</v>
      </c>
      <c r="C440" s="483">
        <v>5</v>
      </c>
      <c r="D440" s="474" t="s">
        <v>168</v>
      </c>
      <c r="E440" s="475">
        <v>20560</v>
      </c>
      <c r="F440" s="476">
        <f t="shared" si="51"/>
        <v>102800</v>
      </c>
    </row>
    <row r="441" spans="1:8" s="477" customFormat="1" ht="28.05" customHeight="1" x14ac:dyDescent="0.25">
      <c r="A441" s="471"/>
      <c r="B441" s="491" t="s">
        <v>307</v>
      </c>
      <c r="C441" s="492"/>
      <c r="D441" s="474"/>
      <c r="E441" s="475"/>
      <c r="F441" s="476"/>
      <c r="H441" s="478"/>
    </row>
    <row r="442" spans="1:8" ht="68.099999999999994" customHeight="1" x14ac:dyDescent="0.25">
      <c r="A442" s="481" t="s">
        <v>301</v>
      </c>
      <c r="B442" s="482" t="s">
        <v>308</v>
      </c>
      <c r="C442" s="483">
        <v>12</v>
      </c>
      <c r="D442" s="474" t="s">
        <v>141</v>
      </c>
      <c r="E442" s="475">
        <v>779</v>
      </c>
      <c r="F442" s="476">
        <f t="shared" si="51"/>
        <v>9348</v>
      </c>
    </row>
    <row r="443" spans="1:8" s="477" customFormat="1" ht="28.05" customHeight="1" x14ac:dyDescent="0.25">
      <c r="A443" s="471"/>
      <c r="B443" s="491" t="s">
        <v>309</v>
      </c>
      <c r="C443" s="492"/>
      <c r="D443" s="474"/>
      <c r="E443" s="475"/>
      <c r="F443" s="476"/>
      <c r="H443" s="478"/>
    </row>
    <row r="444" spans="1:8" ht="38.1" customHeight="1" x14ac:dyDescent="0.25">
      <c r="A444" s="481" t="s">
        <v>302</v>
      </c>
      <c r="B444" s="482" t="s">
        <v>310</v>
      </c>
      <c r="C444" s="483">
        <v>8</v>
      </c>
      <c r="D444" s="474" t="s">
        <v>168</v>
      </c>
      <c r="E444" s="475">
        <v>1730</v>
      </c>
      <c r="F444" s="476">
        <f t="shared" si="51"/>
        <v>13840</v>
      </c>
    </row>
    <row r="445" spans="1:8" s="477" customFormat="1" ht="28.05" customHeight="1" x14ac:dyDescent="0.25">
      <c r="A445" s="471"/>
      <c r="B445" s="491" t="s">
        <v>311</v>
      </c>
      <c r="C445" s="492"/>
      <c r="D445" s="474"/>
      <c r="E445" s="475"/>
      <c r="F445" s="476"/>
      <c r="H445" s="478"/>
    </row>
    <row r="446" spans="1:8" ht="38.1" customHeight="1" x14ac:dyDescent="0.25">
      <c r="A446" s="481" t="s">
        <v>303</v>
      </c>
      <c r="B446" s="482" t="s">
        <v>312</v>
      </c>
      <c r="C446" s="483">
        <v>1</v>
      </c>
      <c r="D446" s="474" t="s">
        <v>168</v>
      </c>
      <c r="E446" s="475">
        <v>65620</v>
      </c>
      <c r="F446" s="476">
        <f t="shared" si="51"/>
        <v>65620</v>
      </c>
    </row>
    <row r="447" spans="1:8" s="477" customFormat="1" ht="28.05" customHeight="1" x14ac:dyDescent="0.25">
      <c r="A447" s="471"/>
      <c r="B447" s="491" t="s">
        <v>313</v>
      </c>
      <c r="C447" s="492"/>
      <c r="D447" s="474"/>
      <c r="E447" s="475"/>
      <c r="F447" s="476"/>
      <c r="H447" s="478"/>
    </row>
    <row r="448" spans="1:8" ht="93" customHeight="1" x14ac:dyDescent="0.25">
      <c r="A448" s="481" t="s">
        <v>304</v>
      </c>
      <c r="B448" s="482" t="s">
        <v>393</v>
      </c>
      <c r="C448" s="483">
        <v>1</v>
      </c>
      <c r="D448" s="474" t="s">
        <v>168</v>
      </c>
      <c r="E448" s="475">
        <v>80570</v>
      </c>
      <c r="F448" s="476">
        <f t="shared" si="51"/>
        <v>80570</v>
      </c>
    </row>
    <row r="449" spans="1:8" x14ac:dyDescent="0.25">
      <c r="A449" s="481"/>
      <c r="B449" s="482"/>
      <c r="C449" s="483"/>
      <c r="D449" s="474"/>
      <c r="E449" s="475"/>
      <c r="F449" s="476"/>
    </row>
    <row r="450" spans="1:8" x14ac:dyDescent="0.25">
      <c r="A450" s="481"/>
      <c r="B450" s="482"/>
      <c r="C450" s="483"/>
      <c r="D450" s="474"/>
      <c r="E450" s="475"/>
      <c r="F450" s="476"/>
    </row>
    <row r="451" spans="1:8" x14ac:dyDescent="0.25">
      <c r="A451" s="481"/>
      <c r="B451" s="482"/>
      <c r="C451" s="483"/>
      <c r="D451" s="474"/>
      <c r="E451" s="475"/>
      <c r="F451" s="476"/>
    </row>
    <row r="452" spans="1:8" s="477" customFormat="1" x14ac:dyDescent="0.25">
      <c r="A452" s="525"/>
      <c r="B452" s="526" t="s">
        <v>46</v>
      </c>
      <c r="C452" s="527"/>
      <c r="D452" s="528"/>
      <c r="E452" s="529"/>
      <c r="F452" s="530">
        <f>SUM(F438:F449)</f>
        <v>287073</v>
      </c>
      <c r="H452" s="478"/>
    </row>
    <row r="453" spans="1:8" s="477" customFormat="1" ht="28.05" customHeight="1" x14ac:dyDescent="0.25">
      <c r="A453" s="531"/>
      <c r="B453" s="532" t="s">
        <v>314</v>
      </c>
      <c r="C453" s="533"/>
      <c r="D453" s="534"/>
      <c r="E453" s="535"/>
      <c r="F453" s="536"/>
      <c r="H453" s="478"/>
    </row>
    <row r="454" spans="1:8" x14ac:dyDescent="0.25">
      <c r="A454" s="537"/>
      <c r="B454" s="538"/>
      <c r="C454" s="539"/>
      <c r="D454" s="540"/>
      <c r="E454" s="541"/>
      <c r="F454" s="542"/>
    </row>
    <row r="455" spans="1:8" x14ac:dyDescent="0.25">
      <c r="A455" s="537"/>
      <c r="B455" s="538" t="s">
        <v>64</v>
      </c>
      <c r="C455" s="539"/>
      <c r="D455" s="540"/>
      <c r="E455" s="541"/>
      <c r="F455" s="542"/>
    </row>
    <row r="456" spans="1:8" x14ac:dyDescent="0.25">
      <c r="A456" s="537"/>
      <c r="B456" s="538" t="s">
        <v>65</v>
      </c>
      <c r="C456" s="539"/>
      <c r="D456" s="540"/>
      <c r="E456" s="541"/>
      <c r="F456" s="542"/>
    </row>
    <row r="457" spans="1:8" x14ac:dyDescent="0.25">
      <c r="A457" s="537"/>
      <c r="B457" s="538" t="s">
        <v>66</v>
      </c>
      <c r="C457" s="539"/>
      <c r="D457" s="540"/>
      <c r="E457" s="541"/>
      <c r="F457" s="542"/>
    </row>
    <row r="458" spans="1:8" x14ac:dyDescent="0.25">
      <c r="A458" s="537"/>
      <c r="B458" s="538"/>
      <c r="C458" s="539"/>
      <c r="D458" s="540"/>
      <c r="E458" s="541"/>
      <c r="F458" s="542"/>
    </row>
    <row r="459" spans="1:8" s="548" customFormat="1" ht="26.25" customHeight="1" x14ac:dyDescent="0.25">
      <c r="A459" s="543" t="s">
        <v>611</v>
      </c>
      <c r="B459" s="544" t="s">
        <v>612</v>
      </c>
      <c r="C459" s="545"/>
      <c r="D459" s="546"/>
      <c r="E459" s="547"/>
      <c r="F459" s="545"/>
      <c r="H459" s="549"/>
    </row>
    <row r="460" spans="1:8" s="548" customFormat="1" ht="15" customHeight="1" x14ac:dyDescent="0.25">
      <c r="A460" s="546"/>
      <c r="B460" s="550" t="s">
        <v>613</v>
      </c>
      <c r="C460" s="545"/>
      <c r="D460" s="546"/>
      <c r="E460" s="547"/>
      <c r="F460" s="545"/>
      <c r="H460" s="549"/>
    </row>
    <row r="461" spans="1:8" s="548" customFormat="1" ht="20.25" customHeight="1" x14ac:dyDescent="0.25">
      <c r="A461" s="551" t="s">
        <v>638</v>
      </c>
      <c r="B461" s="550" t="s">
        <v>614</v>
      </c>
      <c r="C461" s="552">
        <v>2</v>
      </c>
      <c r="D461" s="553" t="s">
        <v>79</v>
      </c>
      <c r="E461" s="547">
        <v>9900</v>
      </c>
      <c r="F461" s="547">
        <f t="shared" ref="F461:F475" si="52">E461*C461</f>
        <v>19800</v>
      </c>
      <c r="H461" s="549">
        <v>20400</v>
      </c>
    </row>
    <row r="462" spans="1:8" s="548" customFormat="1" ht="23.25" customHeight="1" x14ac:dyDescent="0.25">
      <c r="A462" s="551" t="s">
        <v>639</v>
      </c>
      <c r="B462" s="550" t="s">
        <v>615</v>
      </c>
      <c r="C462" s="552">
        <v>1</v>
      </c>
      <c r="D462" s="553" t="s">
        <v>79</v>
      </c>
      <c r="E462" s="547">
        <v>148000</v>
      </c>
      <c r="F462" s="547">
        <v>126500</v>
      </c>
      <c r="H462" s="549">
        <v>240000</v>
      </c>
    </row>
    <row r="463" spans="1:8" s="548" customFormat="1" ht="18" customHeight="1" x14ac:dyDescent="0.25">
      <c r="A463" s="551" t="s">
        <v>640</v>
      </c>
      <c r="B463" s="550" t="s">
        <v>616</v>
      </c>
      <c r="C463" s="552">
        <v>7</v>
      </c>
      <c r="D463" s="553" t="s">
        <v>79</v>
      </c>
      <c r="E463" s="547">
        <v>5630</v>
      </c>
      <c r="F463" s="547">
        <f t="shared" si="52"/>
        <v>39410</v>
      </c>
      <c r="H463" s="549">
        <v>10790</v>
      </c>
    </row>
    <row r="464" spans="1:8" s="548" customFormat="1" ht="20.25" customHeight="1" x14ac:dyDescent="0.25">
      <c r="A464" s="551" t="s">
        <v>641</v>
      </c>
      <c r="B464" s="550" t="s">
        <v>617</v>
      </c>
      <c r="C464" s="552">
        <v>7</v>
      </c>
      <c r="D464" s="553" t="s">
        <v>79</v>
      </c>
      <c r="E464" s="547">
        <v>3500</v>
      </c>
      <c r="F464" s="547">
        <f t="shared" si="52"/>
        <v>24500</v>
      </c>
      <c r="H464" s="549">
        <v>6970</v>
      </c>
    </row>
    <row r="465" spans="1:8" s="548" customFormat="1" ht="19.5" customHeight="1" x14ac:dyDescent="0.25">
      <c r="A465" s="551" t="s">
        <v>642</v>
      </c>
      <c r="B465" s="550" t="s">
        <v>618</v>
      </c>
      <c r="C465" s="552">
        <v>1</v>
      </c>
      <c r="D465" s="553" t="s">
        <v>79</v>
      </c>
      <c r="E465" s="547">
        <v>1200</v>
      </c>
      <c r="F465" s="547">
        <f t="shared" si="52"/>
        <v>1200</v>
      </c>
      <c r="H465" s="549">
        <v>1540</v>
      </c>
    </row>
    <row r="466" spans="1:8" s="548" customFormat="1" ht="19.5" customHeight="1" x14ac:dyDescent="0.25">
      <c r="A466" s="551" t="s">
        <v>643</v>
      </c>
      <c r="B466" s="550" t="s">
        <v>619</v>
      </c>
      <c r="C466" s="552">
        <v>1</v>
      </c>
      <c r="D466" s="553" t="s">
        <v>79</v>
      </c>
      <c r="E466" s="547">
        <v>2850</v>
      </c>
      <c r="F466" s="547">
        <f t="shared" si="52"/>
        <v>2850</v>
      </c>
      <c r="H466" s="549">
        <v>4430</v>
      </c>
    </row>
    <row r="467" spans="1:8" s="548" customFormat="1" ht="18.75" customHeight="1" x14ac:dyDescent="0.25">
      <c r="A467" s="551" t="s">
        <v>644</v>
      </c>
      <c r="B467" s="550" t="s">
        <v>67</v>
      </c>
      <c r="C467" s="552">
        <v>1</v>
      </c>
      <c r="D467" s="553" t="s">
        <v>79</v>
      </c>
      <c r="E467" s="547">
        <v>16500</v>
      </c>
      <c r="F467" s="547">
        <f t="shared" si="52"/>
        <v>16500</v>
      </c>
      <c r="H467" s="549">
        <v>7000</v>
      </c>
    </row>
    <row r="468" spans="1:8" s="548" customFormat="1" ht="21.75" customHeight="1" x14ac:dyDescent="0.25">
      <c r="A468" s="551" t="s">
        <v>645</v>
      </c>
      <c r="B468" s="550" t="s">
        <v>68</v>
      </c>
      <c r="C468" s="552">
        <v>1</v>
      </c>
      <c r="D468" s="553" t="s">
        <v>79</v>
      </c>
      <c r="E468" s="547">
        <v>8500</v>
      </c>
      <c r="F468" s="547">
        <f t="shared" si="52"/>
        <v>8500</v>
      </c>
      <c r="H468" s="549">
        <v>20000</v>
      </c>
    </row>
    <row r="469" spans="1:8" s="548" customFormat="1" ht="18" customHeight="1" x14ac:dyDescent="0.25">
      <c r="A469" s="551" t="s">
        <v>646</v>
      </c>
      <c r="B469" s="550" t="s">
        <v>69</v>
      </c>
      <c r="C469" s="552">
        <v>1</v>
      </c>
      <c r="D469" s="553" t="s">
        <v>79</v>
      </c>
      <c r="E469" s="547">
        <v>1150</v>
      </c>
      <c r="F469" s="547">
        <f t="shared" si="52"/>
        <v>1150</v>
      </c>
      <c r="H469" s="549">
        <v>19700</v>
      </c>
    </row>
    <row r="470" spans="1:8" s="548" customFormat="1" ht="30.75" customHeight="1" x14ac:dyDescent="0.25">
      <c r="A470" s="551" t="s">
        <v>647</v>
      </c>
      <c r="B470" s="550" t="s">
        <v>620</v>
      </c>
      <c r="C470" s="552">
        <v>2</v>
      </c>
      <c r="D470" s="553" t="s">
        <v>79</v>
      </c>
      <c r="E470" s="547">
        <v>1650</v>
      </c>
      <c r="F470" s="547">
        <f t="shared" si="52"/>
        <v>3300</v>
      </c>
      <c r="H470" s="549">
        <v>3000</v>
      </c>
    </row>
    <row r="471" spans="1:8" s="548" customFormat="1" ht="30" customHeight="1" x14ac:dyDescent="0.25">
      <c r="A471" s="551" t="s">
        <v>648</v>
      </c>
      <c r="B471" s="550" t="s">
        <v>70</v>
      </c>
      <c r="C471" s="552">
        <v>7</v>
      </c>
      <c r="D471" s="553" t="s">
        <v>79</v>
      </c>
      <c r="E471" s="547">
        <v>1650</v>
      </c>
      <c r="F471" s="547">
        <f t="shared" si="52"/>
        <v>11550</v>
      </c>
      <c r="H471" s="549">
        <v>5500</v>
      </c>
    </row>
    <row r="472" spans="1:8" s="548" customFormat="1" ht="30" customHeight="1" x14ac:dyDescent="0.25">
      <c r="A472" s="551" t="s">
        <v>649</v>
      </c>
      <c r="B472" s="550" t="s">
        <v>621</v>
      </c>
      <c r="C472" s="552">
        <v>1</v>
      </c>
      <c r="D472" s="553" t="s">
        <v>79</v>
      </c>
      <c r="E472" s="547">
        <v>4500</v>
      </c>
      <c r="F472" s="547">
        <f t="shared" si="52"/>
        <v>4500</v>
      </c>
      <c r="H472" s="549">
        <v>5000</v>
      </c>
    </row>
    <row r="473" spans="1:8" s="548" customFormat="1" ht="30" customHeight="1" x14ac:dyDescent="0.25">
      <c r="A473" s="551" t="s">
        <v>650</v>
      </c>
      <c r="B473" s="550" t="s">
        <v>622</v>
      </c>
      <c r="C473" s="552">
        <v>1</v>
      </c>
      <c r="D473" s="553" t="s">
        <v>79</v>
      </c>
      <c r="E473" s="547">
        <v>2500</v>
      </c>
      <c r="F473" s="547">
        <f t="shared" si="52"/>
        <v>2500</v>
      </c>
      <c r="H473" s="549">
        <v>7375</v>
      </c>
    </row>
    <row r="474" spans="1:8" s="548" customFormat="1" ht="30" customHeight="1" x14ac:dyDescent="0.25">
      <c r="A474" s="551" t="s">
        <v>651</v>
      </c>
      <c r="B474" s="550" t="s">
        <v>623</v>
      </c>
      <c r="C474" s="552">
        <v>1</v>
      </c>
      <c r="D474" s="553" t="s">
        <v>79</v>
      </c>
      <c r="E474" s="547">
        <v>23000</v>
      </c>
      <c r="F474" s="547">
        <f t="shared" si="52"/>
        <v>23000</v>
      </c>
      <c r="H474" s="549">
        <v>10000</v>
      </c>
    </row>
    <row r="475" spans="1:8" s="548" customFormat="1" ht="42.75" customHeight="1" x14ac:dyDescent="0.25">
      <c r="A475" s="551" t="s">
        <v>652</v>
      </c>
      <c r="B475" s="550" t="s">
        <v>624</v>
      </c>
      <c r="C475" s="552">
        <v>1</v>
      </c>
      <c r="D475" s="553" t="s">
        <v>79</v>
      </c>
      <c r="E475" s="547">
        <v>35000</v>
      </c>
      <c r="F475" s="547">
        <f t="shared" si="52"/>
        <v>35000</v>
      </c>
      <c r="H475" s="549">
        <v>125000</v>
      </c>
    </row>
    <row r="476" spans="1:8" s="548" customFormat="1" ht="13.2" x14ac:dyDescent="0.25">
      <c r="A476" s="546"/>
      <c r="B476" s="545"/>
      <c r="C476" s="545"/>
      <c r="D476" s="546"/>
      <c r="E476" s="547"/>
      <c r="F476" s="545"/>
      <c r="H476" s="549"/>
    </row>
    <row r="477" spans="1:8" s="548" customFormat="1" thickBot="1" x14ac:dyDescent="0.3">
      <c r="A477" s="546"/>
      <c r="B477" s="545"/>
      <c r="C477" s="545"/>
      <c r="D477" s="546"/>
      <c r="E477" s="547"/>
      <c r="F477" s="554">
        <f>SUM(F461:F476)</f>
        <v>320260</v>
      </c>
      <c r="H477" s="549">
        <f>SUM(H461:H476)</f>
        <v>486705</v>
      </c>
    </row>
    <row r="478" spans="1:8" s="548" customFormat="1" thickTop="1" x14ac:dyDescent="0.25">
      <c r="A478" s="555" t="s">
        <v>625</v>
      </c>
      <c r="B478" s="556" t="s">
        <v>626</v>
      </c>
      <c r="C478" s="545"/>
      <c r="D478" s="546"/>
      <c r="E478" s="547"/>
      <c r="F478" s="545"/>
      <c r="H478" s="549"/>
    </row>
    <row r="479" spans="1:8" s="548" customFormat="1" ht="13.2" x14ac:dyDescent="0.25">
      <c r="A479" s="546"/>
      <c r="B479" s="550" t="s">
        <v>613</v>
      </c>
      <c r="C479" s="545"/>
      <c r="D479" s="546"/>
      <c r="E479" s="547"/>
      <c r="F479" s="545"/>
      <c r="H479" s="549"/>
    </row>
    <row r="480" spans="1:8" s="548" customFormat="1" ht="19.5" customHeight="1" x14ac:dyDescent="0.25">
      <c r="A480" s="551" t="s">
        <v>662</v>
      </c>
      <c r="B480" s="557" t="s">
        <v>627</v>
      </c>
      <c r="C480" s="558">
        <v>1</v>
      </c>
      <c r="D480" s="553" t="s">
        <v>79</v>
      </c>
      <c r="E480" s="547">
        <v>5630</v>
      </c>
      <c r="F480" s="547">
        <f>E480*C480</f>
        <v>5630</v>
      </c>
      <c r="H480" s="549"/>
    </row>
    <row r="481" spans="1:8" s="548" customFormat="1" ht="18.75" customHeight="1" x14ac:dyDescent="0.25">
      <c r="A481" s="551" t="s">
        <v>663</v>
      </c>
      <c r="B481" s="550" t="s">
        <v>628</v>
      </c>
      <c r="C481" s="558">
        <v>3</v>
      </c>
      <c r="D481" s="553" t="s">
        <v>79</v>
      </c>
      <c r="E481" s="547">
        <v>5200</v>
      </c>
      <c r="F481" s="547">
        <f t="shared" ref="F481:F488" si="53">E481*C481</f>
        <v>15600</v>
      </c>
      <c r="H481" s="549"/>
    </row>
    <row r="482" spans="1:8" s="548" customFormat="1" ht="18.75" customHeight="1" x14ac:dyDescent="0.25">
      <c r="A482" s="551" t="s">
        <v>664</v>
      </c>
      <c r="B482" s="550" t="s">
        <v>619</v>
      </c>
      <c r="C482" s="558">
        <v>3</v>
      </c>
      <c r="D482" s="553" t="s">
        <v>79</v>
      </c>
      <c r="E482" s="547">
        <v>4235</v>
      </c>
      <c r="F482" s="547">
        <f t="shared" si="53"/>
        <v>12705</v>
      </c>
      <c r="H482" s="549"/>
    </row>
    <row r="483" spans="1:8" s="548" customFormat="1" ht="22.5" customHeight="1" x14ac:dyDescent="0.25">
      <c r="A483" s="551" t="s">
        <v>665</v>
      </c>
      <c r="B483" s="550" t="s">
        <v>629</v>
      </c>
      <c r="C483" s="558">
        <v>16</v>
      </c>
      <c r="D483" s="553" t="s">
        <v>79</v>
      </c>
      <c r="E483" s="547">
        <v>687</v>
      </c>
      <c r="F483" s="547">
        <f t="shared" si="53"/>
        <v>10992</v>
      </c>
      <c r="H483" s="549"/>
    </row>
    <row r="484" spans="1:8" s="548" customFormat="1" ht="23.25" customHeight="1" x14ac:dyDescent="0.25">
      <c r="A484" s="551" t="s">
        <v>666</v>
      </c>
      <c r="B484" s="550" t="s">
        <v>630</v>
      </c>
      <c r="C484" s="558">
        <v>12</v>
      </c>
      <c r="D484" s="553" t="s">
        <v>79</v>
      </c>
      <c r="E484" s="547">
        <v>687</v>
      </c>
      <c r="F484" s="547">
        <f t="shared" si="53"/>
        <v>8244</v>
      </c>
      <c r="H484" s="549"/>
    </row>
    <row r="485" spans="1:8" s="548" customFormat="1" ht="21" customHeight="1" x14ac:dyDescent="0.25">
      <c r="A485" s="551" t="s">
        <v>667</v>
      </c>
      <c r="B485" s="550" t="s">
        <v>71</v>
      </c>
      <c r="C485" s="558">
        <v>1</v>
      </c>
      <c r="D485" s="553" t="s">
        <v>79</v>
      </c>
      <c r="E485" s="547">
        <v>1650</v>
      </c>
      <c r="F485" s="547">
        <f t="shared" si="53"/>
        <v>1650</v>
      </c>
      <c r="H485" s="549"/>
    </row>
    <row r="486" spans="1:8" s="548" customFormat="1" ht="21" customHeight="1" x14ac:dyDescent="0.25">
      <c r="A486" s="551" t="s">
        <v>668</v>
      </c>
      <c r="B486" s="550" t="s">
        <v>631</v>
      </c>
      <c r="C486" s="558">
        <v>1</v>
      </c>
      <c r="D486" s="553" t="s">
        <v>79</v>
      </c>
      <c r="E486" s="547">
        <v>3500</v>
      </c>
      <c r="F486" s="547">
        <f t="shared" si="53"/>
        <v>3500</v>
      </c>
      <c r="H486" s="549"/>
    </row>
    <row r="487" spans="1:8" s="548" customFormat="1" ht="21" customHeight="1" x14ac:dyDescent="0.25">
      <c r="A487" s="551" t="s">
        <v>669</v>
      </c>
      <c r="B487" s="550" t="s">
        <v>632</v>
      </c>
      <c r="C487" s="558">
        <v>1</v>
      </c>
      <c r="D487" s="553" t="s">
        <v>79</v>
      </c>
      <c r="E487" s="547">
        <v>15000</v>
      </c>
      <c r="F487" s="547">
        <v>15000</v>
      </c>
      <c r="H487" s="549"/>
    </row>
    <row r="488" spans="1:8" s="548" customFormat="1" ht="35.25" customHeight="1" x14ac:dyDescent="0.25">
      <c r="A488" s="551" t="s">
        <v>670</v>
      </c>
      <c r="B488" s="550" t="s">
        <v>633</v>
      </c>
      <c r="C488" s="558">
        <v>1</v>
      </c>
      <c r="D488" s="553" t="s">
        <v>79</v>
      </c>
      <c r="E488" s="547">
        <v>9500</v>
      </c>
      <c r="F488" s="547">
        <f t="shared" si="53"/>
        <v>9500</v>
      </c>
      <c r="H488" s="549"/>
    </row>
    <row r="489" spans="1:8" s="548" customFormat="1" ht="13.2" x14ac:dyDescent="0.25">
      <c r="A489" s="546"/>
      <c r="B489" s="545"/>
      <c r="C489" s="545"/>
      <c r="D489" s="546"/>
      <c r="E489" s="547"/>
      <c r="F489" s="545"/>
      <c r="H489" s="549"/>
    </row>
    <row r="490" spans="1:8" s="548" customFormat="1" thickBot="1" x14ac:dyDescent="0.3">
      <c r="A490" s="546"/>
      <c r="B490" s="545"/>
      <c r="C490" s="545"/>
      <c r="D490" s="546"/>
      <c r="E490" s="547"/>
      <c r="F490" s="554">
        <f>SUM(F480:F489)</f>
        <v>82821</v>
      </c>
      <c r="H490" s="549"/>
    </row>
    <row r="491" spans="1:8" s="548" customFormat="1" thickTop="1" x14ac:dyDescent="0.25">
      <c r="A491" s="546" t="s">
        <v>634</v>
      </c>
      <c r="B491" s="556" t="s">
        <v>635</v>
      </c>
      <c r="C491" s="545"/>
      <c r="D491" s="546"/>
      <c r="E491" s="547"/>
      <c r="F491" s="545"/>
      <c r="H491" s="549"/>
    </row>
    <row r="492" spans="1:8" s="548" customFormat="1" ht="13.2" x14ac:dyDescent="0.25">
      <c r="A492" s="546"/>
      <c r="B492" s="550" t="s">
        <v>613</v>
      </c>
      <c r="C492" s="545"/>
      <c r="D492" s="546"/>
      <c r="E492" s="547"/>
      <c r="F492" s="545"/>
      <c r="H492" s="549"/>
    </row>
    <row r="493" spans="1:8" s="548" customFormat="1" ht="13.2" x14ac:dyDescent="0.25">
      <c r="A493" s="551" t="s">
        <v>671</v>
      </c>
      <c r="B493" s="557" t="s">
        <v>627</v>
      </c>
      <c r="C493" s="558">
        <v>1</v>
      </c>
      <c r="D493" s="553" t="s">
        <v>79</v>
      </c>
      <c r="E493" s="547">
        <v>5630</v>
      </c>
      <c r="F493" s="547">
        <f>E493*C493</f>
        <v>5630</v>
      </c>
      <c r="H493" s="549"/>
    </row>
    <row r="494" spans="1:8" s="548" customFormat="1" ht="13.2" x14ac:dyDescent="0.25">
      <c r="A494" s="551" t="s">
        <v>672</v>
      </c>
      <c r="B494" s="550" t="s">
        <v>628</v>
      </c>
      <c r="C494" s="558">
        <v>3</v>
      </c>
      <c r="D494" s="553" t="s">
        <v>79</v>
      </c>
      <c r="E494" s="547">
        <v>5200</v>
      </c>
      <c r="F494" s="547">
        <f t="shared" ref="F494:F501" si="54">E494*C494</f>
        <v>15600</v>
      </c>
      <c r="H494" s="549"/>
    </row>
    <row r="495" spans="1:8" s="548" customFormat="1" ht="13.2" x14ac:dyDescent="0.25">
      <c r="A495" s="551" t="s">
        <v>673</v>
      </c>
      <c r="B495" s="550" t="s">
        <v>619</v>
      </c>
      <c r="C495" s="558">
        <v>3</v>
      </c>
      <c r="D495" s="553" t="s">
        <v>79</v>
      </c>
      <c r="E495" s="547">
        <v>4235</v>
      </c>
      <c r="F495" s="547">
        <f t="shared" si="54"/>
        <v>12705</v>
      </c>
      <c r="H495" s="549"/>
    </row>
    <row r="496" spans="1:8" s="548" customFormat="1" ht="13.2" x14ac:dyDescent="0.25">
      <c r="A496" s="551" t="s">
        <v>674</v>
      </c>
      <c r="B496" s="550" t="s">
        <v>629</v>
      </c>
      <c r="C496" s="558">
        <v>12</v>
      </c>
      <c r="D496" s="553" t="s">
        <v>79</v>
      </c>
      <c r="E496" s="547">
        <v>687</v>
      </c>
      <c r="F496" s="547">
        <f t="shared" si="54"/>
        <v>8244</v>
      </c>
      <c r="H496" s="549"/>
    </row>
    <row r="497" spans="1:8" s="548" customFormat="1" ht="13.2" x14ac:dyDescent="0.25">
      <c r="A497" s="551" t="s">
        <v>675</v>
      </c>
      <c r="B497" s="550" t="s">
        <v>630</v>
      </c>
      <c r="C497" s="558">
        <v>15</v>
      </c>
      <c r="D497" s="553" t="s">
        <v>79</v>
      </c>
      <c r="E497" s="547">
        <v>687</v>
      </c>
      <c r="F497" s="547">
        <f t="shared" si="54"/>
        <v>10305</v>
      </c>
      <c r="H497" s="549"/>
    </row>
    <row r="498" spans="1:8" s="548" customFormat="1" ht="13.2" x14ac:dyDescent="0.25">
      <c r="A498" s="551" t="s">
        <v>676</v>
      </c>
      <c r="B498" s="550" t="s">
        <v>631</v>
      </c>
      <c r="C498" s="558">
        <v>1</v>
      </c>
      <c r="D498" s="553" t="s">
        <v>79</v>
      </c>
      <c r="E498" s="547">
        <v>3500</v>
      </c>
      <c r="F498" s="547">
        <f t="shared" si="54"/>
        <v>3500</v>
      </c>
      <c r="H498" s="549"/>
    </row>
    <row r="499" spans="1:8" s="548" customFormat="1" ht="13.2" x14ac:dyDescent="0.25">
      <c r="A499" s="551" t="s">
        <v>677</v>
      </c>
      <c r="B499" s="550" t="s">
        <v>632</v>
      </c>
      <c r="C499" s="558">
        <v>1</v>
      </c>
      <c r="D499" s="553" t="s">
        <v>79</v>
      </c>
      <c r="E499" s="547">
        <v>15000</v>
      </c>
      <c r="F499" s="547">
        <f t="shared" si="54"/>
        <v>15000</v>
      </c>
      <c r="H499" s="549"/>
    </row>
    <row r="500" spans="1:8" s="548" customFormat="1" ht="13.2" x14ac:dyDescent="0.25">
      <c r="A500" s="551" t="s">
        <v>678</v>
      </c>
      <c r="B500" s="550" t="s">
        <v>71</v>
      </c>
      <c r="C500" s="558">
        <v>1</v>
      </c>
      <c r="D500" s="553" t="s">
        <v>79</v>
      </c>
      <c r="E500" s="559">
        <v>1650</v>
      </c>
      <c r="F500" s="547">
        <f t="shared" si="54"/>
        <v>1650</v>
      </c>
      <c r="H500" s="549"/>
    </row>
    <row r="501" spans="1:8" s="548" customFormat="1" ht="26.4" x14ac:dyDescent="0.25">
      <c r="A501" s="551" t="s">
        <v>679</v>
      </c>
      <c r="B501" s="550" t="s">
        <v>680</v>
      </c>
      <c r="C501" s="558">
        <v>1</v>
      </c>
      <c r="D501" s="553" t="s">
        <v>79</v>
      </c>
      <c r="E501" s="559">
        <v>9500</v>
      </c>
      <c r="F501" s="547">
        <f t="shared" si="54"/>
        <v>9500</v>
      </c>
      <c r="H501" s="549"/>
    </row>
    <row r="502" spans="1:8" s="548" customFormat="1" ht="13.2" x14ac:dyDescent="0.25">
      <c r="A502" s="560"/>
      <c r="B502" s="545"/>
      <c r="C502" s="545"/>
      <c r="D502" s="546"/>
      <c r="E502" s="547"/>
      <c r="F502" s="545"/>
      <c r="H502" s="549"/>
    </row>
    <row r="503" spans="1:8" s="548" customFormat="1" thickBot="1" x14ac:dyDescent="0.3">
      <c r="A503" s="546"/>
      <c r="B503" s="545"/>
      <c r="C503" s="545"/>
      <c r="D503" s="546"/>
      <c r="E503" s="547"/>
      <c r="F503" s="554">
        <f>SUM(F493:F502)</f>
        <v>82134</v>
      </c>
      <c r="H503" s="549"/>
    </row>
    <row r="504" spans="1:8" s="548" customFormat="1" thickTop="1" x14ac:dyDescent="0.25">
      <c r="A504" s="546" t="s">
        <v>636</v>
      </c>
      <c r="B504" s="556" t="s">
        <v>637</v>
      </c>
      <c r="C504" s="545"/>
      <c r="D504" s="546"/>
      <c r="E504" s="547"/>
      <c r="F504" s="545"/>
      <c r="H504" s="549"/>
    </row>
    <row r="505" spans="1:8" s="548" customFormat="1" ht="13.2" x14ac:dyDescent="0.25">
      <c r="A505" s="546"/>
      <c r="B505" s="550" t="s">
        <v>613</v>
      </c>
      <c r="C505" s="545"/>
      <c r="D505" s="546"/>
      <c r="E505" s="547"/>
      <c r="F505" s="545"/>
      <c r="H505" s="549"/>
    </row>
    <row r="506" spans="1:8" s="548" customFormat="1" ht="13.2" x14ac:dyDescent="0.25">
      <c r="A506" s="551" t="s">
        <v>653</v>
      </c>
      <c r="B506" s="557" t="s">
        <v>627</v>
      </c>
      <c r="C506" s="558">
        <v>1</v>
      </c>
      <c r="D506" s="553" t="s">
        <v>0</v>
      </c>
      <c r="E506" s="547">
        <v>5630</v>
      </c>
      <c r="F506" s="547">
        <f>E506*C506</f>
        <v>5630</v>
      </c>
      <c r="H506" s="549"/>
    </row>
    <row r="507" spans="1:8" s="548" customFormat="1" ht="13.2" x14ac:dyDescent="0.25">
      <c r="A507" s="551" t="s">
        <v>654</v>
      </c>
      <c r="B507" s="550" t="s">
        <v>628</v>
      </c>
      <c r="C507" s="558">
        <v>3</v>
      </c>
      <c r="D507" s="553" t="s">
        <v>0</v>
      </c>
      <c r="E507" s="547">
        <v>5200</v>
      </c>
      <c r="F507" s="547">
        <f t="shared" ref="F507:F514" si="55">E507*C507</f>
        <v>15600</v>
      </c>
      <c r="H507" s="549"/>
    </row>
    <row r="508" spans="1:8" s="548" customFormat="1" ht="13.2" x14ac:dyDescent="0.25">
      <c r="A508" s="551" t="s">
        <v>655</v>
      </c>
      <c r="B508" s="550" t="s">
        <v>619</v>
      </c>
      <c r="C508" s="558">
        <v>3</v>
      </c>
      <c r="D508" s="553" t="s">
        <v>0</v>
      </c>
      <c r="E508" s="547">
        <v>4235</v>
      </c>
      <c r="F508" s="547">
        <f t="shared" si="55"/>
        <v>12705</v>
      </c>
      <c r="H508" s="549"/>
    </row>
    <row r="509" spans="1:8" s="548" customFormat="1" ht="13.2" x14ac:dyDescent="0.25">
      <c r="A509" s="551" t="s">
        <v>656</v>
      </c>
      <c r="B509" s="550" t="s">
        <v>629</v>
      </c>
      <c r="C509" s="558">
        <v>12</v>
      </c>
      <c r="D509" s="553" t="s">
        <v>0</v>
      </c>
      <c r="E509" s="547">
        <v>687</v>
      </c>
      <c r="F509" s="547">
        <f t="shared" si="55"/>
        <v>8244</v>
      </c>
      <c r="H509" s="549"/>
    </row>
    <row r="510" spans="1:8" s="548" customFormat="1" ht="13.2" x14ac:dyDescent="0.25">
      <c r="A510" s="551" t="s">
        <v>657</v>
      </c>
      <c r="B510" s="550" t="s">
        <v>630</v>
      </c>
      <c r="C510" s="558">
        <v>15</v>
      </c>
      <c r="D510" s="553" t="s">
        <v>0</v>
      </c>
      <c r="E510" s="547">
        <v>687</v>
      </c>
      <c r="F510" s="547">
        <f t="shared" si="55"/>
        <v>10305</v>
      </c>
      <c r="H510" s="549"/>
    </row>
    <row r="511" spans="1:8" s="548" customFormat="1" ht="13.2" x14ac:dyDescent="0.25">
      <c r="A511" s="551" t="s">
        <v>658</v>
      </c>
      <c r="B511" s="550" t="s">
        <v>631</v>
      </c>
      <c r="C511" s="558">
        <v>1</v>
      </c>
      <c r="D511" s="553" t="s">
        <v>0</v>
      </c>
      <c r="E511" s="547">
        <v>3500</v>
      </c>
      <c r="F511" s="547">
        <f t="shared" si="55"/>
        <v>3500</v>
      </c>
      <c r="H511" s="549"/>
    </row>
    <row r="512" spans="1:8" s="548" customFormat="1" ht="13.2" x14ac:dyDescent="0.25">
      <c r="A512" s="551" t="s">
        <v>659</v>
      </c>
      <c r="B512" s="550" t="s">
        <v>632</v>
      </c>
      <c r="C512" s="558">
        <v>1</v>
      </c>
      <c r="D512" s="553" t="s">
        <v>0</v>
      </c>
      <c r="E512" s="547">
        <v>15000</v>
      </c>
      <c r="F512" s="547">
        <f t="shared" si="55"/>
        <v>15000</v>
      </c>
      <c r="H512" s="549"/>
    </row>
    <row r="513" spans="1:8" s="548" customFormat="1" ht="13.2" x14ac:dyDescent="0.25">
      <c r="A513" s="551" t="s">
        <v>660</v>
      </c>
      <c r="B513" s="550" t="s">
        <v>71</v>
      </c>
      <c r="C513" s="558">
        <v>1</v>
      </c>
      <c r="D513" s="553" t="s">
        <v>0</v>
      </c>
      <c r="E513" s="547">
        <v>1650</v>
      </c>
      <c r="F513" s="547">
        <f t="shared" si="55"/>
        <v>1650</v>
      </c>
      <c r="H513" s="549"/>
    </row>
    <row r="514" spans="1:8" s="548" customFormat="1" ht="26.4" x14ac:dyDescent="0.25">
      <c r="A514" s="551" t="s">
        <v>661</v>
      </c>
      <c r="B514" s="550" t="s">
        <v>633</v>
      </c>
      <c r="C514" s="558">
        <v>1</v>
      </c>
      <c r="D514" s="553" t="s">
        <v>0</v>
      </c>
      <c r="E514" s="547">
        <v>9500</v>
      </c>
      <c r="F514" s="547">
        <f t="shared" si="55"/>
        <v>9500</v>
      </c>
      <c r="H514" s="549"/>
    </row>
    <row r="515" spans="1:8" ht="14.4" thickBot="1" x14ac:dyDescent="0.3">
      <c r="A515" s="561"/>
      <c r="B515" s="562"/>
      <c r="C515" s="563"/>
      <c r="D515" s="564"/>
      <c r="E515" s="565"/>
      <c r="F515" s="566">
        <f>SUM(F506:F514)</f>
        <v>82134</v>
      </c>
    </row>
    <row r="516" spans="1:8" ht="14.4" thickTop="1" x14ac:dyDescent="0.25">
      <c r="A516" s="567"/>
      <c r="B516" s="568"/>
      <c r="C516" s="569"/>
      <c r="D516" s="570"/>
      <c r="E516" s="571"/>
      <c r="F516" s="572"/>
    </row>
    <row r="517" spans="1:8" ht="46.5" customHeight="1" x14ac:dyDescent="0.25">
      <c r="A517" s="573" t="s">
        <v>315</v>
      </c>
      <c r="B517" s="574" t="s">
        <v>593</v>
      </c>
      <c r="C517" s="575">
        <v>50</v>
      </c>
      <c r="D517" s="576" t="s">
        <v>56</v>
      </c>
      <c r="E517" s="577">
        <f>760*3.28</f>
        <v>2492.7999999999997</v>
      </c>
      <c r="F517" s="578">
        <f>E517*C517</f>
        <v>124639.99999999999</v>
      </c>
    </row>
    <row r="518" spans="1:8" x14ac:dyDescent="0.25">
      <c r="A518" s="579"/>
      <c r="B518" s="580"/>
      <c r="C518" s="563"/>
      <c r="D518" s="564"/>
      <c r="E518" s="565"/>
      <c r="F518" s="572"/>
    </row>
    <row r="519" spans="1:8" x14ac:dyDescent="0.25">
      <c r="A519" s="481" t="s">
        <v>316</v>
      </c>
      <c r="B519" s="581" t="s">
        <v>72</v>
      </c>
      <c r="C519" s="569">
        <v>3</v>
      </c>
      <c r="D519" s="570" t="s">
        <v>0</v>
      </c>
      <c r="E519" s="571">
        <v>4380</v>
      </c>
      <c r="F519" s="582">
        <f>E519*C519</f>
        <v>13140</v>
      </c>
    </row>
    <row r="520" spans="1:8" ht="55.2" x14ac:dyDescent="0.25">
      <c r="A520" s="481"/>
      <c r="B520" s="581" t="s">
        <v>73</v>
      </c>
      <c r="C520" s="569"/>
      <c r="D520" s="570"/>
      <c r="E520" s="571"/>
      <c r="F520" s="582"/>
    </row>
    <row r="521" spans="1:8" x14ac:dyDescent="0.25">
      <c r="A521" s="481"/>
      <c r="B521" s="581"/>
      <c r="C521" s="569"/>
      <c r="D521" s="570"/>
      <c r="E521" s="571"/>
      <c r="F521" s="582"/>
    </row>
    <row r="522" spans="1:8" x14ac:dyDescent="0.25">
      <c r="A522" s="481" t="s">
        <v>317</v>
      </c>
      <c r="B522" s="581" t="s">
        <v>74</v>
      </c>
      <c r="C522" s="569">
        <v>52</v>
      </c>
      <c r="D522" s="570" t="s">
        <v>0</v>
      </c>
      <c r="E522" s="571">
        <v>4150</v>
      </c>
      <c r="F522" s="582">
        <f>C522*E522</f>
        <v>215800</v>
      </c>
    </row>
    <row r="523" spans="1:8" ht="55.2" x14ac:dyDescent="0.25">
      <c r="A523" s="481"/>
      <c r="B523" s="581" t="s">
        <v>75</v>
      </c>
      <c r="C523" s="569"/>
      <c r="D523" s="570"/>
      <c r="E523" s="571"/>
      <c r="F523" s="582"/>
    </row>
    <row r="524" spans="1:8" x14ac:dyDescent="0.25">
      <c r="A524" s="481"/>
      <c r="B524" s="581"/>
      <c r="C524" s="569"/>
      <c r="D524" s="583"/>
      <c r="E524" s="584"/>
      <c r="F524" s="582"/>
    </row>
    <row r="525" spans="1:8" x14ac:dyDescent="0.25">
      <c r="A525" s="481" t="s">
        <v>318</v>
      </c>
      <c r="B525" s="581" t="s">
        <v>125</v>
      </c>
      <c r="C525" s="569"/>
      <c r="D525" s="583"/>
      <c r="E525" s="584"/>
      <c r="F525" s="582"/>
    </row>
    <row r="526" spans="1:8" ht="55.2" x14ac:dyDescent="0.25">
      <c r="A526" s="481"/>
      <c r="B526" s="581" t="s">
        <v>594</v>
      </c>
      <c r="C526" s="569">
        <v>26</v>
      </c>
      <c r="D526" s="583" t="s">
        <v>0</v>
      </c>
      <c r="E526" s="584">
        <v>3395</v>
      </c>
      <c r="F526" s="582">
        <f>C526*E526</f>
        <v>88270</v>
      </c>
    </row>
    <row r="527" spans="1:8" x14ac:dyDescent="0.25">
      <c r="A527" s="481"/>
      <c r="B527" s="581"/>
      <c r="C527" s="569"/>
      <c r="D527" s="583"/>
      <c r="E527" s="584"/>
      <c r="F527" s="582"/>
    </row>
    <row r="528" spans="1:8" x14ac:dyDescent="0.25">
      <c r="A528" s="481" t="s">
        <v>319</v>
      </c>
      <c r="B528" s="581" t="s">
        <v>103</v>
      </c>
      <c r="C528" s="569">
        <v>3</v>
      </c>
      <c r="D528" s="583" t="s">
        <v>0</v>
      </c>
      <c r="E528" s="584">
        <v>3250</v>
      </c>
      <c r="F528" s="582">
        <f>E528*C528</f>
        <v>9750</v>
      </c>
    </row>
    <row r="529" spans="1:6" x14ac:dyDescent="0.25">
      <c r="A529" s="481"/>
      <c r="B529" s="581"/>
      <c r="C529" s="569"/>
      <c r="D529" s="583"/>
      <c r="E529" s="584"/>
      <c r="F529" s="582"/>
    </row>
    <row r="530" spans="1:6" x14ac:dyDescent="0.25">
      <c r="A530" s="481" t="s">
        <v>320</v>
      </c>
      <c r="B530" s="581" t="s">
        <v>104</v>
      </c>
      <c r="C530" s="569">
        <v>3</v>
      </c>
      <c r="D530" s="583" t="s">
        <v>0</v>
      </c>
      <c r="E530" s="584">
        <v>4200</v>
      </c>
      <c r="F530" s="582">
        <f>E530*C530</f>
        <v>12600</v>
      </c>
    </row>
    <row r="531" spans="1:6" x14ac:dyDescent="0.25">
      <c r="A531" s="481"/>
      <c r="B531" s="581"/>
      <c r="C531" s="569"/>
      <c r="D531" s="583"/>
      <c r="E531" s="584"/>
      <c r="F531" s="582"/>
    </row>
    <row r="532" spans="1:6" x14ac:dyDescent="0.25">
      <c r="A532" s="481" t="s">
        <v>321</v>
      </c>
      <c r="B532" s="581" t="s">
        <v>76</v>
      </c>
      <c r="C532" s="569">
        <v>156</v>
      </c>
      <c r="D532" s="583" t="s">
        <v>0</v>
      </c>
      <c r="E532" s="584">
        <v>2840</v>
      </c>
      <c r="F532" s="582">
        <f>C532*E532</f>
        <v>443040</v>
      </c>
    </row>
    <row r="533" spans="1:6" ht="27.6" x14ac:dyDescent="0.25">
      <c r="A533" s="481"/>
      <c r="B533" s="581" t="s">
        <v>595</v>
      </c>
      <c r="C533" s="569"/>
      <c r="D533" s="583"/>
      <c r="E533" s="584"/>
      <c r="F533" s="582"/>
    </row>
    <row r="534" spans="1:6" ht="27.6" x14ac:dyDescent="0.25">
      <c r="A534" s="481"/>
      <c r="B534" s="581" t="s">
        <v>77</v>
      </c>
      <c r="C534" s="569"/>
      <c r="D534" s="583"/>
      <c r="E534" s="475"/>
      <c r="F534" s="585"/>
    </row>
    <row r="535" spans="1:6" x14ac:dyDescent="0.25">
      <c r="A535" s="481"/>
      <c r="B535" s="581"/>
      <c r="C535" s="569"/>
      <c r="D535" s="583"/>
      <c r="E535" s="475"/>
      <c r="F535" s="585"/>
    </row>
    <row r="536" spans="1:6" ht="69" x14ac:dyDescent="0.25">
      <c r="A536" s="481" t="s">
        <v>322</v>
      </c>
      <c r="B536" s="581" t="s">
        <v>596</v>
      </c>
      <c r="C536" s="569">
        <v>17</v>
      </c>
      <c r="D536" s="583" t="s">
        <v>0</v>
      </c>
      <c r="E536" s="475">
        <v>6215</v>
      </c>
      <c r="F536" s="585">
        <f>C536*E536</f>
        <v>105655</v>
      </c>
    </row>
    <row r="537" spans="1:6" x14ac:dyDescent="0.25">
      <c r="A537" s="481"/>
      <c r="B537" s="581"/>
      <c r="C537" s="569"/>
      <c r="D537" s="583"/>
      <c r="E537" s="475"/>
      <c r="F537" s="585"/>
    </row>
    <row r="538" spans="1:6" ht="73.95" customHeight="1" x14ac:dyDescent="0.25">
      <c r="A538" s="481" t="s">
        <v>323</v>
      </c>
      <c r="B538" s="581" t="s">
        <v>597</v>
      </c>
      <c r="C538" s="569">
        <v>156</v>
      </c>
      <c r="D538" s="583" t="s">
        <v>0</v>
      </c>
      <c r="E538" s="475">
        <v>6580</v>
      </c>
      <c r="F538" s="585">
        <f>C538*E538</f>
        <v>1026480</v>
      </c>
    </row>
    <row r="539" spans="1:6" x14ac:dyDescent="0.25">
      <c r="A539" s="481"/>
      <c r="B539" s="482"/>
      <c r="C539" s="586"/>
      <c r="D539" s="583"/>
      <c r="E539" s="475"/>
      <c r="F539" s="585"/>
    </row>
    <row r="540" spans="1:6" x14ac:dyDescent="0.25">
      <c r="A540" s="481" t="s">
        <v>324</v>
      </c>
      <c r="B540" s="587" t="s">
        <v>598</v>
      </c>
      <c r="C540" s="586">
        <v>18</v>
      </c>
      <c r="D540" s="583" t="s">
        <v>0</v>
      </c>
      <c r="E540" s="475">
        <v>2300</v>
      </c>
      <c r="F540" s="585">
        <f>C540*E540</f>
        <v>41400</v>
      </c>
    </row>
    <row r="541" spans="1:6" x14ac:dyDescent="0.25">
      <c r="A541" s="481"/>
      <c r="B541" s="587" t="s">
        <v>599</v>
      </c>
      <c r="C541" s="586"/>
      <c r="D541" s="583"/>
      <c r="E541" s="475"/>
      <c r="F541" s="585"/>
    </row>
    <row r="542" spans="1:6" x14ac:dyDescent="0.25">
      <c r="A542" s="481" t="s">
        <v>325</v>
      </c>
      <c r="B542" s="482" t="s">
        <v>600</v>
      </c>
      <c r="C542" s="586">
        <v>2</v>
      </c>
      <c r="D542" s="583" t="s">
        <v>0</v>
      </c>
      <c r="E542" s="475">
        <v>5600</v>
      </c>
      <c r="F542" s="585">
        <f>C542*E542</f>
        <v>11200</v>
      </c>
    </row>
    <row r="543" spans="1:6" x14ac:dyDescent="0.25">
      <c r="A543" s="481"/>
      <c r="B543" s="482" t="s">
        <v>601</v>
      </c>
      <c r="C543" s="586"/>
      <c r="D543" s="583"/>
      <c r="E543" s="475"/>
      <c r="F543" s="585"/>
    </row>
    <row r="544" spans="1:6" ht="41.4" x14ac:dyDescent="0.25">
      <c r="A544" s="481" t="s">
        <v>326</v>
      </c>
      <c r="B544" s="482" t="s">
        <v>602</v>
      </c>
      <c r="C544" s="586">
        <v>69</v>
      </c>
      <c r="D544" s="583" t="s">
        <v>0</v>
      </c>
      <c r="E544" s="475">
        <v>3625</v>
      </c>
      <c r="F544" s="585">
        <f>C544*E544</f>
        <v>250125</v>
      </c>
    </row>
    <row r="545" spans="1:8" x14ac:dyDescent="0.25">
      <c r="A545" s="481"/>
      <c r="B545" s="482"/>
      <c r="C545" s="586"/>
      <c r="D545" s="583"/>
      <c r="E545" s="475"/>
      <c r="F545" s="476"/>
    </row>
    <row r="546" spans="1:8" x14ac:dyDescent="0.25">
      <c r="A546" s="481" t="s">
        <v>327</v>
      </c>
      <c r="B546" s="588" t="s">
        <v>603</v>
      </c>
      <c r="C546" s="586">
        <v>25</v>
      </c>
      <c r="D546" s="583" t="s">
        <v>0</v>
      </c>
      <c r="E546" s="475">
        <v>6380</v>
      </c>
      <c r="F546" s="476">
        <f>C546*E546</f>
        <v>159500</v>
      </c>
    </row>
    <row r="547" spans="1:8" x14ac:dyDescent="0.25">
      <c r="A547" s="481"/>
      <c r="B547" s="482"/>
      <c r="C547" s="586"/>
      <c r="D547" s="583"/>
      <c r="E547" s="475"/>
      <c r="F547" s="476"/>
    </row>
    <row r="548" spans="1:8" x14ac:dyDescent="0.25">
      <c r="A548" s="481"/>
      <c r="B548" s="482" t="s">
        <v>106</v>
      </c>
      <c r="C548" s="586"/>
      <c r="D548" s="583"/>
      <c r="E548" s="475"/>
      <c r="F548" s="476"/>
    </row>
    <row r="549" spans="1:8" ht="82.8" x14ac:dyDescent="0.25">
      <c r="A549" s="481" t="s">
        <v>328</v>
      </c>
      <c r="B549" s="482" t="s">
        <v>604</v>
      </c>
      <c r="C549" s="586">
        <v>1</v>
      </c>
      <c r="D549" s="583" t="s">
        <v>13</v>
      </c>
      <c r="E549" s="475">
        <v>4730</v>
      </c>
      <c r="F549" s="476">
        <f>C549*E549</f>
        <v>4730</v>
      </c>
    </row>
    <row r="550" spans="1:8" ht="41.4" x14ac:dyDescent="0.25">
      <c r="A550" s="481" t="s">
        <v>681</v>
      </c>
      <c r="B550" s="589" t="s">
        <v>682</v>
      </c>
      <c r="C550" s="586">
        <v>1</v>
      </c>
      <c r="D550" s="583" t="s">
        <v>13</v>
      </c>
      <c r="E550" s="475"/>
      <c r="F550" s="476"/>
    </row>
    <row r="551" spans="1:8" x14ac:dyDescent="0.25">
      <c r="A551" s="481"/>
      <c r="B551" s="482"/>
      <c r="C551" s="586"/>
      <c r="D551" s="583"/>
      <c r="E551" s="475"/>
      <c r="F551" s="476"/>
    </row>
    <row r="552" spans="1:8" x14ac:dyDescent="0.25">
      <c r="A552" s="481"/>
      <c r="B552" s="482"/>
      <c r="C552" s="586"/>
      <c r="D552" s="583"/>
      <c r="E552" s="475"/>
      <c r="F552" s="476"/>
    </row>
    <row r="553" spans="1:8" s="477" customFormat="1" x14ac:dyDescent="0.25">
      <c r="A553" s="499"/>
      <c r="B553" s="500" t="s">
        <v>46</v>
      </c>
      <c r="C553" s="590"/>
      <c r="D553" s="591"/>
      <c r="E553" s="503"/>
      <c r="F553" s="504">
        <f>SUM(F515:F549)</f>
        <v>2588464</v>
      </c>
      <c r="H553" s="478"/>
    </row>
    <row r="554" spans="1:8" x14ac:dyDescent="0.25">
      <c r="A554" s="481"/>
      <c r="B554" s="592" t="s">
        <v>330</v>
      </c>
      <c r="C554" s="586"/>
      <c r="D554" s="583"/>
      <c r="E554" s="475"/>
      <c r="F554" s="476"/>
    </row>
    <row r="555" spans="1:8" x14ac:dyDescent="0.25">
      <c r="A555" s="481"/>
      <c r="B555" s="482"/>
      <c r="C555" s="586"/>
      <c r="D555" s="583"/>
      <c r="E555" s="475"/>
      <c r="F555" s="476"/>
    </row>
    <row r="556" spans="1:8" ht="41.4" x14ac:dyDescent="0.25">
      <c r="A556" s="481" t="s">
        <v>331</v>
      </c>
      <c r="B556" s="482" t="s">
        <v>119</v>
      </c>
      <c r="C556" s="586">
        <v>20.11</v>
      </c>
      <c r="D556" s="583" t="s">
        <v>101</v>
      </c>
      <c r="E556" s="475">
        <v>5904</v>
      </c>
      <c r="F556" s="476">
        <f>C556*E556</f>
        <v>118729.44</v>
      </c>
    </row>
    <row r="557" spans="1:8" ht="41.4" x14ac:dyDescent="0.25">
      <c r="A557" s="481" t="s">
        <v>332</v>
      </c>
      <c r="B557" s="482" t="s">
        <v>121</v>
      </c>
      <c r="C557" s="586">
        <v>49.46</v>
      </c>
      <c r="D557" s="583" t="s">
        <v>101</v>
      </c>
      <c r="E557" s="475">
        <v>8528</v>
      </c>
      <c r="F557" s="476">
        <f>C557*E557</f>
        <v>421794.88</v>
      </c>
    </row>
    <row r="558" spans="1:8" ht="27.6" x14ac:dyDescent="0.25">
      <c r="A558" s="481" t="s">
        <v>333</v>
      </c>
      <c r="B558" s="482" t="s">
        <v>120</v>
      </c>
      <c r="C558" s="586">
        <v>49.46</v>
      </c>
      <c r="D558" s="583" t="s">
        <v>101</v>
      </c>
      <c r="E558" s="475">
        <v>7134</v>
      </c>
      <c r="F558" s="476">
        <f>C558*E558</f>
        <v>352847.64</v>
      </c>
    </row>
    <row r="559" spans="1:8" x14ac:dyDescent="0.25">
      <c r="A559" s="481"/>
      <c r="B559" s="482"/>
      <c r="C559" s="586"/>
      <c r="D559" s="583"/>
      <c r="E559" s="475"/>
      <c r="F559" s="476"/>
    </row>
    <row r="560" spans="1:8" x14ac:dyDescent="0.25">
      <c r="A560" s="481"/>
      <c r="B560" s="482"/>
      <c r="C560" s="586"/>
      <c r="D560" s="583"/>
      <c r="E560" s="475"/>
      <c r="F560" s="476"/>
    </row>
    <row r="561" spans="1:8" x14ac:dyDescent="0.25">
      <c r="A561" s="481"/>
      <c r="B561" s="482"/>
      <c r="C561" s="586"/>
      <c r="D561" s="583"/>
      <c r="E561" s="475"/>
      <c r="F561" s="476"/>
    </row>
    <row r="562" spans="1:8" x14ac:dyDescent="0.25">
      <c r="A562" s="481"/>
      <c r="B562" s="482"/>
      <c r="C562" s="586"/>
      <c r="D562" s="583"/>
      <c r="E562" s="475"/>
      <c r="F562" s="476"/>
    </row>
    <row r="563" spans="1:8" s="477" customFormat="1" x14ac:dyDescent="0.25">
      <c r="A563" s="499"/>
      <c r="B563" s="500" t="s">
        <v>46</v>
      </c>
      <c r="C563" s="590"/>
      <c r="D563" s="591"/>
      <c r="E563" s="503"/>
      <c r="F563" s="504">
        <f>SUM(F556:F560)</f>
        <v>893371.96000000008</v>
      </c>
      <c r="H563" s="478"/>
    </row>
    <row r="565" spans="1:8" ht="14.4" thickBot="1" x14ac:dyDescent="0.3"/>
    <row r="566" spans="1:8" s="596" customFormat="1" thickBot="1" x14ac:dyDescent="0.3">
      <c r="A566" s="2965" t="s">
        <v>80</v>
      </c>
      <c r="B566" s="2966"/>
      <c r="C566" s="2966"/>
      <c r="D566" s="2966"/>
      <c r="E566" s="2966"/>
      <c r="F566" s="2967"/>
      <c r="H566" s="597"/>
    </row>
    <row r="567" spans="1:8" s="596" customFormat="1" thickBot="1" x14ac:dyDescent="0.3">
      <c r="A567" s="598"/>
      <c r="B567" s="599"/>
      <c r="C567" s="599"/>
      <c r="D567" s="599"/>
      <c r="E567" s="600"/>
      <c r="F567" s="601"/>
      <c r="H567" s="597"/>
    </row>
    <row r="568" spans="1:8" s="596" customFormat="1" thickBot="1" x14ac:dyDescent="0.3">
      <c r="A568" s="602" t="s">
        <v>0</v>
      </c>
      <c r="B568" s="603" t="s">
        <v>1</v>
      </c>
      <c r="C568" s="604" t="s">
        <v>2</v>
      </c>
      <c r="D568" s="605" t="s">
        <v>3</v>
      </c>
      <c r="E568" s="606" t="s">
        <v>4</v>
      </c>
      <c r="F568" s="114" t="s">
        <v>5</v>
      </c>
      <c r="H568" s="597"/>
    </row>
    <row r="569" spans="1:8" s="596" customFormat="1" ht="13.2" x14ac:dyDescent="0.25">
      <c r="A569" s="607"/>
      <c r="B569" s="608"/>
      <c r="C569" s="609"/>
      <c r="D569" s="610"/>
      <c r="E569" s="611"/>
      <c r="F569" s="119"/>
      <c r="H569" s="597"/>
    </row>
    <row r="570" spans="1:8" s="596" customFormat="1" x14ac:dyDescent="0.25">
      <c r="A570" s="612" t="s">
        <v>127</v>
      </c>
      <c r="B570" s="613" t="s">
        <v>81</v>
      </c>
      <c r="C570" s="120"/>
      <c r="D570" s="614"/>
      <c r="E570" s="615"/>
      <c r="F570" s="159">
        <f>+F82</f>
        <v>394394.2</v>
      </c>
      <c r="H570" s="597"/>
    </row>
    <row r="571" spans="1:8" s="596" customFormat="1" x14ac:dyDescent="0.25">
      <c r="A571" s="612" t="s">
        <v>555</v>
      </c>
      <c r="B571" s="613" t="s">
        <v>571</v>
      </c>
      <c r="C571" s="120"/>
      <c r="D571" s="614"/>
      <c r="E571" s="615"/>
      <c r="F571" s="159">
        <f>+F135</f>
        <v>4209405.1300000008</v>
      </c>
      <c r="H571" s="597"/>
    </row>
    <row r="572" spans="1:8" s="596" customFormat="1" x14ac:dyDescent="0.25">
      <c r="A572" s="616" t="s">
        <v>556</v>
      </c>
      <c r="B572" s="617" t="s">
        <v>572</v>
      </c>
      <c r="C572" s="124"/>
      <c r="D572" s="618"/>
      <c r="E572" s="619"/>
      <c r="F572" s="160">
        <f>+F178</f>
        <v>2208487.1814999995</v>
      </c>
      <c r="H572" s="597"/>
    </row>
    <row r="573" spans="1:8" s="596" customFormat="1" x14ac:dyDescent="0.25">
      <c r="A573" s="616" t="s">
        <v>557</v>
      </c>
      <c r="B573" s="617" t="s">
        <v>573</v>
      </c>
      <c r="C573" s="124"/>
      <c r="D573" s="618"/>
      <c r="E573" s="619"/>
      <c r="F573" s="160">
        <f>+F230</f>
        <v>4208600</v>
      </c>
      <c r="H573" s="597"/>
    </row>
    <row r="574" spans="1:8" s="596" customFormat="1" x14ac:dyDescent="0.25">
      <c r="A574" s="616" t="s">
        <v>558</v>
      </c>
      <c r="B574" s="617" t="s">
        <v>574</v>
      </c>
      <c r="C574" s="124"/>
      <c r="D574" s="618"/>
      <c r="E574" s="619"/>
      <c r="F574" s="160">
        <f>+F237</f>
        <v>4357971</v>
      </c>
      <c r="H574" s="597"/>
    </row>
    <row r="575" spans="1:8" s="596" customFormat="1" x14ac:dyDescent="0.25">
      <c r="A575" s="616" t="s">
        <v>559</v>
      </c>
      <c r="B575" s="617" t="s">
        <v>575</v>
      </c>
      <c r="C575" s="124"/>
      <c r="D575" s="618"/>
      <c r="E575" s="619"/>
      <c r="F575" s="160">
        <f>+F254</f>
        <v>1081767.5450000002</v>
      </c>
      <c r="H575" s="597"/>
    </row>
    <row r="576" spans="1:8" s="596" customFormat="1" x14ac:dyDescent="0.25">
      <c r="A576" s="616" t="s">
        <v>560</v>
      </c>
      <c r="B576" s="617" t="s">
        <v>576</v>
      </c>
      <c r="C576" s="124"/>
      <c r="D576" s="618"/>
      <c r="E576" s="619"/>
      <c r="F576" s="160">
        <f>+F259</f>
        <v>159907.80000000002</v>
      </c>
      <c r="H576" s="597"/>
    </row>
    <row r="577" spans="1:8" s="596" customFormat="1" x14ac:dyDescent="0.25">
      <c r="A577" s="616" t="s">
        <v>561</v>
      </c>
      <c r="B577" s="617" t="s">
        <v>577</v>
      </c>
      <c r="C577" s="124"/>
      <c r="D577" s="618"/>
      <c r="E577" s="619"/>
      <c r="F577" s="160">
        <f>+F274</f>
        <v>411105.68</v>
      </c>
      <c r="H577" s="597"/>
    </row>
    <row r="578" spans="1:8" s="596" customFormat="1" x14ac:dyDescent="0.25">
      <c r="A578" s="616" t="s">
        <v>562</v>
      </c>
      <c r="B578" s="617" t="s">
        <v>578</v>
      </c>
      <c r="C578" s="124"/>
      <c r="D578" s="618"/>
      <c r="E578" s="619"/>
      <c r="F578" s="160">
        <f>+F303</f>
        <v>2555396.6779439999</v>
      </c>
      <c r="H578" s="597"/>
    </row>
    <row r="579" spans="1:8" s="596" customFormat="1" x14ac:dyDescent="0.25">
      <c r="A579" s="616" t="s">
        <v>563</v>
      </c>
      <c r="B579" s="617" t="s">
        <v>579</v>
      </c>
      <c r="C579" s="124"/>
      <c r="D579" s="618"/>
      <c r="E579" s="619"/>
      <c r="F579" s="160">
        <f>+F328</f>
        <v>3962269.7057503997</v>
      </c>
      <c r="H579" s="597"/>
    </row>
    <row r="580" spans="1:8" s="596" customFormat="1" x14ac:dyDescent="0.25">
      <c r="A580" s="616" t="s">
        <v>564</v>
      </c>
      <c r="B580" s="617" t="s">
        <v>580</v>
      </c>
      <c r="C580" s="124"/>
      <c r="D580" s="618"/>
      <c r="E580" s="619"/>
      <c r="F580" s="160">
        <f>+F359</f>
        <v>1623167.4371643998</v>
      </c>
      <c r="H580" s="597"/>
    </row>
    <row r="581" spans="1:8" s="596" customFormat="1" x14ac:dyDescent="0.25">
      <c r="A581" s="616" t="s">
        <v>329</v>
      </c>
      <c r="B581" s="617" t="s">
        <v>581</v>
      </c>
      <c r="C581" s="124"/>
      <c r="D581" s="618"/>
      <c r="E581" s="619"/>
      <c r="F581" s="160">
        <f>+F375</f>
        <v>2739870.5774999997</v>
      </c>
      <c r="H581" s="597"/>
    </row>
    <row r="582" spans="1:8" s="596" customFormat="1" x14ac:dyDescent="0.25">
      <c r="A582" s="616" t="s">
        <v>565</v>
      </c>
      <c r="B582" s="617" t="s">
        <v>582</v>
      </c>
      <c r="C582" s="124"/>
      <c r="D582" s="618"/>
      <c r="E582" s="619"/>
      <c r="F582" s="160">
        <f>+F386</f>
        <v>339662</v>
      </c>
      <c r="H582" s="597"/>
    </row>
    <row r="583" spans="1:8" s="596" customFormat="1" x14ac:dyDescent="0.25">
      <c r="A583" s="616" t="s">
        <v>566</v>
      </c>
      <c r="B583" s="617" t="s">
        <v>583</v>
      </c>
      <c r="C583" s="124"/>
      <c r="D583" s="618"/>
      <c r="E583" s="619"/>
      <c r="F583" s="160">
        <f>+F405</f>
        <v>423975</v>
      </c>
      <c r="H583" s="597"/>
    </row>
    <row r="584" spans="1:8" s="596" customFormat="1" x14ac:dyDescent="0.25">
      <c r="A584" s="616" t="s">
        <v>567</v>
      </c>
      <c r="B584" s="617" t="s">
        <v>584</v>
      </c>
      <c r="C584" s="124"/>
      <c r="D584" s="618"/>
      <c r="E584" s="619"/>
      <c r="F584" s="160">
        <f>+F435</f>
        <v>398361</v>
      </c>
      <c r="H584" s="597"/>
    </row>
    <row r="585" spans="1:8" s="596" customFormat="1" x14ac:dyDescent="0.25">
      <c r="A585" s="616" t="s">
        <v>568</v>
      </c>
      <c r="B585" s="617" t="s">
        <v>585</v>
      </c>
      <c r="C585" s="124"/>
      <c r="D585" s="618"/>
      <c r="E585" s="619"/>
      <c r="F585" s="160">
        <f>+F452</f>
        <v>287073</v>
      </c>
      <c r="H585" s="597"/>
    </row>
    <row r="586" spans="1:8" s="596" customFormat="1" x14ac:dyDescent="0.25">
      <c r="A586" s="616" t="s">
        <v>569</v>
      </c>
      <c r="B586" s="617" t="s">
        <v>586</v>
      </c>
      <c r="C586" s="124"/>
      <c r="D586" s="618"/>
      <c r="E586" s="619"/>
      <c r="F586" s="160">
        <f>+F553</f>
        <v>2588464</v>
      </c>
      <c r="H586" s="597"/>
    </row>
    <row r="587" spans="1:8" s="596" customFormat="1" x14ac:dyDescent="0.25">
      <c r="A587" s="616" t="s">
        <v>570</v>
      </c>
      <c r="B587" s="617" t="s">
        <v>60</v>
      </c>
      <c r="C587" s="124"/>
      <c r="D587" s="618"/>
      <c r="E587" s="619"/>
      <c r="F587" s="160">
        <f>+F563</f>
        <v>893371.96000000008</v>
      </c>
      <c r="H587" s="597"/>
    </row>
    <row r="588" spans="1:8" s="596" customFormat="1" ht="14.4" thickBot="1" x14ac:dyDescent="0.3">
      <c r="A588" s="616"/>
      <c r="B588" s="617"/>
      <c r="C588" s="124"/>
      <c r="D588" s="618"/>
      <c r="E588" s="619"/>
      <c r="F588" s="160"/>
      <c r="H588" s="597"/>
    </row>
    <row r="589" spans="1:8" s="596" customFormat="1" thickBot="1" x14ac:dyDescent="0.3">
      <c r="A589" s="620"/>
      <c r="B589" s="621" t="s">
        <v>45</v>
      </c>
      <c r="C589" s="128"/>
      <c r="D589" s="622"/>
      <c r="E589" s="623"/>
      <c r="F589" s="130">
        <f>SUM(F570:F588)</f>
        <v>32843249.894858804</v>
      </c>
      <c r="H589" s="597"/>
    </row>
    <row r="590" spans="1:8" s="596" customFormat="1" thickBot="1" x14ac:dyDescent="0.3">
      <c r="A590" s="624"/>
      <c r="B590" s="625"/>
      <c r="C590" s="626"/>
      <c r="D590" s="627"/>
      <c r="E590" s="628"/>
      <c r="F590" s="627"/>
      <c r="H590" s="597"/>
    </row>
    <row r="591" spans="1:8" x14ac:dyDescent="0.25">
      <c r="A591" s="629">
        <v>3</v>
      </c>
      <c r="B591" s="630" t="s">
        <v>105</v>
      </c>
      <c r="C591" s="167"/>
      <c r="D591" s="631"/>
      <c r="E591" s="632"/>
      <c r="F591" s="167"/>
    </row>
    <row r="592" spans="1:8" x14ac:dyDescent="0.25">
      <c r="A592" s="439"/>
      <c r="B592" s="633"/>
      <c r="C592" s="157"/>
      <c r="D592" s="634"/>
      <c r="E592" s="635"/>
      <c r="F592" s="157"/>
    </row>
    <row r="593" spans="1:8" x14ac:dyDescent="0.25">
      <c r="A593" s="443"/>
      <c r="B593" s="636"/>
      <c r="C593" s="171"/>
      <c r="D593" s="637"/>
      <c r="E593" s="638"/>
      <c r="F593" s="173"/>
    </row>
    <row r="594" spans="1:8" x14ac:dyDescent="0.25">
      <c r="A594" s="443" t="s">
        <v>82</v>
      </c>
      <c r="B594" s="639" t="s">
        <v>84</v>
      </c>
      <c r="C594" s="175">
        <v>1</v>
      </c>
      <c r="D594" s="640" t="s">
        <v>13</v>
      </c>
      <c r="E594" s="641">
        <v>200000</v>
      </c>
      <c r="F594" s="177">
        <f>C594*E594</f>
        <v>200000</v>
      </c>
    </row>
    <row r="595" spans="1:8" x14ac:dyDescent="0.25">
      <c r="A595" s="433"/>
      <c r="B595" s="642"/>
      <c r="C595" s="157"/>
      <c r="D595" s="634"/>
      <c r="E595" s="643"/>
      <c r="F595" s="159"/>
    </row>
    <row r="596" spans="1:8" ht="14.4" thickBot="1" x14ac:dyDescent="0.3">
      <c r="A596" s="451"/>
      <c r="B596" s="644" t="s">
        <v>45</v>
      </c>
      <c r="C596" s="179"/>
      <c r="D596" s="645"/>
      <c r="E596" s="646"/>
      <c r="F596" s="181">
        <f>SUM(F594:F595)</f>
        <v>200000</v>
      </c>
    </row>
    <row r="597" spans="1:8" x14ac:dyDescent="0.25">
      <c r="A597" s="647"/>
      <c r="B597" s="648"/>
      <c r="C597" s="649"/>
      <c r="D597" s="650"/>
      <c r="E597" s="651"/>
      <c r="F597" s="650"/>
    </row>
    <row r="598" spans="1:8" s="596" customFormat="1" ht="13.2" x14ac:dyDescent="0.25">
      <c r="A598" s="624"/>
      <c r="B598" s="625"/>
      <c r="C598" s="626"/>
      <c r="D598" s="627"/>
      <c r="E598" s="628"/>
      <c r="F598" s="627"/>
      <c r="H598" s="597"/>
    </row>
    <row r="599" spans="1:8" s="596" customFormat="1" thickBot="1" x14ac:dyDescent="0.3">
      <c r="A599" s="624"/>
      <c r="B599" s="625"/>
      <c r="C599" s="626"/>
      <c r="D599" s="627"/>
      <c r="E599" s="628"/>
      <c r="F599" s="627"/>
      <c r="H599" s="597"/>
    </row>
    <row r="600" spans="1:8" s="596" customFormat="1" thickBot="1" x14ac:dyDescent="0.3">
      <c r="A600" s="2968"/>
      <c r="B600" s="2969"/>
      <c r="C600" s="2969"/>
      <c r="D600" s="2969"/>
      <c r="E600" s="2969"/>
      <c r="F600" s="2970"/>
      <c r="H600" s="597"/>
    </row>
    <row r="601" spans="1:8" s="596" customFormat="1" thickBot="1" x14ac:dyDescent="0.3">
      <c r="A601" s="2965" t="s">
        <v>85</v>
      </c>
      <c r="B601" s="2966"/>
      <c r="C601" s="2966"/>
      <c r="D601" s="2966"/>
      <c r="E601" s="2966"/>
      <c r="F601" s="2967"/>
      <c r="H601" s="597"/>
    </row>
    <row r="602" spans="1:8" s="596" customFormat="1" thickBot="1" x14ac:dyDescent="0.3">
      <c r="A602" s="652"/>
      <c r="B602" s="653"/>
      <c r="C602" s="137"/>
      <c r="D602" s="654"/>
      <c r="E602" s="655"/>
      <c r="F602" s="139"/>
      <c r="H602" s="597"/>
    </row>
    <row r="603" spans="1:8" s="596" customFormat="1" thickBot="1" x14ac:dyDescent="0.3">
      <c r="A603" s="602" t="s">
        <v>86</v>
      </c>
      <c r="B603" s="603" t="s">
        <v>1</v>
      </c>
      <c r="C603" s="604" t="s">
        <v>2</v>
      </c>
      <c r="D603" s="605" t="s">
        <v>3</v>
      </c>
      <c r="E603" s="606" t="s">
        <v>4</v>
      </c>
      <c r="F603" s="114" t="s">
        <v>5</v>
      </c>
      <c r="H603" s="597"/>
    </row>
    <row r="604" spans="1:8" s="596" customFormat="1" ht="13.2" x14ac:dyDescent="0.25">
      <c r="A604" s="612"/>
      <c r="B604" s="613"/>
      <c r="C604" s="10"/>
      <c r="D604" s="614"/>
      <c r="E604" s="615"/>
      <c r="F604" s="11"/>
      <c r="H604" s="597"/>
    </row>
    <row r="605" spans="1:8" s="596" customFormat="1" ht="13.2" x14ac:dyDescent="0.25">
      <c r="A605" s="612"/>
      <c r="B605" s="613"/>
      <c r="C605" s="120"/>
      <c r="D605" s="614"/>
      <c r="E605" s="615"/>
      <c r="F605" s="121"/>
      <c r="H605" s="597"/>
    </row>
    <row r="606" spans="1:8" s="596" customFormat="1" ht="13.2" x14ac:dyDescent="0.25">
      <c r="A606" s="616" t="s">
        <v>87</v>
      </c>
      <c r="B606" s="656" t="s">
        <v>8</v>
      </c>
      <c r="C606" s="124"/>
      <c r="D606" s="618" t="s">
        <v>83</v>
      </c>
      <c r="E606" s="619"/>
      <c r="F606" s="141">
        <f>+F55</f>
        <v>2870000</v>
      </c>
      <c r="H606" s="597"/>
    </row>
    <row r="607" spans="1:8" s="596" customFormat="1" ht="13.2" x14ac:dyDescent="0.25">
      <c r="A607" s="616"/>
      <c r="B607" s="617"/>
      <c r="C607" s="124"/>
      <c r="D607" s="618"/>
      <c r="E607" s="619"/>
      <c r="F607" s="141"/>
      <c r="H607" s="597"/>
    </row>
    <row r="608" spans="1:8" s="596" customFormat="1" ht="13.2" x14ac:dyDescent="0.25">
      <c r="A608" s="616" t="s">
        <v>88</v>
      </c>
      <c r="B608" s="656" t="s">
        <v>89</v>
      </c>
      <c r="C608" s="124"/>
      <c r="D608" s="618" t="s">
        <v>83</v>
      </c>
      <c r="E608" s="619"/>
      <c r="F608" s="141">
        <f>F589</f>
        <v>32843249.894858804</v>
      </c>
      <c r="H608" s="597"/>
    </row>
    <row r="609" spans="1:8" s="596" customFormat="1" ht="13.2" x14ac:dyDescent="0.25">
      <c r="A609" s="616"/>
      <c r="B609" s="617"/>
      <c r="C609" s="124"/>
      <c r="D609" s="618"/>
      <c r="E609" s="619"/>
      <c r="F609" s="141"/>
      <c r="H609" s="597"/>
    </row>
    <row r="610" spans="1:8" s="596" customFormat="1" ht="13.2" x14ac:dyDescent="0.25">
      <c r="A610" s="657"/>
      <c r="B610" s="658" t="s">
        <v>90</v>
      </c>
      <c r="C610" s="144"/>
      <c r="D610" s="618" t="s">
        <v>83</v>
      </c>
      <c r="E610" s="619"/>
      <c r="F610" s="145">
        <f>SUM(F606:F609)</f>
        <v>35713249.894858807</v>
      </c>
      <c r="H610" s="597"/>
    </row>
    <row r="611" spans="1:8" s="596" customFormat="1" ht="13.2" x14ac:dyDescent="0.25">
      <c r="A611" s="657"/>
      <c r="B611" s="659"/>
      <c r="C611" s="144"/>
      <c r="D611" s="618"/>
      <c r="E611" s="619"/>
      <c r="F611" s="145"/>
      <c r="H611" s="597"/>
    </row>
    <row r="612" spans="1:8" s="596" customFormat="1" ht="13.2" x14ac:dyDescent="0.25">
      <c r="A612" s="657"/>
      <c r="B612" s="659" t="s">
        <v>91</v>
      </c>
      <c r="C612" s="144"/>
      <c r="D612" s="618" t="s">
        <v>83</v>
      </c>
      <c r="E612" s="619"/>
      <c r="F612" s="145"/>
      <c r="H612" s="597"/>
    </row>
    <row r="613" spans="1:8" s="596" customFormat="1" ht="13.2" x14ac:dyDescent="0.25">
      <c r="A613" s="657"/>
      <c r="B613" s="659"/>
      <c r="C613" s="144"/>
      <c r="D613" s="618"/>
      <c r="E613" s="619"/>
      <c r="F613" s="145"/>
      <c r="H613" s="597"/>
    </row>
    <row r="614" spans="1:8" s="596" customFormat="1" ht="13.2" x14ac:dyDescent="0.25">
      <c r="A614" s="657"/>
      <c r="B614" s="658" t="s">
        <v>92</v>
      </c>
      <c r="C614" s="144"/>
      <c r="D614" s="618" t="s">
        <v>83</v>
      </c>
      <c r="E614" s="619"/>
      <c r="F614" s="145"/>
      <c r="H614" s="597"/>
    </row>
    <row r="615" spans="1:8" s="596" customFormat="1" ht="13.2" x14ac:dyDescent="0.25">
      <c r="A615" s="657"/>
      <c r="B615" s="659"/>
      <c r="C615" s="144"/>
      <c r="D615" s="618"/>
      <c r="E615" s="619"/>
      <c r="F615" s="145"/>
      <c r="H615" s="597"/>
    </row>
    <row r="616" spans="1:8" s="596" customFormat="1" ht="13.2" x14ac:dyDescent="0.25">
      <c r="A616" s="616" t="s">
        <v>93</v>
      </c>
      <c r="B616" s="659" t="s">
        <v>94</v>
      </c>
      <c r="C616" s="144"/>
      <c r="D616" s="618" t="s">
        <v>83</v>
      </c>
      <c r="E616" s="619"/>
      <c r="F616" s="145">
        <f>F596</f>
        <v>200000</v>
      </c>
      <c r="H616" s="597"/>
    </row>
    <row r="617" spans="1:8" s="596" customFormat="1" ht="13.2" x14ac:dyDescent="0.25">
      <c r="A617" s="657"/>
      <c r="B617" s="659"/>
      <c r="C617" s="144"/>
      <c r="D617" s="618"/>
      <c r="E617" s="619"/>
      <c r="F617" s="145"/>
      <c r="H617" s="597"/>
    </row>
    <row r="618" spans="1:8" s="596" customFormat="1" ht="13.2" x14ac:dyDescent="0.25">
      <c r="A618" s="657"/>
      <c r="B618" s="658" t="s">
        <v>95</v>
      </c>
      <c r="C618" s="144"/>
      <c r="D618" s="618"/>
      <c r="E618" s="619"/>
      <c r="F618" s="145">
        <f>SUM(F610:F616)</f>
        <v>35913249.894858807</v>
      </c>
      <c r="H618" s="597"/>
    </row>
    <row r="619" spans="1:8" s="596" customFormat="1" ht="13.2" x14ac:dyDescent="0.25">
      <c r="A619" s="657"/>
      <c r="B619" s="659"/>
      <c r="C619" s="144"/>
      <c r="D619" s="618"/>
      <c r="E619" s="619"/>
      <c r="F619" s="145"/>
      <c r="H619" s="597"/>
    </row>
    <row r="620" spans="1:8" s="596" customFormat="1" ht="13.2" x14ac:dyDescent="0.25">
      <c r="A620" s="657"/>
      <c r="B620" s="659" t="s">
        <v>96</v>
      </c>
      <c r="C620" s="144"/>
      <c r="D620" s="618" t="s">
        <v>83</v>
      </c>
      <c r="E620" s="619"/>
      <c r="F620" s="147">
        <f>F618*0.1</f>
        <v>3591324.9894858808</v>
      </c>
      <c r="H620" s="597"/>
    </row>
    <row r="621" spans="1:8" s="596" customFormat="1" ht="13.2" x14ac:dyDescent="0.25">
      <c r="A621" s="657"/>
      <c r="B621" s="659"/>
      <c r="C621" s="144"/>
      <c r="D621" s="618"/>
      <c r="E621" s="619"/>
      <c r="F621" s="147"/>
      <c r="H621" s="597"/>
    </row>
    <row r="622" spans="1:8" s="596" customFormat="1" thickBot="1" x14ac:dyDescent="0.3">
      <c r="A622" s="660"/>
      <c r="B622" s="661" t="s">
        <v>97</v>
      </c>
      <c r="C622" s="150"/>
      <c r="D622" s="618" t="s">
        <v>83</v>
      </c>
      <c r="E622" s="615"/>
      <c r="F622" s="151">
        <f>SUM(F618:F620)</f>
        <v>39504574.88434469</v>
      </c>
      <c r="H622" s="597"/>
    </row>
    <row r="623" spans="1:8" s="596" customFormat="1" ht="14.4" thickTop="1" thickBot="1" x14ac:dyDescent="0.3">
      <c r="A623" s="662"/>
      <c r="B623" s="663"/>
      <c r="C623" s="154"/>
      <c r="D623" s="654"/>
      <c r="E623" s="655"/>
      <c r="F623" s="664"/>
      <c r="H623" s="597"/>
    </row>
    <row r="624" spans="1:8" s="596" customFormat="1" ht="13.2" x14ac:dyDescent="0.25">
      <c r="A624" s="624"/>
      <c r="B624" s="625"/>
      <c r="C624" s="626"/>
      <c r="D624" s="627"/>
      <c r="E624" s="628"/>
      <c r="F624" s="627"/>
      <c r="H624" s="597"/>
    </row>
    <row r="625" spans="1:8" s="596" customFormat="1" ht="13.2" x14ac:dyDescent="0.25">
      <c r="A625" s="665"/>
      <c r="B625" s="666"/>
      <c r="C625" s="667"/>
      <c r="D625" s="665"/>
      <c r="E625" s="668"/>
      <c r="F625" s="667"/>
      <c r="H625" s="597"/>
    </row>
    <row r="626" spans="1:8" s="596" customFormat="1" ht="13.2" x14ac:dyDescent="0.25">
      <c r="A626" s="665"/>
      <c r="B626" s="666"/>
      <c r="C626" s="667"/>
      <c r="D626" s="665"/>
      <c r="E626" s="668"/>
      <c r="F626" s="667"/>
      <c r="H626" s="597"/>
    </row>
  </sheetData>
  <mergeCells count="5">
    <mergeCell ref="A1:F1"/>
    <mergeCell ref="A2:F2"/>
    <mergeCell ref="A566:F566"/>
    <mergeCell ref="A600:F600"/>
    <mergeCell ref="A601:F601"/>
  </mergeCells>
  <pageMargins left="0.5" right="0.5" top="0.25" bottom="0.25" header="0.5" footer="0.5"/>
  <pageSetup orientation="portrait" verticalDpi="0" r:id="rId1"/>
  <headerFooter alignWithMargins="0">
    <oddFooter>&amp;C&amp;P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64"/>
  <sheetViews>
    <sheetView view="pageBreakPreview" topLeftCell="A58" zoomScaleNormal="85" zoomScaleSheetLayoutView="100" workbookViewId="0">
      <selection activeCell="A60" sqref="A60:F64"/>
    </sheetView>
  </sheetViews>
  <sheetFormatPr defaultColWidth="9.21875" defaultRowHeight="13.8" x14ac:dyDescent="0.25"/>
  <cols>
    <col min="1" max="1" width="5" style="38" bestFit="1" customWidth="1"/>
    <col min="2" max="2" width="55.33203125" style="36" customWidth="1"/>
    <col min="3" max="3" width="8.88671875" style="39" customWidth="1"/>
    <col min="4" max="4" width="6.33203125" style="38" customWidth="1"/>
    <col min="5" max="5" width="10.44140625" style="202" bestFit="1" customWidth="1"/>
    <col min="6" max="6" width="11.6640625" style="39" bestFit="1" customWidth="1"/>
    <col min="7" max="7" width="11.6640625" style="24" bestFit="1" customWidth="1"/>
    <col min="8" max="8" width="12.44140625" style="24" bestFit="1" customWidth="1"/>
    <col min="9" max="9" width="10" style="24" bestFit="1" customWidth="1"/>
    <col min="10" max="10" width="11" style="24" bestFit="1" customWidth="1"/>
    <col min="11" max="12" width="12.88671875" style="24" bestFit="1" customWidth="1"/>
    <col min="13" max="13" width="10.33203125" style="24" bestFit="1" customWidth="1"/>
    <col min="14" max="16384" width="9.21875" style="24"/>
  </cols>
  <sheetData>
    <row r="1" spans="1:6" s="31" customFormat="1" ht="14.4" thickBot="1" x14ac:dyDescent="0.3">
      <c r="A1" s="987" t="s">
        <v>0</v>
      </c>
      <c r="B1" s="988" t="s">
        <v>1</v>
      </c>
      <c r="C1" s="988" t="s">
        <v>2</v>
      </c>
      <c r="D1" s="989" t="s">
        <v>3</v>
      </c>
      <c r="E1" s="990" t="s">
        <v>4</v>
      </c>
      <c r="F1" s="991" t="s">
        <v>5</v>
      </c>
    </row>
    <row r="2" spans="1:6" x14ac:dyDescent="0.25">
      <c r="A2" s="964"/>
      <c r="B2" s="965" t="s">
        <v>1953</v>
      </c>
      <c r="C2" s="966"/>
      <c r="D2" s="967"/>
      <c r="E2" s="968"/>
      <c r="F2" s="969"/>
    </row>
    <row r="3" spans="1:6" x14ac:dyDescent="0.25">
      <c r="A3" s="970"/>
      <c r="B3" s="971" t="s">
        <v>1320</v>
      </c>
      <c r="C3" s="972"/>
      <c r="D3" s="973"/>
      <c r="E3" s="974"/>
      <c r="F3" s="975"/>
    </row>
    <row r="4" spans="1:6" ht="27.6" x14ac:dyDescent="0.25">
      <c r="A4" s="226"/>
      <c r="B4" s="375" t="s">
        <v>1965</v>
      </c>
      <c r="C4" s="369"/>
      <c r="D4" s="251"/>
      <c r="E4" s="350"/>
      <c r="F4" s="363"/>
    </row>
    <row r="5" spans="1:6" x14ac:dyDescent="0.25">
      <c r="A5" s="226"/>
      <c r="B5" s="373"/>
      <c r="C5" s="369"/>
      <c r="D5" s="251"/>
      <c r="E5" s="350"/>
      <c r="F5" s="363"/>
    </row>
    <row r="6" spans="1:6" ht="82.8" x14ac:dyDescent="0.25">
      <c r="A6" s="226"/>
      <c r="B6" s="400" t="s">
        <v>1322</v>
      </c>
      <c r="C6" s="369"/>
      <c r="D6" s="251"/>
      <c r="E6" s="350"/>
      <c r="F6" s="363"/>
    </row>
    <row r="7" spans="1:6" x14ac:dyDescent="0.25">
      <c r="A7" s="226"/>
      <c r="B7" s="373"/>
      <c r="C7" s="369"/>
      <c r="D7" s="251"/>
      <c r="E7" s="350"/>
      <c r="F7" s="363"/>
    </row>
    <row r="8" spans="1:6" x14ac:dyDescent="0.25">
      <c r="A8" s="226"/>
      <c r="B8" s="375" t="s">
        <v>1321</v>
      </c>
      <c r="C8" s="369"/>
      <c r="D8" s="251"/>
      <c r="E8" s="350"/>
      <c r="F8" s="363"/>
    </row>
    <row r="9" spans="1:6" x14ac:dyDescent="0.25">
      <c r="A9" s="226"/>
      <c r="B9" s="375"/>
      <c r="C9" s="369"/>
      <c r="D9" s="251"/>
      <c r="E9" s="350"/>
      <c r="F9" s="363"/>
    </row>
    <row r="10" spans="1:6" ht="41.4" x14ac:dyDescent="0.25">
      <c r="A10" s="226"/>
      <c r="B10" s="375" t="s">
        <v>1323</v>
      </c>
      <c r="C10" s="369"/>
      <c r="D10" s="251"/>
      <c r="E10" s="350"/>
      <c r="F10" s="363"/>
    </row>
    <row r="11" spans="1:6" x14ac:dyDescent="0.25">
      <c r="A11" s="226"/>
      <c r="B11" s="375" t="s">
        <v>1963</v>
      </c>
      <c r="C11" s="369"/>
      <c r="D11" s="251"/>
      <c r="E11" s="350"/>
      <c r="F11" s="363"/>
    </row>
    <row r="12" spans="1:6" x14ac:dyDescent="0.25">
      <c r="A12" s="226"/>
      <c r="B12" s="375" t="s">
        <v>1324</v>
      </c>
      <c r="C12" s="369"/>
      <c r="D12" s="251"/>
      <c r="E12" s="350"/>
      <c r="F12" s="363"/>
    </row>
    <row r="13" spans="1:6" x14ac:dyDescent="0.25">
      <c r="A13" s="226"/>
      <c r="B13" s="375" t="s">
        <v>1325</v>
      </c>
      <c r="C13" s="369"/>
      <c r="D13" s="251"/>
      <c r="E13" s="350"/>
      <c r="F13" s="363"/>
    </row>
    <row r="14" spans="1:6" ht="27.6" x14ac:dyDescent="0.25">
      <c r="A14" s="226"/>
      <c r="B14" s="396" t="s">
        <v>1326</v>
      </c>
      <c r="C14" s="369"/>
      <c r="D14" s="251"/>
      <c r="E14" s="350"/>
      <c r="F14" s="363"/>
    </row>
    <row r="15" spans="1:6" x14ac:dyDescent="0.25">
      <c r="A15" s="226"/>
      <c r="B15" s="375" t="s">
        <v>1327</v>
      </c>
      <c r="C15" s="369"/>
      <c r="D15" s="251"/>
      <c r="E15" s="350"/>
      <c r="F15" s="363"/>
    </row>
    <row r="16" spans="1:6" x14ac:dyDescent="0.25">
      <c r="A16" s="226"/>
      <c r="B16" s="375" t="s">
        <v>1328</v>
      </c>
      <c r="C16" s="369"/>
      <c r="D16" s="251"/>
      <c r="E16" s="350"/>
      <c r="F16" s="363"/>
    </row>
    <row r="17" spans="1:11" x14ac:dyDescent="0.25">
      <c r="A17" s="226"/>
      <c r="B17" s="375" t="s">
        <v>1329</v>
      </c>
      <c r="C17" s="369"/>
      <c r="D17" s="251"/>
      <c r="E17" s="350"/>
      <c r="F17" s="363"/>
    </row>
    <row r="18" spans="1:11" x14ac:dyDescent="0.25">
      <c r="A18" s="226"/>
      <c r="B18" s="375"/>
      <c r="C18" s="369"/>
      <c r="D18" s="251"/>
      <c r="E18" s="350"/>
      <c r="F18" s="363"/>
    </row>
    <row r="19" spans="1:11" ht="55.2" x14ac:dyDescent="0.25">
      <c r="A19" s="226" t="s">
        <v>549</v>
      </c>
      <c r="B19" s="373" t="s">
        <v>2467</v>
      </c>
      <c r="C19" s="369" t="e">
        <f>'m shet rolf'!#REF!</f>
        <v>#REF!</v>
      </c>
      <c r="D19" s="251" t="s">
        <v>141</v>
      </c>
      <c r="E19" s="350">
        <v>2359</v>
      </c>
      <c r="F19" s="363" t="e">
        <f>E19*C19</f>
        <v>#REF!</v>
      </c>
      <c r="G19" s="24">
        <f>(1.4*2.7)+(1.05*2.7)</f>
        <v>6.6150000000000002</v>
      </c>
      <c r="H19" s="24">
        <f>G19*4</f>
        <v>26.46</v>
      </c>
      <c r="I19" s="24">
        <f>H19*10.76</f>
        <v>284.70960000000002</v>
      </c>
    </row>
    <row r="20" spans="1:11" x14ac:dyDescent="0.25">
      <c r="A20" s="226"/>
      <c r="B20" s="373"/>
      <c r="C20" s="369"/>
      <c r="D20" s="251"/>
      <c r="E20" s="350"/>
      <c r="F20" s="363"/>
      <c r="K20" s="24">
        <f>2700/300</f>
        <v>9</v>
      </c>
    </row>
    <row r="21" spans="1:11" ht="27.6" x14ac:dyDescent="0.25">
      <c r="A21" s="226" t="s">
        <v>550</v>
      </c>
      <c r="B21" s="373" t="s">
        <v>2469</v>
      </c>
      <c r="C21" s="369" t="e">
        <f>'m shet rolf'!#REF!</f>
        <v>#REF!</v>
      </c>
      <c r="D21" s="251" t="s">
        <v>1952</v>
      </c>
      <c r="E21" s="350">
        <v>779</v>
      </c>
      <c r="F21" s="363" t="e">
        <f>E21*C21</f>
        <v>#REF!</v>
      </c>
    </row>
    <row r="22" spans="1:11" x14ac:dyDescent="0.25">
      <c r="A22" s="226"/>
      <c r="B22" s="373"/>
      <c r="C22" s="369"/>
      <c r="D22" s="251"/>
      <c r="E22" s="350"/>
      <c r="F22" s="363"/>
    </row>
    <row r="23" spans="1:11" ht="55.2" x14ac:dyDescent="0.25">
      <c r="A23" s="226" t="s">
        <v>551</v>
      </c>
      <c r="B23" s="373" t="s">
        <v>2468</v>
      </c>
      <c r="C23" s="369" t="e">
        <f>'m shet rolf'!#REF!</f>
        <v>#REF!</v>
      </c>
      <c r="D23" s="251" t="s">
        <v>141</v>
      </c>
      <c r="E23" s="350">
        <f>E19</f>
        <v>2359</v>
      </c>
      <c r="F23" s="363" t="e">
        <f>E23*C23</f>
        <v>#REF!</v>
      </c>
    </row>
    <row r="24" spans="1:11" x14ac:dyDescent="0.25">
      <c r="A24" s="226"/>
      <c r="B24" s="373"/>
      <c r="C24" s="369"/>
      <c r="D24" s="251"/>
      <c r="E24" s="350"/>
      <c r="F24" s="363"/>
    </row>
    <row r="25" spans="1:11" ht="27.6" x14ac:dyDescent="0.25">
      <c r="A25" s="226" t="s">
        <v>552</v>
      </c>
      <c r="B25" s="373" t="s">
        <v>2469</v>
      </c>
      <c r="C25" s="369" t="e">
        <f>'m shet rolf'!#REF!</f>
        <v>#REF!</v>
      </c>
      <c r="D25" s="251" t="s">
        <v>1952</v>
      </c>
      <c r="E25" s="350">
        <f>E21</f>
        <v>779</v>
      </c>
      <c r="F25" s="363" t="e">
        <f>E25*C25</f>
        <v>#REF!</v>
      </c>
    </row>
    <row r="26" spans="1:11" x14ac:dyDescent="0.25">
      <c r="A26" s="226"/>
      <c r="B26" s="373"/>
      <c r="C26" s="369"/>
      <c r="D26" s="251"/>
      <c r="E26" s="350"/>
      <c r="F26" s="363"/>
    </row>
    <row r="27" spans="1:11" x14ac:dyDescent="0.25">
      <c r="A27" s="226"/>
      <c r="B27" s="373"/>
      <c r="C27" s="369"/>
      <c r="D27" s="251"/>
      <c r="E27" s="350"/>
      <c r="F27" s="363"/>
    </row>
    <row r="28" spans="1:11" x14ac:dyDescent="0.25">
      <c r="A28" s="226"/>
      <c r="B28" s="375" t="s">
        <v>1330</v>
      </c>
      <c r="C28" s="369"/>
      <c r="D28" s="251"/>
      <c r="E28" s="350"/>
      <c r="F28" s="363"/>
    </row>
    <row r="29" spans="1:11" x14ac:dyDescent="0.25">
      <c r="A29" s="226"/>
      <c r="B29" s="373" t="s">
        <v>175</v>
      </c>
      <c r="C29" s="369"/>
      <c r="D29" s="251"/>
      <c r="E29" s="350"/>
      <c r="F29" s="363"/>
    </row>
    <row r="30" spans="1:11" ht="27.6" x14ac:dyDescent="0.25">
      <c r="A30" s="226"/>
      <c r="B30" s="373" t="s">
        <v>1331</v>
      </c>
      <c r="C30" s="369"/>
      <c r="D30" s="251"/>
      <c r="E30" s="350"/>
      <c r="F30" s="363"/>
    </row>
    <row r="31" spans="1:11" x14ac:dyDescent="0.25">
      <c r="A31" s="226"/>
      <c r="B31" s="373"/>
      <c r="C31" s="369"/>
      <c r="D31" s="251"/>
      <c r="E31" s="350"/>
      <c r="F31" s="363"/>
    </row>
    <row r="32" spans="1:11" ht="69" x14ac:dyDescent="0.25">
      <c r="A32" s="226"/>
      <c r="B32" s="373" t="s">
        <v>1332</v>
      </c>
      <c r="C32" s="369"/>
      <c r="D32" s="251"/>
      <c r="E32" s="350"/>
      <c r="F32" s="363"/>
    </row>
    <row r="33" spans="1:9" x14ac:dyDescent="0.25">
      <c r="A33" s="939"/>
      <c r="B33" s="1164"/>
      <c r="C33" s="941"/>
      <c r="D33" s="942"/>
      <c r="E33" s="943"/>
      <c r="F33" s="944"/>
    </row>
    <row r="34" spans="1:9" ht="85.8" customHeight="1" x14ac:dyDescent="0.25">
      <c r="A34" s="945"/>
      <c r="B34" s="1079" t="s">
        <v>1333</v>
      </c>
      <c r="C34" s="946"/>
      <c r="D34" s="250"/>
      <c r="E34" s="947"/>
      <c r="F34" s="948"/>
    </row>
    <row r="35" spans="1:9" ht="41.4" x14ac:dyDescent="0.25">
      <c r="A35" s="226"/>
      <c r="B35" s="392" t="s">
        <v>1334</v>
      </c>
      <c r="C35" s="369"/>
      <c r="D35" s="251"/>
      <c r="E35" s="350"/>
      <c r="F35" s="363"/>
    </row>
    <row r="36" spans="1:9" x14ac:dyDescent="0.25">
      <c r="A36" s="226"/>
      <c r="B36" s="373" t="s">
        <v>1335</v>
      </c>
      <c r="C36" s="369"/>
      <c r="D36" s="251"/>
      <c r="E36" s="350"/>
      <c r="F36" s="363"/>
    </row>
    <row r="37" spans="1:9" ht="27.6" x14ac:dyDescent="0.25">
      <c r="A37" s="226"/>
      <c r="B37" s="373" t="s">
        <v>1336</v>
      </c>
      <c r="C37" s="369"/>
      <c r="D37" s="251"/>
      <c r="E37" s="350"/>
      <c r="F37" s="363"/>
    </row>
    <row r="38" spans="1:9" ht="27.6" x14ac:dyDescent="0.25">
      <c r="A38" s="226"/>
      <c r="B38" s="373" t="s">
        <v>1337</v>
      </c>
      <c r="C38" s="369"/>
      <c r="D38" s="251"/>
      <c r="E38" s="350"/>
      <c r="F38" s="363"/>
    </row>
    <row r="39" spans="1:9" ht="27.6" x14ac:dyDescent="0.25">
      <c r="A39" s="226"/>
      <c r="B39" s="373" t="s">
        <v>1338</v>
      </c>
      <c r="C39" s="369"/>
      <c r="D39" s="251"/>
      <c r="E39" s="350"/>
      <c r="F39" s="363"/>
    </row>
    <row r="40" spans="1:9" x14ac:dyDescent="0.25">
      <c r="A40" s="226"/>
      <c r="B40" s="373"/>
      <c r="C40" s="369"/>
      <c r="D40" s="251"/>
      <c r="E40" s="350"/>
      <c r="F40" s="363"/>
    </row>
    <row r="41" spans="1:9" ht="90.6" customHeight="1" x14ac:dyDescent="0.25">
      <c r="A41" s="226"/>
      <c r="B41" s="368" t="s">
        <v>1339</v>
      </c>
      <c r="C41" s="369"/>
      <c r="D41" s="251"/>
      <c r="E41" s="887"/>
      <c r="F41" s="888"/>
    </row>
    <row r="42" spans="1:9" x14ac:dyDescent="0.25">
      <c r="A42" s="226"/>
      <c r="B42" s="396"/>
      <c r="C42" s="976"/>
      <c r="D42" s="251"/>
      <c r="E42" s="887"/>
      <c r="F42" s="888"/>
    </row>
    <row r="43" spans="1:9" ht="45" customHeight="1" x14ac:dyDescent="0.25">
      <c r="A43" s="226" t="s">
        <v>550</v>
      </c>
      <c r="B43" s="368" t="s">
        <v>1621</v>
      </c>
      <c r="C43" s="976">
        <v>4</v>
      </c>
      <c r="D43" s="251" t="s">
        <v>78</v>
      </c>
      <c r="E43" s="887">
        <f>25000*1.25</f>
        <v>31250</v>
      </c>
      <c r="F43" s="888">
        <f>E43*C43</f>
        <v>125000</v>
      </c>
    </row>
    <row r="44" spans="1:9" x14ac:dyDescent="0.25">
      <c r="A44" s="226"/>
      <c r="B44" s="396"/>
      <c r="C44" s="976"/>
      <c r="D44" s="251"/>
      <c r="E44" s="887"/>
      <c r="F44" s="888"/>
    </row>
    <row r="45" spans="1:9" ht="45.6" customHeight="1" x14ac:dyDescent="0.25">
      <c r="A45" s="226" t="s">
        <v>551</v>
      </c>
      <c r="B45" s="368" t="s">
        <v>1345</v>
      </c>
      <c r="C45" s="976">
        <v>32</v>
      </c>
      <c r="D45" s="251" t="s">
        <v>1340</v>
      </c>
      <c r="E45" s="887">
        <v>2702</v>
      </c>
      <c r="F45" s="888">
        <f>E45*C45</f>
        <v>86464</v>
      </c>
      <c r="I45" s="24">
        <f>4*8</f>
        <v>32</v>
      </c>
    </row>
    <row r="46" spans="1:9" x14ac:dyDescent="0.25">
      <c r="A46" s="226"/>
      <c r="B46" s="396"/>
      <c r="C46" s="976"/>
      <c r="D46" s="251"/>
      <c r="E46" s="887"/>
      <c r="F46" s="888"/>
    </row>
    <row r="47" spans="1:9" ht="46.2" customHeight="1" x14ac:dyDescent="0.25">
      <c r="A47" s="226" t="s">
        <v>552</v>
      </c>
      <c r="B47" s="368" t="s">
        <v>1344</v>
      </c>
      <c r="C47" s="976">
        <v>8</v>
      </c>
      <c r="D47" s="251" t="s">
        <v>1340</v>
      </c>
      <c r="E47" s="887">
        <v>3108</v>
      </c>
      <c r="F47" s="888">
        <f>E47*C47</f>
        <v>24864</v>
      </c>
    </row>
    <row r="48" spans="1:9" x14ac:dyDescent="0.25">
      <c r="A48" s="226"/>
      <c r="B48" s="368"/>
      <c r="C48" s="976"/>
      <c r="D48" s="251"/>
      <c r="E48" s="887"/>
      <c r="F48" s="888"/>
    </row>
    <row r="49" spans="1:12" ht="45.6" customHeight="1" x14ac:dyDescent="0.25">
      <c r="A49" s="226" t="s">
        <v>553</v>
      </c>
      <c r="B49" s="368" t="s">
        <v>1966</v>
      </c>
      <c r="C49" s="976">
        <v>8</v>
      </c>
      <c r="D49" s="251" t="s">
        <v>78</v>
      </c>
      <c r="E49" s="887">
        <f>8614*4</f>
        <v>34456</v>
      </c>
      <c r="F49" s="888">
        <f>E49*C49</f>
        <v>275648</v>
      </c>
    </row>
    <row r="50" spans="1:12" x14ac:dyDescent="0.25">
      <c r="A50" s="226"/>
      <c r="B50" s="368"/>
      <c r="C50" s="976"/>
      <c r="D50" s="251"/>
      <c r="E50" s="887"/>
      <c r="F50" s="888"/>
    </row>
    <row r="51" spans="1:12" ht="32.4" customHeight="1" x14ac:dyDescent="0.25">
      <c r="A51" s="226" t="s">
        <v>554</v>
      </c>
      <c r="B51" s="368" t="s">
        <v>1452</v>
      </c>
      <c r="C51" s="1150">
        <v>8</v>
      </c>
      <c r="D51" s="1151" t="s">
        <v>168</v>
      </c>
      <c r="E51" s="1070">
        <v>9953</v>
      </c>
      <c r="F51" s="1069">
        <f>E51*C51</f>
        <v>79624</v>
      </c>
    </row>
    <row r="52" spans="1:12" x14ac:dyDescent="0.25">
      <c r="A52" s="226"/>
      <c r="B52" s="368"/>
      <c r="C52" s="1150"/>
      <c r="D52" s="1151"/>
      <c r="E52" s="1070"/>
      <c r="F52" s="1069"/>
    </row>
    <row r="53" spans="1:12" ht="41.4" x14ac:dyDescent="0.25">
      <c r="A53" s="226" t="s">
        <v>2471</v>
      </c>
      <c r="B53" s="368" t="s">
        <v>2470</v>
      </c>
      <c r="C53" s="976">
        <v>4</v>
      </c>
      <c r="D53" s="251" t="s">
        <v>78</v>
      </c>
      <c r="E53" s="887">
        <f>15000*1.25</f>
        <v>18750</v>
      </c>
      <c r="F53" s="888">
        <f>E53*C53</f>
        <v>75000</v>
      </c>
    </row>
    <row r="54" spans="1:12" x14ac:dyDescent="0.25">
      <c r="A54" s="226"/>
      <c r="B54" s="368"/>
      <c r="C54" s="1150"/>
      <c r="D54" s="1151"/>
      <c r="E54" s="1070"/>
      <c r="F54" s="1069"/>
    </row>
    <row r="55" spans="1:12" ht="41.4" x14ac:dyDescent="0.25">
      <c r="A55" s="226" t="s">
        <v>2474</v>
      </c>
      <c r="B55" s="368" t="s">
        <v>2472</v>
      </c>
      <c r="C55" s="976">
        <v>4</v>
      </c>
      <c r="D55" s="251" t="s">
        <v>1340</v>
      </c>
      <c r="E55" s="887">
        <f>E47/8*5</f>
        <v>1942.5</v>
      </c>
      <c r="F55" s="888">
        <f>E55*C55</f>
        <v>7770</v>
      </c>
    </row>
    <row r="56" spans="1:12" x14ac:dyDescent="0.25">
      <c r="A56" s="226"/>
      <c r="B56" s="368"/>
      <c r="C56" s="1150"/>
      <c r="D56" s="1151"/>
      <c r="E56" s="1070"/>
      <c r="F56" s="1069"/>
    </row>
    <row r="57" spans="1:12" ht="41.4" x14ac:dyDescent="0.25">
      <c r="A57" s="226" t="s">
        <v>2475</v>
      </c>
      <c r="B57" s="368" t="s">
        <v>2473</v>
      </c>
      <c r="C57" s="1150">
        <v>4</v>
      </c>
      <c r="D57" s="1151" t="s">
        <v>168</v>
      </c>
      <c r="E57" s="1070">
        <v>9953</v>
      </c>
      <c r="F57" s="1069">
        <f>E57*C57</f>
        <v>39812</v>
      </c>
    </row>
    <row r="58" spans="1:12" x14ac:dyDescent="0.25">
      <c r="A58" s="226"/>
      <c r="B58" s="368"/>
      <c r="C58" s="1150"/>
      <c r="D58" s="1151"/>
      <c r="E58" s="1070"/>
      <c r="F58" s="1069"/>
    </row>
    <row r="59" spans="1:12" x14ac:dyDescent="0.25">
      <c r="A59" s="939"/>
      <c r="B59" s="1162"/>
      <c r="C59" s="1165"/>
      <c r="D59" s="942"/>
      <c r="E59" s="943"/>
      <c r="F59" s="944"/>
    </row>
    <row r="60" spans="1:12" x14ac:dyDescent="0.25">
      <c r="A60" s="945"/>
      <c r="B60" s="1163" t="s">
        <v>1341</v>
      </c>
      <c r="C60" s="1166"/>
      <c r="D60" s="250"/>
      <c r="E60" s="947"/>
      <c r="F60" s="948"/>
    </row>
    <row r="61" spans="1:12" ht="27.6" x14ac:dyDescent="0.25">
      <c r="A61" s="226"/>
      <c r="B61" s="396" t="s">
        <v>1342</v>
      </c>
      <c r="C61" s="976"/>
      <c r="D61" s="251"/>
      <c r="E61" s="350"/>
      <c r="F61" s="363"/>
      <c r="L61" s="24">
        <f>K62*2</f>
        <v>7.56</v>
      </c>
    </row>
    <row r="62" spans="1:12" ht="96.6" customHeight="1" x14ac:dyDescent="0.25">
      <c r="A62" s="227" t="s">
        <v>552</v>
      </c>
      <c r="B62" s="978" t="s">
        <v>1343</v>
      </c>
      <c r="C62" s="979" t="e">
        <f>'m shet rolf'!#REF!+'m shet rolf'!#REF!</f>
        <v>#REF!</v>
      </c>
      <c r="D62" s="980" t="s">
        <v>989</v>
      </c>
      <c r="E62" s="981">
        <v>23446</v>
      </c>
      <c r="F62" s="980" t="e">
        <f>E62*C62</f>
        <v>#REF!</v>
      </c>
      <c r="G62" s="24" t="e">
        <f>SUM(F6:F63)</f>
        <v>#REF!</v>
      </c>
      <c r="J62" s="24" t="e">
        <f>G62/37</f>
        <v>#REF!</v>
      </c>
      <c r="K62" s="24">
        <f>2.7*1.4</f>
        <v>3.78</v>
      </c>
      <c r="L62" s="24">
        <f>L61*10.76</f>
        <v>81.34559999999999</v>
      </c>
    </row>
    <row r="63" spans="1:12" x14ac:dyDescent="0.25">
      <c r="A63" s="982"/>
      <c r="B63" s="983"/>
      <c r="C63" s="984"/>
      <c r="D63" s="985"/>
      <c r="E63" s="986"/>
      <c r="F63" s="985"/>
      <c r="L63" s="24">
        <f>L62/100</f>
        <v>0.81345599999999996</v>
      </c>
    </row>
    <row r="64" spans="1:12" s="12" customFormat="1" ht="27.6" x14ac:dyDescent="0.25">
      <c r="A64" s="992"/>
      <c r="B64" s="103" t="s">
        <v>916</v>
      </c>
      <c r="C64" s="104"/>
      <c r="D64" s="105"/>
      <c r="E64" s="199"/>
      <c r="F64" s="1049" t="e">
        <f>SUM(F2:F63)</f>
        <v>#REF!</v>
      </c>
      <c r="H64" s="12" t="e">
        <f>F64/I19</f>
        <v>#REF!</v>
      </c>
      <c r="I64" s="12" t="e">
        <f>H64/4</f>
        <v>#REF!</v>
      </c>
    </row>
  </sheetData>
  <pageMargins left="0.5" right="0.5" top="0.25" bottom="0.25" header="0.5" footer="0.5"/>
  <pageSetup orientation="portrait" r:id="rId1"/>
  <headerFooter alignWithMargins="0">
    <oddFooter>&amp;C&amp;P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A1:O71"/>
  <sheetViews>
    <sheetView showZeros="0" view="pageBreakPreview" zoomScaleNormal="100" zoomScaleSheetLayoutView="100" workbookViewId="0">
      <pane xSplit="1" ySplit="1" topLeftCell="B53" activePane="bottomRight" state="frozen"/>
      <selection pane="topRight" activeCell="B1" sqref="B1"/>
      <selection pane="bottomLeft" activeCell="A2" sqref="A2"/>
      <selection pane="bottomRight" sqref="A1:F34"/>
    </sheetView>
  </sheetViews>
  <sheetFormatPr defaultColWidth="11" defaultRowHeight="13.2" x14ac:dyDescent="0.25"/>
  <cols>
    <col min="1" max="1" width="6.44140625" style="705" bestFit="1" customWidth="1"/>
    <col min="2" max="2" width="46.5546875" style="712" customWidth="1"/>
    <col min="3" max="3" width="9.21875" style="705" bestFit="1" customWidth="1"/>
    <col min="4" max="4" width="6.109375" style="713" bestFit="1" customWidth="1"/>
    <col min="5" max="5" width="12.5546875" style="714" bestFit="1" customWidth="1"/>
    <col min="6" max="6" width="15.44140625" style="714" bestFit="1" customWidth="1"/>
    <col min="7" max="7" width="15.6640625" style="683" customWidth="1"/>
    <col min="8" max="8" width="14.77734375" style="678" bestFit="1" customWidth="1"/>
    <col min="9" max="9" width="14.77734375" style="684" customWidth="1"/>
    <col min="10" max="10" width="12.6640625" style="684" bestFit="1" customWidth="1"/>
    <col min="11" max="11" width="11.21875" style="684" bestFit="1" customWidth="1"/>
    <col min="12" max="13" width="11" style="684"/>
    <col min="14" max="14" width="12.6640625" style="684" bestFit="1" customWidth="1"/>
    <col min="15" max="16384" width="11" style="684"/>
  </cols>
  <sheetData>
    <row r="1" spans="1:15" s="680" customFormat="1" ht="23.25" customHeight="1" thickBot="1" x14ac:dyDescent="0.3">
      <c r="A1" s="671" t="s">
        <v>13</v>
      </c>
      <c r="B1" s="672" t="s">
        <v>1</v>
      </c>
      <c r="C1" s="673" t="s">
        <v>2</v>
      </c>
      <c r="D1" s="674" t="s">
        <v>3</v>
      </c>
      <c r="E1" s="675" t="s">
        <v>1286</v>
      </c>
      <c r="F1" s="676" t="s">
        <v>1287</v>
      </c>
      <c r="G1" s="677" t="s">
        <v>1288</v>
      </c>
      <c r="H1" s="678"/>
      <c r="I1" s="679"/>
      <c r="J1" s="679"/>
      <c r="K1" s="679"/>
      <c r="L1" s="679"/>
      <c r="M1" s="679"/>
      <c r="N1" s="679"/>
      <c r="O1" s="679"/>
    </row>
    <row r="2" spans="1:15" s="685" customFormat="1" ht="15.6" x14ac:dyDescent="0.25">
      <c r="A2" s="687">
        <v>1</v>
      </c>
      <c r="B2" s="686" t="s">
        <v>2358</v>
      </c>
      <c r="C2" s="681"/>
      <c r="D2" s="681"/>
      <c r="E2" s="681"/>
      <c r="F2" s="681"/>
      <c r="G2" s="683"/>
      <c r="H2" s="678"/>
      <c r="I2" s="684"/>
      <c r="J2" s="684"/>
      <c r="K2" s="684"/>
      <c r="L2" s="684"/>
      <c r="M2" s="684"/>
      <c r="N2" s="684"/>
      <c r="O2" s="684"/>
    </row>
    <row r="3" spans="1:15" s="685" customFormat="1" ht="15.6" x14ac:dyDescent="0.25">
      <c r="A3" s="687"/>
      <c r="B3" s="686"/>
      <c r="C3" s="681"/>
      <c r="D3" s="681"/>
      <c r="E3" s="681"/>
      <c r="F3" s="681"/>
      <c r="G3" s="683"/>
      <c r="H3" s="678"/>
      <c r="I3" s="684"/>
      <c r="J3" s="684"/>
      <c r="K3" s="684"/>
      <c r="L3" s="684"/>
      <c r="M3" s="684"/>
      <c r="N3" s="684"/>
      <c r="O3" s="684"/>
    </row>
    <row r="4" spans="1:15" s="685" customFormat="1" ht="15.6" x14ac:dyDescent="0.25">
      <c r="A4" s="682"/>
      <c r="B4" s="692" t="s">
        <v>1289</v>
      </c>
      <c r="C4" s="681"/>
      <c r="D4" s="681"/>
      <c r="E4" s="681"/>
      <c r="F4" s="681"/>
      <c r="G4" s="683"/>
      <c r="H4" s="678"/>
      <c r="I4" s="684"/>
      <c r="J4" s="684"/>
      <c r="K4" s="684"/>
      <c r="L4" s="684"/>
      <c r="M4" s="684"/>
      <c r="N4" s="684"/>
      <c r="O4" s="684"/>
    </row>
    <row r="5" spans="1:15" s="685" customFormat="1" x14ac:dyDescent="0.25">
      <c r="A5" s="693"/>
      <c r="B5" s="694" t="s">
        <v>1290</v>
      </c>
      <c r="C5" s="689"/>
      <c r="D5" s="688"/>
      <c r="E5" s="681"/>
      <c r="F5" s="681"/>
      <c r="G5" s="683"/>
      <c r="H5" s="678"/>
      <c r="I5" s="684"/>
      <c r="J5" s="684"/>
      <c r="K5" s="684"/>
      <c r="L5" s="684"/>
      <c r="M5" s="684"/>
      <c r="N5" s="684"/>
      <c r="O5" s="684"/>
    </row>
    <row r="6" spans="1:15" s="685" customFormat="1" x14ac:dyDescent="0.25">
      <c r="A6" s="693"/>
      <c r="B6" s="694" t="s">
        <v>1291</v>
      </c>
      <c r="C6" s="689"/>
      <c r="D6" s="688"/>
      <c r="E6" s="681"/>
      <c r="F6" s="681"/>
      <c r="G6" s="683"/>
      <c r="H6" s="678"/>
      <c r="I6" s="684"/>
      <c r="J6" s="684"/>
      <c r="K6" s="684"/>
      <c r="L6" s="684"/>
      <c r="M6" s="684"/>
      <c r="N6" s="684"/>
      <c r="O6" s="684"/>
    </row>
    <row r="7" spans="1:15" s="685" customFormat="1" x14ac:dyDescent="0.25">
      <c r="A7" s="693"/>
      <c r="B7" s="694"/>
      <c r="C7" s="689"/>
      <c r="D7" s="688"/>
      <c r="E7" s="681"/>
      <c r="F7" s="681"/>
      <c r="G7" s="683"/>
      <c r="H7" s="678"/>
      <c r="I7" s="684"/>
      <c r="J7" s="684"/>
      <c r="K7" s="684"/>
      <c r="L7" s="684"/>
      <c r="M7" s="684"/>
      <c r="N7" s="684"/>
      <c r="O7" s="684"/>
    </row>
    <row r="8" spans="1:15" s="685" customFormat="1" x14ac:dyDescent="0.25">
      <c r="A8" s="693"/>
      <c r="B8" s="694" t="s">
        <v>1292</v>
      </c>
      <c r="C8" s="689"/>
      <c r="D8" s="688"/>
      <c r="E8" s="681"/>
      <c r="F8" s="681"/>
      <c r="G8" s="683"/>
      <c r="H8" s="678"/>
      <c r="I8" s="684"/>
      <c r="J8" s="684"/>
      <c r="K8" s="684"/>
      <c r="L8" s="684"/>
      <c r="M8" s="684"/>
      <c r="N8" s="684"/>
      <c r="O8" s="684"/>
    </row>
    <row r="9" spans="1:15" s="685" customFormat="1" x14ac:dyDescent="0.25">
      <c r="A9" s="693"/>
      <c r="B9" s="694" t="s">
        <v>1290</v>
      </c>
      <c r="C9" s="689"/>
      <c r="D9" s="688"/>
      <c r="E9" s="681"/>
      <c r="F9" s="681"/>
      <c r="G9" s="683"/>
      <c r="H9" s="678"/>
      <c r="I9" s="684"/>
      <c r="J9" s="684"/>
      <c r="K9" s="684"/>
      <c r="L9" s="684"/>
      <c r="M9" s="684"/>
      <c r="N9" s="684"/>
      <c r="O9" s="684"/>
    </row>
    <row r="10" spans="1:15" s="685" customFormat="1" x14ac:dyDescent="0.25">
      <c r="A10" s="693"/>
      <c r="B10" s="694" t="s">
        <v>1291</v>
      </c>
      <c r="C10" s="689"/>
      <c r="D10" s="688"/>
      <c r="E10" s="681"/>
      <c r="F10" s="681"/>
      <c r="G10" s="683"/>
      <c r="H10" s="678"/>
      <c r="I10" s="684"/>
      <c r="J10" s="684"/>
      <c r="K10" s="684"/>
      <c r="L10" s="684"/>
      <c r="M10" s="684"/>
      <c r="N10" s="684"/>
      <c r="O10" s="684"/>
    </row>
    <row r="11" spans="1:15" s="685" customFormat="1" x14ac:dyDescent="0.25">
      <c r="A11" s="693"/>
      <c r="B11" s="694"/>
      <c r="C11" s="689"/>
      <c r="D11" s="688"/>
      <c r="E11" s="681"/>
      <c r="F11" s="681"/>
      <c r="G11" s="683"/>
      <c r="H11" s="678"/>
      <c r="I11" s="684"/>
      <c r="J11" s="684"/>
      <c r="K11" s="684"/>
      <c r="L11" s="684"/>
      <c r="M11" s="684"/>
      <c r="N11" s="684"/>
      <c r="O11" s="684"/>
    </row>
    <row r="12" spans="1:15" s="685" customFormat="1" ht="26.4" x14ac:dyDescent="0.25">
      <c r="A12" s="693"/>
      <c r="B12" s="695" t="s">
        <v>1293</v>
      </c>
      <c r="C12" s="689"/>
      <c r="D12" s="688"/>
      <c r="E12" s="681"/>
      <c r="F12" s="681"/>
      <c r="G12" s="683"/>
      <c r="H12" s="678"/>
      <c r="I12" s="684"/>
      <c r="J12" s="684"/>
      <c r="K12" s="684"/>
      <c r="L12" s="684"/>
      <c r="M12" s="684"/>
      <c r="N12" s="684"/>
      <c r="O12" s="684"/>
    </row>
    <row r="13" spans="1:15" s="685" customFormat="1" x14ac:dyDescent="0.25">
      <c r="A13" s="693"/>
      <c r="B13" s="696"/>
      <c r="C13" s="689"/>
      <c r="D13" s="688"/>
      <c r="E13" s="681"/>
      <c r="F13" s="681"/>
      <c r="G13" s="683"/>
      <c r="H13" s="678"/>
      <c r="I13" s="684"/>
      <c r="J13" s="684"/>
      <c r="K13" s="684"/>
      <c r="L13" s="684"/>
      <c r="M13" s="684"/>
      <c r="N13" s="684"/>
      <c r="O13" s="684"/>
    </row>
    <row r="14" spans="1:15" s="685" customFormat="1" ht="58.8" customHeight="1" x14ac:dyDescent="0.25">
      <c r="A14" s="693"/>
      <c r="B14" s="697" t="s">
        <v>1294</v>
      </c>
      <c r="C14" s="689"/>
      <c r="D14" s="688"/>
      <c r="E14" s="681"/>
      <c r="F14" s="681"/>
      <c r="G14" s="683"/>
      <c r="H14" s="678"/>
      <c r="I14" s="684"/>
      <c r="J14" s="684"/>
      <c r="K14" s="684"/>
      <c r="L14" s="684"/>
      <c r="M14" s="684"/>
      <c r="N14" s="684"/>
      <c r="O14" s="684"/>
    </row>
    <row r="15" spans="1:15" s="685" customFormat="1" x14ac:dyDescent="0.25">
      <c r="A15" s="693"/>
      <c r="B15" s="696"/>
      <c r="C15" s="689"/>
      <c r="D15" s="688"/>
      <c r="E15" s="681"/>
      <c r="F15" s="681"/>
      <c r="G15" s="683"/>
      <c r="H15" s="678"/>
      <c r="I15" s="684"/>
      <c r="J15" s="684"/>
      <c r="K15" s="684"/>
      <c r="L15" s="684"/>
      <c r="M15" s="684"/>
      <c r="N15" s="684"/>
      <c r="O15" s="684"/>
    </row>
    <row r="16" spans="1:15" s="685" customFormat="1" ht="52.8" x14ac:dyDescent="0.25">
      <c r="A16" s="693"/>
      <c r="B16" s="695" t="s">
        <v>1295</v>
      </c>
      <c r="C16" s="689"/>
      <c r="D16" s="688"/>
      <c r="E16" s="681"/>
      <c r="F16" s="681"/>
      <c r="G16" s="683"/>
      <c r="H16" s="678"/>
      <c r="I16" s="684"/>
      <c r="J16" s="684"/>
      <c r="K16" s="684"/>
      <c r="L16" s="684"/>
      <c r="M16" s="684"/>
      <c r="N16" s="684"/>
      <c r="O16" s="684"/>
    </row>
    <row r="17" spans="1:15" s="685" customFormat="1" x14ac:dyDescent="0.25">
      <c r="A17" s="693"/>
      <c r="B17" s="696"/>
      <c r="C17" s="689"/>
      <c r="D17" s="688"/>
      <c r="E17" s="681"/>
      <c r="F17" s="681"/>
      <c r="G17" s="683"/>
      <c r="H17" s="678"/>
      <c r="I17" s="684"/>
      <c r="J17" s="684"/>
      <c r="K17" s="684"/>
      <c r="L17" s="684"/>
      <c r="M17" s="684"/>
      <c r="N17" s="684"/>
      <c r="O17" s="684"/>
    </row>
    <row r="18" spans="1:15" s="685" customFormat="1" x14ac:dyDescent="0.25">
      <c r="A18" s="693"/>
      <c r="B18" s="698" t="s">
        <v>1296</v>
      </c>
      <c r="C18" s="689"/>
      <c r="D18" s="688"/>
      <c r="E18" s="681"/>
      <c r="F18" s="681"/>
      <c r="G18" s="683"/>
      <c r="H18" s="678"/>
      <c r="I18" s="684"/>
      <c r="J18" s="684"/>
      <c r="K18" s="684"/>
      <c r="L18" s="684"/>
      <c r="M18" s="684"/>
      <c r="N18" s="684"/>
      <c r="O18" s="684"/>
    </row>
    <row r="19" spans="1:15" s="685" customFormat="1" ht="66" x14ac:dyDescent="0.25">
      <c r="A19" s="693"/>
      <c r="B19" s="695" t="s">
        <v>1297</v>
      </c>
      <c r="C19" s="689"/>
      <c r="D19" s="688"/>
      <c r="E19" s="681"/>
      <c r="F19" s="681"/>
      <c r="G19" s="683"/>
      <c r="H19" s="678"/>
      <c r="I19" s="684"/>
      <c r="J19" s="684"/>
      <c r="K19" s="684"/>
      <c r="L19" s="684"/>
      <c r="M19" s="684"/>
      <c r="N19" s="684"/>
      <c r="O19" s="684"/>
    </row>
    <row r="20" spans="1:15" s="685" customFormat="1" x14ac:dyDescent="0.25">
      <c r="A20" s="693"/>
      <c r="B20" s="696"/>
      <c r="C20" s="689"/>
      <c r="D20" s="688"/>
      <c r="E20" s="681"/>
      <c r="F20" s="681"/>
      <c r="G20" s="683"/>
      <c r="H20" s="678"/>
      <c r="I20" s="684"/>
      <c r="J20" s="684"/>
      <c r="K20" s="684"/>
      <c r="L20" s="684"/>
      <c r="M20" s="684"/>
      <c r="N20" s="684"/>
      <c r="O20" s="684"/>
    </row>
    <row r="21" spans="1:15" s="685" customFormat="1" x14ac:dyDescent="0.25">
      <c r="A21" s="693"/>
      <c r="B21" s="698" t="s">
        <v>1298</v>
      </c>
      <c r="C21" s="689"/>
      <c r="D21" s="688"/>
      <c r="E21" s="681"/>
      <c r="F21" s="681"/>
      <c r="G21" s="683"/>
      <c r="H21" s="678"/>
      <c r="I21" s="684"/>
      <c r="J21" s="684"/>
      <c r="K21" s="684"/>
      <c r="L21" s="684"/>
      <c r="M21" s="684"/>
      <c r="N21" s="684"/>
      <c r="O21" s="684"/>
    </row>
    <row r="22" spans="1:15" s="685" customFormat="1" ht="66" x14ac:dyDescent="0.25">
      <c r="A22" s="693"/>
      <c r="B22" s="697" t="s">
        <v>1299</v>
      </c>
      <c r="C22" s="689"/>
      <c r="D22" s="688"/>
      <c r="E22" s="681"/>
      <c r="F22" s="681"/>
      <c r="G22" s="683"/>
      <c r="H22" s="678"/>
      <c r="I22" s="684"/>
      <c r="J22" s="684"/>
      <c r="K22" s="684"/>
      <c r="L22" s="684"/>
      <c r="M22" s="684"/>
      <c r="N22" s="684"/>
      <c r="O22" s="684"/>
    </row>
    <row r="23" spans="1:15" s="685" customFormat="1" x14ac:dyDescent="0.25">
      <c r="A23" s="693"/>
      <c r="B23" s="696"/>
      <c r="C23" s="689"/>
      <c r="D23" s="688"/>
      <c r="E23" s="681"/>
      <c r="F23" s="681"/>
      <c r="G23" s="683"/>
      <c r="H23" s="678"/>
      <c r="I23" s="684"/>
      <c r="J23" s="684"/>
      <c r="K23" s="684"/>
      <c r="L23" s="684"/>
      <c r="M23" s="684"/>
      <c r="N23" s="684"/>
      <c r="O23" s="684"/>
    </row>
    <row r="24" spans="1:15" s="685" customFormat="1" x14ac:dyDescent="0.25">
      <c r="A24" s="693"/>
      <c r="B24" s="698" t="s">
        <v>1300</v>
      </c>
      <c r="C24" s="689"/>
      <c r="D24" s="688"/>
      <c r="E24" s="681"/>
      <c r="F24" s="681"/>
      <c r="G24" s="683"/>
      <c r="H24" s="678"/>
      <c r="I24" s="684"/>
      <c r="J24" s="684"/>
      <c r="K24" s="684"/>
      <c r="L24" s="684"/>
      <c r="M24" s="684"/>
      <c r="N24" s="684"/>
      <c r="O24" s="684"/>
    </row>
    <row r="25" spans="1:15" s="685" customFormat="1" ht="39.6" x14ac:dyDescent="0.25">
      <c r="A25" s="693"/>
      <c r="B25" s="695" t="s">
        <v>1301</v>
      </c>
      <c r="C25" s="689"/>
      <c r="D25" s="688"/>
      <c r="E25" s="681"/>
      <c r="F25" s="681"/>
      <c r="G25" s="683"/>
      <c r="H25" s="678"/>
      <c r="I25" s="684"/>
      <c r="J25" s="684"/>
      <c r="K25" s="684"/>
      <c r="L25" s="684"/>
      <c r="M25" s="684"/>
      <c r="N25" s="684"/>
      <c r="O25" s="684"/>
    </row>
    <row r="26" spans="1:15" s="685" customFormat="1" x14ac:dyDescent="0.25">
      <c r="A26" s="693"/>
      <c r="B26" s="696"/>
      <c r="C26" s="689"/>
      <c r="D26" s="688"/>
      <c r="E26" s="681"/>
      <c r="F26" s="681"/>
      <c r="G26" s="683"/>
      <c r="H26" s="678"/>
      <c r="I26" s="684"/>
      <c r="J26" s="684"/>
      <c r="K26" s="684"/>
      <c r="L26" s="684"/>
      <c r="M26" s="684"/>
      <c r="N26" s="684"/>
      <c r="O26" s="684"/>
    </row>
    <row r="27" spans="1:15" s="685" customFormat="1" ht="52.8" x14ac:dyDescent="0.25">
      <c r="A27" s="693"/>
      <c r="B27" s="695" t="s">
        <v>1302</v>
      </c>
      <c r="C27" s="689"/>
      <c r="D27" s="688"/>
      <c r="E27" s="681"/>
      <c r="F27" s="681"/>
      <c r="G27" s="683"/>
      <c r="H27" s="678"/>
      <c r="I27" s="684"/>
      <c r="J27" s="684"/>
      <c r="K27" s="684"/>
      <c r="L27" s="684"/>
      <c r="M27" s="684"/>
      <c r="N27" s="684"/>
      <c r="O27" s="684"/>
    </row>
    <row r="28" spans="1:15" s="685" customFormat="1" x14ac:dyDescent="0.25">
      <c r="A28" s="693"/>
      <c r="B28" s="696"/>
      <c r="C28" s="689"/>
      <c r="D28" s="688"/>
      <c r="E28" s="681"/>
      <c r="F28" s="681"/>
      <c r="G28" s="683"/>
      <c r="H28" s="678"/>
      <c r="I28" s="684"/>
      <c r="J28" s="684"/>
      <c r="K28" s="684"/>
      <c r="L28" s="684"/>
      <c r="M28" s="684"/>
      <c r="N28" s="684"/>
      <c r="O28" s="684"/>
    </row>
    <row r="29" spans="1:15" s="685" customFormat="1" ht="26.4" x14ac:dyDescent="0.25">
      <c r="A29" s="693"/>
      <c r="B29" s="695" t="s">
        <v>1303</v>
      </c>
      <c r="C29" s="689"/>
      <c r="D29" s="688"/>
      <c r="E29" s="681"/>
      <c r="F29" s="681"/>
      <c r="G29" s="683"/>
      <c r="H29" s="678"/>
      <c r="I29" s="684"/>
      <c r="J29" s="684"/>
      <c r="K29" s="684"/>
      <c r="L29" s="684"/>
      <c r="M29" s="684"/>
      <c r="N29" s="684"/>
      <c r="O29" s="684"/>
    </row>
    <row r="30" spans="1:15" s="685" customFormat="1" x14ac:dyDescent="0.25">
      <c r="A30" s="693"/>
      <c r="B30" s="696"/>
      <c r="C30" s="689"/>
      <c r="D30" s="688"/>
      <c r="E30" s="681"/>
      <c r="F30" s="681"/>
      <c r="G30" s="683"/>
      <c r="H30" s="678"/>
      <c r="I30" s="684"/>
      <c r="J30" s="684"/>
      <c r="K30" s="684"/>
      <c r="L30" s="684"/>
      <c r="M30" s="684"/>
      <c r="N30" s="684"/>
      <c r="O30" s="684"/>
    </row>
    <row r="31" spans="1:15" s="685" customFormat="1" ht="61.2" customHeight="1" x14ac:dyDescent="0.25">
      <c r="A31" s="693"/>
      <c r="B31" s="697" t="s">
        <v>1304</v>
      </c>
      <c r="C31" s="689"/>
      <c r="D31" s="688"/>
      <c r="E31" s="681"/>
      <c r="F31" s="681"/>
      <c r="G31" s="683"/>
      <c r="H31" s="678"/>
      <c r="I31" s="684"/>
      <c r="J31" s="684"/>
      <c r="K31" s="684"/>
      <c r="L31" s="684"/>
      <c r="M31" s="684"/>
      <c r="N31" s="684"/>
      <c r="O31" s="684"/>
    </row>
    <row r="32" spans="1:15" s="685" customFormat="1" x14ac:dyDescent="0.25">
      <c r="A32" s="693"/>
      <c r="B32" s="697"/>
      <c r="C32" s="689"/>
      <c r="D32" s="688"/>
      <c r="E32" s="681"/>
      <c r="F32" s="681"/>
      <c r="G32" s="683"/>
      <c r="H32" s="678"/>
      <c r="I32" s="684"/>
      <c r="J32" s="684"/>
      <c r="K32" s="684"/>
      <c r="L32" s="684"/>
      <c r="M32" s="684"/>
      <c r="N32" s="684"/>
      <c r="O32" s="684"/>
    </row>
    <row r="33" spans="1:15" s="685" customFormat="1" x14ac:dyDescent="0.25">
      <c r="A33" s="693"/>
      <c r="B33" s="697"/>
      <c r="C33" s="689"/>
      <c r="D33" s="688"/>
      <c r="E33" s="681"/>
      <c r="F33" s="681"/>
      <c r="G33" s="683"/>
      <c r="H33" s="678"/>
      <c r="I33" s="684"/>
      <c r="J33" s="684"/>
      <c r="K33" s="684"/>
      <c r="L33" s="684"/>
      <c r="M33" s="684"/>
      <c r="N33" s="684"/>
      <c r="O33" s="684"/>
    </row>
    <row r="34" spans="1:15" s="685" customFormat="1" x14ac:dyDescent="0.25">
      <c r="A34" s="993"/>
      <c r="B34" s="1167"/>
      <c r="C34" s="994"/>
      <c r="D34" s="995"/>
      <c r="E34" s="996"/>
      <c r="F34" s="996"/>
      <c r="G34" s="683"/>
      <c r="H34" s="678"/>
      <c r="I34" s="684"/>
      <c r="J34" s="684"/>
      <c r="K34" s="684"/>
      <c r="L34" s="684"/>
      <c r="M34" s="684"/>
      <c r="N34" s="684"/>
      <c r="O34" s="684"/>
    </row>
    <row r="35" spans="1:15" s="685" customFormat="1" x14ac:dyDescent="0.25">
      <c r="A35" s="693"/>
      <c r="B35" s="698" t="s">
        <v>1305</v>
      </c>
      <c r="C35" s="689"/>
      <c r="D35" s="688"/>
      <c r="E35" s="681"/>
      <c r="F35" s="681"/>
      <c r="G35" s="683"/>
      <c r="H35" s="678"/>
      <c r="I35" s="684"/>
      <c r="J35" s="684"/>
      <c r="K35" s="684"/>
      <c r="L35" s="684"/>
      <c r="M35" s="684"/>
      <c r="N35" s="684"/>
      <c r="O35" s="684"/>
    </row>
    <row r="36" spans="1:15" s="685" customFormat="1" ht="52.8" x14ac:dyDescent="0.25">
      <c r="A36" s="693"/>
      <c r="B36" s="695" t="s">
        <v>1306</v>
      </c>
      <c r="C36" s="689"/>
      <c r="D36" s="688"/>
      <c r="E36" s="681"/>
      <c r="F36" s="681"/>
      <c r="G36" s="683"/>
      <c r="H36" s="678"/>
      <c r="I36" s="684"/>
      <c r="J36" s="684"/>
      <c r="K36" s="684"/>
      <c r="L36" s="684"/>
      <c r="M36" s="684"/>
      <c r="N36" s="684"/>
      <c r="O36" s="684"/>
    </row>
    <row r="37" spans="1:15" s="685" customFormat="1" x14ac:dyDescent="0.25">
      <c r="A37" s="693"/>
      <c r="B37" s="695"/>
      <c r="C37" s="689"/>
      <c r="D37" s="688"/>
      <c r="E37" s="681"/>
      <c r="F37" s="681"/>
      <c r="G37" s="683"/>
      <c r="H37" s="678"/>
      <c r="I37" s="684"/>
      <c r="J37" s="684"/>
      <c r="K37" s="684"/>
      <c r="L37" s="684"/>
      <c r="M37" s="684"/>
      <c r="N37" s="684"/>
      <c r="O37" s="684"/>
    </row>
    <row r="38" spans="1:15" s="685" customFormat="1" x14ac:dyDescent="0.25">
      <c r="A38" s="693"/>
      <c r="B38" s="696" t="s">
        <v>1307</v>
      </c>
      <c r="C38" s="689"/>
      <c r="D38" s="688"/>
      <c r="E38" s="681"/>
      <c r="F38" s="681"/>
      <c r="G38" s="683"/>
      <c r="H38" s="678"/>
      <c r="I38" s="684"/>
      <c r="J38" s="684"/>
      <c r="K38" s="684"/>
      <c r="L38" s="684"/>
      <c r="M38" s="684"/>
      <c r="N38" s="684"/>
      <c r="O38" s="684"/>
    </row>
    <row r="39" spans="1:15" s="685" customFormat="1" ht="66" x14ac:dyDescent="0.25">
      <c r="A39" s="693"/>
      <c r="B39" s="695" t="s">
        <v>1308</v>
      </c>
      <c r="C39" s="689"/>
      <c r="D39" s="688"/>
      <c r="E39" s="681"/>
      <c r="F39" s="681"/>
      <c r="G39" s="683"/>
      <c r="H39" s="678"/>
      <c r="I39" s="684"/>
      <c r="J39" s="684"/>
      <c r="K39" s="684"/>
      <c r="L39" s="684"/>
      <c r="M39" s="684"/>
      <c r="N39" s="684"/>
      <c r="O39" s="684"/>
    </row>
    <row r="40" spans="1:15" s="685" customFormat="1" x14ac:dyDescent="0.25">
      <c r="A40" s="693"/>
      <c r="B40" s="696"/>
      <c r="C40" s="689"/>
      <c r="D40" s="688"/>
      <c r="E40" s="681"/>
      <c r="F40" s="681"/>
      <c r="G40" s="683"/>
      <c r="H40" s="678"/>
      <c r="I40" s="684"/>
      <c r="J40" s="684"/>
      <c r="K40" s="684"/>
      <c r="L40" s="684"/>
      <c r="M40" s="684"/>
      <c r="N40" s="684"/>
      <c r="O40" s="684"/>
    </row>
    <row r="41" spans="1:15" s="685" customFormat="1" x14ac:dyDescent="0.25">
      <c r="A41" s="693"/>
      <c r="B41" s="698" t="s">
        <v>1309</v>
      </c>
      <c r="C41" s="689"/>
      <c r="D41" s="688"/>
      <c r="E41" s="681"/>
      <c r="F41" s="681"/>
      <c r="G41" s="683"/>
      <c r="H41" s="678"/>
      <c r="I41" s="684"/>
      <c r="J41" s="684"/>
      <c r="K41" s="684"/>
      <c r="L41" s="684"/>
      <c r="M41" s="684"/>
      <c r="N41" s="684"/>
      <c r="O41" s="684"/>
    </row>
    <row r="42" spans="1:15" s="685" customFormat="1" ht="66" x14ac:dyDescent="0.25">
      <c r="A42" s="693"/>
      <c r="B42" s="695" t="s">
        <v>1310</v>
      </c>
      <c r="C42" s="689"/>
      <c r="D42" s="688"/>
      <c r="E42" s="681"/>
      <c r="F42" s="681"/>
      <c r="G42" s="683"/>
      <c r="H42" s="678"/>
      <c r="I42" s="684"/>
      <c r="J42" s="684"/>
      <c r="K42" s="684"/>
      <c r="L42" s="684"/>
      <c r="M42" s="684"/>
      <c r="N42" s="684"/>
      <c r="O42" s="684"/>
    </row>
    <row r="43" spans="1:15" s="685" customFormat="1" x14ac:dyDescent="0.25">
      <c r="A43" s="693"/>
      <c r="B43" s="696" t="s">
        <v>1311</v>
      </c>
      <c r="C43" s="689"/>
      <c r="D43" s="688"/>
      <c r="E43" s="681"/>
      <c r="F43" s="681"/>
      <c r="G43" s="683"/>
      <c r="H43" s="678"/>
      <c r="I43" s="684"/>
      <c r="J43" s="684"/>
      <c r="K43" s="684"/>
      <c r="L43" s="684"/>
      <c r="M43" s="684"/>
      <c r="N43" s="684"/>
      <c r="O43" s="684"/>
    </row>
    <row r="44" spans="1:15" s="685" customFormat="1" x14ac:dyDescent="0.25">
      <c r="A44" s="693"/>
      <c r="B44" s="696" t="s">
        <v>1312</v>
      </c>
      <c r="C44" s="689"/>
      <c r="D44" s="688"/>
      <c r="E44" s="681"/>
      <c r="F44" s="681"/>
      <c r="G44" s="683"/>
      <c r="H44" s="678"/>
      <c r="I44" s="684"/>
      <c r="J44" s="684"/>
      <c r="K44" s="684"/>
      <c r="L44" s="684"/>
      <c r="M44" s="684"/>
      <c r="N44" s="684"/>
      <c r="O44" s="684"/>
    </row>
    <row r="45" spans="1:15" s="685" customFormat="1" x14ac:dyDescent="0.25">
      <c r="A45" s="693"/>
      <c r="B45" s="696" t="s">
        <v>1313</v>
      </c>
      <c r="C45" s="689"/>
      <c r="D45" s="688"/>
      <c r="E45" s="681"/>
      <c r="F45" s="681"/>
      <c r="G45" s="683"/>
      <c r="H45" s="678"/>
      <c r="I45" s="684"/>
      <c r="J45" s="684"/>
      <c r="K45" s="684"/>
      <c r="L45" s="684"/>
      <c r="M45" s="684"/>
      <c r="N45" s="684"/>
      <c r="O45" s="684"/>
    </row>
    <row r="46" spans="1:15" s="685" customFormat="1" x14ac:dyDescent="0.25">
      <c r="A46" s="693"/>
      <c r="B46" s="696"/>
      <c r="C46" s="689"/>
      <c r="D46" s="688"/>
      <c r="E46" s="681"/>
      <c r="F46" s="681"/>
      <c r="G46" s="683"/>
      <c r="H46" s="678"/>
      <c r="I46" s="684"/>
      <c r="J46" s="684"/>
      <c r="K46" s="684"/>
      <c r="L46" s="684"/>
      <c r="M46" s="684"/>
      <c r="N46" s="684"/>
      <c r="O46" s="684"/>
    </row>
    <row r="47" spans="1:15" s="1141" customFormat="1" ht="13.8" x14ac:dyDescent="0.25">
      <c r="A47" s="1134" t="s">
        <v>2360</v>
      </c>
      <c r="B47" s="1135" t="s">
        <v>2361</v>
      </c>
      <c r="C47" s="1136"/>
      <c r="D47" s="1137"/>
      <c r="E47" s="1138"/>
      <c r="F47" s="1138"/>
      <c r="G47" s="1139"/>
      <c r="H47" s="1140"/>
      <c r="I47" s="711"/>
      <c r="J47" s="711"/>
      <c r="K47" s="711"/>
      <c r="L47" s="711"/>
      <c r="M47" s="711"/>
      <c r="N47" s="711"/>
      <c r="O47" s="711"/>
    </row>
    <row r="48" spans="1:15" s="685" customFormat="1" x14ac:dyDescent="0.25">
      <c r="A48" s="693"/>
      <c r="B48" s="696"/>
      <c r="C48" s="700"/>
      <c r="D48" s="688"/>
      <c r="E48" s="681"/>
      <c r="F48" s="681"/>
      <c r="G48" s="683"/>
      <c r="H48" s="678"/>
      <c r="I48" s="684"/>
      <c r="J48" s="684"/>
      <c r="K48" s="684"/>
      <c r="L48" s="684"/>
      <c r="M48" s="684"/>
      <c r="N48" s="684"/>
      <c r="O48" s="684"/>
    </row>
    <row r="49" spans="1:15" s="685" customFormat="1" ht="92.4" x14ac:dyDescent="0.25">
      <c r="A49" s="693" t="s">
        <v>2362</v>
      </c>
      <c r="B49" s="695" t="s">
        <v>2369</v>
      </c>
      <c r="C49" s="1142" t="e">
        <f>'m shet rolf'!#REF!</f>
        <v>#REF!</v>
      </c>
      <c r="D49" s="1143" t="s">
        <v>2368</v>
      </c>
      <c r="E49" s="681" t="e">
        <f>#REF!</f>
        <v>#REF!</v>
      </c>
      <c r="F49" s="681" t="e">
        <f>E49*C49</f>
        <v>#REF!</v>
      </c>
      <c r="G49" s="683"/>
      <c r="H49" s="678"/>
      <c r="I49" s="684"/>
      <c r="J49" s="684"/>
      <c r="K49" s="684"/>
      <c r="L49" s="684"/>
      <c r="M49" s="684"/>
      <c r="N49" s="684"/>
      <c r="O49" s="684"/>
    </row>
    <row r="50" spans="1:15" s="685" customFormat="1" x14ac:dyDescent="0.25">
      <c r="A50" s="693"/>
      <c r="B50" s="695"/>
      <c r="C50" s="700"/>
      <c r="D50" s="688"/>
      <c r="E50" s="681"/>
      <c r="F50" s="681"/>
      <c r="G50" s="683"/>
      <c r="H50" s="678"/>
      <c r="I50" s="684"/>
      <c r="J50" s="684"/>
      <c r="K50" s="684"/>
      <c r="L50" s="684"/>
      <c r="M50" s="684"/>
      <c r="N50" s="684"/>
      <c r="O50" s="684"/>
    </row>
    <row r="51" spans="1:15" s="1141" customFormat="1" ht="13.8" x14ac:dyDescent="0.25">
      <c r="A51" s="1134" t="s">
        <v>2363</v>
      </c>
      <c r="B51" s="699" t="s">
        <v>2364</v>
      </c>
      <c r="C51" s="1136"/>
      <c r="D51" s="1137"/>
      <c r="E51" s="1138"/>
      <c r="F51" s="1138"/>
      <c r="G51" s="1139"/>
      <c r="H51" s="1140"/>
      <c r="I51" s="711"/>
      <c r="J51" s="711"/>
      <c r="K51" s="711"/>
      <c r="L51" s="711"/>
      <c r="M51" s="711"/>
      <c r="N51" s="711"/>
      <c r="O51" s="711"/>
    </row>
    <row r="52" spans="1:15" s="685" customFormat="1" x14ac:dyDescent="0.25">
      <c r="A52" s="693"/>
      <c r="B52" s="695"/>
      <c r="C52" s="700"/>
      <c r="D52" s="688"/>
      <c r="E52" s="681"/>
      <c r="F52" s="681"/>
      <c r="G52" s="683"/>
      <c r="H52" s="678"/>
      <c r="I52" s="684"/>
      <c r="J52" s="684"/>
      <c r="K52" s="684"/>
      <c r="L52" s="684"/>
      <c r="M52" s="684"/>
      <c r="N52" s="684"/>
      <c r="O52" s="684"/>
    </row>
    <row r="53" spans="1:15" s="685" customFormat="1" ht="105.6" x14ac:dyDescent="0.25">
      <c r="A53" s="693" t="s">
        <v>2365</v>
      </c>
      <c r="B53" s="697" t="s">
        <v>2370</v>
      </c>
      <c r="C53" s="1142" t="e">
        <f>'m shet rolf'!#REF!</f>
        <v>#REF!</v>
      </c>
      <c r="D53" s="1143" t="s">
        <v>2368</v>
      </c>
      <c r="E53" s="681" t="e">
        <f>E49</f>
        <v>#REF!</v>
      </c>
      <c r="F53" s="681" t="e">
        <f>E53*C53</f>
        <v>#REF!</v>
      </c>
      <c r="G53" s="683"/>
      <c r="H53" s="678"/>
      <c r="I53" s="684"/>
      <c r="J53" s="684"/>
      <c r="K53" s="684"/>
      <c r="L53" s="684"/>
      <c r="M53" s="684"/>
      <c r="N53" s="684"/>
      <c r="O53" s="684"/>
    </row>
    <row r="54" spans="1:15" s="685" customFormat="1" x14ac:dyDescent="0.25">
      <c r="A54" s="693"/>
      <c r="B54" s="695"/>
      <c r="C54" s="700"/>
      <c r="D54" s="688"/>
      <c r="E54" s="681"/>
      <c r="F54" s="681"/>
      <c r="G54" s="683"/>
      <c r="H54" s="678"/>
      <c r="I54" s="684"/>
      <c r="J54" s="684"/>
      <c r="K54" s="684"/>
      <c r="L54" s="684"/>
      <c r="M54" s="684"/>
      <c r="N54" s="684"/>
      <c r="O54" s="684"/>
    </row>
    <row r="55" spans="1:15" s="685" customFormat="1" ht="105.6" x14ac:dyDescent="0.25">
      <c r="A55" s="693" t="s">
        <v>2366</v>
      </c>
      <c r="B55" s="695" t="s">
        <v>2371</v>
      </c>
      <c r="C55" s="1142" t="e">
        <f>'m shet rolf'!#REF!</f>
        <v>#REF!</v>
      </c>
      <c r="D55" s="1143" t="s">
        <v>2368</v>
      </c>
      <c r="E55" s="681" t="e">
        <f>#REF!</f>
        <v>#REF!</v>
      </c>
      <c r="F55" s="681" t="e">
        <f>E55*C55</f>
        <v>#REF!</v>
      </c>
      <c r="G55" s="683"/>
      <c r="H55" s="678"/>
      <c r="I55" s="684"/>
      <c r="J55" s="684"/>
      <c r="K55" s="684"/>
      <c r="L55" s="684"/>
      <c r="M55" s="684"/>
      <c r="N55" s="684"/>
      <c r="O55" s="684"/>
    </row>
    <row r="56" spans="1:15" s="685" customFormat="1" ht="13.8" thickBot="1" x14ac:dyDescent="0.3">
      <c r="A56" s="693"/>
      <c r="B56" s="703"/>
      <c r="C56" s="700"/>
      <c r="D56" s="702"/>
      <c r="E56" s="701"/>
      <c r="F56" s="701"/>
      <c r="G56" s="683"/>
      <c r="H56" s="678"/>
      <c r="I56" s="684"/>
      <c r="J56" s="684"/>
      <c r="K56" s="684"/>
      <c r="L56" s="684"/>
      <c r="M56" s="684"/>
      <c r="N56" s="684"/>
      <c r="O56" s="684"/>
    </row>
    <row r="57" spans="1:15" s="685" customFormat="1" ht="31.2" x14ac:dyDescent="0.3">
      <c r="A57" s="690"/>
      <c r="B57" s="715" t="s">
        <v>2359</v>
      </c>
      <c r="C57" s="997"/>
      <c r="D57" s="716"/>
      <c r="E57" s="704"/>
      <c r="F57" s="691" t="e">
        <f>SUM(F43:F56)</f>
        <v>#REF!</v>
      </c>
      <c r="G57" s="683"/>
      <c r="H57" s="678" t="e">
        <f>F57/#REF!</f>
        <v>#REF!</v>
      </c>
      <c r="I57" s="684"/>
      <c r="J57" s="684"/>
      <c r="K57" s="684"/>
      <c r="L57" s="684"/>
      <c r="M57" s="684"/>
      <c r="N57" s="684"/>
      <c r="O57" s="684"/>
    </row>
    <row r="58" spans="1:15" s="680" customFormat="1" x14ac:dyDescent="0.25">
      <c r="A58" s="705"/>
      <c r="B58" s="706"/>
      <c r="C58" s="707"/>
      <c r="D58" s="708"/>
      <c r="E58" s="709"/>
      <c r="F58" s="709"/>
      <c r="G58" s="710"/>
      <c r="H58" s="678"/>
      <c r="I58" s="679"/>
      <c r="J58" s="679"/>
      <c r="K58" s="679"/>
      <c r="L58" s="711"/>
      <c r="M58" s="679"/>
      <c r="N58" s="679"/>
      <c r="O58" s="679"/>
    </row>
    <row r="59" spans="1:15" s="680" customFormat="1" x14ac:dyDescent="0.25">
      <c r="A59" s="705"/>
      <c r="B59" s="706"/>
      <c r="C59" s="707"/>
      <c r="D59" s="708"/>
      <c r="E59" s="709"/>
      <c r="F59" s="709"/>
      <c r="G59" s="710"/>
      <c r="H59" s="678"/>
      <c r="I59" s="679"/>
      <c r="J59" s="679"/>
      <c r="K59" s="679"/>
      <c r="L59" s="679"/>
      <c r="M59" s="679"/>
      <c r="N59" s="679"/>
      <c r="O59" s="679"/>
    </row>
    <row r="60" spans="1:15" s="680" customFormat="1" x14ac:dyDescent="0.25">
      <c r="A60" s="705"/>
      <c r="B60" s="706"/>
      <c r="C60" s="707"/>
      <c r="D60" s="708"/>
      <c r="E60" s="709"/>
      <c r="F60" s="709" t="e">
        <f>F57</f>
        <v>#REF!</v>
      </c>
      <c r="G60" s="710"/>
      <c r="H60" s="678"/>
      <c r="I60" s="679"/>
      <c r="J60" s="679"/>
      <c r="K60" s="679"/>
      <c r="L60" s="679"/>
      <c r="M60" s="679"/>
      <c r="N60" s="679"/>
      <c r="O60" s="679"/>
    </row>
    <row r="61" spans="1:15" s="680" customFormat="1" x14ac:dyDescent="0.25">
      <c r="A61" s="705"/>
      <c r="B61" s="706"/>
      <c r="C61" s="707"/>
      <c r="D61" s="708"/>
      <c r="E61" s="709"/>
      <c r="F61" s="709"/>
      <c r="G61" s="710"/>
      <c r="H61" s="678"/>
      <c r="I61" s="679"/>
      <c r="J61" s="679"/>
      <c r="K61" s="679"/>
      <c r="L61" s="679"/>
      <c r="M61" s="679"/>
      <c r="N61" s="679"/>
      <c r="O61" s="679"/>
    </row>
    <row r="62" spans="1:15" s="680" customFormat="1" x14ac:dyDescent="0.25">
      <c r="A62" s="705"/>
      <c r="B62" s="706"/>
      <c r="C62" s="707"/>
      <c r="D62" s="708"/>
      <c r="E62" s="709"/>
      <c r="F62" s="709"/>
      <c r="G62" s="710"/>
      <c r="H62" s="678"/>
      <c r="I62" s="679"/>
      <c r="J62" s="679"/>
      <c r="K62" s="679"/>
      <c r="L62" s="679"/>
      <c r="M62" s="679"/>
      <c r="N62" s="679"/>
      <c r="O62" s="679"/>
    </row>
    <row r="63" spans="1:15" s="680" customFormat="1" x14ac:dyDescent="0.25">
      <c r="A63" s="705"/>
      <c r="B63" s="706"/>
      <c r="C63" s="707"/>
      <c r="D63" s="708"/>
      <c r="E63" s="709"/>
      <c r="F63" s="709" t="e">
        <f>#REF!+#REF!</f>
        <v>#REF!</v>
      </c>
      <c r="G63" s="710"/>
      <c r="H63" s="678"/>
      <c r="I63" s="679"/>
      <c r="J63" s="679"/>
      <c r="K63" s="679"/>
      <c r="L63" s="679"/>
      <c r="M63" s="679"/>
      <c r="N63" s="679"/>
      <c r="O63" s="679"/>
    </row>
    <row r="64" spans="1:15" s="680" customFormat="1" x14ac:dyDescent="0.25">
      <c r="A64" s="705"/>
      <c r="B64" s="706"/>
      <c r="C64" s="707"/>
      <c r="D64" s="708"/>
      <c r="E64" s="709"/>
      <c r="F64" s="709" t="e">
        <f>F63*10.76</f>
        <v>#REF!</v>
      </c>
      <c r="G64" s="710"/>
      <c r="H64" s="678"/>
      <c r="I64" s="679"/>
      <c r="J64" s="679"/>
      <c r="K64" s="679"/>
      <c r="L64" s="679"/>
      <c r="M64" s="679"/>
      <c r="N64" s="679"/>
      <c r="O64" s="679"/>
    </row>
    <row r="65" spans="1:15" s="680" customFormat="1" x14ac:dyDescent="0.25">
      <c r="A65" s="705"/>
      <c r="B65" s="706"/>
      <c r="C65" s="707"/>
      <c r="D65" s="708"/>
      <c r="E65" s="709"/>
      <c r="F65" s="709"/>
      <c r="G65" s="710"/>
      <c r="H65" s="678"/>
      <c r="I65" s="679"/>
      <c r="J65" s="679"/>
      <c r="K65" s="679"/>
      <c r="L65" s="679"/>
      <c r="M65" s="679"/>
      <c r="N65" s="679"/>
      <c r="O65" s="679"/>
    </row>
    <row r="66" spans="1:15" s="680" customFormat="1" x14ac:dyDescent="0.25">
      <c r="A66" s="705"/>
      <c r="B66" s="706"/>
      <c r="C66" s="707"/>
      <c r="D66" s="708"/>
      <c r="E66" s="709"/>
      <c r="F66" s="709" t="e">
        <f>#REF!/F64</f>
        <v>#REF!</v>
      </c>
      <c r="G66" s="710"/>
      <c r="H66" s="678"/>
      <c r="I66" s="679"/>
      <c r="J66" s="679"/>
      <c r="K66" s="679"/>
      <c r="L66" s="679"/>
      <c r="M66" s="679"/>
      <c r="N66" s="679"/>
      <c r="O66" s="679"/>
    </row>
    <row r="67" spans="1:15" s="680" customFormat="1" x14ac:dyDescent="0.25">
      <c r="A67" s="705"/>
      <c r="B67" s="706"/>
      <c r="C67" s="707"/>
      <c r="D67" s="708"/>
      <c r="E67" s="709"/>
      <c r="F67" s="709"/>
      <c r="G67" s="710"/>
      <c r="H67" s="678"/>
      <c r="I67" s="679"/>
      <c r="J67" s="679"/>
      <c r="K67" s="679"/>
      <c r="L67" s="679"/>
      <c r="M67" s="679"/>
      <c r="N67" s="679"/>
      <c r="O67" s="679"/>
    </row>
    <row r="68" spans="1:15" s="680" customFormat="1" x14ac:dyDescent="0.25">
      <c r="A68" s="705"/>
      <c r="B68" s="706"/>
      <c r="C68" s="707"/>
      <c r="D68" s="708"/>
      <c r="E68" s="709"/>
      <c r="F68" s="709"/>
      <c r="G68" s="710"/>
      <c r="H68" s="678"/>
      <c r="I68" s="679"/>
      <c r="J68" s="679"/>
      <c r="K68" s="679"/>
      <c r="L68" s="679"/>
      <c r="M68" s="679"/>
      <c r="N68" s="679"/>
      <c r="O68" s="679"/>
    </row>
    <row r="69" spans="1:15" s="680" customFormat="1" x14ac:dyDescent="0.25">
      <c r="A69" s="705"/>
      <c r="B69" s="706"/>
      <c r="C69" s="707"/>
      <c r="D69" s="708"/>
      <c r="E69" s="709"/>
      <c r="F69" s="709"/>
      <c r="G69" s="710"/>
      <c r="H69" s="678"/>
      <c r="I69" s="679"/>
      <c r="J69" s="679"/>
      <c r="K69" s="679"/>
      <c r="L69" s="679"/>
      <c r="M69" s="679"/>
      <c r="N69" s="679"/>
      <c r="O69" s="679"/>
    </row>
    <row r="70" spans="1:15" s="680" customFormat="1" x14ac:dyDescent="0.25">
      <c r="A70" s="705"/>
      <c r="B70" s="706"/>
      <c r="C70" s="707"/>
      <c r="D70" s="708"/>
      <c r="E70" s="709"/>
      <c r="F70" s="709"/>
      <c r="G70" s="710"/>
      <c r="H70" s="678"/>
      <c r="I70" s="679"/>
      <c r="J70" s="679"/>
      <c r="K70" s="679"/>
      <c r="L70" s="679"/>
      <c r="M70" s="679"/>
      <c r="N70" s="679"/>
      <c r="O70" s="679"/>
    </row>
    <row r="71" spans="1:15" x14ac:dyDescent="0.25">
      <c r="L71" s="679"/>
    </row>
  </sheetData>
  <conditionalFormatting sqref="D57:E57">
    <cfRule type="cellIs" dxfId="0" priority="1" stopIfTrue="1" operator="equal">
      <formula>1</formula>
    </cfRule>
  </conditionalFormatting>
  <printOptions horizontalCentered="1"/>
  <pageMargins left="0.51181102362204722" right="0.35433070866141736" top="0.51181102362204722" bottom="0.70866141732283472" header="0.19685039370078741" footer="0.51181102362204722"/>
  <pageSetup paperSize="9" firstPageNumber="8" orientation="portrait" r:id="rId1"/>
  <headerFooter>
    <oddFooter>&amp;C&amp;8Bill 3 / Page &amp;P&amp;RC+Design(Pvt)Ltd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workbookViewId="0"/>
  </sheetViews>
  <sheetFormatPr defaultRowHeight="13.2"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50"/>
    <pageSetUpPr fitToPage="1"/>
  </sheetPr>
  <dimension ref="A1:W673"/>
  <sheetViews>
    <sheetView view="pageBreakPreview" topLeftCell="A289" zoomScale="85" zoomScaleNormal="70" zoomScaleSheetLayoutView="85" zoomScalePageLayoutView="115" workbookViewId="0">
      <selection activeCell="E561" sqref="E561"/>
    </sheetView>
  </sheetViews>
  <sheetFormatPr defaultRowHeight="13.8" x14ac:dyDescent="0.25"/>
  <cols>
    <col min="1" max="1" width="6.6640625" style="1373" customWidth="1"/>
    <col min="2" max="2" width="67.5546875" style="1374" customWidth="1"/>
    <col min="3" max="3" width="8.6640625" style="1372" customWidth="1"/>
    <col min="4" max="4" width="8.6640625" style="1375" customWidth="1"/>
    <col min="5" max="5" width="12.6640625" style="1376" customWidth="1"/>
    <col min="6" max="6" width="18" style="1377" customWidth="1"/>
    <col min="7" max="7" width="8.88671875" style="1247"/>
    <col min="8" max="8" width="9.109375" style="1327" customWidth="1"/>
    <col min="9" max="248" width="8.88671875" style="1327"/>
    <col min="249" max="249" width="3" style="1327" customWidth="1"/>
    <col min="250" max="250" width="4.33203125" style="1327" customWidth="1"/>
    <col min="251" max="251" width="39.44140625" style="1327" customWidth="1"/>
    <col min="252" max="252" width="8.88671875" style="1327" customWidth="1"/>
    <col min="253" max="253" width="10.44140625" style="1327" customWidth="1"/>
    <col min="254" max="254" width="12.33203125" style="1327" customWidth="1"/>
    <col min="255" max="255" width="14.88671875" style="1327" customWidth="1"/>
    <col min="256" max="256" width="8.88671875" style="1327"/>
    <col min="257" max="257" width="14.33203125" style="1327" customWidth="1"/>
    <col min="258" max="258" width="8.88671875" style="1327"/>
    <col min="259" max="259" width="10.44140625" style="1327" customWidth="1"/>
    <col min="260" max="504" width="8.88671875" style="1327"/>
    <col min="505" max="505" width="3" style="1327" customWidth="1"/>
    <col min="506" max="506" width="4.33203125" style="1327" customWidth="1"/>
    <col min="507" max="507" width="39.44140625" style="1327" customWidth="1"/>
    <col min="508" max="508" width="8.88671875" style="1327" customWidth="1"/>
    <col min="509" max="509" width="10.44140625" style="1327" customWidth="1"/>
    <col min="510" max="510" width="12.33203125" style="1327" customWidth="1"/>
    <col min="511" max="511" width="14.88671875" style="1327" customWidth="1"/>
    <col min="512" max="512" width="8.88671875" style="1327"/>
    <col min="513" max="513" width="14.33203125" style="1327" customWidth="1"/>
    <col min="514" max="514" width="8.88671875" style="1327"/>
    <col min="515" max="515" width="10.44140625" style="1327" customWidth="1"/>
    <col min="516" max="760" width="8.88671875" style="1327"/>
    <col min="761" max="761" width="3" style="1327" customWidth="1"/>
    <col min="762" max="762" width="4.33203125" style="1327" customWidth="1"/>
    <col min="763" max="763" width="39.44140625" style="1327" customWidth="1"/>
    <col min="764" max="764" width="8.88671875" style="1327" customWidth="1"/>
    <col min="765" max="765" width="10.44140625" style="1327" customWidth="1"/>
    <col min="766" max="766" width="12.33203125" style="1327" customWidth="1"/>
    <col min="767" max="767" width="14.88671875" style="1327" customWidth="1"/>
    <col min="768" max="768" width="8.88671875" style="1327"/>
    <col min="769" max="769" width="14.33203125" style="1327" customWidth="1"/>
    <col min="770" max="770" width="8.88671875" style="1327"/>
    <col min="771" max="771" width="10.44140625" style="1327" customWidth="1"/>
    <col min="772" max="1016" width="8.88671875" style="1327"/>
    <col min="1017" max="1017" width="3" style="1327" customWidth="1"/>
    <col min="1018" max="1018" width="4.33203125" style="1327" customWidth="1"/>
    <col min="1019" max="1019" width="39.44140625" style="1327" customWidth="1"/>
    <col min="1020" max="1020" width="8.88671875" style="1327" customWidth="1"/>
    <col min="1021" max="1021" width="10.44140625" style="1327" customWidth="1"/>
    <col min="1022" max="1022" width="12.33203125" style="1327" customWidth="1"/>
    <col min="1023" max="1023" width="14.88671875" style="1327" customWidth="1"/>
    <col min="1024" max="1024" width="8.88671875" style="1327"/>
    <col min="1025" max="1025" width="14.33203125" style="1327" customWidth="1"/>
    <col min="1026" max="1026" width="8.88671875" style="1327"/>
    <col min="1027" max="1027" width="10.44140625" style="1327" customWidth="1"/>
    <col min="1028" max="1272" width="8.88671875" style="1327"/>
    <col min="1273" max="1273" width="3" style="1327" customWidth="1"/>
    <col min="1274" max="1274" width="4.33203125" style="1327" customWidth="1"/>
    <col min="1275" max="1275" width="39.44140625" style="1327" customWidth="1"/>
    <col min="1276" max="1276" width="8.88671875" style="1327" customWidth="1"/>
    <col min="1277" max="1277" width="10.44140625" style="1327" customWidth="1"/>
    <col min="1278" max="1278" width="12.33203125" style="1327" customWidth="1"/>
    <col min="1279" max="1279" width="14.88671875" style="1327" customWidth="1"/>
    <col min="1280" max="1280" width="8.88671875" style="1327"/>
    <col min="1281" max="1281" width="14.33203125" style="1327" customWidth="1"/>
    <col min="1282" max="1282" width="8.88671875" style="1327"/>
    <col min="1283" max="1283" width="10.44140625" style="1327" customWidth="1"/>
    <col min="1284" max="1528" width="8.88671875" style="1327"/>
    <col min="1529" max="1529" width="3" style="1327" customWidth="1"/>
    <col min="1530" max="1530" width="4.33203125" style="1327" customWidth="1"/>
    <col min="1531" max="1531" width="39.44140625" style="1327" customWidth="1"/>
    <col min="1532" max="1532" width="8.88671875" style="1327" customWidth="1"/>
    <col min="1533" max="1533" width="10.44140625" style="1327" customWidth="1"/>
    <col min="1534" max="1534" width="12.33203125" style="1327" customWidth="1"/>
    <col min="1535" max="1535" width="14.88671875" style="1327" customWidth="1"/>
    <col min="1536" max="1536" width="8.88671875" style="1327"/>
    <col min="1537" max="1537" width="14.33203125" style="1327" customWidth="1"/>
    <col min="1538" max="1538" width="8.88671875" style="1327"/>
    <col min="1539" max="1539" width="10.44140625" style="1327" customWidth="1"/>
    <col min="1540" max="1784" width="8.88671875" style="1327"/>
    <col min="1785" max="1785" width="3" style="1327" customWidth="1"/>
    <col min="1786" max="1786" width="4.33203125" style="1327" customWidth="1"/>
    <col min="1787" max="1787" width="39.44140625" style="1327" customWidth="1"/>
    <col min="1788" max="1788" width="8.88671875" style="1327" customWidth="1"/>
    <col min="1789" max="1789" width="10.44140625" style="1327" customWidth="1"/>
    <col min="1790" max="1790" width="12.33203125" style="1327" customWidth="1"/>
    <col min="1791" max="1791" width="14.88671875" style="1327" customWidth="1"/>
    <col min="1792" max="1792" width="8.88671875" style="1327"/>
    <col min="1793" max="1793" width="14.33203125" style="1327" customWidth="1"/>
    <col min="1794" max="1794" width="8.88671875" style="1327"/>
    <col min="1795" max="1795" width="10.44140625" style="1327" customWidth="1"/>
    <col min="1796" max="2040" width="8.88671875" style="1327"/>
    <col min="2041" max="2041" width="3" style="1327" customWidth="1"/>
    <col min="2042" max="2042" width="4.33203125" style="1327" customWidth="1"/>
    <col min="2043" max="2043" width="39.44140625" style="1327" customWidth="1"/>
    <col min="2044" max="2044" width="8.88671875" style="1327" customWidth="1"/>
    <col min="2045" max="2045" width="10.44140625" style="1327" customWidth="1"/>
    <col min="2046" max="2046" width="12.33203125" style="1327" customWidth="1"/>
    <col min="2047" max="2047" width="14.88671875" style="1327" customWidth="1"/>
    <col min="2048" max="2048" width="8.88671875" style="1327"/>
    <col min="2049" max="2049" width="14.33203125" style="1327" customWidth="1"/>
    <col min="2050" max="2050" width="8.88671875" style="1327"/>
    <col min="2051" max="2051" width="10.44140625" style="1327" customWidth="1"/>
    <col min="2052" max="2296" width="8.88671875" style="1327"/>
    <col min="2297" max="2297" width="3" style="1327" customWidth="1"/>
    <col min="2298" max="2298" width="4.33203125" style="1327" customWidth="1"/>
    <col min="2299" max="2299" width="39.44140625" style="1327" customWidth="1"/>
    <col min="2300" max="2300" width="8.88671875" style="1327" customWidth="1"/>
    <col min="2301" max="2301" width="10.44140625" style="1327" customWidth="1"/>
    <col min="2302" max="2302" width="12.33203125" style="1327" customWidth="1"/>
    <col min="2303" max="2303" width="14.88671875" style="1327" customWidth="1"/>
    <col min="2304" max="2304" width="8.88671875" style="1327"/>
    <col min="2305" max="2305" width="14.33203125" style="1327" customWidth="1"/>
    <col min="2306" max="2306" width="8.88671875" style="1327"/>
    <col min="2307" max="2307" width="10.44140625" style="1327" customWidth="1"/>
    <col min="2308" max="2552" width="8.88671875" style="1327"/>
    <col min="2553" max="2553" width="3" style="1327" customWidth="1"/>
    <col min="2554" max="2554" width="4.33203125" style="1327" customWidth="1"/>
    <col min="2555" max="2555" width="39.44140625" style="1327" customWidth="1"/>
    <col min="2556" max="2556" width="8.88671875" style="1327" customWidth="1"/>
    <col min="2557" max="2557" width="10.44140625" style="1327" customWidth="1"/>
    <col min="2558" max="2558" width="12.33203125" style="1327" customWidth="1"/>
    <col min="2559" max="2559" width="14.88671875" style="1327" customWidth="1"/>
    <col min="2560" max="2560" width="8.88671875" style="1327"/>
    <col min="2561" max="2561" width="14.33203125" style="1327" customWidth="1"/>
    <col min="2562" max="2562" width="8.88671875" style="1327"/>
    <col min="2563" max="2563" width="10.44140625" style="1327" customWidth="1"/>
    <col min="2564" max="2808" width="8.88671875" style="1327"/>
    <col min="2809" max="2809" width="3" style="1327" customWidth="1"/>
    <col min="2810" max="2810" width="4.33203125" style="1327" customWidth="1"/>
    <col min="2811" max="2811" width="39.44140625" style="1327" customWidth="1"/>
    <col min="2812" max="2812" width="8.88671875" style="1327" customWidth="1"/>
    <col min="2813" max="2813" width="10.44140625" style="1327" customWidth="1"/>
    <col min="2814" max="2814" width="12.33203125" style="1327" customWidth="1"/>
    <col min="2815" max="2815" width="14.88671875" style="1327" customWidth="1"/>
    <col min="2816" max="2816" width="8.88671875" style="1327"/>
    <col min="2817" max="2817" width="14.33203125" style="1327" customWidth="1"/>
    <col min="2818" max="2818" width="8.88671875" style="1327"/>
    <col min="2819" max="2819" width="10.44140625" style="1327" customWidth="1"/>
    <col min="2820" max="3064" width="8.88671875" style="1327"/>
    <col min="3065" max="3065" width="3" style="1327" customWidth="1"/>
    <col min="3066" max="3066" width="4.33203125" style="1327" customWidth="1"/>
    <col min="3067" max="3067" width="39.44140625" style="1327" customWidth="1"/>
    <col min="3068" max="3068" width="8.88671875" style="1327" customWidth="1"/>
    <col min="3069" max="3069" width="10.44140625" style="1327" customWidth="1"/>
    <col min="3070" max="3070" width="12.33203125" style="1327" customWidth="1"/>
    <col min="3071" max="3071" width="14.88671875" style="1327" customWidth="1"/>
    <col min="3072" max="3072" width="8.88671875" style="1327"/>
    <col min="3073" max="3073" width="14.33203125" style="1327" customWidth="1"/>
    <col min="3074" max="3074" width="8.88671875" style="1327"/>
    <col min="3075" max="3075" width="10.44140625" style="1327" customWidth="1"/>
    <col min="3076" max="3320" width="8.88671875" style="1327"/>
    <col min="3321" max="3321" width="3" style="1327" customWidth="1"/>
    <col min="3322" max="3322" width="4.33203125" style="1327" customWidth="1"/>
    <col min="3323" max="3323" width="39.44140625" style="1327" customWidth="1"/>
    <col min="3324" max="3324" width="8.88671875" style="1327" customWidth="1"/>
    <col min="3325" max="3325" width="10.44140625" style="1327" customWidth="1"/>
    <col min="3326" max="3326" width="12.33203125" style="1327" customWidth="1"/>
    <col min="3327" max="3327" width="14.88671875" style="1327" customWidth="1"/>
    <col min="3328" max="3328" width="8.88671875" style="1327"/>
    <col min="3329" max="3329" width="14.33203125" style="1327" customWidth="1"/>
    <col min="3330" max="3330" width="8.88671875" style="1327"/>
    <col min="3331" max="3331" width="10.44140625" style="1327" customWidth="1"/>
    <col min="3332" max="3576" width="8.88671875" style="1327"/>
    <col min="3577" max="3577" width="3" style="1327" customWidth="1"/>
    <col min="3578" max="3578" width="4.33203125" style="1327" customWidth="1"/>
    <col min="3579" max="3579" width="39.44140625" style="1327" customWidth="1"/>
    <col min="3580" max="3580" width="8.88671875" style="1327" customWidth="1"/>
    <col min="3581" max="3581" width="10.44140625" style="1327" customWidth="1"/>
    <col min="3582" max="3582" width="12.33203125" style="1327" customWidth="1"/>
    <col min="3583" max="3583" width="14.88671875" style="1327" customWidth="1"/>
    <col min="3584" max="3584" width="8.88671875" style="1327"/>
    <col min="3585" max="3585" width="14.33203125" style="1327" customWidth="1"/>
    <col min="3586" max="3586" width="8.88671875" style="1327"/>
    <col min="3587" max="3587" width="10.44140625" style="1327" customWidth="1"/>
    <col min="3588" max="3832" width="8.88671875" style="1327"/>
    <col min="3833" max="3833" width="3" style="1327" customWidth="1"/>
    <col min="3834" max="3834" width="4.33203125" style="1327" customWidth="1"/>
    <col min="3835" max="3835" width="39.44140625" style="1327" customWidth="1"/>
    <col min="3836" max="3836" width="8.88671875" style="1327" customWidth="1"/>
    <col min="3837" max="3837" width="10.44140625" style="1327" customWidth="1"/>
    <col min="3838" max="3838" width="12.33203125" style="1327" customWidth="1"/>
    <col min="3839" max="3839" width="14.88671875" style="1327" customWidth="1"/>
    <col min="3840" max="3840" width="8.88671875" style="1327"/>
    <col min="3841" max="3841" width="14.33203125" style="1327" customWidth="1"/>
    <col min="3842" max="3842" width="8.88671875" style="1327"/>
    <col min="3843" max="3843" width="10.44140625" style="1327" customWidth="1"/>
    <col min="3844" max="4088" width="8.88671875" style="1327"/>
    <col min="4089" max="4089" width="3" style="1327" customWidth="1"/>
    <col min="4090" max="4090" width="4.33203125" style="1327" customWidth="1"/>
    <col min="4091" max="4091" width="39.44140625" style="1327" customWidth="1"/>
    <col min="4092" max="4092" width="8.88671875" style="1327" customWidth="1"/>
    <col min="4093" max="4093" width="10.44140625" style="1327" customWidth="1"/>
    <col min="4094" max="4094" width="12.33203125" style="1327" customWidth="1"/>
    <col min="4095" max="4095" width="14.88671875" style="1327" customWidth="1"/>
    <col min="4096" max="4096" width="8.88671875" style="1327"/>
    <col min="4097" max="4097" width="14.33203125" style="1327" customWidth="1"/>
    <col min="4098" max="4098" width="8.88671875" style="1327"/>
    <col min="4099" max="4099" width="10.44140625" style="1327" customWidth="1"/>
    <col min="4100" max="4344" width="8.88671875" style="1327"/>
    <col min="4345" max="4345" width="3" style="1327" customWidth="1"/>
    <col min="4346" max="4346" width="4.33203125" style="1327" customWidth="1"/>
    <col min="4347" max="4347" width="39.44140625" style="1327" customWidth="1"/>
    <col min="4348" max="4348" width="8.88671875" style="1327" customWidth="1"/>
    <col min="4349" max="4349" width="10.44140625" style="1327" customWidth="1"/>
    <col min="4350" max="4350" width="12.33203125" style="1327" customWidth="1"/>
    <col min="4351" max="4351" width="14.88671875" style="1327" customWidth="1"/>
    <col min="4352" max="4352" width="8.88671875" style="1327"/>
    <col min="4353" max="4353" width="14.33203125" style="1327" customWidth="1"/>
    <col min="4354" max="4354" width="8.88671875" style="1327"/>
    <col min="4355" max="4355" width="10.44140625" style="1327" customWidth="1"/>
    <col min="4356" max="4600" width="8.88671875" style="1327"/>
    <col min="4601" max="4601" width="3" style="1327" customWidth="1"/>
    <col min="4602" max="4602" width="4.33203125" style="1327" customWidth="1"/>
    <col min="4603" max="4603" width="39.44140625" style="1327" customWidth="1"/>
    <col min="4604" max="4604" width="8.88671875" style="1327" customWidth="1"/>
    <col min="4605" max="4605" width="10.44140625" style="1327" customWidth="1"/>
    <col min="4606" max="4606" width="12.33203125" style="1327" customWidth="1"/>
    <col min="4607" max="4607" width="14.88671875" style="1327" customWidth="1"/>
    <col min="4608" max="4608" width="8.88671875" style="1327"/>
    <col min="4609" max="4609" width="14.33203125" style="1327" customWidth="1"/>
    <col min="4610" max="4610" width="8.88671875" style="1327"/>
    <col min="4611" max="4611" width="10.44140625" style="1327" customWidth="1"/>
    <col min="4612" max="4856" width="8.88671875" style="1327"/>
    <col min="4857" max="4857" width="3" style="1327" customWidth="1"/>
    <col min="4858" max="4858" width="4.33203125" style="1327" customWidth="1"/>
    <col min="4859" max="4859" width="39.44140625" style="1327" customWidth="1"/>
    <col min="4860" max="4860" width="8.88671875" style="1327" customWidth="1"/>
    <col min="4861" max="4861" width="10.44140625" style="1327" customWidth="1"/>
    <col min="4862" max="4862" width="12.33203125" style="1327" customWidth="1"/>
    <col min="4863" max="4863" width="14.88671875" style="1327" customWidth="1"/>
    <col min="4864" max="4864" width="8.88671875" style="1327"/>
    <col min="4865" max="4865" width="14.33203125" style="1327" customWidth="1"/>
    <col min="4866" max="4866" width="8.88671875" style="1327"/>
    <col min="4867" max="4867" width="10.44140625" style="1327" customWidth="1"/>
    <col min="4868" max="5112" width="8.88671875" style="1327"/>
    <col min="5113" max="5113" width="3" style="1327" customWidth="1"/>
    <col min="5114" max="5114" width="4.33203125" style="1327" customWidth="1"/>
    <col min="5115" max="5115" width="39.44140625" style="1327" customWidth="1"/>
    <col min="5116" max="5116" width="8.88671875" style="1327" customWidth="1"/>
    <col min="5117" max="5117" width="10.44140625" style="1327" customWidth="1"/>
    <col min="5118" max="5118" width="12.33203125" style="1327" customWidth="1"/>
    <col min="5119" max="5119" width="14.88671875" style="1327" customWidth="1"/>
    <col min="5120" max="5120" width="8.88671875" style="1327"/>
    <col min="5121" max="5121" width="14.33203125" style="1327" customWidth="1"/>
    <col min="5122" max="5122" width="8.88671875" style="1327"/>
    <col min="5123" max="5123" width="10.44140625" style="1327" customWidth="1"/>
    <col min="5124" max="5368" width="8.88671875" style="1327"/>
    <col min="5369" max="5369" width="3" style="1327" customWidth="1"/>
    <col min="5370" max="5370" width="4.33203125" style="1327" customWidth="1"/>
    <col min="5371" max="5371" width="39.44140625" style="1327" customWidth="1"/>
    <col min="5372" max="5372" width="8.88671875" style="1327" customWidth="1"/>
    <col min="5373" max="5373" width="10.44140625" style="1327" customWidth="1"/>
    <col min="5374" max="5374" width="12.33203125" style="1327" customWidth="1"/>
    <col min="5375" max="5375" width="14.88671875" style="1327" customWidth="1"/>
    <col min="5376" max="5376" width="8.88671875" style="1327"/>
    <col min="5377" max="5377" width="14.33203125" style="1327" customWidth="1"/>
    <col min="5378" max="5378" width="8.88671875" style="1327"/>
    <col min="5379" max="5379" width="10.44140625" style="1327" customWidth="1"/>
    <col min="5380" max="5624" width="8.88671875" style="1327"/>
    <col min="5625" max="5625" width="3" style="1327" customWidth="1"/>
    <col min="5626" max="5626" width="4.33203125" style="1327" customWidth="1"/>
    <col min="5627" max="5627" width="39.44140625" style="1327" customWidth="1"/>
    <col min="5628" max="5628" width="8.88671875" style="1327" customWidth="1"/>
    <col min="5629" max="5629" width="10.44140625" style="1327" customWidth="1"/>
    <col min="5630" max="5630" width="12.33203125" style="1327" customWidth="1"/>
    <col min="5631" max="5631" width="14.88671875" style="1327" customWidth="1"/>
    <col min="5632" max="5632" width="8.88671875" style="1327"/>
    <col min="5633" max="5633" width="14.33203125" style="1327" customWidth="1"/>
    <col min="5634" max="5634" width="8.88671875" style="1327"/>
    <col min="5635" max="5635" width="10.44140625" style="1327" customWidth="1"/>
    <col min="5636" max="5880" width="8.88671875" style="1327"/>
    <col min="5881" max="5881" width="3" style="1327" customWidth="1"/>
    <col min="5882" max="5882" width="4.33203125" style="1327" customWidth="1"/>
    <col min="5883" max="5883" width="39.44140625" style="1327" customWidth="1"/>
    <col min="5884" max="5884" width="8.88671875" style="1327" customWidth="1"/>
    <col min="5885" max="5885" width="10.44140625" style="1327" customWidth="1"/>
    <col min="5886" max="5886" width="12.33203125" style="1327" customWidth="1"/>
    <col min="5887" max="5887" width="14.88671875" style="1327" customWidth="1"/>
    <col min="5888" max="5888" width="8.88671875" style="1327"/>
    <col min="5889" max="5889" width="14.33203125" style="1327" customWidth="1"/>
    <col min="5890" max="5890" width="8.88671875" style="1327"/>
    <col min="5891" max="5891" width="10.44140625" style="1327" customWidth="1"/>
    <col min="5892" max="6136" width="8.88671875" style="1327"/>
    <col min="6137" max="6137" width="3" style="1327" customWidth="1"/>
    <col min="6138" max="6138" width="4.33203125" style="1327" customWidth="1"/>
    <col min="6139" max="6139" width="39.44140625" style="1327" customWidth="1"/>
    <col min="6140" max="6140" width="8.88671875" style="1327" customWidth="1"/>
    <col min="6141" max="6141" width="10.44140625" style="1327" customWidth="1"/>
    <col min="6142" max="6142" width="12.33203125" style="1327" customWidth="1"/>
    <col min="6143" max="6143" width="14.88671875" style="1327" customWidth="1"/>
    <col min="6144" max="6144" width="8.88671875" style="1327"/>
    <col min="6145" max="6145" width="14.33203125" style="1327" customWidth="1"/>
    <col min="6146" max="6146" width="8.88671875" style="1327"/>
    <col min="6147" max="6147" width="10.44140625" style="1327" customWidth="1"/>
    <col min="6148" max="6392" width="8.88671875" style="1327"/>
    <col min="6393" max="6393" width="3" style="1327" customWidth="1"/>
    <col min="6394" max="6394" width="4.33203125" style="1327" customWidth="1"/>
    <col min="6395" max="6395" width="39.44140625" style="1327" customWidth="1"/>
    <col min="6396" max="6396" width="8.88671875" style="1327" customWidth="1"/>
    <col min="6397" max="6397" width="10.44140625" style="1327" customWidth="1"/>
    <col min="6398" max="6398" width="12.33203125" style="1327" customWidth="1"/>
    <col min="6399" max="6399" width="14.88671875" style="1327" customWidth="1"/>
    <col min="6400" max="6400" width="8.88671875" style="1327"/>
    <col min="6401" max="6401" width="14.33203125" style="1327" customWidth="1"/>
    <col min="6402" max="6402" width="8.88671875" style="1327"/>
    <col min="6403" max="6403" width="10.44140625" style="1327" customWidth="1"/>
    <col min="6404" max="6648" width="8.88671875" style="1327"/>
    <col min="6649" max="6649" width="3" style="1327" customWidth="1"/>
    <col min="6650" max="6650" width="4.33203125" style="1327" customWidth="1"/>
    <col min="6651" max="6651" width="39.44140625" style="1327" customWidth="1"/>
    <col min="6652" max="6652" width="8.88671875" style="1327" customWidth="1"/>
    <col min="6653" max="6653" width="10.44140625" style="1327" customWidth="1"/>
    <col min="6654" max="6654" width="12.33203125" style="1327" customWidth="1"/>
    <col min="6655" max="6655" width="14.88671875" style="1327" customWidth="1"/>
    <col min="6656" max="6656" width="8.88671875" style="1327"/>
    <col min="6657" max="6657" width="14.33203125" style="1327" customWidth="1"/>
    <col min="6658" max="6658" width="8.88671875" style="1327"/>
    <col min="6659" max="6659" width="10.44140625" style="1327" customWidth="1"/>
    <col min="6660" max="6904" width="8.88671875" style="1327"/>
    <col min="6905" max="6905" width="3" style="1327" customWidth="1"/>
    <col min="6906" max="6906" width="4.33203125" style="1327" customWidth="1"/>
    <col min="6907" max="6907" width="39.44140625" style="1327" customWidth="1"/>
    <col min="6908" max="6908" width="8.88671875" style="1327" customWidth="1"/>
    <col min="6909" max="6909" width="10.44140625" style="1327" customWidth="1"/>
    <col min="6910" max="6910" width="12.33203125" style="1327" customWidth="1"/>
    <col min="6911" max="6911" width="14.88671875" style="1327" customWidth="1"/>
    <col min="6912" max="6912" width="8.88671875" style="1327"/>
    <col min="6913" max="6913" width="14.33203125" style="1327" customWidth="1"/>
    <col min="6914" max="6914" width="8.88671875" style="1327"/>
    <col min="6915" max="6915" width="10.44140625" style="1327" customWidth="1"/>
    <col min="6916" max="7160" width="8.88671875" style="1327"/>
    <col min="7161" max="7161" width="3" style="1327" customWidth="1"/>
    <col min="7162" max="7162" width="4.33203125" style="1327" customWidth="1"/>
    <col min="7163" max="7163" width="39.44140625" style="1327" customWidth="1"/>
    <col min="7164" max="7164" width="8.88671875" style="1327" customWidth="1"/>
    <col min="7165" max="7165" width="10.44140625" style="1327" customWidth="1"/>
    <col min="7166" max="7166" width="12.33203125" style="1327" customWidth="1"/>
    <col min="7167" max="7167" width="14.88671875" style="1327" customWidth="1"/>
    <col min="7168" max="7168" width="8.88671875" style="1327"/>
    <col min="7169" max="7169" width="14.33203125" style="1327" customWidth="1"/>
    <col min="7170" max="7170" width="8.88671875" style="1327"/>
    <col min="7171" max="7171" width="10.44140625" style="1327" customWidth="1"/>
    <col min="7172" max="7416" width="8.88671875" style="1327"/>
    <col min="7417" max="7417" width="3" style="1327" customWidth="1"/>
    <col min="7418" max="7418" width="4.33203125" style="1327" customWidth="1"/>
    <col min="7419" max="7419" width="39.44140625" style="1327" customWidth="1"/>
    <col min="7420" max="7420" width="8.88671875" style="1327" customWidth="1"/>
    <col min="7421" max="7421" width="10.44140625" style="1327" customWidth="1"/>
    <col min="7422" max="7422" width="12.33203125" style="1327" customWidth="1"/>
    <col min="7423" max="7423" width="14.88671875" style="1327" customWidth="1"/>
    <col min="7424" max="7424" width="8.88671875" style="1327"/>
    <col min="7425" max="7425" width="14.33203125" style="1327" customWidth="1"/>
    <col min="7426" max="7426" width="8.88671875" style="1327"/>
    <col min="7427" max="7427" width="10.44140625" style="1327" customWidth="1"/>
    <col min="7428" max="7672" width="8.88671875" style="1327"/>
    <col min="7673" max="7673" width="3" style="1327" customWidth="1"/>
    <col min="7674" max="7674" width="4.33203125" style="1327" customWidth="1"/>
    <col min="7675" max="7675" width="39.44140625" style="1327" customWidth="1"/>
    <col min="7676" max="7676" width="8.88671875" style="1327" customWidth="1"/>
    <col min="7677" max="7677" width="10.44140625" style="1327" customWidth="1"/>
    <col min="7678" max="7678" width="12.33203125" style="1327" customWidth="1"/>
    <col min="7679" max="7679" width="14.88671875" style="1327" customWidth="1"/>
    <col min="7680" max="7680" width="8.88671875" style="1327"/>
    <col min="7681" max="7681" width="14.33203125" style="1327" customWidth="1"/>
    <col min="7682" max="7682" width="8.88671875" style="1327"/>
    <col min="7683" max="7683" width="10.44140625" style="1327" customWidth="1"/>
    <col min="7684" max="7928" width="8.88671875" style="1327"/>
    <col min="7929" max="7929" width="3" style="1327" customWidth="1"/>
    <col min="7930" max="7930" width="4.33203125" style="1327" customWidth="1"/>
    <col min="7931" max="7931" width="39.44140625" style="1327" customWidth="1"/>
    <col min="7932" max="7932" width="8.88671875" style="1327" customWidth="1"/>
    <col min="7933" max="7933" width="10.44140625" style="1327" customWidth="1"/>
    <col min="7934" max="7934" width="12.33203125" style="1327" customWidth="1"/>
    <col min="7935" max="7935" width="14.88671875" style="1327" customWidth="1"/>
    <col min="7936" max="7936" width="8.88671875" style="1327"/>
    <col min="7937" max="7937" width="14.33203125" style="1327" customWidth="1"/>
    <col min="7938" max="7938" width="8.88671875" style="1327"/>
    <col min="7939" max="7939" width="10.44140625" style="1327" customWidth="1"/>
    <col min="7940" max="8184" width="8.88671875" style="1327"/>
    <col min="8185" max="8185" width="3" style="1327" customWidth="1"/>
    <col min="8186" max="8186" width="4.33203125" style="1327" customWidth="1"/>
    <col min="8187" max="8187" width="39.44140625" style="1327" customWidth="1"/>
    <col min="8188" max="8188" width="8.88671875" style="1327" customWidth="1"/>
    <col min="8189" max="8189" width="10.44140625" style="1327" customWidth="1"/>
    <col min="8190" max="8190" width="12.33203125" style="1327" customWidth="1"/>
    <col min="8191" max="8191" width="14.88671875" style="1327" customWidth="1"/>
    <col min="8192" max="8192" width="8.88671875" style="1327"/>
    <col min="8193" max="8193" width="14.33203125" style="1327" customWidth="1"/>
    <col min="8194" max="8194" width="8.88671875" style="1327"/>
    <col min="8195" max="8195" width="10.44140625" style="1327" customWidth="1"/>
    <col min="8196" max="8440" width="8.88671875" style="1327"/>
    <col min="8441" max="8441" width="3" style="1327" customWidth="1"/>
    <col min="8442" max="8442" width="4.33203125" style="1327" customWidth="1"/>
    <col min="8443" max="8443" width="39.44140625" style="1327" customWidth="1"/>
    <col min="8444" max="8444" width="8.88671875" style="1327" customWidth="1"/>
    <col min="8445" max="8445" width="10.44140625" style="1327" customWidth="1"/>
    <col min="8446" max="8446" width="12.33203125" style="1327" customWidth="1"/>
    <col min="8447" max="8447" width="14.88671875" style="1327" customWidth="1"/>
    <col min="8448" max="8448" width="8.88671875" style="1327"/>
    <col min="8449" max="8449" width="14.33203125" style="1327" customWidth="1"/>
    <col min="8450" max="8450" width="8.88671875" style="1327"/>
    <col min="8451" max="8451" width="10.44140625" style="1327" customWidth="1"/>
    <col min="8452" max="8696" width="8.88671875" style="1327"/>
    <col min="8697" max="8697" width="3" style="1327" customWidth="1"/>
    <col min="8698" max="8698" width="4.33203125" style="1327" customWidth="1"/>
    <col min="8699" max="8699" width="39.44140625" style="1327" customWidth="1"/>
    <col min="8700" max="8700" width="8.88671875" style="1327" customWidth="1"/>
    <col min="8701" max="8701" width="10.44140625" style="1327" customWidth="1"/>
    <col min="8702" max="8702" width="12.33203125" style="1327" customWidth="1"/>
    <col min="8703" max="8703" width="14.88671875" style="1327" customWidth="1"/>
    <col min="8704" max="8704" width="8.88671875" style="1327"/>
    <col min="8705" max="8705" width="14.33203125" style="1327" customWidth="1"/>
    <col min="8706" max="8706" width="8.88671875" style="1327"/>
    <col min="8707" max="8707" width="10.44140625" style="1327" customWidth="1"/>
    <col min="8708" max="8952" width="8.88671875" style="1327"/>
    <col min="8953" max="8953" width="3" style="1327" customWidth="1"/>
    <col min="8954" max="8954" width="4.33203125" style="1327" customWidth="1"/>
    <col min="8955" max="8955" width="39.44140625" style="1327" customWidth="1"/>
    <col min="8956" max="8956" width="8.88671875" style="1327" customWidth="1"/>
    <col min="8957" max="8957" width="10.44140625" style="1327" customWidth="1"/>
    <col min="8958" max="8958" width="12.33203125" style="1327" customWidth="1"/>
    <col min="8959" max="8959" width="14.88671875" style="1327" customWidth="1"/>
    <col min="8960" max="8960" width="8.88671875" style="1327"/>
    <col min="8961" max="8961" width="14.33203125" style="1327" customWidth="1"/>
    <col min="8962" max="8962" width="8.88671875" style="1327"/>
    <col min="8963" max="8963" width="10.44140625" style="1327" customWidth="1"/>
    <col min="8964" max="9208" width="8.88671875" style="1327"/>
    <col min="9209" max="9209" width="3" style="1327" customWidth="1"/>
    <col min="9210" max="9210" width="4.33203125" style="1327" customWidth="1"/>
    <col min="9211" max="9211" width="39.44140625" style="1327" customWidth="1"/>
    <col min="9212" max="9212" width="8.88671875" style="1327" customWidth="1"/>
    <col min="9213" max="9213" width="10.44140625" style="1327" customWidth="1"/>
    <col min="9214" max="9214" width="12.33203125" style="1327" customWidth="1"/>
    <col min="9215" max="9215" width="14.88671875" style="1327" customWidth="1"/>
    <col min="9216" max="9216" width="8.88671875" style="1327"/>
    <col min="9217" max="9217" width="14.33203125" style="1327" customWidth="1"/>
    <col min="9218" max="9218" width="8.88671875" style="1327"/>
    <col min="9219" max="9219" width="10.44140625" style="1327" customWidth="1"/>
    <col min="9220" max="9464" width="8.88671875" style="1327"/>
    <col min="9465" max="9465" width="3" style="1327" customWidth="1"/>
    <col min="9466" max="9466" width="4.33203125" style="1327" customWidth="1"/>
    <col min="9467" max="9467" width="39.44140625" style="1327" customWidth="1"/>
    <col min="9468" max="9468" width="8.88671875" style="1327" customWidth="1"/>
    <col min="9469" max="9469" width="10.44140625" style="1327" customWidth="1"/>
    <col min="9470" max="9470" width="12.33203125" style="1327" customWidth="1"/>
    <col min="9471" max="9471" width="14.88671875" style="1327" customWidth="1"/>
    <col min="9472" max="9472" width="8.88671875" style="1327"/>
    <col min="9473" max="9473" width="14.33203125" style="1327" customWidth="1"/>
    <col min="9474" max="9474" width="8.88671875" style="1327"/>
    <col min="9475" max="9475" width="10.44140625" style="1327" customWidth="1"/>
    <col min="9476" max="9720" width="8.88671875" style="1327"/>
    <col min="9721" max="9721" width="3" style="1327" customWidth="1"/>
    <col min="9722" max="9722" width="4.33203125" style="1327" customWidth="1"/>
    <col min="9723" max="9723" width="39.44140625" style="1327" customWidth="1"/>
    <col min="9724" max="9724" width="8.88671875" style="1327" customWidth="1"/>
    <col min="9725" max="9725" width="10.44140625" style="1327" customWidth="1"/>
    <col min="9726" max="9726" width="12.33203125" style="1327" customWidth="1"/>
    <col min="9727" max="9727" width="14.88671875" style="1327" customWidth="1"/>
    <col min="9728" max="9728" width="8.88671875" style="1327"/>
    <col min="9729" max="9729" width="14.33203125" style="1327" customWidth="1"/>
    <col min="9730" max="9730" width="8.88671875" style="1327"/>
    <col min="9731" max="9731" width="10.44140625" style="1327" customWidth="1"/>
    <col min="9732" max="9976" width="8.88671875" style="1327"/>
    <col min="9977" max="9977" width="3" style="1327" customWidth="1"/>
    <col min="9978" max="9978" width="4.33203125" style="1327" customWidth="1"/>
    <col min="9979" max="9979" width="39.44140625" style="1327" customWidth="1"/>
    <col min="9980" max="9980" width="8.88671875" style="1327" customWidth="1"/>
    <col min="9981" max="9981" width="10.44140625" style="1327" customWidth="1"/>
    <col min="9982" max="9982" width="12.33203125" style="1327" customWidth="1"/>
    <col min="9983" max="9983" width="14.88671875" style="1327" customWidth="1"/>
    <col min="9984" max="9984" width="8.88671875" style="1327"/>
    <col min="9985" max="9985" width="14.33203125" style="1327" customWidth="1"/>
    <col min="9986" max="9986" width="8.88671875" style="1327"/>
    <col min="9987" max="9987" width="10.44140625" style="1327" customWidth="1"/>
    <col min="9988" max="10232" width="8.88671875" style="1327"/>
    <col min="10233" max="10233" width="3" style="1327" customWidth="1"/>
    <col min="10234" max="10234" width="4.33203125" style="1327" customWidth="1"/>
    <col min="10235" max="10235" width="39.44140625" style="1327" customWidth="1"/>
    <col min="10236" max="10236" width="8.88671875" style="1327" customWidth="1"/>
    <col min="10237" max="10237" width="10.44140625" style="1327" customWidth="1"/>
    <col min="10238" max="10238" width="12.33203125" style="1327" customWidth="1"/>
    <col min="10239" max="10239" width="14.88671875" style="1327" customWidth="1"/>
    <col min="10240" max="10240" width="8.88671875" style="1327"/>
    <col min="10241" max="10241" width="14.33203125" style="1327" customWidth="1"/>
    <col min="10242" max="10242" width="8.88671875" style="1327"/>
    <col min="10243" max="10243" width="10.44140625" style="1327" customWidth="1"/>
    <col min="10244" max="10488" width="8.88671875" style="1327"/>
    <col min="10489" max="10489" width="3" style="1327" customWidth="1"/>
    <col min="10490" max="10490" width="4.33203125" style="1327" customWidth="1"/>
    <col min="10491" max="10491" width="39.44140625" style="1327" customWidth="1"/>
    <col min="10492" max="10492" width="8.88671875" style="1327" customWidth="1"/>
    <col min="10493" max="10493" width="10.44140625" style="1327" customWidth="1"/>
    <col min="10494" max="10494" width="12.33203125" style="1327" customWidth="1"/>
    <col min="10495" max="10495" width="14.88671875" style="1327" customWidth="1"/>
    <col min="10496" max="10496" width="8.88671875" style="1327"/>
    <col min="10497" max="10497" width="14.33203125" style="1327" customWidth="1"/>
    <col min="10498" max="10498" width="8.88671875" style="1327"/>
    <col min="10499" max="10499" width="10.44140625" style="1327" customWidth="1"/>
    <col min="10500" max="10744" width="8.88671875" style="1327"/>
    <col min="10745" max="10745" width="3" style="1327" customWidth="1"/>
    <col min="10746" max="10746" width="4.33203125" style="1327" customWidth="1"/>
    <col min="10747" max="10747" width="39.44140625" style="1327" customWidth="1"/>
    <col min="10748" max="10748" width="8.88671875" style="1327" customWidth="1"/>
    <col min="10749" max="10749" width="10.44140625" style="1327" customWidth="1"/>
    <col min="10750" max="10750" width="12.33203125" style="1327" customWidth="1"/>
    <col min="10751" max="10751" width="14.88671875" style="1327" customWidth="1"/>
    <col min="10752" max="10752" width="8.88671875" style="1327"/>
    <col min="10753" max="10753" width="14.33203125" style="1327" customWidth="1"/>
    <col min="10754" max="10754" width="8.88671875" style="1327"/>
    <col min="10755" max="10755" width="10.44140625" style="1327" customWidth="1"/>
    <col min="10756" max="11000" width="8.88671875" style="1327"/>
    <col min="11001" max="11001" width="3" style="1327" customWidth="1"/>
    <col min="11002" max="11002" width="4.33203125" style="1327" customWidth="1"/>
    <col min="11003" max="11003" width="39.44140625" style="1327" customWidth="1"/>
    <col min="11004" max="11004" width="8.88671875" style="1327" customWidth="1"/>
    <col min="11005" max="11005" width="10.44140625" style="1327" customWidth="1"/>
    <col min="11006" max="11006" width="12.33203125" style="1327" customWidth="1"/>
    <col min="11007" max="11007" width="14.88671875" style="1327" customWidth="1"/>
    <col min="11008" max="11008" width="8.88671875" style="1327"/>
    <col min="11009" max="11009" width="14.33203125" style="1327" customWidth="1"/>
    <col min="11010" max="11010" width="8.88671875" style="1327"/>
    <col min="11011" max="11011" width="10.44140625" style="1327" customWidth="1"/>
    <col min="11012" max="11256" width="8.88671875" style="1327"/>
    <col min="11257" max="11257" width="3" style="1327" customWidth="1"/>
    <col min="11258" max="11258" width="4.33203125" style="1327" customWidth="1"/>
    <col min="11259" max="11259" width="39.44140625" style="1327" customWidth="1"/>
    <col min="11260" max="11260" width="8.88671875" style="1327" customWidth="1"/>
    <col min="11261" max="11261" width="10.44140625" style="1327" customWidth="1"/>
    <col min="11262" max="11262" width="12.33203125" style="1327" customWidth="1"/>
    <col min="11263" max="11263" width="14.88671875" style="1327" customWidth="1"/>
    <col min="11264" max="11264" width="8.88671875" style="1327"/>
    <col min="11265" max="11265" width="14.33203125" style="1327" customWidth="1"/>
    <col min="11266" max="11266" width="8.88671875" style="1327"/>
    <col min="11267" max="11267" width="10.44140625" style="1327" customWidth="1"/>
    <col min="11268" max="11512" width="8.88671875" style="1327"/>
    <col min="11513" max="11513" width="3" style="1327" customWidth="1"/>
    <col min="11514" max="11514" width="4.33203125" style="1327" customWidth="1"/>
    <col min="11515" max="11515" width="39.44140625" style="1327" customWidth="1"/>
    <col min="11516" max="11516" width="8.88671875" style="1327" customWidth="1"/>
    <col min="11517" max="11517" width="10.44140625" style="1327" customWidth="1"/>
    <col min="11518" max="11518" width="12.33203125" style="1327" customWidth="1"/>
    <col min="11519" max="11519" width="14.88671875" style="1327" customWidth="1"/>
    <col min="11520" max="11520" width="8.88671875" style="1327"/>
    <col min="11521" max="11521" width="14.33203125" style="1327" customWidth="1"/>
    <col min="11522" max="11522" width="8.88671875" style="1327"/>
    <col min="11523" max="11523" width="10.44140625" style="1327" customWidth="1"/>
    <col min="11524" max="11768" width="8.88671875" style="1327"/>
    <col min="11769" max="11769" width="3" style="1327" customWidth="1"/>
    <col min="11770" max="11770" width="4.33203125" style="1327" customWidth="1"/>
    <col min="11771" max="11771" width="39.44140625" style="1327" customWidth="1"/>
    <col min="11772" max="11772" width="8.88671875" style="1327" customWidth="1"/>
    <col min="11773" max="11773" width="10.44140625" style="1327" customWidth="1"/>
    <col min="11774" max="11774" width="12.33203125" style="1327" customWidth="1"/>
    <col min="11775" max="11775" width="14.88671875" style="1327" customWidth="1"/>
    <col min="11776" max="11776" width="8.88671875" style="1327"/>
    <col min="11777" max="11777" width="14.33203125" style="1327" customWidth="1"/>
    <col min="11778" max="11778" width="8.88671875" style="1327"/>
    <col min="11779" max="11779" width="10.44140625" style="1327" customWidth="1"/>
    <col min="11780" max="12024" width="8.88671875" style="1327"/>
    <col min="12025" max="12025" width="3" style="1327" customWidth="1"/>
    <col min="12026" max="12026" width="4.33203125" style="1327" customWidth="1"/>
    <col min="12027" max="12027" width="39.44140625" style="1327" customWidth="1"/>
    <col min="12028" max="12028" width="8.88671875" style="1327" customWidth="1"/>
    <col min="12029" max="12029" width="10.44140625" style="1327" customWidth="1"/>
    <col min="12030" max="12030" width="12.33203125" style="1327" customWidth="1"/>
    <col min="12031" max="12031" width="14.88671875" style="1327" customWidth="1"/>
    <col min="12032" max="12032" width="8.88671875" style="1327"/>
    <col min="12033" max="12033" width="14.33203125" style="1327" customWidth="1"/>
    <col min="12034" max="12034" width="8.88671875" style="1327"/>
    <col min="12035" max="12035" width="10.44140625" style="1327" customWidth="1"/>
    <col min="12036" max="12280" width="8.88671875" style="1327"/>
    <col min="12281" max="12281" width="3" style="1327" customWidth="1"/>
    <col min="12282" max="12282" width="4.33203125" style="1327" customWidth="1"/>
    <col min="12283" max="12283" width="39.44140625" style="1327" customWidth="1"/>
    <col min="12284" max="12284" width="8.88671875" style="1327" customWidth="1"/>
    <col min="12285" max="12285" width="10.44140625" style="1327" customWidth="1"/>
    <col min="12286" max="12286" width="12.33203125" style="1327" customWidth="1"/>
    <col min="12287" max="12287" width="14.88671875" style="1327" customWidth="1"/>
    <col min="12288" max="12288" width="8.88671875" style="1327"/>
    <col min="12289" max="12289" width="14.33203125" style="1327" customWidth="1"/>
    <col min="12290" max="12290" width="8.88671875" style="1327"/>
    <col min="12291" max="12291" width="10.44140625" style="1327" customWidth="1"/>
    <col min="12292" max="12536" width="8.88671875" style="1327"/>
    <col min="12537" max="12537" width="3" style="1327" customWidth="1"/>
    <col min="12538" max="12538" width="4.33203125" style="1327" customWidth="1"/>
    <col min="12539" max="12539" width="39.44140625" style="1327" customWidth="1"/>
    <col min="12540" max="12540" width="8.88671875" style="1327" customWidth="1"/>
    <col min="12541" max="12541" width="10.44140625" style="1327" customWidth="1"/>
    <col min="12542" max="12542" width="12.33203125" style="1327" customWidth="1"/>
    <col min="12543" max="12543" width="14.88671875" style="1327" customWidth="1"/>
    <col min="12544" max="12544" width="8.88671875" style="1327"/>
    <col min="12545" max="12545" width="14.33203125" style="1327" customWidth="1"/>
    <col min="12546" max="12546" width="8.88671875" style="1327"/>
    <col min="12547" max="12547" width="10.44140625" style="1327" customWidth="1"/>
    <col min="12548" max="12792" width="8.88671875" style="1327"/>
    <col min="12793" max="12793" width="3" style="1327" customWidth="1"/>
    <col min="12794" max="12794" width="4.33203125" style="1327" customWidth="1"/>
    <col min="12795" max="12795" width="39.44140625" style="1327" customWidth="1"/>
    <col min="12796" max="12796" width="8.88671875" style="1327" customWidth="1"/>
    <col min="12797" max="12797" width="10.44140625" style="1327" customWidth="1"/>
    <col min="12798" max="12798" width="12.33203125" style="1327" customWidth="1"/>
    <col min="12799" max="12799" width="14.88671875" style="1327" customWidth="1"/>
    <col min="12800" max="12800" width="8.88671875" style="1327"/>
    <col min="12801" max="12801" width="14.33203125" style="1327" customWidth="1"/>
    <col min="12802" max="12802" width="8.88671875" style="1327"/>
    <col min="12803" max="12803" width="10.44140625" style="1327" customWidth="1"/>
    <col min="12804" max="13048" width="8.88671875" style="1327"/>
    <col min="13049" max="13049" width="3" style="1327" customWidth="1"/>
    <col min="13050" max="13050" width="4.33203125" style="1327" customWidth="1"/>
    <col min="13051" max="13051" width="39.44140625" style="1327" customWidth="1"/>
    <col min="13052" max="13052" width="8.88671875" style="1327" customWidth="1"/>
    <col min="13053" max="13053" width="10.44140625" style="1327" customWidth="1"/>
    <col min="13054" max="13054" width="12.33203125" style="1327" customWidth="1"/>
    <col min="13055" max="13055" width="14.88671875" style="1327" customWidth="1"/>
    <col min="13056" max="13056" width="8.88671875" style="1327"/>
    <col min="13057" max="13057" width="14.33203125" style="1327" customWidth="1"/>
    <col min="13058" max="13058" width="8.88671875" style="1327"/>
    <col min="13059" max="13059" width="10.44140625" style="1327" customWidth="1"/>
    <col min="13060" max="13304" width="8.88671875" style="1327"/>
    <col min="13305" max="13305" width="3" style="1327" customWidth="1"/>
    <col min="13306" max="13306" width="4.33203125" style="1327" customWidth="1"/>
    <col min="13307" max="13307" width="39.44140625" style="1327" customWidth="1"/>
    <col min="13308" max="13308" width="8.88671875" style="1327" customWidth="1"/>
    <col min="13309" max="13309" width="10.44140625" style="1327" customWidth="1"/>
    <col min="13310" max="13310" width="12.33203125" style="1327" customWidth="1"/>
    <col min="13311" max="13311" width="14.88671875" style="1327" customWidth="1"/>
    <col min="13312" max="13312" width="8.88671875" style="1327"/>
    <col min="13313" max="13313" width="14.33203125" style="1327" customWidth="1"/>
    <col min="13314" max="13314" width="8.88671875" style="1327"/>
    <col min="13315" max="13315" width="10.44140625" style="1327" customWidth="1"/>
    <col min="13316" max="13560" width="8.88671875" style="1327"/>
    <col min="13561" max="13561" width="3" style="1327" customWidth="1"/>
    <col min="13562" max="13562" width="4.33203125" style="1327" customWidth="1"/>
    <col min="13563" max="13563" width="39.44140625" style="1327" customWidth="1"/>
    <col min="13564" max="13564" width="8.88671875" style="1327" customWidth="1"/>
    <col min="13565" max="13565" width="10.44140625" style="1327" customWidth="1"/>
    <col min="13566" max="13566" width="12.33203125" style="1327" customWidth="1"/>
    <col min="13567" max="13567" width="14.88671875" style="1327" customWidth="1"/>
    <col min="13568" max="13568" width="8.88671875" style="1327"/>
    <col min="13569" max="13569" width="14.33203125" style="1327" customWidth="1"/>
    <col min="13570" max="13570" width="8.88671875" style="1327"/>
    <col min="13571" max="13571" width="10.44140625" style="1327" customWidth="1"/>
    <col min="13572" max="13816" width="8.88671875" style="1327"/>
    <col min="13817" max="13817" width="3" style="1327" customWidth="1"/>
    <col min="13818" max="13818" width="4.33203125" style="1327" customWidth="1"/>
    <col min="13819" max="13819" width="39.44140625" style="1327" customWidth="1"/>
    <col min="13820" max="13820" width="8.88671875" style="1327" customWidth="1"/>
    <col min="13821" max="13821" width="10.44140625" style="1327" customWidth="1"/>
    <col min="13822" max="13822" width="12.33203125" style="1327" customWidth="1"/>
    <col min="13823" max="13823" width="14.88671875" style="1327" customWidth="1"/>
    <col min="13824" max="13824" width="8.88671875" style="1327"/>
    <col min="13825" max="13825" width="14.33203125" style="1327" customWidth="1"/>
    <col min="13826" max="13826" width="8.88671875" style="1327"/>
    <col min="13827" max="13827" width="10.44140625" style="1327" customWidth="1"/>
    <col min="13828" max="14072" width="8.88671875" style="1327"/>
    <col min="14073" max="14073" width="3" style="1327" customWidth="1"/>
    <col min="14074" max="14074" width="4.33203125" style="1327" customWidth="1"/>
    <col min="14075" max="14075" width="39.44140625" style="1327" customWidth="1"/>
    <col min="14076" max="14076" width="8.88671875" style="1327" customWidth="1"/>
    <col min="14077" max="14077" width="10.44140625" style="1327" customWidth="1"/>
    <col min="14078" max="14078" width="12.33203125" style="1327" customWidth="1"/>
    <col min="14079" max="14079" width="14.88671875" style="1327" customWidth="1"/>
    <col min="14080" max="14080" width="8.88671875" style="1327"/>
    <col min="14081" max="14081" width="14.33203125" style="1327" customWidth="1"/>
    <col min="14082" max="14082" width="8.88671875" style="1327"/>
    <col min="14083" max="14083" width="10.44140625" style="1327" customWidth="1"/>
    <col min="14084" max="14328" width="8.88671875" style="1327"/>
    <col min="14329" max="14329" width="3" style="1327" customWidth="1"/>
    <col min="14330" max="14330" width="4.33203125" style="1327" customWidth="1"/>
    <col min="14331" max="14331" width="39.44140625" style="1327" customWidth="1"/>
    <col min="14332" max="14332" width="8.88671875" style="1327" customWidth="1"/>
    <col min="14333" max="14333" width="10.44140625" style="1327" customWidth="1"/>
    <col min="14334" max="14334" width="12.33203125" style="1327" customWidth="1"/>
    <col min="14335" max="14335" width="14.88671875" style="1327" customWidth="1"/>
    <col min="14336" max="14336" width="8.88671875" style="1327"/>
    <col min="14337" max="14337" width="14.33203125" style="1327" customWidth="1"/>
    <col min="14338" max="14338" width="8.88671875" style="1327"/>
    <col min="14339" max="14339" width="10.44140625" style="1327" customWidth="1"/>
    <col min="14340" max="14584" width="8.88671875" style="1327"/>
    <col min="14585" max="14585" width="3" style="1327" customWidth="1"/>
    <col min="14586" max="14586" width="4.33203125" style="1327" customWidth="1"/>
    <col min="14587" max="14587" width="39.44140625" style="1327" customWidth="1"/>
    <col min="14588" max="14588" width="8.88671875" style="1327" customWidth="1"/>
    <col min="14589" max="14589" width="10.44140625" style="1327" customWidth="1"/>
    <col min="14590" max="14590" width="12.33203125" style="1327" customWidth="1"/>
    <col min="14591" max="14591" width="14.88671875" style="1327" customWidth="1"/>
    <col min="14592" max="14592" width="8.88671875" style="1327"/>
    <col min="14593" max="14593" width="14.33203125" style="1327" customWidth="1"/>
    <col min="14594" max="14594" width="8.88671875" style="1327"/>
    <col min="14595" max="14595" width="10.44140625" style="1327" customWidth="1"/>
    <col min="14596" max="14840" width="8.88671875" style="1327"/>
    <col min="14841" max="14841" width="3" style="1327" customWidth="1"/>
    <col min="14842" max="14842" width="4.33203125" style="1327" customWidth="1"/>
    <col min="14843" max="14843" width="39.44140625" style="1327" customWidth="1"/>
    <col min="14844" max="14844" width="8.88671875" style="1327" customWidth="1"/>
    <col min="14845" max="14845" width="10.44140625" style="1327" customWidth="1"/>
    <col min="14846" max="14846" width="12.33203125" style="1327" customWidth="1"/>
    <col min="14847" max="14847" width="14.88671875" style="1327" customWidth="1"/>
    <col min="14848" max="14848" width="8.88671875" style="1327"/>
    <col min="14849" max="14849" width="14.33203125" style="1327" customWidth="1"/>
    <col min="14850" max="14850" width="8.88671875" style="1327"/>
    <col min="14851" max="14851" width="10.44140625" style="1327" customWidth="1"/>
    <col min="14852" max="15096" width="8.88671875" style="1327"/>
    <col min="15097" max="15097" width="3" style="1327" customWidth="1"/>
    <col min="15098" max="15098" width="4.33203125" style="1327" customWidth="1"/>
    <col min="15099" max="15099" width="39.44140625" style="1327" customWidth="1"/>
    <col min="15100" max="15100" width="8.88671875" style="1327" customWidth="1"/>
    <col min="15101" max="15101" width="10.44140625" style="1327" customWidth="1"/>
    <col min="15102" max="15102" width="12.33203125" style="1327" customWidth="1"/>
    <col min="15103" max="15103" width="14.88671875" style="1327" customWidth="1"/>
    <col min="15104" max="15104" width="8.88671875" style="1327"/>
    <col min="15105" max="15105" width="14.33203125" style="1327" customWidth="1"/>
    <col min="15106" max="15106" width="8.88671875" style="1327"/>
    <col min="15107" max="15107" width="10.44140625" style="1327" customWidth="1"/>
    <col min="15108" max="15352" width="8.88671875" style="1327"/>
    <col min="15353" max="15353" width="3" style="1327" customWidth="1"/>
    <col min="15354" max="15354" width="4.33203125" style="1327" customWidth="1"/>
    <col min="15355" max="15355" width="39.44140625" style="1327" customWidth="1"/>
    <col min="15356" max="15356" width="8.88671875" style="1327" customWidth="1"/>
    <col min="15357" max="15357" width="10.44140625" style="1327" customWidth="1"/>
    <col min="15358" max="15358" width="12.33203125" style="1327" customWidth="1"/>
    <col min="15359" max="15359" width="14.88671875" style="1327" customWidth="1"/>
    <col min="15360" max="15360" width="8.88671875" style="1327"/>
    <col min="15361" max="15361" width="14.33203125" style="1327" customWidth="1"/>
    <col min="15362" max="15362" width="8.88671875" style="1327"/>
    <col min="15363" max="15363" width="10.44140625" style="1327" customWidth="1"/>
    <col min="15364" max="15608" width="8.88671875" style="1327"/>
    <col min="15609" max="15609" width="3" style="1327" customWidth="1"/>
    <col min="15610" max="15610" width="4.33203125" style="1327" customWidth="1"/>
    <col min="15611" max="15611" width="39.44140625" style="1327" customWidth="1"/>
    <col min="15612" max="15612" width="8.88671875" style="1327" customWidth="1"/>
    <col min="15613" max="15613" width="10.44140625" style="1327" customWidth="1"/>
    <col min="15614" max="15614" width="12.33203125" style="1327" customWidth="1"/>
    <col min="15615" max="15615" width="14.88671875" style="1327" customWidth="1"/>
    <col min="15616" max="15616" width="8.88671875" style="1327"/>
    <col min="15617" max="15617" width="14.33203125" style="1327" customWidth="1"/>
    <col min="15618" max="15618" width="8.88671875" style="1327"/>
    <col min="15619" max="15619" width="10.44140625" style="1327" customWidth="1"/>
    <col min="15620" max="15864" width="8.88671875" style="1327"/>
    <col min="15865" max="15865" width="3" style="1327" customWidth="1"/>
    <col min="15866" max="15866" width="4.33203125" style="1327" customWidth="1"/>
    <col min="15867" max="15867" width="39.44140625" style="1327" customWidth="1"/>
    <col min="15868" max="15868" width="8.88671875" style="1327" customWidth="1"/>
    <col min="15869" max="15869" width="10.44140625" style="1327" customWidth="1"/>
    <col min="15870" max="15870" width="12.33203125" style="1327" customWidth="1"/>
    <col min="15871" max="15871" width="14.88671875" style="1327" customWidth="1"/>
    <col min="15872" max="15872" width="8.88671875" style="1327"/>
    <col min="15873" max="15873" width="14.33203125" style="1327" customWidth="1"/>
    <col min="15874" max="15874" width="8.88671875" style="1327"/>
    <col min="15875" max="15875" width="10.44140625" style="1327" customWidth="1"/>
    <col min="15876" max="16120" width="8.88671875" style="1327"/>
    <col min="16121" max="16121" width="3" style="1327" customWidth="1"/>
    <col min="16122" max="16122" width="4.33203125" style="1327" customWidth="1"/>
    <col min="16123" max="16123" width="39.44140625" style="1327" customWidth="1"/>
    <col min="16124" max="16124" width="8.88671875" style="1327" customWidth="1"/>
    <col min="16125" max="16125" width="10.44140625" style="1327" customWidth="1"/>
    <col min="16126" max="16126" width="12.33203125" style="1327" customWidth="1"/>
    <col min="16127" max="16127" width="14.88671875" style="1327" customWidth="1"/>
    <col min="16128" max="16128" width="8.88671875" style="1327"/>
    <col min="16129" max="16129" width="14.33203125" style="1327" customWidth="1"/>
    <col min="16130" max="16130" width="8.88671875" style="1327"/>
    <col min="16131" max="16131" width="10.44140625" style="1327" customWidth="1"/>
    <col min="16132" max="16384" width="8.88671875" style="1327"/>
  </cols>
  <sheetData>
    <row r="1" spans="1:7" s="1239" customFormat="1" ht="15.6" x14ac:dyDescent="0.25">
      <c r="A1" s="1644" t="s">
        <v>2678</v>
      </c>
      <c r="B1" s="1645"/>
      <c r="C1" s="1646"/>
      <c r="D1" s="1647"/>
      <c r="E1" s="1648"/>
      <c r="F1" s="1649"/>
    </row>
    <row r="2" spans="1:7" s="1239" customFormat="1" ht="15.6" x14ac:dyDescent="0.25">
      <c r="A2" s="1650" t="s">
        <v>2679</v>
      </c>
      <c r="B2" s="1651"/>
      <c r="C2" s="1652"/>
      <c r="D2" s="1653"/>
      <c r="E2" s="1653"/>
      <c r="F2" s="1654"/>
    </row>
    <row r="3" spans="1:7" s="1239" customFormat="1" ht="15.6" x14ac:dyDescent="0.25">
      <c r="A3" s="2971" t="s">
        <v>2680</v>
      </c>
      <c r="B3" s="2972"/>
      <c r="C3" s="1652"/>
      <c r="D3" s="1653"/>
      <c r="E3" s="1653"/>
      <c r="F3" s="1654"/>
    </row>
    <row r="4" spans="1:7" s="1239" customFormat="1" ht="15.6" x14ac:dyDescent="0.25">
      <c r="A4" s="1655"/>
      <c r="B4" s="1240"/>
      <c r="C4" s="1652"/>
      <c r="D4" s="1656"/>
      <c r="E4" s="1657"/>
      <c r="F4" s="1654"/>
    </row>
    <row r="5" spans="1:7" s="1248" customFormat="1" ht="27.6" x14ac:dyDescent="0.25">
      <c r="A5" s="1241" t="s">
        <v>683</v>
      </c>
      <c r="B5" s="1242" t="s">
        <v>684</v>
      </c>
      <c r="C5" s="1243" t="s">
        <v>689</v>
      </c>
      <c r="D5" s="1244" t="s">
        <v>691</v>
      </c>
      <c r="E5" s="1245" t="s">
        <v>2681</v>
      </c>
      <c r="F5" s="1246" t="s">
        <v>2682</v>
      </c>
      <c r="G5" s="1247"/>
    </row>
    <row r="6" spans="1:7" s="1248" customFormat="1" x14ac:dyDescent="0.25">
      <c r="A6" s="1249"/>
      <c r="B6" s="1250"/>
      <c r="C6" s="1251"/>
      <c r="D6" s="1252"/>
      <c r="E6" s="1253"/>
      <c r="F6" s="1254"/>
      <c r="G6" s="1247"/>
    </row>
    <row r="7" spans="1:7" s="1260" customFormat="1" ht="15.6" x14ac:dyDescent="0.25">
      <c r="A7" s="1255"/>
      <c r="B7" s="1256" t="s">
        <v>2683</v>
      </c>
      <c r="C7" s="1257"/>
      <c r="D7" s="1258" t="s">
        <v>2538</v>
      </c>
      <c r="E7" s="1229"/>
      <c r="F7" s="1230"/>
      <c r="G7" s="1259"/>
    </row>
    <row r="8" spans="1:7" s="1260" customFormat="1" x14ac:dyDescent="0.25">
      <c r="A8" s="1255"/>
      <c r="B8" s="1261"/>
      <c r="C8" s="1257"/>
      <c r="D8" s="1229"/>
      <c r="E8" s="1229"/>
      <c r="F8" s="1230"/>
      <c r="G8" s="1259"/>
    </row>
    <row r="9" spans="1:7" s="1260" customFormat="1" ht="48" customHeight="1" x14ac:dyDescent="0.25">
      <c r="A9" s="1262" t="s">
        <v>2684</v>
      </c>
      <c r="B9" s="1263" t="s">
        <v>2685</v>
      </c>
      <c r="C9" s="1257"/>
      <c r="D9" s="1229"/>
      <c r="E9" s="1229"/>
      <c r="F9" s="1230"/>
      <c r="G9" s="1259"/>
    </row>
    <row r="10" spans="1:7" s="1260" customFormat="1" x14ac:dyDescent="0.25">
      <c r="A10" s="1264"/>
      <c r="B10" s="1263"/>
      <c r="C10" s="1257"/>
      <c r="D10" s="1229"/>
      <c r="E10" s="1229"/>
      <c r="F10" s="1230"/>
      <c r="G10" s="1259"/>
    </row>
    <row r="11" spans="1:7" s="1260" customFormat="1" ht="34.200000000000003" customHeight="1" x14ac:dyDescent="0.25">
      <c r="A11" s="1262" t="s">
        <v>2686</v>
      </c>
      <c r="B11" s="1263" t="s">
        <v>2687</v>
      </c>
      <c r="C11" s="1257"/>
      <c r="D11" s="1229"/>
      <c r="E11" s="1229"/>
      <c r="F11" s="1230"/>
      <c r="G11" s="1259"/>
    </row>
    <row r="12" spans="1:7" s="1260" customFormat="1" x14ac:dyDescent="0.25">
      <c r="A12" s="1264"/>
      <c r="B12" s="1263"/>
      <c r="C12" s="1257"/>
      <c r="D12" s="1229"/>
      <c r="E12" s="1229"/>
      <c r="F12" s="1230"/>
      <c r="G12" s="1259"/>
    </row>
    <row r="13" spans="1:7" s="1260" customFormat="1" ht="49.2" customHeight="1" x14ac:dyDescent="0.25">
      <c r="A13" s="1262" t="s">
        <v>2688</v>
      </c>
      <c r="B13" s="1263" t="s">
        <v>2689</v>
      </c>
      <c r="C13" s="1257"/>
      <c r="D13" s="1229"/>
      <c r="E13" s="1229"/>
      <c r="F13" s="1230"/>
      <c r="G13" s="1259"/>
    </row>
    <row r="14" spans="1:7" s="1260" customFormat="1" x14ac:dyDescent="0.25">
      <c r="A14" s="1264"/>
      <c r="B14" s="1263"/>
      <c r="C14" s="1257"/>
      <c r="D14" s="1229"/>
      <c r="E14" s="1229"/>
      <c r="F14" s="1230"/>
      <c r="G14" s="1259"/>
    </row>
    <row r="15" spans="1:7" s="1260" customFormat="1" ht="35.4" customHeight="1" x14ac:dyDescent="0.25">
      <c r="A15" s="1262" t="s">
        <v>2690</v>
      </c>
      <c r="B15" s="1263" t="s">
        <v>2691</v>
      </c>
      <c r="C15" s="1257"/>
      <c r="D15" s="1229"/>
      <c r="E15" s="1229"/>
      <c r="F15" s="1230"/>
      <c r="G15" s="1259"/>
    </row>
    <row r="16" spans="1:7" s="1260" customFormat="1" x14ac:dyDescent="0.25">
      <c r="A16" s="1264"/>
      <c r="B16" s="1263"/>
      <c r="C16" s="1257"/>
      <c r="D16" s="1229"/>
      <c r="E16" s="1229"/>
      <c r="F16" s="1230"/>
      <c r="G16" s="1259"/>
    </row>
    <row r="17" spans="1:7" s="1260" customFormat="1" ht="63.6" customHeight="1" x14ac:dyDescent="0.25">
      <c r="A17" s="1262" t="s">
        <v>2692</v>
      </c>
      <c r="B17" s="1265" t="s">
        <v>2693</v>
      </c>
      <c r="C17" s="1257"/>
      <c r="D17" s="1229"/>
      <c r="E17" s="1266"/>
      <c r="F17" s="1230"/>
      <c r="G17" s="1259"/>
    </row>
    <row r="18" spans="1:7" s="1260" customFormat="1" x14ac:dyDescent="0.25">
      <c r="A18" s="1264"/>
      <c r="B18" s="1263"/>
      <c r="C18" s="1257"/>
      <c r="D18" s="1229"/>
      <c r="E18" s="1229"/>
      <c r="F18" s="1230"/>
      <c r="G18" s="1259"/>
    </row>
    <row r="19" spans="1:7" s="1260" customFormat="1" ht="37.200000000000003" customHeight="1" x14ac:dyDescent="0.25">
      <c r="A19" s="1262" t="s">
        <v>2694</v>
      </c>
      <c r="B19" s="1263" t="s">
        <v>2695</v>
      </c>
      <c r="C19" s="1257"/>
      <c r="D19" s="1229"/>
      <c r="E19" s="1229"/>
      <c r="F19" s="1230"/>
      <c r="G19" s="1259"/>
    </row>
    <row r="20" spans="1:7" s="1260" customFormat="1" x14ac:dyDescent="0.25">
      <c r="A20" s="1264"/>
      <c r="B20" s="1263"/>
      <c r="C20" s="1257"/>
      <c r="D20" s="1229"/>
      <c r="E20" s="1229"/>
      <c r="F20" s="1230"/>
      <c r="G20" s="1259"/>
    </row>
    <row r="21" spans="1:7" s="1267" customFormat="1" ht="64.2" customHeight="1" x14ac:dyDescent="0.25">
      <c r="A21" s="1262" t="s">
        <v>2696</v>
      </c>
      <c r="B21" s="1265" t="s">
        <v>2697</v>
      </c>
      <c r="C21" s="1257"/>
      <c r="D21" s="1229"/>
      <c r="E21" s="1229"/>
      <c r="F21" s="1230"/>
      <c r="G21" s="1259"/>
    </row>
    <row r="22" spans="1:7" s="1260" customFormat="1" x14ac:dyDescent="0.25">
      <c r="A22" s="1264"/>
      <c r="B22" s="1263"/>
      <c r="C22" s="1257"/>
      <c r="D22" s="1229"/>
      <c r="E22" s="1229"/>
      <c r="F22" s="1230"/>
      <c r="G22" s="1259"/>
    </row>
    <row r="23" spans="1:7" s="1260" customFormat="1" ht="19.2" customHeight="1" x14ac:dyDescent="0.25">
      <c r="A23" s="1262" t="s">
        <v>2698</v>
      </c>
      <c r="B23" s="1268" t="s">
        <v>2699</v>
      </c>
      <c r="C23" s="1257"/>
      <c r="D23" s="1229"/>
      <c r="E23" s="1229"/>
      <c r="F23" s="1230"/>
      <c r="G23" s="1259"/>
    </row>
    <row r="24" spans="1:7" s="1260" customFormat="1" x14ac:dyDescent="0.25">
      <c r="A24" s="1264"/>
      <c r="B24" s="1263"/>
      <c r="C24" s="1257"/>
      <c r="D24" s="1229"/>
      <c r="E24" s="1229"/>
      <c r="F24" s="1230"/>
      <c r="G24" s="1259"/>
    </row>
    <row r="25" spans="1:7" s="1260" customFormat="1" ht="49.2" customHeight="1" x14ac:dyDescent="0.25">
      <c r="A25" s="1262" t="s">
        <v>2700</v>
      </c>
      <c r="B25" s="1263" t="s">
        <v>2701</v>
      </c>
      <c r="C25" s="1257"/>
      <c r="D25" s="1229"/>
      <c r="E25" s="1229"/>
      <c r="F25" s="1230"/>
      <c r="G25" s="1259"/>
    </row>
    <row r="26" spans="1:7" s="1260" customFormat="1" x14ac:dyDescent="0.25">
      <c r="A26" s="1264"/>
      <c r="B26" s="1263"/>
      <c r="C26" s="1257"/>
      <c r="D26" s="1229"/>
      <c r="E26" s="1229"/>
      <c r="F26" s="1230"/>
      <c r="G26" s="1259"/>
    </row>
    <row r="27" spans="1:7" s="1260" customFormat="1" ht="19.2" customHeight="1" x14ac:dyDescent="0.25">
      <c r="A27" s="1262" t="s">
        <v>2702</v>
      </c>
      <c r="B27" s="1268" t="s">
        <v>2703</v>
      </c>
      <c r="C27" s="1257"/>
      <c r="D27" s="1229"/>
      <c r="E27" s="1229"/>
      <c r="F27" s="1230"/>
      <c r="G27" s="1259"/>
    </row>
    <row r="28" spans="1:7" s="1260" customFormat="1" x14ac:dyDescent="0.25">
      <c r="A28" s="1264"/>
      <c r="B28" s="1263"/>
      <c r="C28" s="1257"/>
      <c r="D28" s="1229"/>
      <c r="E28" s="1229"/>
      <c r="F28" s="1230"/>
      <c r="G28" s="1259"/>
    </row>
    <row r="29" spans="1:7" s="1260" customFormat="1" ht="37.200000000000003" customHeight="1" x14ac:dyDescent="0.25">
      <c r="A29" s="1262" t="s">
        <v>2704</v>
      </c>
      <c r="B29" s="1263" t="s">
        <v>2705</v>
      </c>
      <c r="C29" s="1257"/>
      <c r="D29" s="1229"/>
      <c r="E29" s="1229"/>
      <c r="F29" s="1230"/>
      <c r="G29" s="1259"/>
    </row>
    <row r="30" spans="1:7" s="1260" customFormat="1" x14ac:dyDescent="0.25">
      <c r="A30" s="1264"/>
      <c r="B30" s="1263"/>
      <c r="C30" s="1257"/>
      <c r="D30" s="1229"/>
      <c r="E30" s="1229"/>
      <c r="F30" s="1230"/>
      <c r="G30" s="1259"/>
    </row>
    <row r="31" spans="1:7" s="1260" customFormat="1" ht="34.799999999999997" customHeight="1" x14ac:dyDescent="0.25">
      <c r="A31" s="1262" t="s">
        <v>2706</v>
      </c>
      <c r="B31" s="1263" t="s">
        <v>2707</v>
      </c>
      <c r="C31" s="1257"/>
      <c r="D31" s="1229"/>
      <c r="E31" s="1229"/>
      <c r="F31" s="1230"/>
      <c r="G31" s="1259"/>
    </row>
    <row r="32" spans="1:7" s="1260" customFormat="1" x14ac:dyDescent="0.25">
      <c r="A32" s="1264"/>
      <c r="B32" s="1263"/>
      <c r="C32" s="1257"/>
      <c r="D32" s="1229"/>
      <c r="E32" s="1229"/>
      <c r="F32" s="1230"/>
      <c r="G32" s="1259"/>
    </row>
    <row r="33" spans="1:7" s="1260" customFormat="1" ht="49.2" customHeight="1" x14ac:dyDescent="0.25">
      <c r="A33" s="1262" t="s">
        <v>2708</v>
      </c>
      <c r="B33" s="1263" t="s">
        <v>2709</v>
      </c>
      <c r="C33" s="1257"/>
      <c r="D33" s="1229"/>
      <c r="E33" s="1229"/>
      <c r="F33" s="1230"/>
      <c r="G33" s="1259"/>
    </row>
    <row r="34" spans="1:7" s="1260" customFormat="1" x14ac:dyDescent="0.25">
      <c r="A34" s="1264"/>
      <c r="B34" s="1263"/>
      <c r="C34" s="1257"/>
      <c r="D34" s="1229"/>
      <c r="E34" s="1229"/>
      <c r="F34" s="1230"/>
      <c r="G34" s="1259"/>
    </row>
    <row r="35" spans="1:7" s="1260" customFormat="1" ht="48.6" customHeight="1" x14ac:dyDescent="0.25">
      <c r="A35" s="1262" t="s">
        <v>2710</v>
      </c>
      <c r="B35" s="1263" t="s">
        <v>2711</v>
      </c>
      <c r="C35" s="1257"/>
      <c r="D35" s="1229"/>
      <c r="E35" s="1229"/>
      <c r="F35" s="1230"/>
      <c r="G35" s="1259"/>
    </row>
    <row r="36" spans="1:7" s="1260" customFormat="1" x14ac:dyDescent="0.25">
      <c r="A36" s="1262"/>
      <c r="B36" s="1263"/>
      <c r="C36" s="1257"/>
      <c r="D36" s="1229"/>
      <c r="E36" s="1229"/>
      <c r="F36" s="1230"/>
      <c r="G36" s="1259"/>
    </row>
    <row r="37" spans="1:7" s="1275" customFormat="1" ht="51" customHeight="1" x14ac:dyDescent="0.25">
      <c r="A37" s="1269">
        <v>15</v>
      </c>
      <c r="B37" s="1270" t="s">
        <v>2712</v>
      </c>
      <c r="C37" s="1227"/>
      <c r="D37" s="1271"/>
      <c r="E37" s="1272"/>
      <c r="F37" s="1273"/>
      <c r="G37" s="1274"/>
    </row>
    <row r="38" spans="1:7" s="1260" customFormat="1" x14ac:dyDescent="0.25">
      <c r="A38" s="1264"/>
      <c r="B38" s="1263"/>
      <c r="C38" s="1257"/>
      <c r="D38" s="1229"/>
      <c r="E38" s="1229"/>
      <c r="F38" s="1230"/>
      <c r="G38" s="1259"/>
    </row>
    <row r="39" spans="1:7" s="1260" customFormat="1" ht="21" customHeight="1" x14ac:dyDescent="0.25">
      <c r="A39" s="1264">
        <v>16</v>
      </c>
      <c r="B39" s="1268" t="s">
        <v>2713</v>
      </c>
      <c r="C39" s="1257"/>
      <c r="D39" s="1229"/>
      <c r="E39" s="1229"/>
      <c r="F39" s="1230"/>
      <c r="G39" s="1259"/>
    </row>
    <row r="40" spans="1:7" s="1260" customFormat="1" x14ac:dyDescent="0.25">
      <c r="A40" s="1658"/>
      <c r="B40" s="1659"/>
      <c r="C40" s="1660"/>
      <c r="D40" s="1602"/>
      <c r="E40" s="1602"/>
      <c r="F40" s="1603"/>
      <c r="G40" s="1259"/>
    </row>
    <row r="41" spans="1:7" s="1260" customFormat="1" ht="46.2" customHeight="1" x14ac:dyDescent="0.25">
      <c r="A41" s="1661">
        <v>17</v>
      </c>
      <c r="B41" s="1662" t="s">
        <v>2714</v>
      </c>
      <c r="C41" s="1663"/>
      <c r="D41" s="1664"/>
      <c r="E41" s="1664"/>
      <c r="F41" s="1665"/>
      <c r="G41" s="1259"/>
    </row>
    <row r="42" spans="1:7" s="1260" customFormat="1" x14ac:dyDescent="0.25">
      <c r="A42" s="1264"/>
      <c r="B42" s="1263"/>
      <c r="C42" s="1257"/>
      <c r="D42" s="1229"/>
      <c r="E42" s="1229"/>
      <c r="F42" s="1230"/>
      <c r="G42" s="1259"/>
    </row>
    <row r="43" spans="1:7" s="1260" customFormat="1" ht="33" customHeight="1" x14ac:dyDescent="0.25">
      <c r="A43" s="1264">
        <v>18</v>
      </c>
      <c r="B43" s="1263" t="s">
        <v>2715</v>
      </c>
      <c r="C43" s="1257"/>
      <c r="D43" s="1229"/>
      <c r="E43" s="1229"/>
      <c r="F43" s="1230"/>
      <c r="G43" s="1259"/>
    </row>
    <row r="44" spans="1:7" s="1260" customFormat="1" x14ac:dyDescent="0.25">
      <c r="A44" s="1264"/>
      <c r="B44" s="1263"/>
      <c r="C44" s="1257"/>
      <c r="D44" s="1229"/>
      <c r="E44" s="1229"/>
      <c r="F44" s="1230"/>
      <c r="G44" s="1259"/>
    </row>
    <row r="45" spans="1:7" s="1260" customFormat="1" ht="37.200000000000003" customHeight="1" x14ac:dyDescent="0.25">
      <c r="A45" s="1264">
        <v>19</v>
      </c>
      <c r="B45" s="1263" t="s">
        <v>2716</v>
      </c>
      <c r="C45" s="1257"/>
      <c r="D45" s="1229"/>
      <c r="E45" s="1229"/>
      <c r="F45" s="1230"/>
      <c r="G45" s="1259"/>
    </row>
    <row r="46" spans="1:7" s="1260" customFormat="1" x14ac:dyDescent="0.25">
      <c r="A46" s="1264"/>
      <c r="B46" s="1263"/>
      <c r="C46" s="1257"/>
      <c r="D46" s="1229"/>
      <c r="E46" s="1229"/>
      <c r="F46" s="1230"/>
      <c r="G46" s="1259"/>
    </row>
    <row r="47" spans="1:7" s="1260" customFormat="1" ht="34.799999999999997" customHeight="1" x14ac:dyDescent="0.25">
      <c r="A47" s="1264">
        <v>20</v>
      </c>
      <c r="B47" s="1263" t="s">
        <v>2717</v>
      </c>
      <c r="C47" s="1257"/>
      <c r="D47" s="1229"/>
      <c r="E47" s="1229"/>
      <c r="F47" s="1230"/>
      <c r="G47" s="1259"/>
    </row>
    <row r="48" spans="1:7" s="1260" customFormat="1" x14ac:dyDescent="0.25">
      <c r="A48" s="1264"/>
      <c r="B48" s="1263"/>
      <c r="C48" s="1257"/>
      <c r="D48" s="1229"/>
      <c r="E48" s="1229"/>
      <c r="F48" s="1230"/>
      <c r="G48" s="1259"/>
    </row>
    <row r="49" spans="1:7" s="1260" customFormat="1" ht="35.4" customHeight="1" x14ac:dyDescent="0.25">
      <c r="A49" s="1264">
        <v>21</v>
      </c>
      <c r="B49" s="1263" t="s">
        <v>2718</v>
      </c>
      <c r="C49" s="1257"/>
      <c r="D49" s="1229"/>
      <c r="E49" s="1229"/>
      <c r="F49" s="1230"/>
      <c r="G49" s="1259"/>
    </row>
    <row r="50" spans="1:7" s="1260" customFormat="1" x14ac:dyDescent="0.25">
      <c r="A50" s="1264"/>
      <c r="B50" s="1263"/>
      <c r="C50" s="1257"/>
      <c r="D50" s="1229"/>
      <c r="E50" s="1229"/>
      <c r="F50" s="1230"/>
      <c r="G50" s="1259"/>
    </row>
    <row r="51" spans="1:7" s="1260" customFormat="1" ht="34.799999999999997" customHeight="1" x14ac:dyDescent="0.25">
      <c r="A51" s="1264">
        <v>22</v>
      </c>
      <c r="B51" s="1263" t="s">
        <v>2719</v>
      </c>
      <c r="C51" s="1257"/>
      <c r="D51" s="1229"/>
      <c r="E51" s="1229"/>
      <c r="F51" s="1230"/>
      <c r="G51" s="1259"/>
    </row>
    <row r="52" spans="1:7" s="1260" customFormat="1" x14ac:dyDescent="0.25">
      <c r="A52" s="1264"/>
      <c r="B52" s="1263"/>
      <c r="C52" s="1257"/>
      <c r="D52" s="1229"/>
      <c r="E52" s="1229"/>
      <c r="F52" s="1230"/>
      <c r="G52" s="1259"/>
    </row>
    <row r="53" spans="1:7" s="1260" customFormat="1" ht="15.6" x14ac:dyDescent="0.25">
      <c r="A53" s="1276"/>
      <c r="B53" s="1256" t="s">
        <v>2720</v>
      </c>
      <c r="C53" s="1257"/>
      <c r="D53" s="1229" t="s">
        <v>2538</v>
      </c>
      <c r="E53" s="1229"/>
      <c r="F53" s="1230"/>
      <c r="G53" s="1259"/>
    </row>
    <row r="54" spans="1:7" s="1260" customFormat="1" x14ac:dyDescent="0.25">
      <c r="A54" s="1276"/>
      <c r="B54" s="1261"/>
      <c r="C54" s="1257"/>
      <c r="D54" s="1229"/>
      <c r="E54" s="1229"/>
      <c r="F54" s="1230"/>
      <c r="G54" s="1259"/>
    </row>
    <row r="55" spans="1:7" s="1260" customFormat="1" x14ac:dyDescent="0.25">
      <c r="A55" s="1262" t="s">
        <v>2684</v>
      </c>
      <c r="B55" s="1277" t="s">
        <v>2721</v>
      </c>
      <c r="C55" s="1257"/>
      <c r="D55" s="1229"/>
      <c r="E55" s="1229"/>
      <c r="F55" s="1230"/>
      <c r="G55" s="1259"/>
    </row>
    <row r="56" spans="1:7" s="1260" customFormat="1" ht="46.8" customHeight="1" x14ac:dyDescent="0.25">
      <c r="A56" s="1278"/>
      <c r="B56" s="1263" t="s">
        <v>2722</v>
      </c>
      <c r="C56" s="1257"/>
      <c r="D56" s="1279"/>
      <c r="E56" s="1229"/>
      <c r="F56" s="1230"/>
      <c r="G56" s="1259"/>
    </row>
    <row r="57" spans="1:7" s="1260" customFormat="1" x14ac:dyDescent="0.25">
      <c r="A57" s="1278"/>
      <c r="B57" s="1263"/>
      <c r="C57" s="1257"/>
      <c r="D57" s="1279"/>
      <c r="E57" s="1229"/>
      <c r="F57" s="1230"/>
      <c r="G57" s="1259"/>
    </row>
    <row r="58" spans="1:7" s="1260" customFormat="1" x14ac:dyDescent="0.25">
      <c r="A58" s="1262" t="s">
        <v>2686</v>
      </c>
      <c r="B58" s="1277" t="s">
        <v>2723</v>
      </c>
      <c r="C58" s="1257"/>
      <c r="D58" s="1229"/>
      <c r="E58" s="1229"/>
      <c r="F58" s="1230"/>
      <c r="G58" s="1259"/>
    </row>
    <row r="59" spans="1:7" s="1260" customFormat="1" ht="46.8" customHeight="1" x14ac:dyDescent="0.25">
      <c r="A59" s="1278"/>
      <c r="B59" s="1263" t="s">
        <v>2724</v>
      </c>
      <c r="C59" s="1257"/>
      <c r="D59" s="1279"/>
      <c r="E59" s="1229"/>
      <c r="F59" s="1230"/>
      <c r="G59" s="1259"/>
    </row>
    <row r="60" spans="1:7" s="1260" customFormat="1" x14ac:dyDescent="0.25">
      <c r="A60" s="1278"/>
      <c r="B60" s="1263"/>
      <c r="C60" s="1257"/>
      <c r="D60" s="1279"/>
      <c r="E60" s="1229"/>
      <c r="F60" s="1230"/>
      <c r="G60" s="1259"/>
    </row>
    <row r="61" spans="1:7" s="1260" customFormat="1" ht="35.4" customHeight="1" x14ac:dyDescent="0.25">
      <c r="A61" s="1278"/>
      <c r="B61" s="1263" t="s">
        <v>2725</v>
      </c>
      <c r="C61" s="1257"/>
      <c r="D61" s="1279"/>
      <c r="E61" s="1229"/>
      <c r="F61" s="1230"/>
      <c r="G61" s="1259"/>
    </row>
    <row r="62" spans="1:7" s="1260" customFormat="1" x14ac:dyDescent="0.25">
      <c r="A62" s="1278"/>
      <c r="B62" s="1263"/>
      <c r="C62" s="1257"/>
      <c r="D62" s="1279"/>
      <c r="E62" s="1229"/>
      <c r="F62" s="1230"/>
      <c r="G62" s="1259"/>
    </row>
    <row r="63" spans="1:7" s="1260" customFormat="1" x14ac:dyDescent="0.25">
      <c r="A63" s="1262" t="s">
        <v>2688</v>
      </c>
      <c r="B63" s="1277" t="s">
        <v>2726</v>
      </c>
      <c r="C63" s="1257"/>
      <c r="D63" s="1229"/>
      <c r="E63" s="1229"/>
      <c r="F63" s="1230"/>
      <c r="G63" s="1259"/>
    </row>
    <row r="64" spans="1:7" s="1260" customFormat="1" ht="96" customHeight="1" x14ac:dyDescent="0.25">
      <c r="A64" s="1280"/>
      <c r="B64" s="1263" t="s">
        <v>2727</v>
      </c>
      <c r="C64" s="1257"/>
      <c r="D64" s="1279"/>
      <c r="E64" s="1229"/>
      <c r="F64" s="1230"/>
      <c r="G64" s="1259"/>
    </row>
    <row r="65" spans="1:7" s="1260" customFormat="1" x14ac:dyDescent="0.25">
      <c r="A65" s="1280"/>
      <c r="B65" s="1263"/>
      <c r="C65" s="1257"/>
      <c r="D65" s="1279"/>
      <c r="E65" s="1229"/>
      <c r="F65" s="1230"/>
      <c r="G65" s="1259"/>
    </row>
    <row r="66" spans="1:7" s="1260" customFormat="1" ht="18" customHeight="1" x14ac:dyDescent="0.25">
      <c r="A66" s="1280"/>
      <c r="B66" s="1265" t="s">
        <v>2728</v>
      </c>
      <c r="C66" s="1257"/>
      <c r="D66" s="1279"/>
      <c r="E66" s="1229"/>
      <c r="F66" s="1230"/>
      <c r="G66" s="1259"/>
    </row>
    <row r="67" spans="1:7" s="1260" customFormat="1" x14ac:dyDescent="0.25">
      <c r="A67" s="1262"/>
      <c r="B67" s="1265"/>
      <c r="C67" s="1257"/>
      <c r="D67" s="1279"/>
      <c r="E67" s="1229"/>
      <c r="F67" s="1230"/>
      <c r="G67" s="1259"/>
    </row>
    <row r="68" spans="1:7" s="1260" customFormat="1" x14ac:dyDescent="0.25">
      <c r="A68" s="1262" t="s">
        <v>2690</v>
      </c>
      <c r="B68" s="1277" t="s">
        <v>2729</v>
      </c>
      <c r="C68" s="1257"/>
      <c r="D68" s="1229"/>
      <c r="E68" s="1229"/>
      <c r="F68" s="1230"/>
      <c r="G68" s="1259"/>
    </row>
    <row r="69" spans="1:7" s="1260" customFormat="1" ht="41.4" x14ac:dyDescent="0.25">
      <c r="A69" s="1262"/>
      <c r="B69" s="1265" t="s">
        <v>2730</v>
      </c>
      <c r="C69" s="1257"/>
      <c r="D69" s="1279"/>
      <c r="E69" s="1229"/>
      <c r="F69" s="1230"/>
      <c r="G69" s="1259"/>
    </row>
    <row r="70" spans="1:7" s="1260" customFormat="1" x14ac:dyDescent="0.25">
      <c r="A70" s="1262"/>
      <c r="B70" s="1265"/>
      <c r="C70" s="1257"/>
      <c r="D70" s="1279"/>
      <c r="E70" s="1229"/>
      <c r="F70" s="1230"/>
      <c r="G70" s="1259"/>
    </row>
    <row r="71" spans="1:7" s="1260" customFormat="1" x14ac:dyDescent="0.25">
      <c r="A71" s="1262" t="s">
        <v>2692</v>
      </c>
      <c r="B71" s="1281" t="s">
        <v>2731</v>
      </c>
      <c r="C71" s="1257"/>
      <c r="D71" s="1229"/>
      <c r="E71" s="1229"/>
      <c r="F71" s="1230"/>
      <c r="G71" s="1259"/>
    </row>
    <row r="72" spans="1:7" s="1260" customFormat="1" ht="36.6" customHeight="1" x14ac:dyDescent="0.25">
      <c r="A72" s="1262"/>
      <c r="B72" s="1265" t="s">
        <v>2732</v>
      </c>
      <c r="C72" s="1257"/>
      <c r="D72" s="1279"/>
      <c r="E72" s="1229"/>
      <c r="F72" s="1230"/>
      <c r="G72" s="1259"/>
    </row>
    <row r="73" spans="1:7" s="1260" customFormat="1" x14ac:dyDescent="0.25">
      <c r="A73" s="1262"/>
      <c r="B73" s="1265"/>
      <c r="C73" s="1257"/>
      <c r="D73" s="1279"/>
      <c r="E73" s="1229"/>
      <c r="F73" s="1230"/>
      <c r="G73" s="1259"/>
    </row>
    <row r="74" spans="1:7" s="1260" customFormat="1" x14ac:dyDescent="0.25">
      <c r="A74" s="1262" t="s">
        <v>2694</v>
      </c>
      <c r="B74" s="1277" t="s">
        <v>2733</v>
      </c>
      <c r="C74" s="1257"/>
      <c r="D74" s="1229"/>
      <c r="E74" s="1229"/>
      <c r="F74" s="1230"/>
      <c r="G74" s="1259"/>
    </row>
    <row r="75" spans="1:7" s="1260" customFormat="1" ht="21.6" customHeight="1" x14ac:dyDescent="0.25">
      <c r="A75" s="1262"/>
      <c r="B75" s="1265" t="s">
        <v>2734</v>
      </c>
      <c r="C75" s="1257"/>
      <c r="D75" s="1279"/>
      <c r="E75" s="1229"/>
      <c r="F75" s="1230"/>
      <c r="G75" s="1259"/>
    </row>
    <row r="76" spans="1:7" s="1260" customFormat="1" x14ac:dyDescent="0.25">
      <c r="A76" s="1262"/>
      <c r="B76" s="1265"/>
      <c r="C76" s="1257"/>
      <c r="D76" s="1279"/>
      <c r="E76" s="1229"/>
      <c r="F76" s="1230"/>
      <c r="G76" s="1259"/>
    </row>
    <row r="77" spans="1:7" s="1260" customFormat="1" x14ac:dyDescent="0.25">
      <c r="A77" s="1262" t="s">
        <v>2696</v>
      </c>
      <c r="B77" s="1277" t="s">
        <v>2735</v>
      </c>
      <c r="C77" s="1257"/>
      <c r="D77" s="1229"/>
      <c r="E77" s="1229"/>
      <c r="F77" s="1230"/>
      <c r="G77" s="1259"/>
    </row>
    <row r="78" spans="1:7" s="1260" customFormat="1" ht="16.8" customHeight="1" x14ac:dyDescent="0.25">
      <c r="A78" s="1278"/>
      <c r="B78" s="1265" t="s">
        <v>2736</v>
      </c>
      <c r="C78" s="1257"/>
      <c r="D78" s="1282"/>
      <c r="E78" s="1229"/>
      <c r="F78" s="1230"/>
      <c r="G78" s="1259"/>
    </row>
    <row r="79" spans="1:7" s="1260" customFormat="1" x14ac:dyDescent="0.25">
      <c r="A79" s="1278"/>
      <c r="B79" s="1265"/>
      <c r="C79" s="1257"/>
      <c r="D79" s="1282"/>
      <c r="E79" s="1229"/>
      <c r="F79" s="1230"/>
      <c r="G79" s="1259"/>
    </row>
    <row r="80" spans="1:7" s="1260" customFormat="1" ht="19.8" customHeight="1" x14ac:dyDescent="0.25">
      <c r="A80" s="1276"/>
      <c r="B80" s="1256" t="s">
        <v>2737</v>
      </c>
      <c r="C80" s="1227"/>
      <c r="D80" s="1283" t="s">
        <v>2538</v>
      </c>
      <c r="E80" s="1229"/>
      <c r="F80" s="1230"/>
      <c r="G80" s="1259"/>
    </row>
    <row r="81" spans="1:21" s="1260" customFormat="1" x14ac:dyDescent="0.25">
      <c r="A81" s="1666"/>
      <c r="B81" s="1667"/>
      <c r="C81" s="1668"/>
      <c r="D81" s="1669"/>
      <c r="E81" s="1602"/>
      <c r="F81" s="1603"/>
      <c r="G81" s="1259"/>
    </row>
    <row r="82" spans="1:21" s="1260" customFormat="1" ht="30" customHeight="1" x14ac:dyDescent="0.25">
      <c r="A82" s="1670"/>
      <c r="B82" s="1671" t="s">
        <v>2738</v>
      </c>
      <c r="C82" s="1672"/>
      <c r="D82" s="1673"/>
      <c r="E82" s="1664"/>
      <c r="F82" s="1665"/>
      <c r="G82" s="1259"/>
    </row>
    <row r="83" spans="1:21" s="1260" customFormat="1" x14ac:dyDescent="0.25">
      <c r="A83" s="1276"/>
      <c r="B83" s="1277"/>
      <c r="C83" s="1227"/>
      <c r="D83" s="1284"/>
      <c r="E83" s="1229"/>
      <c r="F83" s="1230"/>
      <c r="G83" s="1259"/>
    </row>
    <row r="84" spans="1:21" s="1260" customFormat="1" ht="46.8" customHeight="1" x14ac:dyDescent="0.25">
      <c r="A84" s="1276"/>
      <c r="B84" s="1281" t="s">
        <v>2739</v>
      </c>
      <c r="C84" s="1227"/>
      <c r="D84" s="1284"/>
      <c r="E84" s="1229"/>
      <c r="F84" s="1230"/>
      <c r="G84" s="1259"/>
    </row>
    <row r="85" spans="1:21" s="1260" customFormat="1" x14ac:dyDescent="0.25">
      <c r="A85" s="1276"/>
      <c r="B85" s="1265"/>
      <c r="C85" s="1227"/>
      <c r="D85" s="1284"/>
      <c r="E85" s="1229"/>
      <c r="F85" s="1230"/>
      <c r="G85" s="1259"/>
    </row>
    <row r="86" spans="1:21" s="1260" customFormat="1" ht="48" customHeight="1" x14ac:dyDescent="0.25">
      <c r="A86" s="1276"/>
      <c r="B86" s="1277" t="s">
        <v>2740</v>
      </c>
      <c r="C86" s="1227"/>
      <c r="D86" s="1284"/>
      <c r="E86" s="1229"/>
      <c r="F86" s="1230"/>
      <c r="G86" s="1259"/>
    </row>
    <row r="87" spans="1:21" s="1260" customFormat="1" x14ac:dyDescent="0.25">
      <c r="A87" s="1276"/>
      <c r="B87" s="1277"/>
      <c r="C87" s="1227"/>
      <c r="D87" s="1284"/>
      <c r="E87" s="1229"/>
      <c r="F87" s="1230"/>
      <c r="G87" s="1259"/>
    </row>
    <row r="88" spans="1:21" s="1260" customFormat="1" ht="35.4" customHeight="1" x14ac:dyDescent="0.25">
      <c r="A88" s="1276"/>
      <c r="B88" s="1277" t="s">
        <v>2741</v>
      </c>
      <c r="C88" s="1227"/>
      <c r="D88" s="1284"/>
      <c r="E88" s="1229"/>
      <c r="F88" s="1230"/>
      <c r="G88" s="1259"/>
    </row>
    <row r="89" spans="1:21" s="1260" customFormat="1" x14ac:dyDescent="0.25">
      <c r="A89" s="1276"/>
      <c r="B89" s="1277"/>
      <c r="C89" s="1227"/>
      <c r="D89" s="1284"/>
      <c r="E89" s="1229"/>
      <c r="F89" s="1230"/>
      <c r="G89" s="1259"/>
    </row>
    <row r="90" spans="1:21" s="1260" customFormat="1" ht="33" customHeight="1" x14ac:dyDescent="0.25">
      <c r="A90" s="1276"/>
      <c r="B90" s="1277" t="s">
        <v>2742</v>
      </c>
      <c r="C90" s="1227"/>
      <c r="D90" s="1284"/>
      <c r="E90" s="1229"/>
      <c r="F90" s="1230"/>
      <c r="G90" s="1259"/>
    </row>
    <row r="91" spans="1:21" s="1260" customFormat="1" x14ac:dyDescent="0.25">
      <c r="A91" s="1276"/>
      <c r="B91" s="1277"/>
      <c r="C91" s="1227"/>
      <c r="D91" s="1284"/>
      <c r="E91" s="1229"/>
      <c r="F91" s="1230"/>
      <c r="G91" s="1259"/>
    </row>
    <row r="92" spans="1:21" s="1260" customFormat="1" ht="34.799999999999997" customHeight="1" x14ac:dyDescent="0.25">
      <c r="A92" s="1276"/>
      <c r="B92" s="1277" t="s">
        <v>2743</v>
      </c>
      <c r="C92" s="1227"/>
      <c r="D92" s="1284"/>
      <c r="E92" s="1229"/>
      <c r="F92" s="1230"/>
      <c r="G92" s="1259"/>
    </row>
    <row r="93" spans="1:21" s="1260" customFormat="1" ht="22.2" customHeight="1" x14ac:dyDescent="0.25">
      <c r="A93" s="1276"/>
      <c r="B93" s="1277" t="s">
        <v>2744</v>
      </c>
      <c r="C93" s="1227"/>
      <c r="D93" s="1284"/>
      <c r="E93" s="1229"/>
      <c r="F93" s="1230"/>
      <c r="G93" s="1259"/>
      <c r="S93" s="1285"/>
      <c r="T93" s="1286"/>
      <c r="U93" s="1285"/>
    </row>
    <row r="94" spans="1:21" s="1260" customFormat="1" x14ac:dyDescent="0.25">
      <c r="A94" s="1276"/>
      <c r="B94" s="1277"/>
      <c r="C94" s="1227"/>
      <c r="D94" s="1284"/>
      <c r="E94" s="1229"/>
      <c r="F94" s="1230"/>
      <c r="G94" s="1259"/>
      <c r="S94" s="1285"/>
      <c r="T94" s="1286"/>
      <c r="U94" s="1285"/>
    </row>
    <row r="95" spans="1:21" s="1260" customFormat="1" ht="18" customHeight="1" x14ac:dyDescent="0.25">
      <c r="A95" s="1276"/>
      <c r="B95" s="1277" t="s">
        <v>2745</v>
      </c>
      <c r="C95" s="1227"/>
      <c r="D95" s="1284"/>
      <c r="E95" s="1229"/>
      <c r="F95" s="1230"/>
      <c r="G95" s="1259"/>
      <c r="S95" s="1285"/>
      <c r="T95" s="1286"/>
      <c r="U95" s="1285"/>
    </row>
    <row r="96" spans="1:21" s="1260" customFormat="1" x14ac:dyDescent="0.25">
      <c r="A96" s="1276"/>
      <c r="B96" s="1277"/>
      <c r="C96" s="1227"/>
      <c r="D96" s="1284"/>
      <c r="E96" s="1229"/>
      <c r="F96" s="1230"/>
      <c r="G96" s="1259"/>
      <c r="S96" s="1285"/>
      <c r="T96" s="1286"/>
      <c r="U96" s="1285"/>
    </row>
    <row r="97" spans="1:21" s="1260" customFormat="1" ht="34.200000000000003" customHeight="1" x14ac:dyDescent="0.25">
      <c r="A97" s="1276"/>
      <c r="B97" s="1277" t="s">
        <v>2746</v>
      </c>
      <c r="C97" s="1227"/>
      <c r="D97" s="1284"/>
      <c r="E97" s="1229"/>
      <c r="F97" s="1230"/>
      <c r="G97" s="1259"/>
      <c r="S97" s="1285"/>
      <c r="T97" s="1286"/>
      <c r="U97" s="1285"/>
    </row>
    <row r="98" spans="1:21" s="1260" customFormat="1" x14ac:dyDescent="0.25">
      <c r="A98" s="1276"/>
      <c r="B98" s="1277"/>
      <c r="C98" s="1227"/>
      <c r="D98" s="1284"/>
      <c r="E98" s="1229"/>
      <c r="F98" s="1230"/>
      <c r="G98" s="1259"/>
      <c r="S98" s="1285"/>
      <c r="T98" s="1286"/>
      <c r="U98" s="1285"/>
    </row>
    <row r="99" spans="1:21" s="1260" customFormat="1" ht="34.200000000000003" customHeight="1" x14ac:dyDescent="0.25">
      <c r="A99" s="1276"/>
      <c r="B99" s="1287" t="s">
        <v>2747</v>
      </c>
      <c r="C99" s="1227"/>
      <c r="D99" s="1284"/>
      <c r="E99" s="1229"/>
      <c r="F99" s="1230"/>
      <c r="G99" s="1259"/>
      <c r="S99" s="1285"/>
      <c r="T99" s="1286"/>
      <c r="U99" s="1285"/>
    </row>
    <row r="100" spans="1:21" s="1260" customFormat="1" x14ac:dyDescent="0.25">
      <c r="A100" s="1276"/>
      <c r="B100" s="1263"/>
      <c r="C100" s="1227"/>
      <c r="D100" s="1284"/>
      <c r="E100" s="1229"/>
      <c r="F100" s="1230"/>
      <c r="G100" s="1259"/>
      <c r="S100" s="1285"/>
      <c r="T100" s="1286"/>
      <c r="U100" s="1285"/>
    </row>
    <row r="101" spans="1:21" s="1260" customFormat="1" ht="35.4" customHeight="1" x14ac:dyDescent="0.25">
      <c r="A101" s="1276"/>
      <c r="B101" s="1277" t="s">
        <v>2748</v>
      </c>
      <c r="C101" s="1227"/>
      <c r="D101" s="1284"/>
      <c r="E101" s="1229"/>
      <c r="F101" s="1230"/>
      <c r="G101" s="1259"/>
      <c r="S101" s="1285"/>
      <c r="T101" s="1286"/>
      <c r="U101" s="1285"/>
    </row>
    <row r="102" spans="1:21" s="1260" customFormat="1" x14ac:dyDescent="0.25">
      <c r="A102" s="1276"/>
      <c r="B102" s="1287"/>
      <c r="C102" s="1227"/>
      <c r="D102" s="1284"/>
      <c r="E102" s="1229"/>
      <c r="F102" s="1230"/>
      <c r="G102" s="1259"/>
      <c r="S102" s="1285"/>
      <c r="T102" s="1286"/>
      <c r="U102" s="1285"/>
    </row>
    <row r="103" spans="1:21" s="1260" customFormat="1" ht="37.200000000000003" customHeight="1" x14ac:dyDescent="0.25">
      <c r="A103" s="1276"/>
      <c r="B103" s="1277" t="s">
        <v>2749</v>
      </c>
      <c r="C103" s="1227"/>
      <c r="D103" s="1284"/>
      <c r="E103" s="1229"/>
      <c r="F103" s="1230"/>
      <c r="G103" s="1259"/>
      <c r="S103" s="1285"/>
      <c r="T103" s="1286"/>
      <c r="U103" s="1285"/>
    </row>
    <row r="104" spans="1:21" s="1260" customFormat="1" x14ac:dyDescent="0.25">
      <c r="A104" s="1276"/>
      <c r="B104" s="1277"/>
      <c r="C104" s="1227"/>
      <c r="D104" s="1284"/>
      <c r="E104" s="1229"/>
      <c r="F104" s="1230"/>
      <c r="G104" s="1259"/>
      <c r="S104" s="1285"/>
      <c r="T104" s="1286"/>
      <c r="U104" s="1285"/>
    </row>
    <row r="105" spans="1:21" s="1260" customFormat="1" ht="33" customHeight="1" x14ac:dyDescent="0.25">
      <c r="A105" s="1276"/>
      <c r="B105" s="1277" t="s">
        <v>2750</v>
      </c>
      <c r="C105" s="1227"/>
      <c r="D105" s="1284"/>
      <c r="E105" s="1229"/>
      <c r="F105" s="1230"/>
      <c r="G105" s="1259"/>
      <c r="S105" s="1285"/>
      <c r="T105" s="1286"/>
      <c r="U105" s="1285"/>
    </row>
    <row r="106" spans="1:21" s="1260" customFormat="1" x14ac:dyDescent="0.25">
      <c r="A106" s="1276"/>
      <c r="B106" s="1277"/>
      <c r="C106" s="1227"/>
      <c r="D106" s="1284"/>
      <c r="E106" s="1229"/>
      <c r="F106" s="1230"/>
      <c r="G106" s="1259"/>
      <c r="S106" s="1285"/>
      <c r="T106" s="1286"/>
      <c r="U106" s="1285"/>
    </row>
    <row r="107" spans="1:21" s="1260" customFormat="1" ht="18" customHeight="1" x14ac:dyDescent="0.25">
      <c r="A107" s="1276"/>
      <c r="B107" s="1288" t="s">
        <v>2751</v>
      </c>
      <c r="C107" s="1227"/>
      <c r="D107" s="1284"/>
      <c r="E107" s="1229"/>
      <c r="F107" s="1230"/>
      <c r="G107" s="1259"/>
      <c r="S107" s="1285"/>
      <c r="T107" s="1286"/>
      <c r="U107" s="1285"/>
    </row>
    <row r="108" spans="1:21" s="1260" customFormat="1" x14ac:dyDescent="0.25">
      <c r="A108" s="1276"/>
      <c r="B108" s="1277"/>
      <c r="C108" s="1227"/>
      <c r="D108" s="1284"/>
      <c r="E108" s="1229"/>
      <c r="F108" s="1230"/>
      <c r="G108" s="1259"/>
      <c r="S108" s="1285"/>
      <c r="T108" s="1286"/>
      <c r="U108" s="1285"/>
    </row>
    <row r="109" spans="1:21" s="1260" customFormat="1" ht="35.4" customHeight="1" x14ac:dyDescent="0.25">
      <c r="A109" s="1276"/>
      <c r="B109" s="1277" t="s">
        <v>2752</v>
      </c>
      <c r="C109" s="1227"/>
      <c r="D109" s="1284"/>
      <c r="E109" s="1229"/>
      <c r="F109" s="1230"/>
      <c r="G109" s="1259"/>
      <c r="S109" s="1285"/>
      <c r="T109" s="1286"/>
      <c r="U109" s="1285"/>
    </row>
    <row r="110" spans="1:21" s="1260" customFormat="1" x14ac:dyDescent="0.25">
      <c r="A110" s="1276"/>
      <c r="B110" s="1277"/>
      <c r="C110" s="1227"/>
      <c r="D110" s="1284"/>
      <c r="E110" s="1229"/>
      <c r="F110" s="1230"/>
      <c r="G110" s="1259"/>
      <c r="S110" s="1285"/>
      <c r="T110" s="1286"/>
      <c r="U110" s="1285"/>
    </row>
    <row r="111" spans="1:21" s="1260" customFormat="1" ht="35.4" customHeight="1" x14ac:dyDescent="0.25">
      <c r="A111" s="1276"/>
      <c r="B111" s="1277" t="s">
        <v>2753</v>
      </c>
      <c r="C111" s="1227"/>
      <c r="D111" s="1284"/>
      <c r="E111" s="1229"/>
      <c r="F111" s="1230"/>
      <c r="G111" s="1259"/>
      <c r="S111" s="1285"/>
      <c r="T111" s="1286"/>
      <c r="U111" s="1285"/>
    </row>
    <row r="112" spans="1:21" s="1260" customFormat="1" x14ac:dyDescent="0.25">
      <c r="A112" s="1276"/>
      <c r="B112" s="1265"/>
      <c r="C112" s="1227"/>
      <c r="D112" s="1284"/>
      <c r="E112" s="1229"/>
      <c r="F112" s="1230"/>
      <c r="G112" s="1259"/>
      <c r="S112" s="1285"/>
      <c r="T112" s="1286"/>
      <c r="U112" s="1285"/>
    </row>
    <row r="113" spans="1:21" s="1260" customFormat="1" ht="36.6" customHeight="1" x14ac:dyDescent="0.25">
      <c r="A113" s="1276"/>
      <c r="B113" s="1265" t="s">
        <v>2754</v>
      </c>
      <c r="C113" s="1227"/>
      <c r="D113" s="1284"/>
      <c r="E113" s="1229"/>
      <c r="F113" s="1230"/>
      <c r="G113" s="1259"/>
      <c r="S113" s="1285"/>
      <c r="T113" s="1286"/>
      <c r="U113" s="1285"/>
    </row>
    <row r="114" spans="1:21" s="1260" customFormat="1" x14ac:dyDescent="0.25">
      <c r="A114" s="1276"/>
      <c r="B114" s="1265"/>
      <c r="C114" s="1227"/>
      <c r="D114" s="1284"/>
      <c r="E114" s="1229"/>
      <c r="F114" s="1230"/>
      <c r="G114" s="1259"/>
      <c r="S114" s="1285"/>
      <c r="T114" s="1286"/>
      <c r="U114" s="1285"/>
    </row>
    <row r="115" spans="1:21" s="1260" customFormat="1" ht="34.200000000000003" customHeight="1" x14ac:dyDescent="0.25">
      <c r="A115" s="1289"/>
      <c r="B115" s="1270" t="s">
        <v>2755</v>
      </c>
      <c r="C115" s="1257"/>
      <c r="D115" s="1229" t="s">
        <v>2538</v>
      </c>
      <c r="E115" s="1229"/>
      <c r="F115" s="1290"/>
      <c r="G115" s="1259"/>
    </row>
    <row r="116" spans="1:21" s="1260" customFormat="1" x14ac:dyDescent="0.25">
      <c r="A116" s="1289"/>
      <c r="B116" s="1291"/>
      <c r="C116" s="1257"/>
      <c r="D116" s="1282"/>
      <c r="E116" s="1229"/>
      <c r="F116" s="1290"/>
      <c r="G116" s="1259"/>
    </row>
    <row r="117" spans="1:21" s="1260" customFormat="1" ht="34.799999999999997" customHeight="1" x14ac:dyDescent="0.25">
      <c r="A117" s="1289"/>
      <c r="B117" s="1270" t="s">
        <v>2756</v>
      </c>
      <c r="C117" s="1227"/>
      <c r="D117" s="1284" t="s">
        <v>2538</v>
      </c>
      <c r="E117" s="1229"/>
      <c r="F117" s="1290"/>
      <c r="G117" s="1259"/>
    </row>
    <row r="118" spans="1:21" s="1260" customFormat="1" x14ac:dyDescent="0.25">
      <c r="A118" s="1289"/>
      <c r="B118" s="1270"/>
      <c r="C118" s="1227"/>
      <c r="D118" s="1284"/>
      <c r="E118" s="1229"/>
      <c r="F118" s="1290"/>
      <c r="G118" s="1259"/>
    </row>
    <row r="119" spans="1:21" s="1260" customFormat="1" ht="34.799999999999997" customHeight="1" x14ac:dyDescent="0.25">
      <c r="A119" s="1289"/>
      <c r="B119" s="1270" t="s">
        <v>2757</v>
      </c>
      <c r="C119" s="1227"/>
      <c r="D119" s="1284" t="s">
        <v>2538</v>
      </c>
      <c r="E119" s="1229"/>
      <c r="F119" s="1290"/>
      <c r="G119" s="1259"/>
    </row>
    <row r="120" spans="1:21" s="1260" customFormat="1" x14ac:dyDescent="0.25">
      <c r="A120" s="1674"/>
      <c r="B120" s="1675"/>
      <c r="C120" s="1668"/>
      <c r="D120" s="1669"/>
      <c r="E120" s="1602"/>
      <c r="F120" s="1420"/>
      <c r="G120" s="1259"/>
    </row>
    <row r="121" spans="1:21" s="1260" customFormat="1" ht="46.2" customHeight="1" x14ac:dyDescent="0.25">
      <c r="A121" s="1676"/>
      <c r="B121" s="1677" t="s">
        <v>2758</v>
      </c>
      <c r="C121" s="1672"/>
      <c r="D121" s="1673" t="s">
        <v>2538</v>
      </c>
      <c r="E121" s="1664"/>
      <c r="F121" s="1424"/>
      <c r="G121" s="1259"/>
    </row>
    <row r="122" spans="1:21" s="1260" customFormat="1" x14ac:dyDescent="0.25">
      <c r="A122" s="1289"/>
      <c r="B122" s="1270"/>
      <c r="C122" s="1227"/>
      <c r="D122" s="1284"/>
      <c r="E122" s="1229"/>
      <c r="F122" s="1290"/>
      <c r="G122" s="1259"/>
    </row>
    <row r="123" spans="1:21" s="1260" customFormat="1" ht="35.4" customHeight="1" x14ac:dyDescent="0.25">
      <c r="A123" s="1289"/>
      <c r="B123" s="1270" t="s">
        <v>2759</v>
      </c>
      <c r="C123" s="1227"/>
      <c r="D123" s="1284" t="s">
        <v>2538</v>
      </c>
      <c r="E123" s="1229"/>
      <c r="F123" s="1290"/>
      <c r="G123" s="1259"/>
    </row>
    <row r="124" spans="1:21" s="1260" customFormat="1" x14ac:dyDescent="0.25">
      <c r="A124" s="1289"/>
      <c r="B124" s="1270"/>
      <c r="C124" s="1227"/>
      <c r="D124" s="1284"/>
      <c r="E124" s="1229"/>
      <c r="F124" s="1290"/>
      <c r="G124" s="1259"/>
    </row>
    <row r="125" spans="1:21" s="1260" customFormat="1" ht="35.4" customHeight="1" x14ac:dyDescent="0.25">
      <c r="A125" s="1289"/>
      <c r="B125" s="1270" t="s">
        <v>2760</v>
      </c>
      <c r="C125" s="1227"/>
      <c r="D125" s="1284" t="s">
        <v>2538</v>
      </c>
      <c r="E125" s="1229"/>
      <c r="F125" s="1290"/>
      <c r="G125" s="1259"/>
    </row>
    <row r="126" spans="1:21" s="1260" customFormat="1" x14ac:dyDescent="0.25">
      <c r="A126" s="1289"/>
      <c r="B126" s="1270"/>
      <c r="C126" s="1227"/>
      <c r="D126" s="1284"/>
      <c r="E126" s="1229"/>
      <c r="F126" s="1290"/>
      <c r="G126" s="1259"/>
    </row>
    <row r="127" spans="1:21" s="1260" customFormat="1" ht="32.4" customHeight="1" x14ac:dyDescent="0.25">
      <c r="A127" s="1289"/>
      <c r="B127" s="1270" t="s">
        <v>2761</v>
      </c>
      <c r="C127" s="1227"/>
      <c r="D127" s="1284" t="s">
        <v>2538</v>
      </c>
      <c r="E127" s="1229"/>
      <c r="F127" s="1290"/>
      <c r="G127" s="1259"/>
    </row>
    <row r="128" spans="1:21" s="1260" customFormat="1" x14ac:dyDescent="0.25">
      <c r="A128" s="1289"/>
      <c r="B128" s="1270"/>
      <c r="C128" s="1227"/>
      <c r="D128" s="1284"/>
      <c r="E128" s="1229"/>
      <c r="F128" s="1290"/>
      <c r="G128" s="1259"/>
    </row>
    <row r="129" spans="1:23" s="1260" customFormat="1" ht="37.200000000000003" customHeight="1" x14ac:dyDescent="0.25">
      <c r="A129" s="1289"/>
      <c r="B129" s="1270" t="s">
        <v>2762</v>
      </c>
      <c r="C129" s="1227"/>
      <c r="D129" s="1284" t="s">
        <v>2538</v>
      </c>
      <c r="E129" s="1229"/>
      <c r="F129" s="1290"/>
      <c r="G129" s="1259"/>
    </row>
    <row r="130" spans="1:23" s="1260" customFormat="1" x14ac:dyDescent="0.25">
      <c r="A130" s="1289"/>
      <c r="B130" s="1270"/>
      <c r="C130" s="1227"/>
      <c r="D130" s="1284"/>
      <c r="E130" s="1229"/>
      <c r="F130" s="1290"/>
      <c r="G130" s="1259"/>
    </row>
    <row r="131" spans="1:23" s="1260" customFormat="1" x14ac:dyDescent="0.25">
      <c r="A131" s="1292"/>
      <c r="B131" s="1293" t="s">
        <v>2650</v>
      </c>
      <c r="C131" s="1227"/>
      <c r="D131" s="1284"/>
      <c r="E131" s="1229"/>
      <c r="F131" s="1290"/>
      <c r="U131" s="1285"/>
      <c r="V131" s="1286"/>
      <c r="W131" s="1285"/>
    </row>
    <row r="132" spans="1:23" s="1295" customFormat="1" x14ac:dyDescent="0.25">
      <c r="A132" s="1289"/>
      <c r="B132" s="1270"/>
      <c r="C132" s="1227"/>
      <c r="D132" s="1284"/>
      <c r="E132" s="1229"/>
      <c r="F132" s="1290"/>
      <c r="G132" s="1294"/>
    </row>
    <row r="133" spans="1:23" s="1260" customFormat="1" x14ac:dyDescent="0.25">
      <c r="A133" s="1292">
        <f>IF(C133&gt;0,COUNT(C$132:C133),"")</f>
        <v>1</v>
      </c>
      <c r="B133" s="1296" t="s">
        <v>2763</v>
      </c>
      <c r="C133" s="1227">
        <v>1</v>
      </c>
      <c r="D133" s="1284" t="s">
        <v>1314</v>
      </c>
      <c r="E133" s="1229">
        <v>3500000</v>
      </c>
      <c r="F133" s="1290">
        <f>E133*C133</f>
        <v>3500000</v>
      </c>
      <c r="G133" s="1259"/>
      <c r="S133" s="1285"/>
      <c r="T133" s="1286"/>
      <c r="U133" s="1285"/>
    </row>
    <row r="134" spans="1:23" s="1260" customFormat="1" x14ac:dyDescent="0.25">
      <c r="A134" s="1292" t="str">
        <f>IF(C134&gt;0,COUNT(C$132:C134),"")</f>
        <v/>
      </c>
      <c r="B134" s="1297" t="s">
        <v>2764</v>
      </c>
      <c r="C134" s="1227"/>
      <c r="D134" s="1284"/>
      <c r="E134" s="1229"/>
      <c r="F134" s="1290"/>
      <c r="G134" s="1259"/>
      <c r="S134" s="1285"/>
      <c r="T134" s="1286"/>
      <c r="U134" s="1285"/>
    </row>
    <row r="135" spans="1:23" s="1260" customFormat="1" x14ac:dyDescent="0.25">
      <c r="A135" s="1292" t="str">
        <f>IF(C135&gt;0,COUNT(C$132:C135),"")</f>
        <v/>
      </c>
      <c r="B135" s="1297" t="s">
        <v>2765</v>
      </c>
      <c r="C135" s="1227"/>
      <c r="D135" s="1284"/>
      <c r="E135" s="1229"/>
      <c r="F135" s="1290"/>
      <c r="G135" s="1259"/>
      <c r="S135" s="1285"/>
      <c r="T135" s="1286"/>
      <c r="U135" s="1285"/>
    </row>
    <row r="136" spans="1:23" s="1260" customFormat="1" x14ac:dyDescent="0.25">
      <c r="A136" s="1292" t="str">
        <f>IF(C136&gt;0,COUNT(C$132:C136),"")</f>
        <v/>
      </c>
      <c r="B136" s="1226" t="s">
        <v>2766</v>
      </c>
      <c r="C136" s="1227"/>
      <c r="D136" s="1284"/>
      <c r="E136" s="1229"/>
      <c r="F136" s="1290"/>
      <c r="G136" s="1259"/>
      <c r="S136" s="1285"/>
      <c r="T136" s="1286"/>
      <c r="U136" s="1285"/>
    </row>
    <row r="137" spans="1:23" s="1260" customFormat="1" x14ac:dyDescent="0.25">
      <c r="A137" s="1292" t="str">
        <f>IF(C137&gt;0,COUNT(C$132:C137),"")</f>
        <v/>
      </c>
      <c r="B137" s="1226" t="s">
        <v>2767</v>
      </c>
      <c r="C137" s="1227"/>
      <c r="D137" s="1284"/>
      <c r="E137" s="1229"/>
      <c r="F137" s="1290"/>
      <c r="G137" s="1259"/>
      <c r="S137" s="1285"/>
      <c r="T137" s="1286"/>
      <c r="U137" s="1285"/>
    </row>
    <row r="138" spans="1:23" s="1260" customFormat="1" x14ac:dyDescent="0.25">
      <c r="A138" s="1292" t="str">
        <f>IF(C138&gt;0,COUNT(C$132:C138),"")</f>
        <v/>
      </c>
      <c r="B138" s="1226" t="s">
        <v>2768</v>
      </c>
      <c r="C138" s="1227"/>
      <c r="D138" s="1284"/>
      <c r="E138" s="1229"/>
      <c r="F138" s="1290"/>
      <c r="G138" s="1259"/>
      <c r="S138" s="1285"/>
      <c r="T138" s="1286"/>
      <c r="U138" s="1285"/>
    </row>
    <row r="139" spans="1:23" s="1260" customFormat="1" x14ac:dyDescent="0.25">
      <c r="A139" s="1292" t="str">
        <f>IF(C139&gt;0,COUNT(C$132:C139),"")</f>
        <v/>
      </c>
      <c r="B139" s="1226" t="s">
        <v>2769</v>
      </c>
      <c r="C139" s="1227"/>
      <c r="D139" s="1284"/>
      <c r="E139" s="1229"/>
      <c r="F139" s="1290"/>
      <c r="G139" s="1259"/>
      <c r="S139" s="1285"/>
      <c r="T139" s="1286"/>
      <c r="U139" s="1285"/>
    </row>
    <row r="140" spans="1:23" s="1260" customFormat="1" x14ac:dyDescent="0.25">
      <c r="A140" s="1292" t="str">
        <f>IF(C140&gt;0,COUNT(C$132:C140),"")</f>
        <v/>
      </c>
      <c r="B140" s="1226" t="s">
        <v>2770</v>
      </c>
      <c r="C140" s="1227"/>
      <c r="D140" s="1284"/>
      <c r="E140" s="1229"/>
      <c r="F140" s="1290"/>
      <c r="G140" s="1259"/>
      <c r="S140" s="1285"/>
      <c r="T140" s="1286"/>
      <c r="U140" s="1285"/>
    </row>
    <row r="141" spans="1:23" s="1260" customFormat="1" x14ac:dyDescent="0.25">
      <c r="A141" s="1292" t="str">
        <f>IF(C141&gt;0,COUNT(C$132:C141),"")</f>
        <v/>
      </c>
      <c r="B141" s="1226" t="s">
        <v>2771</v>
      </c>
      <c r="C141" s="1227"/>
      <c r="D141" s="1284"/>
      <c r="E141" s="1229"/>
      <c r="F141" s="1290"/>
      <c r="G141" s="1259"/>
      <c r="S141" s="1285"/>
      <c r="T141" s="1286"/>
      <c r="U141" s="1285"/>
    </row>
    <row r="142" spans="1:23" s="1260" customFormat="1" x14ac:dyDescent="0.25">
      <c r="A142" s="1292" t="str">
        <f>IF(C142&gt;0,COUNT(C$132:C142),"")</f>
        <v/>
      </c>
      <c r="B142" s="1226" t="s">
        <v>2772</v>
      </c>
      <c r="C142" s="1227"/>
      <c r="D142" s="1284"/>
      <c r="E142" s="1229"/>
      <c r="F142" s="1290"/>
      <c r="G142" s="1259"/>
      <c r="S142" s="1285"/>
      <c r="T142" s="1286"/>
      <c r="U142" s="1285"/>
    </row>
    <row r="143" spans="1:23" s="1260" customFormat="1" ht="16.8" customHeight="1" x14ac:dyDescent="0.25">
      <c r="A143" s="1292" t="str">
        <f>IF(C143&gt;0,COUNT(C$132:C143),"")</f>
        <v/>
      </c>
      <c r="B143" s="1297" t="s">
        <v>2773</v>
      </c>
      <c r="C143" s="1227"/>
      <c r="D143" s="1284"/>
      <c r="E143" s="1229"/>
      <c r="F143" s="1290"/>
      <c r="G143" s="1259"/>
      <c r="S143" s="1285"/>
      <c r="T143" s="1286"/>
      <c r="U143" s="1285"/>
    </row>
    <row r="144" spans="1:23" s="1260" customFormat="1" ht="31.2" customHeight="1" x14ac:dyDescent="0.25">
      <c r="A144" s="1292" t="str">
        <f>IF(C144&gt;0,COUNT(C$132:C144),"")</f>
        <v/>
      </c>
      <c r="B144" s="1298" t="s">
        <v>2774</v>
      </c>
      <c r="C144" s="1227"/>
      <c r="D144" s="1284"/>
      <c r="E144" s="1229"/>
      <c r="F144" s="1290"/>
      <c r="G144" s="1259"/>
      <c r="S144" s="1285"/>
      <c r="T144" s="1286"/>
      <c r="U144" s="1285"/>
    </row>
    <row r="145" spans="1:21" s="1260" customFormat="1" ht="35.4" customHeight="1" x14ac:dyDescent="0.25">
      <c r="A145" s="1292" t="str">
        <f>IF(C145&gt;0,COUNT(C$132:C145),"")</f>
        <v/>
      </c>
      <c r="B145" s="1298" t="s">
        <v>2775</v>
      </c>
      <c r="C145" s="1227"/>
      <c r="D145" s="1284"/>
      <c r="E145" s="1229"/>
      <c r="F145" s="1290"/>
      <c r="G145" s="1259"/>
      <c r="S145" s="1285"/>
      <c r="T145" s="1286"/>
      <c r="U145" s="1285"/>
    </row>
    <row r="146" spans="1:21" s="1260" customFormat="1" ht="30" customHeight="1" x14ac:dyDescent="0.25">
      <c r="A146" s="1292" t="str">
        <f>IF(C146&gt;0,COUNT(C$132:C146),"")</f>
        <v/>
      </c>
      <c r="B146" s="1299" t="s">
        <v>2776</v>
      </c>
      <c r="C146" s="1227"/>
      <c r="D146" s="1284"/>
      <c r="E146" s="1229"/>
      <c r="F146" s="1290"/>
      <c r="G146" s="1259"/>
      <c r="S146" s="1285"/>
      <c r="T146" s="1286"/>
      <c r="U146" s="1285"/>
    </row>
    <row r="147" spans="1:21" s="1260" customFormat="1" ht="16.8" customHeight="1" x14ac:dyDescent="0.25">
      <c r="A147" s="1292" t="str">
        <f>IF(C147&gt;0,COUNT(C$132:C147),"")</f>
        <v/>
      </c>
      <c r="B147" s="1297" t="s">
        <v>2777</v>
      </c>
      <c r="C147" s="1227"/>
      <c r="D147" s="1284"/>
      <c r="E147" s="1229"/>
      <c r="F147" s="1290"/>
      <c r="G147" s="1259"/>
      <c r="S147" s="1285"/>
      <c r="T147" s="1286"/>
      <c r="U147" s="1285"/>
    </row>
    <row r="148" spans="1:21" s="1260" customFormat="1" ht="16.8" customHeight="1" x14ac:dyDescent="0.25">
      <c r="A148" s="1292" t="str">
        <f>IF(C148&gt;0,COUNT(C$132:C148),"")</f>
        <v/>
      </c>
      <c r="B148" s="1297" t="s">
        <v>2778</v>
      </c>
      <c r="C148" s="1227"/>
      <c r="D148" s="1284"/>
      <c r="E148" s="1229"/>
      <c r="F148" s="1290"/>
      <c r="G148" s="1259"/>
      <c r="S148" s="1285"/>
      <c r="T148" s="1286"/>
      <c r="U148" s="1285"/>
    </row>
    <row r="149" spans="1:21" s="1260" customFormat="1" ht="31.8" customHeight="1" x14ac:dyDescent="0.25">
      <c r="A149" s="1292" t="str">
        <f>IF(C149&gt;0,COUNT(C$132:C149),"")</f>
        <v/>
      </c>
      <c r="B149" s="1299" t="s">
        <v>2779</v>
      </c>
      <c r="C149" s="1227"/>
      <c r="D149" s="1284"/>
      <c r="E149" s="1229"/>
      <c r="F149" s="1290"/>
      <c r="G149" s="1259"/>
      <c r="S149" s="1285"/>
      <c r="T149" s="1286"/>
      <c r="U149" s="1285"/>
    </row>
    <row r="150" spans="1:21" s="1260" customFormat="1" ht="18.600000000000001" customHeight="1" x14ac:dyDescent="0.25">
      <c r="A150" s="1292" t="str">
        <f>IF(C150&gt;0,COUNT(C$132:C150),"")</f>
        <v/>
      </c>
      <c r="B150" s="1297" t="s">
        <v>2780</v>
      </c>
      <c r="C150" s="1227"/>
      <c r="D150" s="1284"/>
      <c r="E150" s="1229"/>
      <c r="F150" s="1290"/>
      <c r="G150" s="1259"/>
      <c r="S150" s="1285"/>
      <c r="T150" s="1286"/>
      <c r="U150" s="1285"/>
    </row>
    <row r="151" spans="1:21" s="1260" customFormat="1" ht="31.8" customHeight="1" x14ac:dyDescent="0.25">
      <c r="A151" s="1292" t="str">
        <f>IF(C151&gt;0,COUNT(C$132:C151),"")</f>
        <v/>
      </c>
      <c r="B151" s="1299" t="s">
        <v>2781</v>
      </c>
      <c r="C151" s="1227"/>
      <c r="D151" s="1284"/>
      <c r="E151" s="1229"/>
      <c r="F151" s="1290"/>
      <c r="G151" s="1259"/>
      <c r="S151" s="1285"/>
      <c r="T151" s="1286"/>
      <c r="U151" s="1285"/>
    </row>
    <row r="152" spans="1:21" s="1260" customFormat="1" x14ac:dyDescent="0.25">
      <c r="A152" s="1292" t="str">
        <f>IF(C152&gt;0,COUNT(C$132:C152),"")</f>
        <v/>
      </c>
      <c r="B152" s="1299"/>
      <c r="C152" s="1227"/>
      <c r="D152" s="1284"/>
      <c r="E152" s="1229"/>
      <c r="F152" s="1290"/>
      <c r="G152" s="1259"/>
      <c r="S152" s="1285"/>
      <c r="T152" s="1286"/>
      <c r="U152" s="1285"/>
    </row>
    <row r="153" spans="1:21" s="1260" customFormat="1" x14ac:dyDescent="0.25">
      <c r="A153" s="1292">
        <f>IF(C153&gt;0,COUNT(C$132:C153),"")</f>
        <v>2</v>
      </c>
      <c r="B153" s="1300" t="s">
        <v>2782</v>
      </c>
      <c r="C153" s="1227">
        <v>1</v>
      </c>
      <c r="D153" s="1284" t="s">
        <v>1314</v>
      </c>
      <c r="E153" s="1229">
        <v>500000</v>
      </c>
      <c r="F153" s="1290">
        <f>E153*C153</f>
        <v>500000</v>
      </c>
      <c r="G153" s="1259"/>
      <c r="S153" s="1285"/>
      <c r="T153" s="1286"/>
      <c r="U153" s="1285"/>
    </row>
    <row r="154" spans="1:21" s="1260" customFormat="1" x14ac:dyDescent="0.25">
      <c r="A154" s="1292" t="str">
        <f>IF(C154&gt;0,COUNT(C$132:C154),"")</f>
        <v/>
      </c>
      <c r="B154" s="1297" t="s">
        <v>2783</v>
      </c>
      <c r="C154" s="1227"/>
      <c r="D154" s="1284"/>
      <c r="E154" s="1229"/>
      <c r="F154" s="1290"/>
      <c r="G154" s="1259"/>
      <c r="S154" s="1285"/>
      <c r="T154" s="1286"/>
      <c r="U154" s="1285"/>
    </row>
    <row r="155" spans="1:21" s="1260" customFormat="1" x14ac:dyDescent="0.25">
      <c r="A155" s="1292" t="str">
        <f>IF(C155&gt;0,COUNT(C$132:C155),"")</f>
        <v/>
      </c>
      <c r="B155" s="1297" t="s">
        <v>2784</v>
      </c>
      <c r="C155" s="1227"/>
      <c r="D155" s="1284"/>
      <c r="E155" s="1229"/>
      <c r="F155" s="1290"/>
      <c r="G155" s="1259"/>
      <c r="S155" s="1285"/>
      <c r="T155" s="1286"/>
      <c r="U155" s="1285"/>
    </row>
    <row r="156" spans="1:21" s="1260" customFormat="1" x14ac:dyDescent="0.25">
      <c r="A156" s="1292" t="str">
        <f>IF(C156&gt;0,COUNT(C$132:C156),"")</f>
        <v/>
      </c>
      <c r="B156" s="1297" t="s">
        <v>2785</v>
      </c>
      <c r="C156" s="1227"/>
      <c r="D156" s="1284"/>
      <c r="E156" s="1229"/>
      <c r="F156" s="1290"/>
      <c r="G156" s="1259"/>
      <c r="S156" s="1285"/>
      <c r="T156" s="1286"/>
      <c r="U156" s="1285"/>
    </row>
    <row r="157" spans="1:21" s="1260" customFormat="1" x14ac:dyDescent="0.25">
      <c r="A157" s="1292" t="str">
        <f>IF(C157&gt;0,COUNT(C$132:C157),"")</f>
        <v/>
      </c>
      <c r="B157" s="1297" t="s">
        <v>2786</v>
      </c>
      <c r="C157" s="1227"/>
      <c r="D157" s="1284"/>
      <c r="E157" s="1229"/>
      <c r="F157" s="1290"/>
      <c r="G157" s="1259"/>
      <c r="S157" s="1285"/>
      <c r="T157" s="1286"/>
      <c r="U157" s="1285"/>
    </row>
    <row r="158" spans="1:21" s="1260" customFormat="1" x14ac:dyDescent="0.25">
      <c r="A158" s="1292" t="str">
        <f>IF(C158&gt;0,COUNT(C$132:C158),"")</f>
        <v/>
      </c>
      <c r="B158" s="1297" t="s">
        <v>2787</v>
      </c>
      <c r="C158" s="1227"/>
      <c r="D158" s="1284"/>
      <c r="E158" s="1229"/>
      <c r="F158" s="1290"/>
      <c r="G158" s="1259"/>
      <c r="S158" s="1285"/>
      <c r="T158" s="1286"/>
      <c r="U158" s="1285"/>
    </row>
    <row r="159" spans="1:21" s="1260" customFormat="1" x14ac:dyDescent="0.25">
      <c r="A159" s="1292" t="str">
        <f>IF(C159&gt;0,COUNT(C$132:C159),"")</f>
        <v/>
      </c>
      <c r="B159" s="1297" t="s">
        <v>2788</v>
      </c>
      <c r="C159" s="1227"/>
      <c r="D159" s="1284"/>
      <c r="E159" s="1229"/>
      <c r="F159" s="1290"/>
      <c r="G159" s="1259"/>
      <c r="S159" s="1285"/>
      <c r="T159" s="1286"/>
      <c r="U159" s="1285"/>
    </row>
    <row r="160" spans="1:21" s="1260" customFormat="1" x14ac:dyDescent="0.25">
      <c r="A160" s="1292" t="str">
        <f>IF(C160&gt;0,COUNT(C$132:C160),"")</f>
        <v/>
      </c>
      <c r="B160" s="1297" t="s">
        <v>71</v>
      </c>
      <c r="C160" s="1227"/>
      <c r="D160" s="1284"/>
      <c r="E160" s="1229"/>
      <c r="F160" s="1290"/>
      <c r="G160" s="1259"/>
      <c r="S160" s="1285"/>
      <c r="T160" s="1286"/>
      <c r="U160" s="1285"/>
    </row>
    <row r="161" spans="1:21" s="1260" customFormat="1" ht="33" customHeight="1" x14ac:dyDescent="0.25">
      <c r="A161" s="1292" t="str">
        <f>IF(C161&gt;0,COUNT(C$132:C161),"")</f>
        <v/>
      </c>
      <c r="B161" s="1301" t="s">
        <v>2789</v>
      </c>
      <c r="C161" s="1227"/>
      <c r="D161" s="1284"/>
      <c r="E161" s="1229"/>
      <c r="F161" s="1290"/>
      <c r="G161" s="1259"/>
      <c r="S161" s="1285"/>
      <c r="T161" s="1286"/>
      <c r="U161" s="1285"/>
    </row>
    <row r="162" spans="1:21" s="1260" customFormat="1" x14ac:dyDescent="0.25">
      <c r="A162" s="1292" t="str">
        <f>IF(C162&gt;0,COUNT(C$132:C162),"")</f>
        <v/>
      </c>
      <c r="B162" s="1301"/>
      <c r="C162" s="1227"/>
      <c r="D162" s="1284"/>
      <c r="E162" s="1229"/>
      <c r="F162" s="1290"/>
      <c r="G162" s="1259"/>
      <c r="S162" s="1285"/>
      <c r="T162" s="1286"/>
      <c r="U162" s="1285"/>
    </row>
    <row r="163" spans="1:21" s="1260" customFormat="1" x14ac:dyDescent="0.25">
      <c r="A163" s="1292">
        <f>IF(C163&gt;0,COUNT(C$132:C163),"")</f>
        <v>3</v>
      </c>
      <c r="B163" s="1300" t="s">
        <v>2790</v>
      </c>
      <c r="C163" s="1227">
        <v>1</v>
      </c>
      <c r="D163" s="1284" t="s">
        <v>1314</v>
      </c>
      <c r="E163" s="1229">
        <v>500000</v>
      </c>
      <c r="F163" s="1290">
        <f>E163*C163</f>
        <v>500000</v>
      </c>
      <c r="G163" s="1259"/>
      <c r="S163" s="1285"/>
      <c r="T163" s="1286"/>
      <c r="U163" s="1285"/>
    </row>
    <row r="164" spans="1:21" s="1260" customFormat="1" x14ac:dyDescent="0.25">
      <c r="A164" s="1292" t="str">
        <f>IF(C164&gt;0,COUNT(C$132:C164),"")</f>
        <v/>
      </c>
      <c r="B164" s="1297" t="s">
        <v>2783</v>
      </c>
      <c r="C164" s="1227"/>
      <c r="D164" s="1284"/>
      <c r="E164" s="1229"/>
      <c r="F164" s="1290"/>
      <c r="G164" s="1259"/>
      <c r="S164" s="1285"/>
      <c r="T164" s="1286"/>
      <c r="U164" s="1285"/>
    </row>
    <row r="165" spans="1:21" s="1260" customFormat="1" x14ac:dyDescent="0.25">
      <c r="A165" s="1292" t="str">
        <f>IF(C165&gt;0,COUNT(C$132:C165),"")</f>
        <v/>
      </c>
      <c r="B165" s="1297" t="s">
        <v>2791</v>
      </c>
      <c r="C165" s="1227"/>
      <c r="D165" s="1284"/>
      <c r="E165" s="1229"/>
      <c r="F165" s="1290"/>
      <c r="G165" s="1259"/>
      <c r="S165" s="1285"/>
      <c r="T165" s="1286"/>
      <c r="U165" s="1285"/>
    </row>
    <row r="166" spans="1:21" s="1260" customFormat="1" x14ac:dyDescent="0.25">
      <c r="A166" s="1292" t="str">
        <f>IF(C166&gt;0,COUNT(C$132:C166),"")</f>
        <v/>
      </c>
      <c r="B166" s="1297" t="s">
        <v>2792</v>
      </c>
      <c r="C166" s="1227"/>
      <c r="D166" s="1284"/>
      <c r="E166" s="1229"/>
      <c r="F166" s="1290"/>
      <c r="G166" s="1259"/>
      <c r="S166" s="1285"/>
      <c r="T166" s="1286"/>
      <c r="U166" s="1285"/>
    </row>
    <row r="167" spans="1:21" s="1260" customFormat="1" x14ac:dyDescent="0.25">
      <c r="A167" s="1292" t="str">
        <f>IF(C167&gt;0,COUNT(C$132:C167),"")</f>
        <v/>
      </c>
      <c r="B167" s="1297" t="s">
        <v>2793</v>
      </c>
      <c r="C167" s="1227"/>
      <c r="D167" s="1284"/>
      <c r="E167" s="1229"/>
      <c r="F167" s="1290"/>
      <c r="G167" s="1259"/>
      <c r="S167" s="1285"/>
      <c r="T167" s="1286"/>
      <c r="U167" s="1285"/>
    </row>
    <row r="168" spans="1:21" s="1260" customFormat="1" x14ac:dyDescent="0.25">
      <c r="A168" s="1292" t="str">
        <f>IF(C168&gt;0,COUNT(C$132:C168),"")</f>
        <v/>
      </c>
      <c r="B168" s="1297" t="s">
        <v>2794</v>
      </c>
      <c r="C168" s="1227"/>
      <c r="D168" s="1284"/>
      <c r="E168" s="1229"/>
      <c r="F168" s="1290"/>
      <c r="G168" s="1259"/>
      <c r="S168" s="1285"/>
      <c r="T168" s="1286"/>
      <c r="U168" s="1285"/>
    </row>
    <row r="169" spans="1:21" s="1260" customFormat="1" x14ac:dyDescent="0.25">
      <c r="A169" s="1292" t="str">
        <f>IF(C169&gt;0,COUNT(C$132:C169),"")</f>
        <v/>
      </c>
      <c r="B169" s="1297" t="s">
        <v>2788</v>
      </c>
      <c r="C169" s="1227"/>
      <c r="D169" s="1284"/>
      <c r="E169" s="1229"/>
      <c r="F169" s="1290"/>
      <c r="G169" s="1259"/>
      <c r="S169" s="1285"/>
      <c r="T169" s="1286"/>
      <c r="U169" s="1285"/>
    </row>
    <row r="170" spans="1:21" s="1260" customFormat="1" x14ac:dyDescent="0.25">
      <c r="A170" s="1292" t="str">
        <f>IF(C170&gt;0,COUNT(C$132:C170),"")</f>
        <v/>
      </c>
      <c r="B170" s="1297" t="s">
        <v>71</v>
      </c>
      <c r="C170" s="1227"/>
      <c r="D170" s="1284"/>
      <c r="E170" s="1229"/>
      <c r="F170" s="1290"/>
      <c r="G170" s="1259"/>
      <c r="S170" s="1285"/>
      <c r="T170" s="1286"/>
      <c r="U170" s="1285"/>
    </row>
    <row r="171" spans="1:21" s="1260" customFormat="1" ht="34.200000000000003" customHeight="1" x14ac:dyDescent="0.25">
      <c r="A171" s="1678" t="str">
        <f>IF(C171&gt;0,COUNT(C$132:C171),"")</f>
        <v/>
      </c>
      <c r="B171" s="1679" t="s">
        <v>2789</v>
      </c>
      <c r="C171" s="1668"/>
      <c r="D171" s="1669"/>
      <c r="E171" s="1602"/>
      <c r="F171" s="1420"/>
      <c r="G171" s="1259"/>
      <c r="S171" s="1285"/>
      <c r="T171" s="1286"/>
      <c r="U171" s="1285"/>
    </row>
    <row r="172" spans="1:21" s="1260" customFormat="1" x14ac:dyDescent="0.25">
      <c r="A172" s="1680">
        <f>IF(C172&gt;0,COUNT(C$132:C172),"")</f>
        <v>4</v>
      </c>
      <c r="B172" s="1681" t="s">
        <v>2795</v>
      </c>
      <c r="C172" s="1672">
        <v>1</v>
      </c>
      <c r="D172" s="1673" t="s">
        <v>1314</v>
      </c>
      <c r="E172" s="1664">
        <v>500000</v>
      </c>
      <c r="F172" s="1424">
        <f>E172*C172</f>
        <v>500000</v>
      </c>
      <c r="G172" s="1259"/>
      <c r="S172" s="1285"/>
      <c r="T172" s="1286"/>
      <c r="U172" s="1285"/>
    </row>
    <row r="173" spans="1:21" s="1260" customFormat="1" x14ac:dyDescent="0.25">
      <c r="A173" s="1292" t="str">
        <f>IF(C173&gt;0,COUNT(C$132:C173),"")</f>
        <v/>
      </c>
      <c r="B173" s="1297" t="s">
        <v>2796</v>
      </c>
      <c r="C173" s="1227"/>
      <c r="D173" s="1284"/>
      <c r="E173" s="1229"/>
      <c r="F173" s="1290"/>
      <c r="G173" s="1259"/>
      <c r="S173" s="1285"/>
      <c r="T173" s="1286"/>
      <c r="U173" s="1285"/>
    </row>
    <row r="174" spans="1:21" s="1260" customFormat="1" x14ac:dyDescent="0.25">
      <c r="A174" s="1292" t="str">
        <f>IF(C174&gt;0,COUNT(C$132:C174),"")</f>
        <v/>
      </c>
      <c r="B174" s="1297" t="s">
        <v>2797</v>
      </c>
      <c r="C174" s="1227"/>
      <c r="D174" s="1284"/>
      <c r="E174" s="1229"/>
      <c r="F174" s="1290"/>
      <c r="G174" s="1259"/>
      <c r="S174" s="1285"/>
      <c r="T174" s="1286"/>
      <c r="U174" s="1285"/>
    </row>
    <row r="175" spans="1:21" s="1260" customFormat="1" x14ac:dyDescent="0.25">
      <c r="A175" s="1292" t="str">
        <f>IF(C175&gt;0,COUNT(C$132:C175),"")</f>
        <v/>
      </c>
      <c r="B175" s="1297" t="s">
        <v>2798</v>
      </c>
      <c r="C175" s="1227"/>
      <c r="D175" s="1284"/>
      <c r="E175" s="1229"/>
      <c r="F175" s="1290"/>
      <c r="G175" s="1259"/>
      <c r="S175" s="1285"/>
      <c r="T175" s="1286"/>
      <c r="U175" s="1285"/>
    </row>
    <row r="176" spans="1:21" s="1260" customFormat="1" x14ac:dyDescent="0.25">
      <c r="A176" s="1292" t="str">
        <f>IF(C176&gt;0,COUNT(C$132:C176),"")</f>
        <v/>
      </c>
      <c r="B176" s="1297" t="s">
        <v>2799</v>
      </c>
      <c r="C176" s="1227"/>
      <c r="D176" s="1284"/>
      <c r="E176" s="1229"/>
      <c r="F176" s="1290"/>
      <c r="G176" s="1259"/>
      <c r="S176" s="1285"/>
      <c r="T176" s="1286"/>
      <c r="U176" s="1285"/>
    </row>
    <row r="177" spans="1:21" s="1260" customFormat="1" x14ac:dyDescent="0.25">
      <c r="A177" s="1292" t="str">
        <f>IF(C177&gt;0,COUNT(C$132:C177),"")</f>
        <v/>
      </c>
      <c r="B177" s="1297" t="s">
        <v>2800</v>
      </c>
      <c r="C177" s="1227"/>
      <c r="D177" s="1284"/>
      <c r="E177" s="1229"/>
      <c r="F177" s="1290"/>
      <c r="G177" s="1259"/>
      <c r="S177" s="1285"/>
      <c r="T177" s="1286"/>
      <c r="U177" s="1285"/>
    </row>
    <row r="178" spans="1:21" s="1260" customFormat="1" ht="36.6" customHeight="1" x14ac:dyDescent="0.25">
      <c r="A178" s="1292" t="str">
        <f>IF(C178&gt;0,COUNT(C$132:C178),"")</f>
        <v/>
      </c>
      <c r="B178" s="1301" t="s">
        <v>2789</v>
      </c>
      <c r="C178" s="1227"/>
      <c r="D178" s="1284"/>
      <c r="E178" s="1229"/>
      <c r="F178" s="1290"/>
      <c r="G178" s="1259"/>
      <c r="S178" s="1285"/>
      <c r="T178" s="1286"/>
      <c r="U178" s="1285"/>
    </row>
    <row r="179" spans="1:21" s="1260" customFormat="1" x14ac:dyDescent="0.25">
      <c r="A179" s="1292" t="str">
        <f>IF(C179&gt;0,COUNT(C$132:C179),"")</f>
        <v/>
      </c>
      <c r="B179" s="1301"/>
      <c r="C179" s="1227"/>
      <c r="D179" s="1284"/>
      <c r="E179" s="1229"/>
      <c r="F179" s="1290"/>
      <c r="G179" s="1259"/>
      <c r="S179" s="1285"/>
      <c r="T179" s="1286"/>
      <c r="U179" s="1285"/>
    </row>
    <row r="180" spans="1:21" s="1260" customFormat="1" x14ac:dyDescent="0.25">
      <c r="A180" s="1292">
        <f>IF(C180&gt;0,COUNT(C$132:C180),"")</f>
        <v>5</v>
      </c>
      <c r="B180" s="1303" t="s">
        <v>2801</v>
      </c>
      <c r="C180" s="1227">
        <v>1</v>
      </c>
      <c r="D180" s="1284" t="s">
        <v>1314</v>
      </c>
      <c r="E180" s="1229">
        <v>500000</v>
      </c>
      <c r="F180" s="1290">
        <f>E180*C180</f>
        <v>500000</v>
      </c>
      <c r="G180" s="1259"/>
      <c r="S180" s="1285"/>
      <c r="T180" s="1286"/>
      <c r="U180" s="1285"/>
    </row>
    <row r="181" spans="1:21" s="1260" customFormat="1" x14ac:dyDescent="0.25">
      <c r="A181" s="1292" t="str">
        <f>IF(C181&gt;0,COUNT(C$132:C181),"")</f>
        <v/>
      </c>
      <c r="B181" s="1297" t="s">
        <v>2783</v>
      </c>
      <c r="C181" s="1227"/>
      <c r="D181" s="1284"/>
      <c r="E181" s="1229"/>
      <c r="F181" s="1290"/>
      <c r="G181" s="1259"/>
      <c r="S181" s="1285"/>
      <c r="T181" s="1286"/>
      <c r="U181" s="1285"/>
    </row>
    <row r="182" spans="1:21" s="1260" customFormat="1" x14ac:dyDescent="0.25">
      <c r="A182" s="1292" t="str">
        <f>IF(C182&gt;0,COUNT(C$132:C182),"")</f>
        <v/>
      </c>
      <c r="B182" s="1297" t="s">
        <v>2791</v>
      </c>
      <c r="C182" s="1227"/>
      <c r="D182" s="1284"/>
      <c r="E182" s="1229"/>
      <c r="F182" s="1290"/>
      <c r="G182" s="1259"/>
      <c r="S182" s="1285"/>
      <c r="T182" s="1286"/>
      <c r="U182" s="1285"/>
    </row>
    <row r="183" spans="1:21" s="1260" customFormat="1" x14ac:dyDescent="0.25">
      <c r="A183" s="1292" t="str">
        <f>IF(C183&gt;0,COUNT(C$132:C183),"")</f>
        <v/>
      </c>
      <c r="B183" s="1297" t="s">
        <v>2802</v>
      </c>
      <c r="C183" s="1227"/>
      <c r="D183" s="1284"/>
      <c r="E183" s="1229"/>
      <c r="F183" s="1290"/>
      <c r="G183" s="1259"/>
      <c r="S183" s="1285"/>
      <c r="T183" s="1286"/>
      <c r="U183" s="1285"/>
    </row>
    <row r="184" spans="1:21" s="1260" customFormat="1" x14ac:dyDescent="0.25">
      <c r="A184" s="1292" t="str">
        <f>IF(C184&gt;0,COUNT(C$132:C184),"")</f>
        <v/>
      </c>
      <c r="B184" s="1297" t="s">
        <v>2803</v>
      </c>
      <c r="C184" s="1227"/>
      <c r="D184" s="1284"/>
      <c r="E184" s="1229"/>
      <c r="F184" s="1290"/>
      <c r="G184" s="1259"/>
      <c r="S184" s="1285"/>
      <c r="T184" s="1286"/>
      <c r="U184" s="1285"/>
    </row>
    <row r="185" spans="1:21" s="1260" customFormat="1" x14ac:dyDescent="0.25">
      <c r="A185" s="1292" t="str">
        <f>IF(C185&gt;0,COUNT(C$132:C185),"")</f>
        <v/>
      </c>
      <c r="B185" s="1297" t="s">
        <v>2787</v>
      </c>
      <c r="C185" s="1227"/>
      <c r="D185" s="1284"/>
      <c r="E185" s="1229"/>
      <c r="F185" s="1290"/>
      <c r="G185" s="1259"/>
      <c r="S185" s="1285"/>
      <c r="T185" s="1286"/>
      <c r="U185" s="1285"/>
    </row>
    <row r="186" spans="1:21" s="1260" customFormat="1" x14ac:dyDescent="0.25">
      <c r="A186" s="1292" t="str">
        <f>IF(C186&gt;0,COUNT(C$132:C186),"")</f>
        <v/>
      </c>
      <c r="B186" s="1297" t="s">
        <v>2788</v>
      </c>
      <c r="C186" s="1227"/>
      <c r="D186" s="1284"/>
      <c r="E186" s="1229"/>
      <c r="F186" s="1290"/>
      <c r="G186" s="1259"/>
      <c r="S186" s="1285"/>
      <c r="T186" s="1286"/>
      <c r="U186" s="1285"/>
    </row>
    <row r="187" spans="1:21" s="1260" customFormat="1" x14ac:dyDescent="0.25">
      <c r="A187" s="1292" t="str">
        <f>IF(C187&gt;0,COUNT(C$132:C187),"")</f>
        <v/>
      </c>
      <c r="B187" s="1297" t="s">
        <v>71</v>
      </c>
      <c r="C187" s="1227"/>
      <c r="D187" s="1284"/>
      <c r="E187" s="1229"/>
      <c r="F187" s="1290"/>
      <c r="G187" s="1259"/>
      <c r="S187" s="1285"/>
      <c r="T187" s="1286"/>
      <c r="U187" s="1285"/>
    </row>
    <row r="188" spans="1:21" s="1260" customFormat="1" ht="34.799999999999997" customHeight="1" x14ac:dyDescent="0.25">
      <c r="A188" s="1292" t="str">
        <f>IF(C188&gt;0,COUNT(C$132:C188),"")</f>
        <v/>
      </c>
      <c r="B188" s="1301" t="s">
        <v>2789</v>
      </c>
      <c r="C188" s="1227"/>
      <c r="D188" s="1284"/>
      <c r="E188" s="1229"/>
      <c r="F188" s="1290"/>
      <c r="G188" s="1259"/>
      <c r="S188" s="1285"/>
      <c r="T188" s="1286"/>
      <c r="U188" s="1285"/>
    </row>
    <row r="189" spans="1:21" s="1260" customFormat="1" x14ac:dyDescent="0.25">
      <c r="A189" s="1292" t="str">
        <f>IF(C189&gt;0,COUNT(C$132:C189),"")</f>
        <v/>
      </c>
      <c r="B189" s="1301"/>
      <c r="C189" s="1227"/>
      <c r="D189" s="1284"/>
      <c r="E189" s="1229"/>
      <c r="F189" s="1290"/>
      <c r="G189" s="1259"/>
      <c r="S189" s="1285"/>
      <c r="T189" s="1286"/>
      <c r="U189" s="1285"/>
    </row>
    <row r="190" spans="1:21" s="1260" customFormat="1" x14ac:dyDescent="0.25">
      <c r="A190" s="1292">
        <f>IF(C190&gt;0,COUNT(C$132:C190),"")</f>
        <v>6</v>
      </c>
      <c r="B190" s="1300" t="s">
        <v>2804</v>
      </c>
      <c r="C190" s="1227">
        <v>1</v>
      </c>
      <c r="D190" s="1284" t="s">
        <v>1314</v>
      </c>
      <c r="E190" s="1229">
        <v>400000</v>
      </c>
      <c r="F190" s="1290">
        <f>E190*C190</f>
        <v>400000</v>
      </c>
      <c r="G190" s="1259"/>
      <c r="S190" s="1285"/>
      <c r="T190" s="1286"/>
      <c r="U190" s="1285"/>
    </row>
    <row r="191" spans="1:21" s="1260" customFormat="1" x14ac:dyDescent="0.25">
      <c r="A191" s="1292" t="str">
        <f>IF(C191&gt;0,COUNT(C$132:C191),"")</f>
        <v/>
      </c>
      <c r="B191" s="1297" t="s">
        <v>2771</v>
      </c>
      <c r="C191" s="1227"/>
      <c r="D191" s="1284"/>
      <c r="E191" s="1229"/>
      <c r="F191" s="1290"/>
      <c r="G191" s="1259"/>
      <c r="S191" s="1285"/>
      <c r="T191" s="1286"/>
      <c r="U191" s="1285"/>
    </row>
    <row r="192" spans="1:21" s="1260" customFormat="1" x14ac:dyDescent="0.25">
      <c r="A192" s="1292" t="str">
        <f>IF(C192&gt;0,COUNT(C$132:C192),"")</f>
        <v/>
      </c>
      <c r="B192" s="1297" t="s">
        <v>2797</v>
      </c>
      <c r="C192" s="1227"/>
      <c r="D192" s="1284"/>
      <c r="E192" s="1229"/>
      <c r="F192" s="1290"/>
      <c r="G192" s="1259"/>
      <c r="S192" s="1285"/>
      <c r="T192" s="1286"/>
      <c r="U192" s="1285"/>
    </row>
    <row r="193" spans="1:21" s="1260" customFormat="1" x14ac:dyDescent="0.25">
      <c r="A193" s="1292" t="str">
        <f>IF(C193&gt;0,COUNT(C$132:C193),"")</f>
        <v/>
      </c>
      <c r="B193" s="1297" t="s">
        <v>2805</v>
      </c>
      <c r="C193" s="1227"/>
      <c r="D193" s="1284"/>
      <c r="E193" s="1229"/>
      <c r="F193" s="1290"/>
      <c r="G193" s="1259"/>
      <c r="S193" s="1285"/>
      <c r="T193" s="1286"/>
      <c r="U193" s="1285"/>
    </row>
    <row r="194" spans="1:21" s="1260" customFormat="1" x14ac:dyDescent="0.25">
      <c r="A194" s="1292" t="str">
        <f>IF(C194&gt;0,COUNT(C$132:C194),"")</f>
        <v/>
      </c>
      <c r="B194" s="1297" t="s">
        <v>2806</v>
      </c>
      <c r="C194" s="1227"/>
      <c r="D194" s="1284"/>
      <c r="E194" s="1229"/>
      <c r="F194" s="1290"/>
      <c r="G194" s="1259"/>
      <c r="S194" s="1285"/>
      <c r="T194" s="1286"/>
      <c r="U194" s="1285"/>
    </row>
    <row r="195" spans="1:21" s="1260" customFormat="1" x14ac:dyDescent="0.25">
      <c r="A195" s="1292" t="str">
        <f>IF(C195&gt;0,COUNT(C$132:C195),"")</f>
        <v/>
      </c>
      <c r="B195" s="1297" t="s">
        <v>2807</v>
      </c>
      <c r="C195" s="1227"/>
      <c r="D195" s="1284"/>
      <c r="E195" s="1229"/>
      <c r="F195" s="1290"/>
      <c r="G195" s="1259"/>
      <c r="S195" s="1285"/>
      <c r="T195" s="1286"/>
      <c r="U195" s="1285"/>
    </row>
    <row r="196" spans="1:21" s="1260" customFormat="1" ht="32.4" customHeight="1" x14ac:dyDescent="0.25">
      <c r="A196" s="1292" t="str">
        <f>IF(C196&gt;0,COUNT(C$132:C196),"")</f>
        <v/>
      </c>
      <c r="B196" s="1301" t="s">
        <v>2789</v>
      </c>
      <c r="C196" s="1227"/>
      <c r="D196" s="1284"/>
      <c r="E196" s="1229"/>
      <c r="F196" s="1290"/>
      <c r="G196" s="1259"/>
      <c r="S196" s="1285"/>
      <c r="T196" s="1286"/>
      <c r="U196" s="1285"/>
    </row>
    <row r="197" spans="1:21" s="1260" customFormat="1" x14ac:dyDescent="0.25">
      <c r="A197" s="1292" t="str">
        <f>IF(C197&gt;0,COUNT(C$132:C197),"")</f>
        <v/>
      </c>
      <c r="B197" s="1301"/>
      <c r="C197" s="1227"/>
      <c r="D197" s="1284"/>
      <c r="E197" s="1229"/>
      <c r="F197" s="1290"/>
      <c r="G197" s="1259"/>
      <c r="S197" s="1285"/>
      <c r="T197" s="1286"/>
      <c r="U197" s="1285"/>
    </row>
    <row r="198" spans="1:21" s="1260" customFormat="1" x14ac:dyDescent="0.25">
      <c r="A198" s="1292">
        <f>IF(C198&gt;0,COUNT(C$132:C198),"")</f>
        <v>7</v>
      </c>
      <c r="B198" s="1303" t="s">
        <v>2808</v>
      </c>
      <c r="C198" s="1227">
        <v>1</v>
      </c>
      <c r="D198" s="1284" t="s">
        <v>1314</v>
      </c>
      <c r="E198" s="1229">
        <v>400000</v>
      </c>
      <c r="F198" s="1290">
        <f>E198*C198</f>
        <v>400000</v>
      </c>
      <c r="G198" s="1259"/>
      <c r="S198" s="1285"/>
      <c r="T198" s="1286"/>
      <c r="U198" s="1285"/>
    </row>
    <row r="199" spans="1:21" s="1260" customFormat="1" x14ac:dyDescent="0.25">
      <c r="A199" s="1292" t="str">
        <f>IF(C199&gt;0,COUNT(C$132:C199),"")</f>
        <v/>
      </c>
      <c r="B199" s="1297" t="s">
        <v>2783</v>
      </c>
      <c r="C199" s="1227"/>
      <c r="D199" s="1284"/>
      <c r="E199" s="1229"/>
      <c r="F199" s="1290"/>
      <c r="G199" s="1259"/>
      <c r="S199" s="1285"/>
      <c r="T199" s="1286"/>
      <c r="U199" s="1285"/>
    </row>
    <row r="200" spans="1:21" s="1260" customFormat="1" x14ac:dyDescent="0.25">
      <c r="A200" s="1292" t="str">
        <f>IF(C200&gt;0,COUNT(C$132:C200),"")</f>
        <v/>
      </c>
      <c r="B200" s="1297" t="s">
        <v>2791</v>
      </c>
      <c r="C200" s="1227"/>
      <c r="D200" s="1284"/>
      <c r="E200" s="1229"/>
      <c r="F200" s="1290"/>
      <c r="G200" s="1259"/>
      <c r="S200" s="1285"/>
      <c r="T200" s="1286"/>
      <c r="U200" s="1285"/>
    </row>
    <row r="201" spans="1:21" s="1260" customFormat="1" x14ac:dyDescent="0.25">
      <c r="A201" s="1292" t="str">
        <f>IF(C201&gt;0,COUNT(C$132:C201),"")</f>
        <v/>
      </c>
      <c r="B201" s="1297" t="s">
        <v>2809</v>
      </c>
      <c r="C201" s="1227"/>
      <c r="D201" s="1284"/>
      <c r="E201" s="1229"/>
      <c r="F201" s="1290"/>
      <c r="G201" s="1259"/>
      <c r="S201" s="1285"/>
      <c r="T201" s="1286"/>
      <c r="U201" s="1285"/>
    </row>
    <row r="202" spans="1:21" s="1260" customFormat="1" x14ac:dyDescent="0.25">
      <c r="A202" s="1292" t="str">
        <f>IF(C202&gt;0,COUNT(C$132:C202),"")</f>
        <v/>
      </c>
      <c r="B202" s="1297" t="s">
        <v>2786</v>
      </c>
      <c r="C202" s="1227"/>
      <c r="D202" s="1284"/>
      <c r="E202" s="1229"/>
      <c r="F202" s="1290"/>
      <c r="G202" s="1259"/>
      <c r="S202" s="1285"/>
      <c r="T202" s="1286"/>
      <c r="U202" s="1285"/>
    </row>
    <row r="203" spans="1:21" s="1260" customFormat="1" x14ac:dyDescent="0.25">
      <c r="A203" s="1292" t="str">
        <f>IF(C203&gt;0,COUNT(C$132:C203),"")</f>
        <v/>
      </c>
      <c r="B203" s="1297" t="s">
        <v>2810</v>
      </c>
      <c r="C203" s="1227"/>
      <c r="D203" s="1284"/>
      <c r="E203" s="1229"/>
      <c r="F203" s="1290"/>
      <c r="G203" s="1259"/>
      <c r="S203" s="1285"/>
      <c r="T203" s="1286"/>
      <c r="U203" s="1285"/>
    </row>
    <row r="204" spans="1:21" s="1260" customFormat="1" x14ac:dyDescent="0.25">
      <c r="A204" s="1292" t="str">
        <f>IF(C204&gt;0,COUNT(C$132:C204),"")</f>
        <v/>
      </c>
      <c r="B204" s="1297" t="s">
        <v>2788</v>
      </c>
      <c r="C204" s="1227"/>
      <c r="D204" s="1284"/>
      <c r="E204" s="1229"/>
      <c r="F204" s="1290"/>
      <c r="G204" s="1259"/>
      <c r="S204" s="1285"/>
      <c r="T204" s="1286"/>
      <c r="U204" s="1285"/>
    </row>
    <row r="205" spans="1:21" s="1260" customFormat="1" x14ac:dyDescent="0.25">
      <c r="A205" s="1292" t="str">
        <f>IF(C205&gt;0,COUNT(C$132:C205),"")</f>
        <v/>
      </c>
      <c r="B205" s="1297" t="s">
        <v>71</v>
      </c>
      <c r="C205" s="1227"/>
      <c r="D205" s="1284"/>
      <c r="E205" s="1229"/>
      <c r="F205" s="1290"/>
      <c r="G205" s="1259"/>
      <c r="S205" s="1285"/>
      <c r="T205" s="1286"/>
      <c r="U205" s="1285"/>
    </row>
    <row r="206" spans="1:21" s="1260" customFormat="1" ht="32.4" customHeight="1" x14ac:dyDescent="0.25">
      <c r="A206" s="1292" t="str">
        <f>IF(C206&gt;0,COUNT(C$132:C206),"")</f>
        <v/>
      </c>
      <c r="B206" s="1301" t="s">
        <v>2789</v>
      </c>
      <c r="C206" s="1227"/>
      <c r="D206" s="1284"/>
      <c r="E206" s="1229"/>
      <c r="F206" s="1290"/>
      <c r="G206" s="1259"/>
      <c r="S206" s="1285"/>
      <c r="T206" s="1286"/>
      <c r="U206" s="1285"/>
    </row>
    <row r="207" spans="1:21" s="1260" customFormat="1" x14ac:dyDescent="0.25">
      <c r="A207" s="1292" t="str">
        <f>IF(C207&gt;0,COUNT(C$132:C207),"")</f>
        <v/>
      </c>
      <c r="B207" s="1301"/>
      <c r="C207" s="1227"/>
      <c r="D207" s="1284"/>
      <c r="E207" s="1229"/>
      <c r="F207" s="1290"/>
      <c r="G207" s="1259"/>
      <c r="S207" s="1285"/>
      <c r="T207" s="1286"/>
      <c r="U207" s="1285"/>
    </row>
    <row r="208" spans="1:21" s="1260" customFormat="1" x14ac:dyDescent="0.25">
      <c r="A208" s="1292">
        <f>IF(C208&gt;0,COUNT(C$132:C208),"")</f>
        <v>8</v>
      </c>
      <c r="B208" s="1300" t="s">
        <v>2811</v>
      </c>
      <c r="C208" s="1227">
        <v>1</v>
      </c>
      <c r="D208" s="1284" t="s">
        <v>1314</v>
      </c>
      <c r="E208" s="1229">
        <v>400000</v>
      </c>
      <c r="F208" s="1290">
        <f>E208*C208</f>
        <v>400000</v>
      </c>
      <c r="G208" s="1259"/>
      <c r="S208" s="1285"/>
      <c r="T208" s="1286"/>
      <c r="U208" s="1285"/>
    </row>
    <row r="209" spans="1:21" s="1260" customFormat="1" x14ac:dyDescent="0.25">
      <c r="A209" s="1292" t="str">
        <f>IF(C209&gt;0,COUNT(C$132:C209),"")</f>
        <v/>
      </c>
      <c r="B209" s="1297" t="s">
        <v>2771</v>
      </c>
      <c r="C209" s="1227"/>
      <c r="D209" s="1284"/>
      <c r="E209" s="1229"/>
      <c r="F209" s="1290"/>
      <c r="G209" s="1259"/>
      <c r="S209" s="1285"/>
      <c r="T209" s="1286"/>
      <c r="U209" s="1285"/>
    </row>
    <row r="210" spans="1:21" s="1260" customFormat="1" x14ac:dyDescent="0.25">
      <c r="A210" s="1292" t="str">
        <f>IF(C210&gt;0,COUNT(C$132:C210),"")</f>
        <v/>
      </c>
      <c r="B210" s="1297" t="s">
        <v>2797</v>
      </c>
      <c r="C210" s="1227"/>
      <c r="D210" s="1284"/>
      <c r="E210" s="1229"/>
      <c r="F210" s="1290"/>
      <c r="G210" s="1259"/>
      <c r="S210" s="1285"/>
      <c r="T210" s="1286"/>
      <c r="U210" s="1285"/>
    </row>
    <row r="211" spans="1:21" s="1260" customFormat="1" x14ac:dyDescent="0.25">
      <c r="A211" s="1292" t="str">
        <f>IF(C211&gt;0,COUNT(C$132:C211),"")</f>
        <v/>
      </c>
      <c r="B211" s="1297" t="s">
        <v>2787</v>
      </c>
      <c r="C211" s="1227"/>
      <c r="D211" s="1284"/>
      <c r="E211" s="1229"/>
      <c r="F211" s="1290"/>
      <c r="G211" s="1259"/>
      <c r="S211" s="1285"/>
      <c r="T211" s="1286"/>
      <c r="U211" s="1285"/>
    </row>
    <row r="212" spans="1:21" s="1260" customFormat="1" x14ac:dyDescent="0.25">
      <c r="A212" s="1292" t="str">
        <f>IF(C212&gt;0,COUNT(C$132:C212),"")</f>
        <v/>
      </c>
      <c r="B212" s="1297" t="s">
        <v>2812</v>
      </c>
      <c r="C212" s="1227"/>
      <c r="D212" s="1284"/>
      <c r="E212" s="1229"/>
      <c r="F212" s="1290"/>
      <c r="G212" s="1259"/>
      <c r="S212" s="1285"/>
      <c r="T212" s="1286"/>
      <c r="U212" s="1285"/>
    </row>
    <row r="213" spans="1:21" s="1260" customFormat="1" x14ac:dyDescent="0.25">
      <c r="A213" s="1292" t="str">
        <f>IF(C213&gt;0,COUNT(C$132:C213),"")</f>
        <v/>
      </c>
      <c r="B213" s="1297" t="s">
        <v>2813</v>
      </c>
      <c r="C213" s="1227"/>
      <c r="D213" s="1284"/>
      <c r="E213" s="1229"/>
      <c r="F213" s="1290"/>
      <c r="G213" s="1259"/>
      <c r="S213" s="1285"/>
      <c r="T213" s="1286"/>
      <c r="U213" s="1285"/>
    </row>
    <row r="214" spans="1:21" s="1260" customFormat="1" ht="36.6" customHeight="1" x14ac:dyDescent="0.25">
      <c r="A214" s="1292" t="str">
        <f>IF(C214&gt;0,COUNT(C$132:C214),"")</f>
        <v/>
      </c>
      <c r="B214" s="1301" t="s">
        <v>2789</v>
      </c>
      <c r="C214" s="1227"/>
      <c r="D214" s="1284"/>
      <c r="E214" s="1229"/>
      <c r="F214" s="1290"/>
      <c r="G214" s="1259"/>
      <c r="S214" s="1285"/>
      <c r="T214" s="1286"/>
      <c r="U214" s="1285"/>
    </row>
    <row r="215" spans="1:21" s="1260" customFormat="1" x14ac:dyDescent="0.25">
      <c r="A215" s="1292" t="str">
        <f>IF(C215&gt;0,COUNT(C$132:C215),"")</f>
        <v/>
      </c>
      <c r="B215" s="1301"/>
      <c r="C215" s="1227"/>
      <c r="D215" s="1284"/>
      <c r="E215" s="1229"/>
      <c r="F215" s="1290"/>
      <c r="G215" s="1259"/>
      <c r="S215" s="1285"/>
      <c r="T215" s="1286"/>
      <c r="U215" s="1285"/>
    </row>
    <row r="216" spans="1:21" s="1260" customFormat="1" x14ac:dyDescent="0.25">
      <c r="A216" s="1292">
        <f>IF(C216&gt;0,COUNT(C$132:C216),"")</f>
        <v>9</v>
      </c>
      <c r="B216" s="1303" t="s">
        <v>2814</v>
      </c>
      <c r="C216" s="1227">
        <v>1</v>
      </c>
      <c r="D216" s="1284" t="s">
        <v>1314</v>
      </c>
      <c r="E216" s="1229">
        <v>400000</v>
      </c>
      <c r="F216" s="1290">
        <f>E216*C216</f>
        <v>400000</v>
      </c>
      <c r="G216" s="1259"/>
      <c r="S216" s="1285"/>
      <c r="T216" s="1286"/>
      <c r="U216" s="1285"/>
    </row>
    <row r="217" spans="1:21" s="1260" customFormat="1" x14ac:dyDescent="0.25">
      <c r="A217" s="1292" t="str">
        <f>IF(C217&gt;0,COUNT(C$132:C217),"")</f>
        <v/>
      </c>
      <c r="B217" s="1297" t="s">
        <v>2771</v>
      </c>
      <c r="C217" s="1227"/>
      <c r="D217" s="1284"/>
      <c r="E217" s="1229"/>
      <c r="F217" s="1290"/>
      <c r="G217" s="1259"/>
      <c r="S217" s="1285"/>
      <c r="T217" s="1286"/>
      <c r="U217" s="1285"/>
    </row>
    <row r="218" spans="1:21" s="1260" customFormat="1" x14ac:dyDescent="0.25">
      <c r="A218" s="1292" t="str">
        <f>IF(C218&gt;0,COUNT(C$132:C218),"")</f>
        <v/>
      </c>
      <c r="B218" s="1297" t="s">
        <v>2815</v>
      </c>
      <c r="C218" s="1227"/>
      <c r="D218" s="1284"/>
      <c r="E218" s="1229"/>
      <c r="F218" s="1290"/>
      <c r="G218" s="1259"/>
      <c r="S218" s="1285"/>
      <c r="T218" s="1286"/>
      <c r="U218" s="1285"/>
    </row>
    <row r="219" spans="1:21" s="1260" customFormat="1" x14ac:dyDescent="0.25">
      <c r="A219" s="1292" t="str">
        <f>IF(C219&gt;0,COUNT(C$132:C219),"")</f>
        <v/>
      </c>
      <c r="B219" s="1297" t="s">
        <v>2816</v>
      </c>
      <c r="C219" s="1227"/>
      <c r="D219" s="1284"/>
      <c r="E219" s="1229"/>
      <c r="F219" s="1290"/>
      <c r="G219" s="1259"/>
      <c r="S219" s="1285"/>
      <c r="T219" s="1286"/>
      <c r="U219" s="1285"/>
    </row>
    <row r="220" spans="1:21" s="1260" customFormat="1" x14ac:dyDescent="0.25">
      <c r="A220" s="1292" t="str">
        <f>IF(C220&gt;0,COUNT(C$132:C220),"")</f>
        <v/>
      </c>
      <c r="B220" s="1297" t="s">
        <v>2817</v>
      </c>
      <c r="C220" s="1227"/>
      <c r="D220" s="1284"/>
      <c r="E220" s="1229"/>
      <c r="F220" s="1290"/>
      <c r="G220" s="1259"/>
      <c r="S220" s="1285"/>
      <c r="T220" s="1286"/>
      <c r="U220" s="1285"/>
    </row>
    <row r="221" spans="1:21" s="1260" customFormat="1" x14ac:dyDescent="0.25">
      <c r="A221" s="1292" t="str">
        <f>IF(C221&gt;0,COUNT(C$132:C221),"")</f>
        <v/>
      </c>
      <c r="B221" s="1297" t="s">
        <v>2818</v>
      </c>
      <c r="C221" s="1227"/>
      <c r="D221" s="1284"/>
      <c r="E221" s="1229"/>
      <c r="F221" s="1290"/>
      <c r="G221" s="1259"/>
      <c r="S221" s="1285"/>
      <c r="T221" s="1286"/>
      <c r="U221" s="1285"/>
    </row>
    <row r="222" spans="1:21" s="1260" customFormat="1" x14ac:dyDescent="0.25">
      <c r="A222" s="1292" t="str">
        <f>IF(C222&gt;0,COUNT(C$132:C222),"")</f>
        <v/>
      </c>
      <c r="B222" s="1297" t="s">
        <v>2819</v>
      </c>
      <c r="C222" s="1227"/>
      <c r="D222" s="1284"/>
      <c r="E222" s="1229"/>
      <c r="F222" s="1290"/>
      <c r="G222" s="1259"/>
      <c r="S222" s="1285"/>
      <c r="T222" s="1286"/>
      <c r="U222" s="1285"/>
    </row>
    <row r="223" spans="1:21" s="1260" customFormat="1" x14ac:dyDescent="0.25">
      <c r="A223" s="1292" t="str">
        <f>IF(C223&gt;0,COUNT(C$132:C223),"")</f>
        <v/>
      </c>
      <c r="B223" s="1297" t="s">
        <v>2800</v>
      </c>
      <c r="C223" s="1227"/>
      <c r="D223" s="1284"/>
      <c r="E223" s="1229"/>
      <c r="F223" s="1290"/>
      <c r="G223" s="1259"/>
      <c r="S223" s="1285"/>
      <c r="T223" s="1286"/>
      <c r="U223" s="1285"/>
    </row>
    <row r="224" spans="1:21" s="1260" customFormat="1" ht="33" customHeight="1" x14ac:dyDescent="0.25">
      <c r="A224" s="1292" t="str">
        <f>IF(C224&gt;0,COUNT(C$132:C224),"")</f>
        <v/>
      </c>
      <c r="B224" s="1301" t="s">
        <v>2789</v>
      </c>
      <c r="C224" s="1227"/>
      <c r="D224" s="1284"/>
      <c r="E224" s="1229"/>
      <c r="F224" s="1290"/>
      <c r="G224" s="1259"/>
      <c r="S224" s="1285"/>
      <c r="T224" s="1286"/>
      <c r="U224" s="1285"/>
    </row>
    <row r="225" spans="1:21" s="1260" customFormat="1" x14ac:dyDescent="0.25">
      <c r="A225" s="1292" t="str">
        <f>IF(C225&gt;0,COUNT(C$132:C225),"")</f>
        <v/>
      </c>
      <c r="B225" s="1301"/>
      <c r="C225" s="1227"/>
      <c r="D225" s="1284"/>
      <c r="E225" s="1229"/>
      <c r="F225" s="1290"/>
      <c r="G225" s="1259"/>
      <c r="S225" s="1285"/>
      <c r="T225" s="1286"/>
      <c r="U225" s="1285"/>
    </row>
    <row r="226" spans="1:21" s="1260" customFormat="1" x14ac:dyDescent="0.25">
      <c r="A226" s="1292">
        <f>IF(C226&gt;0,COUNT(C$132:C226),"")</f>
        <v>10</v>
      </c>
      <c r="B226" s="1303" t="s">
        <v>2820</v>
      </c>
      <c r="C226" s="1227">
        <v>1</v>
      </c>
      <c r="D226" s="1284" t="s">
        <v>1314</v>
      </c>
      <c r="E226" s="1229">
        <v>400000</v>
      </c>
      <c r="F226" s="1290">
        <f>E226*C226</f>
        <v>400000</v>
      </c>
      <c r="G226" s="1259"/>
      <c r="S226" s="1285"/>
      <c r="T226" s="1286"/>
      <c r="U226" s="1285"/>
    </row>
    <row r="227" spans="1:21" s="1260" customFormat="1" x14ac:dyDescent="0.25">
      <c r="A227" s="1292" t="str">
        <f>IF(C227&gt;0,COUNT(C$132:C227),"")</f>
        <v/>
      </c>
      <c r="B227" s="1297" t="s">
        <v>2796</v>
      </c>
      <c r="C227" s="1227"/>
      <c r="D227" s="1284"/>
      <c r="E227" s="1229"/>
      <c r="F227" s="1290"/>
      <c r="G227" s="1259"/>
      <c r="S227" s="1285"/>
      <c r="T227" s="1286"/>
      <c r="U227" s="1285"/>
    </row>
    <row r="228" spans="1:21" s="1260" customFormat="1" x14ac:dyDescent="0.25">
      <c r="A228" s="1292" t="str">
        <f>IF(C228&gt;0,COUNT(C$132:C228),"")</f>
        <v/>
      </c>
      <c r="B228" s="1297" t="s">
        <v>2821</v>
      </c>
      <c r="C228" s="1227"/>
      <c r="D228" s="1284"/>
      <c r="E228" s="1229"/>
      <c r="F228" s="1290"/>
      <c r="G228" s="1259"/>
      <c r="S228" s="1285"/>
      <c r="T228" s="1286"/>
      <c r="U228" s="1285"/>
    </row>
    <row r="229" spans="1:21" s="1260" customFormat="1" x14ac:dyDescent="0.25">
      <c r="A229" s="1292" t="str">
        <f>IF(C229&gt;0,COUNT(C$132:C229),"")</f>
        <v/>
      </c>
      <c r="B229" s="1297" t="s">
        <v>2791</v>
      </c>
      <c r="C229" s="1227"/>
      <c r="D229" s="1284"/>
      <c r="E229" s="1229"/>
      <c r="F229" s="1290"/>
      <c r="G229" s="1259"/>
      <c r="S229" s="1285"/>
      <c r="T229" s="1286"/>
      <c r="U229" s="1285"/>
    </row>
    <row r="230" spans="1:21" s="1260" customFormat="1" x14ac:dyDescent="0.25">
      <c r="A230" s="1292" t="str">
        <f>IF(C230&gt;0,COUNT(C$132:C230),"")</f>
        <v/>
      </c>
      <c r="B230" s="1297" t="s">
        <v>2822</v>
      </c>
      <c r="C230" s="1227"/>
      <c r="D230" s="1284"/>
      <c r="E230" s="1229"/>
      <c r="F230" s="1290"/>
      <c r="G230" s="1259"/>
      <c r="S230" s="1285"/>
      <c r="T230" s="1286"/>
      <c r="U230" s="1285"/>
    </row>
    <row r="231" spans="1:21" s="1260" customFormat="1" x14ac:dyDescent="0.25">
      <c r="A231" s="1292" t="str">
        <f>IF(C231&gt;0,COUNT(C$132:C231),"")</f>
        <v/>
      </c>
      <c r="B231" s="1297" t="s">
        <v>2823</v>
      </c>
      <c r="C231" s="1227"/>
      <c r="D231" s="1284"/>
      <c r="E231" s="1229"/>
      <c r="F231" s="1290"/>
      <c r="G231" s="1259"/>
      <c r="S231" s="1285"/>
      <c r="T231" s="1286"/>
      <c r="U231" s="1285"/>
    </row>
    <row r="232" spans="1:21" s="1260" customFormat="1" x14ac:dyDescent="0.25">
      <c r="A232" s="1678" t="str">
        <f>IF(C232&gt;0,COUNT(C$132:C232),"")</f>
        <v/>
      </c>
      <c r="B232" s="1682" t="s">
        <v>2810</v>
      </c>
      <c r="C232" s="1668"/>
      <c r="D232" s="1669"/>
      <c r="E232" s="1602"/>
      <c r="F232" s="1420"/>
      <c r="G232" s="1259"/>
      <c r="S232" s="1285"/>
      <c r="T232" s="1286"/>
      <c r="U232" s="1285"/>
    </row>
    <row r="233" spans="1:21" s="1260" customFormat="1" x14ac:dyDescent="0.25">
      <c r="A233" s="1680" t="str">
        <f>IF(C233&gt;0,COUNT(C$132:C233),"")</f>
        <v/>
      </c>
      <c r="B233" s="1683" t="s">
        <v>2806</v>
      </c>
      <c r="C233" s="1672"/>
      <c r="D233" s="1673"/>
      <c r="E233" s="1664"/>
      <c r="F233" s="1424"/>
      <c r="G233" s="1259"/>
      <c r="S233" s="1285"/>
      <c r="T233" s="1286"/>
      <c r="U233" s="1285"/>
    </row>
    <row r="234" spans="1:21" s="1260" customFormat="1" x14ac:dyDescent="0.25">
      <c r="A234" s="1292" t="str">
        <f>IF(C234&gt;0,COUNT(C$132:C234),"")</f>
        <v/>
      </c>
      <c r="B234" s="1297" t="s">
        <v>2807</v>
      </c>
      <c r="C234" s="1227"/>
      <c r="D234" s="1284"/>
      <c r="E234" s="1229"/>
      <c r="F234" s="1290"/>
      <c r="G234" s="1259"/>
      <c r="S234" s="1285"/>
      <c r="T234" s="1286"/>
      <c r="U234" s="1285"/>
    </row>
    <row r="235" spans="1:21" s="1260" customFormat="1" x14ac:dyDescent="0.25">
      <c r="A235" s="1292" t="str">
        <f>IF(C235&gt;0,COUNT(C$132:C235),"")</f>
        <v/>
      </c>
      <c r="B235" s="1301" t="s">
        <v>2824</v>
      </c>
      <c r="C235" s="1227"/>
      <c r="D235" s="1284"/>
      <c r="E235" s="1229"/>
      <c r="F235" s="1290"/>
      <c r="G235" s="1259"/>
      <c r="S235" s="1285"/>
      <c r="T235" s="1286"/>
      <c r="U235" s="1285"/>
    </row>
    <row r="236" spans="1:21" s="1260" customFormat="1" x14ac:dyDescent="0.25">
      <c r="A236" s="1292" t="str">
        <f>IF(C236&gt;0,COUNT(C$132:C236),"")</f>
        <v/>
      </c>
      <c r="B236" s="1301"/>
      <c r="C236" s="1227"/>
      <c r="D236" s="1284"/>
      <c r="E236" s="1229"/>
      <c r="F236" s="1290"/>
      <c r="G236" s="1259"/>
      <c r="S236" s="1285"/>
      <c r="T236" s="1286"/>
      <c r="U236" s="1285"/>
    </row>
    <row r="237" spans="1:21" s="1260" customFormat="1" x14ac:dyDescent="0.25">
      <c r="A237" s="1292">
        <f>IF(C237&gt;0,COUNT(C$132:C237),"")</f>
        <v>11</v>
      </c>
      <c r="B237" s="1303" t="s">
        <v>2825</v>
      </c>
      <c r="C237" s="1227">
        <v>1</v>
      </c>
      <c r="D237" s="1284" t="s">
        <v>1314</v>
      </c>
      <c r="E237" s="1229">
        <v>165000</v>
      </c>
      <c r="F237" s="1290">
        <f>E237*C237</f>
        <v>165000</v>
      </c>
      <c r="G237" s="1259"/>
      <c r="S237" s="1285"/>
      <c r="T237" s="1286"/>
      <c r="U237" s="1285"/>
    </row>
    <row r="238" spans="1:21" s="1260" customFormat="1" x14ac:dyDescent="0.25">
      <c r="A238" s="1292" t="str">
        <f>IF(C238&gt;0,COUNT(C$132:C238),"")</f>
        <v/>
      </c>
      <c r="B238" s="1297" t="s">
        <v>2826</v>
      </c>
      <c r="C238" s="1227"/>
      <c r="D238" s="1284"/>
      <c r="E238" s="1229"/>
      <c r="F238" s="1290"/>
      <c r="G238" s="1259"/>
      <c r="S238" s="1285"/>
      <c r="T238" s="1286"/>
      <c r="U238" s="1285"/>
    </row>
    <row r="239" spans="1:21" s="1260" customFormat="1" x14ac:dyDescent="0.25">
      <c r="A239" s="1292" t="str">
        <f>IF(C239&gt;0,COUNT(C$132:C239),"")</f>
        <v/>
      </c>
      <c r="B239" s="1297" t="s">
        <v>2827</v>
      </c>
      <c r="C239" s="1227"/>
      <c r="D239" s="1284"/>
      <c r="E239" s="1229"/>
      <c r="F239" s="1290"/>
      <c r="G239" s="1259"/>
      <c r="S239" s="1285"/>
      <c r="T239" s="1286"/>
      <c r="U239" s="1285"/>
    </row>
    <row r="240" spans="1:21" s="1260" customFormat="1" x14ac:dyDescent="0.25">
      <c r="A240" s="1292" t="str">
        <f>IF(C240&gt;0,COUNT(C$132:C240),"")</f>
        <v/>
      </c>
      <c r="B240" s="1297" t="s">
        <v>71</v>
      </c>
      <c r="C240" s="1227"/>
      <c r="D240" s="1284"/>
      <c r="E240" s="1229"/>
      <c r="F240" s="1290"/>
      <c r="G240" s="1259"/>
      <c r="S240" s="1285"/>
      <c r="T240" s="1286"/>
      <c r="U240" s="1285"/>
    </row>
    <row r="241" spans="1:21" s="1260" customFormat="1" x14ac:dyDescent="0.25">
      <c r="A241" s="1292" t="str">
        <f>IF(C241&gt;0,COUNT(C$132:C241),"")</f>
        <v/>
      </c>
      <c r="B241" s="1301" t="s">
        <v>2824</v>
      </c>
      <c r="C241" s="1227"/>
      <c r="D241" s="1284"/>
      <c r="E241" s="1229"/>
      <c r="F241" s="1290"/>
      <c r="G241" s="1259"/>
      <c r="S241" s="1285"/>
      <c r="T241" s="1286"/>
      <c r="U241" s="1285"/>
    </row>
    <row r="242" spans="1:21" s="1260" customFormat="1" x14ac:dyDescent="0.25">
      <c r="A242" s="1292" t="str">
        <f>IF(C242&gt;0,COUNT(C$132:C242),"")</f>
        <v/>
      </c>
      <c r="B242" s="1301"/>
      <c r="C242" s="1227"/>
      <c r="D242" s="1284"/>
      <c r="E242" s="1229"/>
      <c r="F242" s="1290"/>
      <c r="G242" s="1259"/>
      <c r="S242" s="1285"/>
      <c r="T242" s="1286"/>
      <c r="U242" s="1285"/>
    </row>
    <row r="243" spans="1:21" s="1260" customFormat="1" x14ac:dyDescent="0.25">
      <c r="A243" s="1292">
        <f>IF(C243&gt;0,COUNT(C$132:C243),"")</f>
        <v>12</v>
      </c>
      <c r="B243" s="1303" t="s">
        <v>2828</v>
      </c>
      <c r="C243" s="1227">
        <v>1</v>
      </c>
      <c r="D243" s="1284" t="s">
        <v>1314</v>
      </c>
      <c r="E243" s="1229">
        <v>170000</v>
      </c>
      <c r="F243" s="1290">
        <f>E243*C243</f>
        <v>170000</v>
      </c>
      <c r="G243" s="1259"/>
      <c r="S243" s="1285"/>
      <c r="T243" s="1286"/>
      <c r="U243" s="1285"/>
    </row>
    <row r="244" spans="1:21" s="1260" customFormat="1" x14ac:dyDescent="0.25">
      <c r="A244" s="1292" t="str">
        <f>IF(C244&gt;0,COUNT(C$132:C244),"")</f>
        <v/>
      </c>
      <c r="B244" s="1297" t="s">
        <v>2826</v>
      </c>
      <c r="C244" s="1227"/>
      <c r="D244" s="1284"/>
      <c r="E244" s="1229"/>
      <c r="F244" s="1290"/>
      <c r="G244" s="1259"/>
      <c r="S244" s="1285"/>
      <c r="T244" s="1286"/>
      <c r="U244" s="1285"/>
    </row>
    <row r="245" spans="1:21" s="1260" customFormat="1" x14ac:dyDescent="0.25">
      <c r="A245" s="1292" t="str">
        <f>IF(C245&gt;0,COUNT(C$132:C245),"")</f>
        <v/>
      </c>
      <c r="B245" s="1297" t="s">
        <v>2796</v>
      </c>
      <c r="C245" s="1227"/>
      <c r="D245" s="1284"/>
      <c r="E245" s="1229"/>
      <c r="F245" s="1290"/>
      <c r="G245" s="1259"/>
      <c r="S245" s="1285"/>
      <c r="T245" s="1286"/>
      <c r="U245" s="1285"/>
    </row>
    <row r="246" spans="1:21" s="1260" customFormat="1" x14ac:dyDescent="0.25">
      <c r="A246" s="1292" t="str">
        <f>IF(C246&gt;0,COUNT(C$132:C246),"")</f>
        <v/>
      </c>
      <c r="B246" s="1297" t="s">
        <v>2829</v>
      </c>
      <c r="C246" s="1227"/>
      <c r="D246" s="1284"/>
      <c r="E246" s="1229"/>
      <c r="F246" s="1290"/>
      <c r="G246" s="1259"/>
      <c r="S246" s="1285"/>
      <c r="T246" s="1286"/>
      <c r="U246" s="1285"/>
    </row>
    <row r="247" spans="1:21" s="1260" customFormat="1" x14ac:dyDescent="0.25">
      <c r="A247" s="1292" t="str">
        <f>IF(C247&gt;0,COUNT(C$132:C247),"")</f>
        <v/>
      </c>
      <c r="B247" s="1297" t="s">
        <v>2783</v>
      </c>
      <c r="C247" s="1227"/>
      <c r="D247" s="1284"/>
      <c r="E247" s="1229"/>
      <c r="F247" s="1290"/>
      <c r="G247" s="1259"/>
      <c r="S247" s="1285"/>
      <c r="T247" s="1286"/>
      <c r="U247" s="1285"/>
    </row>
    <row r="248" spans="1:21" s="1260" customFormat="1" x14ac:dyDescent="0.25">
      <c r="A248" s="1292" t="str">
        <f>IF(C248&gt;0,COUNT(C$132:C248),"")</f>
        <v/>
      </c>
      <c r="B248" s="1297" t="s">
        <v>2827</v>
      </c>
      <c r="C248" s="1227"/>
      <c r="D248" s="1284"/>
      <c r="E248" s="1229"/>
      <c r="F248" s="1290"/>
      <c r="G248" s="1259"/>
      <c r="S248" s="1285"/>
      <c r="T248" s="1286"/>
      <c r="U248" s="1285"/>
    </row>
    <row r="249" spans="1:21" s="1260" customFormat="1" x14ac:dyDescent="0.25">
      <c r="A249" s="1292" t="str">
        <f>IF(C249&gt;0,COUNT(C$132:C249),"")</f>
        <v/>
      </c>
      <c r="B249" s="1297" t="s">
        <v>71</v>
      </c>
      <c r="C249" s="1227"/>
      <c r="D249" s="1284"/>
      <c r="E249" s="1229"/>
      <c r="F249" s="1290"/>
      <c r="G249" s="1259"/>
      <c r="S249" s="1285"/>
      <c r="T249" s="1286"/>
      <c r="U249" s="1285"/>
    </row>
    <row r="250" spans="1:21" s="1260" customFormat="1" x14ac:dyDescent="0.25">
      <c r="A250" s="1292" t="str">
        <f>IF(C250&gt;0,COUNT(C$132:C250),"")</f>
        <v/>
      </c>
      <c r="B250" s="1301" t="s">
        <v>2824</v>
      </c>
      <c r="C250" s="1227"/>
      <c r="D250" s="1284"/>
      <c r="E250" s="1229"/>
      <c r="F250" s="1290"/>
      <c r="G250" s="1259"/>
      <c r="S250" s="1285"/>
      <c r="T250" s="1286"/>
      <c r="U250" s="1285"/>
    </row>
    <row r="251" spans="1:21" s="1260" customFormat="1" x14ac:dyDescent="0.25">
      <c r="A251" s="1292" t="str">
        <f>IF(C251&gt;0,COUNT(C$132:C251),"")</f>
        <v/>
      </c>
      <c r="B251" s="1301"/>
      <c r="C251" s="1227"/>
      <c r="D251" s="1284"/>
      <c r="E251" s="1229"/>
      <c r="F251" s="1290"/>
      <c r="G251" s="1259"/>
      <c r="S251" s="1285"/>
      <c r="T251" s="1286"/>
      <c r="U251" s="1285"/>
    </row>
    <row r="252" spans="1:21" s="1260" customFormat="1" x14ac:dyDescent="0.25">
      <c r="A252" s="1292">
        <f>IF(C252&gt;0,COUNT(C$132:C252),"")</f>
        <v>13</v>
      </c>
      <c r="B252" s="1303" t="s">
        <v>2830</v>
      </c>
      <c r="C252" s="1227">
        <v>1</v>
      </c>
      <c r="D252" s="1284" t="s">
        <v>1314</v>
      </c>
      <c r="E252" s="1229">
        <v>175000</v>
      </c>
      <c r="F252" s="1290">
        <f>E252*C252</f>
        <v>175000</v>
      </c>
      <c r="G252" s="1259"/>
      <c r="S252" s="1285"/>
      <c r="T252" s="1286"/>
      <c r="U252" s="1285"/>
    </row>
    <row r="253" spans="1:21" s="1260" customFormat="1" x14ac:dyDescent="0.25">
      <c r="A253" s="1292" t="str">
        <f>IF(C253&gt;0,COUNT(C$132:C253),"")</f>
        <v/>
      </c>
      <c r="B253" s="1297" t="s">
        <v>2783</v>
      </c>
      <c r="C253" s="1227"/>
      <c r="D253" s="1284"/>
      <c r="E253" s="1229"/>
      <c r="F253" s="1290"/>
      <c r="G253" s="1259"/>
      <c r="S253" s="1285"/>
      <c r="T253" s="1286"/>
      <c r="U253" s="1285"/>
    </row>
    <row r="254" spans="1:21" s="1260" customFormat="1" x14ac:dyDescent="0.25">
      <c r="A254" s="1292" t="str">
        <f>IF(C254&gt;0,COUNT(C$132:C254),"")</f>
        <v/>
      </c>
      <c r="B254" s="1297" t="s">
        <v>2831</v>
      </c>
      <c r="C254" s="1227"/>
      <c r="D254" s="1284"/>
      <c r="E254" s="1229"/>
      <c r="F254" s="1290"/>
      <c r="G254" s="1259"/>
      <c r="S254" s="1285"/>
      <c r="T254" s="1286"/>
      <c r="U254" s="1285"/>
    </row>
    <row r="255" spans="1:21" s="1260" customFormat="1" x14ac:dyDescent="0.25">
      <c r="A255" s="1292" t="str">
        <f>IF(C255&gt;0,COUNT(C$132:C255),"")</f>
        <v/>
      </c>
      <c r="B255" s="1297" t="s">
        <v>2797</v>
      </c>
      <c r="C255" s="1227"/>
      <c r="D255" s="1284"/>
      <c r="E255" s="1229"/>
      <c r="F255" s="1290"/>
      <c r="G255" s="1259"/>
      <c r="S255" s="1285"/>
      <c r="T255" s="1286"/>
      <c r="U255" s="1285"/>
    </row>
    <row r="256" spans="1:21" s="1260" customFormat="1" x14ac:dyDescent="0.25">
      <c r="A256" s="1292" t="str">
        <f>IF(C256&gt;0,COUNT(C$132:C256),"")</f>
        <v/>
      </c>
      <c r="B256" s="1297" t="s">
        <v>2832</v>
      </c>
      <c r="C256" s="1227"/>
      <c r="D256" s="1284"/>
      <c r="E256" s="1229"/>
      <c r="F256" s="1290"/>
      <c r="G256" s="1259"/>
      <c r="S256" s="1285"/>
      <c r="T256" s="1286"/>
      <c r="U256" s="1285"/>
    </row>
    <row r="257" spans="1:23" s="1260" customFormat="1" x14ac:dyDescent="0.25">
      <c r="A257" s="1292" t="str">
        <f>IF(C257&gt;0,COUNT(C$132:C257),"")</f>
        <v/>
      </c>
      <c r="B257" s="1297" t="s">
        <v>2827</v>
      </c>
      <c r="C257" s="1227"/>
      <c r="D257" s="1284"/>
      <c r="E257" s="1229"/>
      <c r="F257" s="1290"/>
      <c r="G257" s="1259"/>
      <c r="S257" s="1285"/>
      <c r="T257" s="1286"/>
      <c r="U257" s="1285"/>
    </row>
    <row r="258" spans="1:23" s="1260" customFormat="1" x14ac:dyDescent="0.25">
      <c r="A258" s="1292" t="str">
        <f>IF(C258&gt;0,COUNT(C$132:C258),"")</f>
        <v/>
      </c>
      <c r="B258" s="1297" t="s">
        <v>71</v>
      </c>
      <c r="C258" s="1227"/>
      <c r="D258" s="1284"/>
      <c r="E258" s="1229"/>
      <c r="F258" s="1290"/>
      <c r="G258" s="1259"/>
      <c r="S258" s="1285"/>
      <c r="T258" s="1286"/>
      <c r="U258" s="1285"/>
    </row>
    <row r="259" spans="1:23" s="1260" customFormat="1" x14ac:dyDescent="0.25">
      <c r="A259" s="1292" t="str">
        <f>IF(C259&gt;0,COUNT(C$132:C259),"")</f>
        <v/>
      </c>
      <c r="B259" s="1301" t="s">
        <v>2833</v>
      </c>
      <c r="C259" s="1227"/>
      <c r="D259" s="1284"/>
      <c r="E259" s="1229"/>
      <c r="F259" s="1290"/>
      <c r="G259" s="1259"/>
      <c r="S259" s="1285"/>
      <c r="T259" s="1286"/>
      <c r="U259" s="1285"/>
    </row>
    <row r="260" spans="1:23" s="1260" customFormat="1" x14ac:dyDescent="0.25">
      <c r="A260" s="1292" t="str">
        <f>IF(C260&gt;0,COUNT(C$132:C260),"")</f>
        <v/>
      </c>
      <c r="B260" s="1301"/>
      <c r="C260" s="1227"/>
      <c r="D260" s="1284"/>
      <c r="E260" s="1229"/>
      <c r="F260" s="1290"/>
      <c r="G260" s="1259"/>
      <c r="S260" s="1285"/>
      <c r="T260" s="1286"/>
      <c r="U260" s="1285"/>
    </row>
    <row r="261" spans="1:23" s="1260" customFormat="1" x14ac:dyDescent="0.25">
      <c r="A261" s="1292">
        <f>IF(C261&gt;0,COUNT(C$132:C261),"")</f>
        <v>14</v>
      </c>
      <c r="B261" s="1303" t="s">
        <v>2834</v>
      </c>
      <c r="C261" s="1227">
        <v>1</v>
      </c>
      <c r="D261" s="1284" t="s">
        <v>1314</v>
      </c>
      <c r="E261" s="1229">
        <v>185000</v>
      </c>
      <c r="F261" s="1290">
        <f>E261*C261</f>
        <v>185000</v>
      </c>
      <c r="G261" s="1259"/>
      <c r="S261" s="1285"/>
      <c r="T261" s="1286"/>
      <c r="U261" s="1285"/>
    </row>
    <row r="262" spans="1:23" s="1260" customFormat="1" x14ac:dyDescent="0.25">
      <c r="A262" s="1292" t="str">
        <f>IF(C262&gt;0,COUNT(C$132:C262),"")</f>
        <v/>
      </c>
      <c r="B262" s="1297" t="s">
        <v>2835</v>
      </c>
      <c r="C262" s="1227"/>
      <c r="D262" s="1284"/>
      <c r="E262" s="1229"/>
      <c r="F262" s="1290"/>
      <c r="G262" s="1259"/>
      <c r="S262" s="1285"/>
      <c r="T262" s="1286"/>
      <c r="U262" s="1285"/>
    </row>
    <row r="263" spans="1:23" s="1260" customFormat="1" x14ac:dyDescent="0.25">
      <c r="A263" s="1292" t="str">
        <f>IF(C263&gt;0,COUNT(C$132:C263),"")</f>
        <v/>
      </c>
      <c r="B263" s="1297" t="s">
        <v>2836</v>
      </c>
      <c r="C263" s="1227"/>
      <c r="D263" s="1284"/>
      <c r="E263" s="1229"/>
      <c r="F263" s="1290"/>
      <c r="G263" s="1259"/>
      <c r="S263" s="1285"/>
      <c r="T263" s="1286"/>
      <c r="U263" s="1285"/>
    </row>
    <row r="264" spans="1:23" s="1260" customFormat="1" x14ac:dyDescent="0.25">
      <c r="A264" s="1292" t="str">
        <f>IF(C264&gt;0,COUNT(C$132:C264),"")</f>
        <v/>
      </c>
      <c r="B264" s="1297" t="s">
        <v>2837</v>
      </c>
      <c r="C264" s="1227"/>
      <c r="D264" s="1284"/>
      <c r="E264" s="1229"/>
      <c r="F264" s="1290"/>
      <c r="G264" s="1259"/>
      <c r="S264" s="1285"/>
      <c r="T264" s="1286"/>
      <c r="U264" s="1285"/>
    </row>
    <row r="265" spans="1:23" s="1260" customFormat="1" x14ac:dyDescent="0.25">
      <c r="A265" s="1292" t="str">
        <f>IF(C265&gt;0,COUNT(C$132:C265),"")</f>
        <v/>
      </c>
      <c r="B265" s="1297" t="s">
        <v>2827</v>
      </c>
      <c r="C265" s="1227"/>
      <c r="D265" s="1284"/>
      <c r="E265" s="1229"/>
      <c r="F265" s="1290"/>
      <c r="G265" s="1259"/>
      <c r="S265" s="1285"/>
      <c r="T265" s="1286"/>
      <c r="U265" s="1285"/>
    </row>
    <row r="266" spans="1:23" s="1260" customFormat="1" x14ac:dyDescent="0.25">
      <c r="A266" s="1292" t="str">
        <f>IF(C266&gt;0,COUNT(C$132:C266),"")</f>
        <v/>
      </c>
      <c r="B266" s="1297" t="s">
        <v>71</v>
      </c>
      <c r="C266" s="1227"/>
      <c r="D266" s="1284"/>
      <c r="E266" s="1229"/>
      <c r="F266" s="1290"/>
      <c r="G266" s="1259"/>
      <c r="S266" s="1285"/>
      <c r="T266" s="1286"/>
      <c r="U266" s="1285"/>
    </row>
    <row r="267" spans="1:23" s="1260" customFormat="1" ht="31.8" customHeight="1" x14ac:dyDescent="0.25">
      <c r="A267" s="1292" t="str">
        <f>IF(C267&gt;0,COUNT(C$132:C267),"")</f>
        <v/>
      </c>
      <c r="B267" s="1299" t="s">
        <v>2838</v>
      </c>
      <c r="C267" s="1227"/>
      <c r="D267" s="1284"/>
      <c r="E267" s="1229"/>
      <c r="F267" s="1290"/>
      <c r="G267" s="1259"/>
      <c r="S267" s="1285"/>
      <c r="T267" s="1286"/>
      <c r="U267" s="1285"/>
    </row>
    <row r="268" spans="1:23" s="1260" customFormat="1" ht="31.2" customHeight="1" x14ac:dyDescent="0.25">
      <c r="A268" s="1292" t="str">
        <f>IF(C268&gt;0,COUNT(C$132:C268),"")</f>
        <v/>
      </c>
      <c r="B268" s="1301" t="s">
        <v>2789</v>
      </c>
      <c r="C268" s="1227"/>
      <c r="D268" s="1284"/>
      <c r="E268" s="1229"/>
      <c r="F268" s="1290"/>
      <c r="G268" s="1259"/>
      <c r="S268" s="1285"/>
      <c r="T268" s="1286"/>
      <c r="U268" s="1285"/>
    </row>
    <row r="269" spans="1:23" s="1260" customFormat="1" x14ac:dyDescent="0.25">
      <c r="A269" s="1292" t="str">
        <f>IF(C269&gt;0,COUNT(C$132:C269),"")</f>
        <v/>
      </c>
      <c r="B269" s="1302"/>
      <c r="C269" s="1227"/>
      <c r="D269" s="1304"/>
      <c r="E269" s="1305"/>
      <c r="F269" s="1290"/>
      <c r="G269" s="1306"/>
      <c r="H269" s="1285"/>
      <c r="I269" s="1285"/>
      <c r="U269" s="1285"/>
      <c r="V269" s="1286"/>
      <c r="W269" s="1285"/>
    </row>
    <row r="270" spans="1:23" s="1260" customFormat="1" x14ac:dyDescent="0.25">
      <c r="A270" s="1292">
        <f>IF(C270&gt;0,COUNT(C$132:C270),"")</f>
        <v>15</v>
      </c>
      <c r="B270" s="1300" t="s">
        <v>2839</v>
      </c>
      <c r="C270" s="1227">
        <v>1</v>
      </c>
      <c r="D270" s="1304" t="s">
        <v>1314</v>
      </c>
      <c r="E270" s="1305">
        <v>220000</v>
      </c>
      <c r="F270" s="1230">
        <f>E270*C270</f>
        <v>220000</v>
      </c>
      <c r="G270" s="1306"/>
      <c r="H270" s="1285"/>
      <c r="I270" s="1285"/>
      <c r="U270" s="1285"/>
      <c r="V270" s="1286"/>
      <c r="W270" s="1285"/>
    </row>
    <row r="271" spans="1:23" s="1260" customFormat="1" x14ac:dyDescent="0.25">
      <c r="A271" s="1292" t="str">
        <f>IF(C271&gt;0,COUNT(C$132:C271),"")</f>
        <v/>
      </c>
      <c r="B271" s="1226" t="s">
        <v>2766</v>
      </c>
      <c r="C271" s="1227"/>
      <c r="D271" s="1304"/>
      <c r="E271" s="1305"/>
      <c r="F271" s="1307"/>
      <c r="G271" s="1306"/>
      <c r="H271" s="1285"/>
      <c r="I271" s="1285"/>
      <c r="U271" s="1285"/>
      <c r="V271" s="1286"/>
      <c r="W271" s="1285"/>
    </row>
    <row r="272" spans="1:23" s="1260" customFormat="1" x14ac:dyDescent="0.25">
      <c r="A272" s="1292" t="str">
        <f>IF(C272&gt;0,COUNT(C$132:C272),"")</f>
        <v/>
      </c>
      <c r="B272" s="1226" t="s">
        <v>2840</v>
      </c>
      <c r="C272" s="1227"/>
      <c r="D272" s="1304"/>
      <c r="E272" s="1305"/>
      <c r="F272" s="1307"/>
      <c r="G272" s="1306"/>
      <c r="H272" s="1285"/>
      <c r="I272" s="1285"/>
      <c r="U272" s="1285"/>
      <c r="V272" s="1286"/>
      <c r="W272" s="1285"/>
    </row>
    <row r="273" spans="1:23" s="1260" customFormat="1" x14ac:dyDescent="0.25">
      <c r="A273" s="1292" t="str">
        <f>IF(C273&gt;0,COUNT(C$132:C273),"")</f>
        <v/>
      </c>
      <c r="B273" s="1226" t="s">
        <v>2771</v>
      </c>
      <c r="C273" s="1227"/>
      <c r="D273" s="1304"/>
      <c r="E273" s="1305"/>
      <c r="F273" s="1307"/>
      <c r="G273" s="1306"/>
      <c r="H273" s="1285"/>
      <c r="I273" s="1285"/>
      <c r="U273" s="1285"/>
      <c r="V273" s="1286"/>
      <c r="W273" s="1285"/>
    </row>
    <row r="274" spans="1:23" s="1260" customFormat="1" x14ac:dyDescent="0.25">
      <c r="A274" s="1292" t="str">
        <f>IF(C274&gt;0,COUNT(C$132:C274),"")</f>
        <v/>
      </c>
      <c r="B274" s="1226" t="s">
        <v>2797</v>
      </c>
      <c r="C274" s="1227"/>
      <c r="D274" s="1304"/>
      <c r="E274" s="1305"/>
      <c r="F274" s="1307"/>
      <c r="G274" s="1306"/>
      <c r="H274" s="1285"/>
      <c r="I274" s="1285"/>
      <c r="U274" s="1285"/>
      <c r="V274" s="1286"/>
      <c r="W274" s="1285"/>
    </row>
    <row r="275" spans="1:23" s="1260" customFormat="1" x14ac:dyDescent="0.25">
      <c r="A275" s="1292" t="str">
        <f>IF(C275&gt;0,COUNT(C$132:C275),"")</f>
        <v/>
      </c>
      <c r="B275" s="1226" t="s">
        <v>2841</v>
      </c>
      <c r="C275" s="1227"/>
      <c r="D275" s="1304"/>
      <c r="E275" s="1305"/>
      <c r="F275" s="1307"/>
      <c r="G275" s="1306"/>
      <c r="H275" s="1285"/>
      <c r="I275" s="1285"/>
      <c r="U275" s="1285"/>
      <c r="V275" s="1286"/>
      <c r="W275" s="1285"/>
    </row>
    <row r="276" spans="1:23" s="1260" customFormat="1" x14ac:dyDescent="0.25">
      <c r="A276" s="1292" t="str">
        <f>IF(C276&gt;0,COUNT(C$132:C276),"")</f>
        <v/>
      </c>
      <c r="B276" s="1226" t="s">
        <v>2842</v>
      </c>
      <c r="C276" s="1227"/>
      <c r="D276" s="1304"/>
      <c r="E276" s="1305"/>
      <c r="F276" s="1307"/>
      <c r="G276" s="1306"/>
      <c r="H276" s="1285"/>
      <c r="I276" s="1285"/>
      <c r="U276" s="1285"/>
      <c r="V276" s="1286"/>
      <c r="W276" s="1285"/>
    </row>
    <row r="277" spans="1:23" s="1260" customFormat="1" x14ac:dyDescent="0.25">
      <c r="A277" s="1292" t="str">
        <f>IF(C277&gt;0,COUNT(C$132:C277),"")</f>
        <v/>
      </c>
      <c r="B277" s="1308" t="s">
        <v>2843</v>
      </c>
      <c r="C277" s="1227"/>
      <c r="D277" s="1304"/>
      <c r="E277" s="1305"/>
      <c r="F277" s="1307"/>
      <c r="G277" s="1306"/>
      <c r="H277" s="1285"/>
      <c r="I277" s="1285"/>
      <c r="U277" s="1285"/>
      <c r="V277" s="1286"/>
      <c r="W277" s="1285"/>
    </row>
    <row r="278" spans="1:23" s="1260" customFormat="1" x14ac:dyDescent="0.25">
      <c r="A278" s="1292" t="str">
        <f>IF(C278&gt;0,COUNT(C$132:C278),"")</f>
        <v/>
      </c>
      <c r="B278" s="1226" t="s">
        <v>2844</v>
      </c>
      <c r="C278" s="1227"/>
      <c r="D278" s="1304"/>
      <c r="E278" s="1305"/>
      <c r="F278" s="1307"/>
      <c r="G278" s="1306"/>
      <c r="H278" s="1285"/>
      <c r="I278" s="1285"/>
      <c r="U278" s="1285"/>
      <c r="V278" s="1286"/>
      <c r="W278" s="1285"/>
    </row>
    <row r="279" spans="1:23" s="1260" customFormat="1" x14ac:dyDescent="0.25">
      <c r="A279" s="1292" t="str">
        <f>IF(C279&gt;0,COUNT(C$132:C279),"")</f>
        <v/>
      </c>
      <c r="B279" s="1297" t="s">
        <v>2845</v>
      </c>
      <c r="C279" s="1227"/>
      <c r="D279" s="1304"/>
      <c r="E279" s="1305"/>
      <c r="F279" s="1230"/>
      <c r="G279" s="1309"/>
      <c r="U279" s="1285"/>
      <c r="V279" s="1286"/>
      <c r="W279" s="1285"/>
    </row>
    <row r="280" spans="1:23" s="1260" customFormat="1" ht="30.6" customHeight="1" x14ac:dyDescent="0.25">
      <c r="A280" s="1292" t="str">
        <f>IF(C280&gt;0,COUNT(C$132:C280),"")</f>
        <v/>
      </c>
      <c r="B280" s="1226" t="s">
        <v>2846</v>
      </c>
      <c r="C280" s="1227"/>
      <c r="D280" s="1304"/>
      <c r="E280" s="1305"/>
      <c r="F280" s="1290"/>
      <c r="G280" s="1306"/>
      <c r="H280" s="1285"/>
      <c r="I280" s="1285"/>
      <c r="U280" s="1285"/>
      <c r="V280" s="1286"/>
      <c r="W280" s="1285"/>
    </row>
    <row r="281" spans="1:23" s="1260" customFormat="1" x14ac:dyDescent="0.25">
      <c r="A281" s="1292" t="str">
        <f>IF(C281&gt;0,COUNT(C$132:C281),"")</f>
        <v/>
      </c>
      <c r="B281" s="1301"/>
      <c r="C281" s="1227"/>
      <c r="D281" s="1284"/>
      <c r="E281" s="1229"/>
      <c r="F281" s="1290"/>
      <c r="G281" s="1259"/>
      <c r="S281" s="1285"/>
      <c r="T281" s="1286"/>
      <c r="U281" s="1285"/>
    </row>
    <row r="282" spans="1:23" s="1260" customFormat="1" ht="46.8" customHeight="1" x14ac:dyDescent="0.25">
      <c r="A282" s="1292">
        <f>IF(C282&gt;0,COUNT(C$132:C282),"")</f>
        <v>16</v>
      </c>
      <c r="B282" s="1310" t="s">
        <v>2847</v>
      </c>
      <c r="C282" s="1227">
        <v>1</v>
      </c>
      <c r="D282" s="1284" t="s">
        <v>1314</v>
      </c>
      <c r="E282" s="1229">
        <v>62500</v>
      </c>
      <c r="F282" s="1230">
        <f>E282*C282</f>
        <v>62500</v>
      </c>
      <c r="G282" s="1259"/>
      <c r="S282" s="1285"/>
      <c r="T282" s="1286"/>
      <c r="U282" s="1285"/>
    </row>
    <row r="283" spans="1:23" s="1260" customFormat="1" x14ac:dyDescent="0.25">
      <c r="A283" s="1292" t="str">
        <f>IF(C283&gt;0,COUNT(C$132:C283),"")</f>
        <v/>
      </c>
      <c r="B283" s="1300"/>
      <c r="C283" s="1227"/>
      <c r="D283" s="1304"/>
      <c r="E283" s="1305"/>
      <c r="F283" s="1230"/>
      <c r="G283" s="1306"/>
      <c r="H283" s="1285"/>
      <c r="I283" s="1285"/>
      <c r="U283" s="1285"/>
      <c r="V283" s="1286"/>
      <c r="W283" s="1285"/>
    </row>
    <row r="284" spans="1:23" s="1260" customFormat="1" ht="44.4" customHeight="1" x14ac:dyDescent="0.25">
      <c r="A284" s="1292">
        <f>IF(C284&gt;0,COUNT(C$132:C284),"")</f>
        <v>17</v>
      </c>
      <c r="B284" s="1310" t="s">
        <v>2848</v>
      </c>
      <c r="C284" s="1227">
        <v>1</v>
      </c>
      <c r="D284" s="1284" t="s">
        <v>1314</v>
      </c>
      <c r="E284" s="1229">
        <f>E282</f>
        <v>62500</v>
      </c>
      <c r="F284" s="1230">
        <f>E284*C284</f>
        <v>62500</v>
      </c>
      <c r="G284" s="1259"/>
      <c r="S284" s="1285"/>
      <c r="T284" s="1286"/>
      <c r="U284" s="1285"/>
    </row>
    <row r="285" spans="1:23" s="1260" customFormat="1" x14ac:dyDescent="0.25">
      <c r="A285" s="1292" t="str">
        <f>IF(C285&gt;0,COUNT(C$132:C285),"")</f>
        <v/>
      </c>
      <c r="B285" s="1310"/>
      <c r="C285" s="1227"/>
      <c r="D285" s="1284"/>
      <c r="E285" s="1229"/>
      <c r="F285" s="1230"/>
      <c r="G285" s="1259"/>
      <c r="S285" s="1285"/>
      <c r="T285" s="1286"/>
      <c r="U285" s="1285"/>
    </row>
    <row r="286" spans="1:23" s="1260" customFormat="1" ht="36" customHeight="1" x14ac:dyDescent="0.25">
      <c r="A286" s="1292">
        <f>IF(C286&gt;0,COUNT(C$132:C286),"")</f>
        <v>18</v>
      </c>
      <c r="B286" s="1310" t="s">
        <v>2849</v>
      </c>
      <c r="C286" s="1227">
        <v>1</v>
      </c>
      <c r="D286" s="1284" t="s">
        <v>1314</v>
      </c>
      <c r="E286" s="1229">
        <v>45000</v>
      </c>
      <c r="F286" s="1230">
        <f>E286*C286</f>
        <v>45000</v>
      </c>
      <c r="G286" s="1259"/>
      <c r="S286" s="1285"/>
      <c r="T286" s="1286"/>
      <c r="U286" s="1285"/>
    </row>
    <row r="287" spans="1:23" s="1260" customFormat="1" x14ac:dyDescent="0.25">
      <c r="A287" s="1292" t="str">
        <f>IF(C287&gt;0,COUNT(C$132:C287),"")</f>
        <v/>
      </c>
      <c r="B287" s="1301"/>
      <c r="C287" s="1227"/>
      <c r="D287" s="1284"/>
      <c r="E287" s="1229"/>
      <c r="F287" s="1290"/>
      <c r="G287" s="1259"/>
      <c r="S287" s="1285"/>
      <c r="T287" s="1286"/>
      <c r="U287" s="1285"/>
    </row>
    <row r="288" spans="1:23" s="1260" customFormat="1" ht="46.8" customHeight="1" x14ac:dyDescent="0.25">
      <c r="A288" s="1292">
        <f>IF(C288&gt;0,COUNT(C$132:C288),"")</f>
        <v>19</v>
      </c>
      <c r="B288" s="1310" t="s">
        <v>2850</v>
      </c>
      <c r="C288" s="1227">
        <v>1</v>
      </c>
      <c r="D288" s="1284" t="s">
        <v>1314</v>
      </c>
      <c r="E288" s="1229">
        <f>E286</f>
        <v>45000</v>
      </c>
      <c r="F288" s="1230">
        <f>E288*C288</f>
        <v>45000</v>
      </c>
      <c r="G288" s="1259"/>
      <c r="S288" s="1285"/>
      <c r="T288" s="1286"/>
      <c r="U288" s="1285"/>
    </row>
    <row r="289" spans="1:21" s="1260" customFormat="1" x14ac:dyDescent="0.25">
      <c r="A289" s="1292"/>
      <c r="B289" s="1310"/>
      <c r="C289" s="1227"/>
      <c r="D289" s="1284"/>
      <c r="E289" s="1229"/>
      <c r="F289" s="1230"/>
      <c r="G289" s="1259"/>
      <c r="S289" s="1285"/>
      <c r="T289" s="1286"/>
      <c r="U289" s="1285"/>
    </row>
    <row r="290" spans="1:21" s="1260" customFormat="1" x14ac:dyDescent="0.25">
      <c r="A290" s="1678" t="str">
        <f>IF(C290&gt;0,COUNT(C$132:C290),"")</f>
        <v/>
      </c>
      <c r="B290" s="1684"/>
      <c r="C290" s="1668"/>
      <c r="D290" s="1669"/>
      <c r="E290" s="1602"/>
      <c r="F290" s="1603"/>
      <c r="G290" s="1259"/>
      <c r="S290" s="1285"/>
      <c r="T290" s="1286"/>
      <c r="U290" s="1285"/>
    </row>
    <row r="291" spans="1:21" s="1260" customFormat="1" ht="16.8" customHeight="1" x14ac:dyDescent="0.25">
      <c r="A291" s="1680" t="str">
        <f>IF(C291&gt;0,COUNT(C$132:C291),"")</f>
        <v/>
      </c>
      <c r="B291" s="1685" t="s">
        <v>2851</v>
      </c>
      <c r="C291" s="1672"/>
      <c r="D291" s="1673"/>
      <c r="E291" s="1664"/>
      <c r="F291" s="1424"/>
      <c r="G291" s="1259"/>
      <c r="S291" s="1285"/>
      <c r="T291" s="1286"/>
      <c r="U291" s="1285"/>
    </row>
    <row r="292" spans="1:21" s="1260" customFormat="1" x14ac:dyDescent="0.25">
      <c r="A292" s="1292" t="str">
        <f>IF(C292&gt;0,COUNT(C$132:C292),"")</f>
        <v/>
      </c>
      <c r="B292" s="1226"/>
      <c r="C292" s="1227"/>
      <c r="D292" s="1284"/>
      <c r="E292" s="1229"/>
      <c r="F292" s="1290"/>
      <c r="G292" s="1259"/>
      <c r="S292" s="1285"/>
      <c r="T292" s="1286"/>
      <c r="U292" s="1285"/>
    </row>
    <row r="293" spans="1:21" s="1260" customFormat="1" ht="76.8" customHeight="1" x14ac:dyDescent="0.25">
      <c r="A293" s="1292">
        <f>IF(C293&gt;0,COUNT(C$132:C293),"")</f>
        <v>20</v>
      </c>
      <c r="B293" s="1226" t="s">
        <v>2852</v>
      </c>
      <c r="C293" s="1227">
        <v>25</v>
      </c>
      <c r="D293" s="1312" t="s">
        <v>2853</v>
      </c>
      <c r="E293" s="1313">
        <v>55000</v>
      </c>
      <c r="F293" s="1230">
        <f>E293*C293</f>
        <v>1375000</v>
      </c>
      <c r="G293" s="1314"/>
      <c r="S293" s="1285"/>
      <c r="T293" s="1286"/>
      <c r="U293" s="1285"/>
    </row>
    <row r="294" spans="1:21" s="1260" customFormat="1" x14ac:dyDescent="0.25">
      <c r="A294" s="1292" t="str">
        <f>IF(C294&gt;0,COUNT(C$132:C294),"")</f>
        <v/>
      </c>
      <c r="B294" s="1226"/>
      <c r="C294" s="1227"/>
      <c r="D294" s="1284"/>
      <c r="E294" s="1229"/>
      <c r="F294" s="1290"/>
      <c r="G294" s="1259"/>
      <c r="S294" s="1285"/>
      <c r="T294" s="1286"/>
      <c r="U294" s="1285"/>
    </row>
    <row r="295" spans="1:21" s="1260" customFormat="1" ht="63" customHeight="1" x14ac:dyDescent="0.25">
      <c r="A295" s="1292">
        <f>IF(C295&gt;0,COUNT(C$132:C295),"")</f>
        <v>21</v>
      </c>
      <c r="B295" s="1226" t="s">
        <v>2854</v>
      </c>
      <c r="C295" s="1315">
        <v>18</v>
      </c>
      <c r="D295" s="1312" t="s">
        <v>2853</v>
      </c>
      <c r="E295" s="1313">
        <v>43500</v>
      </c>
      <c r="F295" s="1230">
        <f>E295*C295</f>
        <v>783000</v>
      </c>
      <c r="G295" s="1314"/>
      <c r="S295" s="1285"/>
      <c r="T295" s="1286"/>
      <c r="U295" s="1285"/>
    </row>
    <row r="296" spans="1:21" s="1260" customFormat="1" x14ac:dyDescent="0.25">
      <c r="A296" s="1292" t="str">
        <f>IF(C296&gt;0,COUNT(C$132:C296),"")</f>
        <v/>
      </c>
      <c r="B296" s="1226"/>
      <c r="C296" s="1227"/>
      <c r="D296" s="1284"/>
      <c r="E296" s="1229"/>
      <c r="F296" s="1230"/>
      <c r="G296" s="1259"/>
      <c r="S296" s="1285"/>
      <c r="T296" s="1286"/>
      <c r="U296" s="1285"/>
    </row>
    <row r="297" spans="1:21" s="1260" customFormat="1" ht="82.8" x14ac:dyDescent="0.25">
      <c r="A297" s="1292">
        <f>IF(C297&gt;0,COUNT(C$132:C297),"")</f>
        <v>22</v>
      </c>
      <c r="B297" s="1226" t="s">
        <v>2855</v>
      </c>
      <c r="C297" s="1227">
        <v>32</v>
      </c>
      <c r="D297" s="1284" t="s">
        <v>2853</v>
      </c>
      <c r="E297" s="1229">
        <v>7500</v>
      </c>
      <c r="F297" s="1230">
        <f>E297*C297</f>
        <v>240000</v>
      </c>
      <c r="G297" s="1314"/>
      <c r="S297" s="1285"/>
      <c r="T297" s="1286"/>
      <c r="U297" s="1285"/>
    </row>
    <row r="298" spans="1:21" s="1260" customFormat="1" x14ac:dyDescent="0.25">
      <c r="A298" s="1292" t="str">
        <f>IF(C298&gt;0,COUNT(C$132:C298),"")</f>
        <v/>
      </c>
      <c r="B298" s="1226"/>
      <c r="C298" s="1227"/>
      <c r="D298" s="1284"/>
      <c r="E298" s="1229"/>
      <c r="F298" s="1290"/>
      <c r="G298" s="1259"/>
      <c r="S298" s="1285"/>
      <c r="T298" s="1286"/>
      <c r="U298" s="1285"/>
    </row>
    <row r="299" spans="1:21" s="1260" customFormat="1" ht="75.599999999999994" customHeight="1" x14ac:dyDescent="0.25">
      <c r="A299" s="1292">
        <f>IF(C299&gt;0,COUNT(C$132:C299),"")</f>
        <v>23</v>
      </c>
      <c r="B299" s="1226" t="s">
        <v>2856</v>
      </c>
      <c r="C299" s="1227">
        <v>32</v>
      </c>
      <c r="D299" s="1284" t="s">
        <v>2853</v>
      </c>
      <c r="E299" s="1229">
        <v>5450</v>
      </c>
      <c r="F299" s="1230">
        <f>E299*C299</f>
        <v>174400</v>
      </c>
      <c r="G299" s="1314"/>
      <c r="S299" s="1285"/>
      <c r="T299" s="1286"/>
      <c r="U299" s="1285"/>
    </row>
    <row r="300" spans="1:21" s="1260" customFormat="1" x14ac:dyDescent="0.25">
      <c r="A300" s="1292" t="str">
        <f>IF(C300&gt;0,COUNT(C$132:C300),"")</f>
        <v/>
      </c>
      <c r="B300" s="1226"/>
      <c r="C300" s="1227"/>
      <c r="D300" s="1284"/>
      <c r="E300" s="1229"/>
      <c r="F300" s="1290"/>
      <c r="G300" s="1259"/>
      <c r="S300" s="1285"/>
      <c r="T300" s="1286"/>
      <c r="U300" s="1285"/>
    </row>
    <row r="301" spans="1:21" s="1260" customFormat="1" ht="82.8" x14ac:dyDescent="0.25">
      <c r="A301" s="1292">
        <f>IF(C301&gt;0,COUNT(C$132:C301),"")</f>
        <v>24</v>
      </c>
      <c r="B301" s="1226" t="s">
        <v>2857</v>
      </c>
      <c r="C301" s="1227">
        <v>47</v>
      </c>
      <c r="D301" s="1284" t="s">
        <v>2853</v>
      </c>
      <c r="E301" s="1229">
        <v>6500</v>
      </c>
      <c r="F301" s="1230">
        <f>E301*C301</f>
        <v>305500</v>
      </c>
      <c r="G301" s="1314"/>
      <c r="S301" s="1285"/>
      <c r="T301" s="1286"/>
      <c r="U301" s="1285"/>
    </row>
    <row r="302" spans="1:21" s="1260" customFormat="1" x14ac:dyDescent="0.25">
      <c r="A302" s="1292" t="str">
        <f>IF(C302&gt;0,COUNT(C$132:C302),"")</f>
        <v/>
      </c>
      <c r="B302" s="1226"/>
      <c r="C302" s="1227"/>
      <c r="D302" s="1284"/>
      <c r="E302" s="1229"/>
      <c r="F302" s="1290"/>
      <c r="G302" s="1259"/>
      <c r="S302" s="1285"/>
      <c r="T302" s="1286"/>
      <c r="U302" s="1285"/>
    </row>
    <row r="303" spans="1:21" s="1260" customFormat="1" ht="76.2" customHeight="1" x14ac:dyDescent="0.25">
      <c r="A303" s="1292">
        <f>IF(C303&gt;0,COUNT(C$132:C303),"")</f>
        <v>25</v>
      </c>
      <c r="B303" s="1226" t="s">
        <v>2858</v>
      </c>
      <c r="C303" s="1227">
        <v>37</v>
      </c>
      <c r="D303" s="1284" t="s">
        <v>2853</v>
      </c>
      <c r="E303" s="1229">
        <v>19500</v>
      </c>
      <c r="F303" s="1230">
        <f>E303*C303</f>
        <v>721500</v>
      </c>
      <c r="G303" s="1259"/>
      <c r="S303" s="1285"/>
      <c r="T303" s="1286"/>
      <c r="U303" s="1285"/>
    </row>
    <row r="304" spans="1:21" s="1260" customFormat="1" x14ac:dyDescent="0.25">
      <c r="A304" s="1292" t="str">
        <f>IF(C304&gt;0,COUNT(C$132:C304),"")</f>
        <v/>
      </c>
      <c r="B304" s="1226"/>
      <c r="C304" s="1227"/>
      <c r="D304" s="1284"/>
      <c r="E304" s="1229"/>
      <c r="F304" s="1290"/>
      <c r="G304" s="1259"/>
      <c r="S304" s="1285"/>
      <c r="T304" s="1286"/>
      <c r="U304" s="1285"/>
    </row>
    <row r="305" spans="1:21" s="1260" customFormat="1" ht="73.8" customHeight="1" x14ac:dyDescent="0.25">
      <c r="A305" s="1292">
        <f>IF(C305&gt;0,COUNT(C$132:C305),"")</f>
        <v>26</v>
      </c>
      <c r="B305" s="1226" t="s">
        <v>2859</v>
      </c>
      <c r="C305" s="1227">
        <v>8</v>
      </c>
      <c r="D305" s="1284" t="s">
        <v>2853</v>
      </c>
      <c r="E305" s="1229">
        <v>19500</v>
      </c>
      <c r="F305" s="1230">
        <f>E305*C305</f>
        <v>156000</v>
      </c>
      <c r="G305" s="1259"/>
      <c r="S305" s="1285"/>
      <c r="T305" s="1286"/>
      <c r="U305" s="1285"/>
    </row>
    <row r="306" spans="1:21" s="1260" customFormat="1" x14ac:dyDescent="0.25">
      <c r="A306" s="1292" t="str">
        <f>IF(C306&gt;0,COUNT(C$132:C306),"")</f>
        <v/>
      </c>
      <c r="B306" s="1226"/>
      <c r="C306" s="1227"/>
      <c r="D306" s="1284"/>
      <c r="E306" s="1229"/>
      <c r="F306" s="1290"/>
      <c r="G306" s="1259"/>
      <c r="S306" s="1285"/>
      <c r="T306" s="1286"/>
      <c r="U306" s="1285"/>
    </row>
    <row r="307" spans="1:21" s="1260" customFormat="1" ht="74.400000000000006" customHeight="1" x14ac:dyDescent="0.25">
      <c r="A307" s="1292">
        <f>IF(C307&gt;0,COUNT(C$132:C307),"")</f>
        <v>27</v>
      </c>
      <c r="B307" s="1226" t="s">
        <v>2860</v>
      </c>
      <c r="C307" s="1227">
        <v>23</v>
      </c>
      <c r="D307" s="1284" t="s">
        <v>2853</v>
      </c>
      <c r="E307" s="1229">
        <v>4500</v>
      </c>
      <c r="F307" s="1230">
        <f>E307*C307</f>
        <v>103500</v>
      </c>
      <c r="G307" s="1259"/>
      <c r="S307" s="1285"/>
      <c r="T307" s="1286"/>
      <c r="U307" s="1285"/>
    </row>
    <row r="308" spans="1:21" s="1260" customFormat="1" x14ac:dyDescent="0.25">
      <c r="A308" s="1292" t="str">
        <f>IF(C308&gt;0,COUNT(C$132:C308),"")</f>
        <v/>
      </c>
      <c r="B308" s="1226"/>
      <c r="C308" s="1227"/>
      <c r="D308" s="1284"/>
      <c r="E308" s="1229"/>
      <c r="F308" s="1290"/>
      <c r="G308" s="1259"/>
      <c r="S308" s="1285"/>
      <c r="T308" s="1286"/>
      <c r="U308" s="1285"/>
    </row>
    <row r="309" spans="1:21" s="1260" customFormat="1" ht="76.8" customHeight="1" x14ac:dyDescent="0.25">
      <c r="A309" s="1292">
        <f>IF(C309&gt;0,COUNT(C$132:C309),"")</f>
        <v>28</v>
      </c>
      <c r="B309" s="1226" t="s">
        <v>2861</v>
      </c>
      <c r="C309" s="1227">
        <v>27</v>
      </c>
      <c r="D309" s="1284" t="s">
        <v>2853</v>
      </c>
      <c r="E309" s="1229">
        <v>4500</v>
      </c>
      <c r="F309" s="1230">
        <f>E309*C309</f>
        <v>121500</v>
      </c>
      <c r="G309" s="1259"/>
      <c r="S309" s="1285"/>
      <c r="T309" s="1286"/>
      <c r="U309" s="1285"/>
    </row>
    <row r="310" spans="1:21" s="1260" customFormat="1" x14ac:dyDescent="0.25">
      <c r="A310" s="1292" t="str">
        <f>IF(C310&gt;0,COUNT(C$132:C310),"")</f>
        <v/>
      </c>
      <c r="B310" s="1226"/>
      <c r="C310" s="1227"/>
      <c r="D310" s="1284"/>
      <c r="E310" s="1229"/>
      <c r="F310" s="1290"/>
      <c r="G310" s="1259"/>
      <c r="S310" s="1285"/>
      <c r="T310" s="1286"/>
      <c r="U310" s="1285"/>
    </row>
    <row r="311" spans="1:21" s="1260" customFormat="1" ht="74.400000000000006" customHeight="1" x14ac:dyDescent="0.25">
      <c r="A311" s="1292">
        <f>IF(C311&gt;0,COUNT(C$132:C311),"")</f>
        <v>29</v>
      </c>
      <c r="B311" s="1226" t="s">
        <v>2862</v>
      </c>
      <c r="C311" s="1227">
        <v>31</v>
      </c>
      <c r="D311" s="1284" t="s">
        <v>2853</v>
      </c>
      <c r="E311" s="1229">
        <v>4500</v>
      </c>
      <c r="F311" s="1230">
        <f>E311*C311</f>
        <v>139500</v>
      </c>
      <c r="G311" s="1259"/>
      <c r="S311" s="1285"/>
      <c r="T311" s="1286"/>
      <c r="U311" s="1285"/>
    </row>
    <row r="312" spans="1:21" s="1260" customFormat="1" x14ac:dyDescent="0.25">
      <c r="A312" s="1678" t="str">
        <f>IF(C312&gt;0,COUNT(C$132:C312),"")</f>
        <v/>
      </c>
      <c r="B312" s="1238"/>
      <c r="C312" s="1668"/>
      <c r="D312" s="1669"/>
      <c r="E312" s="1602"/>
      <c r="F312" s="1420"/>
      <c r="G312" s="1259"/>
      <c r="S312" s="1285"/>
      <c r="T312" s="1286"/>
      <c r="U312" s="1285"/>
    </row>
    <row r="313" spans="1:21" s="1260" customFormat="1" ht="75.599999999999994" customHeight="1" x14ac:dyDescent="0.25">
      <c r="A313" s="1680">
        <f>IF(C313&gt;0,COUNT(C$132:C313),"")</f>
        <v>30</v>
      </c>
      <c r="B313" s="1686" t="s">
        <v>2863</v>
      </c>
      <c r="C313" s="1672">
        <v>32</v>
      </c>
      <c r="D313" s="1673" t="s">
        <v>2853</v>
      </c>
      <c r="E313" s="1664">
        <v>4500</v>
      </c>
      <c r="F313" s="1665">
        <f>E313*C313</f>
        <v>144000</v>
      </c>
      <c r="G313" s="1259"/>
      <c r="S313" s="1285"/>
      <c r="T313" s="1286"/>
      <c r="U313" s="1285"/>
    </row>
    <row r="314" spans="1:21" s="1260" customFormat="1" x14ac:dyDescent="0.25">
      <c r="A314" s="1292" t="str">
        <f>IF(C314&gt;0,COUNT(C$132:C314),"")</f>
        <v/>
      </c>
      <c r="B314" s="1226"/>
      <c r="C314" s="1227"/>
      <c r="D314" s="1284"/>
      <c r="E314" s="1229"/>
      <c r="F314" s="1290"/>
      <c r="G314" s="1259"/>
      <c r="S314" s="1285"/>
      <c r="T314" s="1286"/>
      <c r="U314" s="1285"/>
    </row>
    <row r="315" spans="1:21" s="1260" customFormat="1" ht="78.599999999999994" customHeight="1" x14ac:dyDescent="0.25">
      <c r="A315" s="1292">
        <f>IF(C315&gt;0,COUNT(C$132:C315),"")</f>
        <v>31</v>
      </c>
      <c r="B315" s="1226" t="s">
        <v>2864</v>
      </c>
      <c r="C315" s="1227">
        <v>37</v>
      </c>
      <c r="D315" s="1284" t="s">
        <v>2853</v>
      </c>
      <c r="E315" s="1229">
        <v>6500</v>
      </c>
      <c r="F315" s="1230">
        <f>E315*C315</f>
        <v>240500</v>
      </c>
      <c r="G315" s="1259"/>
      <c r="S315" s="1285"/>
      <c r="T315" s="1286"/>
      <c r="U315" s="1285"/>
    </row>
    <row r="316" spans="1:21" s="1260" customFormat="1" x14ac:dyDescent="0.25">
      <c r="A316" s="1292" t="str">
        <f>IF(C316&gt;0,COUNT(C$132:C316),"")</f>
        <v/>
      </c>
      <c r="B316" s="1226"/>
      <c r="C316" s="1227"/>
      <c r="D316" s="1284"/>
      <c r="E316" s="1229"/>
      <c r="F316" s="1230"/>
      <c r="G316" s="1259"/>
      <c r="S316" s="1285"/>
      <c r="T316" s="1286"/>
      <c r="U316" s="1285"/>
    </row>
    <row r="317" spans="1:21" s="1260" customFormat="1" ht="62.4" customHeight="1" x14ac:dyDescent="0.25">
      <c r="A317" s="1292">
        <f>IF(C317&gt;0,COUNT(C$132:C317),"")</f>
        <v>32</v>
      </c>
      <c r="B317" s="1226" t="s">
        <v>2865</v>
      </c>
      <c r="C317" s="1227">
        <v>10</v>
      </c>
      <c r="D317" s="1284" t="s">
        <v>2853</v>
      </c>
      <c r="E317" s="1229">
        <v>4500</v>
      </c>
      <c r="F317" s="1230">
        <f>E317*C317</f>
        <v>45000</v>
      </c>
      <c r="G317" s="1259"/>
      <c r="S317" s="1285"/>
      <c r="T317" s="1286"/>
      <c r="U317" s="1285"/>
    </row>
    <row r="318" spans="1:21" s="1260" customFormat="1" x14ac:dyDescent="0.25">
      <c r="A318" s="1292" t="str">
        <f>IF(C318&gt;0,COUNT(C$132:C318),"")</f>
        <v/>
      </c>
      <c r="B318" s="1226"/>
      <c r="C318" s="1227"/>
      <c r="D318" s="1284"/>
      <c r="E318" s="1229"/>
      <c r="F318" s="1230"/>
      <c r="G318" s="1259"/>
      <c r="S318" s="1285"/>
      <c r="T318" s="1286"/>
      <c r="U318" s="1285"/>
    </row>
    <row r="319" spans="1:21" s="1260" customFormat="1" ht="73.8" customHeight="1" x14ac:dyDescent="0.25">
      <c r="A319" s="1292">
        <f>IF(C319&gt;0,COUNT(C$132:C319),"")</f>
        <v>33</v>
      </c>
      <c r="B319" s="1226" t="s">
        <v>2866</v>
      </c>
      <c r="C319" s="1227">
        <v>41</v>
      </c>
      <c r="D319" s="1284" t="s">
        <v>2853</v>
      </c>
      <c r="E319" s="1229">
        <v>5500</v>
      </c>
      <c r="F319" s="1230">
        <f>E319*C319</f>
        <v>225500</v>
      </c>
      <c r="G319" s="1259"/>
      <c r="S319" s="1285"/>
      <c r="T319" s="1286"/>
      <c r="U319" s="1285"/>
    </row>
    <row r="320" spans="1:21" s="1260" customFormat="1" x14ac:dyDescent="0.25">
      <c r="A320" s="1292" t="str">
        <f>IF(C320&gt;0,COUNT(C$132:C320),"")</f>
        <v/>
      </c>
      <c r="B320" s="1226"/>
      <c r="C320" s="1227"/>
      <c r="D320" s="1284"/>
      <c r="E320" s="1229"/>
      <c r="F320" s="1230"/>
      <c r="G320" s="1259"/>
      <c r="S320" s="1285"/>
      <c r="T320" s="1286"/>
      <c r="U320" s="1285"/>
    </row>
    <row r="321" spans="1:21" s="1260" customFormat="1" ht="78" customHeight="1" x14ac:dyDescent="0.25">
      <c r="A321" s="1292">
        <f>IF(C321&gt;0,COUNT(C$132:C321),"")</f>
        <v>34</v>
      </c>
      <c r="B321" s="1226" t="s">
        <v>2867</v>
      </c>
      <c r="C321" s="1227">
        <v>5</v>
      </c>
      <c r="D321" s="1284" t="s">
        <v>2853</v>
      </c>
      <c r="E321" s="1229">
        <v>6500</v>
      </c>
      <c r="F321" s="1230">
        <f>E321*C321</f>
        <v>32500</v>
      </c>
      <c r="G321" s="1259"/>
      <c r="S321" s="1285"/>
      <c r="T321" s="1286"/>
      <c r="U321" s="1285"/>
    </row>
    <row r="322" spans="1:21" s="1260" customFormat="1" x14ac:dyDescent="0.25">
      <c r="A322" s="1292" t="str">
        <f>IF(C322&gt;0,COUNT(C$132:C322),"")</f>
        <v/>
      </c>
      <c r="B322" s="1226"/>
      <c r="C322" s="1227"/>
      <c r="D322" s="1284"/>
      <c r="E322" s="1229"/>
      <c r="F322" s="1230"/>
      <c r="G322" s="1259"/>
      <c r="S322" s="1285"/>
      <c r="T322" s="1286"/>
      <c r="U322" s="1285"/>
    </row>
    <row r="323" spans="1:21" s="1260" customFormat="1" ht="76.2" customHeight="1" x14ac:dyDescent="0.25">
      <c r="A323" s="1292">
        <f>IF(C323&gt;0,COUNT(C$132:C323),"")</f>
        <v>35</v>
      </c>
      <c r="B323" s="1226" t="s">
        <v>2868</v>
      </c>
      <c r="C323" s="1227">
        <v>6</v>
      </c>
      <c r="D323" s="1284" t="s">
        <v>2853</v>
      </c>
      <c r="E323" s="1229">
        <v>6500</v>
      </c>
      <c r="F323" s="1230">
        <f>E323*C323</f>
        <v>39000</v>
      </c>
      <c r="G323" s="1259"/>
      <c r="S323" s="1285"/>
      <c r="T323" s="1286"/>
      <c r="U323" s="1285"/>
    </row>
    <row r="324" spans="1:21" s="1260" customFormat="1" x14ac:dyDescent="0.25">
      <c r="A324" s="1292" t="str">
        <f>IF(C324&gt;0,COUNT(C$132:C324),"")</f>
        <v/>
      </c>
      <c r="B324" s="1226"/>
      <c r="C324" s="1227"/>
      <c r="D324" s="1284"/>
      <c r="E324" s="1229"/>
      <c r="F324" s="1230"/>
      <c r="G324" s="1259"/>
      <c r="S324" s="1285"/>
      <c r="T324" s="1286"/>
      <c r="U324" s="1285"/>
    </row>
    <row r="325" spans="1:21" s="1260" customFormat="1" ht="78.599999999999994" customHeight="1" x14ac:dyDescent="0.25">
      <c r="A325" s="1292">
        <f>IF(C325&gt;0,COUNT(C$132:C325),"")</f>
        <v>36</v>
      </c>
      <c r="B325" s="1226" t="s">
        <v>2869</v>
      </c>
      <c r="C325" s="1227">
        <v>33</v>
      </c>
      <c r="D325" s="1284" t="s">
        <v>2853</v>
      </c>
      <c r="E325" s="1229">
        <v>6500</v>
      </c>
      <c r="F325" s="1230">
        <f>E325*C325</f>
        <v>214500</v>
      </c>
      <c r="G325" s="1259"/>
      <c r="S325" s="1285"/>
      <c r="T325" s="1286"/>
      <c r="U325" s="1285"/>
    </row>
    <row r="326" spans="1:21" s="1260" customFormat="1" x14ac:dyDescent="0.25">
      <c r="A326" s="1292" t="str">
        <f>IF(C326&gt;0,COUNT(C$132:C326),"")</f>
        <v/>
      </c>
      <c r="B326" s="1226"/>
      <c r="C326" s="1227"/>
      <c r="D326" s="1284"/>
      <c r="E326" s="1229"/>
      <c r="F326" s="1230"/>
      <c r="G326" s="1259"/>
      <c r="S326" s="1285"/>
      <c r="T326" s="1286"/>
      <c r="U326" s="1285"/>
    </row>
    <row r="327" spans="1:21" s="1260" customFormat="1" ht="75.599999999999994" customHeight="1" x14ac:dyDescent="0.25">
      <c r="A327" s="1292">
        <f>IF(C327&gt;0,COUNT(C$132:C327),"")</f>
        <v>37</v>
      </c>
      <c r="B327" s="1226" t="s">
        <v>2870</v>
      </c>
      <c r="C327" s="1227">
        <v>26</v>
      </c>
      <c r="D327" s="1284" t="s">
        <v>2853</v>
      </c>
      <c r="E327" s="1229">
        <v>6500</v>
      </c>
      <c r="F327" s="1230">
        <f>E327*C327</f>
        <v>169000</v>
      </c>
      <c r="G327" s="1259"/>
      <c r="S327" s="1285"/>
      <c r="T327" s="1286"/>
      <c r="U327" s="1285"/>
    </row>
    <row r="328" spans="1:21" s="1260" customFormat="1" x14ac:dyDescent="0.25">
      <c r="A328" s="1292"/>
      <c r="B328" s="1226"/>
      <c r="C328" s="1227"/>
      <c r="D328" s="1284"/>
      <c r="E328" s="1229"/>
      <c r="F328" s="1230"/>
      <c r="G328" s="1259"/>
      <c r="S328" s="1285"/>
      <c r="T328" s="1286"/>
      <c r="U328" s="1285"/>
    </row>
    <row r="329" spans="1:21" s="1260" customFormat="1" ht="75.599999999999994" customHeight="1" x14ac:dyDescent="0.25">
      <c r="A329" s="1292">
        <f>IF(C329&gt;0,COUNT(C$132:C329),"")</f>
        <v>38</v>
      </c>
      <c r="B329" s="1226" t="s">
        <v>2871</v>
      </c>
      <c r="C329" s="1227">
        <v>19</v>
      </c>
      <c r="D329" s="1284" t="s">
        <v>2853</v>
      </c>
      <c r="E329" s="1869">
        <v>4500</v>
      </c>
      <c r="F329" s="1230">
        <f>E329*C329</f>
        <v>85500</v>
      </c>
      <c r="G329" s="1259"/>
      <c r="S329" s="1285"/>
      <c r="T329" s="1286"/>
      <c r="U329" s="1285"/>
    </row>
    <row r="330" spans="1:21" s="1260" customFormat="1" x14ac:dyDescent="0.25">
      <c r="A330" s="1292" t="str">
        <f>IF(C330&gt;0,COUNT(C$132:C330),"")</f>
        <v/>
      </c>
      <c r="B330" s="1226"/>
      <c r="C330" s="1227"/>
      <c r="D330" s="1284"/>
      <c r="E330" s="1229"/>
      <c r="F330" s="1230"/>
      <c r="G330" s="1259"/>
      <c r="S330" s="1285"/>
      <c r="T330" s="1286"/>
      <c r="U330" s="1285"/>
    </row>
    <row r="331" spans="1:21" s="1260" customFormat="1" ht="75.599999999999994" customHeight="1" x14ac:dyDescent="0.25">
      <c r="A331" s="1292">
        <f>IF(C331&gt;0,COUNT(C$132:C331),"")</f>
        <v>39</v>
      </c>
      <c r="B331" s="1226" t="s">
        <v>2872</v>
      </c>
      <c r="C331" s="1227">
        <v>5</v>
      </c>
      <c r="D331" s="1284" t="s">
        <v>2853</v>
      </c>
      <c r="E331" s="1229">
        <v>4500</v>
      </c>
      <c r="F331" s="1230">
        <f>E331*C331</f>
        <v>22500</v>
      </c>
      <c r="G331" s="1259"/>
      <c r="S331" s="1285"/>
      <c r="T331" s="1286"/>
      <c r="U331" s="1285"/>
    </row>
    <row r="332" spans="1:21" s="1260" customFormat="1" x14ac:dyDescent="0.25">
      <c r="A332" s="1292"/>
      <c r="B332" s="1226"/>
      <c r="C332" s="1227"/>
      <c r="D332" s="1284"/>
      <c r="E332" s="1229"/>
      <c r="F332" s="1230"/>
      <c r="G332" s="1259"/>
      <c r="S332" s="1285"/>
      <c r="T332" s="1286"/>
      <c r="U332" s="1285"/>
    </row>
    <row r="333" spans="1:21" s="1318" customFormat="1" x14ac:dyDescent="0.25">
      <c r="A333" s="1292" t="str">
        <f>IF(C333&gt;0,COUNT(C$132:C333),"")</f>
        <v/>
      </c>
      <c r="B333" s="1316" t="s">
        <v>2652</v>
      </c>
      <c r="C333" s="1227"/>
      <c r="D333" s="1312"/>
      <c r="E333" s="1229"/>
      <c r="F333" s="1290"/>
      <c r="G333" s="1317"/>
      <c r="S333" s="1319"/>
      <c r="T333" s="1286"/>
      <c r="U333" s="1319"/>
    </row>
    <row r="334" spans="1:21" s="1318" customFormat="1" x14ac:dyDescent="0.25">
      <c r="A334" s="1292" t="str">
        <f>IF(C334&gt;0,COUNT(C$132:C334),"")</f>
        <v/>
      </c>
      <c r="B334" s="1316"/>
      <c r="C334" s="1227"/>
      <c r="D334" s="1312"/>
      <c r="E334" s="1229"/>
      <c r="F334" s="1290"/>
      <c r="G334" s="1317"/>
      <c r="S334" s="1319"/>
      <c r="T334" s="1286"/>
      <c r="U334" s="1319"/>
    </row>
    <row r="335" spans="1:21" s="1260" customFormat="1" x14ac:dyDescent="0.25">
      <c r="A335" s="1292" t="str">
        <f>IF(C335&gt;0,COUNT(C$132:C335),"")</f>
        <v/>
      </c>
      <c r="B335" s="1303" t="s">
        <v>2873</v>
      </c>
      <c r="C335" s="1227"/>
      <c r="D335" s="1284"/>
      <c r="E335" s="1229"/>
      <c r="F335" s="1290"/>
      <c r="G335" s="1259"/>
      <c r="S335" s="1285"/>
      <c r="T335" s="1286"/>
      <c r="U335" s="1285"/>
    </row>
    <row r="336" spans="1:21" s="1260" customFormat="1" x14ac:dyDescent="0.25">
      <c r="A336" s="1678" t="str">
        <f>IF(C336&gt;0,COUNT(C$132:C336),"")</f>
        <v/>
      </c>
      <c r="B336" s="1687"/>
      <c r="C336" s="1688"/>
      <c r="D336" s="1689"/>
      <c r="E336" s="1690"/>
      <c r="F336" s="1691"/>
      <c r="G336" s="1259"/>
      <c r="S336" s="1285"/>
      <c r="T336" s="1286"/>
      <c r="U336" s="1285"/>
    </row>
    <row r="337" spans="1:21" s="1260" customFormat="1" ht="78" customHeight="1" x14ac:dyDescent="0.25">
      <c r="A337" s="1680">
        <f>IF(C337&gt;0,COUNT(C$132:C337),"")</f>
        <v>40</v>
      </c>
      <c r="B337" s="1686" t="s">
        <v>2874</v>
      </c>
      <c r="C337" s="1672">
        <v>27</v>
      </c>
      <c r="D337" s="1673" t="s">
        <v>1314</v>
      </c>
      <c r="E337" s="1870">
        <v>14500</v>
      </c>
      <c r="F337" s="1665">
        <f>E337*C337</f>
        <v>391500</v>
      </c>
      <c r="G337" s="1259"/>
      <c r="S337" s="1285"/>
      <c r="T337" s="1286"/>
      <c r="U337" s="1285"/>
    </row>
    <row r="338" spans="1:21" s="1260" customFormat="1" x14ac:dyDescent="0.25">
      <c r="A338" s="1292" t="str">
        <f>IF(C338&gt;0,COUNT(C$132:C338),"")</f>
        <v/>
      </c>
      <c r="B338" s="1325"/>
      <c r="C338" s="1326"/>
      <c r="D338" s="1284"/>
      <c r="E338" s="1229"/>
      <c r="F338" s="1290"/>
      <c r="G338" s="1259"/>
      <c r="S338" s="1285"/>
      <c r="T338" s="1286"/>
      <c r="U338" s="1285"/>
    </row>
    <row r="339" spans="1:21" s="1260" customFormat="1" ht="75.599999999999994" customHeight="1" x14ac:dyDescent="0.25">
      <c r="A339" s="1292">
        <f>IF(C339&gt;0,COUNT(C$132:C339),"")</f>
        <v>41</v>
      </c>
      <c r="B339" s="1226" t="s">
        <v>2875</v>
      </c>
      <c r="C339" s="1227">
        <v>2</v>
      </c>
      <c r="D339" s="1284" t="s">
        <v>1314</v>
      </c>
      <c r="E339" s="1229">
        <f>E337</f>
        <v>14500</v>
      </c>
      <c r="F339" s="1230">
        <f>E339*C339</f>
        <v>29000</v>
      </c>
      <c r="G339" s="1259"/>
      <c r="S339" s="1285"/>
      <c r="T339" s="1286"/>
      <c r="U339" s="1285"/>
    </row>
    <row r="340" spans="1:21" s="1260" customFormat="1" x14ac:dyDescent="0.25">
      <c r="A340" s="1292" t="str">
        <f>IF(C340&gt;0,COUNT(C$132:C340),"")</f>
        <v/>
      </c>
      <c r="B340" s="1226"/>
      <c r="C340" s="1227"/>
      <c r="D340" s="1284"/>
      <c r="E340" s="1229"/>
      <c r="F340" s="1230"/>
      <c r="G340" s="1259"/>
      <c r="S340" s="1285"/>
      <c r="T340" s="1286"/>
      <c r="U340" s="1285"/>
    </row>
    <row r="341" spans="1:21" s="1260" customFormat="1" ht="90" customHeight="1" x14ac:dyDescent="0.25">
      <c r="A341" s="1292">
        <f>IF(C341&gt;0,COUNT(C$132:C341),"")</f>
        <v>42</v>
      </c>
      <c r="B341" s="1226" t="s">
        <v>2876</v>
      </c>
      <c r="C341" s="1227">
        <v>4</v>
      </c>
      <c r="D341" s="1284" t="s">
        <v>1314</v>
      </c>
      <c r="E341" s="1229">
        <f>E339</f>
        <v>14500</v>
      </c>
      <c r="F341" s="1230">
        <f>E341*C341</f>
        <v>58000</v>
      </c>
      <c r="G341" s="1259"/>
      <c r="S341" s="1285"/>
      <c r="T341" s="1286"/>
      <c r="U341" s="1285"/>
    </row>
    <row r="342" spans="1:21" x14ac:dyDescent="0.25">
      <c r="A342" s="1292" t="str">
        <f>IF(C342&gt;0,COUNT(C$132:C342),"")</f>
        <v/>
      </c>
      <c r="B342" s="1226"/>
      <c r="C342" s="1227"/>
      <c r="D342" s="1284"/>
      <c r="E342" s="1229"/>
      <c r="F342" s="1290"/>
      <c r="S342" s="1328"/>
      <c r="T342" s="1286"/>
      <c r="U342" s="1328"/>
    </row>
    <row r="343" spans="1:21" ht="76.2" customHeight="1" x14ac:dyDescent="0.25">
      <c r="A343" s="1292">
        <f>IF(C343&gt;0,COUNT(C$132:C343),"")</f>
        <v>43</v>
      </c>
      <c r="B343" s="1226" t="s">
        <v>2877</v>
      </c>
      <c r="C343" s="1227">
        <v>49</v>
      </c>
      <c r="D343" s="1284" t="s">
        <v>1314</v>
      </c>
      <c r="E343" s="1229">
        <f>E341</f>
        <v>14500</v>
      </c>
      <c r="F343" s="1230">
        <f>E343*C343</f>
        <v>710500</v>
      </c>
      <c r="S343" s="1328"/>
      <c r="T343" s="1286"/>
      <c r="U343" s="1328"/>
    </row>
    <row r="344" spans="1:21" x14ac:dyDescent="0.25">
      <c r="A344" s="1292" t="str">
        <f>IF(C344&gt;0,COUNT(C$132:C344),"")</f>
        <v/>
      </c>
      <c r="B344" s="1226"/>
      <c r="C344" s="1227"/>
      <c r="D344" s="1284"/>
      <c r="E344" s="1229"/>
      <c r="F344" s="1290"/>
      <c r="S344" s="1328"/>
      <c r="T344" s="1286"/>
      <c r="U344" s="1328"/>
    </row>
    <row r="345" spans="1:21" ht="74.400000000000006" customHeight="1" x14ac:dyDescent="0.25">
      <c r="A345" s="1292">
        <f>IF(C345&gt;0,COUNT(C$132:C345),"")</f>
        <v>44</v>
      </c>
      <c r="B345" s="1226" t="s">
        <v>2878</v>
      </c>
      <c r="C345" s="1227">
        <v>1</v>
      </c>
      <c r="D345" s="1284" t="s">
        <v>1314</v>
      </c>
      <c r="E345" s="1229">
        <f>E343</f>
        <v>14500</v>
      </c>
      <c r="F345" s="1230">
        <f>E345*C345</f>
        <v>14500</v>
      </c>
      <c r="S345" s="1328"/>
      <c r="T345" s="1286"/>
      <c r="U345" s="1328"/>
    </row>
    <row r="346" spans="1:21" x14ac:dyDescent="0.25">
      <c r="A346" s="1292" t="str">
        <f>IF(C346&gt;0,COUNT(C$132:C346),"")</f>
        <v/>
      </c>
      <c r="B346" s="1226"/>
      <c r="C346" s="1227"/>
      <c r="D346" s="1284"/>
      <c r="E346" s="1229"/>
      <c r="F346" s="1290"/>
      <c r="S346" s="1328"/>
      <c r="T346" s="1286"/>
      <c r="U346" s="1328"/>
    </row>
    <row r="347" spans="1:21" ht="73.2" customHeight="1" x14ac:dyDescent="0.25">
      <c r="A347" s="1292">
        <f>IF(C347&gt;0,COUNT(C$132:C347),"")</f>
        <v>45</v>
      </c>
      <c r="B347" s="1226" t="s">
        <v>2879</v>
      </c>
      <c r="C347" s="1227">
        <v>13</v>
      </c>
      <c r="D347" s="1284" t="s">
        <v>1314</v>
      </c>
      <c r="E347" s="1229">
        <f>E345</f>
        <v>14500</v>
      </c>
      <c r="F347" s="1230">
        <f>E347*C347</f>
        <v>188500</v>
      </c>
      <c r="S347" s="1328"/>
      <c r="T347" s="1286"/>
      <c r="U347" s="1328"/>
    </row>
    <row r="348" spans="1:21" x14ac:dyDescent="0.25">
      <c r="A348" s="1292" t="str">
        <f>IF(C348&gt;0,COUNT(C$132:C348),"")</f>
        <v/>
      </c>
      <c r="B348" s="1226"/>
      <c r="C348" s="1227"/>
      <c r="D348" s="1284"/>
      <c r="E348" s="1229"/>
      <c r="F348" s="1230"/>
      <c r="S348" s="1328"/>
      <c r="T348" s="1286"/>
      <c r="U348" s="1328"/>
    </row>
    <row r="349" spans="1:21" ht="45" customHeight="1" x14ac:dyDescent="0.25">
      <c r="A349" s="1292" t="str">
        <f>IF(C349&gt;0,COUNT(C$132:C349),"")</f>
        <v/>
      </c>
      <c r="B349" s="1226" t="s">
        <v>2657</v>
      </c>
      <c r="C349" s="1227"/>
      <c r="D349" s="1284"/>
      <c r="E349" s="1229"/>
      <c r="F349" s="1230"/>
      <c r="S349" s="1328"/>
      <c r="T349" s="1286"/>
      <c r="U349" s="1328"/>
    </row>
    <row r="350" spans="1:21" x14ac:dyDescent="0.25">
      <c r="A350" s="1292" t="str">
        <f>IF(C350&gt;0,COUNT(C$132:C350),"")</f>
        <v/>
      </c>
      <c r="B350" s="1226"/>
      <c r="C350" s="1227"/>
      <c r="D350" s="1284"/>
      <c r="E350" s="1229"/>
      <c r="F350" s="1230"/>
      <c r="S350" s="1328"/>
      <c r="T350" s="1286"/>
      <c r="U350" s="1328"/>
    </row>
    <row r="351" spans="1:21" ht="46.8" customHeight="1" x14ac:dyDescent="0.25">
      <c r="A351" s="1292" t="str">
        <f>IF(C351&gt;0,COUNT(C$132:C351),"")</f>
        <v/>
      </c>
      <c r="B351" s="1226" t="s">
        <v>2880</v>
      </c>
      <c r="C351" s="1227"/>
      <c r="D351" s="1284"/>
      <c r="E351" s="1229"/>
      <c r="F351" s="1230"/>
      <c r="S351" s="1328"/>
      <c r="T351" s="1286"/>
      <c r="U351" s="1328"/>
    </row>
    <row r="352" spans="1:21" x14ac:dyDescent="0.25">
      <c r="A352" s="1292" t="str">
        <f>IF(C352&gt;0,COUNT(C$132:C352),"")</f>
        <v/>
      </c>
      <c r="B352" s="1226"/>
      <c r="C352" s="1227"/>
      <c r="D352" s="1284"/>
      <c r="E352" s="1229"/>
      <c r="F352" s="1230"/>
      <c r="S352" s="1328"/>
      <c r="T352" s="1286"/>
      <c r="U352" s="1328"/>
    </row>
    <row r="353" spans="1:21" ht="41.4" x14ac:dyDescent="0.25">
      <c r="A353" s="1292" t="str">
        <f>IF(C353&gt;0,COUNT(C$132:C353),"")</f>
        <v/>
      </c>
      <c r="B353" s="1226" t="s">
        <v>2881</v>
      </c>
      <c r="C353" s="1227"/>
      <c r="D353" s="1284"/>
      <c r="E353" s="1229"/>
      <c r="F353" s="1230">
        <f>E353*C353</f>
        <v>0</v>
      </c>
      <c r="S353" s="1328"/>
      <c r="T353" s="1286"/>
      <c r="U353" s="1328"/>
    </row>
    <row r="354" spans="1:21" x14ac:dyDescent="0.25">
      <c r="A354" s="1292" t="str">
        <f>IF(C354&gt;0,COUNT(C$132:C354),"")</f>
        <v/>
      </c>
      <c r="B354" s="1226"/>
      <c r="C354" s="1227"/>
      <c r="D354" s="1284"/>
      <c r="E354" s="1229"/>
      <c r="F354" s="1230"/>
      <c r="S354" s="1328"/>
      <c r="T354" s="1286"/>
      <c r="U354" s="1328"/>
    </row>
    <row r="355" spans="1:21" ht="41.4" x14ac:dyDescent="0.25">
      <c r="A355" s="1292" t="str">
        <f>IF(C355&gt;0,COUNT(C$132:C355),"")</f>
        <v/>
      </c>
      <c r="B355" s="1226" t="s">
        <v>2882</v>
      </c>
      <c r="C355" s="1227"/>
      <c r="D355" s="1284"/>
      <c r="E355" s="1229"/>
      <c r="F355" s="1230">
        <f>E355*C355</f>
        <v>0</v>
      </c>
      <c r="S355" s="1328"/>
      <c r="T355" s="1286"/>
      <c r="U355" s="1328"/>
    </row>
    <row r="356" spans="1:21" x14ac:dyDescent="0.25">
      <c r="A356" s="1292"/>
      <c r="B356" s="1226"/>
      <c r="C356" s="1227"/>
      <c r="D356" s="1284"/>
      <c r="E356" s="1229"/>
      <c r="F356" s="1230"/>
      <c r="S356" s="1328"/>
      <c r="T356" s="1286"/>
      <c r="U356" s="1328"/>
    </row>
    <row r="357" spans="1:21" x14ac:dyDescent="0.25">
      <c r="A357" s="1292"/>
      <c r="B357" s="1226"/>
      <c r="C357" s="1227"/>
      <c r="D357" s="1284"/>
      <c r="E357" s="1229"/>
      <c r="F357" s="1230"/>
      <c r="S357" s="1328"/>
      <c r="T357" s="1286"/>
      <c r="U357" s="1328"/>
    </row>
    <row r="358" spans="1:21" x14ac:dyDescent="0.25">
      <c r="A358" s="1292"/>
      <c r="B358" s="396" t="s">
        <v>1203</v>
      </c>
      <c r="C358" s="1379"/>
      <c r="D358" s="1380"/>
      <c r="E358" s="1381"/>
      <c r="F358" s="1380"/>
      <c r="S358" s="1328"/>
      <c r="T358" s="1286"/>
      <c r="U358" s="1328"/>
    </row>
    <row r="359" spans="1:21" ht="48" customHeight="1" x14ac:dyDescent="0.25">
      <c r="A359" s="1292"/>
      <c r="B359" s="1226" t="s">
        <v>2663</v>
      </c>
      <c r="C359" s="1379">
        <v>67</v>
      </c>
      <c r="D359" s="1228" t="s">
        <v>1314</v>
      </c>
      <c r="E359" s="1229">
        <v>1850</v>
      </c>
      <c r="F359" s="1230">
        <f>E359*C359</f>
        <v>123950</v>
      </c>
      <c r="S359" s="1328"/>
      <c r="T359" s="1286"/>
      <c r="U359" s="1328"/>
    </row>
    <row r="360" spans="1:21" x14ac:dyDescent="0.25">
      <c r="A360" s="1292"/>
      <c r="B360" s="977"/>
      <c r="C360" s="1379"/>
      <c r="D360" s="1380"/>
      <c r="E360" s="1381"/>
      <c r="F360" s="1380"/>
      <c r="S360" s="1328"/>
      <c r="T360" s="1286"/>
      <c r="U360" s="1328"/>
    </row>
    <row r="361" spans="1:21" ht="27.6" x14ac:dyDescent="0.25">
      <c r="A361" s="1292"/>
      <c r="B361" s="368" t="s">
        <v>2658</v>
      </c>
      <c r="C361" s="1379">
        <v>11</v>
      </c>
      <c r="D361" s="1380" t="s">
        <v>78</v>
      </c>
      <c r="E361" s="1381">
        <f>(4000)*1.45</f>
        <v>5800</v>
      </c>
      <c r="F361" s="1380">
        <f>E361*C361</f>
        <v>63800</v>
      </c>
      <c r="S361" s="1328"/>
      <c r="T361" s="1286"/>
      <c r="U361" s="1328"/>
    </row>
    <row r="362" spans="1:21" x14ac:dyDescent="0.25">
      <c r="A362" s="1292"/>
      <c r="B362" s="396"/>
      <c r="C362" s="1379"/>
      <c r="D362" s="1380"/>
      <c r="E362" s="1381"/>
      <c r="F362" s="1380"/>
      <c r="S362" s="1328"/>
      <c r="T362" s="1286"/>
      <c r="U362" s="1328"/>
    </row>
    <row r="363" spans="1:21" ht="27.6" x14ac:dyDescent="0.25">
      <c r="A363" s="1292"/>
      <c r="B363" s="368" t="s">
        <v>2664</v>
      </c>
      <c r="C363" s="1379">
        <v>25</v>
      </c>
      <c r="D363" s="1380" t="s">
        <v>168</v>
      </c>
      <c r="E363" s="1381">
        <f>(5000)*1.45</f>
        <v>7250</v>
      </c>
      <c r="F363" s="1380">
        <f>E363*C363</f>
        <v>181250</v>
      </c>
      <c r="S363" s="1328"/>
      <c r="T363" s="1286"/>
      <c r="U363" s="1328"/>
    </row>
    <row r="364" spans="1:21" x14ac:dyDescent="0.25">
      <c r="A364" s="1678"/>
      <c r="B364" s="1162"/>
      <c r="C364" s="1018"/>
      <c r="D364" s="957"/>
      <c r="E364" s="1223"/>
      <c r="F364" s="957"/>
      <c r="S364" s="1328"/>
      <c r="T364" s="1286"/>
      <c r="U364" s="1328"/>
    </row>
    <row r="365" spans="1:21" ht="27.6" x14ac:dyDescent="0.25">
      <c r="A365" s="1680"/>
      <c r="B365" s="1161" t="s">
        <v>2659</v>
      </c>
      <c r="C365" s="1047">
        <v>1</v>
      </c>
      <c r="D365" s="719" t="s">
        <v>78</v>
      </c>
      <c r="E365" s="1224">
        <f>(5000)*1.45</f>
        <v>7250</v>
      </c>
      <c r="F365" s="719">
        <f>E365*C365</f>
        <v>7250</v>
      </c>
      <c r="S365" s="1328"/>
      <c r="T365" s="1286"/>
      <c r="U365" s="1328"/>
    </row>
    <row r="366" spans="1:21" x14ac:dyDescent="0.25">
      <c r="A366" s="1292"/>
      <c r="B366" s="368"/>
      <c r="C366" s="1379"/>
      <c r="D366" s="1380"/>
      <c r="E366" s="1381"/>
      <c r="F366" s="1380"/>
      <c r="S366" s="1328"/>
      <c r="T366" s="1286"/>
      <c r="U366" s="1328"/>
    </row>
    <row r="367" spans="1:21" ht="27.6" x14ac:dyDescent="0.25">
      <c r="A367" s="1292"/>
      <c r="B367" s="368" t="s">
        <v>2672</v>
      </c>
      <c r="C367" s="1379">
        <v>25</v>
      </c>
      <c r="D367" s="1380" t="s">
        <v>78</v>
      </c>
      <c r="E367" s="1381">
        <f>(5500)*1.45</f>
        <v>7975</v>
      </c>
      <c r="F367" s="1380">
        <f>E367*C367</f>
        <v>199375</v>
      </c>
      <c r="S367" s="1328"/>
      <c r="T367" s="1286"/>
      <c r="U367" s="1328"/>
    </row>
    <row r="368" spans="1:21" x14ac:dyDescent="0.25">
      <c r="A368" s="1292"/>
      <c r="B368" s="396"/>
      <c r="C368" s="1379"/>
      <c r="D368" s="1380"/>
      <c r="E368" s="1381"/>
      <c r="F368" s="1380"/>
      <c r="S368" s="1328"/>
      <c r="T368" s="1286"/>
      <c r="U368" s="1328"/>
    </row>
    <row r="369" spans="1:23" x14ac:dyDescent="0.25">
      <c r="A369" s="1292"/>
      <c r="B369" s="368" t="s">
        <v>2660</v>
      </c>
      <c r="C369" s="1379">
        <v>1</v>
      </c>
      <c r="D369" s="1380" t="s">
        <v>78</v>
      </c>
      <c r="E369" s="1381">
        <f>(2500)*1.45</f>
        <v>3625</v>
      </c>
      <c r="F369" s="1380">
        <f>E369*C369</f>
        <v>3625</v>
      </c>
      <c r="S369" s="1328"/>
      <c r="T369" s="1286"/>
      <c r="U369" s="1328"/>
    </row>
    <row r="370" spans="1:23" x14ac:dyDescent="0.25">
      <c r="A370" s="1292"/>
      <c r="B370" s="1226"/>
      <c r="C370" s="1227"/>
      <c r="D370" s="1284"/>
      <c r="E370" s="1229"/>
      <c r="F370" s="1230"/>
      <c r="S370" s="1328"/>
      <c r="T370" s="1286"/>
      <c r="U370" s="1328"/>
    </row>
    <row r="371" spans="1:23" s="1260" customFormat="1" ht="72.599999999999994" customHeight="1" x14ac:dyDescent="0.25">
      <c r="A371" s="1292">
        <f>IF(C371&gt;0,COUNT(C$132:C371),"")</f>
        <v>52</v>
      </c>
      <c r="B371" s="1226" t="s">
        <v>2883</v>
      </c>
      <c r="C371" s="1227">
        <v>3</v>
      </c>
      <c r="D371" s="1284" t="s">
        <v>1314</v>
      </c>
      <c r="E371" s="1229">
        <f>E345</f>
        <v>14500</v>
      </c>
      <c r="F371" s="1230">
        <f>E371*C371</f>
        <v>43500</v>
      </c>
      <c r="U371" s="1285"/>
      <c r="V371" s="1286"/>
      <c r="W371" s="1285"/>
    </row>
    <row r="372" spans="1:23" s="1260" customFormat="1" x14ac:dyDescent="0.25">
      <c r="A372" s="1292" t="str">
        <f>IF(C372&gt;0,COUNT(C$132:C372),"")</f>
        <v/>
      </c>
      <c r="B372" s="1226"/>
      <c r="C372" s="1227"/>
      <c r="D372" s="1284"/>
      <c r="E372" s="1229"/>
      <c r="F372" s="1230"/>
      <c r="U372" s="1285"/>
      <c r="V372" s="1286"/>
      <c r="W372" s="1285"/>
    </row>
    <row r="373" spans="1:23" s="1260" customFormat="1" ht="90" customHeight="1" x14ac:dyDescent="0.25">
      <c r="A373" s="1292">
        <f>IF(C373&gt;0,COUNT(C$132:C373),"")</f>
        <v>53</v>
      </c>
      <c r="B373" s="1226" t="s">
        <v>2968</v>
      </c>
      <c r="C373" s="1227">
        <f>C371</f>
        <v>3</v>
      </c>
      <c r="D373" s="1284" t="s">
        <v>1314</v>
      </c>
      <c r="E373" s="1229">
        <f>25500*1.45</f>
        <v>36975</v>
      </c>
      <c r="F373" s="1230">
        <f>E373*C373</f>
        <v>110925</v>
      </c>
      <c r="U373" s="1285"/>
      <c r="V373" s="1286"/>
      <c r="W373" s="1285"/>
    </row>
    <row r="374" spans="1:23" x14ac:dyDescent="0.25">
      <c r="A374" s="1292" t="str">
        <f>IF(C374&gt;0,COUNT(C$132:C374),"")</f>
        <v/>
      </c>
      <c r="B374" s="1226"/>
      <c r="C374" s="1227"/>
      <c r="D374" s="1284"/>
      <c r="E374" s="1229"/>
      <c r="F374" s="1230"/>
      <c r="S374" s="1328"/>
      <c r="T374" s="1286"/>
      <c r="U374" s="1328"/>
    </row>
    <row r="375" spans="1:23" s="1260" customFormat="1" x14ac:dyDescent="0.25">
      <c r="A375" s="1292" t="str">
        <f>IF(C375&gt;0,COUNT(C$132:C375),"")</f>
        <v/>
      </c>
      <c r="B375" s="1303" t="s">
        <v>2884</v>
      </c>
      <c r="C375" s="1227"/>
      <c r="D375" s="1284"/>
      <c r="E375" s="1229"/>
      <c r="F375" s="1290"/>
      <c r="G375" s="1259"/>
      <c r="S375" s="1285"/>
      <c r="T375" s="1286"/>
      <c r="U375" s="1285"/>
    </row>
    <row r="376" spans="1:23" s="1260" customFormat="1" x14ac:dyDescent="0.25">
      <c r="A376" s="1292" t="str">
        <f>IF(C376&gt;0,COUNT(C$132:C376),"")</f>
        <v/>
      </c>
      <c r="B376" s="1226"/>
      <c r="C376" s="1227"/>
      <c r="D376" s="1284"/>
      <c r="E376" s="1229"/>
      <c r="F376" s="1290"/>
      <c r="G376" s="1259"/>
      <c r="S376" s="1285"/>
      <c r="T376" s="1286"/>
      <c r="U376" s="1285"/>
    </row>
    <row r="377" spans="1:23" s="1260" customFormat="1" ht="79.8" customHeight="1" x14ac:dyDescent="0.25">
      <c r="A377" s="1292">
        <f>IF(C377&gt;0,COUNT(C$132:C377),"")</f>
        <v>54</v>
      </c>
      <c r="B377" s="1226" t="s">
        <v>2874</v>
      </c>
      <c r="C377" s="1227">
        <v>40</v>
      </c>
      <c r="D377" s="1284" t="s">
        <v>1314</v>
      </c>
      <c r="E377" s="1229">
        <f>E337</f>
        <v>14500</v>
      </c>
      <c r="F377" s="1230">
        <f>E377*C377</f>
        <v>580000</v>
      </c>
      <c r="G377" s="1259"/>
      <c r="S377" s="1285"/>
      <c r="T377" s="1286"/>
      <c r="U377" s="1285"/>
    </row>
    <row r="378" spans="1:23" s="1260" customFormat="1" x14ac:dyDescent="0.25">
      <c r="A378" s="1292" t="str">
        <f>IF(C378&gt;0,COUNT(C$132:C378),"")</f>
        <v/>
      </c>
      <c r="B378" s="1226"/>
      <c r="C378" s="1227"/>
      <c r="D378" s="1284"/>
      <c r="E378" s="1229"/>
      <c r="F378" s="1290"/>
      <c r="G378" s="1259"/>
      <c r="S378" s="1285"/>
      <c r="T378" s="1286"/>
      <c r="U378" s="1285"/>
    </row>
    <row r="379" spans="1:23" s="1260" customFormat="1" ht="72.599999999999994" customHeight="1" x14ac:dyDescent="0.25">
      <c r="A379" s="1292">
        <f>IF(C379&gt;0,COUNT(C$132:C379),"")</f>
        <v>55</v>
      </c>
      <c r="B379" s="1226" t="s">
        <v>2661</v>
      </c>
      <c r="C379" s="1227">
        <v>4</v>
      </c>
      <c r="D379" s="1284" t="s">
        <v>1314</v>
      </c>
      <c r="E379" s="1229">
        <f>E339</f>
        <v>14500</v>
      </c>
      <c r="F379" s="1230">
        <f>E379*C379</f>
        <v>58000</v>
      </c>
      <c r="G379" s="1259"/>
      <c r="S379" s="1285"/>
      <c r="T379" s="1286"/>
      <c r="U379" s="1285"/>
    </row>
    <row r="380" spans="1:23" x14ac:dyDescent="0.25">
      <c r="A380" s="1292" t="str">
        <f>IF(C380&gt;0,COUNT(C$132:C380),"")</f>
        <v/>
      </c>
      <c r="B380" s="1226"/>
      <c r="C380" s="1231"/>
      <c r="D380" s="1232"/>
      <c r="E380" s="1232"/>
      <c r="F380" s="1232"/>
      <c r="S380" s="1328"/>
      <c r="T380" s="1286"/>
      <c r="U380" s="1328"/>
    </row>
    <row r="381" spans="1:23" ht="73.2" customHeight="1" x14ac:dyDescent="0.25">
      <c r="A381" s="1292">
        <f>IF(C381&gt;0,COUNT(C$132:C381),"")</f>
        <v>56</v>
      </c>
      <c r="B381" s="1226" t="s">
        <v>2885</v>
      </c>
      <c r="C381" s="1227">
        <v>43</v>
      </c>
      <c r="D381" s="1284" t="s">
        <v>1314</v>
      </c>
      <c r="E381" s="1229">
        <f>E343</f>
        <v>14500</v>
      </c>
      <c r="F381" s="1230">
        <f>E381*C381</f>
        <v>623500</v>
      </c>
      <c r="S381" s="1328"/>
      <c r="T381" s="1286"/>
      <c r="U381" s="1328"/>
    </row>
    <row r="382" spans="1:23" x14ac:dyDescent="0.25">
      <c r="A382" s="1292" t="str">
        <f>IF(C382&gt;0,COUNT(C$132:C382),"")</f>
        <v/>
      </c>
      <c r="B382" s="1226"/>
      <c r="C382" s="1227"/>
      <c r="D382" s="1284"/>
      <c r="E382" s="1229"/>
      <c r="F382" s="1290"/>
      <c r="S382" s="1328"/>
      <c r="T382" s="1286"/>
      <c r="U382" s="1328"/>
    </row>
    <row r="383" spans="1:23" ht="77.400000000000006" customHeight="1" x14ac:dyDescent="0.25">
      <c r="A383" s="1292">
        <f>IF(C383&gt;0,COUNT(C$132:C383),"")</f>
        <v>57</v>
      </c>
      <c r="B383" s="1226" t="s">
        <v>2878</v>
      </c>
      <c r="C383" s="1227">
        <v>1</v>
      </c>
      <c r="D383" s="1284" t="s">
        <v>1314</v>
      </c>
      <c r="E383" s="1229">
        <f>E381</f>
        <v>14500</v>
      </c>
      <c r="F383" s="1230">
        <f>E383*C383</f>
        <v>14500</v>
      </c>
      <c r="S383" s="1328"/>
      <c r="T383" s="1286"/>
      <c r="U383" s="1328"/>
    </row>
    <row r="384" spans="1:23" x14ac:dyDescent="0.25">
      <c r="A384" s="1292" t="str">
        <f>IF(C384&gt;0,COUNT(C$132:C384),"")</f>
        <v/>
      </c>
      <c r="B384" s="1226"/>
      <c r="C384" s="1227"/>
      <c r="D384" s="1284"/>
      <c r="E384" s="1229"/>
      <c r="F384" s="1230"/>
      <c r="S384" s="1328"/>
      <c r="T384" s="1286"/>
      <c r="U384" s="1328"/>
    </row>
    <row r="385" spans="1:21" ht="50.4" customHeight="1" x14ac:dyDescent="0.25">
      <c r="A385" s="1292" t="str">
        <f>IF(C385&gt;0,COUNT(C$132:C385),"")</f>
        <v/>
      </c>
      <c r="B385" s="1226" t="s">
        <v>2886</v>
      </c>
      <c r="C385" s="1227"/>
      <c r="D385" s="1284"/>
      <c r="E385" s="1229"/>
      <c r="F385" s="1230"/>
      <c r="S385" s="1328"/>
      <c r="T385" s="1286"/>
      <c r="U385" s="1328"/>
    </row>
    <row r="386" spans="1:21" x14ac:dyDescent="0.25">
      <c r="A386" s="1292" t="str">
        <f>IF(C386&gt;0,COUNT(C$132:C386),"")</f>
        <v/>
      </c>
      <c r="B386" s="1226"/>
      <c r="C386" s="1227"/>
      <c r="D386" s="1284"/>
      <c r="E386" s="1229"/>
      <c r="F386" s="1230"/>
      <c r="S386" s="1328"/>
      <c r="T386" s="1286"/>
      <c r="U386" s="1328"/>
    </row>
    <row r="387" spans="1:21" ht="41.4" x14ac:dyDescent="0.25">
      <c r="A387" s="1292" t="str">
        <f>IF(C387&gt;0,COUNT(C$132:C387),"")</f>
        <v/>
      </c>
      <c r="B387" s="1226" t="s">
        <v>2887</v>
      </c>
      <c r="C387" s="1227"/>
      <c r="D387" s="1284"/>
      <c r="E387" s="1229"/>
      <c r="F387" s="1230"/>
      <c r="S387" s="1328"/>
      <c r="T387" s="1286"/>
      <c r="U387" s="1328"/>
    </row>
    <row r="388" spans="1:21" x14ac:dyDescent="0.25">
      <c r="A388" s="1292" t="str">
        <f>IF(C388&gt;0,COUNT(C$132:C388),"")</f>
        <v/>
      </c>
      <c r="B388" s="1226"/>
      <c r="C388" s="1227"/>
      <c r="D388" s="1284"/>
      <c r="E388" s="1229"/>
      <c r="F388" s="1230"/>
      <c r="S388" s="1328"/>
      <c r="T388" s="1286"/>
      <c r="U388" s="1328"/>
    </row>
    <row r="389" spans="1:21" ht="41.4" x14ac:dyDescent="0.25">
      <c r="A389" s="1292" t="str">
        <f>IF(C389&gt;0,COUNT(C$132:C389),"")</f>
        <v/>
      </c>
      <c r="B389" s="1226" t="s">
        <v>2888</v>
      </c>
      <c r="C389" s="1227"/>
      <c r="D389" s="1284"/>
      <c r="E389" s="1229"/>
      <c r="F389" s="1230"/>
      <c r="S389" s="1328"/>
      <c r="T389" s="1286"/>
      <c r="U389" s="1328"/>
    </row>
    <row r="390" spans="1:21" x14ac:dyDescent="0.25">
      <c r="A390" s="1292"/>
      <c r="B390" s="1226"/>
      <c r="C390" s="1227"/>
      <c r="D390" s="1284"/>
      <c r="E390" s="1229"/>
      <c r="F390" s="1230"/>
      <c r="S390" s="1328"/>
      <c r="T390" s="1286"/>
      <c r="U390" s="1328"/>
    </row>
    <row r="391" spans="1:21" x14ac:dyDescent="0.25">
      <c r="A391" s="1292"/>
      <c r="B391" s="396" t="s">
        <v>1203</v>
      </c>
      <c r="C391" s="1379"/>
      <c r="D391" s="1380"/>
      <c r="E391" s="1381"/>
      <c r="F391" s="1380"/>
      <c r="S391" s="1328"/>
      <c r="T391" s="1286"/>
      <c r="U391" s="1328"/>
    </row>
    <row r="392" spans="1:21" ht="41.4" x14ac:dyDescent="0.25">
      <c r="A392" s="1292"/>
      <c r="B392" s="1226" t="s">
        <v>2662</v>
      </c>
      <c r="C392" s="1379">
        <v>47</v>
      </c>
      <c r="D392" s="1228" t="s">
        <v>1314</v>
      </c>
      <c r="E392" s="1229">
        <v>1850</v>
      </c>
      <c r="F392" s="1230">
        <f>E392*C392</f>
        <v>86950</v>
      </c>
      <c r="S392" s="1328"/>
      <c r="T392" s="1286"/>
      <c r="U392" s="1328"/>
    </row>
    <row r="393" spans="1:21" x14ac:dyDescent="0.25">
      <c r="A393" s="1292"/>
      <c r="B393" s="396"/>
      <c r="C393" s="1379"/>
      <c r="D393" s="1380"/>
      <c r="E393" s="1381"/>
      <c r="F393" s="1380"/>
      <c r="S393" s="1328"/>
      <c r="T393" s="1286"/>
      <c r="U393" s="1328"/>
    </row>
    <row r="394" spans="1:21" ht="27.6" x14ac:dyDescent="0.25">
      <c r="A394" s="1678"/>
      <c r="B394" s="1692" t="s">
        <v>2673</v>
      </c>
      <c r="C394" s="1693">
        <v>1</v>
      </c>
      <c r="D394" s="1237" t="s">
        <v>78</v>
      </c>
      <c r="E394" s="1694">
        <f>(150000+8500)*1.45</f>
        <v>229825</v>
      </c>
      <c r="F394" s="1237">
        <f>E394*C394</f>
        <v>229825</v>
      </c>
      <c r="S394" s="1328"/>
      <c r="T394" s="1286"/>
      <c r="U394" s="1328"/>
    </row>
    <row r="395" spans="1:21" ht="35.4" customHeight="1" x14ac:dyDescent="0.25">
      <c r="A395" s="1680"/>
      <c r="B395" s="1161" t="s">
        <v>2664</v>
      </c>
      <c r="C395" s="1047">
        <v>42</v>
      </c>
      <c r="D395" s="719" t="s">
        <v>168</v>
      </c>
      <c r="E395" s="1224">
        <f>(5000)*1.45</f>
        <v>7250</v>
      </c>
      <c r="F395" s="719">
        <f>E395*C395</f>
        <v>304500</v>
      </c>
      <c r="S395" s="1328"/>
      <c r="T395" s="1286"/>
      <c r="U395" s="1328"/>
    </row>
    <row r="396" spans="1:21" x14ac:dyDescent="0.25">
      <c r="A396" s="1292"/>
      <c r="B396" s="396"/>
      <c r="C396" s="1379"/>
      <c r="D396" s="1380"/>
      <c r="E396" s="1381"/>
      <c r="F396" s="1380"/>
      <c r="S396" s="1328"/>
      <c r="T396" s="1286"/>
      <c r="U396" s="1328"/>
    </row>
    <row r="397" spans="1:21" ht="27.6" x14ac:dyDescent="0.25">
      <c r="A397" s="1292"/>
      <c r="B397" s="368" t="s">
        <v>2659</v>
      </c>
      <c r="C397" s="1379">
        <v>2</v>
      </c>
      <c r="D397" s="1380" t="s">
        <v>78</v>
      </c>
      <c r="E397" s="1381">
        <f>(5000)*1.45</f>
        <v>7250</v>
      </c>
      <c r="F397" s="1380">
        <f>E397*C397</f>
        <v>14500</v>
      </c>
      <c r="S397" s="1328"/>
      <c r="T397" s="1286"/>
      <c r="U397" s="1328"/>
    </row>
    <row r="398" spans="1:21" x14ac:dyDescent="0.25">
      <c r="A398" s="1292"/>
      <c r="B398" s="396"/>
      <c r="C398" s="1379"/>
      <c r="D398" s="1380"/>
      <c r="E398" s="1381"/>
      <c r="F398" s="1380"/>
      <c r="S398" s="1328"/>
      <c r="T398" s="1286"/>
      <c r="U398" s="1328"/>
    </row>
    <row r="399" spans="1:21" x14ac:dyDescent="0.25">
      <c r="A399" s="1292"/>
      <c r="B399" s="368" t="s">
        <v>2660</v>
      </c>
      <c r="C399" s="1379">
        <v>1</v>
      </c>
      <c r="D399" s="1380" t="s">
        <v>78</v>
      </c>
      <c r="E399" s="1381">
        <f>(2500)*1.45</f>
        <v>3625</v>
      </c>
      <c r="F399" s="1380">
        <f>E399*C399</f>
        <v>3625</v>
      </c>
      <c r="S399" s="1328"/>
      <c r="T399" s="1286"/>
      <c r="U399" s="1328"/>
    </row>
    <row r="400" spans="1:21" x14ac:dyDescent="0.25">
      <c r="A400" s="1292"/>
      <c r="B400" s="1226"/>
      <c r="C400" s="1227"/>
      <c r="D400" s="1284"/>
      <c r="E400" s="1229"/>
      <c r="F400" s="1230"/>
      <c r="S400" s="1328"/>
      <c r="T400" s="1286"/>
      <c r="U400" s="1328"/>
    </row>
    <row r="401" spans="1:21" s="1260" customFormat="1" x14ac:dyDescent="0.25">
      <c r="A401" s="1292" t="str">
        <f>IF(C401&gt;0,COUNT(C$132:C401),"")</f>
        <v/>
      </c>
      <c r="B401" s="1303" t="s">
        <v>2889</v>
      </c>
      <c r="C401" s="1227"/>
      <c r="D401" s="1284"/>
      <c r="E401" s="1229"/>
      <c r="F401" s="1290"/>
      <c r="G401" s="1259"/>
      <c r="S401" s="1285"/>
      <c r="T401" s="1286"/>
      <c r="U401" s="1285"/>
    </row>
    <row r="402" spans="1:21" s="1260" customFormat="1" x14ac:dyDescent="0.25">
      <c r="A402" s="1292" t="str">
        <f>IF(C402&gt;0,COUNT(C$132:C402),"")</f>
        <v/>
      </c>
      <c r="B402" s="1226"/>
      <c r="C402" s="1227"/>
      <c r="D402" s="1284"/>
      <c r="E402" s="1229"/>
      <c r="F402" s="1290"/>
      <c r="G402" s="1259"/>
      <c r="S402" s="1285"/>
      <c r="T402" s="1286"/>
      <c r="U402" s="1285"/>
    </row>
    <row r="403" spans="1:21" s="1260" customFormat="1" ht="76.2" customHeight="1" x14ac:dyDescent="0.25">
      <c r="A403" s="1292">
        <f>IF(C403&gt;0,COUNT(C$132:C403),"")</f>
        <v>63</v>
      </c>
      <c r="B403" s="1226" t="s">
        <v>2661</v>
      </c>
      <c r="C403" s="1227">
        <v>22</v>
      </c>
      <c r="D403" s="1284" t="s">
        <v>1314</v>
      </c>
      <c r="E403" s="1229">
        <f>E379</f>
        <v>14500</v>
      </c>
      <c r="F403" s="1230">
        <f>E403*C403</f>
        <v>319000</v>
      </c>
      <c r="G403" s="1259"/>
      <c r="S403" s="1285"/>
      <c r="T403" s="1286"/>
      <c r="U403" s="1285"/>
    </row>
    <row r="404" spans="1:21" x14ac:dyDescent="0.25">
      <c r="A404" s="1292" t="str">
        <f>IF(C404&gt;0,COUNT(C$132:C404),"")</f>
        <v/>
      </c>
      <c r="B404" s="1226"/>
      <c r="C404" s="1227"/>
      <c r="D404" s="1284"/>
      <c r="E404" s="1229"/>
      <c r="F404" s="1230"/>
      <c r="S404" s="1328"/>
      <c r="T404" s="1286"/>
      <c r="U404" s="1328"/>
    </row>
    <row r="405" spans="1:21" s="1260" customFormat="1" x14ac:dyDescent="0.25">
      <c r="A405" s="1292" t="str">
        <f>IF(C405&gt;0,COUNT(C$132:C405),"")</f>
        <v/>
      </c>
      <c r="B405" s="1303" t="s">
        <v>2890</v>
      </c>
      <c r="C405" s="1227"/>
      <c r="D405" s="1284"/>
      <c r="E405" s="1229"/>
      <c r="F405" s="1290"/>
      <c r="G405" s="1259"/>
      <c r="S405" s="1285"/>
      <c r="T405" s="1286"/>
      <c r="U405" s="1285"/>
    </row>
    <row r="406" spans="1:21" s="1260" customFormat="1" x14ac:dyDescent="0.25">
      <c r="A406" s="1292" t="str">
        <f>IF(C406&gt;0,COUNT(C$132:C406),"")</f>
        <v/>
      </c>
      <c r="B406" s="1226"/>
      <c r="C406" s="1227"/>
      <c r="D406" s="1284"/>
      <c r="E406" s="1229"/>
      <c r="F406" s="1290"/>
      <c r="G406" s="1259"/>
      <c r="S406" s="1285"/>
      <c r="T406" s="1286"/>
      <c r="U406" s="1285"/>
    </row>
    <row r="407" spans="1:21" s="1260" customFormat="1" ht="74.400000000000006" customHeight="1" x14ac:dyDescent="0.25">
      <c r="A407" s="1292">
        <f>IF(C407&gt;0,COUNT(C$132:C407),"")</f>
        <v>64</v>
      </c>
      <c r="B407" s="1226" t="s">
        <v>2874</v>
      </c>
      <c r="C407" s="1227">
        <v>33</v>
      </c>
      <c r="D407" s="1284" t="s">
        <v>1314</v>
      </c>
      <c r="E407" s="1229">
        <f>E403</f>
        <v>14500</v>
      </c>
      <c r="F407" s="1230">
        <f>E407*C407</f>
        <v>478500</v>
      </c>
      <c r="G407" s="1259"/>
      <c r="S407" s="1285"/>
      <c r="T407" s="1286"/>
      <c r="U407" s="1285"/>
    </row>
    <row r="408" spans="1:21" s="1260" customFormat="1" x14ac:dyDescent="0.25">
      <c r="A408" s="1292" t="str">
        <f>IF(C408&gt;0,COUNT(C$132:C408),"")</f>
        <v/>
      </c>
      <c r="B408" s="1226"/>
      <c r="C408" s="1227"/>
      <c r="D408" s="1284"/>
      <c r="E408" s="1229"/>
      <c r="F408" s="1290"/>
      <c r="G408" s="1259"/>
      <c r="S408" s="1285"/>
      <c r="T408" s="1286"/>
      <c r="U408" s="1285"/>
    </row>
    <row r="409" spans="1:21" s="1260" customFormat="1" ht="76.8" customHeight="1" x14ac:dyDescent="0.25">
      <c r="A409" s="1292">
        <f>IF(C409&gt;0,COUNT(C$132:C409),"")</f>
        <v>65</v>
      </c>
      <c r="B409" s="1226" t="s">
        <v>2661</v>
      </c>
      <c r="C409" s="1227">
        <v>6</v>
      </c>
      <c r="D409" s="1284" t="s">
        <v>1314</v>
      </c>
      <c r="E409" s="1229">
        <f>E407</f>
        <v>14500</v>
      </c>
      <c r="F409" s="1230">
        <f>E409*C409</f>
        <v>87000</v>
      </c>
      <c r="G409" s="1259"/>
      <c r="S409" s="1285"/>
      <c r="T409" s="1286"/>
      <c r="U409" s="1285"/>
    </row>
    <row r="410" spans="1:21" x14ac:dyDescent="0.25">
      <c r="A410" s="1292" t="str">
        <f>IF(C410&gt;0,COUNT(C$132:C410),"")</f>
        <v/>
      </c>
      <c r="B410" s="1226"/>
      <c r="C410" s="1231"/>
      <c r="D410" s="1232"/>
      <c r="E410" s="1232"/>
      <c r="F410" s="1232"/>
      <c r="S410" s="1328"/>
      <c r="T410" s="1286"/>
      <c r="U410" s="1328"/>
    </row>
    <row r="411" spans="1:21" ht="72.599999999999994" customHeight="1" x14ac:dyDescent="0.25">
      <c r="A411" s="1292">
        <f>IF(C411&gt;0,COUNT(C$132:C411),"")</f>
        <v>66</v>
      </c>
      <c r="B411" s="1226" t="s">
        <v>2891</v>
      </c>
      <c r="C411" s="1227">
        <v>21</v>
      </c>
      <c r="D411" s="1284" t="s">
        <v>1314</v>
      </c>
      <c r="E411" s="1229">
        <f>E381</f>
        <v>14500</v>
      </c>
      <c r="F411" s="1230">
        <f>E411*C411</f>
        <v>304500</v>
      </c>
      <c r="S411" s="1328"/>
      <c r="T411" s="1286"/>
      <c r="U411" s="1328"/>
    </row>
    <row r="412" spans="1:21" x14ac:dyDescent="0.25">
      <c r="A412" s="1292" t="str">
        <f>IF(C412&gt;0,COUNT(C$132:C412),"")</f>
        <v/>
      </c>
      <c r="B412" s="1226"/>
      <c r="C412" s="1227"/>
      <c r="D412" s="1284"/>
      <c r="E412" s="1229"/>
      <c r="F412" s="1290"/>
      <c r="S412" s="1328"/>
      <c r="T412" s="1286"/>
      <c r="U412" s="1328"/>
    </row>
    <row r="413" spans="1:21" ht="76.2" customHeight="1" x14ac:dyDescent="0.25">
      <c r="A413" s="1292">
        <f>IF(C413&gt;0,COUNT(C$132:C413),"")</f>
        <v>67</v>
      </c>
      <c r="B413" s="1226" t="s">
        <v>2892</v>
      </c>
      <c r="C413" s="1227">
        <v>1</v>
      </c>
      <c r="D413" s="1284" t="s">
        <v>1314</v>
      </c>
      <c r="E413" s="1229">
        <f>E383</f>
        <v>14500</v>
      </c>
      <c r="F413" s="1230">
        <f>E413*C413</f>
        <v>14500</v>
      </c>
      <c r="S413" s="1328"/>
      <c r="T413" s="1286"/>
      <c r="U413" s="1328"/>
    </row>
    <row r="414" spans="1:21" x14ac:dyDescent="0.25">
      <c r="A414" s="1292" t="str">
        <f>IF(C414&gt;0,COUNT(C$132:C414),"")</f>
        <v/>
      </c>
      <c r="B414" s="1226"/>
      <c r="C414" s="1231"/>
      <c r="D414" s="1232"/>
      <c r="E414" s="1232"/>
      <c r="F414" s="1232"/>
      <c r="S414" s="1328"/>
      <c r="T414" s="1286"/>
      <c r="U414" s="1328"/>
    </row>
    <row r="415" spans="1:21" ht="76.2" customHeight="1" x14ac:dyDescent="0.25">
      <c r="A415" s="1292">
        <f>IF(C415&gt;0,COUNT(C$132:C415),"")</f>
        <v>68</v>
      </c>
      <c r="B415" s="1226" t="s">
        <v>2893</v>
      </c>
      <c r="C415" s="1227">
        <v>16</v>
      </c>
      <c r="D415" s="1284" t="s">
        <v>1314</v>
      </c>
      <c r="E415" s="1229">
        <f>E413</f>
        <v>14500</v>
      </c>
      <c r="F415" s="1230">
        <f>E415*C415</f>
        <v>232000</v>
      </c>
      <c r="S415" s="1328"/>
      <c r="T415" s="1286"/>
      <c r="U415" s="1328"/>
    </row>
    <row r="416" spans="1:21" x14ac:dyDescent="0.25">
      <c r="A416" s="1292" t="str">
        <f>IF(C416&gt;0,COUNT(C$132:C416),"")</f>
        <v/>
      </c>
      <c r="B416" s="1226"/>
      <c r="C416" s="1227"/>
      <c r="D416" s="1284"/>
      <c r="E416" s="1229"/>
      <c r="F416" s="1230"/>
      <c r="S416" s="1328"/>
      <c r="T416" s="1286"/>
      <c r="U416" s="1328"/>
    </row>
    <row r="417" spans="1:21" ht="46.8" customHeight="1" x14ac:dyDescent="0.25">
      <c r="A417" s="1292">
        <f>IF(C417&gt;0,COUNT(C$132:C417),"")</f>
        <v>69</v>
      </c>
      <c r="B417" s="1226" t="s">
        <v>2894</v>
      </c>
      <c r="C417" s="1227">
        <f>C411+C413+C415</f>
        <v>38</v>
      </c>
      <c r="D417" s="1284" t="s">
        <v>1314</v>
      </c>
      <c r="E417" s="1229">
        <v>1850</v>
      </c>
      <c r="F417" s="1230">
        <f>E417*C417</f>
        <v>70300</v>
      </c>
      <c r="S417" s="1328"/>
      <c r="T417" s="1286"/>
      <c r="U417" s="1328"/>
    </row>
    <row r="418" spans="1:21" x14ac:dyDescent="0.25">
      <c r="A418" s="1292" t="str">
        <f>IF(C418&gt;0,COUNT(C$132:C418),"")</f>
        <v/>
      </c>
      <c r="B418" s="1226"/>
      <c r="C418" s="1227"/>
      <c r="D418" s="1284"/>
      <c r="E418" s="1229"/>
      <c r="F418" s="1230"/>
      <c r="S418" s="1328"/>
      <c r="T418" s="1286"/>
      <c r="U418" s="1328"/>
    </row>
    <row r="419" spans="1:21" ht="60" customHeight="1" x14ac:dyDescent="0.25">
      <c r="A419" s="1292" t="str">
        <f>IF(C419&gt;0,COUNT(C$132:C419),"")</f>
        <v/>
      </c>
      <c r="B419" s="1226" t="s">
        <v>2895</v>
      </c>
      <c r="C419" s="1227"/>
      <c r="D419" s="1284"/>
      <c r="E419" s="1229"/>
      <c r="F419" s="1230">
        <f>E419*C419</f>
        <v>0</v>
      </c>
      <c r="S419" s="1328"/>
      <c r="T419" s="1286"/>
      <c r="U419" s="1328"/>
    </row>
    <row r="420" spans="1:21" x14ac:dyDescent="0.25">
      <c r="A420" s="1292"/>
      <c r="B420" s="1226"/>
      <c r="C420" s="1227"/>
      <c r="D420" s="1284"/>
      <c r="E420" s="1229"/>
      <c r="F420" s="1230"/>
      <c r="S420" s="1328"/>
      <c r="T420" s="1286"/>
      <c r="U420" s="1328"/>
    </row>
    <row r="421" spans="1:21" ht="46.2" customHeight="1" x14ac:dyDescent="0.25">
      <c r="A421" s="1292" t="str">
        <f>IF(C421&gt;0,COUNT(C$132:C421),"")</f>
        <v/>
      </c>
      <c r="B421" s="1300" t="s">
        <v>2896</v>
      </c>
      <c r="C421" s="1227"/>
      <c r="D421" s="1284"/>
      <c r="E421" s="1229"/>
      <c r="F421" s="1230"/>
      <c r="S421" s="1328"/>
      <c r="T421" s="1286"/>
      <c r="U421" s="1328"/>
    </row>
    <row r="422" spans="1:21" x14ac:dyDescent="0.25">
      <c r="A422" s="1292"/>
      <c r="B422" s="1226"/>
      <c r="C422" s="1227"/>
      <c r="D422" s="1284"/>
      <c r="E422" s="1229"/>
      <c r="F422" s="1230"/>
      <c r="S422" s="1328"/>
      <c r="T422" s="1286"/>
      <c r="U422" s="1328"/>
    </row>
    <row r="423" spans="1:21" ht="46.8" customHeight="1" x14ac:dyDescent="0.25">
      <c r="A423" s="1292" t="str">
        <f>IF(C423&gt;0,COUNT(C$132:C423),"")</f>
        <v/>
      </c>
      <c r="B423" s="1226" t="s">
        <v>2897</v>
      </c>
      <c r="C423" s="1227"/>
      <c r="D423" s="1284"/>
      <c r="E423" s="1229"/>
      <c r="F423" s="1230"/>
      <c r="S423" s="1328"/>
      <c r="T423" s="1286"/>
      <c r="U423" s="1328"/>
    </row>
    <row r="424" spans="1:21" x14ac:dyDescent="0.25">
      <c r="A424" s="1678"/>
      <c r="B424" s="1238"/>
      <c r="C424" s="1668"/>
      <c r="D424" s="1669"/>
      <c r="E424" s="1602"/>
      <c r="F424" s="1603"/>
      <c r="S424" s="1328"/>
      <c r="T424" s="1286"/>
      <c r="U424" s="1328"/>
    </row>
    <row r="425" spans="1:21" ht="45" customHeight="1" x14ac:dyDescent="0.25">
      <c r="A425" s="1680" t="str">
        <f>IF(C425&gt;0,COUNT(C$132:C425),"")</f>
        <v/>
      </c>
      <c r="B425" s="1686" t="s">
        <v>2898</v>
      </c>
      <c r="C425" s="1672"/>
      <c r="D425" s="1673"/>
      <c r="E425" s="1664"/>
      <c r="F425" s="1665">
        <f>E425*C425</f>
        <v>0</v>
      </c>
      <c r="S425" s="1328"/>
      <c r="T425" s="1286"/>
      <c r="U425" s="1328"/>
    </row>
    <row r="426" spans="1:21" x14ac:dyDescent="0.25">
      <c r="A426" s="1292"/>
      <c r="B426" s="1226"/>
      <c r="C426" s="1227"/>
      <c r="D426" s="1284"/>
      <c r="E426" s="1229"/>
      <c r="F426" s="1230"/>
      <c r="S426" s="1328"/>
      <c r="T426" s="1286"/>
      <c r="U426" s="1328"/>
    </row>
    <row r="427" spans="1:21" x14ac:dyDescent="0.25">
      <c r="A427" s="1292"/>
      <c r="B427" s="396" t="s">
        <v>1203</v>
      </c>
      <c r="C427" s="1379"/>
      <c r="D427" s="1380"/>
      <c r="E427" s="1381"/>
      <c r="F427" s="1380"/>
      <c r="S427" s="1328"/>
      <c r="T427" s="1286"/>
      <c r="U427" s="1328"/>
    </row>
    <row r="428" spans="1:21" ht="48" customHeight="1" x14ac:dyDescent="0.25">
      <c r="A428" s="1292"/>
      <c r="B428" s="1226" t="s">
        <v>2657</v>
      </c>
      <c r="C428" s="1379">
        <v>62</v>
      </c>
      <c r="D428" s="1228" t="s">
        <v>1314</v>
      </c>
      <c r="E428" s="1229">
        <v>1950</v>
      </c>
      <c r="F428" s="1230">
        <f>E428*C428</f>
        <v>120900</v>
      </c>
      <c r="S428" s="1328"/>
      <c r="T428" s="1286"/>
      <c r="U428" s="1328"/>
    </row>
    <row r="429" spans="1:21" x14ac:dyDescent="0.25">
      <c r="A429" s="1292"/>
      <c r="B429" s="368"/>
      <c r="C429" s="1379"/>
      <c r="D429" s="1380"/>
      <c r="E429" s="1381"/>
      <c r="F429" s="1380"/>
      <c r="S429" s="1328"/>
      <c r="T429" s="1286"/>
      <c r="U429" s="1328"/>
    </row>
    <row r="430" spans="1:21" ht="27.6" x14ac:dyDescent="0.25">
      <c r="A430" s="1292"/>
      <c r="B430" s="368" t="s">
        <v>2664</v>
      </c>
      <c r="C430" s="1379">
        <v>16</v>
      </c>
      <c r="D430" s="1380" t="s">
        <v>168</v>
      </c>
      <c r="E430" s="1381">
        <f>(5000)*1.45</f>
        <v>7250</v>
      </c>
      <c r="F430" s="1380">
        <f>E430*C430</f>
        <v>116000</v>
      </c>
      <c r="S430" s="1328"/>
      <c r="T430" s="1286"/>
      <c r="U430" s="1328"/>
    </row>
    <row r="431" spans="1:21" x14ac:dyDescent="0.25">
      <c r="A431" s="1292"/>
      <c r="B431" s="396"/>
      <c r="C431" s="1379"/>
      <c r="D431" s="1380"/>
      <c r="E431" s="1381"/>
      <c r="F431" s="1380"/>
      <c r="S431" s="1328"/>
      <c r="T431" s="1286"/>
      <c r="U431" s="1328"/>
    </row>
    <row r="432" spans="1:21" ht="27.6" x14ac:dyDescent="0.25">
      <c r="A432" s="1292"/>
      <c r="B432" s="368" t="s">
        <v>2659</v>
      </c>
      <c r="C432" s="1379">
        <v>1</v>
      </c>
      <c r="D432" s="1380" t="s">
        <v>78</v>
      </c>
      <c r="E432" s="1381">
        <f>(5000)*1.45</f>
        <v>7250</v>
      </c>
      <c r="F432" s="1380">
        <f>E432*C432</f>
        <v>7250</v>
      </c>
      <c r="S432" s="1328"/>
      <c r="T432" s="1286"/>
      <c r="U432" s="1328"/>
    </row>
    <row r="433" spans="1:23" x14ac:dyDescent="0.25">
      <c r="A433" s="1292"/>
      <c r="B433" s="396"/>
      <c r="C433" s="1379"/>
      <c r="D433" s="1380"/>
      <c r="E433" s="1381"/>
      <c r="F433" s="1380"/>
      <c r="S433" s="1328"/>
      <c r="T433" s="1286"/>
      <c r="U433" s="1328"/>
    </row>
    <row r="434" spans="1:23" x14ac:dyDescent="0.25">
      <c r="A434" s="1292"/>
      <c r="B434" s="368" t="s">
        <v>2668</v>
      </c>
      <c r="C434" s="1379">
        <v>40</v>
      </c>
      <c r="D434" s="1380" t="s">
        <v>78</v>
      </c>
      <c r="E434" s="1381">
        <f>(5500)*1.45</f>
        <v>7975</v>
      </c>
      <c r="F434" s="1380">
        <f>E434*C434</f>
        <v>319000</v>
      </c>
      <c r="S434" s="1328"/>
      <c r="T434" s="1286"/>
      <c r="U434" s="1328"/>
    </row>
    <row r="435" spans="1:23" x14ac:dyDescent="0.25">
      <c r="A435" s="1292" t="str">
        <f>IF(C435&gt;0,COUNT(C$132:C435),"")</f>
        <v/>
      </c>
      <c r="B435" s="1226"/>
      <c r="C435" s="1227"/>
      <c r="D435" s="1284"/>
      <c r="E435" s="1229"/>
      <c r="F435" s="1230"/>
      <c r="S435" s="1328"/>
      <c r="T435" s="1286"/>
      <c r="U435" s="1328"/>
    </row>
    <row r="436" spans="1:23" s="1260" customFormat="1" x14ac:dyDescent="0.25">
      <c r="A436" s="1292" t="str">
        <f>IF(C436&gt;0,COUNT(C$132:C436),"")</f>
        <v/>
      </c>
      <c r="B436" s="1303" t="s">
        <v>2899</v>
      </c>
      <c r="C436" s="1227"/>
      <c r="D436" s="1284"/>
      <c r="E436" s="1229"/>
      <c r="F436" s="1290"/>
      <c r="G436" s="1259"/>
      <c r="S436" s="1285"/>
      <c r="T436" s="1286"/>
      <c r="U436" s="1285"/>
    </row>
    <row r="437" spans="1:23" s="1260" customFormat="1" x14ac:dyDescent="0.25">
      <c r="A437" s="1292" t="str">
        <f>IF(C437&gt;0,COUNT(C$132:C437),"")</f>
        <v/>
      </c>
      <c r="B437" s="1226"/>
      <c r="C437" s="1227"/>
      <c r="D437" s="1284"/>
      <c r="E437" s="1229"/>
      <c r="F437" s="1290"/>
      <c r="G437" s="1259"/>
      <c r="S437" s="1285"/>
      <c r="T437" s="1286"/>
      <c r="U437" s="1285"/>
    </row>
    <row r="438" spans="1:23" s="1260" customFormat="1" ht="76.2" customHeight="1" x14ac:dyDescent="0.25">
      <c r="A438" s="1292">
        <f>IF(C438&gt;0,COUNT(C$132:C438),"")</f>
        <v>74</v>
      </c>
      <c r="B438" s="1226" t="s">
        <v>2661</v>
      </c>
      <c r="C438" s="1227">
        <v>20</v>
      </c>
      <c r="D438" s="1284" t="s">
        <v>1314</v>
      </c>
      <c r="E438" s="1229">
        <f>E409</f>
        <v>14500</v>
      </c>
      <c r="F438" s="1230">
        <f>E438*C438</f>
        <v>290000</v>
      </c>
      <c r="G438" s="1259"/>
      <c r="S438" s="1285"/>
      <c r="T438" s="1286"/>
      <c r="U438" s="1285"/>
    </row>
    <row r="439" spans="1:23" s="1260" customFormat="1" x14ac:dyDescent="0.25">
      <c r="A439" s="1292" t="str">
        <f>IF(C439&gt;0,COUNT(C$132:C439),"")</f>
        <v/>
      </c>
      <c r="B439" s="1226"/>
      <c r="C439" s="1227"/>
      <c r="D439" s="1284"/>
      <c r="E439" s="1229"/>
      <c r="F439" s="1290"/>
      <c r="U439" s="1285"/>
      <c r="V439" s="1286"/>
      <c r="W439" s="1285"/>
    </row>
    <row r="440" spans="1:23" s="1260" customFormat="1" x14ac:dyDescent="0.25">
      <c r="A440" s="1292" t="str">
        <f>IF(C440&gt;0,COUNT(C$132:C440),"")</f>
        <v/>
      </c>
      <c r="B440" s="1303" t="s">
        <v>2900</v>
      </c>
      <c r="C440" s="1227"/>
      <c r="D440" s="1284"/>
      <c r="E440" s="1229"/>
      <c r="F440" s="1290"/>
      <c r="G440" s="1259"/>
      <c r="S440" s="1285"/>
      <c r="T440" s="1286"/>
      <c r="U440" s="1285"/>
    </row>
    <row r="441" spans="1:23" s="1260" customFormat="1" x14ac:dyDescent="0.25">
      <c r="A441" s="1292" t="str">
        <f>IF(C441&gt;0,COUNT(C$132:C441),"")</f>
        <v/>
      </c>
      <c r="B441" s="1226"/>
      <c r="C441" s="1227"/>
      <c r="D441" s="1284"/>
      <c r="E441" s="1229"/>
      <c r="F441" s="1290"/>
      <c r="G441" s="1259"/>
      <c r="S441" s="1285"/>
      <c r="T441" s="1286"/>
      <c r="U441" s="1285"/>
    </row>
    <row r="442" spans="1:23" s="1260" customFormat="1" ht="78" customHeight="1" x14ac:dyDescent="0.25">
      <c r="A442" s="1292">
        <f>IF(C442&gt;0,COUNT(C$132:C442),"")</f>
        <v>75</v>
      </c>
      <c r="B442" s="1226" t="s">
        <v>2874</v>
      </c>
      <c r="C442" s="1227">
        <v>36</v>
      </c>
      <c r="D442" s="1284" t="s">
        <v>1314</v>
      </c>
      <c r="E442" s="1229">
        <f>E438</f>
        <v>14500</v>
      </c>
      <c r="F442" s="1230">
        <f>E442*C442</f>
        <v>522000</v>
      </c>
      <c r="G442" s="1259"/>
      <c r="S442" s="1285"/>
      <c r="T442" s="1286"/>
      <c r="U442" s="1285"/>
    </row>
    <row r="443" spans="1:23" s="1260" customFormat="1" x14ac:dyDescent="0.25">
      <c r="A443" s="1292" t="str">
        <f>IF(C443&gt;0,COUNT(C$132:C443),"")</f>
        <v/>
      </c>
      <c r="B443" s="1226"/>
      <c r="C443" s="1227"/>
      <c r="D443" s="1284"/>
      <c r="E443" s="1229"/>
      <c r="F443" s="1290"/>
      <c r="G443" s="1259"/>
      <c r="S443" s="1285"/>
      <c r="T443" s="1286"/>
      <c r="U443" s="1285"/>
    </row>
    <row r="444" spans="1:23" s="1260" customFormat="1" ht="76.2" customHeight="1" x14ac:dyDescent="0.25">
      <c r="A444" s="1292">
        <f>IF(C444&gt;0,COUNT(C$132:C444),"")</f>
        <v>76</v>
      </c>
      <c r="B444" s="1226" t="s">
        <v>2661</v>
      </c>
      <c r="C444" s="1227">
        <v>8</v>
      </c>
      <c r="D444" s="1284" t="s">
        <v>1314</v>
      </c>
      <c r="E444" s="1229">
        <f>E442</f>
        <v>14500</v>
      </c>
      <c r="F444" s="1230">
        <f>E444*C444</f>
        <v>116000</v>
      </c>
      <c r="G444" s="1259"/>
      <c r="S444" s="1285"/>
      <c r="T444" s="1286"/>
      <c r="U444" s="1285"/>
    </row>
    <row r="445" spans="1:23" x14ac:dyDescent="0.25">
      <c r="A445" s="1292" t="str">
        <f>IF(C445&gt;0,COUNT(C$132:C445),"")</f>
        <v/>
      </c>
      <c r="B445" s="1226"/>
      <c r="C445" s="1231"/>
      <c r="D445" s="1232"/>
      <c r="E445" s="1232"/>
      <c r="F445" s="1232"/>
      <c r="S445" s="1328"/>
      <c r="T445" s="1286"/>
      <c r="U445" s="1328"/>
    </row>
    <row r="446" spans="1:23" ht="80.400000000000006" customHeight="1" x14ac:dyDescent="0.25">
      <c r="A446" s="1292">
        <f>IF(C446&gt;0,COUNT(C$132:C446),"")</f>
        <v>77</v>
      </c>
      <c r="B446" s="1226" t="s">
        <v>2885</v>
      </c>
      <c r="C446" s="1227">
        <v>52</v>
      </c>
      <c r="D446" s="1284" t="s">
        <v>1314</v>
      </c>
      <c r="E446" s="1229">
        <f>E411</f>
        <v>14500</v>
      </c>
      <c r="F446" s="1230">
        <f>E446*C446</f>
        <v>754000</v>
      </c>
      <c r="S446" s="1328"/>
      <c r="T446" s="1286"/>
      <c r="U446" s="1328"/>
    </row>
    <row r="447" spans="1:23" x14ac:dyDescent="0.25">
      <c r="A447" s="1292" t="str">
        <f>IF(C447&gt;0,COUNT(C$132:C447),"")</f>
        <v/>
      </c>
      <c r="B447" s="1226"/>
      <c r="C447" s="1227"/>
      <c r="D447" s="1284"/>
      <c r="E447" s="1229"/>
      <c r="F447" s="1290"/>
      <c r="S447" s="1328"/>
      <c r="T447" s="1286"/>
      <c r="U447" s="1328"/>
    </row>
    <row r="448" spans="1:23" ht="75.599999999999994" customHeight="1" x14ac:dyDescent="0.25">
      <c r="A448" s="1292">
        <f>IF(C448&gt;0,COUNT(C$132:C448),"")</f>
        <v>78</v>
      </c>
      <c r="B448" s="1226" t="s">
        <v>2892</v>
      </c>
      <c r="C448" s="1227">
        <v>1</v>
      </c>
      <c r="D448" s="1284" t="s">
        <v>1314</v>
      </c>
      <c r="E448" s="1869">
        <f>E413</f>
        <v>14500</v>
      </c>
      <c r="F448" s="1230">
        <f>E448*C448</f>
        <v>14500</v>
      </c>
      <c r="S448" s="1328"/>
      <c r="T448" s="1286"/>
      <c r="U448" s="1328"/>
    </row>
    <row r="449" spans="1:21" x14ac:dyDescent="0.25">
      <c r="A449" s="1292" t="str">
        <f>IF(C449&gt;0,COUNT(C$132:C449),"")</f>
        <v/>
      </c>
      <c r="B449" s="1226"/>
      <c r="C449" s="1227"/>
      <c r="D449" s="1284"/>
      <c r="E449" s="1229"/>
      <c r="F449" s="1230"/>
      <c r="S449" s="1328"/>
      <c r="T449" s="1286"/>
      <c r="U449" s="1328"/>
    </row>
    <row r="450" spans="1:21" ht="48.6" customHeight="1" x14ac:dyDescent="0.25">
      <c r="A450" s="1292">
        <f>IF(C450&gt;0,COUNT(C$132:C450),"")</f>
        <v>79</v>
      </c>
      <c r="B450" s="1226" t="s">
        <v>2886</v>
      </c>
      <c r="C450" s="1227">
        <f>C446</f>
        <v>52</v>
      </c>
      <c r="D450" s="1284" t="s">
        <v>1314</v>
      </c>
      <c r="E450" s="1229">
        <v>1800</v>
      </c>
      <c r="F450" s="1230">
        <f>E450*C450</f>
        <v>93600</v>
      </c>
      <c r="S450" s="1328"/>
      <c r="T450" s="1286"/>
      <c r="U450" s="1328"/>
    </row>
    <row r="451" spans="1:21" x14ac:dyDescent="0.25">
      <c r="A451" s="1292" t="str">
        <f>IF(C451&gt;0,COUNT(C$132:C451),"")</f>
        <v/>
      </c>
      <c r="B451" s="1226"/>
      <c r="C451" s="1227"/>
      <c r="D451" s="1284"/>
      <c r="E451" s="1229"/>
      <c r="F451" s="1230"/>
      <c r="S451" s="1328"/>
      <c r="T451" s="1286"/>
      <c r="U451" s="1328"/>
    </row>
    <row r="452" spans="1:21" ht="41.4" x14ac:dyDescent="0.25">
      <c r="A452" s="1292" t="str">
        <f>IF(C452&gt;0,COUNT(C$132:C452),"")</f>
        <v/>
      </c>
      <c r="B452" s="1226" t="s">
        <v>2901</v>
      </c>
      <c r="C452" s="1227"/>
      <c r="D452" s="1284"/>
      <c r="E452" s="1229"/>
      <c r="F452" s="1230"/>
      <c r="S452" s="1328"/>
      <c r="T452" s="1286"/>
      <c r="U452" s="1328"/>
    </row>
    <row r="453" spans="1:21" x14ac:dyDescent="0.25">
      <c r="A453" s="1292" t="str">
        <f>IF(C453&gt;0,COUNT(C$132:C453),"")</f>
        <v/>
      </c>
      <c r="B453" s="1226"/>
      <c r="C453" s="1227"/>
      <c r="D453" s="1284"/>
      <c r="E453" s="1229"/>
      <c r="F453" s="1230"/>
      <c r="S453" s="1328"/>
      <c r="T453" s="1286"/>
      <c r="U453" s="1328"/>
    </row>
    <row r="454" spans="1:21" ht="41.4" x14ac:dyDescent="0.25">
      <c r="A454" s="1292" t="str">
        <f>IF(C454&gt;0,COUNT(C$132:C454),"")</f>
        <v/>
      </c>
      <c r="B454" s="1226" t="s">
        <v>2902</v>
      </c>
      <c r="C454" s="1227"/>
      <c r="D454" s="1284"/>
      <c r="E454" s="1229"/>
      <c r="F454" s="1230"/>
      <c r="S454" s="1328"/>
      <c r="T454" s="1286"/>
      <c r="U454" s="1328"/>
    </row>
    <row r="455" spans="1:21" x14ac:dyDescent="0.25">
      <c r="A455" s="1292"/>
      <c r="B455" s="1226"/>
      <c r="C455" s="1227"/>
      <c r="D455" s="1284"/>
      <c r="E455" s="1229"/>
      <c r="F455" s="1230"/>
      <c r="S455" s="1328"/>
      <c r="T455" s="1286"/>
      <c r="U455" s="1328"/>
    </row>
    <row r="456" spans="1:21" x14ac:dyDescent="0.25">
      <c r="A456" s="1292"/>
      <c r="B456" s="1226"/>
      <c r="C456" s="1227"/>
      <c r="D456" s="1284"/>
      <c r="E456" s="1229"/>
      <c r="F456" s="1230"/>
      <c r="S456" s="1328"/>
      <c r="T456" s="1286"/>
      <c r="U456" s="1328"/>
    </row>
    <row r="457" spans="1:21" x14ac:dyDescent="0.25">
      <c r="A457" s="1678" t="str">
        <f>IF(C457&gt;0,COUNT(C$132:C457),"")</f>
        <v/>
      </c>
      <c r="B457" s="1238"/>
      <c r="C457" s="1668"/>
      <c r="D457" s="1669"/>
      <c r="E457" s="1602"/>
      <c r="F457" s="1603"/>
      <c r="S457" s="1328"/>
      <c r="T457" s="1286"/>
      <c r="U457" s="1328"/>
    </row>
    <row r="458" spans="1:21" x14ac:dyDescent="0.25">
      <c r="A458" s="1680"/>
      <c r="B458" s="1046" t="s">
        <v>1203</v>
      </c>
      <c r="C458" s="1047"/>
      <c r="D458" s="719"/>
      <c r="E458" s="1224"/>
      <c r="F458" s="719"/>
      <c r="S458" s="1328"/>
      <c r="T458" s="1286"/>
      <c r="U458" s="1328"/>
    </row>
    <row r="459" spans="1:21" ht="48.6" customHeight="1" x14ac:dyDescent="0.25">
      <c r="A459" s="1292"/>
      <c r="B459" s="1226" t="s">
        <v>2662</v>
      </c>
      <c r="C459" s="1379">
        <v>77</v>
      </c>
      <c r="D459" s="1228" t="s">
        <v>1314</v>
      </c>
      <c r="E459" s="1229">
        <v>1950</v>
      </c>
      <c r="F459" s="1230">
        <f>E459*C459</f>
        <v>150150</v>
      </c>
      <c r="S459" s="1328"/>
      <c r="T459" s="1286"/>
      <c r="U459" s="1328"/>
    </row>
    <row r="460" spans="1:21" x14ac:dyDescent="0.25">
      <c r="A460" s="1292"/>
      <c r="B460" s="396"/>
      <c r="C460" s="1379"/>
      <c r="D460" s="1380"/>
      <c r="E460" s="1381"/>
      <c r="F460" s="1380"/>
      <c r="S460" s="1328"/>
      <c r="T460" s="1286"/>
      <c r="U460" s="1328"/>
    </row>
    <row r="461" spans="1:21" ht="27.6" x14ac:dyDescent="0.25">
      <c r="A461" s="1292"/>
      <c r="B461" s="368" t="s">
        <v>2664</v>
      </c>
      <c r="C461" s="1379">
        <v>32</v>
      </c>
      <c r="D461" s="1380" t="s">
        <v>168</v>
      </c>
      <c r="E461" s="1381">
        <f>(5000)*1.45</f>
        <v>7250</v>
      </c>
      <c r="F461" s="1380">
        <f>E461*C461</f>
        <v>232000</v>
      </c>
      <c r="S461" s="1328"/>
      <c r="T461" s="1286"/>
      <c r="U461" s="1328"/>
    </row>
    <row r="462" spans="1:21" x14ac:dyDescent="0.25">
      <c r="A462" s="1292"/>
      <c r="B462" s="396"/>
      <c r="C462" s="1379"/>
      <c r="D462" s="1380"/>
      <c r="E462" s="1381"/>
      <c r="F462" s="1380"/>
      <c r="S462" s="1328"/>
      <c r="T462" s="1286"/>
      <c r="U462" s="1328"/>
    </row>
    <row r="463" spans="1:21" ht="27.6" x14ac:dyDescent="0.25">
      <c r="A463" s="1292"/>
      <c r="B463" s="368" t="s">
        <v>2659</v>
      </c>
      <c r="C463" s="1379">
        <v>2</v>
      </c>
      <c r="D463" s="1380" t="s">
        <v>78</v>
      </c>
      <c r="E463" s="1381">
        <f>(5000)*1.45</f>
        <v>7250</v>
      </c>
      <c r="F463" s="1380">
        <f>E463*C463</f>
        <v>14500</v>
      </c>
      <c r="S463" s="1328"/>
      <c r="T463" s="1286"/>
      <c r="U463" s="1328"/>
    </row>
    <row r="464" spans="1:21" x14ac:dyDescent="0.25">
      <c r="A464" s="1292"/>
      <c r="B464" s="396"/>
      <c r="C464" s="1379"/>
      <c r="D464" s="1380"/>
      <c r="E464" s="1381"/>
      <c r="F464" s="1380"/>
      <c r="S464" s="1328"/>
      <c r="T464" s="1286"/>
      <c r="U464" s="1328"/>
    </row>
    <row r="465" spans="1:21" x14ac:dyDescent="0.25">
      <c r="A465" s="1292"/>
      <c r="B465" s="368" t="s">
        <v>2668</v>
      </c>
      <c r="C465" s="1379">
        <v>42</v>
      </c>
      <c r="D465" s="1380" t="s">
        <v>78</v>
      </c>
      <c r="E465" s="1381">
        <f>(5500)*1.45</f>
        <v>7975</v>
      </c>
      <c r="F465" s="1380">
        <f>E465*C465</f>
        <v>334950</v>
      </c>
      <c r="S465" s="1328"/>
      <c r="T465" s="1286"/>
      <c r="U465" s="1328"/>
    </row>
    <row r="466" spans="1:21" x14ac:dyDescent="0.25">
      <c r="A466" s="1292"/>
      <c r="B466" s="368"/>
      <c r="C466" s="1379"/>
      <c r="D466" s="1380"/>
      <c r="E466" s="1381"/>
      <c r="F466" s="1380"/>
      <c r="S466" s="1328"/>
      <c r="T466" s="1286"/>
      <c r="U466" s="1328"/>
    </row>
    <row r="467" spans="1:21" x14ac:dyDescent="0.25">
      <c r="A467" s="1292"/>
      <c r="B467" s="368" t="s">
        <v>2660</v>
      </c>
      <c r="C467" s="1379">
        <v>3</v>
      </c>
      <c r="D467" s="1380" t="s">
        <v>78</v>
      </c>
      <c r="E467" s="1381">
        <f>(2500)*1.45</f>
        <v>3625</v>
      </c>
      <c r="F467" s="1380">
        <f>E467*C467</f>
        <v>10875</v>
      </c>
      <c r="S467" s="1328"/>
      <c r="T467" s="1286"/>
      <c r="U467" s="1328"/>
    </row>
    <row r="468" spans="1:21" x14ac:dyDescent="0.25">
      <c r="A468" s="1292"/>
      <c r="B468" s="1226"/>
      <c r="C468" s="1227"/>
      <c r="D468" s="1284"/>
      <c r="E468" s="1229"/>
      <c r="F468" s="1230"/>
      <c r="S468" s="1328"/>
      <c r="T468" s="1286"/>
      <c r="U468" s="1328"/>
    </row>
    <row r="469" spans="1:21" s="1260" customFormat="1" x14ac:dyDescent="0.25">
      <c r="A469" s="1292" t="str">
        <f>IF(C469&gt;0,COUNT(C$132:C469),"")</f>
        <v/>
      </c>
      <c r="B469" s="1303" t="s">
        <v>2903</v>
      </c>
      <c r="C469" s="1227"/>
      <c r="D469" s="1284"/>
      <c r="E469" s="1229"/>
      <c r="F469" s="1290"/>
      <c r="G469" s="1259"/>
      <c r="S469" s="1285"/>
      <c r="T469" s="1286"/>
      <c r="U469" s="1285"/>
    </row>
    <row r="470" spans="1:21" s="1260" customFormat="1" x14ac:dyDescent="0.25">
      <c r="A470" s="1292" t="str">
        <f>IF(C470&gt;0,COUNT(C$132:C470),"")</f>
        <v/>
      </c>
      <c r="B470" s="1226"/>
      <c r="C470" s="1227"/>
      <c r="D470" s="1284"/>
      <c r="E470" s="1229"/>
      <c r="F470" s="1290"/>
      <c r="G470" s="1259"/>
      <c r="S470" s="1285"/>
      <c r="T470" s="1286"/>
      <c r="U470" s="1285"/>
    </row>
    <row r="471" spans="1:21" s="1260" customFormat="1" ht="73.8" customHeight="1" x14ac:dyDescent="0.25">
      <c r="A471" s="1292">
        <f>IF(C471&gt;0,COUNT(C$132:C471),"")</f>
        <v>85</v>
      </c>
      <c r="B471" s="1226" t="s">
        <v>2661</v>
      </c>
      <c r="C471" s="1227">
        <v>12</v>
      </c>
      <c r="D471" s="1284" t="s">
        <v>1314</v>
      </c>
      <c r="E471" s="1229">
        <f>E442</f>
        <v>14500</v>
      </c>
      <c r="F471" s="1230">
        <f>E471*C471</f>
        <v>174000</v>
      </c>
      <c r="G471" s="1259"/>
      <c r="S471" s="1285"/>
      <c r="T471" s="1286"/>
      <c r="U471" s="1285"/>
    </row>
    <row r="472" spans="1:21" x14ac:dyDescent="0.25">
      <c r="A472" s="1292" t="str">
        <f>IF(C472&gt;0,COUNT(C$132:C472),"")</f>
        <v/>
      </c>
      <c r="B472" s="1226"/>
      <c r="C472" s="1227"/>
      <c r="D472" s="1284"/>
      <c r="E472" s="1229"/>
      <c r="F472" s="1230"/>
      <c r="S472" s="1328"/>
      <c r="T472" s="1286"/>
      <c r="U472" s="1328"/>
    </row>
    <row r="473" spans="1:21" s="1260" customFormat="1" ht="27.6" x14ac:dyDescent="0.25">
      <c r="A473" s="1292" t="str">
        <f>IF(C473&gt;0,COUNT(C$132:C473),"")</f>
        <v/>
      </c>
      <c r="B473" s="1329" t="s">
        <v>2904</v>
      </c>
      <c r="C473" s="1227"/>
      <c r="D473" s="1284"/>
      <c r="E473" s="1229"/>
      <c r="F473" s="1290"/>
      <c r="G473" s="1259"/>
      <c r="S473" s="1285"/>
      <c r="T473" s="1286"/>
      <c r="U473" s="1285"/>
    </row>
    <row r="474" spans="1:21" s="1260" customFormat="1" x14ac:dyDescent="0.25">
      <c r="A474" s="1292" t="str">
        <f>IF(C474&gt;0,COUNT(C$132:C474),"")</f>
        <v/>
      </c>
      <c r="B474" s="1226"/>
      <c r="C474" s="1227"/>
      <c r="D474" s="1284"/>
      <c r="E474" s="1229"/>
      <c r="F474" s="1290"/>
      <c r="G474" s="1259"/>
      <c r="S474" s="1285"/>
      <c r="T474" s="1286"/>
      <c r="U474" s="1285"/>
    </row>
    <row r="475" spans="1:21" s="1260" customFormat="1" ht="76.2" customHeight="1" x14ac:dyDescent="0.25">
      <c r="A475" s="1292">
        <f>IF(C475&gt;0,COUNT(C$132:C475),"")</f>
        <v>86</v>
      </c>
      <c r="B475" s="1226" t="s">
        <v>2661</v>
      </c>
      <c r="C475" s="1227">
        <v>10</v>
      </c>
      <c r="D475" s="1284" t="s">
        <v>1314</v>
      </c>
      <c r="E475" s="1229">
        <f>E471</f>
        <v>14500</v>
      </c>
      <c r="F475" s="1230">
        <f>E475*C475</f>
        <v>145000</v>
      </c>
      <c r="G475" s="1259"/>
      <c r="S475" s="1285"/>
      <c r="T475" s="1286"/>
      <c r="U475" s="1285"/>
    </row>
    <row r="476" spans="1:21" x14ac:dyDescent="0.25">
      <c r="A476" s="1292" t="str">
        <f>IF(C476&gt;0,COUNT(C$132:C476),"")</f>
        <v/>
      </c>
      <c r="B476" s="1226"/>
      <c r="C476" s="1227"/>
      <c r="D476" s="1284"/>
      <c r="E476" s="1229"/>
      <c r="F476" s="1230"/>
      <c r="S476" s="1328"/>
      <c r="T476" s="1286"/>
      <c r="U476" s="1328"/>
    </row>
    <row r="477" spans="1:21" s="1260" customFormat="1" x14ac:dyDescent="0.25">
      <c r="A477" s="1292" t="str">
        <f>IF(C477&gt;0,COUNT(C$132:C477),"")</f>
        <v/>
      </c>
      <c r="B477" s="1303" t="s">
        <v>2905</v>
      </c>
      <c r="C477" s="1227"/>
      <c r="D477" s="1284"/>
      <c r="E477" s="1229"/>
      <c r="F477" s="1290"/>
      <c r="G477" s="1259"/>
      <c r="S477" s="1285"/>
      <c r="T477" s="1286"/>
      <c r="U477" s="1285"/>
    </row>
    <row r="478" spans="1:21" s="1260" customFormat="1" x14ac:dyDescent="0.25">
      <c r="A478" s="1292" t="str">
        <f>IF(C478&gt;0,COUNT(C$132:C478),"")</f>
        <v/>
      </c>
      <c r="B478" s="1226"/>
      <c r="C478" s="1227"/>
      <c r="D478" s="1284"/>
      <c r="E478" s="1229"/>
      <c r="F478" s="1290"/>
      <c r="G478" s="1259"/>
      <c r="S478" s="1285"/>
      <c r="T478" s="1286"/>
      <c r="U478" s="1285"/>
    </row>
    <row r="479" spans="1:21" s="1260" customFormat="1" ht="76.8" customHeight="1" x14ac:dyDescent="0.25">
      <c r="A479" s="1292">
        <f>IF(C479&gt;0,COUNT(C$132:C479),"")</f>
        <v>87</v>
      </c>
      <c r="B479" s="1226" t="s">
        <v>2874</v>
      </c>
      <c r="C479" s="1227">
        <v>13</v>
      </c>
      <c r="D479" s="1284" t="s">
        <v>1314</v>
      </c>
      <c r="E479" s="1229">
        <f>E475</f>
        <v>14500</v>
      </c>
      <c r="F479" s="1230">
        <f>E479*C479</f>
        <v>188500</v>
      </c>
      <c r="G479" s="1259"/>
      <c r="S479" s="1285"/>
      <c r="T479" s="1286"/>
      <c r="U479" s="1285"/>
    </row>
    <row r="480" spans="1:21" s="1260" customFormat="1" x14ac:dyDescent="0.25">
      <c r="A480" s="1292" t="str">
        <f>IF(C480&gt;0,COUNT(C$132:C480),"")</f>
        <v/>
      </c>
      <c r="B480" s="1226"/>
      <c r="C480" s="1227"/>
      <c r="D480" s="1284"/>
      <c r="E480" s="1229"/>
      <c r="F480" s="1290"/>
      <c r="G480" s="1259"/>
      <c r="S480" s="1285"/>
      <c r="T480" s="1286"/>
      <c r="U480" s="1285"/>
    </row>
    <row r="481" spans="1:21" s="1260" customFormat="1" ht="79.8" customHeight="1" x14ac:dyDescent="0.25">
      <c r="A481" s="1292">
        <f>IF(C481&gt;0,COUNT(C$132:C481),"")</f>
        <v>88</v>
      </c>
      <c r="B481" s="1226" t="s">
        <v>2661</v>
      </c>
      <c r="C481" s="1227">
        <v>2</v>
      </c>
      <c r="D481" s="1284" t="s">
        <v>1314</v>
      </c>
      <c r="E481" s="1229">
        <f>E479</f>
        <v>14500</v>
      </c>
      <c r="F481" s="1230">
        <f>E481*C481</f>
        <v>29000</v>
      </c>
      <c r="G481" s="1259"/>
      <c r="S481" s="1285"/>
      <c r="T481" s="1286"/>
      <c r="U481" s="1285"/>
    </row>
    <row r="482" spans="1:21" x14ac:dyDescent="0.25">
      <c r="A482" s="1292" t="str">
        <f>IF(C482&gt;0,COUNT(C$132:C482),"")</f>
        <v/>
      </c>
      <c r="B482" s="1226"/>
      <c r="C482" s="1227"/>
      <c r="D482" s="1284"/>
      <c r="E482" s="1229"/>
      <c r="F482" s="1290"/>
      <c r="S482" s="1328"/>
      <c r="T482" s="1286"/>
      <c r="U482" s="1328"/>
    </row>
    <row r="483" spans="1:21" ht="79.8" customHeight="1" x14ac:dyDescent="0.25">
      <c r="A483" s="1292">
        <f>IF(C483&gt;0,COUNT(C$132:C483),"")</f>
        <v>89</v>
      </c>
      <c r="B483" s="1226" t="s">
        <v>2877</v>
      </c>
      <c r="C483" s="1227">
        <v>26</v>
      </c>
      <c r="D483" s="1284" t="s">
        <v>1314</v>
      </c>
      <c r="E483" s="1229">
        <f>E446</f>
        <v>14500</v>
      </c>
      <c r="F483" s="1230">
        <f>E483*C483</f>
        <v>377000</v>
      </c>
      <c r="S483" s="1328"/>
      <c r="T483" s="1286"/>
      <c r="U483" s="1328"/>
    </row>
    <row r="484" spans="1:21" x14ac:dyDescent="0.25">
      <c r="A484" s="1292" t="str">
        <f>IF(C484&gt;0,COUNT(C$132:C484),"")</f>
        <v/>
      </c>
      <c r="B484" s="1226"/>
      <c r="C484" s="1227"/>
      <c r="D484" s="1284"/>
      <c r="E484" s="1229"/>
      <c r="F484" s="1290"/>
      <c r="S484" s="1328"/>
      <c r="T484" s="1286"/>
      <c r="U484" s="1328"/>
    </row>
    <row r="485" spans="1:21" ht="77.400000000000006" customHeight="1" x14ac:dyDescent="0.25">
      <c r="A485" s="1292">
        <f>IF(C485&gt;0,COUNT(C$132:C485),"")</f>
        <v>90</v>
      </c>
      <c r="B485" s="1226" t="s">
        <v>2878</v>
      </c>
      <c r="C485" s="1227">
        <v>1</v>
      </c>
      <c r="D485" s="1284" t="s">
        <v>1314</v>
      </c>
      <c r="E485" s="1229">
        <f>E448</f>
        <v>14500</v>
      </c>
      <c r="F485" s="1230">
        <f>E485*C485</f>
        <v>14500</v>
      </c>
      <c r="S485" s="1328"/>
      <c r="T485" s="1286"/>
      <c r="U485" s="1328"/>
    </row>
    <row r="486" spans="1:21" x14ac:dyDescent="0.25">
      <c r="A486" s="1292" t="str">
        <f>IF(C486&gt;0,COUNT(C$132:C486),"")</f>
        <v/>
      </c>
      <c r="B486" s="1226"/>
      <c r="C486" s="1227"/>
      <c r="D486" s="1284"/>
      <c r="E486" s="1229"/>
      <c r="F486" s="1290"/>
      <c r="S486" s="1328"/>
      <c r="T486" s="1286"/>
      <c r="U486" s="1328"/>
    </row>
    <row r="487" spans="1:21" ht="77.400000000000006" customHeight="1" x14ac:dyDescent="0.25">
      <c r="A487" s="1292">
        <f>IF(C487&gt;0,COUNT(C$132:C487),"")</f>
        <v>91</v>
      </c>
      <c r="B487" s="1226" t="s">
        <v>2879</v>
      </c>
      <c r="C487" s="1227">
        <v>7</v>
      </c>
      <c r="D487" s="1284" t="s">
        <v>1314</v>
      </c>
      <c r="E487" s="1229">
        <f>E415</f>
        <v>14500</v>
      </c>
      <c r="F487" s="1230">
        <f>E487*C487</f>
        <v>101500</v>
      </c>
      <c r="S487" s="1328"/>
      <c r="T487" s="1286"/>
      <c r="U487" s="1328"/>
    </row>
    <row r="488" spans="1:21" x14ac:dyDescent="0.25">
      <c r="A488" s="1678" t="str">
        <f>IF(C488&gt;0,COUNT(C$132:C488),"")</f>
        <v/>
      </c>
      <c r="B488" s="1238"/>
      <c r="C488" s="1668"/>
      <c r="D488" s="1669"/>
      <c r="E488" s="1602"/>
      <c r="F488" s="1603"/>
      <c r="S488" s="1328"/>
      <c r="T488" s="1286"/>
      <c r="U488" s="1328"/>
    </row>
    <row r="489" spans="1:21" ht="41.4" x14ac:dyDescent="0.25">
      <c r="A489" s="1680">
        <f>IF(C489&gt;0,COUNT(C$132:C489),"")</f>
        <v>92</v>
      </c>
      <c r="B489" s="1686" t="s">
        <v>2657</v>
      </c>
      <c r="C489" s="1672">
        <f>C485+C483</f>
        <v>27</v>
      </c>
      <c r="D489" s="1673" t="s">
        <v>1314</v>
      </c>
      <c r="E489" s="1664">
        <v>1200</v>
      </c>
      <c r="F489" s="1665">
        <f>E489*C489</f>
        <v>32400</v>
      </c>
      <c r="S489" s="1328"/>
      <c r="T489" s="1286"/>
      <c r="U489" s="1328"/>
    </row>
    <row r="490" spans="1:21" x14ac:dyDescent="0.25">
      <c r="A490" s="1292" t="str">
        <f>IF(C490&gt;0,COUNT(C$132:C490),"")</f>
        <v/>
      </c>
      <c r="B490" s="1226"/>
      <c r="C490" s="1227"/>
      <c r="D490" s="1284"/>
      <c r="E490" s="1229"/>
      <c r="F490" s="1230"/>
      <c r="S490" s="1328"/>
      <c r="T490" s="1286"/>
      <c r="U490" s="1328"/>
    </row>
    <row r="491" spans="1:21" ht="41.4" x14ac:dyDescent="0.25">
      <c r="A491" s="1292" t="str">
        <f>IF(C491&gt;0,COUNT(C$132:C491),"")</f>
        <v/>
      </c>
      <c r="B491" s="1226" t="s">
        <v>2880</v>
      </c>
      <c r="C491" s="1227"/>
      <c r="D491" s="1284"/>
      <c r="E491" s="1229"/>
      <c r="F491" s="1230">
        <f>E491*C491</f>
        <v>0</v>
      </c>
      <c r="S491" s="1328"/>
      <c r="T491" s="1286"/>
      <c r="U491" s="1328"/>
    </row>
    <row r="492" spans="1:21" x14ac:dyDescent="0.25">
      <c r="A492" s="1292" t="str">
        <f>IF(C492&gt;0,COUNT(C$132:C492),"")</f>
        <v/>
      </c>
      <c r="B492" s="1226"/>
      <c r="C492" s="1227"/>
      <c r="D492" s="1284"/>
      <c r="E492" s="1229"/>
      <c r="F492" s="1230"/>
      <c r="S492" s="1328"/>
      <c r="T492" s="1286"/>
      <c r="U492" s="1328"/>
    </row>
    <row r="493" spans="1:21" ht="41.4" x14ac:dyDescent="0.25">
      <c r="A493" s="1292" t="str">
        <f>IF(C493&gt;0,COUNT(C$132:C493),"")</f>
        <v/>
      </c>
      <c r="B493" s="1226" t="s">
        <v>2906</v>
      </c>
      <c r="C493" s="1227"/>
      <c r="D493" s="1284"/>
      <c r="E493" s="1229"/>
      <c r="F493" s="1230">
        <f>E493*C493</f>
        <v>0</v>
      </c>
      <c r="S493" s="1328"/>
      <c r="T493" s="1286"/>
      <c r="U493" s="1328"/>
    </row>
    <row r="494" spans="1:21" x14ac:dyDescent="0.25">
      <c r="A494" s="1292" t="str">
        <f>IF(C494&gt;0,COUNT(C$132:C494),"")</f>
        <v/>
      </c>
      <c r="B494" s="1226"/>
      <c r="C494" s="1227"/>
      <c r="D494" s="1284"/>
      <c r="E494" s="1229"/>
      <c r="F494" s="1230"/>
      <c r="S494" s="1328"/>
      <c r="T494" s="1286"/>
      <c r="U494" s="1328"/>
    </row>
    <row r="495" spans="1:21" ht="41.4" x14ac:dyDescent="0.25">
      <c r="A495" s="1292" t="str">
        <f>IF(C495&gt;0,COUNT(C$132:C495),"")</f>
        <v/>
      </c>
      <c r="B495" s="1226" t="s">
        <v>2907</v>
      </c>
      <c r="C495" s="1227"/>
      <c r="D495" s="1284"/>
      <c r="E495" s="1229"/>
      <c r="F495" s="1230">
        <f>E495*C495</f>
        <v>0</v>
      </c>
      <c r="S495" s="1328"/>
      <c r="T495" s="1286"/>
      <c r="U495" s="1328"/>
    </row>
    <row r="496" spans="1:21" x14ac:dyDescent="0.25">
      <c r="A496" s="1292"/>
      <c r="B496" s="1226"/>
      <c r="C496" s="1227"/>
      <c r="D496" s="1284"/>
      <c r="E496" s="1229"/>
      <c r="F496" s="1230"/>
      <c r="S496" s="1328"/>
      <c r="T496" s="1286"/>
      <c r="U496" s="1328"/>
    </row>
    <row r="497" spans="1:23" x14ac:dyDescent="0.25">
      <c r="A497" s="1292"/>
      <c r="B497" s="396" t="s">
        <v>1203</v>
      </c>
      <c r="C497" s="1379"/>
      <c r="D497" s="1380"/>
      <c r="E497" s="1381"/>
      <c r="F497" s="1380"/>
      <c r="S497" s="1328"/>
      <c r="T497" s="1286"/>
      <c r="U497" s="1328"/>
    </row>
    <row r="498" spans="1:23" ht="45" customHeight="1" x14ac:dyDescent="0.25">
      <c r="A498" s="1292"/>
      <c r="B498" s="1226" t="s">
        <v>2657</v>
      </c>
      <c r="C498" s="1379">
        <v>36</v>
      </c>
      <c r="D498" s="1228" t="s">
        <v>1314</v>
      </c>
      <c r="E498" s="1229">
        <v>1850</v>
      </c>
      <c r="F498" s="1230">
        <f>E498*C498</f>
        <v>66600</v>
      </c>
      <c r="S498" s="1328"/>
      <c r="T498" s="1286"/>
      <c r="U498" s="1328"/>
    </row>
    <row r="499" spans="1:23" x14ac:dyDescent="0.25">
      <c r="A499" s="1292"/>
      <c r="B499" s="368"/>
      <c r="C499" s="1379"/>
      <c r="D499" s="1380"/>
      <c r="E499" s="1381"/>
      <c r="F499" s="1380"/>
      <c r="S499" s="1328"/>
      <c r="T499" s="1286"/>
      <c r="U499" s="1328"/>
    </row>
    <row r="500" spans="1:23" ht="27.6" x14ac:dyDescent="0.25">
      <c r="A500" s="1292"/>
      <c r="B500" s="368" t="s">
        <v>2658</v>
      </c>
      <c r="C500" s="1379">
        <v>7</v>
      </c>
      <c r="D500" s="1380" t="s">
        <v>78</v>
      </c>
      <c r="E500" s="1381">
        <f>(4000)*1.45</f>
        <v>5800</v>
      </c>
      <c r="F500" s="1380">
        <f>E500*C500</f>
        <v>40600</v>
      </c>
      <c r="S500" s="1328"/>
      <c r="T500" s="1286"/>
      <c r="U500" s="1328"/>
    </row>
    <row r="501" spans="1:23" x14ac:dyDescent="0.25">
      <c r="A501" s="1292"/>
      <c r="B501" s="368"/>
      <c r="C501" s="1379"/>
      <c r="D501" s="1380"/>
      <c r="E501" s="1381"/>
      <c r="F501" s="1380"/>
      <c r="S501" s="1328"/>
      <c r="T501" s="1286"/>
      <c r="U501" s="1328"/>
    </row>
    <row r="502" spans="1:23" ht="27.6" x14ac:dyDescent="0.25">
      <c r="A502" s="1292"/>
      <c r="B502" s="368" t="s">
        <v>2674</v>
      </c>
      <c r="C502" s="1379">
        <v>27</v>
      </c>
      <c r="D502" s="1380" t="s">
        <v>168</v>
      </c>
      <c r="E502" s="1381">
        <f>(5000)*1.45</f>
        <v>7250</v>
      </c>
      <c r="F502" s="1380">
        <f>E502*C502</f>
        <v>195750</v>
      </c>
      <c r="S502" s="1328"/>
      <c r="T502" s="1286"/>
      <c r="U502" s="1328"/>
    </row>
    <row r="503" spans="1:23" x14ac:dyDescent="0.25">
      <c r="A503" s="1292"/>
      <c r="B503" s="396"/>
      <c r="C503" s="1379"/>
      <c r="D503" s="1380"/>
      <c r="E503" s="1381"/>
      <c r="F503" s="1380"/>
      <c r="S503" s="1328"/>
      <c r="T503" s="1286"/>
      <c r="U503" s="1328"/>
    </row>
    <row r="504" spans="1:23" ht="27.6" x14ac:dyDescent="0.25">
      <c r="A504" s="1292"/>
      <c r="B504" s="368" t="s">
        <v>2659</v>
      </c>
      <c r="C504" s="1379">
        <v>2</v>
      </c>
      <c r="D504" s="1380" t="s">
        <v>78</v>
      </c>
      <c r="E504" s="1381">
        <f>(5000)*1.45</f>
        <v>7250</v>
      </c>
      <c r="F504" s="1380">
        <f>E504*C504</f>
        <v>14500</v>
      </c>
      <c r="S504" s="1328"/>
      <c r="T504" s="1286"/>
      <c r="U504" s="1328"/>
    </row>
    <row r="505" spans="1:23" x14ac:dyDescent="0.25">
      <c r="A505" s="1292"/>
      <c r="B505" s="396"/>
      <c r="C505" s="1379"/>
      <c r="D505" s="1380"/>
      <c r="E505" s="1381"/>
      <c r="F505" s="1380"/>
      <c r="S505" s="1328"/>
      <c r="T505" s="1286"/>
      <c r="U505" s="1328"/>
    </row>
    <row r="506" spans="1:23" x14ac:dyDescent="0.25">
      <c r="A506" s="1292"/>
      <c r="B506" s="368" t="s">
        <v>2660</v>
      </c>
      <c r="C506" s="1379">
        <v>4</v>
      </c>
      <c r="D506" s="1380" t="s">
        <v>78</v>
      </c>
      <c r="E506" s="1381">
        <f>(2500)*1.45</f>
        <v>3625</v>
      </c>
      <c r="F506" s="1380">
        <f>E506*C506</f>
        <v>14500</v>
      </c>
      <c r="S506" s="1328"/>
      <c r="T506" s="1286"/>
      <c r="U506" s="1328"/>
    </row>
    <row r="507" spans="1:23" x14ac:dyDescent="0.25">
      <c r="A507" s="1292"/>
      <c r="B507" s="1226"/>
      <c r="C507" s="1227"/>
      <c r="D507" s="1284"/>
      <c r="E507" s="1229"/>
      <c r="F507" s="1230"/>
      <c r="S507" s="1328"/>
      <c r="T507" s="1286"/>
      <c r="U507" s="1328"/>
    </row>
    <row r="508" spans="1:23" s="1260" customFormat="1" ht="76.2" customHeight="1" x14ac:dyDescent="0.25">
      <c r="A508" s="1292">
        <f>IF(C508&gt;0,COUNT(C$132:C508),"")</f>
        <v>98</v>
      </c>
      <c r="B508" s="1226" t="s">
        <v>2883</v>
      </c>
      <c r="C508" s="1227">
        <v>2</v>
      </c>
      <c r="D508" s="1284" t="s">
        <v>1314</v>
      </c>
      <c r="E508" s="1869">
        <f>E371</f>
        <v>14500</v>
      </c>
      <c r="F508" s="1230">
        <f>E508*C508</f>
        <v>29000</v>
      </c>
      <c r="U508" s="1285"/>
      <c r="V508" s="1286"/>
      <c r="W508" s="1285"/>
    </row>
    <row r="509" spans="1:23" s="1260" customFormat="1" x14ac:dyDescent="0.25">
      <c r="A509" s="1292" t="str">
        <f>IF(C509&gt;0,COUNT(C$132:C509),"")</f>
        <v/>
      </c>
      <c r="B509" s="1226"/>
      <c r="C509" s="1227"/>
      <c r="D509" s="1284"/>
      <c r="E509" s="1869"/>
      <c r="F509" s="1230"/>
      <c r="U509" s="1285"/>
      <c r="V509" s="1286"/>
      <c r="W509" s="1285"/>
    </row>
    <row r="510" spans="1:23" s="1260" customFormat="1" ht="89.4" customHeight="1" x14ac:dyDescent="0.25">
      <c r="A510" s="1292">
        <f>IF(C510&gt;0,COUNT(C$132:C510),"")</f>
        <v>99</v>
      </c>
      <c r="B510" s="1226" t="s">
        <v>2969</v>
      </c>
      <c r="C510" s="1227">
        <f>C508</f>
        <v>2</v>
      </c>
      <c r="D510" s="1284" t="s">
        <v>1314</v>
      </c>
      <c r="E510" s="1869">
        <f>25500*1.45</f>
        <v>36975</v>
      </c>
      <c r="F510" s="1230">
        <f>E510*C510</f>
        <v>73950</v>
      </c>
      <c r="U510" s="1285"/>
      <c r="V510" s="1286"/>
      <c r="W510" s="1285"/>
    </row>
    <row r="511" spans="1:23" x14ac:dyDescent="0.25">
      <c r="A511" s="1292" t="str">
        <f>IF(C511&gt;0,COUNT(C$132:C511),"")</f>
        <v/>
      </c>
      <c r="B511" s="1226"/>
      <c r="C511" s="1227"/>
      <c r="D511" s="1284"/>
      <c r="E511" s="1229"/>
      <c r="F511" s="1230"/>
      <c r="S511" s="1328"/>
      <c r="T511" s="1286"/>
      <c r="U511" s="1328"/>
    </row>
    <row r="512" spans="1:23" s="1260" customFormat="1" x14ac:dyDescent="0.25">
      <c r="A512" s="1292" t="str">
        <f>IF(C512&gt;0,COUNT(C$132:C512),"")</f>
        <v/>
      </c>
      <c r="B512" s="1303" t="s">
        <v>2908</v>
      </c>
      <c r="C512" s="1227"/>
      <c r="D512" s="1284"/>
      <c r="E512" s="1229"/>
      <c r="F512" s="1290"/>
      <c r="G512" s="1259"/>
      <c r="S512" s="1285"/>
      <c r="T512" s="1286"/>
      <c r="U512" s="1285"/>
    </row>
    <row r="513" spans="1:21" s="1260" customFormat="1" x14ac:dyDescent="0.25">
      <c r="A513" s="1292" t="str">
        <f>IF(C513&gt;0,COUNT(C$132:C513),"")</f>
        <v/>
      </c>
      <c r="B513" s="1226"/>
      <c r="C513" s="1227"/>
      <c r="D513" s="1284"/>
      <c r="E513" s="1229"/>
      <c r="F513" s="1290"/>
      <c r="G513" s="1259"/>
      <c r="S513" s="1285"/>
      <c r="T513" s="1286"/>
      <c r="U513" s="1285"/>
    </row>
    <row r="514" spans="1:21" s="1260" customFormat="1" ht="76.8" customHeight="1" x14ac:dyDescent="0.25">
      <c r="A514" s="1292">
        <f>IF(C514&gt;0,COUNT(C$132:C514),"")</f>
        <v>100</v>
      </c>
      <c r="B514" s="1226" t="s">
        <v>2909</v>
      </c>
      <c r="C514" s="1227">
        <v>1</v>
      </c>
      <c r="D514" s="1284" t="s">
        <v>1314</v>
      </c>
      <c r="E514" s="1229">
        <f>E481</f>
        <v>14500</v>
      </c>
      <c r="F514" s="1230">
        <f>E514*C514</f>
        <v>14500</v>
      </c>
      <c r="G514" s="1259"/>
      <c r="S514" s="1285"/>
      <c r="T514" s="1286"/>
      <c r="U514" s="1285"/>
    </row>
    <row r="515" spans="1:21" s="1260" customFormat="1" x14ac:dyDescent="0.25">
      <c r="A515" s="1292" t="str">
        <f>IF(C515&gt;0,COUNT(C$132:C515),"")</f>
        <v/>
      </c>
      <c r="B515" s="1226"/>
      <c r="C515" s="1227"/>
      <c r="D515" s="1284"/>
      <c r="E515" s="1229"/>
      <c r="F515" s="1230"/>
      <c r="G515" s="1259"/>
      <c r="S515" s="1285"/>
      <c r="T515" s="1286"/>
      <c r="U515" s="1285"/>
    </row>
    <row r="516" spans="1:21" s="1260" customFormat="1" ht="88.2" customHeight="1" x14ac:dyDescent="0.25">
      <c r="A516" s="1292">
        <f>IF(C516&gt;0,COUNT(C$132:C516),"")</f>
        <v>101</v>
      </c>
      <c r="B516" s="1226" t="s">
        <v>2910</v>
      </c>
      <c r="C516" s="1227">
        <v>2</v>
      </c>
      <c r="D516" s="1284" t="s">
        <v>1314</v>
      </c>
      <c r="E516" s="1229">
        <f>E514</f>
        <v>14500</v>
      </c>
      <c r="F516" s="1230">
        <f>E516*C516</f>
        <v>29000</v>
      </c>
      <c r="G516" s="1259"/>
      <c r="S516" s="1285"/>
      <c r="T516" s="1286"/>
      <c r="U516" s="1285"/>
    </row>
    <row r="517" spans="1:21" x14ac:dyDescent="0.25">
      <c r="A517" s="1292" t="str">
        <f>IF(C517&gt;0,COUNT(C$132:C517),"")</f>
        <v/>
      </c>
      <c r="B517" s="1226"/>
      <c r="C517" s="1231"/>
      <c r="D517" s="1232"/>
      <c r="E517" s="1232"/>
      <c r="F517" s="1232"/>
      <c r="S517" s="1328"/>
      <c r="T517" s="1286"/>
      <c r="U517" s="1328"/>
    </row>
    <row r="518" spans="1:21" ht="77.400000000000006" customHeight="1" x14ac:dyDescent="0.25">
      <c r="A518" s="1292">
        <f>IF(C518&gt;0,COUNT(C$132:C518),"")</f>
        <v>102</v>
      </c>
      <c r="B518" s="1226" t="s">
        <v>2885</v>
      </c>
      <c r="C518" s="1227">
        <v>4</v>
      </c>
      <c r="D518" s="1284" t="s">
        <v>1314</v>
      </c>
      <c r="E518" s="1229">
        <f>E483</f>
        <v>14500</v>
      </c>
      <c r="F518" s="1230">
        <f>E518*C518</f>
        <v>58000</v>
      </c>
      <c r="S518" s="1328"/>
      <c r="T518" s="1286"/>
      <c r="U518" s="1328"/>
    </row>
    <row r="519" spans="1:21" x14ac:dyDescent="0.25">
      <c r="A519" s="1678" t="str">
        <f>IF(C519&gt;0,COUNT(C$132:C519),"")</f>
        <v/>
      </c>
      <c r="B519" s="1238"/>
      <c r="C519" s="1668"/>
      <c r="D519" s="1669"/>
      <c r="E519" s="1602"/>
      <c r="F519" s="1420"/>
      <c r="S519" s="1328"/>
      <c r="T519" s="1286"/>
      <c r="U519" s="1328"/>
    </row>
    <row r="520" spans="1:21" ht="76.8" customHeight="1" x14ac:dyDescent="0.25">
      <c r="A520" s="1680">
        <f>IF(C520&gt;0,COUNT(C$132:C520),"")</f>
        <v>103</v>
      </c>
      <c r="B520" s="1686" t="s">
        <v>2879</v>
      </c>
      <c r="C520" s="1672">
        <v>13</v>
      </c>
      <c r="D520" s="1673" t="s">
        <v>1314</v>
      </c>
      <c r="E520" s="1664">
        <f>E487</f>
        <v>14500</v>
      </c>
      <c r="F520" s="1665">
        <f>E520*C520</f>
        <v>188500</v>
      </c>
      <c r="S520" s="1328"/>
      <c r="T520" s="1286"/>
      <c r="U520" s="1328"/>
    </row>
    <row r="521" spans="1:21" x14ac:dyDescent="0.25">
      <c r="A521" s="1292" t="str">
        <f>IF(C521&gt;0,COUNT(C$132:C521),"")</f>
        <v/>
      </c>
      <c r="B521" s="1226"/>
      <c r="C521" s="1227"/>
      <c r="D521" s="1284"/>
      <c r="E521" s="1229"/>
      <c r="F521" s="1230"/>
      <c r="S521" s="1328"/>
      <c r="T521" s="1286"/>
      <c r="U521" s="1328"/>
    </row>
    <row r="522" spans="1:21" ht="41.4" x14ac:dyDescent="0.25">
      <c r="A522" s="1292">
        <f>IF(C522&gt;0,COUNT(C$132:C522),"")</f>
        <v>104</v>
      </c>
      <c r="B522" s="1226" t="s">
        <v>2886</v>
      </c>
      <c r="C522" s="1227">
        <f>C518</f>
        <v>4</v>
      </c>
      <c r="D522" s="1284" t="s">
        <v>1314</v>
      </c>
      <c r="E522" s="1229">
        <v>1850</v>
      </c>
      <c r="F522" s="1230">
        <f>E522*C522</f>
        <v>7400</v>
      </c>
      <c r="S522" s="1328"/>
      <c r="T522" s="1286"/>
      <c r="U522" s="1328"/>
    </row>
    <row r="523" spans="1:21" x14ac:dyDescent="0.25">
      <c r="A523" s="1292" t="str">
        <f>IF(C523&gt;0,COUNT(C$132:C523),"")</f>
        <v/>
      </c>
      <c r="B523" s="1226"/>
      <c r="C523" s="1227"/>
      <c r="D523" s="1284"/>
      <c r="E523" s="1229"/>
      <c r="F523" s="1230"/>
      <c r="S523" s="1328"/>
      <c r="T523" s="1286"/>
      <c r="U523" s="1328"/>
    </row>
    <row r="524" spans="1:21" ht="41.4" x14ac:dyDescent="0.25">
      <c r="A524" s="1292">
        <f>IF(C524&gt;0,COUNT(C$132:C524),"")</f>
        <v>105</v>
      </c>
      <c r="B524" s="1226" t="s">
        <v>2880</v>
      </c>
      <c r="C524" s="1227">
        <f>C520</f>
        <v>13</v>
      </c>
      <c r="D524" s="1284" t="s">
        <v>1314</v>
      </c>
      <c r="E524" s="1229">
        <v>1850</v>
      </c>
      <c r="F524" s="1230">
        <f>E524*C524</f>
        <v>24050</v>
      </c>
      <c r="S524" s="1328"/>
      <c r="T524" s="1286"/>
      <c r="U524" s="1328"/>
    </row>
    <row r="525" spans="1:21" x14ac:dyDescent="0.25">
      <c r="A525" s="1292" t="str">
        <f>IF(C525&gt;0,COUNT(C$132:C525),"")</f>
        <v/>
      </c>
      <c r="B525" s="1226"/>
      <c r="C525" s="1227"/>
      <c r="D525" s="1284"/>
      <c r="E525" s="1229"/>
      <c r="F525" s="1230"/>
      <c r="S525" s="1328"/>
      <c r="T525" s="1286"/>
      <c r="U525" s="1328"/>
    </row>
    <row r="526" spans="1:21" ht="41.4" x14ac:dyDescent="0.25">
      <c r="A526" s="1292">
        <f>IF(C526&gt;0,COUNT(C$132:C526),"")</f>
        <v>106</v>
      </c>
      <c r="B526" s="1226" t="s">
        <v>2911</v>
      </c>
      <c r="C526" s="1227">
        <f>C522</f>
        <v>4</v>
      </c>
      <c r="D526" s="1284" t="s">
        <v>1314</v>
      </c>
      <c r="E526" s="1229">
        <v>12500</v>
      </c>
      <c r="F526" s="1230">
        <f>E526*C526</f>
        <v>50000</v>
      </c>
      <c r="S526" s="1328"/>
      <c r="T526" s="1286"/>
      <c r="U526" s="1328"/>
    </row>
    <row r="527" spans="1:21" x14ac:dyDescent="0.25">
      <c r="A527" s="1292" t="str">
        <f>IF(C527&gt;0,COUNT(C$132:C527),"")</f>
        <v/>
      </c>
      <c r="B527" s="1226"/>
      <c r="C527" s="1227"/>
      <c r="D527" s="1284"/>
      <c r="E527" s="1229"/>
      <c r="F527" s="1230"/>
      <c r="S527" s="1328"/>
      <c r="T527" s="1286"/>
      <c r="U527" s="1328"/>
    </row>
    <row r="528" spans="1:21" ht="41.4" x14ac:dyDescent="0.25">
      <c r="A528" s="1292">
        <f>IF(C528&gt;0,COUNT(C$132:C528),"")</f>
        <v>107</v>
      </c>
      <c r="B528" s="1226" t="s">
        <v>2912</v>
      </c>
      <c r="C528" s="1227">
        <f>C524</f>
        <v>13</v>
      </c>
      <c r="D528" s="1284" t="s">
        <v>1314</v>
      </c>
      <c r="E528" s="1229">
        <v>12500</v>
      </c>
      <c r="F528" s="1230">
        <f>E528*C528</f>
        <v>162500</v>
      </c>
      <c r="S528" s="1328"/>
      <c r="T528" s="1286"/>
      <c r="U528" s="1328"/>
    </row>
    <row r="529" spans="1:21" x14ac:dyDescent="0.25">
      <c r="A529" s="1292"/>
      <c r="B529" s="1226"/>
      <c r="C529" s="1227"/>
      <c r="D529" s="1284"/>
      <c r="E529" s="1229"/>
      <c r="F529" s="1230"/>
      <c r="S529" s="1328"/>
      <c r="T529" s="1286"/>
      <c r="U529" s="1328"/>
    </row>
    <row r="530" spans="1:21" s="1331" customFormat="1" x14ac:dyDescent="0.25">
      <c r="A530" s="1292" t="str">
        <f>IF(C530&gt;0,COUNT(C$132:C530),"")</f>
        <v/>
      </c>
      <c r="B530" s="1303" t="s">
        <v>2913</v>
      </c>
      <c r="C530" s="1227"/>
      <c r="D530" s="1284"/>
      <c r="E530" s="1229"/>
      <c r="F530" s="1290"/>
      <c r="G530" s="1330"/>
      <c r="S530" s="1332"/>
      <c r="T530" s="1333"/>
      <c r="U530" s="1332"/>
    </row>
    <row r="531" spans="1:21" s="1260" customFormat="1" x14ac:dyDescent="0.25">
      <c r="A531" s="1292" t="str">
        <f>IF(C531&gt;0,COUNT(C$132:C531),"")</f>
        <v/>
      </c>
      <c r="B531" s="1226"/>
      <c r="C531" s="1227"/>
      <c r="D531" s="1284"/>
      <c r="E531" s="1229"/>
      <c r="F531" s="1290"/>
      <c r="G531" s="1259"/>
      <c r="S531" s="1285"/>
      <c r="T531" s="1286"/>
      <c r="U531" s="1285"/>
    </row>
    <row r="532" spans="1:21" ht="74.400000000000006" customHeight="1" x14ac:dyDescent="0.25">
      <c r="A532" s="1292">
        <f>IF(C532&gt;0,COUNT(C$132:C532),"")</f>
        <v>108</v>
      </c>
      <c r="B532" s="1226" t="s">
        <v>2914</v>
      </c>
      <c r="C532" s="1227">
        <v>3</v>
      </c>
      <c r="D532" s="1284" t="s">
        <v>1314</v>
      </c>
      <c r="E532" s="1229">
        <f>E516</f>
        <v>14500</v>
      </c>
      <c r="F532" s="1230">
        <f>E532*C532</f>
        <v>43500</v>
      </c>
      <c r="S532" s="1328"/>
      <c r="T532" s="1286"/>
      <c r="U532" s="1328"/>
    </row>
    <row r="533" spans="1:21" x14ac:dyDescent="0.25">
      <c r="A533" s="1292" t="str">
        <f>IF(C533&gt;0,COUNT(C$132:C533),"")</f>
        <v/>
      </c>
      <c r="B533" s="1300"/>
      <c r="C533" s="1227"/>
      <c r="D533" s="1284"/>
      <c r="E533" s="1229"/>
      <c r="F533" s="1290"/>
      <c r="S533" s="1328"/>
      <c r="T533" s="1286"/>
      <c r="U533" s="1328"/>
    </row>
    <row r="534" spans="1:21" ht="72.599999999999994" customHeight="1" x14ac:dyDescent="0.25">
      <c r="A534" s="1292">
        <f>IF(C534&gt;0,COUNT(C$132:C534),"")</f>
        <v>109</v>
      </c>
      <c r="B534" s="1226" t="s">
        <v>2915</v>
      </c>
      <c r="C534" s="1227">
        <v>2</v>
      </c>
      <c r="D534" s="1284" t="s">
        <v>1314</v>
      </c>
      <c r="E534" s="1229">
        <f>E483</f>
        <v>14500</v>
      </c>
      <c r="F534" s="1230">
        <f>E534*C534</f>
        <v>29000</v>
      </c>
      <c r="S534" s="1328"/>
      <c r="T534" s="1286"/>
      <c r="U534" s="1328"/>
    </row>
    <row r="535" spans="1:21" x14ac:dyDescent="0.25">
      <c r="A535" s="1292" t="str">
        <f>IF(C535&gt;0,COUNT(C$132:C535),"")</f>
        <v/>
      </c>
      <c r="B535" s="1300"/>
      <c r="C535" s="1227"/>
      <c r="D535" s="1284"/>
      <c r="E535" s="1229"/>
      <c r="F535" s="1230"/>
      <c r="S535" s="1328"/>
      <c r="T535" s="1286"/>
      <c r="U535" s="1328"/>
    </row>
    <row r="536" spans="1:21" ht="46.8" customHeight="1" x14ac:dyDescent="0.25">
      <c r="A536" s="1292">
        <f>IF(C536&gt;0,COUNT(C$132:C536),"")</f>
        <v>110</v>
      </c>
      <c r="B536" s="1226" t="s">
        <v>2916</v>
      </c>
      <c r="C536" s="1227">
        <f>C534</f>
        <v>2</v>
      </c>
      <c r="D536" s="1284" t="s">
        <v>1314</v>
      </c>
      <c r="E536" s="1229">
        <v>1200</v>
      </c>
      <c r="F536" s="1230">
        <f>E536*C536</f>
        <v>2400</v>
      </c>
      <c r="S536" s="1328"/>
      <c r="T536" s="1286"/>
      <c r="U536" s="1328"/>
    </row>
    <row r="537" spans="1:21" x14ac:dyDescent="0.25">
      <c r="A537" s="1292" t="str">
        <f>IF(C537&gt;0,COUNT(C$132:C537),"")</f>
        <v/>
      </c>
      <c r="B537" s="1226"/>
      <c r="C537" s="1227"/>
      <c r="D537" s="1284"/>
      <c r="E537" s="1229"/>
      <c r="F537" s="1230"/>
      <c r="S537" s="1328"/>
      <c r="T537" s="1286"/>
      <c r="U537" s="1328"/>
    </row>
    <row r="538" spans="1:21" ht="48.6" customHeight="1" x14ac:dyDescent="0.25">
      <c r="A538" s="1292">
        <f>IF(C538&gt;0,COUNT(C$132:C538),"")</f>
        <v>111</v>
      </c>
      <c r="B538" s="1226" t="s">
        <v>2881</v>
      </c>
      <c r="C538" s="1227">
        <f>C534</f>
        <v>2</v>
      </c>
      <c r="D538" s="1284" t="s">
        <v>1314</v>
      </c>
      <c r="E538" s="1229">
        <v>12500</v>
      </c>
      <c r="F538" s="1230">
        <f>E538*C538</f>
        <v>25000</v>
      </c>
      <c r="S538" s="1328"/>
      <c r="T538" s="1286"/>
      <c r="U538" s="1328"/>
    </row>
    <row r="539" spans="1:21" x14ac:dyDescent="0.25">
      <c r="A539" s="1292" t="str">
        <f>IF(C539&gt;0,COUNT(C$132:C539),"")</f>
        <v/>
      </c>
      <c r="B539" s="1300"/>
      <c r="C539" s="1227"/>
      <c r="D539" s="1284"/>
      <c r="E539" s="1229"/>
      <c r="F539" s="1290"/>
      <c r="S539" s="1328"/>
      <c r="T539" s="1286"/>
      <c r="U539" s="1328"/>
    </row>
    <row r="540" spans="1:21" x14ac:dyDescent="0.25">
      <c r="A540" s="1292" t="str">
        <f>IF(C540&gt;0,COUNT(C$132:C540),"")</f>
        <v/>
      </c>
      <c r="B540" s="1311" t="s">
        <v>2917</v>
      </c>
      <c r="C540" s="1227"/>
      <c r="D540" s="1284"/>
      <c r="E540" s="1229"/>
      <c r="F540" s="1290"/>
      <c r="S540" s="1328"/>
      <c r="T540" s="1286"/>
      <c r="U540" s="1328"/>
    </row>
    <row r="541" spans="1:21" x14ac:dyDescent="0.25">
      <c r="A541" s="1292" t="str">
        <f>IF(C541&gt;0,COUNT(C$132:C541),"")</f>
        <v/>
      </c>
      <c r="B541" s="1226"/>
      <c r="C541" s="1227"/>
      <c r="D541" s="1284"/>
      <c r="E541" s="1229"/>
      <c r="F541" s="1290"/>
      <c r="S541" s="1328"/>
      <c r="T541" s="1286"/>
      <c r="U541" s="1328"/>
    </row>
    <row r="542" spans="1:21" x14ac:dyDescent="0.25">
      <c r="A542" s="1292" t="str">
        <f>IF(C542&gt;0,COUNT(C$132:C542),"")</f>
        <v/>
      </c>
      <c r="B542" s="1300" t="s">
        <v>106</v>
      </c>
      <c r="C542" s="1227"/>
      <c r="D542" s="1284"/>
      <c r="E542" s="1229"/>
      <c r="F542" s="1290"/>
      <c r="S542" s="1328"/>
      <c r="T542" s="1286"/>
      <c r="U542" s="1328"/>
    </row>
    <row r="543" spans="1:21" ht="45.6" customHeight="1" x14ac:dyDescent="0.25">
      <c r="A543" s="1292">
        <f>IF(C543&gt;0,COUNT(C$132:C543),"")</f>
        <v>112</v>
      </c>
      <c r="B543" s="1226" t="s">
        <v>2918</v>
      </c>
      <c r="C543" s="1227">
        <v>1</v>
      </c>
      <c r="D543" s="1284" t="s">
        <v>1314</v>
      </c>
      <c r="E543" s="1229">
        <v>635000</v>
      </c>
      <c r="F543" s="1230">
        <f>E543*C543</f>
        <v>635000</v>
      </c>
      <c r="S543" s="1328"/>
      <c r="T543" s="1286"/>
      <c r="U543" s="1328"/>
    </row>
    <row r="544" spans="1:21" x14ac:dyDescent="0.25">
      <c r="A544" s="1292" t="str">
        <f>IF(C544&gt;0,COUNT(C$132:C544),"")</f>
        <v/>
      </c>
      <c r="B544" s="1226"/>
      <c r="C544" s="1227"/>
      <c r="D544" s="1334"/>
      <c r="E544" s="1229"/>
      <c r="F544" s="1290"/>
      <c r="S544" s="1328"/>
      <c r="T544" s="1286"/>
      <c r="U544" s="1328"/>
    </row>
    <row r="545" spans="1:21" s="1337" customFormat="1" x14ac:dyDescent="0.25">
      <c r="A545" s="1292" t="str">
        <f>IF(C545&gt;0,COUNT(C$132:C545),"")</f>
        <v/>
      </c>
      <c r="B545" s="1300" t="s">
        <v>2919</v>
      </c>
      <c r="C545" s="1227"/>
      <c r="D545" s="1284"/>
      <c r="E545" s="1335"/>
      <c r="F545" s="1324"/>
      <c r="G545" s="1336"/>
      <c r="S545" s="1338"/>
      <c r="T545" s="1339"/>
      <c r="U545" s="1338"/>
    </row>
    <row r="546" spans="1:21" s="1337" customFormat="1" ht="63.6" customHeight="1" x14ac:dyDescent="0.25">
      <c r="A546" s="1292">
        <f>IF(C546&gt;0,COUNT(C$132:C546),"")</f>
        <v>113</v>
      </c>
      <c r="B546" s="1226" t="s">
        <v>2920</v>
      </c>
      <c r="C546" s="1227">
        <v>24</v>
      </c>
      <c r="D546" s="1284" t="s">
        <v>2921</v>
      </c>
      <c r="E546" s="1323">
        <v>22500</v>
      </c>
      <c r="F546" s="1340">
        <f>E546*C546</f>
        <v>540000</v>
      </c>
      <c r="G546" s="1336"/>
      <c r="S546" s="1338"/>
      <c r="T546" s="1339"/>
      <c r="U546" s="1338"/>
    </row>
    <row r="547" spans="1:21" s="1337" customFormat="1" x14ac:dyDescent="0.25">
      <c r="A547" s="1292"/>
      <c r="B547" s="1226"/>
      <c r="C547" s="1227"/>
      <c r="D547" s="1284"/>
      <c r="E547" s="1323"/>
      <c r="F547" s="1340"/>
      <c r="G547" s="1336"/>
      <c r="S547" s="1338"/>
      <c r="T547" s="1339"/>
      <c r="U547" s="1338"/>
    </row>
    <row r="548" spans="1:21" s="1337" customFormat="1" x14ac:dyDescent="0.25">
      <c r="A548" s="1292"/>
      <c r="B548" s="1226"/>
      <c r="C548" s="1227"/>
      <c r="D548" s="1284"/>
      <c r="E548" s="1323"/>
      <c r="F548" s="1340"/>
      <c r="G548" s="1336"/>
      <c r="S548" s="1338"/>
      <c r="T548" s="1339"/>
      <c r="U548" s="1338"/>
    </row>
    <row r="549" spans="1:21" s="1337" customFormat="1" x14ac:dyDescent="0.25">
      <c r="A549" s="1292"/>
      <c r="B549" s="1226"/>
      <c r="C549" s="1227"/>
      <c r="D549" s="1284"/>
      <c r="E549" s="1323"/>
      <c r="F549" s="1340"/>
      <c r="G549" s="1336"/>
      <c r="S549" s="1338"/>
      <c r="T549" s="1339"/>
      <c r="U549" s="1338"/>
    </row>
    <row r="550" spans="1:21" s="1337" customFormat="1" x14ac:dyDescent="0.25">
      <c r="A550" s="1292" t="str">
        <f>IF(C550&gt;0,COUNT(C$132:C550),"")</f>
        <v/>
      </c>
      <c r="B550" s="1226"/>
      <c r="C550" s="1227"/>
      <c r="D550" s="1284"/>
      <c r="E550" s="1323"/>
      <c r="F550" s="1324"/>
      <c r="G550" s="1336"/>
      <c r="S550" s="1338"/>
      <c r="T550" s="1339"/>
      <c r="U550" s="1338"/>
    </row>
    <row r="551" spans="1:21" s="1337" customFormat="1" x14ac:dyDescent="0.25">
      <c r="A551" s="1292" t="str">
        <f>IF(C551&gt;0,COUNT(C$132:C551),"")</f>
        <v/>
      </c>
      <c r="B551" s="1300" t="s">
        <v>2922</v>
      </c>
      <c r="C551" s="1227"/>
      <c r="D551" s="1284"/>
      <c r="E551" s="1323"/>
      <c r="F551" s="1324"/>
      <c r="G551" s="1336"/>
      <c r="S551" s="1338"/>
      <c r="T551" s="1339"/>
      <c r="U551" s="1338"/>
    </row>
    <row r="552" spans="1:21" s="1337" customFormat="1" ht="63" customHeight="1" x14ac:dyDescent="0.25">
      <c r="A552" s="1292">
        <f>IF(C552&gt;0,COUNT(C$132:C552),"")</f>
        <v>114</v>
      </c>
      <c r="B552" s="1226" t="s">
        <v>2920</v>
      </c>
      <c r="C552" s="1227">
        <v>15</v>
      </c>
      <c r="D552" s="1284" t="s">
        <v>2921</v>
      </c>
      <c r="E552" s="1335">
        <v>34500</v>
      </c>
      <c r="F552" s="1340">
        <f>E552*C552</f>
        <v>517500</v>
      </c>
      <c r="G552" s="1336"/>
      <c r="S552" s="1338"/>
      <c r="T552" s="1339"/>
      <c r="U552" s="1338"/>
    </row>
    <row r="553" spans="1:21" s="1337" customFormat="1" x14ac:dyDescent="0.25">
      <c r="A553" s="1678" t="str">
        <f>IF(C553&gt;0,COUNT(C$132:C553),"")</f>
        <v/>
      </c>
      <c r="B553" s="1238"/>
      <c r="C553" s="1668"/>
      <c r="D553" s="1695"/>
      <c r="E553" s="1690"/>
      <c r="F553" s="1691"/>
      <c r="G553" s="1336"/>
      <c r="S553" s="1338"/>
      <c r="T553" s="1339"/>
      <c r="U553" s="1338"/>
    </row>
    <row r="554" spans="1:21" s="1337" customFormat="1" ht="76.8" customHeight="1" x14ac:dyDescent="0.25">
      <c r="A554" s="1680">
        <f>IF(C554&gt;0,COUNT(C$132:C554),"")</f>
        <v>115</v>
      </c>
      <c r="B554" s="1686" t="s">
        <v>2923</v>
      </c>
      <c r="C554" s="1672">
        <v>5</v>
      </c>
      <c r="D554" s="1673" t="s">
        <v>2921</v>
      </c>
      <c r="E554" s="1696">
        <v>6500</v>
      </c>
      <c r="F554" s="1697">
        <f>E554*C554</f>
        <v>32500</v>
      </c>
      <c r="G554" s="1336"/>
      <c r="S554" s="1338"/>
      <c r="T554" s="1339"/>
      <c r="U554" s="1338"/>
    </row>
    <row r="555" spans="1:21" x14ac:dyDescent="0.25">
      <c r="A555" s="1292" t="str">
        <f>IF(C555&gt;0,COUNT(C$132:C555),"")</f>
        <v/>
      </c>
      <c r="B555" s="1226"/>
      <c r="C555" s="1227"/>
      <c r="D555" s="1284"/>
      <c r="E555" s="1229"/>
      <c r="F555" s="1290"/>
      <c r="S555" s="1328"/>
      <c r="T555" s="1286"/>
      <c r="U555" s="1328"/>
    </row>
    <row r="556" spans="1:21" ht="105.6" customHeight="1" x14ac:dyDescent="0.25">
      <c r="A556" s="1292">
        <f>IF(C556&gt;0,COUNT(C$132:C556),"")</f>
        <v>116</v>
      </c>
      <c r="B556" s="1226" t="s">
        <v>2924</v>
      </c>
      <c r="C556" s="1227">
        <v>8</v>
      </c>
      <c r="D556" s="1284" t="s">
        <v>2921</v>
      </c>
      <c r="E556" s="1229">
        <v>18800</v>
      </c>
      <c r="F556" s="1230">
        <f>E556*C556</f>
        <v>150400</v>
      </c>
      <c r="S556" s="1328"/>
      <c r="T556" s="1286"/>
      <c r="U556" s="1328"/>
    </row>
    <row r="557" spans="1:21" x14ac:dyDescent="0.25">
      <c r="A557" s="1292" t="str">
        <f>IF(C557&gt;0,COUNT(C$132:C557),"")</f>
        <v/>
      </c>
      <c r="B557" s="1226"/>
      <c r="C557" s="1227"/>
      <c r="D557" s="1284"/>
      <c r="E557" s="1229"/>
      <c r="F557" s="1290"/>
      <c r="S557" s="1328"/>
      <c r="T557" s="1286"/>
      <c r="U557" s="1328"/>
    </row>
    <row r="558" spans="1:21" ht="105.6" customHeight="1" x14ac:dyDescent="0.25">
      <c r="A558" s="1292" t="str">
        <f>IF(C558&gt;0,COUNT(C$132:C558),"")</f>
        <v/>
      </c>
      <c r="B558" s="1226" t="s">
        <v>2925</v>
      </c>
      <c r="C558" s="1227"/>
      <c r="D558" s="1284"/>
      <c r="E558" s="1229"/>
      <c r="F558" s="1230">
        <f>E558*C558</f>
        <v>0</v>
      </c>
      <c r="S558" s="1328"/>
      <c r="T558" s="1286"/>
      <c r="U558" s="1328"/>
    </row>
    <row r="559" spans="1:21" x14ac:dyDescent="0.25">
      <c r="A559" s="1292" t="str">
        <f>IF(C559&gt;0,COUNT(C$132:C559),"")</f>
        <v/>
      </c>
      <c r="B559" s="1226"/>
      <c r="C559" s="1227"/>
      <c r="D559" s="1284"/>
      <c r="E559" s="1229"/>
      <c r="F559" s="1230"/>
      <c r="S559" s="1328"/>
      <c r="T559" s="1286"/>
      <c r="U559" s="1328"/>
    </row>
    <row r="560" spans="1:21" x14ac:dyDescent="0.25">
      <c r="A560" s="1292">
        <f>IF(C560&gt;0,COUNT(C$132:C560),"")</f>
        <v>117</v>
      </c>
      <c r="B560" s="1226" t="s">
        <v>2926</v>
      </c>
      <c r="C560" s="1227">
        <v>32</v>
      </c>
      <c r="D560" s="1284" t="s">
        <v>2921</v>
      </c>
      <c r="E560" s="1229">
        <v>6500</v>
      </c>
      <c r="F560" s="1230">
        <f t="shared" ref="F560:F564" si="0">E560*C560</f>
        <v>208000</v>
      </c>
      <c r="S560" s="1328"/>
      <c r="T560" s="1286"/>
      <c r="U560" s="1328"/>
    </row>
    <row r="561" spans="1:21" x14ac:dyDescent="0.25">
      <c r="A561" s="1292">
        <f>IF(C561&gt;0,COUNT(C$132:C561),"")</f>
        <v>118</v>
      </c>
      <c r="B561" s="1226" t="s">
        <v>2927</v>
      </c>
      <c r="C561" s="1227">
        <v>66</v>
      </c>
      <c r="D561" s="1284" t="s">
        <v>2921</v>
      </c>
      <c r="E561" s="1229">
        <v>6500</v>
      </c>
      <c r="F561" s="1230">
        <f t="shared" si="0"/>
        <v>429000</v>
      </c>
      <c r="S561" s="1328"/>
      <c r="T561" s="1286"/>
      <c r="U561" s="1328"/>
    </row>
    <row r="562" spans="1:21" x14ac:dyDescent="0.25">
      <c r="A562" s="1292">
        <f>IF(C562&gt;0,COUNT(C$132:C562),"")</f>
        <v>119</v>
      </c>
      <c r="B562" s="1226" t="s">
        <v>2928</v>
      </c>
      <c r="C562" s="1227">
        <v>78</v>
      </c>
      <c r="D562" s="1284" t="s">
        <v>2921</v>
      </c>
      <c r="E562" s="1229">
        <v>6500</v>
      </c>
      <c r="F562" s="1230">
        <f t="shared" si="0"/>
        <v>507000</v>
      </c>
      <c r="S562" s="1328"/>
      <c r="T562" s="1286"/>
      <c r="U562" s="1328"/>
    </row>
    <row r="563" spans="1:21" x14ac:dyDescent="0.25">
      <c r="A563" s="1292">
        <f>IF(C563&gt;0,COUNT(C$132:C563),"")</f>
        <v>120</v>
      </c>
      <c r="B563" s="1226" t="s">
        <v>2929</v>
      </c>
      <c r="C563" s="1227">
        <v>82</v>
      </c>
      <c r="D563" s="1284" t="s">
        <v>2921</v>
      </c>
      <c r="E563" s="1229">
        <v>6500</v>
      </c>
      <c r="F563" s="1230">
        <f t="shared" si="0"/>
        <v>533000</v>
      </c>
      <c r="S563" s="1328"/>
      <c r="T563" s="1286"/>
      <c r="U563" s="1328"/>
    </row>
    <row r="564" spans="1:21" x14ac:dyDescent="0.25">
      <c r="A564" s="1292">
        <f>IF(C564&gt;0,COUNT(C$132:C564),"")</f>
        <v>121</v>
      </c>
      <c r="B564" s="1226" t="s">
        <v>2930</v>
      </c>
      <c r="C564" s="1227">
        <v>36</v>
      </c>
      <c r="D564" s="1284" t="s">
        <v>2921</v>
      </c>
      <c r="E564" s="1229">
        <v>6500</v>
      </c>
      <c r="F564" s="1230">
        <f t="shared" si="0"/>
        <v>234000</v>
      </c>
      <c r="S564" s="1328"/>
      <c r="T564" s="1286"/>
      <c r="U564" s="1328"/>
    </row>
    <row r="565" spans="1:21" s="1337" customFormat="1" x14ac:dyDescent="0.25">
      <c r="A565" s="1292" t="str">
        <f>IF(C565&gt;0,COUNT(C$132:C565),"")</f>
        <v/>
      </c>
      <c r="B565" s="1320"/>
      <c r="C565" s="1321"/>
      <c r="D565" s="1322"/>
      <c r="E565" s="1323"/>
      <c r="F565" s="1340"/>
      <c r="G565" s="1336"/>
      <c r="S565" s="1338"/>
      <c r="T565" s="1339"/>
      <c r="U565" s="1338"/>
    </row>
    <row r="566" spans="1:21" s="1337" customFormat="1" ht="52.2" customHeight="1" x14ac:dyDescent="0.25">
      <c r="A566" s="1292">
        <f>IF(C566&gt;0,COUNT(C$132:C566),"")</f>
        <v>122</v>
      </c>
      <c r="B566" s="1226" t="s">
        <v>2931</v>
      </c>
      <c r="C566" s="1227">
        <v>1</v>
      </c>
      <c r="D566" s="1284" t="s">
        <v>13</v>
      </c>
      <c r="E566" s="1323">
        <v>4500</v>
      </c>
      <c r="F566" s="1230">
        <f>E566*C566</f>
        <v>4500</v>
      </c>
      <c r="G566" s="1336"/>
      <c r="S566" s="1338"/>
      <c r="T566" s="1339"/>
      <c r="U566" s="1338"/>
    </row>
    <row r="567" spans="1:21" s="1337" customFormat="1" x14ac:dyDescent="0.25">
      <c r="A567" s="1292"/>
      <c r="B567" s="1320"/>
      <c r="C567" s="1321"/>
      <c r="D567" s="1322"/>
      <c r="E567" s="1323"/>
      <c r="F567" s="1340"/>
      <c r="G567" s="1336"/>
      <c r="S567" s="1338"/>
      <c r="T567" s="1339"/>
      <c r="U567" s="1338"/>
    </row>
    <row r="568" spans="1:21" ht="60" customHeight="1" x14ac:dyDescent="0.25">
      <c r="A568" s="1292">
        <f>IF(C568&gt;0,COUNT(C$132:C568),"")</f>
        <v>123</v>
      </c>
      <c r="B568" s="1232" t="s">
        <v>2932</v>
      </c>
      <c r="C568" s="1227">
        <v>1</v>
      </c>
      <c r="D568" s="1284" t="s">
        <v>13</v>
      </c>
      <c r="E568" s="1229">
        <v>25000</v>
      </c>
      <c r="F568" s="1230">
        <f>E568*C568</f>
        <v>25000</v>
      </c>
      <c r="S568" s="1328"/>
      <c r="T568" s="1286"/>
      <c r="U568" s="1328"/>
    </row>
    <row r="569" spans="1:21" x14ac:dyDescent="0.25">
      <c r="A569" s="1292" t="str">
        <f>IF(C569&gt;0,COUNT(C$132:C569),"")</f>
        <v/>
      </c>
      <c r="B569" s="1226"/>
      <c r="C569" s="1227"/>
      <c r="D569" s="1284"/>
      <c r="E569" s="1229"/>
      <c r="F569" s="1290"/>
      <c r="S569" s="1328"/>
      <c r="T569" s="1286"/>
      <c r="U569" s="1328"/>
    </row>
    <row r="570" spans="1:21" ht="67.8" customHeight="1" x14ac:dyDescent="0.25">
      <c r="A570" s="1292">
        <f>IF(C570&gt;0,COUNT(C$132:C570),"")</f>
        <v>124</v>
      </c>
      <c r="B570" s="1301" t="s">
        <v>2933</v>
      </c>
      <c r="C570" s="1227">
        <v>1</v>
      </c>
      <c r="D570" s="1284" t="s">
        <v>13</v>
      </c>
      <c r="E570" s="1229">
        <v>200000</v>
      </c>
      <c r="F570" s="1230">
        <f>E570*C570</f>
        <v>200000</v>
      </c>
      <c r="S570" s="1328"/>
      <c r="T570" s="1286"/>
      <c r="U570" s="1328"/>
    </row>
    <row r="571" spans="1:21" x14ac:dyDescent="0.25">
      <c r="A571" s="1292" t="str">
        <f>IF(C571&gt;0,COUNT(C$132:C571),"")</f>
        <v/>
      </c>
      <c r="B571" s="1341"/>
      <c r="C571" s="1227"/>
      <c r="D571" s="1284"/>
      <c r="E571" s="1229"/>
      <c r="F571" s="1290"/>
      <c r="S571" s="1328"/>
      <c r="T571" s="1286"/>
      <c r="U571" s="1328"/>
    </row>
    <row r="572" spans="1:21" s="1345" customFormat="1" ht="34.799999999999997" customHeight="1" x14ac:dyDescent="0.25">
      <c r="A572" s="1292">
        <f>IF(C572&gt;0,COUNT(C$132:C572),"")</f>
        <v>125</v>
      </c>
      <c r="B572" s="1301" t="s">
        <v>2934</v>
      </c>
      <c r="C572" s="1342">
        <v>1</v>
      </c>
      <c r="D572" s="1343" t="s">
        <v>13</v>
      </c>
      <c r="E572" s="1344">
        <v>50000</v>
      </c>
      <c r="F572" s="1230">
        <f>E572*C572</f>
        <v>50000</v>
      </c>
    </row>
    <row r="573" spans="1:21" s="1345" customFormat="1" x14ac:dyDescent="0.25">
      <c r="A573" s="1292" t="str">
        <f>IF(C573&gt;0,COUNT(C$132:C573),"")</f>
        <v/>
      </c>
      <c r="B573" s="1301"/>
      <c r="C573" s="1342"/>
      <c r="D573" s="1343"/>
      <c r="E573" s="1344"/>
      <c r="F573" s="1230"/>
    </row>
    <row r="574" spans="1:21" s="1345" customFormat="1" x14ac:dyDescent="0.25">
      <c r="A574" s="1292" t="str">
        <f>IF(C574&gt;0,COUNT(C$132:C574),"")</f>
        <v/>
      </c>
      <c r="B574" s="1300" t="s">
        <v>2935</v>
      </c>
      <c r="C574" s="1227"/>
      <c r="D574" s="1284"/>
      <c r="E574" s="1229"/>
      <c r="F574" s="1290"/>
    </row>
    <row r="575" spans="1:21" s="1345" customFormat="1" ht="36" customHeight="1" x14ac:dyDescent="0.25">
      <c r="A575" s="1292">
        <f>IF(C575&gt;0,COUNT(C$132:C575),"")</f>
        <v>126</v>
      </c>
      <c r="B575" s="1301" t="s">
        <v>2936</v>
      </c>
      <c r="C575" s="1342">
        <v>1</v>
      </c>
      <c r="D575" s="1343" t="s">
        <v>13</v>
      </c>
      <c r="E575" s="1344">
        <v>110000</v>
      </c>
      <c r="F575" s="1230">
        <f>E575*C575</f>
        <v>110000</v>
      </c>
    </row>
    <row r="576" spans="1:21" s="1347" customFormat="1" x14ac:dyDescent="0.25">
      <c r="A576" s="1292" t="str">
        <f>IF(C576&gt;0,COUNT(C$132:C576),"")</f>
        <v/>
      </c>
      <c r="B576" s="1301"/>
      <c r="C576" s="1227"/>
      <c r="D576" s="1284"/>
      <c r="E576" s="1229"/>
      <c r="F576" s="1290"/>
      <c r="G576" s="1346"/>
      <c r="S576" s="1348"/>
      <c r="T576" s="1286"/>
      <c r="U576" s="1348"/>
    </row>
    <row r="577" spans="1:23" s="1345" customFormat="1" x14ac:dyDescent="0.25">
      <c r="A577" s="1292" t="str">
        <f>IF(C577&gt;0,COUNT(C$132:C577),"")</f>
        <v/>
      </c>
      <c r="B577" s="1300" t="s">
        <v>2937</v>
      </c>
      <c r="C577" s="1227"/>
      <c r="D577" s="1284"/>
      <c r="E577" s="1229"/>
      <c r="F577" s="1290"/>
    </row>
    <row r="578" spans="1:23" s="1345" customFormat="1" ht="34.200000000000003" customHeight="1" x14ac:dyDescent="0.25">
      <c r="A578" s="1292">
        <f>IF(C578&gt;0,COUNT(C$132:C578),"")</f>
        <v>127</v>
      </c>
      <c r="B578" s="1226" t="s">
        <v>2938</v>
      </c>
      <c r="C578" s="1227">
        <v>1</v>
      </c>
      <c r="D578" s="1284" t="s">
        <v>13</v>
      </c>
      <c r="E578" s="1229">
        <v>60000</v>
      </c>
      <c r="F578" s="1230">
        <f>E578*C578</f>
        <v>60000</v>
      </c>
    </row>
    <row r="579" spans="1:23" s="1345" customFormat="1" x14ac:dyDescent="0.25">
      <c r="A579" s="1292" t="str">
        <f>IF(C579&gt;0,COUNT(C$132:C579),"")</f>
        <v/>
      </c>
      <c r="B579" s="1226"/>
      <c r="C579" s="1227"/>
      <c r="D579" s="1284"/>
      <c r="E579" s="1229"/>
      <c r="F579" s="1290"/>
    </row>
    <row r="580" spans="1:23" s="1345" customFormat="1" x14ac:dyDescent="0.25">
      <c r="A580" s="1292" t="str">
        <f>IF(C580&gt;0,COUNT(C$132:C580),"")</f>
        <v/>
      </c>
      <c r="B580" s="1300" t="s">
        <v>2939</v>
      </c>
      <c r="C580" s="1227"/>
      <c r="D580" s="1284"/>
      <c r="E580" s="1229"/>
      <c r="F580" s="1290"/>
    </row>
    <row r="581" spans="1:23" s="1345" customFormat="1" ht="17.399999999999999" customHeight="1" x14ac:dyDescent="0.25">
      <c r="A581" s="1292">
        <f>IF(C581&gt;0,COUNT(C$132:C581),"")</f>
        <v>128</v>
      </c>
      <c r="B581" s="1308" t="s">
        <v>2940</v>
      </c>
      <c r="C581" s="1227">
        <v>1</v>
      </c>
      <c r="D581" s="1284" t="s">
        <v>13</v>
      </c>
      <c r="E581" s="1229">
        <v>60000</v>
      </c>
      <c r="F581" s="1230">
        <f>E581*C581</f>
        <v>60000</v>
      </c>
    </row>
    <row r="582" spans="1:23" s="1345" customFormat="1" x14ac:dyDescent="0.25">
      <c r="A582" s="1292" t="str">
        <f>IF(C582&gt;0,COUNT(C$132:C582),"")</f>
        <v/>
      </c>
      <c r="B582" s="1226"/>
      <c r="C582" s="1227"/>
      <c r="D582" s="1284"/>
      <c r="E582" s="1229"/>
      <c r="F582" s="1290"/>
    </row>
    <row r="583" spans="1:23" s="1345" customFormat="1" ht="21" customHeight="1" x14ac:dyDescent="0.25">
      <c r="A583" s="1292" t="str">
        <f>IF(C583&gt;0,COUNT(C$132:C583),"")</f>
        <v/>
      </c>
      <c r="B583" s="1300" t="s">
        <v>2941</v>
      </c>
      <c r="C583" s="1227"/>
      <c r="D583" s="1284"/>
      <c r="E583" s="1229"/>
      <c r="F583" s="1290"/>
    </row>
    <row r="584" spans="1:23" s="1345" customFormat="1" ht="64.2" customHeight="1" x14ac:dyDescent="0.25">
      <c r="A584" s="1292">
        <f>IF(C584&gt;0,COUNT(C$132:C584),"")</f>
        <v>129</v>
      </c>
      <c r="B584" s="1226" t="s">
        <v>2942</v>
      </c>
      <c r="C584" s="1227">
        <v>1</v>
      </c>
      <c r="D584" s="1284" t="s">
        <v>13</v>
      </c>
      <c r="E584" s="1229"/>
      <c r="F584" s="1230">
        <f>E584*C584</f>
        <v>0</v>
      </c>
    </row>
    <row r="585" spans="1:23" s="1345" customFormat="1" x14ac:dyDescent="0.25">
      <c r="A585" s="1292" t="str">
        <f>IF(C585&gt;0,COUNT(C$132:C585),"")</f>
        <v/>
      </c>
      <c r="B585" s="1226"/>
      <c r="C585" s="1227"/>
      <c r="D585" s="1284"/>
      <c r="E585" s="1229"/>
      <c r="F585" s="1290"/>
    </row>
    <row r="586" spans="1:23" s="1345" customFormat="1" x14ac:dyDescent="0.25">
      <c r="A586" s="1349" t="str">
        <f>IF(C586&gt;0,COUNT(C$117:C586),"")</f>
        <v/>
      </c>
      <c r="B586" s="1350" t="s">
        <v>2943</v>
      </c>
      <c r="C586" s="1351"/>
      <c r="D586" s="1352"/>
      <c r="E586" s="1353" t="s">
        <v>83</v>
      </c>
      <c r="F586" s="1698">
        <f>SUM(F133:F585)</f>
        <v>29037050</v>
      </c>
    </row>
    <row r="587" spans="1:23" s="1345" customFormat="1" x14ac:dyDescent="0.25">
      <c r="A587" s="1699"/>
      <c r="B587" s="1700"/>
      <c r="C587" s="1701"/>
      <c r="D587" s="1702"/>
      <c r="E587" s="1703"/>
      <c r="F587" s="1704"/>
    </row>
    <row r="588" spans="1:23" s="1347" customFormat="1" ht="27.6" x14ac:dyDescent="0.25">
      <c r="A588" s="1705"/>
      <c r="B588" s="1277" t="s">
        <v>2944</v>
      </c>
      <c r="C588" s="1356"/>
      <c r="D588" s="1357"/>
      <c r="E588" s="1358"/>
      <c r="F588" s="1487"/>
      <c r="U588" s="1348"/>
      <c r="V588" s="1286"/>
      <c r="W588" s="1348"/>
    </row>
    <row r="589" spans="1:23" s="1347" customFormat="1" x14ac:dyDescent="0.25">
      <c r="A589" s="1705"/>
      <c r="B589" s="1277"/>
      <c r="C589" s="1356"/>
      <c r="D589" s="1357"/>
      <c r="E589" s="1358"/>
      <c r="F589" s="1487"/>
      <c r="U589" s="1348"/>
      <c r="V589" s="1286"/>
      <c r="W589" s="1348"/>
    </row>
    <row r="590" spans="1:23" s="1347" customFormat="1" x14ac:dyDescent="0.25">
      <c r="A590" s="1705"/>
      <c r="B590" s="1288" t="s">
        <v>2945</v>
      </c>
      <c r="C590" s="1356"/>
      <c r="D590" s="1357"/>
      <c r="E590" s="1358"/>
      <c r="F590" s="1487"/>
      <c r="U590" s="1348"/>
      <c r="V590" s="1286"/>
      <c r="W590" s="1348"/>
    </row>
    <row r="591" spans="1:23" s="1347" customFormat="1" x14ac:dyDescent="0.25">
      <c r="A591" s="1705"/>
      <c r="B591" s="1288"/>
      <c r="C591" s="1356"/>
      <c r="D591" s="1357"/>
      <c r="E591" s="1358"/>
      <c r="F591" s="1487"/>
      <c r="U591" s="1348"/>
      <c r="V591" s="1286"/>
      <c r="W591" s="1348"/>
    </row>
    <row r="592" spans="1:23" s="1347" customFormat="1" x14ac:dyDescent="0.25">
      <c r="A592" s="1705"/>
      <c r="B592" s="1288" t="s">
        <v>2946</v>
      </c>
      <c r="C592" s="1356"/>
      <c r="D592" s="1357"/>
      <c r="E592" s="1358"/>
      <c r="F592" s="1487"/>
      <c r="U592" s="1348"/>
      <c r="V592" s="1286"/>
      <c r="W592" s="1348"/>
    </row>
    <row r="593" spans="1:23" s="1347" customFormat="1" x14ac:dyDescent="0.25">
      <c r="A593" s="1705"/>
      <c r="B593" s="1288"/>
      <c r="C593" s="1356"/>
      <c r="D593" s="1357"/>
      <c r="E593" s="1358"/>
      <c r="F593" s="1487"/>
      <c r="U593" s="1348"/>
      <c r="V593" s="1286"/>
      <c r="W593" s="1348"/>
    </row>
    <row r="594" spans="1:23" s="1260" customFormat="1" x14ac:dyDescent="0.25">
      <c r="A594" s="1706"/>
      <c r="B594" s="1277" t="s">
        <v>2947</v>
      </c>
      <c r="C594" s="1359"/>
      <c r="D594" s="1360"/>
      <c r="E594" s="1361"/>
      <c r="F594" s="1437"/>
      <c r="G594" s="1259"/>
    </row>
    <row r="595" spans="1:23" s="1260" customFormat="1" x14ac:dyDescent="0.25">
      <c r="A595" s="1706"/>
      <c r="B595" s="1277"/>
      <c r="C595" s="1359"/>
      <c r="D595" s="1360"/>
      <c r="E595" s="1361"/>
      <c r="F595" s="1437"/>
      <c r="G595" s="1259"/>
    </row>
    <row r="596" spans="1:23" s="1260" customFormat="1" x14ac:dyDescent="0.25">
      <c r="A596" s="1706"/>
      <c r="B596" s="1277" t="s">
        <v>2948</v>
      </c>
      <c r="C596" s="1359"/>
      <c r="D596" s="1360"/>
      <c r="E596" s="1361"/>
      <c r="F596" s="1437"/>
      <c r="G596" s="1259"/>
    </row>
    <row r="597" spans="1:23" s="1260" customFormat="1" x14ac:dyDescent="0.25">
      <c r="A597" s="1706"/>
      <c r="B597" s="1277"/>
      <c r="C597" s="1359"/>
      <c r="D597" s="1360"/>
      <c r="E597" s="1361"/>
      <c r="F597" s="1437"/>
      <c r="G597" s="1259"/>
    </row>
    <row r="598" spans="1:23" s="1260" customFormat="1" x14ac:dyDescent="0.25">
      <c r="A598" s="1706"/>
      <c r="B598" s="1277" t="s">
        <v>2949</v>
      </c>
      <c r="C598" s="1359"/>
      <c r="D598" s="1360"/>
      <c r="E598" s="1361"/>
      <c r="F598" s="1437"/>
      <c r="G598" s="1259"/>
    </row>
    <row r="599" spans="1:23" s="1260" customFormat="1" x14ac:dyDescent="0.25">
      <c r="A599" s="1706"/>
      <c r="B599" s="1277"/>
      <c r="C599" s="1359"/>
      <c r="D599" s="1360"/>
      <c r="E599" s="1361"/>
      <c r="F599" s="1437"/>
      <c r="G599" s="1259"/>
    </row>
    <row r="600" spans="1:23" s="1347" customFormat="1" x14ac:dyDescent="0.25">
      <c r="A600" s="1705"/>
      <c r="B600" s="1288" t="s">
        <v>2950</v>
      </c>
      <c r="C600" s="1356"/>
      <c r="D600" s="1357"/>
      <c r="E600" s="1358"/>
      <c r="F600" s="1487"/>
      <c r="U600" s="1348"/>
      <c r="V600" s="1286"/>
      <c r="W600" s="1348"/>
    </row>
    <row r="601" spans="1:23" s="1347" customFormat="1" x14ac:dyDescent="0.25">
      <c r="A601" s="1705"/>
      <c r="B601" s="1288"/>
      <c r="C601" s="1356"/>
      <c r="D601" s="1357"/>
      <c r="E601" s="1358"/>
      <c r="F601" s="1487"/>
      <c r="U601" s="1348"/>
      <c r="V601" s="1286"/>
      <c r="W601" s="1348"/>
    </row>
    <row r="602" spans="1:23" s="1347" customFormat="1" x14ac:dyDescent="0.25">
      <c r="A602" s="1705"/>
      <c r="B602" s="1288" t="s">
        <v>2951</v>
      </c>
      <c r="C602" s="1356"/>
      <c r="D602" s="1357"/>
      <c r="E602" s="1358"/>
      <c r="F602" s="1487"/>
      <c r="U602" s="1348"/>
      <c r="V602" s="1286"/>
      <c r="W602" s="1348"/>
    </row>
    <row r="603" spans="1:23" s="1347" customFormat="1" x14ac:dyDescent="0.25">
      <c r="A603" s="1705"/>
      <c r="B603" s="1288"/>
      <c r="C603" s="1356"/>
      <c r="D603" s="1357"/>
      <c r="E603" s="1358"/>
      <c r="F603" s="1487"/>
      <c r="U603" s="1348"/>
      <c r="V603" s="1286"/>
      <c r="W603" s="1348"/>
    </row>
    <row r="604" spans="1:23" s="1347" customFormat="1" x14ac:dyDescent="0.25">
      <c r="A604" s="1705"/>
      <c r="B604" s="1288" t="s">
        <v>2952</v>
      </c>
      <c r="C604" s="1356"/>
      <c r="D604" s="1357"/>
      <c r="E604" s="1358"/>
      <c r="F604" s="1487"/>
      <c r="U604" s="1348"/>
      <c r="V604" s="1286"/>
      <c r="W604" s="1348"/>
    </row>
    <row r="605" spans="1:23" s="1347" customFormat="1" x14ac:dyDescent="0.25">
      <c r="A605" s="1705"/>
      <c r="B605" s="1288"/>
      <c r="C605" s="1356"/>
      <c r="D605" s="1357"/>
      <c r="E605" s="1358"/>
      <c r="F605" s="1487"/>
      <c r="U605" s="1348"/>
      <c r="V605" s="1286"/>
      <c r="W605" s="1348"/>
    </row>
    <row r="606" spans="1:23" s="1347" customFormat="1" x14ac:dyDescent="0.25">
      <c r="A606" s="1705"/>
      <c r="B606" s="1288" t="s">
        <v>2953</v>
      </c>
      <c r="C606" s="1356"/>
      <c r="D606" s="1357"/>
      <c r="E606" s="1358"/>
      <c r="F606" s="1487"/>
      <c r="U606" s="1348"/>
      <c r="V606" s="1286"/>
      <c r="W606" s="1348"/>
    </row>
    <row r="607" spans="1:23" s="1347" customFormat="1" x14ac:dyDescent="0.25">
      <c r="A607" s="1705"/>
      <c r="B607" s="1288"/>
      <c r="C607" s="1356"/>
      <c r="D607" s="1357"/>
      <c r="E607" s="1358"/>
      <c r="F607" s="1487"/>
      <c r="U607" s="1348"/>
      <c r="V607" s="1286"/>
      <c r="W607" s="1348"/>
    </row>
    <row r="608" spans="1:23" s="1347" customFormat="1" x14ac:dyDescent="0.25">
      <c r="A608" s="1705"/>
      <c r="B608" s="1288" t="s">
        <v>2954</v>
      </c>
      <c r="C608" s="1356"/>
      <c r="D608" s="1357"/>
      <c r="E608" s="1358"/>
      <c r="F608" s="1487"/>
      <c r="U608" s="1348"/>
      <c r="V608" s="1286"/>
      <c r="W608" s="1348"/>
    </row>
    <row r="609" spans="1:23" s="1347" customFormat="1" x14ac:dyDescent="0.25">
      <c r="A609" s="1705"/>
      <c r="B609" s="1288"/>
      <c r="C609" s="1356"/>
      <c r="D609" s="1357"/>
      <c r="E609" s="1358"/>
      <c r="F609" s="1487"/>
      <c r="U609" s="1348"/>
      <c r="V609" s="1286"/>
      <c r="W609" s="1348"/>
    </row>
    <row r="610" spans="1:23" s="1347" customFormat="1" x14ac:dyDescent="0.25">
      <c r="A610" s="1705"/>
      <c r="B610" s="1288" t="s">
        <v>2955</v>
      </c>
      <c r="C610" s="1356"/>
      <c r="D610" s="1357"/>
      <c r="E610" s="1358"/>
      <c r="F610" s="1487"/>
      <c r="U610" s="1348"/>
      <c r="V610" s="1286"/>
      <c r="W610" s="1348"/>
    </row>
    <row r="611" spans="1:23" s="1347" customFormat="1" x14ac:dyDescent="0.25">
      <c r="A611" s="1705"/>
      <c r="B611" s="1268"/>
      <c r="C611" s="1356"/>
      <c r="D611" s="1357"/>
      <c r="E611" s="1358"/>
      <c r="F611" s="1487"/>
      <c r="U611" s="1348"/>
      <c r="V611" s="1286"/>
      <c r="W611" s="1348"/>
    </row>
    <row r="612" spans="1:23" s="1347" customFormat="1" x14ac:dyDescent="0.25">
      <c r="A612" s="1705"/>
      <c r="B612" s="1288" t="s">
        <v>2956</v>
      </c>
      <c r="C612" s="1356"/>
      <c r="D612" s="1357"/>
      <c r="E612" s="1358"/>
      <c r="F612" s="1487"/>
      <c r="U612" s="1348"/>
      <c r="V612" s="1286"/>
      <c r="W612" s="1348"/>
    </row>
    <row r="613" spans="1:23" s="1347" customFormat="1" x14ac:dyDescent="0.25">
      <c r="A613" s="1705"/>
      <c r="B613" s="1288"/>
      <c r="C613" s="1356"/>
      <c r="D613" s="1357"/>
      <c r="E613" s="1358"/>
      <c r="F613" s="1487"/>
      <c r="U613" s="1348"/>
      <c r="V613" s="1286"/>
      <c r="W613" s="1348"/>
    </row>
    <row r="614" spans="1:23" s="1347" customFormat="1" x14ac:dyDescent="0.25">
      <c r="A614" s="1705"/>
      <c r="B614" s="1288" t="s">
        <v>2957</v>
      </c>
      <c r="C614" s="1356"/>
      <c r="D614" s="1357"/>
      <c r="E614" s="1358"/>
      <c r="F614" s="1487"/>
      <c r="U614" s="1348"/>
      <c r="V614" s="1286"/>
      <c r="W614" s="1348"/>
    </row>
    <row r="615" spans="1:23" s="1345" customFormat="1" x14ac:dyDescent="0.25">
      <c r="A615" s="1705"/>
      <c r="B615" s="1355"/>
      <c r="C615" s="1356"/>
      <c r="D615" s="1357"/>
      <c r="E615" s="1358"/>
      <c r="F615" s="1487"/>
    </row>
    <row r="616" spans="1:23" s="1260" customFormat="1" x14ac:dyDescent="0.25">
      <c r="A616" s="1706"/>
      <c r="B616" s="1362" t="s">
        <v>2958</v>
      </c>
      <c r="C616" s="1359"/>
      <c r="D616" s="1360"/>
      <c r="E616" s="1361"/>
      <c r="F616" s="1437"/>
      <c r="G616" s="1259"/>
    </row>
    <row r="617" spans="1:23" s="1260" customFormat="1" x14ac:dyDescent="0.25">
      <c r="A617" s="1706"/>
      <c r="B617" s="1277"/>
      <c r="C617" s="1359"/>
      <c r="D617" s="1360"/>
      <c r="E617" s="1361"/>
      <c r="F617" s="1437"/>
      <c r="G617" s="1259"/>
    </row>
    <row r="618" spans="1:23" s="1260" customFormat="1" x14ac:dyDescent="0.25">
      <c r="A618" s="1706"/>
      <c r="B618" s="1277" t="s">
        <v>2959</v>
      </c>
      <c r="C618" s="1359"/>
      <c r="D618" s="1360"/>
      <c r="E618" s="1361"/>
      <c r="F618" s="1437"/>
      <c r="G618" s="1259"/>
      <c r="S618" s="1285"/>
      <c r="T618" s="1286"/>
      <c r="U618" s="1285"/>
    </row>
    <row r="619" spans="1:23" s="1260" customFormat="1" x14ac:dyDescent="0.25">
      <c r="A619" s="1706"/>
      <c r="B619" s="1277"/>
      <c r="C619" s="1359"/>
      <c r="D619" s="1360"/>
      <c r="E619" s="1361"/>
      <c r="F619" s="1437"/>
      <c r="G619" s="1259"/>
      <c r="S619" s="1285"/>
      <c r="T619" s="1286"/>
      <c r="U619" s="1285"/>
    </row>
    <row r="620" spans="1:23" s="1260" customFormat="1" x14ac:dyDescent="0.25">
      <c r="A620" s="1706"/>
      <c r="B620" s="1277" t="s">
        <v>2960</v>
      </c>
      <c r="C620" s="1359"/>
      <c r="D620" s="1360"/>
      <c r="E620" s="1361"/>
      <c r="F620" s="1437"/>
      <c r="G620" s="1259"/>
      <c r="S620" s="1285"/>
      <c r="T620" s="1286"/>
      <c r="U620" s="1285"/>
    </row>
    <row r="621" spans="1:23" s="1260" customFormat="1" x14ac:dyDescent="0.25">
      <c r="A621" s="1706"/>
      <c r="B621" s="1277"/>
      <c r="C621" s="1359"/>
      <c r="D621" s="1360"/>
      <c r="E621" s="1361"/>
      <c r="F621" s="1437"/>
      <c r="G621" s="1259"/>
      <c r="S621" s="1285"/>
      <c r="T621" s="1286"/>
      <c r="U621" s="1285"/>
    </row>
    <row r="622" spans="1:23" s="1345" customFormat="1" ht="41.4" x14ac:dyDescent="0.25">
      <c r="A622" s="1707"/>
      <c r="B622" s="1364" t="s">
        <v>2961</v>
      </c>
      <c r="C622" s="1365"/>
      <c r="D622" s="1366"/>
      <c r="E622" s="1367"/>
      <c r="F622" s="1708"/>
    </row>
    <row r="623" spans="1:23" s="1345" customFormat="1" x14ac:dyDescent="0.25">
      <c r="A623" s="1707"/>
      <c r="B623" s="1364"/>
      <c r="C623" s="1365"/>
      <c r="D623" s="1366"/>
      <c r="E623" s="1367"/>
      <c r="F623" s="1708"/>
    </row>
    <row r="624" spans="1:23" s="1345" customFormat="1" ht="27.6" x14ac:dyDescent="0.25">
      <c r="A624" s="1707"/>
      <c r="B624" s="1368" t="s">
        <v>2962</v>
      </c>
      <c r="C624" s="1365"/>
      <c r="D624" s="1366"/>
      <c r="E624" s="1367"/>
      <c r="F624" s="1708"/>
    </row>
    <row r="625" spans="1:21" s="1345" customFormat="1" x14ac:dyDescent="0.25">
      <c r="A625" s="1707"/>
      <c r="B625" s="1364"/>
      <c r="C625" s="1365"/>
      <c r="D625" s="1366"/>
      <c r="E625" s="1367"/>
      <c r="F625" s="1708"/>
    </row>
    <row r="626" spans="1:21" s="1345" customFormat="1" ht="27.6" x14ac:dyDescent="0.25">
      <c r="A626" s="1707"/>
      <c r="B626" s="1265" t="s">
        <v>2963</v>
      </c>
      <c r="C626" s="1365"/>
      <c r="D626" s="1366"/>
      <c r="E626" s="1367"/>
      <c r="F626" s="1709"/>
    </row>
    <row r="627" spans="1:21" s="1345" customFormat="1" x14ac:dyDescent="0.25">
      <c r="A627" s="1707"/>
      <c r="B627" s="1370"/>
      <c r="C627" s="1365"/>
      <c r="D627" s="1366"/>
      <c r="E627" s="1367"/>
      <c r="F627" s="1709"/>
    </row>
    <row r="628" spans="1:21" s="1345" customFormat="1" x14ac:dyDescent="0.25">
      <c r="A628" s="1707"/>
      <c r="B628" s="1370"/>
      <c r="C628" s="1365"/>
      <c r="D628" s="1366"/>
      <c r="E628" s="1367"/>
      <c r="F628" s="1709"/>
    </row>
    <row r="629" spans="1:21" s="1345" customFormat="1" x14ac:dyDescent="0.25">
      <c r="A629" s="1707"/>
      <c r="B629" s="1371" t="s">
        <v>2964</v>
      </c>
      <c r="C629" s="1365"/>
      <c r="D629" s="1366"/>
      <c r="E629" s="1367"/>
      <c r="F629" s="1709"/>
    </row>
    <row r="630" spans="1:21" s="1345" customFormat="1" x14ac:dyDescent="0.25">
      <c r="A630" s="1707"/>
      <c r="B630" s="1371"/>
      <c r="C630" s="1365"/>
      <c r="D630" s="1366"/>
      <c r="E630" s="1367"/>
      <c r="F630" s="1709"/>
    </row>
    <row r="631" spans="1:21" s="1345" customFormat="1" x14ac:dyDescent="0.25">
      <c r="A631" s="1707"/>
      <c r="B631" s="1371"/>
      <c r="C631" s="1365"/>
      <c r="D631" s="1366"/>
      <c r="E631" s="1367"/>
      <c r="F631" s="1709"/>
    </row>
    <row r="632" spans="1:21" s="1345" customFormat="1" x14ac:dyDescent="0.25">
      <c r="A632" s="1707"/>
      <c r="B632" s="1371"/>
      <c r="C632" s="1365"/>
      <c r="D632" s="1366"/>
      <c r="E632" s="1367"/>
      <c r="F632" s="1709"/>
    </row>
    <row r="633" spans="1:21" s="1345" customFormat="1" x14ac:dyDescent="0.25">
      <c r="A633" s="1707"/>
      <c r="B633" s="1371" t="s">
        <v>2965</v>
      </c>
      <c r="C633" s="1365"/>
      <c r="D633" s="1366"/>
      <c r="E633" s="1367"/>
      <c r="F633" s="1709"/>
    </row>
    <row r="634" spans="1:21" s="1345" customFormat="1" x14ac:dyDescent="0.25">
      <c r="A634" s="1707"/>
      <c r="B634" s="1371"/>
      <c r="C634" s="1365"/>
      <c r="D634" s="1366"/>
      <c r="E634" s="1367"/>
      <c r="F634" s="1709"/>
    </row>
    <row r="635" spans="1:21" x14ac:dyDescent="0.25">
      <c r="A635" s="1707"/>
      <c r="B635" s="1371"/>
      <c r="C635" s="1365"/>
      <c r="D635" s="1366"/>
      <c r="E635" s="1370"/>
      <c r="F635" s="1710"/>
      <c r="S635" s="1328"/>
      <c r="T635" s="1286"/>
      <c r="U635" s="1328"/>
    </row>
    <row r="636" spans="1:21" x14ac:dyDescent="0.25">
      <c r="A636" s="1707"/>
      <c r="B636" s="1371"/>
      <c r="C636" s="1365"/>
      <c r="D636" s="1366"/>
      <c r="E636" s="1370"/>
      <c r="F636" s="1710"/>
      <c r="S636" s="1328"/>
      <c r="T636" s="1286"/>
      <c r="U636" s="1328"/>
    </row>
    <row r="637" spans="1:21" x14ac:dyDescent="0.25">
      <c r="A637" s="1707"/>
      <c r="B637" s="1371" t="s">
        <v>2966</v>
      </c>
      <c r="C637" s="1365"/>
      <c r="D637" s="1366"/>
      <c r="E637" s="1370"/>
      <c r="F637" s="1710"/>
      <c r="S637" s="1328"/>
      <c r="T637" s="1286"/>
      <c r="U637" s="1328"/>
    </row>
    <row r="638" spans="1:21" x14ac:dyDescent="0.25">
      <c r="A638" s="1707"/>
      <c r="B638" s="1371"/>
      <c r="C638" s="1365"/>
      <c r="D638" s="1366"/>
      <c r="E638" s="1370"/>
      <c r="F638" s="1710"/>
    </row>
    <row r="639" spans="1:21" x14ac:dyDescent="0.25">
      <c r="A639" s="1707"/>
      <c r="B639" s="1371"/>
      <c r="C639" s="1365"/>
      <c r="D639" s="1366"/>
      <c r="E639" s="1370"/>
      <c r="F639" s="1710"/>
    </row>
    <row r="640" spans="1:21" x14ac:dyDescent="0.25">
      <c r="A640" s="1707"/>
      <c r="B640" s="1371"/>
      <c r="C640" s="1365"/>
      <c r="D640" s="1366"/>
      <c r="E640" s="1370"/>
      <c r="F640" s="1710"/>
    </row>
    <row r="641" spans="1:6" x14ac:dyDescent="0.25">
      <c r="A641" s="1711"/>
      <c r="B641" s="1712" t="s">
        <v>2967</v>
      </c>
      <c r="C641" s="1713"/>
      <c r="D641" s="1714"/>
      <c r="E641" s="1715"/>
      <c r="F641" s="1716"/>
    </row>
    <row r="642" spans="1:6" x14ac:dyDescent="0.25">
      <c r="A642" s="1363"/>
      <c r="B642" s="1370"/>
      <c r="C642" s="1365"/>
      <c r="D642" s="1366"/>
      <c r="E642" s="1367"/>
      <c r="F642" s="1369"/>
    </row>
    <row r="673" spans="1:23" s="1372" customFormat="1" x14ac:dyDescent="0.25">
      <c r="A673" s="1373"/>
      <c r="B673" s="1327"/>
      <c r="D673" s="1375"/>
      <c r="E673" s="1376"/>
      <c r="F673" s="1377"/>
      <c r="G673" s="1247"/>
      <c r="H673" s="1327"/>
      <c r="I673" s="1327"/>
      <c r="J673" s="1327"/>
      <c r="K673" s="1327"/>
      <c r="L673" s="1327"/>
      <c r="M673" s="1327"/>
      <c r="N673" s="1327"/>
      <c r="O673" s="1327"/>
      <c r="P673" s="1327"/>
      <c r="Q673" s="1327"/>
      <c r="R673" s="1327"/>
      <c r="S673" s="1327"/>
      <c r="T673" s="1327"/>
      <c r="U673" s="1327"/>
      <c r="V673" s="1327"/>
      <c r="W673" s="1327"/>
    </row>
  </sheetData>
  <protectedRanges>
    <protectedRange password="D55D" sqref="B117:B118 B120:B130" name="Range1_3_1_1"/>
    <protectedRange password="D55D" sqref="B119" name="Range1_3_1_1_3"/>
    <protectedRange password="D55D" sqref="B409 B337 B411 B377 B347 B343 B381 B383:B384 B514:B516 B520:B521 B534 B532 B444 B403 B446 B438 B442 B448:B449 B475 B479 B379 B481 B339:B341 B518 B413 B345 B407 B487 B415:B416 B483 B485 B471" name="Range1_3_1_1_6_9_3"/>
    <protectedRange password="D55D" sqref="B376 B441 B408 B443 B437 B480 B338 B478 B513 B336 B406 B470 B378 B402 B474" name="Range1_3_1_1_6_9_8"/>
    <protectedRange password="D55D" sqref="B257:B260 B133 B148 B169:B171 B186:B189 B222:B225 B204:B207 B194:B197 B159:B162 B233:B236 B176:B179 B281 B265:B266 B268 B239:B242 B248:B251 B212:B215" name="Range1_3_1_1_6_24"/>
    <protectedRange password="D55D" sqref="B348 B350 B488 B490 B523 B352 B354 B386 B388 B418 B537 B451 B453 B492 B494 B525 B527" name="Range1_3_1_1_6_7_7_2_1"/>
    <protectedRange password="D55D" sqref="B282 B284:B286 B288:B290" name="Range1_3_1_1_6_2_1_1"/>
    <protectedRange password="D55D" sqref="B37" name="Range1_3_1_1_1_1"/>
    <protectedRange sqref="G572:G573 G575" name="Range1_4_1_1_2_1_1_2_1"/>
    <protectedRange password="D55D" sqref="B531" name="Range1_3_1_1_6_9_8_1"/>
    <protectedRange password="D55D" sqref="B132" name="Range1_3_1_1_1"/>
    <protectedRange password="D55D" sqref="B439" name="Range1_3_1_1_6_7_7_2_2"/>
    <protectedRange password="D55D" sqref="B371 B508" name="Range1_3_1_1_6_7_7"/>
    <protectedRange password="D55D" sqref="B277:B278" name="Range1_3_1_1_6_24_3"/>
    <protectedRange password="D55D" sqref="B539" name="Range1_3_1_1_6_9_3_1_1_2"/>
  </protectedRanges>
  <mergeCells count="1">
    <mergeCell ref="A3:B3"/>
  </mergeCells>
  <pageMargins left="0.74803149606299213" right="0.31496062992125984" top="0.6692913385826772" bottom="0.59055118110236227" header="0.31496062992125984" footer="0.31496062992125984"/>
  <pageSetup paperSize="9" scale="76" fitToHeight="0" orientation="portrait" r:id="rId1"/>
  <headerFooter>
    <oddHeader xml:space="preserve">&amp;R&amp;"Arial,Italic"BOQ - Electrical System
</oddHeader>
    <oddFooter>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339"/>
  <sheetViews>
    <sheetView view="pageBreakPreview" topLeftCell="A125" zoomScale="96" zoomScaleNormal="85" zoomScaleSheetLayoutView="96" workbookViewId="0">
      <selection activeCell="C87" sqref="C87"/>
    </sheetView>
  </sheetViews>
  <sheetFormatPr defaultColWidth="9.21875" defaultRowHeight="13.8" x14ac:dyDescent="0.25"/>
  <cols>
    <col min="1" max="1" width="8.21875" style="38" customWidth="1"/>
    <col min="2" max="2" width="46.21875" style="36" customWidth="1"/>
    <col min="3" max="3" width="8.44140625" style="669" bestFit="1" customWidth="1"/>
    <col min="4" max="4" width="5.44140625" style="669" bestFit="1" customWidth="1"/>
    <col min="5" max="5" width="13.6640625" style="670" bestFit="1" customWidth="1"/>
    <col min="6" max="6" width="13.21875" style="669" bestFit="1" customWidth="1"/>
    <col min="7" max="7" width="11.44140625" style="24" bestFit="1" customWidth="1"/>
    <col min="8" max="8" width="12.44140625" style="24" bestFit="1" customWidth="1"/>
    <col min="9" max="9" width="10" style="24" bestFit="1" customWidth="1"/>
    <col min="10" max="10" width="11" style="24" bestFit="1" customWidth="1"/>
    <col min="11" max="12" width="12.88671875" style="24" bestFit="1" customWidth="1"/>
    <col min="13" max="13" width="10.33203125" style="24" bestFit="1" customWidth="1"/>
    <col min="14" max="16384" width="9.21875" style="24"/>
  </cols>
  <sheetData>
    <row r="1" spans="1:6" s="31" customFormat="1" ht="14.4" thickBot="1" x14ac:dyDescent="0.3">
      <c r="A1" s="734" t="s">
        <v>0</v>
      </c>
      <c r="B1" s="735" t="s">
        <v>1</v>
      </c>
      <c r="C1" s="736" t="s">
        <v>2</v>
      </c>
      <c r="D1" s="737" t="s">
        <v>3</v>
      </c>
      <c r="E1" s="738" t="s">
        <v>4</v>
      </c>
      <c r="F1" s="739" t="s">
        <v>5</v>
      </c>
    </row>
    <row r="2" spans="1:6" s="12" customFormat="1" ht="28.05" customHeight="1" x14ac:dyDescent="0.25">
      <c r="A2" s="385"/>
      <c r="B2" s="386" t="s">
        <v>314</v>
      </c>
      <c r="C2" s="401"/>
      <c r="D2" s="401"/>
      <c r="E2" s="1019"/>
      <c r="F2" s="401"/>
    </row>
    <row r="3" spans="1:6" s="12" customFormat="1" x14ac:dyDescent="0.25">
      <c r="A3" s="360"/>
      <c r="B3" s="1020" t="s">
        <v>175</v>
      </c>
      <c r="C3" s="1151"/>
      <c r="D3" s="1151"/>
      <c r="E3" s="1152"/>
      <c r="F3" s="1151"/>
    </row>
    <row r="4" spans="1:6" s="12" customFormat="1" ht="58.2" customHeight="1" x14ac:dyDescent="0.25">
      <c r="A4" s="360"/>
      <c r="B4" s="1021" t="s">
        <v>1192</v>
      </c>
      <c r="C4" s="1151"/>
      <c r="D4" s="1151"/>
      <c r="E4" s="1152"/>
      <c r="F4" s="1151"/>
    </row>
    <row r="5" spans="1:6" s="12" customFormat="1" x14ac:dyDescent="0.25">
      <c r="A5" s="360"/>
      <c r="B5" s="1021"/>
      <c r="C5" s="1151"/>
      <c r="D5" s="1151"/>
      <c r="E5" s="1152"/>
      <c r="F5" s="1151"/>
    </row>
    <row r="6" spans="1:6" s="12" customFormat="1" ht="39.6" x14ac:dyDescent="0.25">
      <c r="A6" s="360"/>
      <c r="B6" s="1021" t="s">
        <v>2552</v>
      </c>
      <c r="C6" s="1151"/>
      <c r="D6" s="1151"/>
      <c r="E6" s="1152"/>
      <c r="F6" s="1151"/>
    </row>
    <row r="7" spans="1:6" s="12" customFormat="1" x14ac:dyDescent="0.25">
      <c r="A7" s="360"/>
      <c r="B7" s="1021"/>
      <c r="C7" s="1151"/>
      <c r="D7" s="1151"/>
      <c r="E7" s="1152"/>
      <c r="F7" s="1151"/>
    </row>
    <row r="8" spans="1:6" s="12" customFormat="1" ht="66" x14ac:dyDescent="0.25">
      <c r="A8" s="360"/>
      <c r="B8" s="1022" t="s">
        <v>1193</v>
      </c>
      <c r="C8" s="1151"/>
      <c r="D8" s="1151"/>
      <c r="E8" s="1152"/>
      <c r="F8" s="1151"/>
    </row>
    <row r="9" spans="1:6" s="12" customFormat="1" x14ac:dyDescent="0.25">
      <c r="A9" s="360"/>
      <c r="B9" s="1021"/>
      <c r="C9" s="1151"/>
      <c r="D9" s="1151"/>
      <c r="E9" s="1152"/>
      <c r="F9" s="1151"/>
    </row>
    <row r="10" spans="1:6" s="12" customFormat="1" ht="52.8" x14ac:dyDescent="0.25">
      <c r="A10" s="360"/>
      <c r="B10" s="1021" t="s">
        <v>1194</v>
      </c>
      <c r="C10" s="1151"/>
      <c r="D10" s="1151"/>
      <c r="E10" s="1152"/>
      <c r="F10" s="1151"/>
    </row>
    <row r="11" spans="1:6" s="12" customFormat="1" x14ac:dyDescent="0.25">
      <c r="A11" s="360"/>
      <c r="B11" s="1021"/>
      <c r="C11" s="1151"/>
      <c r="D11" s="1151"/>
      <c r="E11" s="1152"/>
      <c r="F11" s="1151"/>
    </row>
    <row r="12" spans="1:6" s="12" customFormat="1" ht="135.6" customHeight="1" x14ac:dyDescent="0.25">
      <c r="A12" s="360"/>
      <c r="B12" s="1021" t="s">
        <v>1195</v>
      </c>
      <c r="C12" s="1151"/>
      <c r="D12" s="1151"/>
      <c r="E12" s="1152"/>
      <c r="F12" s="1151"/>
    </row>
    <row r="13" spans="1:6" s="12" customFormat="1" x14ac:dyDescent="0.25">
      <c r="A13" s="360"/>
      <c r="B13" s="1021"/>
      <c r="C13" s="1151"/>
      <c r="D13" s="1151"/>
      <c r="E13" s="1152"/>
      <c r="F13" s="1151"/>
    </row>
    <row r="14" spans="1:6" s="12" customFormat="1" ht="34.799999999999997" customHeight="1" x14ac:dyDescent="0.25">
      <c r="A14" s="360"/>
      <c r="B14" s="1021" t="s">
        <v>1196</v>
      </c>
      <c r="C14" s="1151"/>
      <c r="D14" s="1151"/>
      <c r="E14" s="1152"/>
      <c r="F14" s="1151"/>
    </row>
    <row r="15" spans="1:6" s="12" customFormat="1" x14ac:dyDescent="0.25">
      <c r="A15" s="360"/>
      <c r="B15" s="1021"/>
      <c r="C15" s="1151"/>
      <c r="D15" s="1151"/>
      <c r="E15" s="1152"/>
      <c r="F15" s="1151"/>
    </row>
    <row r="16" spans="1:6" s="12" customFormat="1" ht="80.400000000000006" customHeight="1" x14ac:dyDescent="0.25">
      <c r="A16" s="360"/>
      <c r="B16" s="1021" t="s">
        <v>1197</v>
      </c>
      <c r="C16" s="1151"/>
      <c r="D16" s="1151"/>
      <c r="E16" s="1152"/>
      <c r="F16" s="1151"/>
    </row>
    <row r="17" spans="1:6" s="12" customFormat="1" ht="39.6" x14ac:dyDescent="0.25">
      <c r="A17" s="360"/>
      <c r="B17" s="1021" t="s">
        <v>1198</v>
      </c>
      <c r="C17" s="1151"/>
      <c r="D17" s="1151"/>
      <c r="E17" s="1152"/>
      <c r="F17" s="1151"/>
    </row>
    <row r="18" spans="1:6" s="12" customFormat="1" ht="39.6" x14ac:dyDescent="0.25">
      <c r="A18" s="360"/>
      <c r="B18" s="1021" t="s">
        <v>1199</v>
      </c>
      <c r="C18" s="1151"/>
      <c r="D18" s="1151"/>
      <c r="E18" s="1152"/>
      <c r="F18" s="1151"/>
    </row>
    <row r="19" spans="1:6" s="12" customFormat="1" ht="39.6" x14ac:dyDescent="0.25">
      <c r="A19" s="360"/>
      <c r="B19" s="1021" t="s">
        <v>1200</v>
      </c>
      <c r="C19" s="1151"/>
      <c r="D19" s="1151"/>
      <c r="E19" s="1152"/>
      <c r="F19" s="1151"/>
    </row>
    <row r="20" spans="1:6" s="12" customFormat="1" x14ac:dyDescent="0.25">
      <c r="A20" s="360"/>
      <c r="B20" s="1021"/>
      <c r="C20" s="1151"/>
      <c r="D20" s="1151"/>
      <c r="E20" s="1152"/>
      <c r="F20" s="1151"/>
    </row>
    <row r="21" spans="1:6" s="12" customFormat="1" ht="52.8" x14ac:dyDescent="0.25">
      <c r="A21" s="360"/>
      <c r="B21" s="1021" t="s">
        <v>1201</v>
      </c>
      <c r="C21" s="1151"/>
      <c r="D21" s="1151"/>
      <c r="E21" s="1152"/>
      <c r="F21" s="1151"/>
    </row>
    <row r="22" spans="1:6" s="12" customFormat="1" x14ac:dyDescent="0.25">
      <c r="A22" s="956"/>
      <c r="B22" s="1043"/>
      <c r="C22" s="957"/>
      <c r="D22" s="957"/>
      <c r="E22" s="1012"/>
      <c r="F22" s="957"/>
    </row>
    <row r="23" spans="1:6" s="12" customFormat="1" ht="43.2" customHeight="1" x14ac:dyDescent="0.25">
      <c r="A23" s="229"/>
      <c r="B23" s="1044" t="s">
        <v>1202</v>
      </c>
      <c r="C23" s="719"/>
      <c r="D23" s="719"/>
      <c r="E23" s="1014"/>
      <c r="F23" s="719"/>
    </row>
    <row r="24" spans="1:6" s="12" customFormat="1" x14ac:dyDescent="0.25">
      <c r="A24" s="360"/>
      <c r="B24" s="1020"/>
      <c r="C24" s="1151"/>
      <c r="D24" s="1151"/>
      <c r="E24" s="1152"/>
      <c r="F24" s="1151"/>
    </row>
    <row r="25" spans="1:6" s="12" customFormat="1" ht="87" customHeight="1" x14ac:dyDescent="0.25">
      <c r="A25" s="360"/>
      <c r="B25" s="1023" t="s">
        <v>1099</v>
      </c>
      <c r="C25" s="1151"/>
      <c r="D25" s="1151"/>
      <c r="E25" s="1152"/>
      <c r="F25" s="1151"/>
    </row>
    <row r="26" spans="1:6" s="12" customFormat="1" x14ac:dyDescent="0.25">
      <c r="A26" s="360"/>
      <c r="B26" s="1024"/>
      <c r="C26" s="1151"/>
      <c r="D26" s="1151"/>
      <c r="E26" s="1152"/>
      <c r="F26" s="1151"/>
    </row>
    <row r="27" spans="1:6" s="12" customFormat="1" x14ac:dyDescent="0.25">
      <c r="A27" s="360"/>
      <c r="B27" s="1025" t="s">
        <v>1100</v>
      </c>
      <c r="C27" s="1151"/>
      <c r="D27" s="1151"/>
      <c r="E27" s="1152"/>
      <c r="F27" s="1151"/>
    </row>
    <row r="28" spans="1:6" s="12" customFormat="1" x14ac:dyDescent="0.25">
      <c r="A28" s="360"/>
      <c r="B28" s="1024"/>
      <c r="C28" s="1151"/>
      <c r="D28" s="1151"/>
      <c r="E28" s="1152"/>
      <c r="F28" s="1151"/>
    </row>
    <row r="29" spans="1:6" s="12" customFormat="1" x14ac:dyDescent="0.25">
      <c r="A29" s="360"/>
      <c r="B29" s="1025" t="s">
        <v>1101</v>
      </c>
      <c r="C29" s="1151"/>
      <c r="D29" s="1151"/>
      <c r="E29" s="1152"/>
      <c r="F29" s="1151"/>
    </row>
    <row r="30" spans="1:6" s="12" customFormat="1" x14ac:dyDescent="0.25">
      <c r="A30" s="360"/>
      <c r="B30" s="1024"/>
      <c r="C30" s="1151"/>
      <c r="D30" s="1151"/>
      <c r="E30" s="1152"/>
      <c r="F30" s="1151"/>
    </row>
    <row r="31" spans="1:6" s="12" customFormat="1" ht="26.4" x14ac:dyDescent="0.25">
      <c r="A31" s="360"/>
      <c r="B31" s="1025" t="s">
        <v>1102</v>
      </c>
      <c r="C31" s="1151"/>
      <c r="D31" s="1151"/>
      <c r="E31" s="1152"/>
      <c r="F31" s="1151"/>
    </row>
    <row r="32" spans="1:6" s="12" customFormat="1" x14ac:dyDescent="0.25">
      <c r="A32" s="360"/>
      <c r="B32" s="1024"/>
      <c r="C32" s="1151"/>
      <c r="D32" s="1151"/>
      <c r="E32" s="1152"/>
      <c r="F32" s="1151"/>
    </row>
    <row r="33" spans="1:6" s="12" customFormat="1" ht="39.6" x14ac:dyDescent="0.25">
      <c r="A33" s="360"/>
      <c r="B33" s="1023" t="s">
        <v>1103</v>
      </c>
      <c r="C33" s="1151"/>
      <c r="D33" s="1151"/>
      <c r="E33" s="1152"/>
      <c r="F33" s="1151"/>
    </row>
    <row r="34" spans="1:6" s="12" customFormat="1" x14ac:dyDescent="0.25">
      <c r="A34" s="360"/>
      <c r="B34" s="1026"/>
      <c r="C34" s="1151"/>
      <c r="D34" s="1151"/>
      <c r="E34" s="1152"/>
      <c r="F34" s="1151"/>
    </row>
    <row r="35" spans="1:6" s="12" customFormat="1" ht="39.6" x14ac:dyDescent="0.25">
      <c r="A35" s="360"/>
      <c r="B35" s="1027" t="s">
        <v>1104</v>
      </c>
      <c r="C35" s="1151"/>
      <c r="D35" s="1151"/>
      <c r="E35" s="1152"/>
      <c r="F35" s="1151"/>
    </row>
    <row r="36" spans="1:6" s="12" customFormat="1" x14ac:dyDescent="0.25">
      <c r="A36" s="360"/>
      <c r="B36" s="1026"/>
      <c r="C36" s="1151"/>
      <c r="D36" s="1151"/>
      <c r="E36" s="1152"/>
      <c r="F36" s="1151"/>
    </row>
    <row r="37" spans="1:6" s="12" customFormat="1" x14ac:dyDescent="0.25">
      <c r="A37" s="360"/>
      <c r="B37" s="1025" t="s">
        <v>1105</v>
      </c>
      <c r="C37" s="1151"/>
      <c r="D37" s="1151"/>
      <c r="E37" s="1152"/>
      <c r="F37" s="1151"/>
    </row>
    <row r="38" spans="1:6" s="12" customFormat="1" x14ac:dyDescent="0.25">
      <c r="A38" s="360"/>
      <c r="B38" s="1026"/>
      <c r="C38" s="1151"/>
      <c r="D38" s="1151"/>
      <c r="E38" s="1152"/>
      <c r="F38" s="1151"/>
    </row>
    <row r="39" spans="1:6" s="12" customFormat="1" ht="26.4" x14ac:dyDescent="0.25">
      <c r="A39" s="360"/>
      <c r="B39" s="1027" t="s">
        <v>1106</v>
      </c>
      <c r="C39" s="1151"/>
      <c r="D39" s="1151"/>
      <c r="E39" s="1152"/>
      <c r="F39" s="1151"/>
    </row>
    <row r="40" spans="1:6" s="12" customFormat="1" x14ac:dyDescent="0.25">
      <c r="A40" s="360"/>
      <c r="B40" s="1024"/>
      <c r="C40" s="1151"/>
      <c r="D40" s="1151"/>
      <c r="E40" s="1152"/>
      <c r="F40" s="1151"/>
    </row>
    <row r="41" spans="1:6" s="12" customFormat="1" ht="39.6" x14ac:dyDescent="0.25">
      <c r="A41" s="360"/>
      <c r="B41" s="1027" t="s">
        <v>1107</v>
      </c>
      <c r="C41" s="1151"/>
      <c r="D41" s="1151"/>
      <c r="E41" s="1152"/>
      <c r="F41" s="1151"/>
    </row>
    <row r="42" spans="1:6" s="12" customFormat="1" x14ac:dyDescent="0.25">
      <c r="A42" s="360"/>
      <c r="B42" s="1027"/>
      <c r="C42" s="1151"/>
      <c r="D42" s="1151"/>
      <c r="E42" s="1152"/>
      <c r="F42" s="1151"/>
    </row>
    <row r="43" spans="1:6" s="12" customFormat="1" ht="39.6" x14ac:dyDescent="0.25">
      <c r="A43" s="360"/>
      <c r="B43" s="1027" t="s">
        <v>1108</v>
      </c>
      <c r="C43" s="1151"/>
      <c r="D43" s="1151"/>
      <c r="E43" s="1152"/>
      <c r="F43" s="1151"/>
    </row>
    <row r="44" spans="1:6" s="12" customFormat="1" x14ac:dyDescent="0.25">
      <c r="A44" s="360"/>
      <c r="B44" s="1027"/>
      <c r="C44" s="1151"/>
      <c r="D44" s="1151"/>
      <c r="E44" s="1152"/>
      <c r="F44" s="1151"/>
    </row>
    <row r="45" spans="1:6" s="12" customFormat="1" ht="39.6" x14ac:dyDescent="0.25">
      <c r="A45" s="360"/>
      <c r="B45" s="1027" t="s">
        <v>1109</v>
      </c>
      <c r="C45" s="1151"/>
      <c r="D45" s="1151"/>
      <c r="E45" s="1152"/>
      <c r="F45" s="1151"/>
    </row>
    <row r="46" spans="1:6" s="12" customFormat="1" x14ac:dyDescent="0.25">
      <c r="A46" s="360"/>
      <c r="B46" s="1025"/>
      <c r="C46" s="1151"/>
      <c r="D46" s="1151"/>
      <c r="E46" s="1152"/>
      <c r="F46" s="1151"/>
    </row>
    <row r="47" spans="1:6" s="12" customFormat="1" x14ac:dyDescent="0.25">
      <c r="A47" s="360"/>
      <c r="B47" s="1025" t="s">
        <v>1110</v>
      </c>
      <c r="C47" s="1151"/>
      <c r="D47" s="1151"/>
      <c r="E47" s="1152"/>
      <c r="F47" s="1151"/>
    </row>
    <row r="48" spans="1:6" x14ac:dyDescent="0.25">
      <c r="A48" s="226"/>
      <c r="B48" s="368"/>
      <c r="C48" s="1151"/>
      <c r="D48" s="1151"/>
      <c r="E48" s="1152"/>
      <c r="F48" s="1151"/>
    </row>
    <row r="49" spans="1:6" x14ac:dyDescent="0.25">
      <c r="A49" s="226"/>
      <c r="B49" s="396" t="s">
        <v>64</v>
      </c>
      <c r="C49" s="1151"/>
      <c r="D49" s="1151"/>
      <c r="E49" s="1152"/>
      <c r="F49" s="1151"/>
    </row>
    <row r="50" spans="1:6" x14ac:dyDescent="0.25">
      <c r="A50" s="226"/>
      <c r="B50" s="396" t="s">
        <v>65</v>
      </c>
      <c r="C50" s="1151"/>
      <c r="D50" s="1151"/>
      <c r="E50" s="1152"/>
      <c r="F50" s="1151"/>
    </row>
    <row r="51" spans="1:6" x14ac:dyDescent="0.25">
      <c r="A51" s="226"/>
      <c r="B51" s="396" t="s">
        <v>66</v>
      </c>
      <c r="C51" s="1151"/>
      <c r="D51" s="1151"/>
      <c r="E51" s="1152"/>
      <c r="F51" s="1151"/>
    </row>
    <row r="52" spans="1:6" x14ac:dyDescent="0.25">
      <c r="A52" s="226"/>
      <c r="B52" s="396"/>
      <c r="C52" s="1151"/>
      <c r="D52" s="1151"/>
      <c r="E52" s="1152"/>
      <c r="F52" s="1151"/>
    </row>
    <row r="53" spans="1:6" x14ac:dyDescent="0.25">
      <c r="A53" s="226" t="s">
        <v>611</v>
      </c>
      <c r="B53" s="1111" t="s">
        <v>1111</v>
      </c>
      <c r="C53" s="1151"/>
      <c r="D53" s="1151"/>
      <c r="E53" s="1152"/>
      <c r="F53" s="1151"/>
    </row>
    <row r="54" spans="1:6" x14ac:dyDescent="0.25">
      <c r="A54" s="226"/>
      <c r="B54" s="1024"/>
      <c r="C54" s="1151"/>
      <c r="D54" s="1151"/>
      <c r="E54" s="1152"/>
      <c r="F54" s="1151"/>
    </row>
    <row r="55" spans="1:6" ht="79.2" x14ac:dyDescent="0.25">
      <c r="A55" s="226" t="s">
        <v>1112</v>
      </c>
      <c r="B55" s="1026" t="s">
        <v>1115</v>
      </c>
      <c r="C55" s="1151">
        <v>1</v>
      </c>
      <c r="D55" s="1151" t="s">
        <v>13</v>
      </c>
      <c r="E55" s="1152">
        <v>35000</v>
      </c>
      <c r="F55" s="1151">
        <f>E55*C55</f>
        <v>35000</v>
      </c>
    </row>
    <row r="56" spans="1:6" x14ac:dyDescent="0.25">
      <c r="A56" s="226"/>
      <c r="B56" s="1026"/>
      <c r="C56" s="1179"/>
      <c r="D56" s="1179"/>
      <c r="E56" s="1180"/>
      <c r="F56" s="1179"/>
    </row>
    <row r="57" spans="1:6" x14ac:dyDescent="0.25">
      <c r="A57" s="939"/>
      <c r="B57" s="1045"/>
      <c r="C57" s="957"/>
      <c r="D57" s="957"/>
      <c r="E57" s="1012"/>
      <c r="F57" s="957"/>
    </row>
    <row r="58" spans="1:6" x14ac:dyDescent="0.25">
      <c r="A58" s="945"/>
      <c r="B58" s="1168" t="s">
        <v>1113</v>
      </c>
      <c r="C58" s="719"/>
      <c r="D58" s="719"/>
      <c r="E58" s="1014"/>
      <c r="F58" s="719"/>
    </row>
    <row r="59" spans="1:6" x14ac:dyDescent="0.25">
      <c r="A59" s="226"/>
      <c r="B59" s="1111"/>
      <c r="C59" s="1151"/>
      <c r="D59" s="1151"/>
      <c r="E59" s="1152"/>
      <c r="F59" s="1151"/>
    </row>
    <row r="60" spans="1:6" ht="39.6" x14ac:dyDescent="0.25">
      <c r="A60" s="226" t="s">
        <v>1114</v>
      </c>
      <c r="B60" s="1026" t="s">
        <v>1140</v>
      </c>
      <c r="C60" s="1151">
        <v>1</v>
      </c>
      <c r="D60" s="1151" t="s">
        <v>13</v>
      </c>
      <c r="E60" s="1152">
        <v>68250</v>
      </c>
      <c r="F60" s="1151">
        <f>E60*C60</f>
        <v>68250</v>
      </c>
    </row>
    <row r="61" spans="1:6" x14ac:dyDescent="0.25">
      <c r="A61" s="226"/>
      <c r="B61" s="1028"/>
      <c r="C61" s="1151"/>
      <c r="D61" s="1151"/>
      <c r="E61" s="1152"/>
      <c r="F61" s="1151"/>
    </row>
    <row r="62" spans="1:6" ht="39.6" x14ac:dyDescent="0.25">
      <c r="A62" s="226" t="s">
        <v>1986</v>
      </c>
      <c r="B62" s="1028" t="s">
        <v>1985</v>
      </c>
      <c r="C62" s="1151">
        <v>1</v>
      </c>
      <c r="D62" s="1151" t="s">
        <v>13</v>
      </c>
      <c r="E62" s="1152">
        <v>50000</v>
      </c>
      <c r="F62" s="1151">
        <f>E62*C62</f>
        <v>50000</v>
      </c>
    </row>
    <row r="63" spans="1:6" x14ac:dyDescent="0.25">
      <c r="A63" s="226"/>
      <c r="B63" s="1028"/>
      <c r="C63" s="1151"/>
      <c r="D63" s="1151"/>
      <c r="E63" s="1152"/>
      <c r="F63" s="1151"/>
    </row>
    <row r="64" spans="1:6" x14ac:dyDescent="0.25">
      <c r="A64" s="226" t="s">
        <v>625</v>
      </c>
      <c r="B64" s="1111" t="s">
        <v>1116</v>
      </c>
      <c r="C64" s="1151"/>
      <c r="D64" s="1151"/>
      <c r="E64" s="1152"/>
      <c r="F64" s="1151"/>
    </row>
    <row r="65" spans="1:6" x14ac:dyDescent="0.25">
      <c r="A65" s="226"/>
      <c r="B65" s="1029"/>
      <c r="C65" s="1151"/>
      <c r="D65" s="1151"/>
      <c r="E65" s="1152"/>
      <c r="F65" s="1151"/>
    </row>
    <row r="66" spans="1:6" ht="26.4" x14ac:dyDescent="0.25">
      <c r="A66" s="226"/>
      <c r="B66" s="1030" t="s">
        <v>1117</v>
      </c>
      <c r="C66" s="1151"/>
      <c r="D66" s="1151"/>
      <c r="E66" s="1152"/>
      <c r="F66" s="1151"/>
    </row>
    <row r="67" spans="1:6" x14ac:dyDescent="0.25">
      <c r="A67" s="226"/>
      <c r="B67" s="1111"/>
      <c r="C67" s="1151"/>
      <c r="D67" s="1151"/>
      <c r="E67" s="1152"/>
      <c r="F67" s="1151"/>
    </row>
    <row r="68" spans="1:6" ht="52.8" x14ac:dyDescent="0.25">
      <c r="A68" s="226"/>
      <c r="B68" s="1031" t="s">
        <v>1118</v>
      </c>
      <c r="C68" s="1151"/>
      <c r="D68" s="1151"/>
      <c r="E68" s="1152"/>
      <c r="F68" s="1151"/>
    </row>
    <row r="69" spans="1:6" x14ac:dyDescent="0.25">
      <c r="A69" s="226"/>
      <c r="B69" s="1111"/>
      <c r="C69" s="1151"/>
      <c r="D69" s="1151"/>
      <c r="E69" s="1152"/>
      <c r="F69" s="1151"/>
    </row>
    <row r="70" spans="1:6" ht="66" x14ac:dyDescent="0.25">
      <c r="A70" s="226"/>
      <c r="B70" s="1031" t="s">
        <v>1119</v>
      </c>
      <c r="C70" s="1151"/>
      <c r="D70" s="1151"/>
      <c r="E70" s="1152"/>
      <c r="F70" s="1151"/>
    </row>
    <row r="71" spans="1:6" x14ac:dyDescent="0.25">
      <c r="A71" s="226"/>
      <c r="B71" s="1111"/>
      <c r="C71" s="1151"/>
      <c r="D71" s="1151"/>
      <c r="E71" s="1152"/>
      <c r="F71" s="1151"/>
    </row>
    <row r="72" spans="1:6" ht="52.8" x14ac:dyDescent="0.25">
      <c r="A72" s="226"/>
      <c r="B72" s="1030" t="s">
        <v>1120</v>
      </c>
      <c r="C72" s="1151"/>
      <c r="D72" s="1151"/>
      <c r="E72" s="1152"/>
      <c r="F72" s="1151"/>
    </row>
    <row r="73" spans="1:6" x14ac:dyDescent="0.25">
      <c r="A73" s="226"/>
      <c r="B73" s="1032"/>
      <c r="C73" s="1151"/>
      <c r="D73" s="1151"/>
      <c r="E73" s="1152"/>
      <c r="F73" s="1151"/>
    </row>
    <row r="74" spans="1:6" ht="39.6" x14ac:dyDescent="0.25">
      <c r="A74" s="226"/>
      <c r="B74" s="1030" t="s">
        <v>1121</v>
      </c>
      <c r="C74" s="1151"/>
      <c r="D74" s="1151"/>
      <c r="E74" s="1152"/>
      <c r="F74" s="1151"/>
    </row>
    <row r="75" spans="1:6" x14ac:dyDescent="0.25">
      <c r="A75" s="226"/>
      <c r="B75" s="1028"/>
      <c r="C75" s="1151"/>
      <c r="D75" s="1151"/>
      <c r="E75" s="1152"/>
      <c r="F75" s="1151"/>
    </row>
    <row r="76" spans="1:6" ht="26.4" x14ac:dyDescent="0.25">
      <c r="A76" s="226"/>
      <c r="B76" s="1030" t="s">
        <v>1122</v>
      </c>
      <c r="C76" s="1151"/>
      <c r="D76" s="1151"/>
      <c r="E76" s="1152"/>
      <c r="F76" s="1151"/>
    </row>
    <row r="77" spans="1:6" x14ac:dyDescent="0.25">
      <c r="A77" s="226"/>
      <c r="B77" s="1030"/>
      <c r="C77" s="1151"/>
      <c r="D77" s="1151"/>
      <c r="E77" s="1152"/>
      <c r="F77" s="1151"/>
    </row>
    <row r="78" spans="1:6" ht="26.4" x14ac:dyDescent="0.25">
      <c r="A78" s="226"/>
      <c r="B78" s="1031" t="s">
        <v>1123</v>
      </c>
      <c r="C78" s="1151"/>
      <c r="D78" s="1151"/>
      <c r="E78" s="1152"/>
      <c r="F78" s="1151"/>
    </row>
    <row r="79" spans="1:6" x14ac:dyDescent="0.25">
      <c r="A79" s="251"/>
      <c r="B79" s="1026"/>
      <c r="C79" s="1151"/>
      <c r="D79" s="1151"/>
      <c r="E79" s="1152"/>
      <c r="F79" s="1151"/>
    </row>
    <row r="80" spans="1:6" ht="26.4" x14ac:dyDescent="0.25">
      <c r="A80" s="251" t="s">
        <v>1124</v>
      </c>
      <c r="B80" s="1033" t="s">
        <v>1987</v>
      </c>
      <c r="C80" s="1151">
        <v>50</v>
      </c>
      <c r="D80" s="1151" t="s">
        <v>56</v>
      </c>
      <c r="E80" s="1152">
        <v>6500</v>
      </c>
      <c r="F80" s="1151">
        <f>E80*C80</f>
        <v>325000</v>
      </c>
    </row>
    <row r="81" spans="1:6" x14ac:dyDescent="0.25">
      <c r="A81" s="251"/>
      <c r="B81" s="1033"/>
      <c r="C81" s="1151"/>
      <c r="D81" s="1151"/>
      <c r="E81" s="1152"/>
      <c r="F81" s="1151"/>
    </row>
    <row r="82" spans="1:6" ht="26.4" hidden="1" x14ac:dyDescent="0.25">
      <c r="A82" s="251" t="s">
        <v>1991</v>
      </c>
      <c r="B82" s="1033" t="s">
        <v>1988</v>
      </c>
      <c r="C82" s="1151"/>
      <c r="D82" s="1151" t="s">
        <v>56</v>
      </c>
      <c r="E82" s="1152">
        <v>4500</v>
      </c>
      <c r="F82" s="1151"/>
    </row>
    <row r="83" spans="1:6" hidden="1" x14ac:dyDescent="0.25">
      <c r="A83" s="251"/>
      <c r="B83" s="1033"/>
      <c r="C83" s="1151"/>
      <c r="D83" s="1151"/>
      <c r="E83" s="1152"/>
      <c r="F83" s="1151"/>
    </row>
    <row r="84" spans="1:6" ht="26.4" hidden="1" x14ac:dyDescent="0.25">
      <c r="A84" s="251" t="s">
        <v>1991</v>
      </c>
      <c r="B84" s="1033" t="s">
        <v>2479</v>
      </c>
      <c r="C84" s="1151"/>
      <c r="D84" s="1151" t="s">
        <v>56</v>
      </c>
      <c r="E84" s="1152">
        <v>2500</v>
      </c>
      <c r="F84" s="1151"/>
    </row>
    <row r="85" spans="1:6" hidden="1" x14ac:dyDescent="0.25">
      <c r="A85" s="251"/>
      <c r="B85" s="1033"/>
      <c r="C85" s="1151"/>
      <c r="D85" s="1151"/>
      <c r="E85" s="1152"/>
      <c r="F85" s="1151"/>
    </row>
    <row r="86" spans="1:6" ht="26.4" x14ac:dyDescent="0.25">
      <c r="A86" s="251" t="s">
        <v>1992</v>
      </c>
      <c r="B86" s="1033" t="s">
        <v>1989</v>
      </c>
      <c r="C86" s="1151">
        <v>75</v>
      </c>
      <c r="D86" s="1151" t="s">
        <v>56</v>
      </c>
      <c r="E86" s="1152">
        <v>3900</v>
      </c>
      <c r="F86" s="1151">
        <f>E86*C86</f>
        <v>292500</v>
      </c>
    </row>
    <row r="87" spans="1:6" x14ac:dyDescent="0.25">
      <c r="A87" s="251"/>
      <c r="B87" s="1033"/>
      <c r="C87" s="1179"/>
      <c r="D87" s="1179"/>
      <c r="E87" s="1180"/>
      <c r="F87" s="1179"/>
    </row>
    <row r="88" spans="1:6" ht="26.4" hidden="1" x14ac:dyDescent="0.25">
      <c r="A88" s="251" t="s">
        <v>1993</v>
      </c>
      <c r="B88" s="1033" t="s">
        <v>1990</v>
      </c>
      <c r="C88" s="1179"/>
      <c r="D88" s="1179" t="s">
        <v>56</v>
      </c>
      <c r="E88" s="1180">
        <v>2500</v>
      </c>
      <c r="F88" s="1179">
        <f>E88*C88</f>
        <v>0</v>
      </c>
    </row>
    <row r="89" spans="1:6" ht="26.4" x14ac:dyDescent="0.25">
      <c r="A89" s="425" t="s">
        <v>634</v>
      </c>
      <c r="B89" s="371" t="s">
        <v>1130</v>
      </c>
      <c r="C89" s="371"/>
      <c r="D89" s="371"/>
      <c r="E89" s="1180"/>
      <c r="F89" s="1179"/>
    </row>
    <row r="90" spans="1:6" x14ac:dyDescent="0.25">
      <c r="A90" s="226"/>
      <c r="B90" s="1029"/>
      <c r="C90" s="1151"/>
      <c r="D90" s="1151"/>
      <c r="E90" s="1152"/>
      <c r="F90" s="1151"/>
    </row>
    <row r="91" spans="1:6" ht="52.8" x14ac:dyDescent="0.25">
      <c r="A91" s="226"/>
      <c r="B91" s="1111" t="s">
        <v>1125</v>
      </c>
      <c r="C91" s="1151"/>
      <c r="D91" s="1151"/>
      <c r="E91" s="1152"/>
      <c r="F91" s="1151"/>
    </row>
    <row r="92" spans="1:6" x14ac:dyDescent="0.25">
      <c r="A92" s="226"/>
      <c r="B92" s="1111"/>
      <c r="C92" s="1151"/>
      <c r="D92" s="1151"/>
      <c r="E92" s="1152"/>
      <c r="F92" s="1151"/>
    </row>
    <row r="93" spans="1:6" ht="39.6" x14ac:dyDescent="0.25">
      <c r="A93" s="226"/>
      <c r="B93" s="1111" t="s">
        <v>1126</v>
      </c>
      <c r="C93" s="1151"/>
      <c r="D93" s="1151"/>
      <c r="E93" s="1152"/>
      <c r="F93" s="1151"/>
    </row>
    <row r="94" spans="1:6" x14ac:dyDescent="0.25">
      <c r="A94" s="226"/>
      <c r="B94" s="1111"/>
      <c r="C94" s="1151"/>
      <c r="D94" s="1151"/>
      <c r="E94" s="1152"/>
      <c r="F94" s="1151"/>
    </row>
    <row r="95" spans="1:6" ht="26.4" x14ac:dyDescent="0.25">
      <c r="A95" s="226"/>
      <c r="B95" s="1111" t="s">
        <v>2480</v>
      </c>
      <c r="C95" s="1151"/>
      <c r="D95" s="1151"/>
      <c r="E95" s="1152"/>
      <c r="F95" s="1151"/>
    </row>
    <row r="96" spans="1:6" x14ac:dyDescent="0.25">
      <c r="A96" s="226"/>
      <c r="B96" s="1111"/>
      <c r="C96" s="1151"/>
      <c r="D96" s="1151"/>
      <c r="E96" s="1152"/>
      <c r="F96" s="1151"/>
    </row>
    <row r="97" spans="1:6" ht="39.6" x14ac:dyDescent="0.25">
      <c r="A97" s="226"/>
      <c r="B97" s="1111" t="s">
        <v>1128</v>
      </c>
      <c r="C97" s="1151"/>
      <c r="D97" s="1151"/>
      <c r="E97" s="1152"/>
      <c r="F97" s="1151"/>
    </row>
    <row r="98" spans="1:6" x14ac:dyDescent="0.25">
      <c r="A98" s="226"/>
      <c r="B98" s="1111"/>
      <c r="C98" s="1151"/>
      <c r="D98" s="1151"/>
      <c r="E98" s="1152"/>
      <c r="F98" s="1151"/>
    </row>
    <row r="99" spans="1:6" ht="26.4" x14ac:dyDescent="0.25">
      <c r="A99" s="226"/>
      <c r="B99" s="1111" t="s">
        <v>1129</v>
      </c>
      <c r="C99" s="1151"/>
      <c r="D99" s="1151"/>
      <c r="E99" s="1152"/>
      <c r="F99" s="1151"/>
    </row>
    <row r="100" spans="1:6" x14ac:dyDescent="0.25">
      <c r="A100" s="226"/>
      <c r="B100" s="1111"/>
      <c r="C100" s="1151"/>
      <c r="D100" s="1151"/>
      <c r="E100" s="1152"/>
      <c r="F100" s="1151"/>
    </row>
    <row r="101" spans="1:6" ht="66" x14ac:dyDescent="0.25">
      <c r="A101" s="226"/>
      <c r="B101" s="1111" t="s">
        <v>1193</v>
      </c>
      <c r="C101" s="1151"/>
      <c r="D101" s="1151"/>
      <c r="E101" s="1152"/>
      <c r="F101" s="1151"/>
    </row>
    <row r="102" spans="1:6" x14ac:dyDescent="0.25">
      <c r="A102" s="226"/>
      <c r="B102" s="1111"/>
      <c r="C102" s="1151"/>
      <c r="D102" s="1151"/>
      <c r="E102" s="1152"/>
      <c r="F102" s="1151"/>
    </row>
    <row r="103" spans="1:6" ht="52.8" x14ac:dyDescent="0.25">
      <c r="A103" s="226"/>
      <c r="B103" s="1111" t="s">
        <v>1194</v>
      </c>
      <c r="C103" s="1151"/>
      <c r="D103" s="1151"/>
      <c r="E103" s="1152"/>
      <c r="F103" s="1151"/>
    </row>
    <row r="104" spans="1:6" x14ac:dyDescent="0.25">
      <c r="A104" s="226"/>
      <c r="B104" s="1111"/>
      <c r="C104" s="1151"/>
      <c r="D104" s="1151"/>
      <c r="E104" s="1152"/>
      <c r="F104" s="1151"/>
    </row>
    <row r="105" spans="1:6" ht="136.80000000000001" customHeight="1" x14ac:dyDescent="0.25">
      <c r="A105" s="226"/>
      <c r="B105" s="1111" t="s">
        <v>1358</v>
      </c>
      <c r="C105" s="1151"/>
      <c r="D105" s="1151"/>
      <c r="E105" s="1152"/>
      <c r="F105" s="1151"/>
    </row>
    <row r="106" spans="1:6" x14ac:dyDescent="0.25">
      <c r="A106" s="226"/>
      <c r="B106" s="1111"/>
      <c r="C106" s="1151"/>
      <c r="D106" s="1151"/>
      <c r="E106" s="1152"/>
      <c r="F106" s="1151"/>
    </row>
    <row r="107" spans="1:6" ht="26.4" x14ac:dyDescent="0.25">
      <c r="A107" s="226"/>
      <c r="B107" s="1111" t="s">
        <v>1196</v>
      </c>
      <c r="C107" s="1151"/>
      <c r="D107" s="1151"/>
      <c r="E107" s="1152"/>
      <c r="F107" s="1151"/>
    </row>
    <row r="108" spans="1:6" x14ac:dyDescent="0.25">
      <c r="A108" s="226"/>
      <c r="B108" s="1111"/>
      <c r="C108" s="1151"/>
      <c r="D108" s="1151"/>
      <c r="E108" s="1152"/>
      <c r="F108" s="1151"/>
    </row>
    <row r="109" spans="1:6" ht="92.4" x14ac:dyDescent="0.25">
      <c r="A109" s="226"/>
      <c r="B109" s="1111" t="s">
        <v>1359</v>
      </c>
      <c r="C109" s="1151"/>
      <c r="D109" s="1151"/>
      <c r="E109" s="1152"/>
      <c r="F109" s="1151"/>
    </row>
    <row r="110" spans="1:6" x14ac:dyDescent="0.25">
      <c r="A110" s="226"/>
      <c r="B110" s="1111"/>
      <c r="C110" s="1151"/>
      <c r="D110" s="1151"/>
      <c r="E110" s="1152"/>
      <c r="F110" s="1151"/>
    </row>
    <row r="111" spans="1:6" ht="39.6" x14ac:dyDescent="0.25">
      <c r="A111" s="226"/>
      <c r="B111" s="1111" t="s">
        <v>1360</v>
      </c>
      <c r="C111" s="1151"/>
      <c r="D111" s="1151"/>
      <c r="E111" s="1152"/>
      <c r="F111" s="1151"/>
    </row>
    <row r="112" spans="1:6" x14ac:dyDescent="0.25">
      <c r="A112" s="226"/>
      <c r="B112" s="1111"/>
      <c r="C112" s="1179"/>
      <c r="D112" s="1179"/>
      <c r="E112" s="1180"/>
      <c r="F112" s="1179"/>
    </row>
    <row r="113" spans="1:6" ht="39.6" x14ac:dyDescent="0.25">
      <c r="A113" s="226"/>
      <c r="B113" s="1111" t="s">
        <v>1361</v>
      </c>
      <c r="C113" s="1179"/>
      <c r="D113" s="1179"/>
      <c r="E113" s="1180"/>
      <c r="F113" s="1179"/>
    </row>
    <row r="114" spans="1:6" x14ac:dyDescent="0.25">
      <c r="A114" s="226"/>
      <c r="B114" s="1111"/>
      <c r="C114" s="1151"/>
      <c r="D114" s="1151"/>
      <c r="E114" s="1152"/>
      <c r="F114" s="1151"/>
    </row>
    <row r="115" spans="1:6" ht="39.6" x14ac:dyDescent="0.25">
      <c r="A115" s="226"/>
      <c r="B115" s="1111" t="s">
        <v>1362</v>
      </c>
      <c r="C115" s="1151"/>
      <c r="D115" s="1151"/>
      <c r="E115" s="1152"/>
      <c r="F115" s="1151"/>
    </row>
    <row r="116" spans="1:6" x14ac:dyDescent="0.25">
      <c r="A116" s="226"/>
      <c r="B116" s="1111"/>
      <c r="C116" s="1151"/>
      <c r="D116" s="1151"/>
      <c r="E116" s="1152"/>
      <c r="F116" s="1151"/>
    </row>
    <row r="117" spans="1:6" ht="39.6" x14ac:dyDescent="0.25">
      <c r="A117" s="226"/>
      <c r="B117" s="1111" t="s">
        <v>1363</v>
      </c>
      <c r="C117" s="1151"/>
      <c r="D117" s="1151"/>
      <c r="E117" s="1152"/>
      <c r="F117" s="1151"/>
    </row>
    <row r="118" spans="1:6" x14ac:dyDescent="0.25">
      <c r="A118" s="226"/>
      <c r="B118" s="1111"/>
      <c r="C118" s="1151"/>
      <c r="D118" s="1151"/>
      <c r="E118" s="1152"/>
      <c r="F118" s="1151"/>
    </row>
    <row r="119" spans="1:6" ht="26.4" x14ac:dyDescent="0.25">
      <c r="A119" s="226"/>
      <c r="B119" s="1111" t="s">
        <v>1364</v>
      </c>
      <c r="C119" s="1151"/>
      <c r="D119" s="1151"/>
      <c r="E119" s="1152"/>
      <c r="F119" s="1151"/>
    </row>
    <row r="120" spans="1:6" x14ac:dyDescent="0.25">
      <c r="A120" s="226"/>
      <c r="B120" s="1111"/>
      <c r="C120" s="1151"/>
      <c r="D120" s="1151"/>
      <c r="E120" s="1152"/>
      <c r="F120" s="1151"/>
    </row>
    <row r="121" spans="1:6" x14ac:dyDescent="0.25">
      <c r="A121" s="226"/>
      <c r="B121" s="1111" t="s">
        <v>1365</v>
      </c>
      <c r="C121" s="1151"/>
      <c r="D121" s="1151"/>
      <c r="E121" s="1152"/>
      <c r="F121" s="1151"/>
    </row>
    <row r="122" spans="1:6" x14ac:dyDescent="0.25">
      <c r="A122" s="226"/>
      <c r="B122" s="1111"/>
      <c r="C122" s="1151"/>
      <c r="D122" s="1151"/>
      <c r="E122" s="1152"/>
      <c r="F122" s="1151"/>
    </row>
    <row r="123" spans="1:6" ht="26.4" x14ac:dyDescent="0.25">
      <c r="A123" s="226"/>
      <c r="B123" s="1111" t="s">
        <v>1366</v>
      </c>
      <c r="C123" s="1151"/>
      <c r="D123" s="1151"/>
      <c r="E123" s="1152"/>
      <c r="F123" s="1151"/>
    </row>
    <row r="124" spans="1:6" x14ac:dyDescent="0.25">
      <c r="A124" s="226"/>
      <c r="B124" s="1111"/>
      <c r="C124" s="1151"/>
      <c r="D124" s="1151"/>
      <c r="E124" s="1152"/>
      <c r="F124" s="1151"/>
    </row>
    <row r="125" spans="1:6" ht="66" x14ac:dyDescent="0.25">
      <c r="A125" s="226"/>
      <c r="B125" s="1111" t="s">
        <v>1367</v>
      </c>
      <c r="C125" s="1151"/>
      <c r="D125" s="1151"/>
      <c r="E125" s="1152"/>
      <c r="F125" s="1151"/>
    </row>
    <row r="126" spans="1:6" x14ac:dyDescent="0.25">
      <c r="A126" s="226"/>
      <c r="B126" s="1111"/>
      <c r="C126" s="1151"/>
      <c r="D126" s="1151"/>
      <c r="E126" s="1152"/>
      <c r="F126" s="1151"/>
    </row>
    <row r="127" spans="1:6" ht="52.8" x14ac:dyDescent="0.25">
      <c r="A127" s="226"/>
      <c r="B127" s="1111" t="s">
        <v>1201</v>
      </c>
      <c r="C127" s="1151"/>
      <c r="D127" s="1151"/>
      <c r="E127" s="1152"/>
      <c r="F127" s="1151"/>
    </row>
    <row r="128" spans="1:6" x14ac:dyDescent="0.25">
      <c r="A128" s="226"/>
      <c r="B128" s="1111"/>
      <c r="C128" s="1151"/>
      <c r="D128" s="1151"/>
      <c r="E128" s="1152"/>
      <c r="F128" s="1151"/>
    </row>
    <row r="129" spans="1:9" ht="39.6" x14ac:dyDescent="0.25">
      <c r="A129" s="226"/>
      <c r="B129" s="1111" t="s">
        <v>1202</v>
      </c>
      <c r="C129" s="1151"/>
      <c r="D129" s="1151"/>
      <c r="E129" s="1152"/>
      <c r="F129" s="1151"/>
    </row>
    <row r="130" spans="1:9" x14ac:dyDescent="0.25">
      <c r="A130" s="226"/>
      <c r="B130" s="1028"/>
      <c r="C130" s="1151"/>
      <c r="D130" s="1151"/>
      <c r="E130" s="1152"/>
      <c r="F130" s="1151"/>
    </row>
    <row r="131" spans="1:9" x14ac:dyDescent="0.25">
      <c r="A131" s="226" t="s">
        <v>1131</v>
      </c>
      <c r="B131" s="1034" t="s">
        <v>1127</v>
      </c>
      <c r="C131" s="1151"/>
      <c r="D131" s="1151"/>
      <c r="E131" s="1152"/>
      <c r="F131" s="1151"/>
    </row>
    <row r="132" spans="1:9" ht="79.2" hidden="1" customHeight="1" x14ac:dyDescent="0.25">
      <c r="A132" s="226"/>
      <c r="B132" s="1035" t="s">
        <v>1135</v>
      </c>
      <c r="C132" s="2877"/>
      <c r="D132" s="2878" t="s">
        <v>1602</v>
      </c>
      <c r="E132" s="2973">
        <v>275000</v>
      </c>
      <c r="F132" s="2878">
        <f>E132</f>
        <v>275000</v>
      </c>
    </row>
    <row r="133" spans="1:9" ht="13.8" hidden="1" customHeight="1" x14ac:dyDescent="0.25">
      <c r="A133" s="226"/>
      <c r="B133" s="1036" t="s">
        <v>1132</v>
      </c>
      <c r="C133" s="2877"/>
      <c r="D133" s="2878"/>
      <c r="E133" s="2973"/>
      <c r="F133" s="2878"/>
    </row>
    <row r="134" spans="1:9" ht="105.6" x14ac:dyDescent="0.25">
      <c r="A134" s="226"/>
      <c r="B134" s="1029" t="s">
        <v>2006</v>
      </c>
      <c r="C134" s="2877"/>
      <c r="D134" s="2878"/>
      <c r="E134" s="2973"/>
      <c r="F134" s="2878"/>
    </row>
    <row r="135" spans="1:9" ht="39.6" x14ac:dyDescent="0.25">
      <c r="A135" s="226"/>
      <c r="B135" s="1037" t="s">
        <v>2477</v>
      </c>
      <c r="C135" s="1151"/>
      <c r="D135" s="1151"/>
      <c r="E135" s="1152"/>
      <c r="F135" s="1151"/>
    </row>
    <row r="136" spans="1:9" x14ac:dyDescent="0.25">
      <c r="A136" s="226"/>
      <c r="B136" s="1037"/>
      <c r="C136" s="1179"/>
      <c r="D136" s="1179"/>
      <c r="E136" s="1180"/>
      <c r="F136" s="1179"/>
    </row>
    <row r="137" spans="1:9" x14ac:dyDescent="0.25">
      <c r="A137" s="226" t="s">
        <v>1133</v>
      </c>
      <c r="B137" s="1038" t="s">
        <v>1998</v>
      </c>
      <c r="C137" s="1179"/>
      <c r="D137" s="1179"/>
      <c r="E137" s="1180"/>
      <c r="F137" s="1179"/>
    </row>
    <row r="138" spans="1:9" x14ac:dyDescent="0.25">
      <c r="A138" s="226"/>
      <c r="B138" s="1038" t="s">
        <v>2553</v>
      </c>
      <c r="C138" s="1179"/>
      <c r="D138" s="1179"/>
      <c r="E138" s="1180"/>
      <c r="F138" s="1179"/>
    </row>
    <row r="139" spans="1:9" ht="92.4" hidden="1" x14ac:dyDescent="0.25">
      <c r="A139" s="226"/>
      <c r="B139" s="1039" t="s">
        <v>1134</v>
      </c>
      <c r="C139" s="2877"/>
      <c r="D139" s="2878" t="s">
        <v>1602</v>
      </c>
      <c r="E139" s="2973">
        <f>150000*2</f>
        <v>300000</v>
      </c>
      <c r="F139" s="2878">
        <f>E139</f>
        <v>300000</v>
      </c>
      <c r="G139" s="24">
        <v>9900</v>
      </c>
    </row>
    <row r="140" spans="1:9" ht="113.4" customHeight="1" x14ac:dyDescent="0.25">
      <c r="A140" s="226"/>
      <c r="B140" s="1039" t="s">
        <v>2007</v>
      </c>
      <c r="C140" s="2877"/>
      <c r="D140" s="2878"/>
      <c r="E140" s="2973"/>
      <c r="F140" s="2878"/>
      <c r="G140" s="24">
        <v>25000</v>
      </c>
      <c r="H140" s="24">
        <f>SUM(G139:G140)</f>
        <v>34900</v>
      </c>
      <c r="I140" s="24">
        <f>H140+15000</f>
        <v>49900</v>
      </c>
    </row>
    <row r="141" spans="1:9" ht="39.6" x14ac:dyDescent="0.25">
      <c r="A141" s="226"/>
      <c r="B141" s="1039" t="s">
        <v>2477</v>
      </c>
      <c r="C141" s="1178"/>
      <c r="D141" s="1179"/>
      <c r="E141" s="1180"/>
      <c r="F141" s="1179"/>
    </row>
    <row r="142" spans="1:9" x14ac:dyDescent="0.25">
      <c r="A142" s="226"/>
      <c r="B142" s="1039"/>
      <c r="C142" s="1178"/>
      <c r="D142" s="1179"/>
      <c r="E142" s="1180"/>
      <c r="F142" s="1179"/>
    </row>
    <row r="143" spans="1:9" hidden="1" x14ac:dyDescent="0.25">
      <c r="A143" s="226" t="s">
        <v>2002</v>
      </c>
      <c r="B143" s="1038" t="s">
        <v>2001</v>
      </c>
      <c r="C143" s="1178"/>
      <c r="D143" s="1179"/>
      <c r="E143" s="1180"/>
      <c r="F143" s="1179"/>
    </row>
    <row r="144" spans="1:9" ht="105.6" hidden="1" x14ac:dyDescent="0.25">
      <c r="A144" s="226"/>
      <c r="B144" s="1039" t="s">
        <v>2482</v>
      </c>
      <c r="C144" s="1178"/>
      <c r="D144" s="1179" t="s">
        <v>1602</v>
      </c>
      <c r="E144" s="1180">
        <f>100000</f>
        <v>100000</v>
      </c>
      <c r="F144" s="1179"/>
    </row>
    <row r="145" spans="1:6" ht="26.4" hidden="1" x14ac:dyDescent="0.25">
      <c r="A145" s="226"/>
      <c r="B145" s="1039" t="s">
        <v>2478</v>
      </c>
      <c r="C145" s="1178"/>
      <c r="D145" s="1179"/>
      <c r="E145" s="1180"/>
      <c r="F145" s="1179"/>
    </row>
    <row r="146" spans="1:6" hidden="1" x14ac:dyDescent="0.25">
      <c r="A146" s="226"/>
      <c r="B146" s="1039"/>
      <c r="C146" s="1178"/>
      <c r="D146" s="761"/>
      <c r="E146" s="1144"/>
      <c r="F146" s="761"/>
    </row>
    <row r="147" spans="1:6" hidden="1" x14ac:dyDescent="0.25">
      <c r="A147" s="226" t="s">
        <v>2003</v>
      </c>
      <c r="B147" s="1038" t="s">
        <v>2445</v>
      </c>
      <c r="C147" s="1178"/>
      <c r="D147" s="1179"/>
      <c r="E147" s="1180"/>
      <c r="F147" s="1179"/>
    </row>
    <row r="148" spans="1:6" ht="105.6" hidden="1" x14ac:dyDescent="0.25">
      <c r="A148" s="226"/>
      <c r="B148" s="1039" t="s">
        <v>2008</v>
      </c>
      <c r="C148" s="1178"/>
      <c r="D148" s="1179" t="s">
        <v>1602</v>
      </c>
      <c r="E148" s="1180">
        <f>75000*4</f>
        <v>300000</v>
      </c>
      <c r="F148" s="1179"/>
    </row>
    <row r="149" spans="1:6" ht="39.6" hidden="1" x14ac:dyDescent="0.25">
      <c r="A149" s="226"/>
      <c r="B149" s="1039" t="s">
        <v>2477</v>
      </c>
      <c r="C149" s="1178"/>
      <c r="D149" s="761"/>
      <c r="E149" s="1144"/>
      <c r="F149" s="761"/>
    </row>
    <row r="150" spans="1:6" hidden="1" x14ac:dyDescent="0.25">
      <c r="A150" s="226"/>
      <c r="B150" s="1039"/>
      <c r="C150" s="1178"/>
      <c r="D150" s="761"/>
      <c r="E150" s="1144"/>
      <c r="F150" s="761"/>
    </row>
    <row r="151" spans="1:6" hidden="1" x14ac:dyDescent="0.25">
      <c r="A151" s="226" t="s">
        <v>2003</v>
      </c>
      <c r="B151" s="1112" t="s">
        <v>1994</v>
      </c>
      <c r="C151" s="1178"/>
      <c r="D151" s="1179"/>
      <c r="E151" s="1180"/>
      <c r="F151" s="1179"/>
    </row>
    <row r="152" spans="1:6" ht="92.4" hidden="1" x14ac:dyDescent="0.25">
      <c r="A152" s="226"/>
      <c r="B152" s="1039" t="s">
        <v>2497</v>
      </c>
      <c r="C152" s="1179"/>
      <c r="D152" s="1179" t="s">
        <v>1602</v>
      </c>
      <c r="E152" s="1144">
        <f>50500*42</f>
        <v>2121000</v>
      </c>
      <c r="F152" s="761"/>
    </row>
    <row r="153" spans="1:6" ht="39.6" hidden="1" x14ac:dyDescent="0.25">
      <c r="A153" s="226"/>
      <c r="B153" s="1039" t="s">
        <v>2477</v>
      </c>
      <c r="C153" s="1179"/>
      <c r="D153" s="761"/>
      <c r="E153" s="1144"/>
      <c r="F153" s="761"/>
    </row>
    <row r="154" spans="1:6" hidden="1" x14ac:dyDescent="0.25">
      <c r="A154" s="226"/>
      <c r="B154" s="1039"/>
      <c r="C154" s="1179"/>
      <c r="D154" s="761"/>
      <c r="E154" s="1144"/>
      <c r="F154" s="761"/>
    </row>
    <row r="155" spans="1:6" hidden="1" x14ac:dyDescent="0.25">
      <c r="A155" s="226"/>
      <c r="B155" s="1039"/>
      <c r="C155" s="1179"/>
      <c r="D155" s="761"/>
      <c r="E155" s="1144"/>
      <c r="F155" s="761"/>
    </row>
    <row r="156" spans="1:6" hidden="1" x14ac:dyDescent="0.25">
      <c r="A156" s="226"/>
      <c r="B156" s="1039"/>
      <c r="C156" s="1179"/>
      <c r="D156" s="761"/>
      <c r="E156" s="1144"/>
      <c r="F156" s="761"/>
    </row>
    <row r="157" spans="1:6" hidden="1" x14ac:dyDescent="0.25">
      <c r="A157" s="226"/>
      <c r="B157" s="1039"/>
      <c r="C157" s="1179"/>
      <c r="D157" s="761"/>
      <c r="E157" s="1144"/>
      <c r="F157" s="761"/>
    </row>
    <row r="158" spans="1:6" hidden="1" x14ac:dyDescent="0.25">
      <c r="A158" s="226"/>
      <c r="B158" s="1039"/>
      <c r="C158" s="1179"/>
      <c r="D158" s="761"/>
      <c r="E158" s="1144"/>
      <c r="F158" s="761"/>
    </row>
    <row r="159" spans="1:6" hidden="1" x14ac:dyDescent="0.25">
      <c r="A159" s="226"/>
      <c r="B159" s="1039"/>
      <c r="C159" s="1179"/>
      <c r="D159" s="761"/>
      <c r="E159" s="1144"/>
      <c r="F159" s="761"/>
    </row>
    <row r="160" spans="1:6" hidden="1" x14ac:dyDescent="0.25">
      <c r="A160" s="226"/>
      <c r="B160" s="1039"/>
      <c r="C160" s="1179"/>
      <c r="D160" s="761"/>
      <c r="E160" s="1144"/>
      <c r="F160" s="761"/>
    </row>
    <row r="161" spans="1:6" hidden="1" x14ac:dyDescent="0.25">
      <c r="A161" s="226"/>
      <c r="B161" s="1039"/>
      <c r="C161" s="1179"/>
      <c r="D161" s="761"/>
      <c r="E161" s="1144"/>
      <c r="F161" s="761"/>
    </row>
    <row r="162" spans="1:6" hidden="1" x14ac:dyDescent="0.25">
      <c r="A162" s="226"/>
      <c r="B162" s="1039"/>
      <c r="C162" s="1178"/>
      <c r="D162" s="1179"/>
      <c r="E162" s="1180"/>
      <c r="F162" s="1179"/>
    </row>
    <row r="163" spans="1:6" hidden="1" x14ac:dyDescent="0.25">
      <c r="A163" s="226" t="s">
        <v>2005</v>
      </c>
      <c r="B163" s="1112" t="s">
        <v>2004</v>
      </c>
      <c r="C163" s="1178"/>
      <c r="D163" s="1179"/>
      <c r="E163" s="1180"/>
      <c r="F163" s="1179"/>
    </row>
    <row r="164" spans="1:6" ht="105.6" hidden="1" x14ac:dyDescent="0.25">
      <c r="A164" s="226"/>
      <c r="B164" s="1039" t="s">
        <v>2009</v>
      </c>
      <c r="C164" s="1178">
        <v>4</v>
      </c>
      <c r="D164" s="1179" t="s">
        <v>1314</v>
      </c>
      <c r="E164" s="1180">
        <v>85000</v>
      </c>
      <c r="F164" s="1179"/>
    </row>
    <row r="165" spans="1:6" ht="41.4" hidden="1" x14ac:dyDescent="0.25">
      <c r="A165" s="226"/>
      <c r="B165" s="368" t="s">
        <v>2477</v>
      </c>
      <c r="C165" s="1178"/>
      <c r="D165" s="1179"/>
      <c r="E165" s="1180"/>
      <c r="F165" s="1179"/>
    </row>
    <row r="166" spans="1:6" hidden="1" x14ac:dyDescent="0.25">
      <c r="A166" s="226"/>
      <c r="B166" s="396"/>
      <c r="C166" s="1178"/>
      <c r="D166" s="1179"/>
      <c r="E166" s="1180"/>
      <c r="F166" s="1179"/>
    </row>
    <row r="167" spans="1:6" x14ac:dyDescent="0.25">
      <c r="A167" s="425" t="s">
        <v>636</v>
      </c>
      <c r="B167" s="1181" t="s">
        <v>1136</v>
      </c>
      <c r="C167" s="1178"/>
      <c r="D167" s="1179"/>
      <c r="E167" s="1180"/>
      <c r="F167" s="1179"/>
    </row>
    <row r="168" spans="1:6" x14ac:dyDescent="0.25">
      <c r="A168" s="226"/>
      <c r="B168" s="1111"/>
      <c r="C168" s="1178"/>
      <c r="D168" s="1179"/>
      <c r="E168" s="1180"/>
      <c r="F168" s="1179"/>
    </row>
    <row r="169" spans="1:6" ht="79.2" x14ac:dyDescent="0.25">
      <c r="A169" s="226"/>
      <c r="B169" s="1040" t="s">
        <v>1137</v>
      </c>
      <c r="C169" s="1150"/>
      <c r="D169" s="1151"/>
      <c r="E169" s="1152"/>
      <c r="F169" s="1151"/>
    </row>
    <row r="170" spans="1:6" x14ac:dyDescent="0.25">
      <c r="A170" s="226"/>
      <c r="B170" s="1040"/>
      <c r="C170" s="1150"/>
      <c r="D170" s="1151"/>
      <c r="E170" s="1152"/>
      <c r="F170" s="1151"/>
    </row>
    <row r="171" spans="1:6" ht="39.6" x14ac:dyDescent="0.25">
      <c r="A171" s="226"/>
      <c r="B171" s="1040" t="s">
        <v>1138</v>
      </c>
      <c r="C171" s="1150"/>
      <c r="D171" s="1151"/>
      <c r="E171" s="1152"/>
      <c r="F171" s="1151"/>
    </row>
    <row r="172" spans="1:6" x14ac:dyDescent="0.25">
      <c r="A172" s="226"/>
      <c r="B172" s="1040"/>
      <c r="C172" s="1150"/>
      <c r="D172" s="1151"/>
      <c r="E172" s="1152"/>
      <c r="F172" s="1151"/>
    </row>
    <row r="173" spans="1:6" x14ac:dyDescent="0.25">
      <c r="A173" s="226"/>
      <c r="B173" s="396" t="s">
        <v>76</v>
      </c>
      <c r="C173" s="1150"/>
      <c r="D173" s="1151"/>
      <c r="E173" s="1152"/>
      <c r="F173" s="1151"/>
    </row>
    <row r="174" spans="1:6" x14ac:dyDescent="0.25">
      <c r="A174" s="226"/>
      <c r="B174" s="977" t="s">
        <v>1368</v>
      </c>
      <c r="C174" s="1150"/>
      <c r="D174" s="1151"/>
      <c r="E174" s="1152"/>
      <c r="F174" s="1151"/>
    </row>
    <row r="175" spans="1:6" x14ac:dyDescent="0.25">
      <c r="A175" s="226"/>
      <c r="B175" s="977"/>
      <c r="C175" s="1150"/>
      <c r="D175" s="1151"/>
      <c r="E175" s="1152"/>
      <c r="F175" s="1151"/>
    </row>
    <row r="176" spans="1:6" x14ac:dyDescent="0.25">
      <c r="A176" s="226"/>
      <c r="B176" s="396" t="s">
        <v>1066</v>
      </c>
      <c r="C176" s="1150"/>
      <c r="D176" s="1151"/>
      <c r="E176" s="1152"/>
      <c r="F176" s="1151"/>
    </row>
    <row r="177" spans="1:6" ht="73.2" hidden="1" customHeight="1" x14ac:dyDescent="0.25">
      <c r="A177" s="717" t="s">
        <v>1139</v>
      </c>
      <c r="B177" s="368" t="s">
        <v>1370</v>
      </c>
      <c r="C177" s="1150"/>
      <c r="D177" s="1151" t="s">
        <v>78</v>
      </c>
      <c r="E177" s="1152">
        <v>3364</v>
      </c>
      <c r="F177" s="1151">
        <f>E177*C177</f>
        <v>0</v>
      </c>
    </row>
    <row r="178" spans="1:6" hidden="1" x14ac:dyDescent="0.25">
      <c r="A178" s="717"/>
      <c r="B178" s="396"/>
      <c r="C178" s="1150"/>
      <c r="D178" s="1151"/>
      <c r="E178" s="1152"/>
      <c r="F178" s="1151"/>
    </row>
    <row r="179" spans="1:6" ht="73.2" hidden="1" customHeight="1" x14ac:dyDescent="0.25">
      <c r="A179" s="717" t="s">
        <v>1141</v>
      </c>
      <c r="B179" s="368" t="s">
        <v>1369</v>
      </c>
      <c r="C179" s="1150"/>
      <c r="D179" s="1151" t="s">
        <v>78</v>
      </c>
      <c r="E179" s="1152">
        <v>4373</v>
      </c>
      <c r="F179" s="1151">
        <f>E179*C179</f>
        <v>0</v>
      </c>
    </row>
    <row r="180" spans="1:6" x14ac:dyDescent="0.25">
      <c r="A180" s="717"/>
      <c r="B180" s="368"/>
      <c r="C180" s="1150"/>
      <c r="D180" s="1151"/>
      <c r="E180" s="1152"/>
      <c r="F180" s="1151"/>
    </row>
    <row r="181" spans="1:6" ht="88.2" customHeight="1" x14ac:dyDescent="0.25">
      <c r="A181" s="717" t="s">
        <v>1142</v>
      </c>
      <c r="B181" s="368" t="s">
        <v>2554</v>
      </c>
      <c r="C181" s="1150"/>
      <c r="D181" s="1151" t="s">
        <v>78</v>
      </c>
      <c r="E181" s="1152">
        <v>8577</v>
      </c>
      <c r="F181" s="1151">
        <f>E181*C181</f>
        <v>0</v>
      </c>
    </row>
    <row r="182" spans="1:6" x14ac:dyDescent="0.25">
      <c r="A182" s="717"/>
      <c r="B182" s="368"/>
      <c r="C182" s="1150"/>
      <c r="D182" s="1151"/>
      <c r="E182" s="1152"/>
      <c r="F182" s="1151"/>
    </row>
    <row r="183" spans="1:6" ht="75.599999999999994" customHeight="1" x14ac:dyDescent="0.25">
      <c r="A183" s="226" t="s">
        <v>1144</v>
      </c>
      <c r="B183" s="368" t="s">
        <v>1781</v>
      </c>
      <c r="C183" s="1150"/>
      <c r="D183" s="1151" t="s">
        <v>78</v>
      </c>
      <c r="E183" s="1152">
        <v>7500</v>
      </c>
      <c r="F183" s="1151">
        <f>E183*C183</f>
        <v>0</v>
      </c>
    </row>
    <row r="184" spans="1:6" x14ac:dyDescent="0.25">
      <c r="A184" s="226"/>
      <c r="B184" s="368"/>
      <c r="C184" s="1178"/>
      <c r="D184" s="1179"/>
      <c r="E184" s="1180"/>
      <c r="F184" s="1179"/>
    </row>
    <row r="185" spans="1:6" ht="75.599999999999994" customHeight="1" x14ac:dyDescent="0.25">
      <c r="A185" s="226" t="s">
        <v>1144</v>
      </c>
      <c r="B185" s="368" t="s">
        <v>2555</v>
      </c>
      <c r="C185" s="1178"/>
      <c r="D185" s="1179" t="s">
        <v>78</v>
      </c>
      <c r="E185" s="1180">
        <v>12100</v>
      </c>
      <c r="F185" s="1179">
        <f>E185*C185</f>
        <v>0</v>
      </c>
    </row>
    <row r="186" spans="1:6" x14ac:dyDescent="0.25">
      <c r="A186" s="226"/>
      <c r="B186" s="368"/>
      <c r="C186" s="1150"/>
      <c r="D186" s="1151"/>
      <c r="E186" s="1152"/>
      <c r="F186" s="1151"/>
    </row>
    <row r="187" spans="1:6" x14ac:dyDescent="0.25">
      <c r="A187" s="226"/>
      <c r="B187" s="977" t="s">
        <v>1372</v>
      </c>
      <c r="C187" s="1150"/>
      <c r="D187" s="1151"/>
      <c r="E187" s="1152"/>
      <c r="F187" s="1151"/>
    </row>
    <row r="188" spans="1:6" ht="69" hidden="1" x14ac:dyDescent="0.25">
      <c r="A188" s="717" t="s">
        <v>1145</v>
      </c>
      <c r="B188" s="368" t="s">
        <v>1382</v>
      </c>
      <c r="C188" s="1150"/>
      <c r="D188" s="1151" t="s">
        <v>78</v>
      </c>
      <c r="E188" s="1152">
        <v>3364</v>
      </c>
      <c r="F188" s="1151">
        <f>E188*C188</f>
        <v>0</v>
      </c>
    </row>
    <row r="189" spans="1:6" x14ac:dyDescent="0.25">
      <c r="A189" s="717"/>
      <c r="B189" s="396"/>
      <c r="C189" s="1150"/>
      <c r="D189" s="1151"/>
      <c r="E189" s="1152"/>
      <c r="F189" s="1151"/>
    </row>
    <row r="190" spans="1:6" ht="73.8" customHeight="1" x14ac:dyDescent="0.25">
      <c r="A190" s="717" t="s">
        <v>1146</v>
      </c>
      <c r="B190" s="368" t="s">
        <v>1369</v>
      </c>
      <c r="C190" s="1150"/>
      <c r="D190" s="1151" t="s">
        <v>78</v>
      </c>
      <c r="E190" s="1152">
        <f>E181</f>
        <v>8577</v>
      </c>
      <c r="F190" s="1151">
        <f>E190*C190</f>
        <v>0</v>
      </c>
    </row>
    <row r="191" spans="1:6" x14ac:dyDescent="0.25">
      <c r="A191" s="717"/>
      <c r="B191" s="368"/>
      <c r="C191" s="1150"/>
      <c r="D191" s="1151"/>
      <c r="E191" s="1152"/>
      <c r="F191" s="1151"/>
    </row>
    <row r="192" spans="1:6" ht="88.8" customHeight="1" x14ac:dyDescent="0.25">
      <c r="A192" s="717" t="s">
        <v>1149</v>
      </c>
      <c r="B192" s="368" t="s">
        <v>2555</v>
      </c>
      <c r="C192" s="1178"/>
      <c r="D192" s="1179" t="s">
        <v>78</v>
      </c>
      <c r="E192" s="1180">
        <v>12100</v>
      </c>
      <c r="F192" s="1179">
        <f>E192*C192</f>
        <v>0</v>
      </c>
    </row>
    <row r="193" spans="1:6" x14ac:dyDescent="0.25">
      <c r="A193" s="226"/>
      <c r="B193" s="368"/>
      <c r="C193" s="1150"/>
      <c r="D193" s="1151"/>
      <c r="E193" s="1152"/>
      <c r="F193" s="1151"/>
    </row>
    <row r="194" spans="1:6" ht="81.599999999999994" customHeight="1" x14ac:dyDescent="0.25">
      <c r="A194" s="226" t="s">
        <v>1151</v>
      </c>
      <c r="B194" s="368" t="s">
        <v>1381</v>
      </c>
      <c r="C194" s="1150"/>
      <c r="D194" s="1151" t="s">
        <v>78</v>
      </c>
      <c r="E194" s="1152">
        <f>E183</f>
        <v>7500</v>
      </c>
      <c r="F194" s="1151">
        <f>E194*C194</f>
        <v>0</v>
      </c>
    </row>
    <row r="195" spans="1:6" hidden="1" x14ac:dyDescent="0.25">
      <c r="A195" s="939"/>
      <c r="B195" s="1162"/>
      <c r="C195" s="1018"/>
      <c r="D195" s="957"/>
      <c r="E195" s="1012"/>
      <c r="F195" s="957"/>
    </row>
    <row r="196" spans="1:6" hidden="1" x14ac:dyDescent="0.25">
      <c r="A196" s="945"/>
      <c r="B196" s="1046" t="s">
        <v>1373</v>
      </c>
      <c r="C196" s="1047"/>
      <c r="D196" s="719"/>
      <c r="E196" s="1014"/>
      <c r="F196" s="719"/>
    </row>
    <row r="197" spans="1:6" ht="73.8" hidden="1" customHeight="1" x14ac:dyDescent="0.25">
      <c r="A197" s="717" t="s">
        <v>1152</v>
      </c>
      <c r="B197" s="368" t="s">
        <v>1370</v>
      </c>
      <c r="C197" s="1150"/>
      <c r="D197" s="1151" t="s">
        <v>78</v>
      </c>
      <c r="E197" s="1152">
        <v>3364</v>
      </c>
      <c r="F197" s="1151">
        <f>E197*C197</f>
        <v>0</v>
      </c>
    </row>
    <row r="198" spans="1:6" hidden="1" x14ac:dyDescent="0.25">
      <c r="A198" s="717"/>
      <c r="B198" s="396"/>
      <c r="C198" s="1150"/>
      <c r="D198" s="1151"/>
      <c r="E198" s="1152"/>
      <c r="F198" s="1151"/>
    </row>
    <row r="199" spans="1:6" ht="69" hidden="1" customHeight="1" x14ac:dyDescent="0.25">
      <c r="A199" s="717" t="s">
        <v>1158</v>
      </c>
      <c r="B199" s="368" t="s">
        <v>1369</v>
      </c>
      <c r="C199" s="1150"/>
      <c r="D199" s="1151" t="s">
        <v>78</v>
      </c>
      <c r="E199" s="1152">
        <v>4373</v>
      </c>
      <c r="F199" s="1151">
        <f>E199*C199</f>
        <v>0</v>
      </c>
    </row>
    <row r="200" spans="1:6" hidden="1" x14ac:dyDescent="0.25">
      <c r="A200" s="717"/>
      <c r="B200" s="368"/>
      <c r="C200" s="1150"/>
      <c r="D200" s="1151"/>
      <c r="E200" s="1152"/>
      <c r="F200" s="1151"/>
    </row>
    <row r="201" spans="1:6" ht="88.8" hidden="1" customHeight="1" x14ac:dyDescent="0.25">
      <c r="A201" s="717" t="s">
        <v>1159</v>
      </c>
      <c r="B201" s="368" t="s">
        <v>1371</v>
      </c>
      <c r="C201" s="1150"/>
      <c r="D201" s="1151" t="s">
        <v>78</v>
      </c>
      <c r="E201" s="1152">
        <f>E190</f>
        <v>8577</v>
      </c>
      <c r="F201" s="1151">
        <f>E201*C201</f>
        <v>0</v>
      </c>
    </row>
    <row r="202" spans="1:6" hidden="1" x14ac:dyDescent="0.25">
      <c r="A202" s="226"/>
      <c r="B202" s="368"/>
      <c r="C202" s="1150"/>
      <c r="D202" s="1151"/>
      <c r="E202" s="1152"/>
      <c r="F202" s="1151"/>
    </row>
    <row r="203" spans="1:6" ht="76.8" hidden="1" customHeight="1" x14ac:dyDescent="0.25">
      <c r="A203" s="226" t="s">
        <v>1160</v>
      </c>
      <c r="B203" s="368" t="s">
        <v>1781</v>
      </c>
      <c r="C203" s="1150"/>
      <c r="D203" s="1151" t="s">
        <v>78</v>
      </c>
      <c r="E203" s="1152">
        <f>E194</f>
        <v>7500</v>
      </c>
      <c r="F203" s="1151">
        <f>E203*C203</f>
        <v>0</v>
      </c>
    </row>
    <row r="204" spans="1:6" x14ac:dyDescent="0.25">
      <c r="A204" s="226"/>
      <c r="B204" s="368"/>
      <c r="C204" s="1178"/>
      <c r="D204" s="1179"/>
      <c r="E204" s="1180"/>
      <c r="F204" s="1179"/>
    </row>
    <row r="205" spans="1:6" x14ac:dyDescent="0.25">
      <c r="A205" s="226"/>
      <c r="B205" s="368"/>
      <c r="C205" s="1178"/>
      <c r="D205" s="1179"/>
      <c r="E205" s="1180"/>
      <c r="F205" s="1179"/>
    </row>
    <row r="206" spans="1:6" x14ac:dyDescent="0.25">
      <c r="A206" s="226"/>
      <c r="B206" s="368"/>
      <c r="C206" s="1178"/>
      <c r="D206" s="1179"/>
      <c r="E206" s="1180"/>
      <c r="F206" s="1179"/>
    </row>
    <row r="207" spans="1:6" x14ac:dyDescent="0.25">
      <c r="A207" s="226"/>
      <c r="B207" s="368"/>
      <c r="C207" s="1178"/>
      <c r="D207" s="1179"/>
      <c r="E207" s="1180"/>
      <c r="F207" s="1179"/>
    </row>
    <row r="208" spans="1:6" x14ac:dyDescent="0.25">
      <c r="A208" s="226"/>
      <c r="B208" s="368"/>
      <c r="C208" s="1178"/>
      <c r="D208" s="1179"/>
      <c r="E208" s="1180"/>
      <c r="F208" s="1179"/>
    </row>
    <row r="209" spans="1:6" x14ac:dyDescent="0.25">
      <c r="A209" s="226"/>
      <c r="B209" s="368"/>
      <c r="C209" s="1178"/>
      <c r="D209" s="1179"/>
      <c r="E209" s="1180"/>
      <c r="F209" s="1179"/>
    </row>
    <row r="210" spans="1:6" x14ac:dyDescent="0.25">
      <c r="A210" s="226"/>
      <c r="B210" s="396"/>
      <c r="C210" s="1150"/>
      <c r="D210" s="1151"/>
      <c r="E210" s="1152"/>
      <c r="F210" s="1151"/>
    </row>
    <row r="211" spans="1:6" x14ac:dyDescent="0.25">
      <c r="A211" s="226"/>
      <c r="B211" s="396" t="s">
        <v>1143</v>
      </c>
      <c r="C211" s="1150"/>
      <c r="D211" s="1151"/>
      <c r="E211" s="1152"/>
      <c r="F211" s="1151"/>
    </row>
    <row r="212" spans="1:6" ht="27.6" x14ac:dyDescent="0.25">
      <c r="A212" s="226"/>
      <c r="B212" s="396" t="s">
        <v>74</v>
      </c>
      <c r="C212" s="1150"/>
      <c r="D212" s="1151"/>
      <c r="E212" s="1152"/>
      <c r="F212" s="1151"/>
    </row>
    <row r="213" spans="1:6" x14ac:dyDescent="0.25">
      <c r="A213" s="226"/>
      <c r="B213" s="396"/>
      <c r="C213" s="1150"/>
      <c r="D213" s="1151"/>
      <c r="E213" s="1152"/>
      <c r="F213" s="1151"/>
    </row>
    <row r="214" spans="1:6" ht="119.4" customHeight="1" x14ac:dyDescent="0.25">
      <c r="A214" s="226" t="s">
        <v>1164</v>
      </c>
      <c r="B214" s="368" t="s">
        <v>1374</v>
      </c>
      <c r="C214" s="1150"/>
      <c r="D214" s="1151" t="s">
        <v>78</v>
      </c>
      <c r="E214" s="1152">
        <v>9500</v>
      </c>
      <c r="F214" s="1151">
        <f>E214*C214</f>
        <v>0</v>
      </c>
    </row>
    <row r="215" spans="1:6" x14ac:dyDescent="0.25">
      <c r="A215" s="226"/>
      <c r="B215" s="396"/>
      <c r="C215" s="1150"/>
      <c r="D215" s="1151"/>
      <c r="E215" s="1152"/>
      <c r="F215" s="1151"/>
    </row>
    <row r="216" spans="1:6" ht="116.4" customHeight="1" x14ac:dyDescent="0.25">
      <c r="A216" s="226" t="s">
        <v>1166</v>
      </c>
      <c r="B216" s="368" t="s">
        <v>1376</v>
      </c>
      <c r="C216" s="1150"/>
      <c r="D216" s="1151" t="s">
        <v>78</v>
      </c>
      <c r="E216" s="1152">
        <f>E214</f>
        <v>9500</v>
      </c>
      <c r="F216" s="1151">
        <f>E216*C216</f>
        <v>0</v>
      </c>
    </row>
    <row r="217" spans="1:6" x14ac:dyDescent="0.25">
      <c r="A217" s="226"/>
      <c r="B217" s="396"/>
      <c r="C217" s="1178"/>
      <c r="D217" s="1179"/>
      <c r="E217" s="1180"/>
      <c r="F217" s="1179"/>
    </row>
    <row r="218" spans="1:6" ht="120.6" hidden="1" customHeight="1" x14ac:dyDescent="0.25">
      <c r="A218" s="226" t="s">
        <v>1167</v>
      </c>
      <c r="B218" s="368" t="s">
        <v>1375</v>
      </c>
      <c r="C218" s="1178"/>
      <c r="D218" s="1179" t="s">
        <v>78</v>
      </c>
      <c r="E218" s="1180">
        <f>E216</f>
        <v>9500</v>
      </c>
      <c r="F218" s="1179">
        <f>E218*C218</f>
        <v>0</v>
      </c>
    </row>
    <row r="219" spans="1:6" hidden="1" x14ac:dyDescent="0.25">
      <c r="A219" s="226"/>
      <c r="B219" s="368"/>
      <c r="C219" s="1178"/>
      <c r="D219" s="1179"/>
      <c r="E219" s="1180"/>
      <c r="F219" s="1179"/>
    </row>
    <row r="220" spans="1:6" x14ac:dyDescent="0.25">
      <c r="A220" s="226"/>
      <c r="B220" s="396" t="s">
        <v>1148</v>
      </c>
      <c r="C220" s="1178"/>
      <c r="D220" s="1179"/>
      <c r="E220" s="1180"/>
      <c r="F220" s="1179"/>
    </row>
    <row r="221" spans="1:6" x14ac:dyDescent="0.25">
      <c r="A221" s="226"/>
      <c r="B221" s="396"/>
      <c r="C221" s="1178"/>
      <c r="D221" s="1179"/>
      <c r="E221" s="1180"/>
      <c r="F221" s="1179"/>
    </row>
    <row r="222" spans="1:6" ht="45.6" customHeight="1" x14ac:dyDescent="0.25">
      <c r="A222" s="226"/>
      <c r="B222" s="763" t="s">
        <v>1154</v>
      </c>
      <c r="C222" s="1041"/>
      <c r="D222" s="1041"/>
      <c r="E222" s="1041"/>
      <c r="F222" s="1041"/>
    </row>
    <row r="223" spans="1:6" ht="61.2" hidden="1" customHeight="1" x14ac:dyDescent="0.25">
      <c r="A223" s="226" t="s">
        <v>1383</v>
      </c>
      <c r="B223" s="368" t="s">
        <v>1150</v>
      </c>
      <c r="C223" s="1150"/>
      <c r="D223" s="1151" t="s">
        <v>78</v>
      </c>
      <c r="E223" s="1152">
        <v>5429</v>
      </c>
      <c r="F223" s="1151">
        <f>E223*C223</f>
        <v>0</v>
      </c>
    </row>
    <row r="224" spans="1:6" hidden="1" x14ac:dyDescent="0.25">
      <c r="A224" s="226"/>
      <c r="B224" s="396"/>
      <c r="C224" s="1150"/>
      <c r="D224" s="1151"/>
      <c r="E224" s="1152"/>
      <c r="F224" s="1151"/>
    </row>
    <row r="225" spans="1:6" ht="60.6" customHeight="1" x14ac:dyDescent="0.25">
      <c r="A225" s="226" t="s">
        <v>1384</v>
      </c>
      <c r="B225" s="368" t="s">
        <v>1153</v>
      </c>
      <c r="C225" s="1150"/>
      <c r="D225" s="1151" t="s">
        <v>78</v>
      </c>
      <c r="E225" s="1152">
        <f>E223</f>
        <v>5429</v>
      </c>
      <c r="F225" s="1151">
        <f>E225*C225</f>
        <v>0</v>
      </c>
    </row>
    <row r="226" spans="1:6" x14ac:dyDescent="0.25">
      <c r="A226" s="226"/>
      <c r="B226" s="396"/>
      <c r="C226" s="1150"/>
      <c r="D226" s="1151"/>
      <c r="E226" s="1152"/>
      <c r="F226" s="1151"/>
    </row>
    <row r="227" spans="1:6" ht="58.2" hidden="1" customHeight="1" x14ac:dyDescent="0.25">
      <c r="A227" s="226" t="s">
        <v>1385</v>
      </c>
      <c r="B227" s="392" t="s">
        <v>1155</v>
      </c>
      <c r="C227" s="1150"/>
      <c r="D227" s="1151" t="s">
        <v>78</v>
      </c>
      <c r="E227" s="1152">
        <f>E225</f>
        <v>5429</v>
      </c>
      <c r="F227" s="1151">
        <f>E227*C227</f>
        <v>0</v>
      </c>
    </row>
    <row r="228" spans="1:6" x14ac:dyDescent="0.25">
      <c r="A228" s="226"/>
      <c r="B228" s="1042" t="s">
        <v>1157</v>
      </c>
      <c r="C228" s="1150"/>
      <c r="D228" s="1151"/>
      <c r="E228" s="1152"/>
      <c r="F228" s="1151"/>
    </row>
    <row r="229" spans="1:6" ht="31.2" customHeight="1" x14ac:dyDescent="0.25">
      <c r="A229" s="226" t="s">
        <v>1158</v>
      </c>
      <c r="B229" s="392" t="s">
        <v>1156</v>
      </c>
      <c r="C229" s="1150"/>
      <c r="D229" s="1151" t="s">
        <v>78</v>
      </c>
      <c r="E229" s="1152">
        <v>8050</v>
      </c>
      <c r="F229" s="1151">
        <f>E229*C229</f>
        <v>0</v>
      </c>
    </row>
    <row r="230" spans="1:6" ht="33" hidden="1" customHeight="1" x14ac:dyDescent="0.25">
      <c r="A230" s="226" t="s">
        <v>1159</v>
      </c>
      <c r="B230" s="392" t="s">
        <v>1161</v>
      </c>
      <c r="C230" s="1150"/>
      <c r="D230" s="1151" t="s">
        <v>78</v>
      </c>
      <c r="E230" s="1152">
        <f>E229</f>
        <v>8050</v>
      </c>
      <c r="F230" s="1151">
        <f>E230*C230</f>
        <v>0</v>
      </c>
    </row>
    <row r="231" spans="1:6" x14ac:dyDescent="0.25">
      <c r="A231" s="226"/>
      <c r="B231" s="392"/>
      <c r="C231" s="1150"/>
      <c r="D231" s="1151"/>
      <c r="E231" s="1152"/>
      <c r="F231" s="1151"/>
    </row>
    <row r="232" spans="1:6" ht="30.6" customHeight="1" x14ac:dyDescent="0.25">
      <c r="A232" s="226" t="s">
        <v>1160</v>
      </c>
      <c r="B232" s="392" t="s">
        <v>1162</v>
      </c>
      <c r="C232" s="1150"/>
      <c r="D232" s="1151" t="s">
        <v>78</v>
      </c>
      <c r="E232" s="1152">
        <f>E230</f>
        <v>8050</v>
      </c>
      <c r="F232" s="1151">
        <f>E232*C232</f>
        <v>0</v>
      </c>
    </row>
    <row r="233" spans="1:6" x14ac:dyDescent="0.25">
      <c r="A233" s="226"/>
      <c r="B233" s="392"/>
      <c r="C233" s="1150"/>
      <c r="D233" s="1151"/>
      <c r="E233" s="1152"/>
      <c r="F233" s="1151"/>
    </row>
    <row r="234" spans="1:6" x14ac:dyDescent="0.25">
      <c r="A234" s="226"/>
      <c r="B234" s="1042" t="s">
        <v>1163</v>
      </c>
      <c r="C234" s="1150"/>
      <c r="D234" s="1151"/>
      <c r="E234" s="1152"/>
      <c r="F234" s="1151"/>
    </row>
    <row r="235" spans="1:6" ht="31.2" customHeight="1" x14ac:dyDescent="0.25">
      <c r="A235" s="226" t="s">
        <v>1164</v>
      </c>
      <c r="B235" s="392" t="s">
        <v>1165</v>
      </c>
      <c r="C235" s="1150"/>
      <c r="D235" s="1151" t="s">
        <v>78</v>
      </c>
      <c r="E235" s="1152">
        <v>8050</v>
      </c>
      <c r="F235" s="1151">
        <f>E235*C235</f>
        <v>0</v>
      </c>
    </row>
    <row r="236" spans="1:6" ht="31.2" hidden="1" customHeight="1" x14ac:dyDescent="0.25">
      <c r="A236" s="226" t="s">
        <v>1166</v>
      </c>
      <c r="B236" s="392" t="s">
        <v>1168</v>
      </c>
      <c r="C236" s="1150"/>
      <c r="D236" s="1151" t="s">
        <v>78</v>
      </c>
      <c r="E236" s="1152">
        <f>E235</f>
        <v>8050</v>
      </c>
      <c r="F236" s="1151">
        <f>E236*C236</f>
        <v>0</v>
      </c>
    </row>
    <row r="237" spans="1:6" x14ac:dyDescent="0.25">
      <c r="A237" s="226"/>
      <c r="B237" s="392"/>
      <c r="C237" s="1150"/>
      <c r="D237" s="1151"/>
      <c r="E237" s="1152"/>
      <c r="F237" s="1151"/>
    </row>
    <row r="238" spans="1:6" ht="30.6" customHeight="1" x14ac:dyDescent="0.25">
      <c r="A238" s="226" t="s">
        <v>1167</v>
      </c>
      <c r="B238" s="392" t="s">
        <v>1169</v>
      </c>
      <c r="C238" s="1150"/>
      <c r="D238" s="1151" t="s">
        <v>78</v>
      </c>
      <c r="E238" s="1152">
        <f>E236</f>
        <v>8050</v>
      </c>
      <c r="F238" s="1151">
        <f>E238*C238</f>
        <v>0</v>
      </c>
    </row>
    <row r="239" spans="1:6" x14ac:dyDescent="0.25">
      <c r="A239" s="226"/>
      <c r="B239" s="392"/>
      <c r="C239" s="1150"/>
      <c r="D239" s="1151"/>
      <c r="E239" s="1152"/>
      <c r="F239" s="1151"/>
    </row>
    <row r="240" spans="1:6" x14ac:dyDescent="0.25">
      <c r="A240" s="425" t="s">
        <v>1178</v>
      </c>
      <c r="B240" s="1111" t="s">
        <v>1170</v>
      </c>
      <c r="C240" s="1150"/>
      <c r="D240" s="1151"/>
      <c r="E240" s="1152"/>
      <c r="F240" s="1151"/>
    </row>
    <row r="241" spans="1:6" x14ac:dyDescent="0.25">
      <c r="A241" s="226"/>
      <c r="B241" s="1111"/>
      <c r="C241" s="1150"/>
      <c r="D241" s="1151"/>
      <c r="E241" s="1152"/>
      <c r="F241" s="1151"/>
    </row>
    <row r="242" spans="1:6" ht="39.6" x14ac:dyDescent="0.25">
      <c r="A242" s="226"/>
      <c r="B242" s="1111" t="s">
        <v>1171</v>
      </c>
      <c r="C242" s="1150"/>
      <c r="D242" s="1151"/>
      <c r="E242" s="1152"/>
      <c r="F242" s="1151"/>
    </row>
    <row r="243" spans="1:6" x14ac:dyDescent="0.25">
      <c r="A243" s="226"/>
      <c r="B243" s="1029"/>
      <c r="C243" s="1150"/>
      <c r="D243" s="1151"/>
      <c r="E243" s="1152"/>
      <c r="F243" s="1151"/>
    </row>
    <row r="244" spans="1:6" ht="52.8" x14ac:dyDescent="0.25">
      <c r="A244" s="226"/>
      <c r="B244" s="1111" t="s">
        <v>1172</v>
      </c>
      <c r="C244" s="1150"/>
      <c r="D244" s="1151"/>
      <c r="E244" s="1152"/>
      <c r="F244" s="1151"/>
    </row>
    <row r="245" spans="1:6" ht="39.6" x14ac:dyDescent="0.25">
      <c r="A245" s="226"/>
      <c r="B245" s="1111" t="s">
        <v>1173</v>
      </c>
      <c r="C245" s="1150"/>
      <c r="D245" s="1151"/>
      <c r="E245" s="1152"/>
      <c r="F245" s="1151"/>
    </row>
    <row r="246" spans="1:6" x14ac:dyDescent="0.25">
      <c r="A246" s="226"/>
      <c r="B246" s="1111"/>
      <c r="C246" s="1150"/>
      <c r="D246" s="1151"/>
      <c r="E246" s="1152"/>
      <c r="F246" s="1151"/>
    </row>
    <row r="247" spans="1:6" ht="46.2" customHeight="1" x14ac:dyDescent="0.25">
      <c r="A247" s="226"/>
      <c r="B247" s="1111" t="s">
        <v>1174</v>
      </c>
      <c r="C247" s="1150"/>
      <c r="D247" s="1151"/>
      <c r="E247" s="1152"/>
      <c r="F247" s="1151"/>
    </row>
    <row r="248" spans="1:6" x14ac:dyDescent="0.25">
      <c r="A248" s="226"/>
      <c r="B248" s="392"/>
      <c r="C248" s="1150"/>
      <c r="D248" s="1151"/>
      <c r="E248" s="1152"/>
      <c r="F248" s="1151"/>
    </row>
    <row r="249" spans="1:6" ht="36.6" customHeight="1" x14ac:dyDescent="0.25">
      <c r="A249" s="226"/>
      <c r="B249" s="1042" t="s">
        <v>1175</v>
      </c>
      <c r="C249" s="1178"/>
      <c r="D249" s="1179"/>
      <c r="E249" s="1180"/>
      <c r="F249" s="1179"/>
    </row>
    <row r="250" spans="1:6" x14ac:dyDescent="0.25">
      <c r="A250" s="226"/>
      <c r="B250" s="1042"/>
      <c r="C250" s="1178"/>
      <c r="D250" s="1179"/>
      <c r="E250" s="1180"/>
      <c r="F250" s="1179"/>
    </row>
    <row r="251" spans="1:6" ht="46.8" customHeight="1" x14ac:dyDescent="0.25">
      <c r="A251" s="226"/>
      <c r="B251" s="1042" t="s">
        <v>1176</v>
      </c>
      <c r="C251" s="1178"/>
      <c r="D251" s="1179"/>
      <c r="E251" s="1180"/>
      <c r="F251" s="1179"/>
    </row>
    <row r="252" spans="1:6" x14ac:dyDescent="0.25">
      <c r="A252" s="226"/>
      <c r="B252" s="392"/>
      <c r="C252" s="1150"/>
      <c r="D252" s="1151"/>
      <c r="E252" s="1152"/>
      <c r="F252" s="1151"/>
    </row>
    <row r="253" spans="1:6" ht="31.8" customHeight="1" x14ac:dyDescent="0.25">
      <c r="A253" s="226"/>
      <c r="B253" s="1042" t="s">
        <v>1177</v>
      </c>
      <c r="C253" s="1150"/>
      <c r="D253" s="1151"/>
      <c r="E253" s="1152"/>
      <c r="F253" s="1151"/>
    </row>
    <row r="254" spans="1:6" x14ac:dyDescent="0.25">
      <c r="A254" s="226"/>
      <c r="B254" s="1042"/>
      <c r="C254" s="1150"/>
      <c r="D254" s="1151"/>
      <c r="E254" s="1152"/>
      <c r="F254" s="1151"/>
    </row>
    <row r="255" spans="1:6" x14ac:dyDescent="0.25">
      <c r="A255" s="226"/>
      <c r="B255" s="1042" t="s">
        <v>1181</v>
      </c>
      <c r="C255" s="1150"/>
      <c r="D255" s="1151"/>
      <c r="E255" s="1152"/>
      <c r="F255" s="1151"/>
    </row>
    <row r="256" spans="1:6" x14ac:dyDescent="0.25">
      <c r="A256" s="226"/>
      <c r="B256" s="1042"/>
      <c r="C256" s="1150"/>
      <c r="D256" s="1151"/>
      <c r="E256" s="1152"/>
      <c r="F256" s="1151"/>
    </row>
    <row r="257" spans="1:6" ht="55.2" x14ac:dyDescent="0.25">
      <c r="A257" s="226" t="s">
        <v>1180</v>
      </c>
      <c r="B257" s="392" t="s">
        <v>2504</v>
      </c>
      <c r="C257" s="1150"/>
      <c r="D257" s="1151"/>
      <c r="E257" s="1152"/>
      <c r="F257" s="1151"/>
    </row>
    <row r="258" spans="1:6" hidden="1" x14ac:dyDescent="0.25">
      <c r="A258" s="226"/>
      <c r="B258" s="392" t="s">
        <v>884</v>
      </c>
      <c r="C258" s="1150"/>
      <c r="D258" s="1151" t="s">
        <v>78</v>
      </c>
      <c r="E258" s="1152">
        <v>5429</v>
      </c>
      <c r="F258" s="1151">
        <f>E258*C258</f>
        <v>0</v>
      </c>
    </row>
    <row r="259" spans="1:6" x14ac:dyDescent="0.25">
      <c r="A259" s="226"/>
      <c r="B259" s="392" t="s">
        <v>885</v>
      </c>
      <c r="C259" s="1150"/>
      <c r="D259" s="1151" t="s">
        <v>78</v>
      </c>
      <c r="E259" s="1152">
        <v>5429</v>
      </c>
      <c r="F259" s="1151">
        <f>E259*C259</f>
        <v>0</v>
      </c>
    </row>
    <row r="260" spans="1:6" hidden="1" x14ac:dyDescent="0.25">
      <c r="A260" s="226"/>
      <c r="B260" s="392" t="s">
        <v>878</v>
      </c>
      <c r="C260" s="1150"/>
      <c r="D260" s="1151" t="s">
        <v>78</v>
      </c>
      <c r="E260" s="1152">
        <v>5429</v>
      </c>
      <c r="F260" s="1151">
        <f>E260*C260</f>
        <v>0</v>
      </c>
    </row>
    <row r="261" spans="1:6" ht="32.4" hidden="1" customHeight="1" x14ac:dyDescent="0.25">
      <c r="A261" s="226" t="s">
        <v>1180</v>
      </c>
      <c r="B261" s="392" t="s">
        <v>1179</v>
      </c>
      <c r="C261" s="1150"/>
      <c r="D261" s="1151"/>
      <c r="E261" s="1152"/>
      <c r="F261" s="1151"/>
    </row>
    <row r="262" spans="1:6" hidden="1" x14ac:dyDescent="0.25">
      <c r="A262" s="226"/>
      <c r="B262" s="392" t="s">
        <v>884</v>
      </c>
      <c r="C262" s="1150"/>
      <c r="D262" s="1151" t="s">
        <v>78</v>
      </c>
      <c r="E262" s="1152">
        <v>2067</v>
      </c>
      <c r="F262" s="1151">
        <f>E262*C262</f>
        <v>0</v>
      </c>
    </row>
    <row r="263" spans="1:6" hidden="1" x14ac:dyDescent="0.25">
      <c r="A263" s="226"/>
      <c r="B263" s="392" t="s">
        <v>885</v>
      </c>
      <c r="C263" s="1150"/>
      <c r="D263" s="1151" t="s">
        <v>78</v>
      </c>
      <c r="E263" s="1152">
        <v>2067</v>
      </c>
      <c r="F263" s="1151">
        <f>E263*C263</f>
        <v>0</v>
      </c>
    </row>
    <row r="264" spans="1:6" hidden="1" x14ac:dyDescent="0.25">
      <c r="A264" s="226"/>
      <c r="B264" s="392" t="s">
        <v>878</v>
      </c>
      <c r="C264" s="1150"/>
      <c r="D264" s="1151" t="s">
        <v>78</v>
      </c>
      <c r="E264" s="1152">
        <v>2067</v>
      </c>
      <c r="F264" s="1151">
        <f>E264*C264</f>
        <v>0</v>
      </c>
    </row>
    <row r="265" spans="1:6" x14ac:dyDescent="0.25">
      <c r="A265" s="226"/>
      <c r="B265" s="392"/>
      <c r="C265" s="1150"/>
      <c r="D265" s="1151"/>
      <c r="E265" s="1152"/>
      <c r="F265" s="1151"/>
    </row>
    <row r="266" spans="1:6" ht="59.4" hidden="1" customHeight="1" x14ac:dyDescent="0.25">
      <c r="A266" s="226" t="s">
        <v>1182</v>
      </c>
      <c r="B266" s="392" t="s">
        <v>1183</v>
      </c>
      <c r="C266" s="1150"/>
      <c r="D266" s="1151" t="s">
        <v>78</v>
      </c>
      <c r="E266" s="1152">
        <v>16081</v>
      </c>
      <c r="F266" s="1151">
        <f>E266*C266</f>
        <v>0</v>
      </c>
    </row>
    <row r="267" spans="1:6" ht="76.8" customHeight="1" x14ac:dyDescent="0.25">
      <c r="A267" s="226" t="s">
        <v>1184</v>
      </c>
      <c r="B267" s="392" t="s">
        <v>2556</v>
      </c>
      <c r="C267" s="1150"/>
      <c r="D267" s="1151" t="s">
        <v>78</v>
      </c>
      <c r="E267" s="1152">
        <f>(25000+5000)*1.25</f>
        <v>37500</v>
      </c>
      <c r="F267" s="1151">
        <f>E267*C267</f>
        <v>0</v>
      </c>
    </row>
    <row r="268" spans="1:6" x14ac:dyDescent="0.25">
      <c r="A268" s="226"/>
      <c r="B268" s="396"/>
      <c r="C268" s="1150"/>
      <c r="D268" s="1151"/>
      <c r="E268" s="1152"/>
      <c r="F268" s="1151"/>
    </row>
    <row r="269" spans="1:6" customFormat="1" ht="60.6" hidden="1" customHeight="1" x14ac:dyDescent="0.25">
      <c r="A269" s="226" t="s">
        <v>1185</v>
      </c>
      <c r="B269" s="392" t="s">
        <v>1186</v>
      </c>
      <c r="C269" s="1150"/>
      <c r="D269" s="1151" t="s">
        <v>78</v>
      </c>
      <c r="E269" s="1152">
        <v>16081</v>
      </c>
      <c r="F269" s="1151">
        <f>E269*C269</f>
        <v>0</v>
      </c>
    </row>
    <row r="270" spans="1:6" ht="27.6" hidden="1" x14ac:dyDescent="0.25">
      <c r="A270" s="226" t="s">
        <v>1185</v>
      </c>
      <c r="B270" s="368" t="s">
        <v>1377</v>
      </c>
      <c r="C270" s="1150"/>
      <c r="D270" s="1151" t="s">
        <v>78</v>
      </c>
      <c r="E270" s="1152">
        <v>15800</v>
      </c>
      <c r="F270" s="1151">
        <f>E270*C270</f>
        <v>0</v>
      </c>
    </row>
    <row r="271" spans="1:6" hidden="1" x14ac:dyDescent="0.25">
      <c r="A271" s="226"/>
      <c r="B271" s="396"/>
      <c r="C271" s="1150"/>
      <c r="D271" s="1151"/>
      <c r="E271" s="1152"/>
      <c r="F271" s="1151"/>
    </row>
    <row r="272" spans="1:6" ht="27.6" hidden="1" x14ac:dyDescent="0.25">
      <c r="A272" s="226" t="s">
        <v>1378</v>
      </c>
      <c r="B272" s="368" t="s">
        <v>1832</v>
      </c>
      <c r="C272" s="1150"/>
      <c r="D272" s="1151" t="s">
        <v>78</v>
      </c>
      <c r="E272" s="1152">
        <v>15800</v>
      </c>
      <c r="F272" s="1151">
        <f>E272*C272</f>
        <v>0</v>
      </c>
    </row>
    <row r="273" spans="1:6" hidden="1" x14ac:dyDescent="0.25">
      <c r="A273" s="226"/>
      <c r="B273" s="396"/>
      <c r="C273" s="1150"/>
      <c r="D273" s="1151"/>
      <c r="E273" s="1152"/>
      <c r="F273" s="1151"/>
    </row>
    <row r="274" spans="1:6" ht="27.6" hidden="1" x14ac:dyDescent="0.25">
      <c r="A274" s="226" t="s">
        <v>1379</v>
      </c>
      <c r="B274" s="368" t="s">
        <v>1831</v>
      </c>
      <c r="C274" s="1150"/>
      <c r="D274" s="1151" t="s">
        <v>78</v>
      </c>
      <c r="E274" s="1152">
        <v>15800</v>
      </c>
      <c r="F274" s="1151">
        <f>E274*C274</f>
        <v>0</v>
      </c>
    </row>
    <row r="275" spans="1:6" x14ac:dyDescent="0.25">
      <c r="A275" s="226" t="s">
        <v>1187</v>
      </c>
      <c r="B275" s="396" t="s">
        <v>1203</v>
      </c>
      <c r="C275" s="1150"/>
      <c r="D275" s="1151"/>
      <c r="E275" s="1152"/>
      <c r="F275" s="1151"/>
    </row>
    <row r="276" spans="1:6" ht="50.4" customHeight="1" x14ac:dyDescent="0.25">
      <c r="A276" s="226"/>
      <c r="B276" s="1042" t="s">
        <v>2436</v>
      </c>
      <c r="C276" s="1150"/>
      <c r="D276" s="1151"/>
      <c r="E276" s="1152"/>
      <c r="F276" s="1151"/>
    </row>
    <row r="277" spans="1:6" x14ac:dyDescent="0.25">
      <c r="A277" s="226"/>
      <c r="B277" s="396"/>
      <c r="C277" s="1150"/>
      <c r="D277" s="1151"/>
      <c r="E277" s="1152"/>
      <c r="F277" s="1151"/>
    </row>
    <row r="278" spans="1:6" x14ac:dyDescent="0.25">
      <c r="A278" s="226"/>
      <c r="B278" s="977" t="s">
        <v>175</v>
      </c>
      <c r="C278" s="1150"/>
      <c r="D278" s="1151"/>
      <c r="E278" s="1152"/>
      <c r="F278" s="1151"/>
    </row>
    <row r="279" spans="1:6" ht="47.4" customHeight="1" x14ac:dyDescent="0.25">
      <c r="A279" s="226"/>
      <c r="B279" s="396" t="s">
        <v>1176</v>
      </c>
      <c r="C279" s="1150"/>
      <c r="D279" s="1151"/>
      <c r="E279" s="1152"/>
      <c r="F279" s="1151"/>
    </row>
    <row r="280" spans="1:6" x14ac:dyDescent="0.25">
      <c r="A280" s="226"/>
      <c r="B280" s="396"/>
      <c r="C280" s="1150"/>
      <c r="D280" s="1151"/>
      <c r="E280" s="1152"/>
      <c r="F280" s="1151"/>
    </row>
    <row r="281" spans="1:6" ht="27.6" x14ac:dyDescent="0.25">
      <c r="A281" s="226"/>
      <c r="B281" s="396" t="s">
        <v>1380</v>
      </c>
      <c r="C281" s="1150"/>
      <c r="D281" s="1151"/>
      <c r="E281" s="1152"/>
      <c r="F281" s="1151"/>
    </row>
    <row r="282" spans="1:6" x14ac:dyDescent="0.25">
      <c r="A282" s="226"/>
      <c r="B282" s="396"/>
      <c r="C282" s="1150"/>
      <c r="D282" s="1151"/>
      <c r="E282" s="1152"/>
      <c r="F282" s="1151"/>
    </row>
    <row r="283" spans="1:6" ht="46.2" customHeight="1" x14ac:dyDescent="0.25">
      <c r="A283" s="226"/>
      <c r="B283" s="1148" t="s">
        <v>1825</v>
      </c>
      <c r="C283" s="1150"/>
      <c r="D283" s="1151"/>
      <c r="E283" s="1152"/>
      <c r="F283" s="1151"/>
    </row>
    <row r="284" spans="1:6" x14ac:dyDescent="0.25">
      <c r="A284" s="226"/>
      <c r="B284" s="1148"/>
      <c r="C284" s="1178"/>
      <c r="D284" s="1179"/>
      <c r="E284" s="1180"/>
      <c r="F284" s="1179"/>
    </row>
    <row r="285" spans="1:6" x14ac:dyDescent="0.25">
      <c r="A285" s="226"/>
      <c r="B285" s="1148"/>
      <c r="C285" s="1178"/>
      <c r="D285" s="1179"/>
      <c r="E285" s="1180"/>
      <c r="F285" s="1179"/>
    </row>
    <row r="286" spans="1:6" x14ac:dyDescent="0.25">
      <c r="A286" s="226"/>
      <c r="B286" s="1148"/>
      <c r="C286" s="1178"/>
      <c r="D286" s="1179"/>
      <c r="E286" s="1180"/>
      <c r="F286" s="1179"/>
    </row>
    <row r="287" spans="1:6" x14ac:dyDescent="0.25">
      <c r="A287" s="226"/>
      <c r="B287" s="1148"/>
      <c r="C287" s="1178"/>
      <c r="D287" s="1179"/>
      <c r="E287" s="1180"/>
      <c r="F287" s="1179"/>
    </row>
    <row r="288" spans="1:6" x14ac:dyDescent="0.25">
      <c r="A288" s="226"/>
      <c r="B288" s="1148"/>
      <c r="C288" s="1178"/>
      <c r="D288" s="1179"/>
      <c r="E288" s="1180"/>
      <c r="F288" s="1179"/>
    </row>
    <row r="289" spans="1:12" x14ac:dyDescent="0.25">
      <c r="A289" s="226"/>
      <c r="B289" s="1148"/>
      <c r="C289" s="1178"/>
      <c r="D289" s="1179"/>
      <c r="E289" s="1180"/>
      <c r="F289" s="1179"/>
    </row>
    <row r="290" spans="1:12" x14ac:dyDescent="0.25">
      <c r="A290" s="226"/>
      <c r="B290" s="396"/>
      <c r="C290" s="1178"/>
      <c r="D290" s="1179"/>
      <c r="E290" s="1180"/>
      <c r="F290" s="1179"/>
    </row>
    <row r="291" spans="1:12" x14ac:dyDescent="0.25">
      <c r="A291" s="226"/>
      <c r="B291" s="977" t="s">
        <v>884</v>
      </c>
      <c r="C291" s="1178"/>
      <c r="D291" s="1179"/>
      <c r="E291" s="1180"/>
      <c r="F291" s="1179"/>
      <c r="J291" s="24" t="s">
        <v>1833</v>
      </c>
    </row>
    <row r="292" spans="1:12" ht="73.2" customHeight="1" x14ac:dyDescent="0.25">
      <c r="A292" s="226" t="s">
        <v>1189</v>
      </c>
      <c r="B292" s="368" t="s">
        <v>2557</v>
      </c>
      <c r="C292" s="1150"/>
      <c r="D292" s="1151" t="s">
        <v>78</v>
      </c>
      <c r="E292" s="1152">
        <f>(7000+1250)*1.25</f>
        <v>10312.5</v>
      </c>
      <c r="F292" s="1151">
        <f>E292*C292</f>
        <v>0</v>
      </c>
      <c r="J292" s="24" t="s">
        <v>1834</v>
      </c>
      <c r="K292" s="24" t="s">
        <v>1473</v>
      </c>
      <c r="L292" s="24" t="s">
        <v>1835</v>
      </c>
    </row>
    <row r="293" spans="1:12" hidden="1" x14ac:dyDescent="0.25">
      <c r="A293" s="226"/>
      <c r="B293" s="396"/>
      <c r="C293" s="1150"/>
      <c r="D293" s="1151"/>
      <c r="E293" s="1152"/>
      <c r="F293" s="1151"/>
      <c r="J293" s="24">
        <v>2</v>
      </c>
      <c r="K293" s="24">
        <v>2</v>
      </c>
      <c r="L293" s="24">
        <v>2</v>
      </c>
    </row>
    <row r="294" spans="1:12" ht="60.6" hidden="1" customHeight="1" x14ac:dyDescent="0.25">
      <c r="A294" s="226" t="s">
        <v>1190</v>
      </c>
      <c r="B294" s="368" t="s">
        <v>1387</v>
      </c>
      <c r="C294" s="1150"/>
      <c r="D294" s="1151" t="s">
        <v>168</v>
      </c>
      <c r="E294" s="1152">
        <v>3873</v>
      </c>
      <c r="F294" s="1151">
        <f>E294*C294</f>
        <v>0</v>
      </c>
    </row>
    <row r="295" spans="1:12" x14ac:dyDescent="0.25">
      <c r="A295" s="226"/>
      <c r="B295" s="396"/>
      <c r="C295" s="1150"/>
      <c r="D295" s="1151"/>
      <c r="E295" s="1152"/>
      <c r="F295" s="1151"/>
    </row>
    <row r="296" spans="1:12" ht="75.599999999999994" customHeight="1" x14ac:dyDescent="0.25">
      <c r="A296" s="226" t="s">
        <v>1414</v>
      </c>
      <c r="B296" s="368" t="s">
        <v>2437</v>
      </c>
      <c r="C296" s="1150"/>
      <c r="D296" s="1151" t="s">
        <v>78</v>
      </c>
      <c r="E296" s="1152">
        <v>3873</v>
      </c>
      <c r="F296" s="1151">
        <f>E296*C296</f>
        <v>0</v>
      </c>
      <c r="J296" s="24">
        <f>55*4+60</f>
        <v>280</v>
      </c>
    </row>
    <row r="297" spans="1:12" x14ac:dyDescent="0.25">
      <c r="A297" s="226"/>
      <c r="B297" s="396"/>
      <c r="C297" s="1150"/>
      <c r="D297" s="1151"/>
      <c r="E297" s="1152"/>
      <c r="F297" s="1151"/>
    </row>
    <row r="298" spans="1:12" ht="61.8" customHeight="1" x14ac:dyDescent="0.25">
      <c r="A298" s="226" t="s">
        <v>1415</v>
      </c>
      <c r="B298" s="368" t="s">
        <v>2558</v>
      </c>
      <c r="C298" s="1150"/>
      <c r="D298" s="1151" t="s">
        <v>78</v>
      </c>
      <c r="E298" s="1180">
        <f>(3500+1250)*1.25</f>
        <v>5937.5</v>
      </c>
      <c r="F298" s="1151">
        <f>E298*C298</f>
        <v>0</v>
      </c>
    </row>
    <row r="299" spans="1:12" x14ac:dyDescent="0.25">
      <c r="A299" s="226"/>
      <c r="B299" s="396"/>
      <c r="C299" s="1150"/>
      <c r="D299" s="1151"/>
      <c r="E299" s="1152"/>
      <c r="F299" s="1151"/>
    </row>
    <row r="300" spans="1:12" ht="27.6" x14ac:dyDescent="0.25">
      <c r="A300" s="226" t="s">
        <v>1418</v>
      </c>
      <c r="B300" s="368" t="s">
        <v>2560</v>
      </c>
      <c r="C300" s="1178"/>
      <c r="D300" s="1179" t="s">
        <v>78</v>
      </c>
      <c r="E300" s="1180">
        <f>(2000+1250)*1.25</f>
        <v>4062.5</v>
      </c>
      <c r="F300" s="1179">
        <f>E300*C300</f>
        <v>0</v>
      </c>
    </row>
    <row r="301" spans="1:12" x14ac:dyDescent="0.25">
      <c r="A301" s="226"/>
      <c r="B301" s="368"/>
      <c r="C301" s="1150"/>
      <c r="D301" s="1151"/>
      <c r="E301" s="1152"/>
      <c r="F301" s="1151"/>
    </row>
    <row r="302" spans="1:12" ht="27.6" x14ac:dyDescent="0.25">
      <c r="A302" s="226" t="s">
        <v>1418</v>
      </c>
      <c r="B302" s="368" t="s">
        <v>2559</v>
      </c>
      <c r="C302" s="1150"/>
      <c r="D302" s="1151" t="s">
        <v>78</v>
      </c>
      <c r="E302" s="1180">
        <f>(2000+1250)*1.25</f>
        <v>4062.5</v>
      </c>
      <c r="F302" s="1151">
        <f>E302*C302</f>
        <v>0</v>
      </c>
    </row>
    <row r="303" spans="1:12" x14ac:dyDescent="0.25">
      <c r="A303" s="226"/>
      <c r="B303" s="368"/>
      <c r="C303" s="1150"/>
      <c r="D303" s="1151"/>
      <c r="E303" s="1152"/>
      <c r="F303" s="1151"/>
    </row>
    <row r="304" spans="1:12" x14ac:dyDescent="0.25">
      <c r="A304" s="226"/>
      <c r="B304" s="977" t="s">
        <v>1388</v>
      </c>
      <c r="C304" s="1150"/>
      <c r="D304" s="1151"/>
      <c r="E304" s="1152"/>
      <c r="F304" s="1151"/>
    </row>
    <row r="305" spans="1:8" ht="73.8" hidden="1" customHeight="1" x14ac:dyDescent="0.25">
      <c r="A305" s="226" t="s">
        <v>1418</v>
      </c>
      <c r="B305" s="368" t="s">
        <v>1386</v>
      </c>
      <c r="C305" s="1150"/>
      <c r="D305" s="1151" t="s">
        <v>78</v>
      </c>
      <c r="E305" s="1152">
        <v>7545</v>
      </c>
      <c r="F305" s="1151">
        <f>E305*C305</f>
        <v>0</v>
      </c>
    </row>
    <row r="306" spans="1:8" hidden="1" x14ac:dyDescent="0.25">
      <c r="A306" s="226"/>
      <c r="B306" s="396"/>
      <c r="C306" s="1150"/>
      <c r="D306" s="1151"/>
      <c r="E306" s="1152"/>
      <c r="F306" s="1151"/>
    </row>
    <row r="307" spans="1:8" ht="59.4" hidden="1" customHeight="1" x14ac:dyDescent="0.25">
      <c r="A307" s="226" t="s">
        <v>1419</v>
      </c>
      <c r="B307" s="368" t="s">
        <v>1387</v>
      </c>
      <c r="C307" s="1150"/>
      <c r="D307" s="1151" t="s">
        <v>168</v>
      </c>
      <c r="E307" s="1152">
        <v>3873</v>
      </c>
      <c r="F307" s="1151">
        <f>E307*C307</f>
        <v>0</v>
      </c>
    </row>
    <row r="308" spans="1:8" x14ac:dyDescent="0.25">
      <c r="A308" s="226"/>
      <c r="B308" s="368"/>
      <c r="C308" s="1150"/>
      <c r="D308" s="1151"/>
      <c r="E308" s="1152"/>
      <c r="F308" s="1151"/>
    </row>
    <row r="309" spans="1:8" ht="77.400000000000006" customHeight="1" x14ac:dyDescent="0.25">
      <c r="A309" s="226" t="s">
        <v>1432</v>
      </c>
      <c r="B309" s="368" t="s">
        <v>2437</v>
      </c>
      <c r="C309" s="1150"/>
      <c r="D309" s="1151" t="s">
        <v>78</v>
      </c>
      <c r="E309" s="1152">
        <v>3873</v>
      </c>
      <c r="F309" s="1151">
        <f>E309*C309</f>
        <v>0</v>
      </c>
    </row>
    <row r="310" spans="1:8" x14ac:dyDescent="0.25">
      <c r="A310" s="226"/>
      <c r="B310" s="368"/>
      <c r="C310" s="1150"/>
      <c r="D310" s="1151"/>
      <c r="E310" s="1152"/>
      <c r="F310" s="1151"/>
    </row>
    <row r="311" spans="1:8" ht="63" customHeight="1" x14ac:dyDescent="0.25">
      <c r="A311" s="226" t="s">
        <v>1433</v>
      </c>
      <c r="B311" s="368" t="s">
        <v>2558</v>
      </c>
      <c r="C311" s="1178"/>
      <c r="D311" s="1179" t="s">
        <v>78</v>
      </c>
      <c r="E311" s="1180">
        <f>(3500+1250)*1.25</f>
        <v>5937.5</v>
      </c>
      <c r="F311" s="1179">
        <f>E311*C311</f>
        <v>0</v>
      </c>
      <c r="H311" s="24">
        <f>31*4+170</f>
        <v>294</v>
      </c>
    </row>
    <row r="312" spans="1:8" ht="63" hidden="1" customHeight="1" x14ac:dyDescent="0.25">
      <c r="A312" s="226" t="s">
        <v>1434</v>
      </c>
      <c r="B312" s="368" t="s">
        <v>1416</v>
      </c>
      <c r="C312" s="1150"/>
      <c r="D312" s="1151" t="s">
        <v>78</v>
      </c>
      <c r="E312" s="1152">
        <v>2591</v>
      </c>
      <c r="F312" s="1151">
        <f>E312*C312</f>
        <v>0</v>
      </c>
    </row>
    <row r="313" spans="1:8" hidden="1" x14ac:dyDescent="0.25">
      <c r="A313" s="226"/>
      <c r="B313" s="396"/>
      <c r="C313" s="1150"/>
      <c r="D313" s="1151"/>
      <c r="E313" s="1152"/>
      <c r="F313" s="1151"/>
    </row>
    <row r="314" spans="1:8" ht="64.2" hidden="1" customHeight="1" x14ac:dyDescent="0.25">
      <c r="A314" s="226" t="s">
        <v>1435</v>
      </c>
      <c r="B314" s="368" t="s">
        <v>1417</v>
      </c>
      <c r="C314" s="1150"/>
      <c r="D314" s="1151" t="s">
        <v>78</v>
      </c>
      <c r="E314" s="1152">
        <v>1520</v>
      </c>
      <c r="F314" s="1151">
        <f>E314*C314</f>
        <v>0</v>
      </c>
    </row>
    <row r="315" spans="1:8" x14ac:dyDescent="0.25">
      <c r="A315" s="226"/>
      <c r="B315" s="368"/>
      <c r="C315" s="1150"/>
      <c r="D315" s="1151"/>
      <c r="E315" s="1152"/>
      <c r="F315" s="1151"/>
    </row>
    <row r="316" spans="1:8" ht="27.6" x14ac:dyDescent="0.25">
      <c r="A316" s="226" t="s">
        <v>1436</v>
      </c>
      <c r="B316" s="368" t="s">
        <v>2559</v>
      </c>
      <c r="C316" s="1178"/>
      <c r="D316" s="1179" t="s">
        <v>78</v>
      </c>
      <c r="E316" s="1180">
        <f>(2000+1250)*1.25</f>
        <v>4062.5</v>
      </c>
      <c r="F316" s="1179">
        <f>E316*C316</f>
        <v>0</v>
      </c>
    </row>
    <row r="317" spans="1:8" x14ac:dyDescent="0.25">
      <c r="A317" s="226"/>
      <c r="B317" s="396"/>
      <c r="C317" s="1178"/>
      <c r="D317" s="1179"/>
      <c r="E317" s="1180"/>
      <c r="F317" s="1179"/>
    </row>
    <row r="318" spans="1:8" hidden="1" x14ac:dyDescent="0.25">
      <c r="A318" s="226"/>
      <c r="B318" s="977" t="s">
        <v>878</v>
      </c>
      <c r="C318" s="1178"/>
      <c r="D318" s="1179"/>
      <c r="E318" s="1180"/>
      <c r="F318" s="1179"/>
    </row>
    <row r="319" spans="1:8" ht="61.8" hidden="1" customHeight="1" x14ac:dyDescent="0.25">
      <c r="A319" s="226" t="s">
        <v>1436</v>
      </c>
      <c r="B319" s="368" t="s">
        <v>2438</v>
      </c>
      <c r="C319" s="1178"/>
      <c r="D319" s="1179" t="s">
        <v>168</v>
      </c>
      <c r="E319" s="1180">
        <v>3873</v>
      </c>
      <c r="F319" s="1179">
        <f>E319*C319</f>
        <v>0</v>
      </c>
      <c r="G319" s="24">
        <f>8*14</f>
        <v>112</v>
      </c>
    </row>
    <row r="320" spans="1:8" hidden="1" x14ac:dyDescent="0.25">
      <c r="A320" s="226"/>
      <c r="B320" s="368"/>
      <c r="C320" s="1178"/>
      <c r="D320" s="1179"/>
      <c r="E320" s="1180"/>
      <c r="F320" s="1179"/>
    </row>
    <row r="321" spans="1:8" ht="63.6" hidden="1" customHeight="1" x14ac:dyDescent="0.25">
      <c r="A321" s="226" t="s">
        <v>1445</v>
      </c>
      <c r="B321" s="368" t="s">
        <v>2505</v>
      </c>
      <c r="C321" s="1178"/>
      <c r="D321" s="1179" t="s">
        <v>1340</v>
      </c>
      <c r="E321" s="1180">
        <f>E311</f>
        <v>5937.5</v>
      </c>
      <c r="F321" s="1179">
        <f>E321*C321</f>
        <v>0</v>
      </c>
    </row>
    <row r="322" spans="1:8" hidden="1" x14ac:dyDescent="0.25">
      <c r="A322" s="226"/>
      <c r="B322" s="368"/>
      <c r="C322" s="1178"/>
      <c r="D322" s="1179"/>
      <c r="E322" s="1180"/>
      <c r="F322" s="1179"/>
    </row>
    <row r="323" spans="1:8" ht="41.4" hidden="1" x14ac:dyDescent="0.25">
      <c r="A323" s="226" t="s">
        <v>1445</v>
      </c>
      <c r="B323" s="368" t="s">
        <v>2439</v>
      </c>
      <c r="C323" s="1178"/>
      <c r="D323" s="1179" t="s">
        <v>1340</v>
      </c>
      <c r="E323" s="1180">
        <f>E321+700</f>
        <v>6637.5</v>
      </c>
      <c r="F323" s="1179">
        <f>E323*C323</f>
        <v>0</v>
      </c>
    </row>
    <row r="324" spans="1:8" ht="60" hidden="1" customHeight="1" x14ac:dyDescent="0.25">
      <c r="A324" s="226" t="s">
        <v>1446</v>
      </c>
      <c r="B324" s="368" t="s">
        <v>1550</v>
      </c>
      <c r="C324" s="1178"/>
      <c r="D324" s="1179" t="s">
        <v>168</v>
      </c>
      <c r="E324" s="1180">
        <v>2213</v>
      </c>
      <c r="F324" s="1179">
        <f>E324*C324</f>
        <v>0</v>
      </c>
    </row>
    <row r="325" spans="1:8" hidden="1" x14ac:dyDescent="0.25">
      <c r="A325" s="226"/>
      <c r="B325" s="368"/>
      <c r="C325" s="1178"/>
      <c r="D325" s="1179"/>
      <c r="E325" s="1180"/>
      <c r="F325" s="1179"/>
    </row>
    <row r="326" spans="1:8" ht="59.4" hidden="1" customHeight="1" x14ac:dyDescent="0.25">
      <c r="A326" s="226" t="s">
        <v>1447</v>
      </c>
      <c r="B326" s="368" t="s">
        <v>1552</v>
      </c>
      <c r="C326" s="1178"/>
      <c r="D326" s="1179" t="s">
        <v>1551</v>
      </c>
      <c r="E326" s="1180">
        <v>1299</v>
      </c>
      <c r="F326" s="1179">
        <f>E326*C326</f>
        <v>0</v>
      </c>
    </row>
    <row r="327" spans="1:8" hidden="1" x14ac:dyDescent="0.25">
      <c r="A327" s="226"/>
      <c r="B327" s="368"/>
      <c r="C327" s="1178"/>
      <c r="D327" s="1179"/>
      <c r="E327" s="1180"/>
      <c r="F327" s="1179"/>
    </row>
    <row r="328" spans="1:8" ht="27.6" hidden="1" x14ac:dyDescent="0.25">
      <c r="A328" s="226" t="s">
        <v>1837</v>
      </c>
      <c r="B328" s="368" t="s">
        <v>1836</v>
      </c>
      <c r="C328" s="1178"/>
      <c r="D328" s="1179" t="s">
        <v>78</v>
      </c>
      <c r="E328" s="1180">
        <v>1520</v>
      </c>
      <c r="F328" s="1179">
        <f>E328*C328</f>
        <v>0</v>
      </c>
    </row>
    <row r="329" spans="1:8" x14ac:dyDescent="0.25">
      <c r="A329" s="425" t="s">
        <v>1437</v>
      </c>
      <c r="B329" s="396" t="s">
        <v>106</v>
      </c>
      <c r="C329" s="1178"/>
      <c r="D329" s="1179"/>
      <c r="E329" s="1180"/>
      <c r="F329" s="1179"/>
    </row>
    <row r="330" spans="1:8" ht="41.4" x14ac:dyDescent="0.25">
      <c r="A330" s="425"/>
      <c r="B330" s="396" t="s">
        <v>2485</v>
      </c>
      <c r="C330" s="1150"/>
      <c r="D330" s="1151"/>
      <c r="E330" s="1152"/>
      <c r="F330" s="1151"/>
    </row>
    <row r="331" spans="1:8" x14ac:dyDescent="0.25">
      <c r="A331" s="425"/>
      <c r="B331" s="396"/>
      <c r="C331" s="1150"/>
      <c r="D331" s="1151"/>
      <c r="E331" s="1152"/>
      <c r="F331" s="1151"/>
    </row>
    <row r="332" spans="1:8" ht="135.6" customHeight="1" x14ac:dyDescent="0.25">
      <c r="A332" s="885" t="s">
        <v>1438</v>
      </c>
      <c r="B332" s="368" t="s">
        <v>1595</v>
      </c>
      <c r="C332" s="1150"/>
      <c r="D332" s="1151" t="s">
        <v>1188</v>
      </c>
      <c r="E332" s="1152">
        <v>165500</v>
      </c>
      <c r="F332" s="1151">
        <f>E332*C332</f>
        <v>0</v>
      </c>
    </row>
    <row r="333" spans="1:8" x14ac:dyDescent="0.25">
      <c r="A333" s="425"/>
      <c r="B333" s="396"/>
      <c r="C333" s="1150"/>
      <c r="D333" s="1151"/>
      <c r="E333" s="1152"/>
      <c r="F333" s="1151"/>
    </row>
    <row r="334" spans="1:8" ht="51" customHeight="1" x14ac:dyDescent="0.25">
      <c r="A334" s="885" t="s">
        <v>1439</v>
      </c>
      <c r="B334" s="368" t="s">
        <v>1594</v>
      </c>
      <c r="C334" s="1150"/>
      <c r="D334" s="1151" t="s">
        <v>1188</v>
      </c>
      <c r="E334" s="1152">
        <v>12500</v>
      </c>
      <c r="F334" s="1151">
        <f>E334*C334</f>
        <v>0</v>
      </c>
    </row>
    <row r="335" spans="1:8" x14ac:dyDescent="0.25">
      <c r="A335" s="226"/>
      <c r="B335" s="396"/>
      <c r="C335" s="1150"/>
      <c r="D335" s="1151"/>
      <c r="E335" s="1152"/>
      <c r="F335" s="1151"/>
    </row>
    <row r="336" spans="1:8" ht="69" x14ac:dyDescent="0.25">
      <c r="A336" s="885" t="s">
        <v>2481</v>
      </c>
      <c r="B336" s="1145" t="s">
        <v>1147</v>
      </c>
      <c r="C336" s="1068"/>
      <c r="D336" s="1069" t="s">
        <v>56</v>
      </c>
      <c r="E336" s="1070">
        <f>760*3.28</f>
        <v>2492.7999999999997</v>
      </c>
      <c r="F336" s="1069">
        <f>E336*C336</f>
        <v>0</v>
      </c>
      <c r="H336" s="24">
        <f>SUM(F334:F336)</f>
        <v>0</v>
      </c>
    </row>
    <row r="337" spans="1:6" ht="27.6" x14ac:dyDescent="0.25">
      <c r="A337" s="885" t="s">
        <v>2487</v>
      </c>
      <c r="B337" s="1145" t="s">
        <v>2486</v>
      </c>
      <c r="C337" s="1068"/>
      <c r="D337" s="1069" t="s">
        <v>56</v>
      </c>
      <c r="E337" s="1070">
        <v>2000</v>
      </c>
      <c r="F337" s="1069">
        <f>E337*C337</f>
        <v>0</v>
      </c>
    </row>
    <row r="338" spans="1:6" x14ac:dyDescent="0.25">
      <c r="A338" s="885"/>
      <c r="B338" s="1145"/>
      <c r="C338" s="1068"/>
      <c r="D338" s="1069"/>
      <c r="E338" s="1070"/>
      <c r="F338" s="1069"/>
    </row>
    <row r="339" spans="1:6" s="12" customFormat="1" ht="27.6" x14ac:dyDescent="0.25">
      <c r="A339" s="992"/>
      <c r="B339" s="312" t="s">
        <v>920</v>
      </c>
      <c r="C339" s="718"/>
      <c r="D339" s="720"/>
      <c r="E339" s="721"/>
      <c r="F339" s="1049">
        <f>SUM(F2:F338)</f>
        <v>1345750</v>
      </c>
    </row>
  </sheetData>
  <mergeCells count="8">
    <mergeCell ref="C139:C140"/>
    <mergeCell ref="D139:D140"/>
    <mergeCell ref="E139:E140"/>
    <mergeCell ref="F139:F140"/>
    <mergeCell ref="C132:C134"/>
    <mergeCell ref="D132:D134"/>
    <mergeCell ref="E132:E134"/>
    <mergeCell ref="F132:F134"/>
  </mergeCells>
  <pageMargins left="0.5" right="0.5" top="0.25" bottom="0.25" header="0.5" footer="0.5"/>
  <pageSetup orientation="portrait" r:id="rId1"/>
  <headerFooter alignWithMargins="0">
    <oddFooter>&amp;C&amp;P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R627"/>
  <sheetViews>
    <sheetView topLeftCell="A325" zoomScale="85" zoomScaleNormal="85" workbookViewId="0">
      <selection activeCell="F581" sqref="F581"/>
    </sheetView>
  </sheetViews>
  <sheetFormatPr defaultColWidth="9.21875" defaultRowHeight="13.8" x14ac:dyDescent="0.25"/>
  <cols>
    <col min="1" max="1" width="8.21875" style="38" customWidth="1"/>
    <col min="2" max="2" width="64.21875" style="36" customWidth="1"/>
    <col min="3" max="3" width="10.77734375" style="39" customWidth="1"/>
    <col min="4" max="4" width="9" style="38" customWidth="1"/>
    <col min="5" max="5" width="12.77734375" style="202" bestFit="1" customWidth="1"/>
    <col min="6" max="6" width="15.77734375" style="39" bestFit="1" customWidth="1"/>
    <col min="7" max="7" width="9.21875" style="24"/>
    <col min="8" max="8" width="12.44140625" style="24" bestFit="1" customWidth="1"/>
    <col min="9" max="9" width="10" style="24" bestFit="1" customWidth="1"/>
    <col min="10" max="10" width="11" style="24" bestFit="1" customWidth="1"/>
    <col min="11" max="12" width="12.88671875" style="24" bestFit="1" customWidth="1"/>
    <col min="13" max="13" width="10.33203125" style="24" bestFit="1" customWidth="1"/>
    <col min="14" max="16384" width="9.21875" style="24"/>
  </cols>
  <sheetData>
    <row r="1" spans="1:13" s="31" customFormat="1" x14ac:dyDescent="0.25">
      <c r="A1" s="2952" t="s">
        <v>126</v>
      </c>
      <c r="B1" s="2953"/>
      <c r="C1" s="2953"/>
      <c r="D1" s="2953"/>
      <c r="E1" s="2953"/>
      <c r="F1" s="2954"/>
    </row>
    <row r="2" spans="1:13" s="31" customFormat="1" ht="14.4" thickBot="1" x14ac:dyDescent="0.3">
      <c r="A2" s="2955"/>
      <c r="B2" s="2956"/>
      <c r="C2" s="2956"/>
      <c r="D2" s="2956"/>
      <c r="E2" s="2956"/>
      <c r="F2" s="2957"/>
    </row>
    <row r="3" spans="1:13" s="31" customFormat="1" ht="14.4" thickBot="1" x14ac:dyDescent="0.3">
      <c r="A3" s="45" t="s">
        <v>0</v>
      </c>
      <c r="B3" s="46" t="s">
        <v>1</v>
      </c>
      <c r="C3" s="47" t="s">
        <v>2</v>
      </c>
      <c r="D3" s="48" t="s">
        <v>3</v>
      </c>
      <c r="E3" s="188" t="s">
        <v>4</v>
      </c>
      <c r="F3" s="49" t="s">
        <v>5</v>
      </c>
    </row>
    <row r="4" spans="1:13" s="31" customFormat="1" x14ac:dyDescent="0.25">
      <c r="A4" s="50"/>
      <c r="B4" s="51" t="s">
        <v>6</v>
      </c>
      <c r="C4" s="52"/>
      <c r="D4" s="53"/>
      <c r="E4" s="189"/>
      <c r="F4" s="54"/>
    </row>
    <row r="5" spans="1:13" s="31" customFormat="1" x14ac:dyDescent="0.25">
      <c r="A5" s="55" t="s">
        <v>7</v>
      </c>
      <c r="B5" s="51" t="s">
        <v>8</v>
      </c>
      <c r="C5" s="52"/>
      <c r="D5" s="56"/>
      <c r="E5" s="190"/>
      <c r="F5" s="54"/>
    </row>
    <row r="6" spans="1:13" s="31" customFormat="1" x14ac:dyDescent="0.25">
      <c r="A6" s="50"/>
      <c r="B6" s="57"/>
      <c r="C6" s="52"/>
      <c r="D6" s="56"/>
      <c r="E6" s="190"/>
      <c r="F6" s="54"/>
    </row>
    <row r="7" spans="1:13" s="31" customFormat="1" x14ac:dyDescent="0.25">
      <c r="A7" s="58"/>
      <c r="B7" s="51" t="s">
        <v>9</v>
      </c>
      <c r="C7" s="59"/>
      <c r="D7" s="60"/>
      <c r="E7" s="191"/>
      <c r="F7" s="62"/>
      <c r="K7" s="31">
        <v>60000000</v>
      </c>
    </row>
    <row r="8" spans="1:13" s="31" customFormat="1" ht="55.2" x14ac:dyDescent="0.25">
      <c r="A8" s="58"/>
      <c r="B8" s="63" t="s">
        <v>10</v>
      </c>
      <c r="C8" s="59"/>
      <c r="D8" s="60"/>
      <c r="E8" s="191"/>
      <c r="F8" s="62"/>
      <c r="K8" s="31">
        <f>K7*1.44%</f>
        <v>864000</v>
      </c>
    </row>
    <row r="9" spans="1:13" s="31" customFormat="1" x14ac:dyDescent="0.25">
      <c r="A9" s="58"/>
      <c r="B9" s="63"/>
      <c r="C9" s="59"/>
      <c r="D9" s="60"/>
      <c r="E9" s="191"/>
      <c r="F9" s="62"/>
      <c r="L9" s="31">
        <f>K8*0.23</f>
        <v>198720</v>
      </c>
    </row>
    <row r="10" spans="1:13" s="31" customFormat="1" x14ac:dyDescent="0.25">
      <c r="A10" s="58" t="s">
        <v>11</v>
      </c>
      <c r="B10" s="63" t="s">
        <v>12</v>
      </c>
      <c r="C10" s="64">
        <v>1</v>
      </c>
      <c r="D10" s="65" t="s">
        <v>13</v>
      </c>
      <c r="E10" s="191">
        <v>685000</v>
      </c>
      <c r="F10" s="62">
        <f>C10*E10</f>
        <v>685000</v>
      </c>
      <c r="L10" s="31">
        <f>K8*0.18</f>
        <v>155520</v>
      </c>
    </row>
    <row r="11" spans="1:13" s="31" customFormat="1" x14ac:dyDescent="0.25">
      <c r="A11" s="58"/>
      <c r="B11" s="63"/>
      <c r="C11" s="59"/>
      <c r="D11" s="60"/>
      <c r="E11" s="191"/>
      <c r="F11" s="62"/>
      <c r="L11" s="31">
        <f>K8*0.22</f>
        <v>190080</v>
      </c>
      <c r="M11" s="31">
        <f>L11+L10</f>
        <v>345600</v>
      </c>
    </row>
    <row r="12" spans="1:13" s="31" customFormat="1" x14ac:dyDescent="0.25">
      <c r="A12" s="58" t="s">
        <v>14</v>
      </c>
      <c r="B12" s="63" t="s">
        <v>15</v>
      </c>
      <c r="C12" s="64">
        <v>1</v>
      </c>
      <c r="D12" s="65" t="s">
        <v>13</v>
      </c>
      <c r="E12" s="191">
        <v>20000</v>
      </c>
      <c r="F12" s="62">
        <f>C12*E12</f>
        <v>20000</v>
      </c>
    </row>
    <row r="13" spans="1:13" s="31" customFormat="1" x14ac:dyDescent="0.25">
      <c r="A13" s="58"/>
      <c r="B13" s="63"/>
      <c r="C13" s="59"/>
      <c r="D13" s="60"/>
      <c r="E13" s="191"/>
      <c r="F13" s="62"/>
      <c r="M13" s="31">
        <f>K8*0.1</f>
        <v>86400</v>
      </c>
    </row>
    <row r="14" spans="1:13" s="31" customFormat="1" ht="41.4" x14ac:dyDescent="0.25">
      <c r="A14" s="58" t="s">
        <v>16</v>
      </c>
      <c r="B14" s="63" t="s">
        <v>17</v>
      </c>
      <c r="C14" s="64">
        <v>1</v>
      </c>
      <c r="D14" s="65" t="s">
        <v>13</v>
      </c>
      <c r="E14" s="191">
        <v>810000</v>
      </c>
      <c r="F14" s="62">
        <f>C14*E14</f>
        <v>810000</v>
      </c>
      <c r="M14" s="31">
        <f>K8*0.12</f>
        <v>103680</v>
      </c>
    </row>
    <row r="15" spans="1:13" s="31" customFormat="1" x14ac:dyDescent="0.25">
      <c r="A15" s="58"/>
      <c r="B15" s="63"/>
      <c r="C15" s="59"/>
      <c r="D15" s="60"/>
      <c r="E15" s="191"/>
      <c r="F15" s="62"/>
    </row>
    <row r="16" spans="1:13" s="31" customFormat="1" ht="41.4" x14ac:dyDescent="0.25">
      <c r="A16" s="58" t="s">
        <v>18</v>
      </c>
      <c r="B16" s="63" t="s">
        <v>19</v>
      </c>
      <c r="C16" s="64">
        <v>1</v>
      </c>
      <c r="D16" s="65" t="s">
        <v>13</v>
      </c>
      <c r="E16" s="191">
        <v>30000</v>
      </c>
      <c r="F16" s="62">
        <f>C16*E16</f>
        <v>30000</v>
      </c>
    </row>
    <row r="17" spans="1:6" s="31" customFormat="1" x14ac:dyDescent="0.25">
      <c r="A17" s="58"/>
      <c r="B17" s="63"/>
      <c r="C17" s="59"/>
      <c r="D17" s="60"/>
      <c r="E17" s="191"/>
      <c r="F17" s="62"/>
    </row>
    <row r="18" spans="1:6" s="31" customFormat="1" ht="27.6" x14ac:dyDescent="0.25">
      <c r="A18" s="58" t="s">
        <v>20</v>
      </c>
      <c r="B18" s="63" t="s">
        <v>397</v>
      </c>
      <c r="C18" s="64">
        <v>1</v>
      </c>
      <c r="D18" s="65" t="s">
        <v>13</v>
      </c>
      <c r="E18" s="191">
        <v>160000</v>
      </c>
      <c r="F18" s="62">
        <f>C18*E18</f>
        <v>160000</v>
      </c>
    </row>
    <row r="19" spans="1:6" s="31" customFormat="1" x14ac:dyDescent="0.25">
      <c r="A19" s="58"/>
      <c r="B19" s="63"/>
      <c r="C19" s="64"/>
      <c r="D19" s="65"/>
      <c r="E19" s="192"/>
      <c r="F19" s="66"/>
    </row>
    <row r="20" spans="1:6" s="31" customFormat="1" ht="27.6" x14ac:dyDescent="0.25">
      <c r="A20" s="58" t="s">
        <v>21</v>
      </c>
      <c r="B20" s="63" t="s">
        <v>22</v>
      </c>
      <c r="C20" s="64">
        <v>1</v>
      </c>
      <c r="D20" s="65" t="s">
        <v>13</v>
      </c>
      <c r="E20" s="191">
        <v>100000</v>
      </c>
      <c r="F20" s="62">
        <f>C20*E20</f>
        <v>100000</v>
      </c>
    </row>
    <row r="21" spans="1:6" s="31" customFormat="1" x14ac:dyDescent="0.25">
      <c r="A21" s="58"/>
      <c r="B21" s="63"/>
      <c r="C21" s="64"/>
      <c r="D21" s="65"/>
      <c r="E21" s="191"/>
      <c r="F21" s="62"/>
    </row>
    <row r="22" spans="1:6" s="31" customFormat="1" x14ac:dyDescent="0.25">
      <c r="A22" s="58" t="s">
        <v>23</v>
      </c>
      <c r="B22" s="63" t="s">
        <v>398</v>
      </c>
      <c r="C22" s="64">
        <v>1</v>
      </c>
      <c r="D22" s="65" t="s">
        <v>13</v>
      </c>
      <c r="E22" s="191">
        <v>15000</v>
      </c>
      <c r="F22" s="62">
        <f>C22*E22</f>
        <v>15000</v>
      </c>
    </row>
    <row r="23" spans="1:6" s="31" customFormat="1" x14ac:dyDescent="0.25">
      <c r="A23" s="58"/>
      <c r="B23" s="63"/>
      <c r="C23" s="64"/>
      <c r="D23" s="65"/>
      <c r="E23" s="191"/>
      <c r="F23" s="62"/>
    </row>
    <row r="24" spans="1:6" s="31" customFormat="1" ht="41.4" x14ac:dyDescent="0.25">
      <c r="A24" s="58" t="s">
        <v>24</v>
      </c>
      <c r="B24" s="67" t="s">
        <v>25</v>
      </c>
      <c r="C24" s="59"/>
      <c r="D24" s="65" t="s">
        <v>13</v>
      </c>
      <c r="E24" s="191"/>
      <c r="F24" s="68" t="s">
        <v>26</v>
      </c>
    </row>
    <row r="25" spans="1:6" s="31" customFormat="1" x14ac:dyDescent="0.25">
      <c r="A25" s="58"/>
      <c r="B25" s="67"/>
      <c r="C25" s="59"/>
      <c r="D25" s="60"/>
      <c r="E25" s="191"/>
      <c r="F25" s="68"/>
    </row>
    <row r="26" spans="1:6" s="31" customFormat="1" ht="41.4" x14ac:dyDescent="0.25">
      <c r="A26" s="58" t="s">
        <v>27</v>
      </c>
      <c r="B26" s="67" t="s">
        <v>28</v>
      </c>
      <c r="C26" s="59"/>
      <c r="D26" s="65" t="s">
        <v>13</v>
      </c>
      <c r="E26" s="191"/>
      <c r="F26" s="68" t="s">
        <v>26</v>
      </c>
    </row>
    <row r="27" spans="1:6" s="31" customFormat="1" x14ac:dyDescent="0.25">
      <c r="A27" s="58"/>
      <c r="B27" s="63"/>
      <c r="C27" s="64"/>
      <c r="D27" s="65"/>
      <c r="E27" s="191"/>
      <c r="F27" s="62"/>
    </row>
    <row r="28" spans="1:6" s="31" customFormat="1" ht="27.6" x14ac:dyDescent="0.25">
      <c r="A28" s="58" t="s">
        <v>29</v>
      </c>
      <c r="B28" s="63" t="s">
        <v>399</v>
      </c>
      <c r="C28" s="64">
        <v>1</v>
      </c>
      <c r="D28" s="65" t="s">
        <v>13</v>
      </c>
      <c r="E28" s="191">
        <v>50000</v>
      </c>
      <c r="F28" s="62">
        <f>C28*E28</f>
        <v>50000</v>
      </c>
    </row>
    <row r="29" spans="1:6" s="31" customFormat="1" x14ac:dyDescent="0.25">
      <c r="A29" s="58"/>
      <c r="B29" s="69"/>
      <c r="C29" s="64"/>
      <c r="D29" s="65"/>
      <c r="E29" s="191"/>
      <c r="F29" s="62"/>
    </row>
    <row r="30" spans="1:6" s="31" customFormat="1" x14ac:dyDescent="0.25">
      <c r="A30" s="58" t="s">
        <v>30</v>
      </c>
      <c r="B30" s="63" t="s">
        <v>400</v>
      </c>
      <c r="C30" s="64">
        <v>1</v>
      </c>
      <c r="D30" s="65" t="s">
        <v>13</v>
      </c>
      <c r="E30" s="191">
        <v>60000</v>
      </c>
      <c r="F30" s="62">
        <f>C30*E30</f>
        <v>60000</v>
      </c>
    </row>
    <row r="31" spans="1:6" s="31" customFormat="1" x14ac:dyDescent="0.25">
      <c r="A31" s="58"/>
      <c r="B31" s="69"/>
      <c r="C31" s="64"/>
      <c r="D31" s="65"/>
      <c r="E31" s="191"/>
      <c r="F31" s="62"/>
    </row>
    <row r="32" spans="1:6" s="31" customFormat="1" ht="41.4" x14ac:dyDescent="0.25">
      <c r="A32" s="58" t="s">
        <v>31</v>
      </c>
      <c r="B32" s="63" t="s">
        <v>401</v>
      </c>
      <c r="C32" s="64">
        <v>1</v>
      </c>
      <c r="D32" s="65" t="s">
        <v>13</v>
      </c>
      <c r="E32" s="191">
        <v>150000</v>
      </c>
      <c r="F32" s="62">
        <f t="shared" ref="F32:F48" si="0">C32*E32</f>
        <v>150000</v>
      </c>
    </row>
    <row r="33" spans="1:6" s="31" customFormat="1" ht="14.4" thickBot="1" x14ac:dyDescent="0.3">
      <c r="A33" s="70"/>
      <c r="B33" s="71"/>
      <c r="C33" s="72"/>
      <c r="D33" s="73"/>
      <c r="E33" s="193"/>
      <c r="F33" s="74"/>
    </row>
    <row r="34" spans="1:6" s="31" customFormat="1" x14ac:dyDescent="0.25">
      <c r="A34" s="75" t="s">
        <v>32</v>
      </c>
      <c r="B34" s="76" t="s">
        <v>402</v>
      </c>
      <c r="C34" s="77">
        <v>1</v>
      </c>
      <c r="D34" s="78" t="s">
        <v>13</v>
      </c>
      <c r="E34" s="194">
        <v>50000</v>
      </c>
      <c r="F34" s="79">
        <f t="shared" si="0"/>
        <v>50000</v>
      </c>
    </row>
    <row r="35" spans="1:6" s="31" customFormat="1" x14ac:dyDescent="0.25">
      <c r="A35" s="58"/>
      <c r="B35" s="63"/>
      <c r="C35" s="64"/>
      <c r="D35" s="65"/>
      <c r="E35" s="191"/>
      <c r="F35" s="62"/>
    </row>
    <row r="36" spans="1:6" s="31" customFormat="1" ht="27.6" x14ac:dyDescent="0.25">
      <c r="A36" s="58" t="s">
        <v>33</v>
      </c>
      <c r="B36" s="63" t="s">
        <v>403</v>
      </c>
      <c r="C36" s="64">
        <v>1</v>
      </c>
      <c r="D36" s="65" t="s">
        <v>13</v>
      </c>
      <c r="E36" s="191">
        <v>300000</v>
      </c>
      <c r="F36" s="62">
        <f t="shared" si="0"/>
        <v>300000</v>
      </c>
    </row>
    <row r="37" spans="1:6" s="31" customFormat="1" x14ac:dyDescent="0.25">
      <c r="A37" s="58"/>
      <c r="B37" s="63"/>
      <c r="C37" s="64"/>
      <c r="D37" s="65"/>
      <c r="E37" s="191"/>
      <c r="F37" s="62"/>
    </row>
    <row r="38" spans="1:6" s="31" customFormat="1" ht="27.6" x14ac:dyDescent="0.25">
      <c r="A38" s="58" t="s">
        <v>34</v>
      </c>
      <c r="B38" s="63" t="s">
        <v>404</v>
      </c>
      <c r="C38" s="64">
        <v>1</v>
      </c>
      <c r="D38" s="65" t="s">
        <v>13</v>
      </c>
      <c r="E38" s="191">
        <v>200000</v>
      </c>
      <c r="F38" s="62">
        <f t="shared" si="0"/>
        <v>200000</v>
      </c>
    </row>
    <row r="39" spans="1:6" s="31" customFormat="1" x14ac:dyDescent="0.25">
      <c r="A39" s="58"/>
      <c r="B39" s="63"/>
      <c r="C39" s="64"/>
      <c r="D39" s="65"/>
      <c r="E39" s="191"/>
      <c r="F39" s="62"/>
    </row>
    <row r="40" spans="1:6" s="31" customFormat="1" ht="27.6" x14ac:dyDescent="0.25">
      <c r="A40" s="58" t="s">
        <v>35</v>
      </c>
      <c r="B40" s="63" t="s">
        <v>36</v>
      </c>
      <c r="C40" s="64">
        <v>1</v>
      </c>
      <c r="D40" s="65" t="s">
        <v>13</v>
      </c>
      <c r="E40" s="191">
        <v>100000</v>
      </c>
      <c r="F40" s="62">
        <f t="shared" si="0"/>
        <v>100000</v>
      </c>
    </row>
    <row r="41" spans="1:6" s="31" customFormat="1" x14ac:dyDescent="0.25">
      <c r="A41" s="58"/>
      <c r="B41" s="63"/>
      <c r="C41" s="64"/>
      <c r="D41" s="65"/>
      <c r="E41" s="191"/>
      <c r="F41" s="62"/>
    </row>
    <row r="42" spans="1:6" s="31" customFormat="1" ht="41.4" x14ac:dyDescent="0.25">
      <c r="A42" s="58" t="s">
        <v>37</v>
      </c>
      <c r="B42" s="63" t="s">
        <v>38</v>
      </c>
      <c r="C42" s="64">
        <v>1</v>
      </c>
      <c r="D42" s="65" t="s">
        <v>13</v>
      </c>
      <c r="E42" s="191">
        <v>75000</v>
      </c>
      <c r="F42" s="62">
        <f t="shared" si="0"/>
        <v>75000</v>
      </c>
    </row>
    <row r="43" spans="1:6" s="31" customFormat="1" x14ac:dyDescent="0.25">
      <c r="A43" s="58"/>
      <c r="B43" s="63"/>
      <c r="C43" s="64"/>
      <c r="D43" s="65"/>
      <c r="E43" s="191"/>
      <c r="F43" s="62"/>
    </row>
    <row r="44" spans="1:6" s="31" customFormat="1" x14ac:dyDescent="0.25">
      <c r="A44" s="58" t="s">
        <v>39</v>
      </c>
      <c r="B44" s="63" t="s">
        <v>40</v>
      </c>
      <c r="C44" s="64">
        <v>1</v>
      </c>
      <c r="D44" s="65" t="s">
        <v>13</v>
      </c>
      <c r="E44" s="191">
        <v>30000</v>
      </c>
      <c r="F44" s="62">
        <f t="shared" si="0"/>
        <v>30000</v>
      </c>
    </row>
    <row r="45" spans="1:6" s="31" customFormat="1" x14ac:dyDescent="0.25">
      <c r="A45" s="58"/>
      <c r="B45" s="63"/>
      <c r="C45" s="64"/>
      <c r="D45" s="65"/>
      <c r="E45" s="191"/>
      <c r="F45" s="62"/>
    </row>
    <row r="46" spans="1:6" s="31" customFormat="1" ht="41.4" x14ac:dyDescent="0.25">
      <c r="A46" s="58" t="s">
        <v>41</v>
      </c>
      <c r="B46" s="63" t="s">
        <v>43</v>
      </c>
      <c r="C46" s="64">
        <v>1</v>
      </c>
      <c r="D46" s="65" t="s">
        <v>13</v>
      </c>
      <c r="E46" s="191">
        <v>20000</v>
      </c>
      <c r="F46" s="62">
        <f t="shared" si="0"/>
        <v>20000</v>
      </c>
    </row>
    <row r="47" spans="1:6" s="31" customFormat="1" x14ac:dyDescent="0.25">
      <c r="A47" s="58"/>
      <c r="B47" s="80"/>
      <c r="C47" s="64"/>
      <c r="D47" s="65"/>
      <c r="E47" s="191"/>
      <c r="F47" s="62"/>
    </row>
    <row r="48" spans="1:6" s="31" customFormat="1" ht="27.6" x14ac:dyDescent="0.25">
      <c r="A48" s="58" t="s">
        <v>42</v>
      </c>
      <c r="B48" s="63" t="s">
        <v>44</v>
      </c>
      <c r="C48" s="64">
        <v>1</v>
      </c>
      <c r="D48" s="65" t="s">
        <v>13</v>
      </c>
      <c r="E48" s="191">
        <v>15000</v>
      </c>
      <c r="F48" s="62">
        <f t="shared" si="0"/>
        <v>15000</v>
      </c>
    </row>
    <row r="49" spans="1:8" s="31" customFormat="1" x14ac:dyDescent="0.25">
      <c r="A49" s="50"/>
      <c r="B49" s="81"/>
      <c r="C49" s="82"/>
      <c r="D49" s="83"/>
      <c r="E49" s="195"/>
      <c r="F49" s="84"/>
    </row>
    <row r="50" spans="1:8" s="31" customFormat="1" x14ac:dyDescent="0.25">
      <c r="A50" s="50"/>
      <c r="B50" s="81"/>
      <c r="C50" s="82"/>
      <c r="D50" s="83"/>
      <c r="E50" s="195"/>
      <c r="F50" s="84"/>
    </row>
    <row r="51" spans="1:8" s="31" customFormat="1" x14ac:dyDescent="0.25">
      <c r="A51" s="50"/>
      <c r="B51" s="81"/>
      <c r="C51" s="82"/>
      <c r="D51" s="83"/>
      <c r="E51" s="195"/>
      <c r="F51" s="84"/>
    </row>
    <row r="52" spans="1:8" s="31" customFormat="1" x14ac:dyDescent="0.25">
      <c r="A52" s="50"/>
      <c r="B52" s="81"/>
      <c r="C52" s="82"/>
      <c r="D52" s="83"/>
      <c r="E52" s="195"/>
      <c r="F52" s="84"/>
    </row>
    <row r="53" spans="1:8" s="31" customFormat="1" x14ac:dyDescent="0.25">
      <c r="A53" s="50"/>
      <c r="B53" s="81"/>
      <c r="C53" s="82"/>
      <c r="D53" s="83"/>
      <c r="E53" s="195"/>
      <c r="F53" s="84"/>
    </row>
    <row r="54" spans="1:8" s="31" customFormat="1" x14ac:dyDescent="0.25">
      <c r="A54" s="50"/>
      <c r="B54" s="85"/>
      <c r="C54" s="86"/>
      <c r="D54" s="87"/>
      <c r="E54" s="195"/>
      <c r="F54" s="84"/>
    </row>
    <row r="55" spans="1:8" s="31" customFormat="1" x14ac:dyDescent="0.25">
      <c r="A55" s="65"/>
      <c r="B55" s="88" t="s">
        <v>45</v>
      </c>
      <c r="C55" s="59"/>
      <c r="D55" s="89"/>
      <c r="E55" s="191"/>
      <c r="F55" s="61">
        <f>SUM(F10:F54)</f>
        <v>2870000</v>
      </c>
    </row>
    <row r="56" spans="1:8" s="31" customFormat="1" ht="14.4" thickBot="1" x14ac:dyDescent="0.3">
      <c r="A56" s="90"/>
      <c r="B56" s="91"/>
      <c r="C56" s="92"/>
      <c r="D56" s="93"/>
      <c r="E56" s="196"/>
      <c r="F56" s="94"/>
    </row>
    <row r="57" spans="1:8" s="12" customFormat="1" ht="28.05" customHeight="1" x14ac:dyDescent="0.25">
      <c r="A57" s="15"/>
      <c r="B57" s="16" t="s">
        <v>136</v>
      </c>
      <c r="C57" s="17"/>
      <c r="D57" s="18"/>
      <c r="E57" s="197"/>
      <c r="F57" s="41"/>
    </row>
    <row r="58" spans="1:8" s="12" customFormat="1" ht="20.100000000000001" customHeight="1" x14ac:dyDescent="0.25">
      <c r="A58" s="15"/>
      <c r="B58" s="19" t="s">
        <v>137</v>
      </c>
      <c r="C58" s="20"/>
      <c r="D58" s="18"/>
      <c r="E58" s="197"/>
      <c r="F58" s="41"/>
    </row>
    <row r="59" spans="1:8" ht="27.6" x14ac:dyDescent="0.25">
      <c r="A59" s="21" t="s">
        <v>138</v>
      </c>
      <c r="B59" s="22" t="s">
        <v>128</v>
      </c>
      <c r="C59" s="23"/>
      <c r="D59" s="18" t="s">
        <v>129</v>
      </c>
      <c r="E59" s="197">
        <v>1640</v>
      </c>
      <c r="F59" s="41">
        <f>+C59*E59</f>
        <v>0</v>
      </c>
      <c r="H59" s="24">
        <f>95/10.76</f>
        <v>8.828996282527882</v>
      </c>
    </row>
    <row r="60" spans="1:8" x14ac:dyDescent="0.25">
      <c r="A60" s="21"/>
      <c r="B60" s="22"/>
      <c r="C60" s="23"/>
      <c r="D60" s="18"/>
      <c r="E60" s="197"/>
      <c r="F60" s="41"/>
    </row>
    <row r="61" spans="1:8" s="12" customFormat="1" ht="27.6" x14ac:dyDescent="0.25">
      <c r="A61" s="15"/>
      <c r="B61" s="25" t="s">
        <v>139</v>
      </c>
      <c r="C61" s="26"/>
      <c r="D61" s="18"/>
      <c r="E61" s="197"/>
      <c r="F61" s="41"/>
    </row>
    <row r="62" spans="1:8" ht="41.4" x14ac:dyDescent="0.25">
      <c r="A62" s="21" t="s">
        <v>405</v>
      </c>
      <c r="B62" s="22" t="s">
        <v>130</v>
      </c>
      <c r="C62" s="23"/>
      <c r="D62" s="18" t="s">
        <v>131</v>
      </c>
      <c r="E62" s="197">
        <v>3450</v>
      </c>
      <c r="F62" s="41">
        <f>+C62*E62</f>
        <v>0</v>
      </c>
    </row>
    <row r="63" spans="1:8" s="12" customFormat="1" x14ac:dyDescent="0.25">
      <c r="A63" s="15"/>
      <c r="B63" s="27"/>
      <c r="C63" s="28"/>
      <c r="D63" s="18"/>
      <c r="E63" s="197"/>
      <c r="F63" s="41"/>
    </row>
    <row r="64" spans="1:8" s="12" customFormat="1" ht="25.05" customHeight="1" x14ac:dyDescent="0.25">
      <c r="A64" s="15"/>
      <c r="B64" s="19" t="s">
        <v>142</v>
      </c>
      <c r="C64" s="20"/>
      <c r="D64" s="18"/>
      <c r="E64" s="197"/>
      <c r="F64" s="41"/>
    </row>
    <row r="65" spans="1:8" s="12" customFormat="1" ht="15" customHeight="1" x14ac:dyDescent="0.25">
      <c r="A65" s="15"/>
      <c r="B65" s="19" t="s">
        <v>143</v>
      </c>
      <c r="C65" s="20"/>
      <c r="D65" s="18"/>
      <c r="E65" s="197"/>
      <c r="F65" s="41"/>
    </row>
    <row r="66" spans="1:8" s="12" customFormat="1" ht="27.6" x14ac:dyDescent="0.25">
      <c r="A66" s="15"/>
      <c r="B66" s="25" t="s">
        <v>144</v>
      </c>
      <c r="C66" s="26"/>
      <c r="D66" s="18"/>
      <c r="E66" s="197"/>
      <c r="F66" s="41"/>
    </row>
    <row r="67" spans="1:8" s="12" customFormat="1" ht="27.6" x14ac:dyDescent="0.25">
      <c r="A67" s="29" t="s">
        <v>145</v>
      </c>
      <c r="B67" s="25" t="s">
        <v>146</v>
      </c>
      <c r="C67" s="26"/>
      <c r="D67" s="18"/>
      <c r="E67" s="197"/>
      <c r="F67" s="41"/>
    </row>
    <row r="68" spans="1:8" s="12" customFormat="1" ht="30.75" customHeight="1" x14ac:dyDescent="0.25">
      <c r="A68" s="29" t="s">
        <v>147</v>
      </c>
      <c r="B68" s="25" t="s">
        <v>148</v>
      </c>
      <c r="C68" s="26"/>
      <c r="D68" s="18"/>
      <c r="E68" s="197"/>
      <c r="F68" s="41"/>
    </row>
    <row r="69" spans="1:8" s="12" customFormat="1" ht="43.05" customHeight="1" x14ac:dyDescent="0.25">
      <c r="A69" s="29" t="s">
        <v>149</v>
      </c>
      <c r="B69" s="25" t="s">
        <v>150</v>
      </c>
      <c r="C69" s="26"/>
      <c r="D69" s="18"/>
      <c r="E69" s="197"/>
      <c r="F69" s="41"/>
    </row>
    <row r="70" spans="1:8" s="12" customFormat="1" ht="43.05" customHeight="1" x14ac:dyDescent="0.25">
      <c r="A70" s="29" t="s">
        <v>151</v>
      </c>
      <c r="B70" s="25" t="s">
        <v>152</v>
      </c>
      <c r="C70" s="26"/>
      <c r="D70" s="18"/>
      <c r="E70" s="197"/>
      <c r="F70" s="41"/>
    </row>
    <row r="71" spans="1:8" x14ac:dyDescent="0.25">
      <c r="A71" s="21" t="s">
        <v>406</v>
      </c>
      <c r="B71" s="22" t="s">
        <v>334</v>
      </c>
      <c r="C71" s="23"/>
      <c r="D71" s="18" t="s">
        <v>131</v>
      </c>
      <c r="E71" s="197">
        <v>3570</v>
      </c>
      <c r="F71" s="41">
        <f>+C71*E71</f>
        <v>0</v>
      </c>
      <c r="H71" s="24">
        <f>8.9+21.3</f>
        <v>30.200000000000003</v>
      </c>
    </row>
    <row r="72" spans="1:8" s="12" customFormat="1" ht="41.4" x14ac:dyDescent="0.25">
      <c r="A72" s="21" t="s">
        <v>140</v>
      </c>
      <c r="B72" s="27" t="s">
        <v>335</v>
      </c>
      <c r="C72" s="28"/>
      <c r="D72" s="18" t="s">
        <v>153</v>
      </c>
      <c r="E72" s="197">
        <v>157</v>
      </c>
      <c r="F72" s="41"/>
    </row>
    <row r="73" spans="1:8" s="12" customFormat="1" ht="82.8" x14ac:dyDescent="0.25">
      <c r="A73" s="21" t="s">
        <v>407</v>
      </c>
      <c r="B73" s="27" t="s">
        <v>336</v>
      </c>
      <c r="C73" s="23"/>
      <c r="D73" s="18" t="s">
        <v>131</v>
      </c>
      <c r="E73" s="197">
        <v>1470</v>
      </c>
      <c r="F73" s="41">
        <f t="shared" ref="F73" si="1">+C73*E73</f>
        <v>0</v>
      </c>
    </row>
    <row r="74" spans="1:8" s="12" customFormat="1" x14ac:dyDescent="0.25">
      <c r="A74" s="15"/>
      <c r="B74" s="27"/>
      <c r="C74" s="28"/>
      <c r="D74" s="18"/>
      <c r="E74" s="197"/>
      <c r="F74" s="41"/>
    </row>
    <row r="75" spans="1:8" s="12" customFormat="1" x14ac:dyDescent="0.25">
      <c r="A75" s="15"/>
      <c r="B75" s="19" t="s">
        <v>154</v>
      </c>
      <c r="C75" s="20"/>
      <c r="D75" s="18"/>
      <c r="E75" s="197"/>
      <c r="F75" s="41"/>
    </row>
    <row r="76" spans="1:8" s="31" customFormat="1" x14ac:dyDescent="0.25">
      <c r="A76" s="21" t="s">
        <v>408</v>
      </c>
      <c r="B76" s="27" t="s">
        <v>155</v>
      </c>
      <c r="C76" s="28"/>
      <c r="D76" s="18" t="s">
        <v>156</v>
      </c>
      <c r="E76" s="197">
        <v>3000</v>
      </c>
      <c r="F76" s="41"/>
    </row>
    <row r="77" spans="1:8" s="31" customFormat="1" x14ac:dyDescent="0.25">
      <c r="A77" s="21" t="s">
        <v>409</v>
      </c>
      <c r="B77" s="27" t="s">
        <v>157</v>
      </c>
      <c r="C77" s="28"/>
      <c r="D77" s="18" t="s">
        <v>156</v>
      </c>
      <c r="E77" s="197">
        <v>4000</v>
      </c>
      <c r="F77" s="41"/>
    </row>
    <row r="78" spans="1:8" s="12" customFormat="1" ht="34.5" customHeight="1" x14ac:dyDescent="0.25">
      <c r="A78" s="15"/>
      <c r="B78" s="32" t="s">
        <v>158</v>
      </c>
      <c r="C78" s="33"/>
      <c r="D78" s="18"/>
      <c r="E78" s="197"/>
      <c r="F78" s="41"/>
    </row>
    <row r="79" spans="1:8" ht="112.05" customHeight="1" x14ac:dyDescent="0.25">
      <c r="A79" s="21" t="s">
        <v>410</v>
      </c>
      <c r="B79" s="22" t="s">
        <v>159</v>
      </c>
      <c r="C79" s="23"/>
      <c r="D79" s="18" t="s">
        <v>141</v>
      </c>
      <c r="E79" s="197">
        <v>32</v>
      </c>
      <c r="F79" s="41">
        <f t="shared" ref="F79" si="2">+C79*E79</f>
        <v>0</v>
      </c>
    </row>
    <row r="80" spans="1:8" x14ac:dyDescent="0.25">
      <c r="A80" s="21"/>
      <c r="B80" s="22"/>
      <c r="C80" s="23"/>
      <c r="D80" s="18"/>
      <c r="E80" s="197"/>
      <c r="F80" s="41"/>
    </row>
    <row r="81" spans="1:9" x14ac:dyDescent="0.25">
      <c r="A81" s="95"/>
      <c r="B81" s="96"/>
      <c r="C81" s="97"/>
      <c r="D81" s="98"/>
      <c r="E81" s="198"/>
      <c r="F81" s="99"/>
    </row>
    <row r="82" spans="1:9" s="12" customFormat="1" x14ac:dyDescent="0.25">
      <c r="A82" s="102"/>
      <c r="B82" s="103" t="s">
        <v>46</v>
      </c>
      <c r="C82" s="104"/>
      <c r="D82" s="105"/>
      <c r="E82" s="199"/>
      <c r="F82" s="106">
        <f>SUM(F59:F80)</f>
        <v>0</v>
      </c>
    </row>
    <row r="83" spans="1:9" s="12" customFormat="1" ht="28.05" customHeight="1" x14ac:dyDescent="0.25">
      <c r="A83" s="13"/>
      <c r="B83" s="100" t="s">
        <v>160</v>
      </c>
      <c r="C83" s="101"/>
      <c r="D83" s="14"/>
      <c r="E83" s="200"/>
      <c r="F83" s="40"/>
    </row>
    <row r="84" spans="1:9" s="12" customFormat="1" ht="20.100000000000001" customHeight="1" x14ac:dyDescent="0.25">
      <c r="A84" s="15"/>
      <c r="B84" s="19" t="s">
        <v>161</v>
      </c>
      <c r="C84" s="20"/>
      <c r="D84" s="18"/>
      <c r="E84" s="197"/>
      <c r="F84" s="41"/>
    </row>
    <row r="85" spans="1:9" s="12" customFormat="1" ht="55.05" customHeight="1" x14ac:dyDescent="0.25">
      <c r="A85" s="15"/>
      <c r="B85" s="25" t="s">
        <v>162</v>
      </c>
      <c r="C85" s="26"/>
      <c r="D85" s="18"/>
      <c r="E85" s="197"/>
      <c r="F85" s="41"/>
    </row>
    <row r="86" spans="1:9" s="12" customFormat="1" x14ac:dyDescent="0.25">
      <c r="A86" s="15"/>
      <c r="B86" s="19" t="s">
        <v>340</v>
      </c>
      <c r="C86" s="26"/>
      <c r="D86" s="18"/>
      <c r="E86" s="197"/>
      <c r="F86" s="41"/>
    </row>
    <row r="87" spans="1:9" s="12" customFormat="1" ht="28.05" customHeight="1" x14ac:dyDescent="0.25">
      <c r="A87" s="15"/>
      <c r="B87" s="19" t="s">
        <v>163</v>
      </c>
      <c r="C87" s="20"/>
      <c r="D87" s="18"/>
      <c r="E87" s="197"/>
      <c r="F87" s="41"/>
    </row>
    <row r="88" spans="1:9" ht="55.2" x14ac:dyDescent="0.25">
      <c r="A88" s="21" t="s">
        <v>411</v>
      </c>
      <c r="B88" s="22" t="s">
        <v>337</v>
      </c>
      <c r="C88" s="23"/>
      <c r="D88" s="18" t="s">
        <v>129</v>
      </c>
      <c r="E88" s="197">
        <v>6235</v>
      </c>
      <c r="F88" s="41">
        <f t="shared" ref="F88" si="3">+C88*E88</f>
        <v>0</v>
      </c>
      <c r="H88" s="12">
        <f>14292*2.83</f>
        <v>40446.36</v>
      </c>
    </row>
    <row r="89" spans="1:9" x14ac:dyDescent="0.25">
      <c r="A89" s="21"/>
      <c r="B89" s="22"/>
      <c r="C89" s="23"/>
      <c r="D89" s="18"/>
      <c r="E89" s="197"/>
      <c r="F89" s="41"/>
    </row>
    <row r="90" spans="1:9" s="12" customFormat="1" ht="28.05" customHeight="1" x14ac:dyDescent="0.25">
      <c r="A90" s="15"/>
      <c r="B90" s="19" t="s">
        <v>166</v>
      </c>
      <c r="C90" s="20"/>
      <c r="D90" s="18"/>
      <c r="E90" s="197"/>
      <c r="F90" s="41"/>
    </row>
    <row r="91" spans="1:9" s="12" customFormat="1" x14ac:dyDescent="0.25">
      <c r="A91" s="15"/>
      <c r="B91" s="19"/>
      <c r="C91" s="20"/>
      <c r="D91" s="18"/>
      <c r="E91" s="197"/>
      <c r="F91" s="41"/>
    </row>
    <row r="92" spans="1:9" s="12" customFormat="1" ht="55.2" x14ac:dyDescent="0.25">
      <c r="A92" s="21" t="s">
        <v>164</v>
      </c>
      <c r="B92" s="27" t="s">
        <v>339</v>
      </c>
      <c r="C92" s="20"/>
      <c r="D92" s="18"/>
      <c r="E92" s="197"/>
      <c r="F92" s="41"/>
    </row>
    <row r="93" spans="1:9" s="31" customFormat="1" x14ac:dyDescent="0.25">
      <c r="A93" s="30" t="s">
        <v>412</v>
      </c>
      <c r="B93" s="27" t="s">
        <v>108</v>
      </c>
      <c r="C93" s="28"/>
      <c r="D93" s="18" t="s">
        <v>131</v>
      </c>
      <c r="E93" s="197">
        <v>46030</v>
      </c>
      <c r="F93" s="41">
        <f>C93*E93</f>
        <v>0</v>
      </c>
      <c r="H93" s="31">
        <f>+C93/2.83</f>
        <v>0</v>
      </c>
      <c r="I93" s="31">
        <v>4.8975265017667837</v>
      </c>
    </row>
    <row r="94" spans="1:9" s="31" customFormat="1" x14ac:dyDescent="0.25">
      <c r="A94" s="30" t="s">
        <v>413</v>
      </c>
      <c r="B94" s="27" t="s">
        <v>98</v>
      </c>
      <c r="C94" s="28"/>
      <c r="D94" s="18" t="s">
        <v>131</v>
      </c>
      <c r="E94" s="197">
        <v>46030</v>
      </c>
      <c r="F94" s="41">
        <f>C94*E94</f>
        <v>0</v>
      </c>
      <c r="H94" s="31">
        <f t="shared" ref="H94:H96" si="4">+C94/2.83</f>
        <v>0</v>
      </c>
      <c r="I94" s="31">
        <v>0.62544169611307421</v>
      </c>
    </row>
    <row r="95" spans="1:9" s="31" customFormat="1" x14ac:dyDescent="0.25">
      <c r="A95" s="30" t="s">
        <v>414</v>
      </c>
      <c r="B95" s="27" t="s">
        <v>99</v>
      </c>
      <c r="C95" s="28"/>
      <c r="D95" s="18" t="s">
        <v>131</v>
      </c>
      <c r="E95" s="197">
        <v>46030</v>
      </c>
      <c r="F95" s="41">
        <f>C95*E95</f>
        <v>0</v>
      </c>
      <c r="H95" s="31">
        <f t="shared" si="4"/>
        <v>0</v>
      </c>
      <c r="I95" s="31">
        <v>6.2296819787985864</v>
      </c>
    </row>
    <row r="96" spans="1:9" s="31" customFormat="1" x14ac:dyDescent="0.25">
      <c r="A96" s="30" t="s">
        <v>415</v>
      </c>
      <c r="B96" s="27" t="s">
        <v>100</v>
      </c>
      <c r="C96" s="28"/>
      <c r="D96" s="18" t="s">
        <v>131</v>
      </c>
      <c r="E96" s="197">
        <v>46030</v>
      </c>
      <c r="F96" s="41">
        <f>C96*E96</f>
        <v>0</v>
      </c>
      <c r="H96" s="31">
        <f t="shared" si="4"/>
        <v>0</v>
      </c>
      <c r="I96" s="31">
        <v>0.37809187279151946</v>
      </c>
    </row>
    <row r="97" spans="1:9" s="31" customFormat="1" x14ac:dyDescent="0.25">
      <c r="A97" s="30" t="s">
        <v>714</v>
      </c>
      <c r="B97" s="27" t="s">
        <v>715</v>
      </c>
      <c r="C97" s="28"/>
      <c r="D97" s="18" t="s">
        <v>131</v>
      </c>
      <c r="E97" s="197">
        <v>46030</v>
      </c>
      <c r="F97" s="41">
        <f>C97*E97</f>
        <v>0</v>
      </c>
    </row>
    <row r="98" spans="1:9" s="31" customFormat="1" x14ac:dyDescent="0.25">
      <c r="A98" s="30"/>
      <c r="B98" s="27"/>
      <c r="C98" s="28"/>
      <c r="D98" s="18"/>
      <c r="E98" s="197"/>
      <c r="F98" s="41"/>
    </row>
    <row r="99" spans="1:9" s="12" customFormat="1" ht="69" x14ac:dyDescent="0.25">
      <c r="A99" s="21" t="s">
        <v>416</v>
      </c>
      <c r="B99" s="27" t="s">
        <v>338</v>
      </c>
      <c r="C99" s="23"/>
      <c r="D99" s="18"/>
      <c r="E99" s="197"/>
      <c r="F99" s="41"/>
      <c r="H99" s="12">
        <f>18.76/2.83</f>
        <v>6.6289752650176679</v>
      </c>
    </row>
    <row r="100" spans="1:9" s="12" customFormat="1" x14ac:dyDescent="0.3">
      <c r="A100" s="30" t="s">
        <v>417</v>
      </c>
      <c r="B100" s="1" t="s">
        <v>341</v>
      </c>
      <c r="C100" s="23"/>
      <c r="D100" s="18" t="s">
        <v>131</v>
      </c>
      <c r="E100" s="197">
        <v>37095</v>
      </c>
      <c r="F100" s="41">
        <f t="shared" ref="F100:F103" si="5">+C100*E100</f>
        <v>0</v>
      </c>
      <c r="H100" s="2">
        <v>2.5</v>
      </c>
      <c r="I100" s="12">
        <f>+H100/2.83</f>
        <v>0.88339222614840984</v>
      </c>
    </row>
    <row r="101" spans="1:9" s="12" customFormat="1" x14ac:dyDescent="0.3">
      <c r="A101" s="30" t="s">
        <v>418</v>
      </c>
      <c r="B101" s="1" t="s">
        <v>719</v>
      </c>
      <c r="C101" s="23"/>
      <c r="D101" s="18" t="s">
        <v>131</v>
      </c>
      <c r="E101" s="197">
        <v>37095</v>
      </c>
      <c r="F101" s="41">
        <f t="shared" si="5"/>
        <v>0</v>
      </c>
      <c r="H101" s="2"/>
    </row>
    <row r="102" spans="1:9" s="12" customFormat="1" x14ac:dyDescent="0.3">
      <c r="A102" s="30" t="s">
        <v>419</v>
      </c>
      <c r="B102" s="1" t="s">
        <v>720</v>
      </c>
      <c r="C102" s="23"/>
      <c r="D102" s="18" t="s">
        <v>131</v>
      </c>
      <c r="E102" s="197">
        <v>37095</v>
      </c>
      <c r="F102" s="41">
        <f t="shared" si="5"/>
        <v>0</v>
      </c>
      <c r="H102" s="2">
        <v>0.65</v>
      </c>
      <c r="I102" s="12">
        <f>+H102/2.83</f>
        <v>0.22968197879858657</v>
      </c>
    </row>
    <row r="103" spans="1:9" s="12" customFormat="1" ht="14.4" thickBot="1" x14ac:dyDescent="0.3">
      <c r="A103" s="30" t="s">
        <v>722</v>
      </c>
      <c r="B103" s="27" t="s">
        <v>721</v>
      </c>
      <c r="C103" s="23"/>
      <c r="D103" s="18" t="s">
        <v>131</v>
      </c>
      <c r="E103" s="197">
        <v>37095</v>
      </c>
      <c r="F103" s="41">
        <f t="shared" si="5"/>
        <v>0</v>
      </c>
    </row>
    <row r="104" spans="1:9" s="12" customFormat="1" ht="15.6" x14ac:dyDescent="0.25">
      <c r="A104" s="21"/>
      <c r="B104" s="3" t="s">
        <v>47</v>
      </c>
      <c r="C104" s="23"/>
      <c r="D104" s="18"/>
      <c r="E104" s="197"/>
      <c r="F104" s="41"/>
    </row>
    <row r="105" spans="1:9" s="12" customFormat="1" x14ac:dyDescent="0.25">
      <c r="A105" s="21"/>
      <c r="B105" s="27"/>
      <c r="C105" s="23"/>
      <c r="D105" s="18"/>
      <c r="E105" s="197"/>
      <c r="F105" s="41"/>
    </row>
    <row r="106" spans="1:9" s="12" customFormat="1" ht="55.2" x14ac:dyDescent="0.25">
      <c r="A106" s="21" t="s">
        <v>165</v>
      </c>
      <c r="B106" s="27" t="s">
        <v>339</v>
      </c>
      <c r="C106" s="23"/>
      <c r="D106" s="18"/>
      <c r="E106" s="197"/>
      <c r="F106" s="41"/>
    </row>
    <row r="107" spans="1:9" s="31" customFormat="1" x14ac:dyDescent="0.25">
      <c r="A107" s="30" t="s">
        <v>420</v>
      </c>
      <c r="B107" s="27" t="s">
        <v>48</v>
      </c>
      <c r="C107" s="28"/>
      <c r="D107" s="18" t="s">
        <v>131</v>
      </c>
      <c r="E107" s="197">
        <v>46030</v>
      </c>
      <c r="F107" s="41">
        <f>C107*E107</f>
        <v>0</v>
      </c>
      <c r="H107" s="12"/>
      <c r="I107" s="12"/>
    </row>
    <row r="108" spans="1:9" s="31" customFormat="1" x14ac:dyDescent="0.25">
      <c r="A108" s="30" t="s">
        <v>422</v>
      </c>
      <c r="B108" s="27" t="s">
        <v>49</v>
      </c>
      <c r="C108" s="28"/>
      <c r="D108" s="18" t="s">
        <v>131</v>
      </c>
      <c r="E108" s="197">
        <v>47410</v>
      </c>
      <c r="F108" s="41">
        <f t="shared" ref="F108:F110" si="6">C108*E108</f>
        <v>0</v>
      </c>
      <c r="H108" s="12"/>
      <c r="I108" s="12"/>
    </row>
    <row r="109" spans="1:9" s="31" customFormat="1" x14ac:dyDescent="0.25">
      <c r="A109" s="30" t="s">
        <v>421</v>
      </c>
      <c r="B109" s="27" t="s">
        <v>109</v>
      </c>
      <c r="C109" s="28"/>
      <c r="D109" s="18" t="s">
        <v>131</v>
      </c>
      <c r="E109" s="197">
        <v>48330</v>
      </c>
      <c r="F109" s="41">
        <f t="shared" si="6"/>
        <v>0</v>
      </c>
      <c r="H109" s="12"/>
      <c r="I109" s="12"/>
    </row>
    <row r="110" spans="1:9" s="31" customFormat="1" x14ac:dyDescent="0.25">
      <c r="A110" s="30" t="s">
        <v>423</v>
      </c>
      <c r="B110" s="27" t="s">
        <v>110</v>
      </c>
      <c r="C110" s="28"/>
      <c r="D110" s="18" t="s">
        <v>131</v>
      </c>
      <c r="E110" s="197">
        <v>49250</v>
      </c>
      <c r="F110" s="41">
        <f t="shared" si="6"/>
        <v>0</v>
      </c>
      <c r="H110" s="12"/>
      <c r="I110" s="12"/>
    </row>
    <row r="111" spans="1:9" s="12" customFormat="1" x14ac:dyDescent="0.25">
      <c r="A111" s="21"/>
      <c r="B111" s="27"/>
      <c r="C111" s="23"/>
      <c r="D111" s="18"/>
      <c r="E111" s="197"/>
      <c r="F111" s="41"/>
    </row>
    <row r="112" spans="1:9" s="12" customFormat="1" x14ac:dyDescent="0.25">
      <c r="A112" s="21"/>
      <c r="B112" s="27"/>
      <c r="C112" s="23"/>
      <c r="D112" s="18"/>
      <c r="E112" s="197"/>
      <c r="F112" s="41"/>
    </row>
    <row r="113" spans="1:12" s="12" customFormat="1" x14ac:dyDescent="0.25">
      <c r="A113" s="15"/>
      <c r="B113" s="19" t="s">
        <v>169</v>
      </c>
      <c r="C113" s="20"/>
      <c r="D113" s="18"/>
      <c r="E113" s="197"/>
      <c r="F113" s="41"/>
    </row>
    <row r="114" spans="1:12" ht="55.2" x14ac:dyDescent="0.25">
      <c r="A114" s="21" t="s">
        <v>424</v>
      </c>
      <c r="B114" s="22" t="s">
        <v>347</v>
      </c>
      <c r="C114" s="23"/>
      <c r="D114" s="18"/>
      <c r="E114" s="197">
        <v>14690</v>
      </c>
      <c r="F114" s="41"/>
    </row>
    <row r="115" spans="1:12" s="31" customFormat="1" x14ac:dyDescent="0.25">
      <c r="A115" s="30" t="s">
        <v>425</v>
      </c>
      <c r="B115" s="27" t="s">
        <v>50</v>
      </c>
      <c r="C115" s="28"/>
      <c r="D115" s="18" t="s">
        <v>170</v>
      </c>
      <c r="E115" s="197">
        <v>14690</v>
      </c>
      <c r="F115" s="41">
        <f>C115*E115</f>
        <v>0</v>
      </c>
      <c r="H115" s="12">
        <f>+C115+C120+C125</f>
        <v>0</v>
      </c>
      <c r="I115" s="12">
        <f>+H115*E114+H115*500+21750+725*20.44</f>
        <v>36569</v>
      </c>
      <c r="J115" s="31">
        <f>236.65*5.25</f>
        <v>1242.4125000000001</v>
      </c>
      <c r="K115" s="31">
        <f>SUM(I115:J115)</f>
        <v>37811.412499999999</v>
      </c>
      <c r="L115" s="31" t="e">
        <f>+K115/H115</f>
        <v>#DIV/0!</v>
      </c>
    </row>
    <row r="116" spans="1:12" s="31" customFormat="1" x14ac:dyDescent="0.25">
      <c r="A116" s="30" t="s">
        <v>426</v>
      </c>
      <c r="B116" s="27" t="s">
        <v>51</v>
      </c>
      <c r="C116" s="28"/>
      <c r="D116" s="18" t="s">
        <v>170</v>
      </c>
      <c r="E116" s="197">
        <v>14690</v>
      </c>
      <c r="F116" s="41">
        <f>C116*E116</f>
        <v>0</v>
      </c>
      <c r="H116" s="12">
        <f>+C116+C121+C126</f>
        <v>0</v>
      </c>
      <c r="I116" s="12">
        <f>+H116*E114+H116*500+21750+725*18.94</f>
        <v>35481.5</v>
      </c>
      <c r="J116" s="31">
        <f>236.65*5.25</f>
        <v>1242.4125000000001</v>
      </c>
      <c r="K116" s="31">
        <f>SUM(I116:J116)</f>
        <v>36723.912499999999</v>
      </c>
      <c r="L116" s="31" t="e">
        <f>+K116/H116</f>
        <v>#DIV/0!</v>
      </c>
    </row>
    <row r="117" spans="1:12" s="31" customFormat="1" x14ac:dyDescent="0.25">
      <c r="A117" s="30" t="s">
        <v>427</v>
      </c>
      <c r="B117" s="27" t="s">
        <v>111</v>
      </c>
      <c r="C117" s="28"/>
      <c r="D117" s="18" t="s">
        <v>170</v>
      </c>
      <c r="E117" s="197">
        <v>14690</v>
      </c>
      <c r="F117" s="41">
        <f>C117*E117</f>
        <v>0</v>
      </c>
      <c r="H117" s="12">
        <f>+C117+C122</f>
        <v>0</v>
      </c>
      <c r="I117" s="12"/>
    </row>
    <row r="118" spans="1:12" s="31" customFormat="1" x14ac:dyDescent="0.25">
      <c r="A118" s="30" t="s">
        <v>428</v>
      </c>
      <c r="B118" s="27" t="s">
        <v>112</v>
      </c>
      <c r="C118" s="28"/>
      <c r="D118" s="18" t="s">
        <v>170</v>
      </c>
      <c r="E118" s="197">
        <v>14690</v>
      </c>
      <c r="F118" s="41">
        <f>C118*E118</f>
        <v>0</v>
      </c>
      <c r="H118" s="12">
        <f>+C118+C123</f>
        <v>0</v>
      </c>
      <c r="I118" s="12"/>
    </row>
    <row r="119" spans="1:12" s="31" customFormat="1" x14ac:dyDescent="0.25">
      <c r="A119" s="30"/>
      <c r="B119" s="27"/>
      <c r="C119" s="28"/>
      <c r="D119" s="18"/>
      <c r="E119" s="197"/>
      <c r="F119" s="41"/>
      <c r="H119" s="12"/>
      <c r="I119" s="12"/>
    </row>
    <row r="120" spans="1:12" s="31" customFormat="1" x14ac:dyDescent="0.25">
      <c r="A120" s="30" t="s">
        <v>429</v>
      </c>
      <c r="B120" s="27" t="s">
        <v>52</v>
      </c>
      <c r="C120" s="28"/>
      <c r="D120" s="18" t="s">
        <v>170</v>
      </c>
      <c r="E120" s="197">
        <v>14690</v>
      </c>
      <c r="F120" s="41">
        <f>C120*E120</f>
        <v>0</v>
      </c>
      <c r="H120" s="12">
        <f>SUM(H115:H116)</f>
        <v>0</v>
      </c>
      <c r="I120" s="12"/>
    </row>
    <row r="121" spans="1:12" s="31" customFormat="1" x14ac:dyDescent="0.25">
      <c r="A121" s="30" t="s">
        <v>430</v>
      </c>
      <c r="B121" s="27" t="s">
        <v>53</v>
      </c>
      <c r="C121" s="28"/>
      <c r="D121" s="18" t="s">
        <v>170</v>
      </c>
      <c r="E121" s="197">
        <v>14690</v>
      </c>
      <c r="F121" s="41">
        <f>C121*E121</f>
        <v>0</v>
      </c>
      <c r="H121" s="12"/>
      <c r="I121" s="12"/>
    </row>
    <row r="122" spans="1:12" s="31" customFormat="1" x14ac:dyDescent="0.25">
      <c r="A122" s="30" t="s">
        <v>431</v>
      </c>
      <c r="B122" s="27" t="s">
        <v>114</v>
      </c>
      <c r="C122" s="28"/>
      <c r="D122" s="18" t="s">
        <v>170</v>
      </c>
      <c r="E122" s="197">
        <v>14690</v>
      </c>
      <c r="F122" s="41">
        <f>C122*E122</f>
        <v>0</v>
      </c>
      <c r="H122" s="12"/>
      <c r="I122" s="12"/>
    </row>
    <row r="123" spans="1:12" s="31" customFormat="1" x14ac:dyDescent="0.25">
      <c r="A123" s="30" t="s">
        <v>432</v>
      </c>
      <c r="B123" s="27" t="s">
        <v>115</v>
      </c>
      <c r="C123" s="28"/>
      <c r="D123" s="18" t="s">
        <v>170</v>
      </c>
      <c r="E123" s="197">
        <v>14690</v>
      </c>
      <c r="F123" s="41">
        <f>C123*E123</f>
        <v>0</v>
      </c>
      <c r="H123" s="12"/>
      <c r="I123" s="12"/>
    </row>
    <row r="124" spans="1:12" s="31" customFormat="1" x14ac:dyDescent="0.25">
      <c r="A124" s="30"/>
      <c r="B124" s="27"/>
      <c r="C124" s="28"/>
      <c r="D124" s="18"/>
      <c r="E124" s="197"/>
      <c r="F124" s="41"/>
      <c r="H124" s="12"/>
      <c r="I124" s="12"/>
    </row>
    <row r="125" spans="1:12" s="31" customFormat="1" x14ac:dyDescent="0.25">
      <c r="A125" s="30" t="s">
        <v>433</v>
      </c>
      <c r="B125" s="27" t="s">
        <v>54</v>
      </c>
      <c r="C125" s="28"/>
      <c r="D125" s="18" t="s">
        <v>170</v>
      </c>
      <c r="E125" s="197">
        <v>14690</v>
      </c>
      <c r="F125" s="41">
        <f>C125*E125</f>
        <v>0</v>
      </c>
      <c r="H125" s="12"/>
      <c r="I125" s="12"/>
    </row>
    <row r="126" spans="1:12" s="31" customFormat="1" x14ac:dyDescent="0.25">
      <c r="A126" s="30" t="s">
        <v>434</v>
      </c>
      <c r="B126" s="27" t="s">
        <v>55</v>
      </c>
      <c r="C126" s="28"/>
      <c r="D126" s="18" t="s">
        <v>170</v>
      </c>
      <c r="E126" s="197">
        <v>14690</v>
      </c>
      <c r="F126" s="41">
        <f>C126*E126</f>
        <v>0</v>
      </c>
      <c r="H126" s="12"/>
      <c r="I126" s="12"/>
    </row>
    <row r="127" spans="1:12" s="31" customFormat="1" x14ac:dyDescent="0.25">
      <c r="A127" s="30"/>
      <c r="B127" s="27"/>
      <c r="C127" s="28"/>
      <c r="D127" s="18"/>
      <c r="E127" s="197"/>
      <c r="F127" s="41"/>
      <c r="H127" s="12"/>
      <c r="I127" s="12"/>
    </row>
    <row r="128" spans="1:12" s="12" customFormat="1" ht="16.8" x14ac:dyDescent="0.25">
      <c r="A128" s="30" t="s">
        <v>435</v>
      </c>
      <c r="B128" s="27" t="s">
        <v>171</v>
      </c>
      <c r="C128" s="28"/>
      <c r="D128" s="18" t="s">
        <v>172</v>
      </c>
      <c r="E128" s="197">
        <v>325</v>
      </c>
      <c r="F128" s="41"/>
    </row>
    <row r="129" spans="1:8" s="12" customFormat="1" x14ac:dyDescent="0.25">
      <c r="A129" s="30" t="s">
        <v>436</v>
      </c>
      <c r="B129" s="27" t="s">
        <v>173</v>
      </c>
      <c r="C129" s="28"/>
      <c r="D129" s="18" t="s">
        <v>170</v>
      </c>
      <c r="E129" s="197">
        <v>500</v>
      </c>
      <c r="F129" s="41">
        <f>C129*E129</f>
        <v>0</v>
      </c>
    </row>
    <row r="130" spans="1:8" s="12" customFormat="1" ht="16.8" x14ac:dyDescent="0.25">
      <c r="A130" s="30" t="s">
        <v>437</v>
      </c>
      <c r="B130" s="27" t="s">
        <v>342</v>
      </c>
      <c r="C130" s="28"/>
      <c r="D130" s="18" t="s">
        <v>78</v>
      </c>
      <c r="E130" s="197">
        <v>21750</v>
      </c>
      <c r="F130" s="41">
        <f>C130*E130</f>
        <v>0</v>
      </c>
    </row>
    <row r="131" spans="1:8" ht="33.6" x14ac:dyDescent="0.25">
      <c r="A131" s="30" t="s">
        <v>438</v>
      </c>
      <c r="B131" s="22" t="s">
        <v>343</v>
      </c>
      <c r="C131" s="23"/>
      <c r="D131" s="18" t="s">
        <v>170</v>
      </c>
      <c r="E131" s="197">
        <v>725</v>
      </c>
      <c r="F131" s="41">
        <f t="shared" ref="F131:F133" si="7">C131*E131</f>
        <v>0</v>
      </c>
      <c r="G131" s="12"/>
      <c r="H131" s="12"/>
    </row>
    <row r="132" spans="1:8" ht="27.6" x14ac:dyDescent="0.25">
      <c r="A132" s="30" t="s">
        <v>439</v>
      </c>
      <c r="B132" s="43" t="s">
        <v>344</v>
      </c>
      <c r="C132" s="23"/>
      <c r="D132" s="18" t="s">
        <v>346</v>
      </c>
      <c r="E132" s="197">
        <v>5.25</v>
      </c>
      <c r="F132" s="41">
        <f t="shared" si="7"/>
        <v>0</v>
      </c>
      <c r="G132" s="12"/>
      <c r="H132" s="12"/>
    </row>
    <row r="133" spans="1:8" ht="55.2" x14ac:dyDescent="0.25">
      <c r="A133" s="30" t="s">
        <v>440</v>
      </c>
      <c r="B133" s="22" t="s">
        <v>345</v>
      </c>
      <c r="C133" s="23"/>
      <c r="D133" s="18" t="s">
        <v>78</v>
      </c>
      <c r="E133" s="197">
        <v>1155</v>
      </c>
      <c r="F133" s="41">
        <f t="shared" si="7"/>
        <v>0</v>
      </c>
      <c r="G133" s="12"/>
      <c r="H133" s="12"/>
    </row>
    <row r="134" spans="1:8" x14ac:dyDescent="0.25">
      <c r="A134" s="30"/>
      <c r="B134" s="22"/>
      <c r="C134" s="23"/>
      <c r="D134" s="18"/>
      <c r="E134" s="197"/>
      <c r="F134" s="41"/>
      <c r="G134" s="12"/>
      <c r="H134" s="12"/>
    </row>
    <row r="135" spans="1:8" x14ac:dyDescent="0.25">
      <c r="A135" s="30"/>
      <c r="B135" s="22"/>
      <c r="C135" s="23"/>
      <c r="D135" s="18"/>
      <c r="E135" s="197"/>
      <c r="F135" s="41"/>
      <c r="G135" s="12"/>
      <c r="H135" s="12"/>
    </row>
    <row r="136" spans="1:8" s="12" customFormat="1" x14ac:dyDescent="0.25">
      <c r="A136" s="102"/>
      <c r="B136" s="103" t="s">
        <v>46</v>
      </c>
      <c r="C136" s="104"/>
      <c r="D136" s="105"/>
      <c r="E136" s="199"/>
      <c r="F136" s="106">
        <f>SUM(F88:F134)</f>
        <v>0</v>
      </c>
    </row>
    <row r="137" spans="1:8" s="35" customFormat="1" ht="28.05" customHeight="1" x14ac:dyDescent="0.25">
      <c r="A137" s="29"/>
      <c r="B137" s="32" t="s">
        <v>174</v>
      </c>
      <c r="C137" s="33"/>
      <c r="D137" s="34"/>
      <c r="E137" s="201"/>
      <c r="F137" s="42"/>
    </row>
    <row r="138" spans="1:8" s="35" customFormat="1" ht="20.100000000000001" customHeight="1" x14ac:dyDescent="0.25">
      <c r="A138" s="29"/>
      <c r="B138" s="19" t="s">
        <v>175</v>
      </c>
      <c r="C138" s="20"/>
      <c r="D138" s="34"/>
      <c r="E138" s="201"/>
      <c r="F138" s="42"/>
    </row>
    <row r="139" spans="1:8" s="35" customFormat="1" ht="88.05" customHeight="1" x14ac:dyDescent="0.25">
      <c r="A139" s="29" t="s">
        <v>176</v>
      </c>
      <c r="B139" s="25" t="s">
        <v>177</v>
      </c>
      <c r="C139" s="26"/>
      <c r="D139" s="34"/>
      <c r="E139" s="201"/>
      <c r="F139" s="42"/>
    </row>
    <row r="140" spans="1:8" s="35" customFormat="1" ht="88.05" customHeight="1" x14ac:dyDescent="0.25">
      <c r="A140" s="29" t="s">
        <v>178</v>
      </c>
      <c r="B140" s="25" t="s">
        <v>179</v>
      </c>
      <c r="C140" s="26"/>
      <c r="D140" s="34"/>
      <c r="E140" s="201"/>
      <c r="F140" s="42"/>
    </row>
    <row r="141" spans="1:8" s="35" customFormat="1" ht="58.5" customHeight="1" x14ac:dyDescent="0.25">
      <c r="A141" s="29" t="s">
        <v>180</v>
      </c>
      <c r="B141" s="25" t="s">
        <v>181</v>
      </c>
      <c r="C141" s="26"/>
      <c r="D141" s="34"/>
      <c r="E141" s="201"/>
      <c r="F141" s="42"/>
    </row>
    <row r="142" spans="1:8" ht="27.6" x14ac:dyDescent="0.25">
      <c r="A142" s="21" t="s">
        <v>182</v>
      </c>
      <c r="B142" s="22" t="s">
        <v>183</v>
      </c>
      <c r="C142" s="23"/>
      <c r="D142" s="18"/>
      <c r="E142" s="197"/>
      <c r="F142" s="41"/>
      <c r="G142" s="12"/>
      <c r="H142" s="12">
        <f>35.04*10.76</f>
        <v>377.03039999999999</v>
      </c>
    </row>
    <row r="143" spans="1:8" x14ac:dyDescent="0.25">
      <c r="A143" s="21" t="s">
        <v>441</v>
      </c>
      <c r="B143" s="22" t="s">
        <v>108</v>
      </c>
      <c r="C143" s="23"/>
      <c r="D143" s="18" t="s">
        <v>129</v>
      </c>
      <c r="E143" s="197">
        <v>3725</v>
      </c>
      <c r="F143" s="41">
        <f t="shared" ref="F143:F145" si="8">C143*E143</f>
        <v>0</v>
      </c>
      <c r="G143" s="12"/>
      <c r="H143" s="12"/>
    </row>
    <row r="144" spans="1:8" x14ac:dyDescent="0.25">
      <c r="A144" s="21" t="s">
        <v>442</v>
      </c>
      <c r="B144" s="22" t="s">
        <v>102</v>
      </c>
      <c r="C144" s="23"/>
      <c r="D144" s="18" t="s">
        <v>129</v>
      </c>
      <c r="E144" s="197">
        <v>3725</v>
      </c>
      <c r="F144" s="41">
        <f t="shared" si="8"/>
        <v>0</v>
      </c>
      <c r="G144" s="12"/>
      <c r="H144" s="12">
        <f>+C144*10.76</f>
        <v>0</v>
      </c>
    </row>
    <row r="145" spans="1:9" x14ac:dyDescent="0.25">
      <c r="A145" s="21" t="s">
        <v>443</v>
      </c>
      <c r="B145" s="22" t="s">
        <v>113</v>
      </c>
      <c r="C145" s="23"/>
      <c r="D145" s="18" t="s">
        <v>129</v>
      </c>
      <c r="E145" s="197">
        <v>3725</v>
      </c>
      <c r="F145" s="41">
        <f t="shared" si="8"/>
        <v>0</v>
      </c>
      <c r="G145" s="12"/>
      <c r="H145" s="12">
        <f>+C145*10.76</f>
        <v>0</v>
      </c>
    </row>
    <row r="146" spans="1:9" x14ac:dyDescent="0.25">
      <c r="A146" s="21"/>
      <c r="B146" s="22"/>
      <c r="C146" s="23"/>
      <c r="D146" s="18"/>
      <c r="E146" s="197"/>
      <c r="F146" s="41"/>
      <c r="G146" s="12"/>
      <c r="H146" s="12"/>
    </row>
    <row r="147" spans="1:9" ht="38.1" customHeight="1" x14ac:dyDescent="0.25">
      <c r="A147" s="21" t="s">
        <v>184</v>
      </c>
      <c r="B147" s="22" t="s">
        <v>185</v>
      </c>
      <c r="C147" s="23"/>
      <c r="D147" s="18" t="s">
        <v>129</v>
      </c>
      <c r="E147" s="197">
        <v>13385</v>
      </c>
      <c r="F147" s="41">
        <f t="shared" ref="F147" si="9">C147*E147</f>
        <v>0</v>
      </c>
      <c r="H147" s="24">
        <f>105.5*10.76</f>
        <v>1135.18</v>
      </c>
    </row>
    <row r="148" spans="1:9" x14ac:dyDescent="0.25">
      <c r="A148" s="21"/>
      <c r="B148" s="22"/>
      <c r="C148" s="23"/>
      <c r="D148" s="18"/>
      <c r="E148" s="197"/>
      <c r="F148" s="41"/>
    </row>
    <row r="149" spans="1:9" ht="22.5" customHeight="1" x14ac:dyDescent="0.25">
      <c r="A149" s="21" t="s">
        <v>186</v>
      </c>
      <c r="B149" s="22" t="s">
        <v>132</v>
      </c>
      <c r="C149" s="23"/>
      <c r="D149" s="18"/>
      <c r="E149" s="197"/>
      <c r="F149" s="41"/>
    </row>
    <row r="150" spans="1:9" x14ac:dyDescent="0.25">
      <c r="A150" s="21"/>
      <c r="B150" s="22" t="s">
        <v>348</v>
      </c>
      <c r="C150" s="23"/>
      <c r="D150" s="18" t="s">
        <v>129</v>
      </c>
      <c r="E150" s="197">
        <v>15850</v>
      </c>
      <c r="F150" s="41">
        <f t="shared" ref="F150:F154" si="10">C150*E150</f>
        <v>0</v>
      </c>
      <c r="H150" s="24">
        <f>24.47*10.76</f>
        <v>263.29719999999998</v>
      </c>
    </row>
    <row r="151" spans="1:9" x14ac:dyDescent="0.25">
      <c r="A151" s="21" t="s">
        <v>445</v>
      </c>
      <c r="B151" s="22" t="s">
        <v>48</v>
      </c>
      <c r="C151" s="23"/>
      <c r="D151" s="18" t="s">
        <v>129</v>
      </c>
      <c r="E151" s="197">
        <f>+E150*1.03</f>
        <v>16325.5</v>
      </c>
      <c r="F151" s="41">
        <f t="shared" si="10"/>
        <v>0</v>
      </c>
      <c r="H151" s="24">
        <f>+C151*10.76</f>
        <v>0</v>
      </c>
      <c r="I151" s="24">
        <v>1005.522</v>
      </c>
    </row>
    <row r="152" spans="1:9" x14ac:dyDescent="0.25">
      <c r="A152" s="21" t="s">
        <v>446</v>
      </c>
      <c r="B152" s="22" t="s">
        <v>49</v>
      </c>
      <c r="C152" s="23"/>
      <c r="D152" s="18" t="s">
        <v>129</v>
      </c>
      <c r="E152" s="197">
        <f>+E150*1.05</f>
        <v>16642.5</v>
      </c>
      <c r="F152" s="41">
        <f t="shared" si="10"/>
        <v>0</v>
      </c>
      <c r="H152" s="24">
        <f t="shared" ref="H152:H154" si="11">+C152*10.76</f>
        <v>0</v>
      </c>
      <c r="I152" s="24">
        <v>741.14879999999994</v>
      </c>
    </row>
    <row r="153" spans="1:9" x14ac:dyDescent="0.25">
      <c r="A153" s="21" t="s">
        <v>447</v>
      </c>
      <c r="B153" s="22" t="s">
        <v>109</v>
      </c>
      <c r="C153" s="23"/>
      <c r="D153" s="18" t="s">
        <v>129</v>
      </c>
      <c r="E153" s="197">
        <f>+E150*1.07</f>
        <v>16959.5</v>
      </c>
      <c r="F153" s="41">
        <f t="shared" si="10"/>
        <v>0</v>
      </c>
      <c r="H153" s="24">
        <f t="shared" si="11"/>
        <v>0</v>
      </c>
      <c r="I153" s="24">
        <v>529.39200000000005</v>
      </c>
    </row>
    <row r="154" spans="1:9" x14ac:dyDescent="0.25">
      <c r="A154" s="21" t="s">
        <v>448</v>
      </c>
      <c r="B154" s="22" t="s">
        <v>110</v>
      </c>
      <c r="C154" s="23"/>
      <c r="D154" s="18" t="s">
        <v>129</v>
      </c>
      <c r="E154" s="197">
        <f>+E150*1.1</f>
        <v>17435</v>
      </c>
      <c r="F154" s="41">
        <f t="shared" si="10"/>
        <v>0</v>
      </c>
      <c r="H154" s="24">
        <f t="shared" si="11"/>
        <v>0</v>
      </c>
      <c r="I154" s="24">
        <v>324.09120000000001</v>
      </c>
    </row>
    <row r="155" spans="1:9" x14ac:dyDescent="0.25">
      <c r="A155" s="21"/>
      <c r="B155" s="22"/>
      <c r="C155" s="23"/>
      <c r="D155" s="18"/>
      <c r="E155" s="197"/>
      <c r="F155" s="41"/>
    </row>
    <row r="156" spans="1:9" ht="38.1" customHeight="1" x14ac:dyDescent="0.25">
      <c r="A156" s="21" t="s">
        <v>444</v>
      </c>
      <c r="B156" s="22" t="s">
        <v>349</v>
      </c>
      <c r="C156" s="23"/>
      <c r="D156" s="18" t="s">
        <v>129</v>
      </c>
      <c r="E156" s="197"/>
      <c r="F156" s="41"/>
    </row>
    <row r="157" spans="1:9" x14ac:dyDescent="0.25">
      <c r="A157" s="21" t="s">
        <v>449</v>
      </c>
      <c r="B157" s="22" t="s">
        <v>52</v>
      </c>
      <c r="C157" s="23"/>
      <c r="D157" s="18" t="s">
        <v>129</v>
      </c>
      <c r="E157" s="197">
        <v>13600</v>
      </c>
      <c r="F157" s="41">
        <f t="shared" ref="F157:F160" si="12">C157*E157</f>
        <v>0</v>
      </c>
      <c r="H157" s="24">
        <f>+C157*10.76</f>
        <v>0</v>
      </c>
      <c r="I157" s="24">
        <v>25.46</v>
      </c>
    </row>
    <row r="158" spans="1:9" x14ac:dyDescent="0.25">
      <c r="A158" s="21" t="s">
        <v>450</v>
      </c>
      <c r="B158" s="22" t="s">
        <v>53</v>
      </c>
      <c r="C158" s="23"/>
      <c r="D158" s="18" t="s">
        <v>129</v>
      </c>
      <c r="E158" s="197">
        <f>+E157*1.03</f>
        <v>14008</v>
      </c>
      <c r="F158" s="41">
        <f t="shared" si="12"/>
        <v>0</v>
      </c>
      <c r="H158" s="24">
        <f t="shared" ref="H158:H160" si="13">+C158*10.76</f>
        <v>0</v>
      </c>
      <c r="I158" s="24">
        <v>25.46</v>
      </c>
    </row>
    <row r="159" spans="1:9" x14ac:dyDescent="0.25">
      <c r="A159" s="21" t="s">
        <v>451</v>
      </c>
      <c r="B159" s="22" t="s">
        <v>114</v>
      </c>
      <c r="C159" s="23"/>
      <c r="D159" s="18" t="s">
        <v>129</v>
      </c>
      <c r="E159" s="197">
        <f>+E157*1.05</f>
        <v>14280</v>
      </c>
      <c r="F159" s="41">
        <f t="shared" si="12"/>
        <v>0</v>
      </c>
      <c r="H159" s="24">
        <f t="shared" si="13"/>
        <v>0</v>
      </c>
      <c r="I159" s="24">
        <v>3.13</v>
      </c>
    </row>
    <row r="160" spans="1:9" x14ac:dyDescent="0.25">
      <c r="A160" s="21" t="s">
        <v>452</v>
      </c>
      <c r="B160" s="22" t="s">
        <v>115</v>
      </c>
      <c r="C160" s="23"/>
      <c r="D160" s="18" t="s">
        <v>129</v>
      </c>
      <c r="E160" s="197">
        <f>+E157*1.07</f>
        <v>14552</v>
      </c>
      <c r="F160" s="41">
        <f t="shared" si="12"/>
        <v>0</v>
      </c>
      <c r="H160" s="24">
        <f t="shared" si="13"/>
        <v>0</v>
      </c>
      <c r="I160" s="24">
        <v>3.13</v>
      </c>
    </row>
    <row r="161" spans="1:9" x14ac:dyDescent="0.25">
      <c r="A161" s="21"/>
      <c r="B161" s="22"/>
      <c r="C161" s="23"/>
      <c r="D161" s="18"/>
      <c r="E161" s="197"/>
      <c r="F161" s="41"/>
    </row>
    <row r="162" spans="1:9" x14ac:dyDescent="0.25">
      <c r="A162" s="21"/>
      <c r="B162" s="22"/>
      <c r="C162" s="23"/>
      <c r="D162" s="18"/>
      <c r="E162" s="197"/>
      <c r="F162" s="41"/>
    </row>
    <row r="163" spans="1:9" ht="55.2" x14ac:dyDescent="0.25">
      <c r="A163" s="21" t="s">
        <v>187</v>
      </c>
      <c r="B163" s="22" t="s">
        <v>350</v>
      </c>
      <c r="C163" s="23"/>
      <c r="D163" s="18"/>
      <c r="E163" s="197"/>
      <c r="F163" s="41"/>
    </row>
    <row r="164" spans="1:9" x14ac:dyDescent="0.25">
      <c r="A164" s="21" t="s">
        <v>454</v>
      </c>
      <c r="B164" s="22" t="s">
        <v>50</v>
      </c>
      <c r="C164" s="23"/>
      <c r="D164" s="18" t="s">
        <v>129</v>
      </c>
      <c r="E164" s="197">
        <v>18735</v>
      </c>
      <c r="F164" s="41">
        <f t="shared" ref="F164:F167" si="14">C164*E164</f>
        <v>0</v>
      </c>
      <c r="H164" s="24">
        <f>+C164*10.76</f>
        <v>0</v>
      </c>
      <c r="I164" s="24">
        <v>1535.5596</v>
      </c>
    </row>
    <row r="165" spans="1:9" x14ac:dyDescent="0.25">
      <c r="A165" s="21" t="s">
        <v>455</v>
      </c>
      <c r="B165" s="22" t="s">
        <v>51</v>
      </c>
      <c r="C165" s="23"/>
      <c r="D165" s="18" t="s">
        <v>129</v>
      </c>
      <c r="E165" s="197">
        <f>+E164*1.03</f>
        <v>19297.05</v>
      </c>
      <c r="F165" s="41">
        <f t="shared" si="14"/>
        <v>0</v>
      </c>
      <c r="H165" s="24">
        <f t="shared" ref="H165:H167" si="15">+C165*10.76</f>
        <v>0</v>
      </c>
      <c r="I165" s="24">
        <v>1321.328</v>
      </c>
    </row>
    <row r="166" spans="1:9" x14ac:dyDescent="0.25">
      <c r="A166" s="21" t="s">
        <v>456</v>
      </c>
      <c r="B166" s="22" t="s">
        <v>111</v>
      </c>
      <c r="C166" s="23"/>
      <c r="D166" s="18" t="s">
        <v>129</v>
      </c>
      <c r="E166" s="197">
        <f>+E164*1.05</f>
        <v>19671.75</v>
      </c>
      <c r="F166" s="41">
        <f t="shared" si="14"/>
        <v>0</v>
      </c>
      <c r="H166" s="24">
        <f t="shared" si="15"/>
        <v>0</v>
      </c>
      <c r="I166" s="24">
        <v>724.79359999999997</v>
      </c>
    </row>
    <row r="167" spans="1:9" x14ac:dyDescent="0.25">
      <c r="A167" s="21" t="s">
        <v>457</v>
      </c>
      <c r="B167" s="22" t="s">
        <v>112</v>
      </c>
      <c r="C167" s="23"/>
      <c r="D167" s="18" t="s">
        <v>129</v>
      </c>
      <c r="E167" s="197">
        <f>+E164*1.07</f>
        <v>20046.45</v>
      </c>
      <c r="F167" s="41">
        <f t="shared" si="14"/>
        <v>0</v>
      </c>
      <c r="H167" s="24">
        <f t="shared" si="15"/>
        <v>0</v>
      </c>
      <c r="I167" s="24">
        <v>262.9744</v>
      </c>
    </row>
    <row r="168" spans="1:9" x14ac:dyDescent="0.25">
      <c r="A168" s="21"/>
      <c r="B168" s="22"/>
      <c r="C168" s="23"/>
      <c r="D168" s="18"/>
      <c r="E168" s="197"/>
      <c r="F168" s="41"/>
    </row>
    <row r="169" spans="1:9" s="12" customFormat="1" ht="28.05" customHeight="1" x14ac:dyDescent="0.25">
      <c r="A169" s="15"/>
      <c r="B169" s="25" t="s">
        <v>188</v>
      </c>
      <c r="C169" s="26"/>
      <c r="D169" s="18"/>
      <c r="E169" s="197"/>
      <c r="F169" s="41"/>
    </row>
    <row r="170" spans="1:9" s="12" customFormat="1" ht="71.25" customHeight="1" x14ac:dyDescent="0.25">
      <c r="A170" s="15"/>
      <c r="B170" s="25" t="s">
        <v>189</v>
      </c>
      <c r="C170" s="26"/>
      <c r="D170" s="18"/>
      <c r="E170" s="197"/>
      <c r="F170" s="41"/>
    </row>
    <row r="171" spans="1:9" ht="38.1" customHeight="1" x14ac:dyDescent="0.25">
      <c r="A171" s="21" t="s">
        <v>453</v>
      </c>
      <c r="B171" s="22" t="s">
        <v>190</v>
      </c>
      <c r="C171" s="23"/>
      <c r="D171" s="18"/>
      <c r="E171" s="197"/>
      <c r="F171" s="41"/>
    </row>
    <row r="172" spans="1:9" x14ac:dyDescent="0.25">
      <c r="A172" s="21" t="s">
        <v>458</v>
      </c>
      <c r="B172" s="22" t="s">
        <v>351</v>
      </c>
      <c r="C172" s="23"/>
      <c r="D172" s="18" t="s">
        <v>129</v>
      </c>
      <c r="E172" s="197">
        <v>3700</v>
      </c>
      <c r="F172" s="41">
        <f>C172*E172</f>
        <v>0</v>
      </c>
    </row>
    <row r="173" spans="1:9" x14ac:dyDescent="0.25">
      <c r="A173" s="21" t="s">
        <v>459</v>
      </c>
      <c r="B173" s="22" t="s">
        <v>54</v>
      </c>
      <c r="C173" s="23"/>
      <c r="D173" s="18" t="s">
        <v>129</v>
      </c>
      <c r="E173" s="197">
        <f>+E172*1.03</f>
        <v>3811</v>
      </c>
      <c r="F173" s="41">
        <f t="shared" ref="F173:F174" si="16">C173*E173</f>
        <v>0</v>
      </c>
      <c r="H173" s="24" t="e">
        <f>+#REF!*10.76</f>
        <v>#REF!</v>
      </c>
      <c r="I173" s="24">
        <v>399.5188</v>
      </c>
    </row>
    <row r="174" spans="1:9" x14ac:dyDescent="0.25">
      <c r="A174" s="21" t="s">
        <v>460</v>
      </c>
      <c r="B174" s="22" t="s">
        <v>55</v>
      </c>
      <c r="C174" s="23"/>
      <c r="D174" s="18" t="s">
        <v>129</v>
      </c>
      <c r="E174" s="197">
        <f>+E172*1.05</f>
        <v>3885</v>
      </c>
      <c r="F174" s="41">
        <f t="shared" si="16"/>
        <v>0</v>
      </c>
      <c r="H174" s="24" t="e">
        <f>+#REF!*10.76</f>
        <v>#REF!</v>
      </c>
      <c r="I174" s="24">
        <v>399.5188</v>
      </c>
    </row>
    <row r="175" spans="1:9" x14ac:dyDescent="0.25">
      <c r="A175" s="18"/>
      <c r="B175" s="22"/>
      <c r="C175" s="23"/>
      <c r="D175" s="18"/>
      <c r="E175" s="197"/>
      <c r="F175" s="41"/>
    </row>
    <row r="176" spans="1:9" x14ac:dyDescent="0.25">
      <c r="A176" s="18"/>
      <c r="B176" s="22"/>
      <c r="C176" s="23"/>
      <c r="D176" s="18"/>
      <c r="E176" s="197"/>
      <c r="F176" s="41"/>
    </row>
    <row r="177" spans="1:6" x14ac:dyDescent="0.25">
      <c r="A177" s="18"/>
      <c r="B177" s="22"/>
      <c r="C177" s="23"/>
      <c r="D177" s="18"/>
      <c r="E177" s="197"/>
      <c r="F177" s="41"/>
    </row>
    <row r="178" spans="1:6" x14ac:dyDescent="0.25">
      <c r="A178" s="18"/>
      <c r="B178" s="22"/>
      <c r="C178" s="23"/>
      <c r="D178" s="18"/>
      <c r="E178" s="197"/>
      <c r="F178" s="41"/>
    </row>
    <row r="179" spans="1:6" s="12" customFormat="1" x14ac:dyDescent="0.25">
      <c r="A179" s="102"/>
      <c r="B179" s="103" t="s">
        <v>46</v>
      </c>
      <c r="C179" s="104"/>
      <c r="D179" s="105"/>
      <c r="E179" s="199"/>
      <c r="F179" s="106">
        <f>SUM(F142:F177)</f>
        <v>0</v>
      </c>
    </row>
    <row r="180" spans="1:6" s="12" customFormat="1" ht="28.05" customHeight="1" x14ac:dyDescent="0.25">
      <c r="A180" s="15"/>
      <c r="B180" s="32" t="s">
        <v>191</v>
      </c>
      <c r="C180" s="33"/>
      <c r="D180" s="18"/>
      <c r="E180" s="197"/>
      <c r="F180" s="41"/>
    </row>
    <row r="181" spans="1:6" ht="55.05" customHeight="1" x14ac:dyDescent="0.25">
      <c r="A181" s="21" t="s">
        <v>192</v>
      </c>
      <c r="B181" s="22" t="s">
        <v>352</v>
      </c>
      <c r="C181" s="23"/>
      <c r="D181" s="18"/>
      <c r="E181" s="197"/>
      <c r="F181" s="41"/>
    </row>
    <row r="182" spans="1:6" x14ac:dyDescent="0.25">
      <c r="A182" s="18" t="s">
        <v>461</v>
      </c>
      <c r="B182" s="22" t="s">
        <v>98</v>
      </c>
      <c r="C182" s="23"/>
      <c r="D182" s="18" t="s">
        <v>134</v>
      </c>
      <c r="E182" s="197">
        <v>192</v>
      </c>
      <c r="F182" s="41">
        <f>+C182*E182</f>
        <v>0</v>
      </c>
    </row>
    <row r="183" spans="1:6" x14ac:dyDescent="0.25">
      <c r="A183" s="18" t="s">
        <v>462</v>
      </c>
      <c r="B183" s="22" t="s">
        <v>99</v>
      </c>
      <c r="C183" s="23"/>
      <c r="D183" s="18" t="s">
        <v>134</v>
      </c>
      <c r="E183" s="197">
        <v>192</v>
      </c>
      <c r="F183" s="41">
        <f>+C183*E183</f>
        <v>0</v>
      </c>
    </row>
    <row r="184" spans="1:6" x14ac:dyDescent="0.25">
      <c r="A184" s="21"/>
      <c r="B184" s="22"/>
      <c r="C184" s="23"/>
      <c r="D184" s="18"/>
      <c r="E184" s="197"/>
      <c r="F184" s="41"/>
    </row>
    <row r="185" spans="1:6" ht="41.4" x14ac:dyDescent="0.25">
      <c r="A185" s="21" t="s">
        <v>193</v>
      </c>
      <c r="B185" s="22" t="s">
        <v>133</v>
      </c>
      <c r="C185" s="23"/>
      <c r="D185" s="18"/>
      <c r="E185" s="197"/>
      <c r="F185" s="41"/>
    </row>
    <row r="186" spans="1:6" x14ac:dyDescent="0.25">
      <c r="A186" s="18" t="s">
        <v>463</v>
      </c>
      <c r="B186" s="22" t="s">
        <v>98</v>
      </c>
      <c r="C186" s="23"/>
      <c r="D186" s="18" t="s">
        <v>134</v>
      </c>
      <c r="E186" s="197">
        <v>192</v>
      </c>
      <c r="F186" s="41">
        <f>+C186*E186</f>
        <v>0</v>
      </c>
    </row>
    <row r="187" spans="1:6" x14ac:dyDescent="0.25">
      <c r="A187" s="18" t="s">
        <v>464</v>
      </c>
      <c r="B187" s="22" t="s">
        <v>354</v>
      </c>
      <c r="C187" s="23"/>
      <c r="D187" s="18" t="s">
        <v>134</v>
      </c>
      <c r="E187" s="197">
        <v>192</v>
      </c>
      <c r="F187" s="41">
        <f>+C187*E187</f>
        <v>0</v>
      </c>
    </row>
    <row r="188" spans="1:6" x14ac:dyDescent="0.25">
      <c r="A188" s="21"/>
      <c r="B188" s="22"/>
      <c r="C188" s="23"/>
      <c r="D188" s="18"/>
      <c r="E188" s="197"/>
      <c r="F188" s="41"/>
    </row>
    <row r="189" spans="1:6" ht="55.05" customHeight="1" x14ac:dyDescent="0.25">
      <c r="A189" s="21" t="s">
        <v>195</v>
      </c>
      <c r="B189" s="22" t="s">
        <v>194</v>
      </c>
      <c r="C189" s="23"/>
      <c r="D189" s="18"/>
      <c r="E189" s="197"/>
      <c r="F189" s="41"/>
    </row>
    <row r="190" spans="1:6" x14ac:dyDescent="0.25">
      <c r="A190" s="21" t="s">
        <v>465</v>
      </c>
      <c r="B190" s="22" t="s">
        <v>98</v>
      </c>
      <c r="C190" s="23"/>
      <c r="D190" s="18" t="s">
        <v>134</v>
      </c>
      <c r="E190" s="197">
        <v>198</v>
      </c>
      <c r="F190" s="41">
        <f>+C190*E190</f>
        <v>0</v>
      </c>
    </row>
    <row r="191" spans="1:6" x14ac:dyDescent="0.25">
      <c r="A191" s="21" t="s">
        <v>466</v>
      </c>
      <c r="B191" s="22" t="s">
        <v>354</v>
      </c>
      <c r="C191" s="23"/>
      <c r="D191" s="18" t="s">
        <v>134</v>
      </c>
      <c r="E191" s="197">
        <v>198</v>
      </c>
      <c r="F191" s="41">
        <f>+C191*E191</f>
        <v>0</v>
      </c>
    </row>
    <row r="192" spans="1:6" x14ac:dyDescent="0.25">
      <c r="A192" s="21"/>
      <c r="B192" s="22"/>
      <c r="C192" s="23"/>
      <c r="D192" s="18"/>
      <c r="E192" s="197"/>
      <c r="F192" s="41"/>
    </row>
    <row r="193" spans="1:6" ht="55.05" customHeight="1" x14ac:dyDescent="0.25">
      <c r="A193" s="21" t="s">
        <v>197</v>
      </c>
      <c r="B193" s="22" t="s">
        <v>196</v>
      </c>
      <c r="C193" s="23"/>
      <c r="D193" s="18"/>
      <c r="E193" s="197"/>
      <c r="F193" s="41"/>
    </row>
    <row r="194" spans="1:6" x14ac:dyDescent="0.25">
      <c r="A194" s="21" t="s">
        <v>467</v>
      </c>
      <c r="B194" s="22" t="s">
        <v>98</v>
      </c>
      <c r="C194" s="23"/>
      <c r="D194" s="18" t="s">
        <v>134</v>
      </c>
      <c r="E194" s="197">
        <v>202</v>
      </c>
      <c r="F194" s="41">
        <f>+C194*E194</f>
        <v>0</v>
      </c>
    </row>
    <row r="195" spans="1:6" x14ac:dyDescent="0.25">
      <c r="A195" s="21" t="s">
        <v>468</v>
      </c>
      <c r="B195" s="22" t="s">
        <v>354</v>
      </c>
      <c r="C195" s="23"/>
      <c r="D195" s="18" t="s">
        <v>134</v>
      </c>
      <c r="E195" s="197">
        <v>202</v>
      </c>
      <c r="F195" s="41">
        <f>+C195*E195</f>
        <v>0</v>
      </c>
    </row>
    <row r="196" spans="1:6" x14ac:dyDescent="0.25">
      <c r="A196" s="21"/>
      <c r="B196" s="22"/>
      <c r="C196" s="23"/>
      <c r="D196" s="18"/>
      <c r="E196" s="197"/>
      <c r="F196" s="41"/>
    </row>
    <row r="197" spans="1:6" ht="41.4" x14ac:dyDescent="0.25">
      <c r="A197" s="21" t="s">
        <v>198</v>
      </c>
      <c r="B197" s="22" t="s">
        <v>357</v>
      </c>
      <c r="C197" s="23"/>
      <c r="D197" s="18"/>
      <c r="E197" s="197"/>
      <c r="F197" s="41"/>
    </row>
    <row r="198" spans="1:6" x14ac:dyDescent="0.25">
      <c r="A198" s="21" t="s">
        <v>469</v>
      </c>
      <c r="B198" s="22" t="s">
        <v>98</v>
      </c>
      <c r="C198" s="23"/>
      <c r="D198" s="18" t="s">
        <v>134</v>
      </c>
      <c r="E198" s="197">
        <v>208</v>
      </c>
      <c r="F198" s="41">
        <f>+C198*E198</f>
        <v>0</v>
      </c>
    </row>
    <row r="199" spans="1:6" x14ac:dyDescent="0.25">
      <c r="A199" s="21" t="s">
        <v>470</v>
      </c>
      <c r="B199" s="22" t="s">
        <v>354</v>
      </c>
      <c r="C199" s="23"/>
      <c r="D199" s="18" t="s">
        <v>134</v>
      </c>
      <c r="E199" s="197">
        <v>208</v>
      </c>
      <c r="F199" s="41">
        <f>+C199*E199</f>
        <v>0</v>
      </c>
    </row>
    <row r="200" spans="1:6" x14ac:dyDescent="0.25">
      <c r="A200" s="21"/>
      <c r="B200" s="22"/>
      <c r="C200" s="23"/>
      <c r="D200" s="18"/>
      <c r="E200" s="197"/>
      <c r="F200" s="41"/>
    </row>
    <row r="201" spans="1:6" ht="55.05" customHeight="1" x14ac:dyDescent="0.25">
      <c r="A201" s="21" t="s">
        <v>200</v>
      </c>
      <c r="B201" s="22" t="s">
        <v>353</v>
      </c>
      <c r="C201" s="23"/>
      <c r="D201" s="18" t="s">
        <v>134</v>
      </c>
      <c r="E201" s="197">
        <v>164</v>
      </c>
      <c r="F201" s="41"/>
    </row>
    <row r="202" spans="1:6" x14ac:dyDescent="0.25">
      <c r="A202" s="18" t="s">
        <v>471</v>
      </c>
      <c r="B202" s="22" t="s">
        <v>108</v>
      </c>
      <c r="C202" s="23"/>
      <c r="D202" s="18" t="s">
        <v>134</v>
      </c>
      <c r="E202" s="197">
        <v>204</v>
      </c>
      <c r="F202" s="41">
        <f>+C202*E202</f>
        <v>0</v>
      </c>
    </row>
    <row r="203" spans="1:6" x14ac:dyDescent="0.25">
      <c r="A203" s="18" t="s">
        <v>472</v>
      </c>
      <c r="B203" s="22" t="s">
        <v>98</v>
      </c>
      <c r="C203" s="23"/>
      <c r="D203" s="18" t="s">
        <v>134</v>
      </c>
      <c r="E203" s="197">
        <v>204</v>
      </c>
      <c r="F203" s="41">
        <f>+C203*E203</f>
        <v>0</v>
      </c>
    </row>
    <row r="204" spans="1:6" x14ac:dyDescent="0.25">
      <c r="A204" s="18" t="s">
        <v>473</v>
      </c>
      <c r="B204" s="22" t="s">
        <v>99</v>
      </c>
      <c r="C204" s="23"/>
      <c r="D204" s="18" t="s">
        <v>134</v>
      </c>
      <c r="E204" s="197">
        <v>204</v>
      </c>
      <c r="F204" s="41">
        <f t="shared" ref="F204:F205" si="17">+C204*E204</f>
        <v>0</v>
      </c>
    </row>
    <row r="205" spans="1:6" x14ac:dyDescent="0.25">
      <c r="A205" s="18" t="s">
        <v>474</v>
      </c>
      <c r="B205" s="22" t="s">
        <v>100</v>
      </c>
      <c r="C205" s="23"/>
      <c r="D205" s="18" t="s">
        <v>134</v>
      </c>
      <c r="E205" s="197">
        <v>204</v>
      </c>
      <c r="F205" s="41">
        <f t="shared" si="17"/>
        <v>0</v>
      </c>
    </row>
    <row r="206" spans="1:6" x14ac:dyDescent="0.25">
      <c r="A206" s="21"/>
      <c r="B206" s="22"/>
      <c r="C206" s="23"/>
      <c r="D206" s="18"/>
      <c r="E206" s="197"/>
      <c r="F206" s="41"/>
    </row>
    <row r="207" spans="1:6" ht="41.4" x14ac:dyDescent="0.25">
      <c r="A207" s="21" t="s">
        <v>475</v>
      </c>
      <c r="B207" s="22" t="s">
        <v>135</v>
      </c>
      <c r="C207" s="23"/>
      <c r="D207" s="18"/>
      <c r="E207" s="197"/>
      <c r="F207" s="41"/>
    </row>
    <row r="208" spans="1:6" x14ac:dyDescent="0.25">
      <c r="A208" s="21" t="s">
        <v>476</v>
      </c>
      <c r="B208" s="22" t="s">
        <v>98</v>
      </c>
      <c r="C208" s="23"/>
      <c r="D208" s="18" t="s">
        <v>134</v>
      </c>
      <c r="E208" s="197">
        <v>204</v>
      </c>
      <c r="F208" s="41">
        <f>+C208*E208</f>
        <v>0</v>
      </c>
    </row>
    <row r="209" spans="1:6" x14ac:dyDescent="0.25">
      <c r="A209" s="21" t="s">
        <v>478</v>
      </c>
      <c r="B209" s="22" t="s">
        <v>354</v>
      </c>
      <c r="C209" s="23"/>
      <c r="D209" s="18" t="s">
        <v>134</v>
      </c>
      <c r="E209" s="197">
        <v>204</v>
      </c>
      <c r="F209" s="41">
        <f>+C209*E209</f>
        <v>0</v>
      </c>
    </row>
    <row r="210" spans="1:6" x14ac:dyDescent="0.25">
      <c r="A210" s="21" t="s">
        <v>477</v>
      </c>
      <c r="B210" s="22" t="s">
        <v>355</v>
      </c>
      <c r="C210" s="23"/>
      <c r="D210" s="18" t="s">
        <v>134</v>
      </c>
      <c r="E210" s="197">
        <v>204</v>
      </c>
      <c r="F210" s="41">
        <f t="shared" ref="F210:F211" si="18">+C210*E210</f>
        <v>0</v>
      </c>
    </row>
    <row r="211" spans="1:6" x14ac:dyDescent="0.25">
      <c r="A211" s="21" t="s">
        <v>479</v>
      </c>
      <c r="B211" s="22" t="s">
        <v>356</v>
      </c>
      <c r="C211" s="23"/>
      <c r="D211" s="18" t="s">
        <v>134</v>
      </c>
      <c r="E211" s="197">
        <v>204</v>
      </c>
      <c r="F211" s="41">
        <f t="shared" si="18"/>
        <v>0</v>
      </c>
    </row>
    <row r="212" spans="1:6" x14ac:dyDescent="0.25">
      <c r="A212" s="21"/>
      <c r="B212" s="22"/>
      <c r="C212" s="23"/>
      <c r="D212" s="18"/>
      <c r="E212" s="197"/>
      <c r="F212" s="41"/>
    </row>
    <row r="213" spans="1:6" ht="55.05" customHeight="1" x14ac:dyDescent="0.25">
      <c r="A213" s="21" t="s">
        <v>480</v>
      </c>
      <c r="B213" s="22" t="s">
        <v>199</v>
      </c>
      <c r="C213" s="23"/>
      <c r="D213" s="18"/>
      <c r="E213" s="197"/>
      <c r="F213" s="41"/>
    </row>
    <row r="214" spans="1:6" x14ac:dyDescent="0.25">
      <c r="A214" s="21" t="s">
        <v>481</v>
      </c>
      <c r="B214" s="22" t="s">
        <v>98</v>
      </c>
      <c r="C214" s="23"/>
      <c r="D214" s="18" t="s">
        <v>134</v>
      </c>
      <c r="E214" s="197">
        <v>210</v>
      </c>
      <c r="F214" s="41">
        <f>+C214*E214</f>
        <v>0</v>
      </c>
    </row>
    <row r="215" spans="1:6" x14ac:dyDescent="0.25">
      <c r="A215" s="21" t="s">
        <v>482</v>
      </c>
      <c r="B215" s="22" t="s">
        <v>354</v>
      </c>
      <c r="C215" s="23"/>
      <c r="D215" s="18" t="s">
        <v>134</v>
      </c>
      <c r="E215" s="197">
        <v>210</v>
      </c>
      <c r="F215" s="41">
        <f>+C215*E215</f>
        <v>0</v>
      </c>
    </row>
    <row r="216" spans="1:6" x14ac:dyDescent="0.25">
      <c r="A216" s="21" t="s">
        <v>483</v>
      </c>
      <c r="B216" s="22" t="s">
        <v>355</v>
      </c>
      <c r="C216" s="23"/>
      <c r="D216" s="18" t="s">
        <v>134</v>
      </c>
      <c r="E216" s="197">
        <v>210</v>
      </c>
      <c r="F216" s="41">
        <f t="shared" ref="F216:F217" si="19">+C216*E216</f>
        <v>0</v>
      </c>
    </row>
    <row r="217" spans="1:6" x14ac:dyDescent="0.25">
      <c r="A217" s="21" t="s">
        <v>484</v>
      </c>
      <c r="B217" s="22" t="s">
        <v>356</v>
      </c>
      <c r="C217" s="23"/>
      <c r="D217" s="18" t="s">
        <v>134</v>
      </c>
      <c r="E217" s="197">
        <v>210</v>
      </c>
      <c r="F217" s="41">
        <f t="shared" si="19"/>
        <v>0</v>
      </c>
    </row>
    <row r="218" spans="1:6" x14ac:dyDescent="0.25">
      <c r="A218" s="21"/>
      <c r="B218" s="22"/>
      <c r="C218" s="23"/>
      <c r="D218" s="18"/>
      <c r="E218" s="197"/>
      <c r="F218" s="41"/>
    </row>
    <row r="219" spans="1:6" ht="55.05" customHeight="1" x14ac:dyDescent="0.25">
      <c r="A219" s="21" t="s">
        <v>485</v>
      </c>
      <c r="B219" s="22" t="s">
        <v>201</v>
      </c>
      <c r="C219" s="23"/>
      <c r="D219" s="18"/>
      <c r="E219" s="197"/>
      <c r="F219" s="41"/>
    </row>
    <row r="220" spans="1:6" x14ac:dyDescent="0.25">
      <c r="A220" s="21" t="s">
        <v>486</v>
      </c>
      <c r="B220" s="22" t="s">
        <v>98</v>
      </c>
      <c r="C220" s="23"/>
      <c r="D220" s="18" t="s">
        <v>134</v>
      </c>
      <c r="E220" s="197">
        <v>210</v>
      </c>
      <c r="F220" s="41">
        <f>+C220*E220</f>
        <v>0</v>
      </c>
    </row>
    <row r="221" spans="1:6" x14ac:dyDescent="0.25">
      <c r="A221" s="21" t="s">
        <v>487</v>
      </c>
      <c r="B221" s="22" t="s">
        <v>354</v>
      </c>
      <c r="C221" s="23"/>
      <c r="D221" s="18" t="s">
        <v>134</v>
      </c>
      <c r="E221" s="197">
        <v>210</v>
      </c>
      <c r="F221" s="41">
        <f>+C221*E221</f>
        <v>0</v>
      </c>
    </row>
    <row r="222" spans="1:6" x14ac:dyDescent="0.25">
      <c r="A222" s="21" t="s">
        <v>488</v>
      </c>
      <c r="B222" s="22" t="s">
        <v>355</v>
      </c>
      <c r="C222" s="23"/>
      <c r="D222" s="18" t="s">
        <v>134</v>
      </c>
      <c r="E222" s="197">
        <v>210</v>
      </c>
      <c r="F222" s="41">
        <f t="shared" ref="F222" si="20">+C222*E222</f>
        <v>0</v>
      </c>
    </row>
    <row r="223" spans="1:6" x14ac:dyDescent="0.25">
      <c r="A223" s="21"/>
      <c r="B223" s="22"/>
      <c r="C223" s="23"/>
      <c r="D223" s="18"/>
      <c r="E223" s="197"/>
      <c r="F223" s="41"/>
    </row>
    <row r="224" spans="1:6" ht="41.4" x14ac:dyDescent="0.25">
      <c r="A224" s="21" t="s">
        <v>489</v>
      </c>
      <c r="B224" s="22" t="s">
        <v>358</v>
      </c>
      <c r="C224" s="23"/>
      <c r="D224" s="18"/>
      <c r="E224" s="197"/>
      <c r="F224" s="41"/>
    </row>
    <row r="225" spans="1:6" x14ac:dyDescent="0.25">
      <c r="A225" s="21" t="s">
        <v>490</v>
      </c>
      <c r="B225" s="22" t="s">
        <v>98</v>
      </c>
      <c r="C225" s="23"/>
      <c r="D225" s="18" t="s">
        <v>134</v>
      </c>
      <c r="E225" s="197">
        <v>216</v>
      </c>
      <c r="F225" s="41">
        <f>+C225*E225</f>
        <v>0</v>
      </c>
    </row>
    <row r="226" spans="1:6" x14ac:dyDescent="0.25">
      <c r="A226" s="21" t="s">
        <v>491</v>
      </c>
      <c r="B226" s="22" t="s">
        <v>354</v>
      </c>
      <c r="C226" s="23"/>
      <c r="D226" s="18" t="s">
        <v>134</v>
      </c>
      <c r="E226" s="197">
        <v>216</v>
      </c>
      <c r="F226" s="41">
        <f>+C226*E226</f>
        <v>0</v>
      </c>
    </row>
    <row r="227" spans="1:6" x14ac:dyDescent="0.25">
      <c r="A227" s="21" t="s">
        <v>492</v>
      </c>
      <c r="B227" s="22" t="s">
        <v>355</v>
      </c>
      <c r="C227" s="23"/>
      <c r="D227" s="18" t="s">
        <v>134</v>
      </c>
      <c r="E227" s="197">
        <v>216</v>
      </c>
      <c r="F227" s="41">
        <f t="shared" ref="F227" si="21">+C227*E227</f>
        <v>0</v>
      </c>
    </row>
    <row r="228" spans="1:6" x14ac:dyDescent="0.25">
      <c r="A228" s="21"/>
      <c r="B228" s="22"/>
      <c r="C228" s="23"/>
      <c r="D228" s="18"/>
      <c r="E228" s="197"/>
      <c r="F228" s="41"/>
    </row>
    <row r="229" spans="1:6" x14ac:dyDescent="0.25">
      <c r="A229" s="21"/>
      <c r="B229" s="22"/>
      <c r="C229" s="23"/>
      <c r="D229" s="18"/>
      <c r="E229" s="197"/>
      <c r="F229" s="41"/>
    </row>
    <row r="230" spans="1:6" x14ac:dyDescent="0.25">
      <c r="A230" s="21"/>
      <c r="B230" s="22"/>
      <c r="C230" s="23"/>
      <c r="D230" s="18"/>
      <c r="E230" s="197"/>
      <c r="F230" s="41"/>
    </row>
    <row r="231" spans="1:6" s="12" customFormat="1" x14ac:dyDescent="0.25">
      <c r="A231" s="102"/>
      <c r="B231" s="103" t="s">
        <v>46</v>
      </c>
      <c r="C231" s="104"/>
      <c r="D231" s="105"/>
      <c r="E231" s="199"/>
      <c r="F231" s="106">
        <f>SUM(F181:F229)</f>
        <v>0</v>
      </c>
    </row>
    <row r="232" spans="1:6" s="12" customFormat="1" ht="28.05" customHeight="1" x14ac:dyDescent="0.25">
      <c r="A232" s="15"/>
      <c r="B232" s="32" t="s">
        <v>202</v>
      </c>
      <c r="C232" s="33"/>
      <c r="D232" s="18"/>
      <c r="E232" s="197"/>
      <c r="F232" s="41"/>
    </row>
    <row r="233" spans="1:6" ht="38.1" customHeight="1" x14ac:dyDescent="0.25">
      <c r="A233" s="21" t="s">
        <v>493</v>
      </c>
      <c r="B233" s="22" t="s">
        <v>204</v>
      </c>
      <c r="C233" s="23"/>
      <c r="D233" s="18" t="s">
        <v>131</v>
      </c>
      <c r="E233" s="197">
        <v>40650</v>
      </c>
      <c r="F233" s="41">
        <f t="shared" ref="F233:F235" si="22">+C233*E233</f>
        <v>0</v>
      </c>
    </row>
    <row r="234" spans="1:6" ht="37.799999999999997" customHeight="1" x14ac:dyDescent="0.25">
      <c r="A234" s="21" t="s">
        <v>203</v>
      </c>
      <c r="B234" s="22" t="s">
        <v>206</v>
      </c>
      <c r="C234" s="23"/>
      <c r="D234" s="18" t="s">
        <v>131</v>
      </c>
      <c r="E234" s="197">
        <v>42680</v>
      </c>
      <c r="F234" s="41">
        <f t="shared" si="22"/>
        <v>0</v>
      </c>
    </row>
    <row r="235" spans="1:6" ht="38.1" customHeight="1" x14ac:dyDescent="0.25">
      <c r="A235" s="21" t="s">
        <v>205</v>
      </c>
      <c r="B235" s="22" t="s">
        <v>207</v>
      </c>
      <c r="C235" s="23"/>
      <c r="D235" s="18" t="s">
        <v>131</v>
      </c>
      <c r="E235" s="197">
        <v>43500</v>
      </c>
      <c r="F235" s="41">
        <f t="shared" si="22"/>
        <v>0</v>
      </c>
    </row>
    <row r="236" spans="1:6" x14ac:dyDescent="0.25">
      <c r="A236" s="21"/>
      <c r="B236" s="22"/>
      <c r="C236" s="23"/>
      <c r="D236" s="18"/>
      <c r="E236" s="197"/>
      <c r="F236" s="41"/>
    </row>
    <row r="237" spans="1:6" x14ac:dyDescent="0.25">
      <c r="A237" s="21"/>
      <c r="B237" s="22"/>
      <c r="C237" s="23"/>
      <c r="D237" s="18"/>
      <c r="E237" s="197"/>
      <c r="F237" s="41"/>
    </row>
    <row r="238" spans="1:6" s="12" customFormat="1" x14ac:dyDescent="0.25">
      <c r="A238" s="102"/>
      <c r="B238" s="103" t="s">
        <v>46</v>
      </c>
      <c r="C238" s="104"/>
      <c r="D238" s="105"/>
      <c r="E238" s="199"/>
      <c r="F238" s="106">
        <f>SUM(F233:F237)</f>
        <v>0</v>
      </c>
    </row>
    <row r="239" spans="1:6" x14ac:dyDescent="0.25">
      <c r="A239" s="21"/>
      <c r="B239" s="22"/>
      <c r="C239" s="23"/>
      <c r="D239" s="18"/>
      <c r="E239" s="197"/>
      <c r="F239" s="41"/>
    </row>
    <row r="240" spans="1:6" s="12" customFormat="1" ht="28.05" customHeight="1" x14ac:dyDescent="0.25">
      <c r="A240" s="15"/>
      <c r="B240" s="32" t="s">
        <v>208</v>
      </c>
      <c r="C240" s="33"/>
      <c r="D240" s="18"/>
      <c r="E240" s="197"/>
      <c r="F240" s="41"/>
    </row>
    <row r="241" spans="1:9" ht="55.05" customHeight="1" x14ac:dyDescent="0.25">
      <c r="A241" s="21" t="s">
        <v>494</v>
      </c>
      <c r="B241" s="22" t="s">
        <v>359</v>
      </c>
      <c r="C241" s="23"/>
      <c r="D241" s="18"/>
      <c r="E241" s="197"/>
      <c r="F241" s="41"/>
    </row>
    <row r="242" spans="1:9" x14ac:dyDescent="0.25">
      <c r="A242" s="21" t="s">
        <v>495</v>
      </c>
      <c r="B242" s="22" t="s">
        <v>58</v>
      </c>
      <c r="C242" s="23"/>
      <c r="D242" s="18" t="s">
        <v>129</v>
      </c>
      <c r="E242" s="197">
        <v>20338.5</v>
      </c>
      <c r="F242" s="41">
        <f t="shared" ref="F242:F245" si="23">+C242*E242</f>
        <v>0</v>
      </c>
      <c r="H242" s="24">
        <f>+C242*10.76/100</f>
        <v>0</v>
      </c>
      <c r="I242" s="24">
        <v>9.7797640000000001</v>
      </c>
    </row>
    <row r="243" spans="1:9" x14ac:dyDescent="0.25">
      <c r="A243" s="21" t="s">
        <v>496</v>
      </c>
      <c r="B243" s="22" t="s">
        <v>59</v>
      </c>
      <c r="C243" s="23"/>
      <c r="D243" s="18" t="s">
        <v>129</v>
      </c>
      <c r="E243" s="197">
        <v>20725.900000000001</v>
      </c>
      <c r="F243" s="41">
        <f t="shared" si="23"/>
        <v>0</v>
      </c>
      <c r="H243" s="24">
        <f t="shared" ref="H243:H245" si="24">+C243*10.76/100</f>
        <v>0</v>
      </c>
      <c r="I243" s="24">
        <v>13.927744000000001</v>
      </c>
    </row>
    <row r="244" spans="1:9" x14ac:dyDescent="0.25">
      <c r="A244" s="21" t="s">
        <v>497</v>
      </c>
      <c r="B244" s="22" t="s">
        <v>116</v>
      </c>
      <c r="C244" s="23"/>
      <c r="D244" s="18" t="s">
        <v>129</v>
      </c>
      <c r="E244" s="197">
        <v>21307</v>
      </c>
      <c r="F244" s="41">
        <f t="shared" si="23"/>
        <v>0</v>
      </c>
      <c r="H244" s="24">
        <f t="shared" si="24"/>
        <v>0</v>
      </c>
      <c r="I244" s="24">
        <v>14.462515999999999</v>
      </c>
    </row>
    <row r="245" spans="1:9" x14ac:dyDescent="0.25">
      <c r="A245" s="21" t="s">
        <v>498</v>
      </c>
      <c r="B245" s="22" t="s">
        <v>117</v>
      </c>
      <c r="C245" s="23"/>
      <c r="D245" s="18" t="s">
        <v>129</v>
      </c>
      <c r="E245" s="197">
        <v>22275.5</v>
      </c>
      <c r="F245" s="41">
        <f t="shared" si="23"/>
        <v>0</v>
      </c>
      <c r="H245" s="24">
        <f t="shared" si="24"/>
        <v>0</v>
      </c>
      <c r="I245" s="24">
        <v>1.516084</v>
      </c>
    </row>
    <row r="246" spans="1:9" x14ac:dyDescent="0.25">
      <c r="A246" s="21"/>
      <c r="B246" s="22"/>
      <c r="C246" s="23"/>
      <c r="D246" s="18"/>
      <c r="E246" s="197"/>
      <c r="F246" s="41"/>
    </row>
    <row r="247" spans="1:9" ht="55.05" customHeight="1" x14ac:dyDescent="0.25">
      <c r="A247" s="21" t="s">
        <v>209</v>
      </c>
      <c r="B247" s="22" t="s">
        <v>360</v>
      </c>
      <c r="C247" s="23"/>
      <c r="D247" s="18"/>
      <c r="E247" s="197"/>
      <c r="F247" s="41"/>
    </row>
    <row r="248" spans="1:9" x14ac:dyDescent="0.25">
      <c r="A248" s="21" t="s">
        <v>499</v>
      </c>
      <c r="B248" s="22" t="s">
        <v>57</v>
      </c>
      <c r="C248" s="23"/>
      <c r="D248" s="18" t="s">
        <v>129</v>
      </c>
      <c r="E248" s="197">
        <v>13920</v>
      </c>
      <c r="F248" s="41">
        <f t="shared" ref="F248:F250" si="25">+C248*E248</f>
        <v>0</v>
      </c>
      <c r="H248" s="24">
        <f>+C248*10.76/100</f>
        <v>0</v>
      </c>
      <c r="I248" s="24">
        <v>5.2928439999999997</v>
      </c>
    </row>
    <row r="249" spans="1:9" x14ac:dyDescent="0.25">
      <c r="A249" s="21" t="s">
        <v>500</v>
      </c>
      <c r="B249" s="22" t="s">
        <v>58</v>
      </c>
      <c r="C249" s="23"/>
      <c r="D249" s="18" t="s">
        <v>129</v>
      </c>
      <c r="E249" s="197">
        <f>+E248*1.05</f>
        <v>14616</v>
      </c>
      <c r="F249" s="41">
        <f t="shared" si="25"/>
        <v>0</v>
      </c>
      <c r="H249" s="24">
        <f t="shared" ref="H249:H250" si="26">+C249*10.76/100</f>
        <v>0</v>
      </c>
      <c r="I249" s="24">
        <v>5.4703840000000001</v>
      </c>
    </row>
    <row r="250" spans="1:9" x14ac:dyDescent="0.25">
      <c r="A250" s="21" t="s">
        <v>501</v>
      </c>
      <c r="B250" s="22" t="s">
        <v>59</v>
      </c>
      <c r="C250" s="23"/>
      <c r="D250" s="18" t="s">
        <v>129</v>
      </c>
      <c r="E250" s="197">
        <f>+E248*1.07</f>
        <v>14894.400000000001</v>
      </c>
      <c r="F250" s="41">
        <f t="shared" si="25"/>
        <v>0</v>
      </c>
      <c r="H250" s="24">
        <f t="shared" si="26"/>
        <v>0</v>
      </c>
      <c r="I250" s="24">
        <v>6.6173999999999999</v>
      </c>
    </row>
    <row r="251" spans="1:9" x14ac:dyDescent="0.25">
      <c r="A251" s="21"/>
      <c r="B251" s="22"/>
      <c r="C251" s="23"/>
      <c r="D251" s="18"/>
      <c r="E251" s="197"/>
      <c r="F251" s="41"/>
    </row>
    <row r="252" spans="1:9" x14ac:dyDescent="0.25">
      <c r="A252" s="21"/>
      <c r="B252" s="22"/>
      <c r="C252" s="23"/>
      <c r="D252" s="18"/>
      <c r="E252" s="197"/>
      <c r="F252" s="41"/>
    </row>
    <row r="253" spans="1:9" x14ac:dyDescent="0.25">
      <c r="A253" s="21"/>
      <c r="B253" s="22"/>
      <c r="C253" s="23"/>
      <c r="D253" s="18"/>
      <c r="E253" s="197"/>
      <c r="F253" s="41"/>
    </row>
    <row r="254" spans="1:9" x14ac:dyDescent="0.25">
      <c r="A254" s="21"/>
      <c r="B254" s="22"/>
      <c r="C254" s="23"/>
      <c r="D254" s="18"/>
      <c r="E254" s="197"/>
      <c r="F254" s="41"/>
    </row>
    <row r="255" spans="1:9" s="12" customFormat="1" x14ac:dyDescent="0.25">
      <c r="A255" s="102"/>
      <c r="B255" s="103" t="s">
        <v>46</v>
      </c>
      <c r="C255" s="104"/>
      <c r="D255" s="105"/>
      <c r="E255" s="199"/>
      <c r="F255" s="106">
        <f>SUM(F241:F253)</f>
        <v>0</v>
      </c>
    </row>
    <row r="256" spans="1:9" s="12" customFormat="1" ht="30" customHeight="1" x14ac:dyDescent="0.25">
      <c r="A256" s="15"/>
      <c r="B256" s="32" t="s">
        <v>210</v>
      </c>
      <c r="C256" s="33"/>
      <c r="D256" s="18"/>
      <c r="E256" s="197"/>
      <c r="F256" s="41"/>
    </row>
    <row r="257" spans="1:10" s="36" customFormat="1" ht="38.1" customHeight="1" x14ac:dyDescent="0.25">
      <c r="A257" s="21" t="s">
        <v>211</v>
      </c>
      <c r="B257" s="22" t="s">
        <v>212</v>
      </c>
      <c r="C257" s="23"/>
      <c r="D257" s="18" t="s">
        <v>131</v>
      </c>
      <c r="E257" s="197">
        <v>31540</v>
      </c>
      <c r="F257" s="41">
        <f t="shared" ref="F257:F266" si="27">+C257*E257</f>
        <v>0</v>
      </c>
      <c r="H257" s="36">
        <f>14.36/2.83</f>
        <v>5.0742049469964661</v>
      </c>
    </row>
    <row r="258" spans="1:10" s="36" customFormat="1" x14ac:dyDescent="0.25">
      <c r="A258" s="21"/>
      <c r="B258" s="22"/>
      <c r="C258" s="23"/>
      <c r="D258" s="18"/>
      <c r="E258" s="197"/>
      <c r="F258" s="41"/>
    </row>
    <row r="259" spans="1:10" s="36" customFormat="1" x14ac:dyDescent="0.25">
      <c r="A259" s="21"/>
      <c r="B259" s="22"/>
      <c r="C259" s="23"/>
      <c r="D259" s="18"/>
      <c r="E259" s="197"/>
      <c r="F259" s="41"/>
    </row>
    <row r="260" spans="1:10" s="12" customFormat="1" x14ac:dyDescent="0.25">
      <c r="A260" s="102"/>
      <c r="B260" s="103" t="s">
        <v>46</v>
      </c>
      <c r="C260" s="104"/>
      <c r="D260" s="105"/>
      <c r="E260" s="199"/>
      <c r="F260" s="106">
        <f>SUM(F257:F259)</f>
        <v>0</v>
      </c>
    </row>
    <row r="261" spans="1:10" s="12" customFormat="1" ht="28.05" customHeight="1" x14ac:dyDescent="0.25">
      <c r="A261" s="15"/>
      <c r="B261" s="32" t="s">
        <v>213</v>
      </c>
      <c r="C261" s="33"/>
      <c r="D261" s="18"/>
      <c r="E261" s="197"/>
      <c r="F261" s="41"/>
    </row>
    <row r="262" spans="1:10" ht="38.1" customHeight="1" x14ac:dyDescent="0.25">
      <c r="A262" s="21" t="s">
        <v>214</v>
      </c>
      <c r="B262" s="22" t="s">
        <v>215</v>
      </c>
      <c r="C262" s="23"/>
      <c r="D262" s="18" t="s">
        <v>129</v>
      </c>
      <c r="E262" s="197">
        <v>10140</v>
      </c>
      <c r="F262" s="41">
        <f t="shared" si="27"/>
        <v>0</v>
      </c>
      <c r="G262" s="24">
        <f>101.91*0.3*10.76/100</f>
        <v>3.2896547999999997</v>
      </c>
    </row>
    <row r="263" spans="1:10" ht="41.4" x14ac:dyDescent="0.3">
      <c r="A263" s="21" t="s">
        <v>216</v>
      </c>
      <c r="B263" s="22" t="s">
        <v>217</v>
      </c>
      <c r="C263" s="23"/>
      <c r="D263" s="18" t="s">
        <v>129</v>
      </c>
      <c r="E263" s="197">
        <v>399</v>
      </c>
      <c r="F263" s="41">
        <f t="shared" si="27"/>
        <v>0</v>
      </c>
      <c r="G263" s="24">
        <f>250.16*10.76/100</f>
        <v>26.917216</v>
      </c>
      <c r="I263" s="5" t="s">
        <v>116</v>
      </c>
      <c r="J263" s="4">
        <v>34.880000000000003</v>
      </c>
    </row>
    <row r="264" spans="1:10" ht="55.2" x14ac:dyDescent="0.3">
      <c r="A264" s="21" t="s">
        <v>218</v>
      </c>
      <c r="B264" s="22" t="s">
        <v>362</v>
      </c>
      <c r="C264" s="23"/>
      <c r="D264" s="18"/>
      <c r="E264" s="197"/>
      <c r="F264" s="41"/>
      <c r="I264" s="5" t="s">
        <v>124</v>
      </c>
      <c r="J264" s="4">
        <v>34.880000000000003</v>
      </c>
    </row>
    <row r="265" spans="1:10" x14ac:dyDescent="0.3">
      <c r="A265" s="21" t="s">
        <v>502</v>
      </c>
      <c r="B265" s="22" t="s">
        <v>116</v>
      </c>
      <c r="C265" s="23"/>
      <c r="D265" s="18" t="s">
        <v>129</v>
      </c>
      <c r="E265" s="197">
        <v>7300</v>
      </c>
      <c r="F265" s="41">
        <f t="shared" si="27"/>
        <v>0</v>
      </c>
      <c r="G265" s="24">
        <f>+C265*10.76/100</f>
        <v>0</v>
      </c>
      <c r="I265" s="5"/>
      <c r="J265" s="4"/>
    </row>
    <row r="266" spans="1:10" x14ac:dyDescent="0.3">
      <c r="A266" s="21" t="s">
        <v>503</v>
      </c>
      <c r="B266" s="22" t="s">
        <v>124</v>
      </c>
      <c r="C266" s="23"/>
      <c r="D266" s="18" t="s">
        <v>129</v>
      </c>
      <c r="E266" s="197">
        <v>7600</v>
      </c>
      <c r="F266" s="41">
        <f t="shared" si="27"/>
        <v>0</v>
      </c>
      <c r="I266" s="5"/>
      <c r="J266" s="4"/>
    </row>
    <row r="267" spans="1:10" x14ac:dyDescent="0.3">
      <c r="A267" s="21"/>
      <c r="B267" s="22"/>
      <c r="C267" s="23"/>
      <c r="D267" s="18"/>
      <c r="E267" s="197"/>
      <c r="F267" s="41"/>
      <c r="I267" s="8"/>
      <c r="J267" s="44"/>
    </row>
    <row r="268" spans="1:10" x14ac:dyDescent="0.25">
      <c r="A268" s="21"/>
      <c r="B268" s="22"/>
      <c r="C268" s="23"/>
      <c r="D268" s="18"/>
      <c r="E268" s="197"/>
      <c r="F268" s="41"/>
    </row>
    <row r="269" spans="1:10" s="35" customFormat="1" ht="28.05" customHeight="1" x14ac:dyDescent="0.25">
      <c r="A269" s="29"/>
      <c r="B269" s="32" t="s">
        <v>219</v>
      </c>
      <c r="C269" s="33"/>
      <c r="D269" s="34"/>
      <c r="E269" s="201"/>
      <c r="F269" s="42"/>
    </row>
    <row r="270" spans="1:10" ht="112.05" customHeight="1" x14ac:dyDescent="0.25">
      <c r="A270" s="21" t="s">
        <v>504</v>
      </c>
      <c r="B270" s="22" t="s">
        <v>361</v>
      </c>
      <c r="C270" s="23"/>
      <c r="D270" s="18" t="s">
        <v>141</v>
      </c>
      <c r="E270" s="197">
        <v>263</v>
      </c>
      <c r="F270" s="41">
        <f>+C270*E270</f>
        <v>0</v>
      </c>
    </row>
    <row r="271" spans="1:10" x14ac:dyDescent="0.25">
      <c r="A271" s="21"/>
      <c r="B271" s="22"/>
      <c r="C271" s="23"/>
      <c r="D271" s="18"/>
      <c r="E271" s="197"/>
      <c r="F271" s="41"/>
    </row>
    <row r="272" spans="1:10" x14ac:dyDescent="0.25">
      <c r="A272" s="21"/>
      <c r="B272" s="22"/>
      <c r="C272" s="23"/>
      <c r="D272" s="18"/>
      <c r="E272" s="197"/>
      <c r="F272" s="41"/>
    </row>
    <row r="273" spans="1:10" x14ac:dyDescent="0.25">
      <c r="A273" s="21"/>
      <c r="B273" s="22"/>
      <c r="C273" s="23"/>
      <c r="D273" s="18"/>
      <c r="E273" s="197"/>
      <c r="F273" s="41"/>
    </row>
    <row r="274" spans="1:10" x14ac:dyDescent="0.25">
      <c r="A274" s="21"/>
      <c r="B274" s="22"/>
      <c r="C274" s="23"/>
      <c r="D274" s="18"/>
      <c r="E274" s="197"/>
      <c r="F274" s="41"/>
    </row>
    <row r="275" spans="1:10" s="12" customFormat="1" x14ac:dyDescent="0.25">
      <c r="A275" s="102"/>
      <c r="B275" s="103" t="s">
        <v>46</v>
      </c>
      <c r="C275" s="104"/>
      <c r="D275" s="105"/>
      <c r="E275" s="199"/>
      <c r="F275" s="106">
        <f>SUM(F262:F272)</f>
        <v>0</v>
      </c>
    </row>
    <row r="276" spans="1:10" s="12" customFormat="1" ht="28.05" customHeight="1" x14ac:dyDescent="0.25">
      <c r="A276" s="15"/>
      <c r="B276" s="32" t="s">
        <v>220</v>
      </c>
      <c r="C276" s="33"/>
      <c r="D276" s="18"/>
      <c r="E276" s="197"/>
      <c r="F276" s="41"/>
    </row>
    <row r="277" spans="1:10" ht="38.1" customHeight="1" x14ac:dyDescent="0.25">
      <c r="A277" s="21" t="s">
        <v>221</v>
      </c>
      <c r="B277" s="22" t="s">
        <v>363</v>
      </c>
      <c r="C277" s="23"/>
      <c r="D277" s="18" t="s">
        <v>129</v>
      </c>
      <c r="E277" s="197">
        <v>6440</v>
      </c>
      <c r="F277" s="41">
        <f>+C277*E277</f>
        <v>0</v>
      </c>
      <c r="H277" s="24">
        <f>40.8*10.76/100</f>
        <v>4.3900800000000002</v>
      </c>
    </row>
    <row r="278" spans="1:10" ht="35.25" customHeight="1" x14ac:dyDescent="0.25">
      <c r="A278" s="21" t="s">
        <v>222</v>
      </c>
      <c r="B278" s="22" t="s">
        <v>364</v>
      </c>
      <c r="C278" s="23"/>
      <c r="D278" s="18"/>
      <c r="E278" s="197"/>
      <c r="F278" s="41"/>
      <c r="J278" s="24">
        <v>267</v>
      </c>
    </row>
    <row r="279" spans="1:10" x14ac:dyDescent="0.25">
      <c r="A279" s="21" t="s">
        <v>505</v>
      </c>
      <c r="B279" s="22" t="s">
        <v>61</v>
      </c>
      <c r="C279" s="23"/>
      <c r="D279" s="18" t="s">
        <v>129</v>
      </c>
      <c r="E279" s="197">
        <v>6235</v>
      </c>
      <c r="F279" s="41">
        <f>+C279*E279</f>
        <v>0</v>
      </c>
      <c r="H279" s="24">
        <f>+C279*10.76/100</f>
        <v>0</v>
      </c>
    </row>
    <row r="280" spans="1:10" x14ac:dyDescent="0.25">
      <c r="A280" s="21" t="s">
        <v>506</v>
      </c>
      <c r="B280" s="22" t="s">
        <v>62</v>
      </c>
      <c r="C280" s="23"/>
      <c r="D280" s="18" t="s">
        <v>129</v>
      </c>
      <c r="E280" s="197">
        <f>+E279*1.05</f>
        <v>6546.75</v>
      </c>
      <c r="F280" s="41">
        <f t="shared" ref="F280:F285" si="28">+C280*E280</f>
        <v>0</v>
      </c>
      <c r="H280" s="24">
        <f t="shared" ref="H280:H283" si="29">+C280*10.76/100</f>
        <v>0</v>
      </c>
    </row>
    <row r="281" spans="1:10" x14ac:dyDescent="0.25">
      <c r="A281" s="21" t="s">
        <v>507</v>
      </c>
      <c r="B281" s="22" t="s">
        <v>63</v>
      </c>
      <c r="C281" s="23"/>
      <c r="D281" s="18" t="s">
        <v>129</v>
      </c>
      <c r="E281" s="197">
        <f>+E279*1.1</f>
        <v>6858.5000000000009</v>
      </c>
      <c r="F281" s="41">
        <f t="shared" si="28"/>
        <v>0</v>
      </c>
      <c r="H281" s="24">
        <f t="shared" si="29"/>
        <v>0</v>
      </c>
    </row>
    <row r="282" spans="1:10" x14ac:dyDescent="0.25">
      <c r="A282" s="21" t="s">
        <v>508</v>
      </c>
      <c r="B282" s="22" t="s">
        <v>116</v>
      </c>
      <c r="C282" s="23"/>
      <c r="D282" s="18" t="s">
        <v>129</v>
      </c>
      <c r="E282" s="197">
        <f>+E279*1.15</f>
        <v>7170.2499999999991</v>
      </c>
      <c r="F282" s="41">
        <f t="shared" si="28"/>
        <v>0</v>
      </c>
      <c r="H282" s="24">
        <f t="shared" si="29"/>
        <v>0</v>
      </c>
    </row>
    <row r="283" spans="1:10" x14ac:dyDescent="0.25">
      <c r="A283" s="21" t="s">
        <v>509</v>
      </c>
      <c r="B283" s="22" t="s">
        <v>124</v>
      </c>
      <c r="C283" s="23"/>
      <c r="D283" s="18" t="s">
        <v>129</v>
      </c>
      <c r="E283" s="197">
        <f>+E279*1.2</f>
        <v>7482</v>
      </c>
      <c r="F283" s="41">
        <f t="shared" si="28"/>
        <v>0</v>
      </c>
      <c r="H283" s="24">
        <f t="shared" si="29"/>
        <v>0</v>
      </c>
    </row>
    <row r="284" spans="1:10" x14ac:dyDescent="0.3">
      <c r="A284" s="21"/>
      <c r="B284" s="8"/>
      <c r="C284" s="44"/>
      <c r="D284" s="18"/>
      <c r="E284" s="197"/>
      <c r="F284" s="41"/>
    </row>
    <row r="285" spans="1:10" ht="41.4" x14ac:dyDescent="0.25">
      <c r="A285" s="21" t="s">
        <v>223</v>
      </c>
      <c r="B285" s="22" t="s">
        <v>365</v>
      </c>
      <c r="C285" s="23"/>
      <c r="D285" s="18" t="s">
        <v>167</v>
      </c>
      <c r="E285" s="197">
        <v>196</v>
      </c>
      <c r="F285" s="41">
        <f t="shared" si="28"/>
        <v>0</v>
      </c>
      <c r="J285" s="24">
        <v>162</v>
      </c>
    </row>
    <row r="286" spans="1:10" ht="34.5" customHeight="1" x14ac:dyDescent="0.25">
      <c r="A286" s="21" t="s">
        <v>224</v>
      </c>
      <c r="B286" s="22" t="s">
        <v>366</v>
      </c>
      <c r="C286" s="23"/>
      <c r="D286" s="18"/>
      <c r="E286" s="197"/>
      <c r="F286" s="41"/>
      <c r="J286" s="24">
        <f>+J278*2-J285</f>
        <v>372</v>
      </c>
    </row>
    <row r="287" spans="1:10" x14ac:dyDescent="0.25">
      <c r="A287" s="21" t="s">
        <v>510</v>
      </c>
      <c r="B287" s="22" t="s">
        <v>61</v>
      </c>
      <c r="C287" s="23"/>
      <c r="D287" s="18" t="s">
        <v>129</v>
      </c>
      <c r="E287" s="197">
        <v>8315</v>
      </c>
      <c r="F287" s="41">
        <f>+C287*E287</f>
        <v>0</v>
      </c>
      <c r="H287" s="24">
        <f>+C287*10.76/100</f>
        <v>0</v>
      </c>
    </row>
    <row r="288" spans="1:10" x14ac:dyDescent="0.25">
      <c r="A288" s="21" t="s">
        <v>512</v>
      </c>
      <c r="B288" s="22" t="s">
        <v>62</v>
      </c>
      <c r="C288" s="23"/>
      <c r="D288" s="18" t="s">
        <v>129</v>
      </c>
      <c r="E288" s="197">
        <f>+E287*1.05</f>
        <v>8730.75</v>
      </c>
      <c r="F288" s="41">
        <f t="shared" ref="F288:F293" si="30">+C288*E288</f>
        <v>0</v>
      </c>
      <c r="H288" s="24">
        <f t="shared" ref="H288:H291" si="31">+C288*10.76/100</f>
        <v>0</v>
      </c>
    </row>
    <row r="289" spans="1:8" x14ac:dyDescent="0.25">
      <c r="A289" s="21" t="s">
        <v>513</v>
      </c>
      <c r="B289" s="22" t="s">
        <v>63</v>
      </c>
      <c r="C289" s="23"/>
      <c r="D289" s="18" t="s">
        <v>129</v>
      </c>
      <c r="E289" s="197">
        <f>+E287*1.1</f>
        <v>9146.5</v>
      </c>
      <c r="F289" s="41">
        <f t="shared" si="30"/>
        <v>0</v>
      </c>
      <c r="H289" s="24">
        <f t="shared" si="31"/>
        <v>0</v>
      </c>
    </row>
    <row r="290" spans="1:8" x14ac:dyDescent="0.25">
      <c r="A290" s="21" t="s">
        <v>511</v>
      </c>
      <c r="B290" s="22" t="s">
        <v>116</v>
      </c>
      <c r="C290" s="23"/>
      <c r="D290" s="18" t="s">
        <v>129</v>
      </c>
      <c r="E290" s="197">
        <f>+E287*1.15</f>
        <v>9562.25</v>
      </c>
      <c r="F290" s="41">
        <f t="shared" si="30"/>
        <v>0</v>
      </c>
      <c r="H290" s="24">
        <f t="shared" si="31"/>
        <v>0</v>
      </c>
    </row>
    <row r="291" spans="1:8" x14ac:dyDescent="0.25">
      <c r="A291" s="21" t="s">
        <v>514</v>
      </c>
      <c r="B291" s="22" t="s">
        <v>124</v>
      </c>
      <c r="C291" s="23"/>
      <c r="D291" s="18" t="s">
        <v>129</v>
      </c>
      <c r="E291" s="197">
        <f>+E287*1.2</f>
        <v>9978</v>
      </c>
      <c r="F291" s="41">
        <f t="shared" si="30"/>
        <v>0</v>
      </c>
      <c r="H291" s="24">
        <f t="shared" si="31"/>
        <v>0</v>
      </c>
    </row>
    <row r="292" spans="1:8" x14ac:dyDescent="0.25">
      <c r="A292" s="21"/>
      <c r="B292" s="22"/>
      <c r="C292" s="23"/>
      <c r="D292" s="18"/>
      <c r="E292" s="197"/>
      <c r="F292" s="41"/>
    </row>
    <row r="293" spans="1:8" ht="27.6" x14ac:dyDescent="0.25">
      <c r="A293" s="21" t="s">
        <v>225</v>
      </c>
      <c r="B293" s="22" t="s">
        <v>367</v>
      </c>
      <c r="C293" s="23"/>
      <c r="D293" s="18" t="s">
        <v>167</v>
      </c>
      <c r="E293" s="197">
        <v>162</v>
      </c>
      <c r="F293" s="41">
        <f t="shared" si="30"/>
        <v>0</v>
      </c>
    </row>
    <row r="294" spans="1:8" x14ac:dyDescent="0.25">
      <c r="A294" s="21"/>
      <c r="B294" s="22"/>
      <c r="C294" s="23"/>
      <c r="D294" s="18"/>
      <c r="E294" s="197"/>
      <c r="F294" s="41"/>
    </row>
    <row r="295" spans="1:8" ht="55.05" customHeight="1" x14ac:dyDescent="0.25">
      <c r="A295" s="21" t="s">
        <v>226</v>
      </c>
      <c r="B295" s="22" t="s">
        <v>227</v>
      </c>
      <c r="C295" s="23"/>
      <c r="D295" s="18"/>
      <c r="E295" s="197"/>
      <c r="F295" s="41"/>
    </row>
    <row r="296" spans="1:8" x14ac:dyDescent="0.25">
      <c r="A296" s="21" t="s">
        <v>515</v>
      </c>
      <c r="B296" s="22" t="s">
        <v>61</v>
      </c>
      <c r="C296" s="23"/>
      <c r="D296" s="18" t="s">
        <v>129</v>
      </c>
      <c r="E296" s="197">
        <v>9505</v>
      </c>
      <c r="F296" s="41">
        <f>+C296*E296</f>
        <v>0</v>
      </c>
      <c r="H296" s="24">
        <f>+C296*10.76/100</f>
        <v>0</v>
      </c>
    </row>
    <row r="297" spans="1:8" x14ac:dyDescent="0.25">
      <c r="A297" s="21" t="s">
        <v>516</v>
      </c>
      <c r="B297" s="22" t="s">
        <v>62</v>
      </c>
      <c r="C297" s="23"/>
      <c r="D297" s="18" t="s">
        <v>129</v>
      </c>
      <c r="E297" s="197">
        <f>+E296*1.05</f>
        <v>9980.25</v>
      </c>
      <c r="F297" s="41">
        <f t="shared" ref="F297:F299" si="32">+C297*E297</f>
        <v>0</v>
      </c>
      <c r="H297" s="24">
        <f t="shared" ref="H297:H299" si="33">+C297*10.76/100</f>
        <v>0</v>
      </c>
    </row>
    <row r="298" spans="1:8" x14ac:dyDescent="0.25">
      <c r="A298" s="21" t="s">
        <v>517</v>
      </c>
      <c r="B298" s="22" t="s">
        <v>63</v>
      </c>
      <c r="C298" s="23"/>
      <c r="D298" s="18" t="s">
        <v>129</v>
      </c>
      <c r="E298" s="197">
        <f>+E296*1.1</f>
        <v>10455.5</v>
      </c>
      <c r="F298" s="41">
        <f t="shared" si="32"/>
        <v>0</v>
      </c>
      <c r="H298" s="24">
        <f t="shared" si="33"/>
        <v>0</v>
      </c>
    </row>
    <row r="299" spans="1:8" x14ac:dyDescent="0.25">
      <c r="A299" s="21" t="s">
        <v>518</v>
      </c>
      <c r="B299" s="22" t="s">
        <v>116</v>
      </c>
      <c r="C299" s="23"/>
      <c r="D299" s="18" t="s">
        <v>129</v>
      </c>
      <c r="E299" s="197">
        <f>+E296*1.15</f>
        <v>10930.75</v>
      </c>
      <c r="F299" s="41">
        <f t="shared" si="32"/>
        <v>0</v>
      </c>
      <c r="H299" s="24">
        <f t="shared" si="33"/>
        <v>0</v>
      </c>
    </row>
    <row r="300" spans="1:8" x14ac:dyDescent="0.25">
      <c r="A300" s="21"/>
      <c r="B300" s="22"/>
      <c r="C300" s="23"/>
      <c r="D300" s="18"/>
      <c r="E300" s="197"/>
      <c r="F300" s="41"/>
    </row>
    <row r="301" spans="1:8" x14ac:dyDescent="0.25">
      <c r="A301" s="21"/>
      <c r="B301" s="22"/>
      <c r="C301" s="23"/>
      <c r="D301" s="18"/>
      <c r="E301" s="197"/>
      <c r="F301" s="41"/>
    </row>
    <row r="302" spans="1:8" x14ac:dyDescent="0.25">
      <c r="A302" s="21"/>
      <c r="B302" s="22"/>
      <c r="C302" s="23"/>
      <c r="D302" s="18"/>
      <c r="E302" s="197"/>
      <c r="F302" s="41"/>
    </row>
    <row r="303" spans="1:8" x14ac:dyDescent="0.25">
      <c r="A303" s="21"/>
      <c r="B303" s="22"/>
      <c r="C303" s="23"/>
      <c r="D303" s="18"/>
      <c r="E303" s="197"/>
      <c r="F303" s="41"/>
    </row>
    <row r="304" spans="1:8" s="12" customFormat="1" x14ac:dyDescent="0.25">
      <c r="A304" s="102"/>
      <c r="B304" s="103" t="s">
        <v>46</v>
      </c>
      <c r="C304" s="104"/>
      <c r="D304" s="105"/>
      <c r="E304" s="199"/>
      <c r="F304" s="106">
        <f>SUM(F277:F302)</f>
        <v>0</v>
      </c>
    </row>
    <row r="305" spans="1:8" s="12" customFormat="1" ht="28.05" customHeight="1" x14ac:dyDescent="0.25">
      <c r="A305" s="15"/>
      <c r="B305" s="32" t="s">
        <v>228</v>
      </c>
      <c r="C305" s="33"/>
      <c r="D305" s="18"/>
      <c r="E305" s="197"/>
      <c r="F305" s="41"/>
    </row>
    <row r="306" spans="1:8" s="12" customFormat="1" ht="20.100000000000001" customHeight="1" x14ac:dyDescent="0.25">
      <c r="A306" s="15"/>
      <c r="B306" s="19" t="s">
        <v>175</v>
      </c>
      <c r="C306" s="20"/>
      <c r="D306" s="18"/>
      <c r="E306" s="197"/>
      <c r="F306" s="41"/>
    </row>
    <row r="307" spans="1:8" s="12" customFormat="1" ht="38.1" customHeight="1" x14ac:dyDescent="0.25">
      <c r="A307" s="15"/>
      <c r="B307" s="25" t="s">
        <v>229</v>
      </c>
      <c r="C307" s="26"/>
      <c r="D307" s="18"/>
      <c r="E307" s="197"/>
      <c r="F307" s="41"/>
    </row>
    <row r="308" spans="1:8" s="12" customFormat="1" ht="36.75" customHeight="1" x14ac:dyDescent="0.25">
      <c r="A308" s="15"/>
      <c r="B308" s="25" t="s">
        <v>230</v>
      </c>
      <c r="C308" s="26"/>
      <c r="D308" s="18"/>
      <c r="E308" s="197"/>
      <c r="F308" s="41"/>
    </row>
    <row r="309" spans="1:8" s="12" customFormat="1" ht="25.05" customHeight="1" x14ac:dyDescent="0.25">
      <c r="A309" s="15"/>
      <c r="B309" s="19" t="s">
        <v>231</v>
      </c>
      <c r="C309" s="20"/>
      <c r="D309" s="18"/>
      <c r="E309" s="197"/>
      <c r="F309" s="41"/>
    </row>
    <row r="310" spans="1:8" ht="81.75" customHeight="1" x14ac:dyDescent="0.25">
      <c r="A310" s="21" t="s">
        <v>519</v>
      </c>
      <c r="B310" s="22" t="s">
        <v>368</v>
      </c>
      <c r="C310" s="23"/>
      <c r="D310" s="18"/>
      <c r="E310" s="197"/>
      <c r="F310" s="41"/>
    </row>
    <row r="311" spans="1:8" x14ac:dyDescent="0.25">
      <c r="A311" s="21" t="s">
        <v>520</v>
      </c>
      <c r="B311" s="22" t="s">
        <v>62</v>
      </c>
      <c r="C311" s="23"/>
      <c r="D311" s="18" t="s">
        <v>129</v>
      </c>
      <c r="E311" s="197">
        <v>38440</v>
      </c>
      <c r="F311" s="41">
        <f>+C311*E311</f>
        <v>0</v>
      </c>
      <c r="H311" s="24">
        <f>+C311*10.76/100</f>
        <v>0</v>
      </c>
    </row>
    <row r="312" spans="1:8" x14ac:dyDescent="0.25">
      <c r="A312" s="21" t="s">
        <v>521</v>
      </c>
      <c r="B312" s="22" t="s">
        <v>63</v>
      </c>
      <c r="C312" s="23"/>
      <c r="D312" s="18" t="s">
        <v>129</v>
      </c>
      <c r="E312" s="197">
        <f>+E311*1.02</f>
        <v>39208.800000000003</v>
      </c>
      <c r="F312" s="41">
        <f t="shared" ref="F312:F314" si="34">+C312*E312</f>
        <v>0</v>
      </c>
      <c r="H312" s="24">
        <f t="shared" ref="H312" si="35">+C312*10.76/100</f>
        <v>0</v>
      </c>
    </row>
    <row r="313" spans="1:8" x14ac:dyDescent="0.25">
      <c r="A313" s="21"/>
      <c r="B313" s="22"/>
      <c r="C313" s="23"/>
      <c r="D313" s="18"/>
      <c r="E313" s="197"/>
      <c r="F313" s="41"/>
    </row>
    <row r="314" spans="1:8" x14ac:dyDescent="0.25">
      <c r="A314" s="21" t="s">
        <v>232</v>
      </c>
      <c r="B314" s="22" t="s">
        <v>234</v>
      </c>
      <c r="C314" s="23"/>
      <c r="D314" s="18" t="s">
        <v>129</v>
      </c>
      <c r="E314" s="197">
        <v>5985</v>
      </c>
      <c r="F314" s="41">
        <f t="shared" si="34"/>
        <v>0</v>
      </c>
    </row>
    <row r="315" spans="1:8" s="12" customFormat="1" ht="28.05" customHeight="1" x14ac:dyDescent="0.25">
      <c r="A315" s="15"/>
      <c r="B315" s="19" t="s">
        <v>235</v>
      </c>
      <c r="C315" s="20"/>
      <c r="D315" s="18"/>
      <c r="E315" s="197"/>
      <c r="F315" s="41"/>
    </row>
    <row r="316" spans="1:8" s="12" customFormat="1" ht="20.100000000000001" customHeight="1" x14ac:dyDescent="0.25">
      <c r="A316" s="15"/>
      <c r="B316" s="19" t="s">
        <v>236</v>
      </c>
      <c r="C316" s="20"/>
      <c r="D316" s="18"/>
      <c r="E316" s="197"/>
      <c r="F316" s="41"/>
    </row>
    <row r="317" spans="1:8" s="12" customFormat="1" ht="88.05" customHeight="1" x14ac:dyDescent="0.25">
      <c r="A317" s="15"/>
      <c r="B317" s="25" t="s">
        <v>237</v>
      </c>
      <c r="C317" s="26"/>
      <c r="D317" s="18"/>
      <c r="E317" s="197"/>
      <c r="F317" s="41"/>
    </row>
    <row r="318" spans="1:8" ht="55.05" customHeight="1" x14ac:dyDescent="0.25">
      <c r="A318" s="21" t="s">
        <v>522</v>
      </c>
      <c r="B318" s="22" t="s">
        <v>369</v>
      </c>
      <c r="C318" s="23"/>
      <c r="D318" s="18" t="s">
        <v>129</v>
      </c>
      <c r="E318" s="197">
        <v>40360</v>
      </c>
      <c r="F318" s="41"/>
    </row>
    <row r="319" spans="1:8" x14ac:dyDescent="0.25">
      <c r="A319" s="21" t="s">
        <v>523</v>
      </c>
      <c r="B319" s="22" t="s">
        <v>61</v>
      </c>
      <c r="C319" s="23"/>
      <c r="D319" s="18" t="s">
        <v>129</v>
      </c>
      <c r="E319" s="197">
        <v>40360</v>
      </c>
      <c r="F319" s="41">
        <f>+C319*E319</f>
        <v>0</v>
      </c>
      <c r="H319" s="24">
        <f>+C319*10.76/100</f>
        <v>0</v>
      </c>
    </row>
    <row r="320" spans="1:8" x14ac:dyDescent="0.25">
      <c r="A320" s="21" t="s">
        <v>524</v>
      </c>
      <c r="B320" s="22" t="s">
        <v>62</v>
      </c>
      <c r="C320" s="23"/>
      <c r="D320" s="18" t="s">
        <v>129</v>
      </c>
      <c r="E320" s="197">
        <f>+E319*1.02</f>
        <v>41167.199999999997</v>
      </c>
      <c r="F320" s="41">
        <f t="shared" ref="F320:F325" si="36">+C320*E320</f>
        <v>0</v>
      </c>
      <c r="H320" s="24">
        <f t="shared" ref="H320:H321" si="37">+C320*10.76/100</f>
        <v>0</v>
      </c>
    </row>
    <row r="321" spans="1:18" x14ac:dyDescent="0.25">
      <c r="A321" s="21" t="s">
        <v>525</v>
      </c>
      <c r="B321" s="22" t="s">
        <v>63</v>
      </c>
      <c r="C321" s="23"/>
      <c r="D321" s="18" t="s">
        <v>129</v>
      </c>
      <c r="E321" s="197">
        <f>+E319*1.04</f>
        <v>41974.400000000001</v>
      </c>
      <c r="F321" s="41">
        <f t="shared" si="36"/>
        <v>0</v>
      </c>
      <c r="H321" s="24">
        <f t="shared" si="37"/>
        <v>0</v>
      </c>
    </row>
    <row r="322" spans="1:18" x14ac:dyDescent="0.25">
      <c r="A322" s="21"/>
      <c r="B322" s="22"/>
      <c r="C322" s="23"/>
      <c r="D322" s="18"/>
      <c r="E322" s="197"/>
      <c r="F322" s="41"/>
    </row>
    <row r="323" spans="1:18" ht="60" customHeight="1" x14ac:dyDescent="0.25">
      <c r="A323" s="21" t="s">
        <v>233</v>
      </c>
      <c r="B323" s="22" t="s">
        <v>370</v>
      </c>
      <c r="C323" s="23"/>
      <c r="D323" s="18" t="s">
        <v>129</v>
      </c>
      <c r="E323" s="197">
        <v>51440</v>
      </c>
      <c r="F323" s="41">
        <f t="shared" si="36"/>
        <v>0</v>
      </c>
    </row>
    <row r="324" spans="1:18" ht="35.25" customHeight="1" x14ac:dyDescent="0.25">
      <c r="A324" s="21" t="s">
        <v>238</v>
      </c>
      <c r="B324" s="22" t="s">
        <v>372</v>
      </c>
      <c r="C324" s="23"/>
      <c r="D324" s="18" t="s">
        <v>373</v>
      </c>
      <c r="E324" s="197">
        <v>140</v>
      </c>
      <c r="F324" s="41">
        <f t="shared" si="36"/>
        <v>0</v>
      </c>
    </row>
    <row r="325" spans="1:18" ht="35.25" customHeight="1" x14ac:dyDescent="0.25">
      <c r="A325" s="21" t="s">
        <v>526</v>
      </c>
      <c r="B325" s="22" t="s">
        <v>371</v>
      </c>
      <c r="C325" s="23"/>
      <c r="D325" s="18" t="s">
        <v>373</v>
      </c>
      <c r="E325" s="197">
        <v>177</v>
      </c>
      <c r="F325" s="41">
        <f t="shared" si="36"/>
        <v>0</v>
      </c>
    </row>
    <row r="326" spans="1:18" x14ac:dyDescent="0.25">
      <c r="A326" s="21"/>
      <c r="B326" s="22"/>
      <c r="C326" s="23"/>
      <c r="D326" s="18"/>
      <c r="E326" s="197"/>
      <c r="F326" s="41"/>
    </row>
    <row r="327" spans="1:18" x14ac:dyDescent="0.25">
      <c r="A327" s="21"/>
      <c r="B327" s="22"/>
      <c r="C327" s="23"/>
      <c r="D327" s="18"/>
      <c r="E327" s="197"/>
      <c r="F327" s="41"/>
    </row>
    <row r="328" spans="1:18" x14ac:dyDescent="0.25">
      <c r="A328" s="21"/>
      <c r="B328" s="22"/>
      <c r="C328" s="23"/>
      <c r="D328" s="18"/>
      <c r="E328" s="197"/>
      <c r="F328" s="41"/>
    </row>
    <row r="329" spans="1:18" s="12" customFormat="1" x14ac:dyDescent="0.25">
      <c r="A329" s="102"/>
      <c r="B329" s="103" t="s">
        <v>46</v>
      </c>
      <c r="C329" s="104"/>
      <c r="D329" s="105"/>
      <c r="E329" s="199"/>
      <c r="F329" s="106">
        <f>SUM(F310:F327)</f>
        <v>0</v>
      </c>
    </row>
    <row r="330" spans="1:18" s="31" customFormat="1" ht="45" customHeight="1" x14ac:dyDescent="0.25">
      <c r="A330" s="30"/>
      <c r="B330" s="32" t="s">
        <v>239</v>
      </c>
      <c r="C330" s="33"/>
      <c r="D330" s="18"/>
      <c r="E330" s="197"/>
      <c r="F330" s="41"/>
    </row>
    <row r="331" spans="1:18" ht="27.6" x14ac:dyDescent="0.25">
      <c r="A331" s="21" t="s">
        <v>527</v>
      </c>
      <c r="B331" s="22" t="s">
        <v>375</v>
      </c>
      <c r="C331" s="23"/>
      <c r="D331" s="18"/>
      <c r="E331" s="197"/>
      <c r="F331" s="41"/>
    </row>
    <row r="332" spans="1:18" x14ac:dyDescent="0.25">
      <c r="A332" s="21" t="s">
        <v>528</v>
      </c>
      <c r="B332" s="22" t="s">
        <v>61</v>
      </c>
      <c r="C332" s="23"/>
      <c r="D332" s="18" t="s">
        <v>129</v>
      </c>
      <c r="E332" s="197">
        <v>2550</v>
      </c>
      <c r="F332" s="41">
        <f t="shared" ref="F332:F336" si="38">+C332*E332</f>
        <v>0</v>
      </c>
      <c r="H332" s="24">
        <v>827.03</v>
      </c>
      <c r="I332" s="24">
        <v>161.03</v>
      </c>
      <c r="J332" s="24">
        <v>273.77999999999997</v>
      </c>
      <c r="K332" s="24">
        <f>+H332*10.76/100</f>
        <v>88.988427999999999</v>
      </c>
      <c r="L332" s="24">
        <f>+I332*10.76/100</f>
        <v>17.326827999999999</v>
      </c>
      <c r="M332" s="24">
        <f>+J332*10.76/100</f>
        <v>29.458727999999997</v>
      </c>
      <c r="N332" s="24">
        <f>+K332-M332</f>
        <v>59.529700000000005</v>
      </c>
      <c r="P332" s="24">
        <f>+L332+N332</f>
        <v>76.856527999999997</v>
      </c>
      <c r="R332" s="24">
        <f>SUM(K332:L332)</f>
        <v>106.31525600000001</v>
      </c>
    </row>
    <row r="333" spans="1:18" x14ac:dyDescent="0.25">
      <c r="A333" s="21" t="s">
        <v>529</v>
      </c>
      <c r="B333" s="22" t="s">
        <v>62</v>
      </c>
      <c r="C333" s="23"/>
      <c r="D333" s="18" t="s">
        <v>129</v>
      </c>
      <c r="E333" s="197">
        <f>+E332*1.03</f>
        <v>2626.5</v>
      </c>
      <c r="F333" s="41">
        <f t="shared" si="38"/>
        <v>0</v>
      </c>
      <c r="H333" s="24">
        <v>820.51</v>
      </c>
      <c r="I333" s="24">
        <v>204.65</v>
      </c>
      <c r="J333" s="24">
        <v>273.78000000000003</v>
      </c>
      <c r="K333" s="24">
        <f t="shared" ref="K333:M336" si="39">+H333*10.76/100</f>
        <v>88.286875999999992</v>
      </c>
      <c r="L333" s="24">
        <f t="shared" si="39"/>
        <v>22.020340000000001</v>
      </c>
      <c r="M333" s="24">
        <f t="shared" si="39"/>
        <v>29.458728000000001</v>
      </c>
      <c r="N333" s="24">
        <f t="shared" ref="N333:N336" si="40">+K333-M333</f>
        <v>58.828147999999992</v>
      </c>
      <c r="P333" s="24">
        <f t="shared" ref="P333:P336" si="41">+L333+N333</f>
        <v>80.848487999999989</v>
      </c>
      <c r="R333" s="24">
        <f>SUM(K333:L333)</f>
        <v>110.307216</v>
      </c>
    </row>
    <row r="334" spans="1:18" x14ac:dyDescent="0.25">
      <c r="A334" s="21" t="s">
        <v>530</v>
      </c>
      <c r="B334" s="22" t="s">
        <v>63</v>
      </c>
      <c r="C334" s="23"/>
      <c r="D334" s="18" t="s">
        <v>129</v>
      </c>
      <c r="E334" s="197">
        <f>+E332*1.06</f>
        <v>2703</v>
      </c>
      <c r="F334" s="41">
        <f t="shared" si="38"/>
        <v>0</v>
      </c>
      <c r="H334" s="24">
        <v>416.72</v>
      </c>
      <c r="I334" s="24">
        <v>241</v>
      </c>
      <c r="J334" s="24">
        <v>29.08</v>
      </c>
      <c r="K334" s="24">
        <f t="shared" si="39"/>
        <v>44.839072000000009</v>
      </c>
      <c r="L334" s="24">
        <f t="shared" si="39"/>
        <v>25.9316</v>
      </c>
      <c r="M334" s="24">
        <f t="shared" si="39"/>
        <v>3.1290080000000002</v>
      </c>
      <c r="N334" s="24">
        <f t="shared" si="40"/>
        <v>41.71006400000001</v>
      </c>
      <c r="P334" s="24">
        <f t="shared" si="41"/>
        <v>67.641664000000006</v>
      </c>
      <c r="R334" s="24">
        <f>SUM(K334:L334)</f>
        <v>70.770672000000005</v>
      </c>
    </row>
    <row r="335" spans="1:18" x14ac:dyDescent="0.25">
      <c r="A335" s="21" t="s">
        <v>531</v>
      </c>
      <c r="B335" s="22" t="s">
        <v>116</v>
      </c>
      <c r="C335" s="23"/>
      <c r="D335" s="18" t="s">
        <v>129</v>
      </c>
      <c r="E335" s="197">
        <f>+E332*1.09</f>
        <v>2779.5</v>
      </c>
      <c r="F335" s="41">
        <f t="shared" si="38"/>
        <v>0</v>
      </c>
      <c r="H335" s="24">
        <v>218.05</v>
      </c>
      <c r="I335" s="24">
        <v>134.41</v>
      </c>
      <c r="J335" s="24">
        <v>29.08</v>
      </c>
      <c r="K335" s="24">
        <f t="shared" si="39"/>
        <v>23.462180000000004</v>
      </c>
      <c r="L335" s="24">
        <f t="shared" si="39"/>
        <v>14.462515999999999</v>
      </c>
      <c r="M335" s="24">
        <f t="shared" si="39"/>
        <v>3.1290080000000002</v>
      </c>
      <c r="N335" s="24">
        <f t="shared" si="40"/>
        <v>20.333172000000005</v>
      </c>
      <c r="P335" s="24">
        <f t="shared" si="41"/>
        <v>34.795688000000006</v>
      </c>
      <c r="R335" s="24">
        <f>SUM(K335:L335)</f>
        <v>37.924696000000004</v>
      </c>
    </row>
    <row r="336" spans="1:18" x14ac:dyDescent="0.25">
      <c r="A336" s="21" t="s">
        <v>532</v>
      </c>
      <c r="B336" s="22" t="s">
        <v>124</v>
      </c>
      <c r="C336" s="23"/>
      <c r="D336" s="18" t="s">
        <v>129</v>
      </c>
      <c r="E336" s="197">
        <f>+E332*1.12</f>
        <v>2856.0000000000005</v>
      </c>
      <c r="F336" s="41">
        <f t="shared" si="38"/>
        <v>0</v>
      </c>
      <c r="H336" s="24">
        <v>14.09</v>
      </c>
      <c r="I336" s="24">
        <v>14.09</v>
      </c>
      <c r="K336" s="24">
        <f t="shared" si="39"/>
        <v>1.516084</v>
      </c>
      <c r="L336" s="24">
        <f t="shared" si="39"/>
        <v>1.516084</v>
      </c>
      <c r="M336" s="24">
        <f t="shared" si="39"/>
        <v>0</v>
      </c>
      <c r="N336" s="24">
        <f t="shared" si="40"/>
        <v>1.516084</v>
      </c>
      <c r="P336" s="24">
        <f t="shared" si="41"/>
        <v>3.032168</v>
      </c>
      <c r="R336" s="24">
        <f>SUM(K336:L336)</f>
        <v>3.032168</v>
      </c>
    </row>
    <row r="337" spans="1:6" x14ac:dyDescent="0.25">
      <c r="A337" s="21"/>
      <c r="B337" s="22"/>
      <c r="C337" s="23"/>
      <c r="D337" s="18"/>
      <c r="E337" s="197"/>
      <c r="F337" s="41"/>
    </row>
    <row r="338" spans="1:6" ht="38.1" customHeight="1" x14ac:dyDescent="0.25">
      <c r="A338" s="21" t="s">
        <v>533</v>
      </c>
      <c r="B338" s="22" t="s">
        <v>374</v>
      </c>
      <c r="C338" s="23"/>
      <c r="D338" s="18"/>
      <c r="E338" s="197"/>
      <c r="F338" s="41"/>
    </row>
    <row r="339" spans="1:6" x14ac:dyDescent="0.25">
      <c r="A339" s="21" t="s">
        <v>534</v>
      </c>
      <c r="B339" s="22" t="s">
        <v>61</v>
      </c>
      <c r="C339" s="23"/>
      <c r="D339" s="18" t="s">
        <v>129</v>
      </c>
      <c r="E339" s="197">
        <v>2375</v>
      </c>
      <c r="F339" s="41">
        <f t="shared" ref="F339:F343" si="42">+C339*E339</f>
        <v>0</v>
      </c>
    </row>
    <row r="340" spans="1:6" x14ac:dyDescent="0.25">
      <c r="A340" s="21" t="s">
        <v>537</v>
      </c>
      <c r="B340" s="22" t="s">
        <v>62</v>
      </c>
      <c r="C340" s="23"/>
      <c r="D340" s="18" t="s">
        <v>129</v>
      </c>
      <c r="E340" s="197">
        <f>+E339*1.03</f>
        <v>2446.25</v>
      </c>
      <c r="F340" s="41">
        <f t="shared" si="42"/>
        <v>0</v>
      </c>
    </row>
    <row r="341" spans="1:6" x14ac:dyDescent="0.25">
      <c r="A341" s="21" t="s">
        <v>538</v>
      </c>
      <c r="B341" s="22" t="s">
        <v>63</v>
      </c>
      <c r="C341" s="23"/>
      <c r="D341" s="18" t="s">
        <v>129</v>
      </c>
      <c r="E341" s="197">
        <f>+E339*1.06</f>
        <v>2517.5</v>
      </c>
      <c r="F341" s="41">
        <f t="shared" si="42"/>
        <v>0</v>
      </c>
    </row>
    <row r="342" spans="1:6" x14ac:dyDescent="0.25">
      <c r="A342" s="21" t="s">
        <v>536</v>
      </c>
      <c r="B342" s="22" t="s">
        <v>116</v>
      </c>
      <c r="C342" s="23"/>
      <c r="D342" s="18" t="s">
        <v>129</v>
      </c>
      <c r="E342" s="197">
        <f>+E339*1.09</f>
        <v>2588.75</v>
      </c>
      <c r="F342" s="41">
        <f t="shared" si="42"/>
        <v>0</v>
      </c>
    </row>
    <row r="343" spans="1:6" x14ac:dyDescent="0.25">
      <c r="A343" s="21" t="s">
        <v>535</v>
      </c>
      <c r="B343" s="22" t="s">
        <v>124</v>
      </c>
      <c r="C343" s="23"/>
      <c r="D343" s="18" t="s">
        <v>129</v>
      </c>
      <c r="E343" s="197">
        <f>+E339*1.12</f>
        <v>2660.0000000000005</v>
      </c>
      <c r="F343" s="41">
        <f t="shared" si="42"/>
        <v>0</v>
      </c>
    </row>
    <row r="344" spans="1:6" x14ac:dyDescent="0.25">
      <c r="A344" s="21"/>
      <c r="B344" s="22"/>
      <c r="C344" s="23"/>
      <c r="D344" s="18"/>
      <c r="E344" s="197"/>
      <c r="F344" s="41"/>
    </row>
    <row r="345" spans="1:6" ht="37.5" customHeight="1" x14ac:dyDescent="0.25">
      <c r="A345" s="21" t="s">
        <v>240</v>
      </c>
      <c r="B345" s="22" t="s">
        <v>376</v>
      </c>
      <c r="C345" s="23"/>
      <c r="D345" s="18"/>
      <c r="E345" s="197"/>
      <c r="F345" s="41"/>
    </row>
    <row r="346" spans="1:6" x14ac:dyDescent="0.25">
      <c r="A346" s="21" t="s">
        <v>540</v>
      </c>
      <c r="B346" s="22" t="s">
        <v>61</v>
      </c>
      <c r="C346" s="23"/>
      <c r="D346" s="18" t="s">
        <v>129</v>
      </c>
      <c r="E346" s="197">
        <v>2855</v>
      </c>
      <c r="F346" s="41">
        <f t="shared" ref="F346:F349" si="43">+C346*E346</f>
        <v>0</v>
      </c>
    </row>
    <row r="347" spans="1:6" x14ac:dyDescent="0.25">
      <c r="A347" s="21" t="s">
        <v>543</v>
      </c>
      <c r="B347" s="22" t="s">
        <v>62</v>
      </c>
      <c r="C347" s="23"/>
      <c r="D347" s="18" t="s">
        <v>129</v>
      </c>
      <c r="E347" s="197">
        <f>+E346*1.03</f>
        <v>2940.65</v>
      </c>
      <c r="F347" s="41">
        <f t="shared" si="43"/>
        <v>0</v>
      </c>
    </row>
    <row r="348" spans="1:6" x14ac:dyDescent="0.25">
      <c r="A348" s="21" t="s">
        <v>544</v>
      </c>
      <c r="B348" s="22" t="s">
        <v>63</v>
      </c>
      <c r="C348" s="23"/>
      <c r="D348" s="18" t="s">
        <v>129</v>
      </c>
      <c r="E348" s="197">
        <f>+E346*1.06</f>
        <v>3026.3</v>
      </c>
      <c r="F348" s="41">
        <f t="shared" si="43"/>
        <v>0</v>
      </c>
    </row>
    <row r="349" spans="1:6" x14ac:dyDescent="0.25">
      <c r="A349" s="21" t="s">
        <v>545</v>
      </c>
      <c r="B349" s="22" t="s">
        <v>116</v>
      </c>
      <c r="C349" s="23"/>
      <c r="D349" s="18" t="s">
        <v>129</v>
      </c>
      <c r="E349" s="197">
        <f>+E346*1.09</f>
        <v>3111.9500000000003</v>
      </c>
      <c r="F349" s="41">
        <f t="shared" si="43"/>
        <v>0</v>
      </c>
    </row>
    <row r="350" spans="1:6" x14ac:dyDescent="0.25">
      <c r="A350" s="21"/>
      <c r="B350" s="22"/>
      <c r="C350" s="23"/>
      <c r="D350" s="18"/>
      <c r="E350" s="197"/>
      <c r="F350" s="41"/>
    </row>
    <row r="351" spans="1:6" ht="41.4" x14ac:dyDescent="0.25">
      <c r="A351" s="21" t="s">
        <v>539</v>
      </c>
      <c r="B351" s="22" t="s">
        <v>377</v>
      </c>
      <c r="C351" s="23"/>
      <c r="D351" s="18"/>
      <c r="E351" s="197"/>
      <c r="F351" s="41"/>
    </row>
    <row r="352" spans="1:6" x14ac:dyDescent="0.25">
      <c r="A352" s="21" t="s">
        <v>541</v>
      </c>
      <c r="B352" s="22" t="s">
        <v>61</v>
      </c>
      <c r="C352" s="23"/>
      <c r="D352" s="18" t="s">
        <v>129</v>
      </c>
      <c r="E352" s="197">
        <v>3410</v>
      </c>
      <c r="F352" s="41">
        <f t="shared" ref="F352:F356" si="44">+C352*E352</f>
        <v>0</v>
      </c>
    </row>
    <row r="353" spans="1:10" x14ac:dyDescent="0.25">
      <c r="A353" s="21" t="s">
        <v>542</v>
      </c>
      <c r="B353" s="22" t="s">
        <v>62</v>
      </c>
      <c r="C353" s="23"/>
      <c r="D353" s="18" t="s">
        <v>129</v>
      </c>
      <c r="E353" s="197">
        <f>+E352*1.03</f>
        <v>3512.3</v>
      </c>
      <c r="F353" s="41">
        <f t="shared" si="44"/>
        <v>0</v>
      </c>
    </row>
    <row r="354" spans="1:10" x14ac:dyDescent="0.25">
      <c r="A354" s="21" t="s">
        <v>546</v>
      </c>
      <c r="B354" s="22" t="s">
        <v>63</v>
      </c>
      <c r="C354" s="23"/>
      <c r="D354" s="18" t="s">
        <v>129</v>
      </c>
      <c r="E354" s="197">
        <f>+E352*1.06</f>
        <v>3614.6000000000004</v>
      </c>
      <c r="F354" s="41">
        <f t="shared" si="44"/>
        <v>0</v>
      </c>
    </row>
    <row r="355" spans="1:10" x14ac:dyDescent="0.25">
      <c r="A355" s="21" t="s">
        <v>547</v>
      </c>
      <c r="B355" s="22" t="s">
        <v>116</v>
      </c>
      <c r="C355" s="23"/>
      <c r="D355" s="18" t="s">
        <v>129</v>
      </c>
      <c r="E355" s="197">
        <f>+E352*1.09</f>
        <v>3716.9</v>
      </c>
      <c r="F355" s="41">
        <f t="shared" si="44"/>
        <v>0</v>
      </c>
    </row>
    <row r="356" spans="1:10" x14ac:dyDescent="0.25">
      <c r="A356" s="21" t="s">
        <v>548</v>
      </c>
      <c r="B356" s="22" t="s">
        <v>124</v>
      </c>
      <c r="C356" s="23"/>
      <c r="D356" s="18" t="s">
        <v>129</v>
      </c>
      <c r="E356" s="197">
        <f>+E352*1.12</f>
        <v>3819.2000000000003</v>
      </c>
      <c r="F356" s="41">
        <f t="shared" si="44"/>
        <v>0</v>
      </c>
    </row>
    <row r="357" spans="1:10" x14ac:dyDescent="0.25">
      <c r="A357" s="21"/>
      <c r="B357" s="22"/>
      <c r="C357" s="23"/>
      <c r="D357" s="18"/>
      <c r="E357" s="197"/>
      <c r="F357" s="41"/>
    </row>
    <row r="358" spans="1:10" x14ac:dyDescent="0.25">
      <c r="A358" s="21"/>
      <c r="B358" s="22"/>
      <c r="C358" s="23"/>
      <c r="D358" s="18"/>
      <c r="E358" s="197"/>
      <c r="F358" s="41"/>
    </row>
    <row r="359" spans="1:10" x14ac:dyDescent="0.25">
      <c r="A359" s="21"/>
      <c r="B359" s="22"/>
      <c r="C359" s="23"/>
      <c r="D359" s="18"/>
      <c r="E359" s="197"/>
      <c r="F359" s="41"/>
    </row>
    <row r="360" spans="1:10" s="12" customFormat="1" x14ac:dyDescent="0.25">
      <c r="A360" s="102"/>
      <c r="B360" s="103" t="s">
        <v>46</v>
      </c>
      <c r="C360" s="104"/>
      <c r="D360" s="105"/>
      <c r="E360" s="199"/>
      <c r="F360" s="106">
        <f>SUM(F331:F358)</f>
        <v>0</v>
      </c>
    </row>
    <row r="361" spans="1:10" x14ac:dyDescent="0.25">
      <c r="A361" s="21"/>
      <c r="B361" s="22"/>
      <c r="C361" s="23"/>
      <c r="D361" s="18"/>
      <c r="E361" s="197"/>
      <c r="F361" s="41"/>
    </row>
    <row r="362" spans="1:10" ht="15.6" x14ac:dyDescent="0.25">
      <c r="A362" s="21"/>
      <c r="B362" s="32" t="s">
        <v>396</v>
      </c>
      <c r="C362" s="23"/>
      <c r="D362" s="18"/>
      <c r="E362" s="197"/>
      <c r="F362" s="41"/>
    </row>
    <row r="363" spans="1:10" ht="15.6" x14ac:dyDescent="0.25">
      <c r="A363" s="21"/>
      <c r="B363" s="32"/>
      <c r="C363" s="23"/>
      <c r="D363" s="18"/>
      <c r="E363" s="197"/>
      <c r="F363" s="41"/>
    </row>
    <row r="364" spans="1:10" ht="66" customHeight="1" x14ac:dyDescent="0.25">
      <c r="A364" s="21" t="s">
        <v>549</v>
      </c>
      <c r="B364" s="22" t="s">
        <v>118</v>
      </c>
      <c r="C364" s="23"/>
      <c r="D364" s="18" t="s">
        <v>587</v>
      </c>
      <c r="E364" s="197">
        <v>2400</v>
      </c>
      <c r="F364" s="41">
        <f>C364*E364</f>
        <v>0</v>
      </c>
    </row>
    <row r="365" spans="1:10" ht="110.4" x14ac:dyDescent="0.25">
      <c r="A365" s="21" t="s">
        <v>550</v>
      </c>
      <c r="B365" s="22" t="s">
        <v>588</v>
      </c>
      <c r="C365" s="23"/>
      <c r="D365" s="18" t="s">
        <v>587</v>
      </c>
      <c r="E365" s="197">
        <v>1450</v>
      </c>
      <c r="F365" s="41">
        <f>C365*E365</f>
        <v>0</v>
      </c>
      <c r="H365" s="24">
        <f>1260*1.15</f>
        <v>1449</v>
      </c>
      <c r="I365" s="24">
        <f>12.96*10.76</f>
        <v>139.4496</v>
      </c>
    </row>
    <row r="366" spans="1:10" ht="96.6" x14ac:dyDescent="0.25">
      <c r="A366" s="21" t="s">
        <v>551</v>
      </c>
      <c r="B366" s="22" t="s">
        <v>589</v>
      </c>
      <c r="C366" s="23"/>
      <c r="D366" s="18" t="s">
        <v>587</v>
      </c>
      <c r="E366" s="197">
        <v>1265</v>
      </c>
      <c r="F366" s="41">
        <f t="shared" ref="F366:F369" si="45">C366*E366</f>
        <v>0</v>
      </c>
      <c r="H366" s="24">
        <v>1100</v>
      </c>
      <c r="I366" s="24">
        <f>+H366*1.15</f>
        <v>1265</v>
      </c>
      <c r="J366" s="24">
        <f>68.58*10.76</f>
        <v>737.92079999999999</v>
      </c>
    </row>
    <row r="367" spans="1:10" ht="138" x14ac:dyDescent="0.25">
      <c r="A367" s="21" t="s">
        <v>552</v>
      </c>
      <c r="B367" s="22" t="s">
        <v>590</v>
      </c>
      <c r="C367" s="23"/>
      <c r="D367" s="18" t="s">
        <v>587</v>
      </c>
      <c r="E367" s="197">
        <v>1305.25</v>
      </c>
      <c r="F367" s="41">
        <f t="shared" si="45"/>
        <v>0</v>
      </c>
      <c r="H367" s="24">
        <v>1135</v>
      </c>
      <c r="I367" s="24">
        <f>+H367*1.15</f>
        <v>1305.25</v>
      </c>
      <c r="J367" s="24">
        <f>14.04*10.76</f>
        <v>151.07039999999998</v>
      </c>
    </row>
    <row r="368" spans="1:10" ht="41.4" x14ac:dyDescent="0.25">
      <c r="A368" s="21" t="s">
        <v>553</v>
      </c>
      <c r="B368" s="22" t="s">
        <v>591</v>
      </c>
      <c r="C368" s="23"/>
      <c r="D368" s="18" t="s">
        <v>587</v>
      </c>
      <c r="E368" s="197">
        <v>1178</v>
      </c>
      <c r="F368" s="41">
        <f t="shared" si="45"/>
        <v>0</v>
      </c>
      <c r="H368" s="24">
        <v>1025</v>
      </c>
      <c r="I368" s="24">
        <f>+H368*1.15</f>
        <v>1178.75</v>
      </c>
      <c r="J368" s="24">
        <f>3.18*10.76</f>
        <v>34.216799999999999</v>
      </c>
    </row>
    <row r="369" spans="1:9" ht="41.4" x14ac:dyDescent="0.25">
      <c r="A369" s="21" t="s">
        <v>554</v>
      </c>
      <c r="B369" s="22" t="s">
        <v>605</v>
      </c>
      <c r="C369" s="23"/>
      <c r="D369" s="18" t="s">
        <v>587</v>
      </c>
      <c r="E369" s="197">
        <v>1452</v>
      </c>
      <c r="F369" s="41">
        <f t="shared" si="45"/>
        <v>0</v>
      </c>
      <c r="H369" s="24">
        <f>6*12+13*12*5</f>
        <v>852</v>
      </c>
    </row>
    <row r="370" spans="1:9" x14ac:dyDescent="0.25">
      <c r="A370" s="21"/>
      <c r="B370" s="22"/>
      <c r="C370" s="23"/>
      <c r="D370" s="18"/>
      <c r="E370" s="197"/>
      <c r="F370" s="41"/>
    </row>
    <row r="371" spans="1:9" x14ac:dyDescent="0.25">
      <c r="A371" s="21"/>
      <c r="B371" s="22"/>
      <c r="C371" s="23"/>
      <c r="D371" s="18"/>
      <c r="E371" s="197"/>
      <c r="F371" s="41"/>
    </row>
    <row r="372" spans="1:9" x14ac:dyDescent="0.25">
      <c r="A372" s="21"/>
      <c r="B372" s="22"/>
      <c r="C372" s="23"/>
      <c r="D372" s="18"/>
      <c r="E372" s="197"/>
      <c r="F372" s="41"/>
    </row>
    <row r="373" spans="1:9" ht="15.6" x14ac:dyDescent="0.25">
      <c r="A373" s="21"/>
      <c r="B373" s="32"/>
      <c r="C373" s="23"/>
      <c r="D373" s="18"/>
      <c r="E373" s="197"/>
      <c r="F373" s="41"/>
      <c r="H373" s="24" t="s">
        <v>592</v>
      </c>
    </row>
    <row r="374" spans="1:9" ht="15.6" x14ac:dyDescent="0.25">
      <c r="A374" s="21"/>
      <c r="B374" s="32"/>
      <c r="C374" s="23"/>
      <c r="D374" s="18"/>
      <c r="E374" s="197"/>
      <c r="F374" s="41"/>
    </row>
    <row r="375" spans="1:9" ht="15.6" x14ac:dyDescent="0.25">
      <c r="A375" s="21"/>
      <c r="B375" s="32"/>
      <c r="C375" s="23"/>
      <c r="D375" s="18"/>
      <c r="E375" s="197"/>
      <c r="F375" s="41"/>
    </row>
    <row r="376" spans="1:9" s="12" customFormat="1" x14ac:dyDescent="0.25">
      <c r="A376" s="102"/>
      <c r="B376" s="103" t="s">
        <v>46</v>
      </c>
      <c r="C376" s="104"/>
      <c r="D376" s="105"/>
      <c r="E376" s="199"/>
      <c r="F376" s="106">
        <f>SUM(F364:F375)</f>
        <v>0</v>
      </c>
    </row>
    <row r="377" spans="1:9" s="12" customFormat="1" ht="28.05" customHeight="1" x14ac:dyDescent="0.25">
      <c r="A377" s="15"/>
      <c r="B377" s="32" t="s">
        <v>241</v>
      </c>
      <c r="C377" s="33"/>
      <c r="D377" s="18"/>
      <c r="E377" s="197"/>
      <c r="F377" s="41"/>
    </row>
    <row r="378" spans="1:9" x14ac:dyDescent="0.25">
      <c r="A378" s="21"/>
      <c r="B378" s="22"/>
      <c r="C378" s="23"/>
      <c r="D378" s="18"/>
      <c r="E378" s="197"/>
      <c r="F378" s="41"/>
    </row>
    <row r="379" spans="1:9" ht="27.6" x14ac:dyDescent="0.25">
      <c r="A379" s="21" t="s">
        <v>242</v>
      </c>
      <c r="B379" s="22" t="s">
        <v>122</v>
      </c>
      <c r="C379" s="23"/>
      <c r="D379" s="18" t="s">
        <v>129</v>
      </c>
      <c r="E379" s="197">
        <v>4845</v>
      </c>
      <c r="F379" s="41">
        <f t="shared" ref="F379:F384" si="46">C379*E379</f>
        <v>0</v>
      </c>
      <c r="H379" s="24">
        <f>+C379*10.76/100</f>
        <v>0</v>
      </c>
      <c r="I379" s="24">
        <v>14.3</v>
      </c>
    </row>
    <row r="380" spans="1:9" ht="41.4" x14ac:dyDescent="0.25">
      <c r="A380" s="21" t="s">
        <v>243</v>
      </c>
      <c r="B380" s="22" t="s">
        <v>123</v>
      </c>
      <c r="C380" s="23"/>
      <c r="D380" s="18" t="s">
        <v>129</v>
      </c>
      <c r="E380" s="197">
        <v>14525</v>
      </c>
      <c r="F380" s="41">
        <f t="shared" si="46"/>
        <v>0</v>
      </c>
      <c r="H380" s="24">
        <f>+C380*10.76/100</f>
        <v>0</v>
      </c>
      <c r="I380" s="24">
        <v>2.14</v>
      </c>
    </row>
    <row r="381" spans="1:9" ht="151.80000000000001" x14ac:dyDescent="0.25">
      <c r="A381" s="21" t="s">
        <v>244</v>
      </c>
      <c r="B381" s="22" t="s">
        <v>379</v>
      </c>
      <c r="C381" s="23"/>
      <c r="D381" s="18" t="s">
        <v>373</v>
      </c>
      <c r="E381" s="197">
        <v>710</v>
      </c>
      <c r="F381" s="41">
        <f t="shared" si="46"/>
        <v>0</v>
      </c>
      <c r="H381" s="24">
        <f>+C381*3.28</f>
        <v>0</v>
      </c>
      <c r="I381" s="24">
        <v>44</v>
      </c>
    </row>
    <row r="382" spans="1:9" ht="82.8" x14ac:dyDescent="0.25">
      <c r="A382" s="21" t="s">
        <v>245</v>
      </c>
      <c r="B382" s="22" t="s">
        <v>380</v>
      </c>
      <c r="C382" s="23"/>
      <c r="D382" s="18" t="s">
        <v>373</v>
      </c>
      <c r="E382" s="197">
        <v>529</v>
      </c>
      <c r="F382" s="41">
        <f t="shared" si="46"/>
        <v>0</v>
      </c>
      <c r="H382" s="24">
        <f t="shared" ref="H382:H383" si="47">+C382*3.28</f>
        <v>0</v>
      </c>
      <c r="I382" s="24">
        <v>243</v>
      </c>
    </row>
    <row r="383" spans="1:9" x14ac:dyDescent="0.25">
      <c r="A383" s="21" t="s">
        <v>246</v>
      </c>
      <c r="B383" s="22" t="s">
        <v>107</v>
      </c>
      <c r="C383" s="23"/>
      <c r="D383" s="18" t="s">
        <v>373</v>
      </c>
      <c r="E383" s="197">
        <v>1075</v>
      </c>
      <c r="F383" s="41">
        <f t="shared" si="46"/>
        <v>0</v>
      </c>
      <c r="H383" s="24">
        <f t="shared" si="47"/>
        <v>0</v>
      </c>
      <c r="I383" s="24">
        <v>44</v>
      </c>
    </row>
    <row r="384" spans="1:9" ht="41.4" x14ac:dyDescent="0.25">
      <c r="A384" s="21" t="s">
        <v>247</v>
      </c>
      <c r="B384" s="22" t="s">
        <v>378</v>
      </c>
      <c r="C384" s="23"/>
      <c r="D384" s="18" t="s">
        <v>373</v>
      </c>
      <c r="E384" s="197">
        <v>488</v>
      </c>
      <c r="F384" s="41">
        <f t="shared" si="46"/>
        <v>0</v>
      </c>
    </row>
    <row r="385" spans="1:6" x14ac:dyDescent="0.25">
      <c r="A385" s="21"/>
      <c r="B385" s="22"/>
      <c r="C385" s="23"/>
      <c r="D385" s="18"/>
      <c r="E385" s="197"/>
      <c r="F385" s="41"/>
    </row>
    <row r="386" spans="1:6" x14ac:dyDescent="0.25">
      <c r="A386" s="21"/>
      <c r="B386" s="22"/>
      <c r="C386" s="23"/>
      <c r="D386" s="18"/>
      <c r="E386" s="197"/>
      <c r="F386" s="41"/>
    </row>
    <row r="387" spans="1:6" s="12" customFormat="1" x14ac:dyDescent="0.25">
      <c r="A387" s="102"/>
      <c r="B387" s="103" t="s">
        <v>46</v>
      </c>
      <c r="C387" s="104"/>
      <c r="D387" s="105"/>
      <c r="E387" s="199"/>
      <c r="F387" s="106">
        <f>SUM(F379:F386)</f>
        <v>0</v>
      </c>
    </row>
    <row r="388" spans="1:6" s="12" customFormat="1" ht="28.05" customHeight="1" x14ac:dyDescent="0.25">
      <c r="A388" s="15"/>
      <c r="B388" s="32" t="s">
        <v>248</v>
      </c>
      <c r="C388" s="33"/>
      <c r="D388" s="18"/>
      <c r="E388" s="197"/>
      <c r="F388" s="41"/>
    </row>
    <row r="389" spans="1:6" ht="112.05" customHeight="1" x14ac:dyDescent="0.25">
      <c r="A389" s="21" t="s">
        <v>249</v>
      </c>
      <c r="B389" s="22" t="s">
        <v>382</v>
      </c>
      <c r="C389" s="23"/>
      <c r="D389" s="18" t="s">
        <v>168</v>
      </c>
      <c r="E389" s="197">
        <v>16550</v>
      </c>
      <c r="F389" s="41">
        <f>+C389*E389</f>
        <v>0</v>
      </c>
    </row>
    <row r="390" spans="1:6" ht="128.1" customHeight="1" x14ac:dyDescent="0.25">
      <c r="A390" s="21" t="s">
        <v>250</v>
      </c>
      <c r="B390" s="22" t="s">
        <v>383</v>
      </c>
      <c r="C390" s="23"/>
      <c r="D390" s="18" t="s">
        <v>168</v>
      </c>
      <c r="E390" s="197">
        <v>24840</v>
      </c>
      <c r="F390" s="41">
        <f t="shared" ref="F390:F410" si="48">+C390*E390</f>
        <v>0</v>
      </c>
    </row>
    <row r="391" spans="1:6" ht="50.25" customHeight="1" x14ac:dyDescent="0.25">
      <c r="A391" s="21" t="s">
        <v>251</v>
      </c>
      <c r="B391" s="22" t="s">
        <v>394</v>
      </c>
      <c r="C391" s="23"/>
      <c r="D391" s="18" t="s">
        <v>168</v>
      </c>
      <c r="E391" s="197">
        <v>16940</v>
      </c>
      <c r="F391" s="41">
        <f t="shared" si="48"/>
        <v>0</v>
      </c>
    </row>
    <row r="392" spans="1:6" ht="82.8" x14ac:dyDescent="0.25">
      <c r="A392" s="21" t="s">
        <v>252</v>
      </c>
      <c r="B392" s="22" t="s">
        <v>395</v>
      </c>
      <c r="C392" s="23"/>
      <c r="D392" s="18" t="s">
        <v>168</v>
      </c>
      <c r="E392" s="197">
        <v>10760</v>
      </c>
      <c r="F392" s="41">
        <f t="shared" si="48"/>
        <v>0</v>
      </c>
    </row>
    <row r="393" spans="1:6" ht="69" x14ac:dyDescent="0.25">
      <c r="A393" s="21" t="s">
        <v>253</v>
      </c>
      <c r="B393" s="22" t="s">
        <v>381</v>
      </c>
      <c r="C393" s="23"/>
      <c r="D393" s="18" t="s">
        <v>168</v>
      </c>
      <c r="E393" s="197">
        <v>9140</v>
      </c>
      <c r="F393" s="41">
        <f t="shared" si="48"/>
        <v>0</v>
      </c>
    </row>
    <row r="394" spans="1:6" ht="41.4" x14ac:dyDescent="0.25">
      <c r="A394" s="21" t="s">
        <v>254</v>
      </c>
      <c r="B394" s="22" t="s">
        <v>384</v>
      </c>
      <c r="C394" s="23"/>
      <c r="D394" s="18" t="s">
        <v>168</v>
      </c>
      <c r="E394" s="197">
        <v>33880</v>
      </c>
      <c r="F394" s="41">
        <f t="shared" si="48"/>
        <v>0</v>
      </c>
    </row>
    <row r="395" spans="1:6" ht="41.4" x14ac:dyDescent="0.25">
      <c r="A395" s="21" t="s">
        <v>255</v>
      </c>
      <c r="B395" s="22" t="s">
        <v>385</v>
      </c>
      <c r="C395" s="23"/>
      <c r="D395" s="18" t="s">
        <v>168</v>
      </c>
      <c r="E395" s="197">
        <v>2385</v>
      </c>
      <c r="F395" s="41">
        <f t="shared" si="48"/>
        <v>0</v>
      </c>
    </row>
    <row r="396" spans="1:6" ht="41.4" x14ac:dyDescent="0.25">
      <c r="A396" s="21" t="s">
        <v>256</v>
      </c>
      <c r="B396" s="22" t="s">
        <v>386</v>
      </c>
      <c r="C396" s="23"/>
      <c r="D396" s="18" t="s">
        <v>168</v>
      </c>
      <c r="E396" s="197">
        <v>2830</v>
      </c>
      <c r="F396" s="41">
        <f t="shared" si="48"/>
        <v>0</v>
      </c>
    </row>
    <row r="397" spans="1:6" ht="55.05" customHeight="1" x14ac:dyDescent="0.25">
      <c r="A397" s="21" t="s">
        <v>257</v>
      </c>
      <c r="B397" s="22" t="s">
        <v>387</v>
      </c>
      <c r="C397" s="23"/>
      <c r="D397" s="18" t="s">
        <v>168</v>
      </c>
      <c r="E397" s="197">
        <v>4370</v>
      </c>
      <c r="F397" s="41">
        <f t="shared" si="48"/>
        <v>0</v>
      </c>
    </row>
    <row r="398" spans="1:6" ht="41.4" x14ac:dyDescent="0.25">
      <c r="A398" s="21" t="s">
        <v>258</v>
      </c>
      <c r="B398" s="22" t="s">
        <v>388</v>
      </c>
      <c r="C398" s="23"/>
      <c r="D398" s="18" t="s">
        <v>168</v>
      </c>
      <c r="E398" s="197">
        <v>3640</v>
      </c>
      <c r="F398" s="41">
        <f t="shared" si="48"/>
        <v>0</v>
      </c>
    </row>
    <row r="399" spans="1:6" ht="41.4" x14ac:dyDescent="0.25">
      <c r="A399" s="21" t="s">
        <v>259</v>
      </c>
      <c r="B399" s="22" t="s">
        <v>389</v>
      </c>
      <c r="C399" s="23"/>
      <c r="D399" s="18" t="s">
        <v>168</v>
      </c>
      <c r="E399" s="197">
        <v>4215</v>
      </c>
      <c r="F399" s="41">
        <f t="shared" si="48"/>
        <v>0</v>
      </c>
    </row>
    <row r="400" spans="1:6" ht="41.4" x14ac:dyDescent="0.25">
      <c r="A400" s="21" t="s">
        <v>260</v>
      </c>
      <c r="B400" s="22" t="s">
        <v>390</v>
      </c>
      <c r="C400" s="23"/>
      <c r="D400" s="18" t="s">
        <v>168</v>
      </c>
      <c r="E400" s="197">
        <v>732</v>
      </c>
      <c r="F400" s="41">
        <f t="shared" si="48"/>
        <v>0</v>
      </c>
    </row>
    <row r="401" spans="1:9" s="12" customFormat="1" ht="25.05" customHeight="1" x14ac:dyDescent="0.25">
      <c r="A401" s="15"/>
      <c r="B401" s="19" t="s">
        <v>277</v>
      </c>
      <c r="C401" s="20"/>
      <c r="D401" s="18"/>
      <c r="E401" s="197"/>
      <c r="F401" s="41"/>
    </row>
    <row r="402" spans="1:9" s="12" customFormat="1" x14ac:dyDescent="0.25">
      <c r="A402" s="21" t="s">
        <v>261</v>
      </c>
      <c r="B402" s="27" t="s">
        <v>391</v>
      </c>
      <c r="C402" s="23"/>
      <c r="D402" s="18" t="s">
        <v>168</v>
      </c>
      <c r="E402" s="197">
        <v>1105</v>
      </c>
      <c r="F402" s="41">
        <f t="shared" si="48"/>
        <v>0</v>
      </c>
    </row>
    <row r="403" spans="1:9" s="12" customFormat="1" x14ac:dyDescent="0.25">
      <c r="A403" s="21"/>
      <c r="B403" s="27"/>
      <c r="C403" s="23"/>
      <c r="D403" s="18"/>
      <c r="E403" s="197"/>
      <c r="F403" s="41"/>
    </row>
    <row r="404" spans="1:9" s="12" customFormat="1" x14ac:dyDescent="0.25">
      <c r="A404" s="21"/>
      <c r="B404" s="27"/>
      <c r="C404" s="23"/>
      <c r="D404" s="18"/>
      <c r="E404" s="197"/>
      <c r="F404" s="41"/>
    </row>
    <row r="405" spans="1:9" s="12" customFormat="1" x14ac:dyDescent="0.25">
      <c r="A405" s="21"/>
      <c r="B405" s="27"/>
      <c r="C405" s="23"/>
      <c r="D405" s="18"/>
      <c r="E405" s="197"/>
      <c r="F405" s="41"/>
    </row>
    <row r="406" spans="1:9" s="12" customFormat="1" x14ac:dyDescent="0.25">
      <c r="A406" s="102"/>
      <c r="B406" s="103" t="s">
        <v>46</v>
      </c>
      <c r="C406" s="104"/>
      <c r="D406" s="105"/>
      <c r="E406" s="199"/>
      <c r="F406" s="106">
        <f>SUM(F389:F404)</f>
        <v>0</v>
      </c>
    </row>
    <row r="407" spans="1:9" s="12" customFormat="1" x14ac:dyDescent="0.25">
      <c r="A407" s="21"/>
      <c r="B407" s="19" t="s">
        <v>262</v>
      </c>
      <c r="C407" s="23"/>
      <c r="D407" s="18"/>
      <c r="E407" s="197"/>
      <c r="F407" s="41"/>
    </row>
    <row r="408" spans="1:9" s="12" customFormat="1" x14ac:dyDescent="0.25">
      <c r="A408" s="21"/>
      <c r="B408" s="27"/>
      <c r="C408" s="23"/>
      <c r="D408" s="18"/>
      <c r="E408" s="197"/>
      <c r="F408" s="41"/>
    </row>
    <row r="409" spans="1:9" s="12" customFormat="1" ht="25.05" customHeight="1" x14ac:dyDescent="0.25">
      <c r="A409" s="15"/>
      <c r="B409" s="19" t="s">
        <v>278</v>
      </c>
      <c r="C409" s="20"/>
      <c r="D409" s="18"/>
      <c r="E409" s="197"/>
      <c r="F409" s="41"/>
    </row>
    <row r="410" spans="1:9" ht="41.4" x14ac:dyDescent="0.25">
      <c r="A410" s="21" t="s">
        <v>263</v>
      </c>
      <c r="B410" s="22" t="s">
        <v>280</v>
      </c>
      <c r="C410" s="23"/>
      <c r="D410" s="18" t="s">
        <v>168</v>
      </c>
      <c r="E410" s="197">
        <v>72470</v>
      </c>
      <c r="F410" s="41">
        <f t="shared" si="48"/>
        <v>0</v>
      </c>
    </row>
    <row r="411" spans="1:9" ht="38.1" hidden="1" customHeight="1" x14ac:dyDescent="0.25">
      <c r="A411" s="21" t="s">
        <v>279</v>
      </c>
      <c r="B411" s="22" t="s">
        <v>281</v>
      </c>
      <c r="C411" s="23"/>
      <c r="D411" s="18" t="s">
        <v>282</v>
      </c>
      <c r="E411" s="197"/>
      <c r="F411" s="41"/>
    </row>
    <row r="412" spans="1:9" s="12" customFormat="1" ht="28.05" customHeight="1" x14ac:dyDescent="0.25">
      <c r="A412" s="15"/>
      <c r="B412" s="19" t="s">
        <v>283</v>
      </c>
      <c r="C412" s="20"/>
      <c r="D412" s="18"/>
      <c r="E412" s="197"/>
      <c r="F412" s="41"/>
    </row>
    <row r="413" spans="1:9" s="12" customFormat="1" ht="28.05" customHeight="1" x14ac:dyDescent="0.25">
      <c r="A413" s="15"/>
      <c r="B413" s="25" t="s">
        <v>284</v>
      </c>
      <c r="C413" s="26"/>
      <c r="D413" s="18"/>
      <c r="E413" s="197"/>
      <c r="F413" s="41"/>
    </row>
    <row r="414" spans="1:9" s="12" customFormat="1" ht="28.05" customHeight="1" x14ac:dyDescent="0.25">
      <c r="A414" s="15"/>
      <c r="B414" s="19" t="s">
        <v>285</v>
      </c>
      <c r="C414" s="20"/>
      <c r="D414" s="18"/>
      <c r="E414" s="197"/>
      <c r="F414" s="41"/>
    </row>
    <row r="415" spans="1:9" ht="38.1" customHeight="1" x14ac:dyDescent="0.25">
      <c r="A415" s="21" t="s">
        <v>264</v>
      </c>
      <c r="B415" s="22" t="s">
        <v>606</v>
      </c>
      <c r="C415" s="23"/>
      <c r="D415" s="18" t="s">
        <v>167</v>
      </c>
      <c r="E415" s="197">
        <v>68</v>
      </c>
      <c r="F415" s="41">
        <f>+C415*E415</f>
        <v>0</v>
      </c>
    </row>
    <row r="416" spans="1:9" ht="38.1" customHeight="1" x14ac:dyDescent="0.25">
      <c r="A416" s="21" t="s">
        <v>265</v>
      </c>
      <c r="B416" s="22" t="s">
        <v>607</v>
      </c>
      <c r="C416" s="23"/>
      <c r="D416" s="18" t="s">
        <v>167</v>
      </c>
      <c r="E416" s="197">
        <v>103</v>
      </c>
      <c r="F416" s="41">
        <f t="shared" ref="F416:F431" si="49">+C416*E416</f>
        <v>0</v>
      </c>
      <c r="I416" s="24">
        <v>78.72</v>
      </c>
    </row>
    <row r="417" spans="1:9" ht="38.1" customHeight="1" x14ac:dyDescent="0.25">
      <c r="A417" s="21" t="s">
        <v>266</v>
      </c>
      <c r="B417" s="22" t="s">
        <v>608</v>
      </c>
      <c r="C417" s="23"/>
      <c r="D417" s="18" t="s">
        <v>167</v>
      </c>
      <c r="E417" s="197">
        <v>121</v>
      </c>
      <c r="F417" s="41">
        <f t="shared" si="49"/>
        <v>0</v>
      </c>
      <c r="I417" s="24">
        <v>32.799999999999997</v>
      </c>
    </row>
    <row r="418" spans="1:9" ht="38.1" customHeight="1" x14ac:dyDescent="0.25">
      <c r="A418" s="21" t="s">
        <v>267</v>
      </c>
      <c r="B418" s="22" t="s">
        <v>609</v>
      </c>
      <c r="C418" s="23"/>
      <c r="D418" s="18" t="s">
        <v>167</v>
      </c>
      <c r="E418" s="197">
        <v>147</v>
      </c>
      <c r="F418" s="41">
        <f t="shared" si="49"/>
        <v>0</v>
      </c>
      <c r="I418" s="24">
        <v>170.56</v>
      </c>
    </row>
    <row r="419" spans="1:9" ht="38.1" customHeight="1" x14ac:dyDescent="0.25">
      <c r="A419" s="21" t="s">
        <v>268</v>
      </c>
      <c r="B419" s="22" t="s">
        <v>610</v>
      </c>
      <c r="C419" s="23"/>
      <c r="D419" s="18" t="s">
        <v>167</v>
      </c>
      <c r="E419" s="197">
        <v>303</v>
      </c>
      <c r="F419" s="41">
        <f t="shared" si="49"/>
        <v>0</v>
      </c>
      <c r="I419" s="24">
        <v>183.67999999999998</v>
      </c>
    </row>
    <row r="420" spans="1:9" s="12" customFormat="1" ht="28.05" customHeight="1" x14ac:dyDescent="0.25">
      <c r="A420" s="15"/>
      <c r="B420" s="19" t="s">
        <v>286</v>
      </c>
      <c r="C420" s="20"/>
      <c r="D420" s="18"/>
      <c r="E420" s="197"/>
      <c r="F420" s="41"/>
    </row>
    <row r="421" spans="1:9" s="12" customFormat="1" x14ac:dyDescent="0.25">
      <c r="A421" s="21" t="s">
        <v>269</v>
      </c>
      <c r="B421" s="27" t="s">
        <v>287</v>
      </c>
      <c r="C421" s="28"/>
      <c r="D421" s="18" t="s">
        <v>167</v>
      </c>
      <c r="E421" s="197">
        <v>153</v>
      </c>
      <c r="F421" s="41">
        <f t="shared" si="49"/>
        <v>0</v>
      </c>
      <c r="H421" s="12">
        <v>10</v>
      </c>
      <c r="I421" s="12">
        <f>+H421*3.28</f>
        <v>32.799999999999997</v>
      </c>
    </row>
    <row r="422" spans="1:9" s="12" customFormat="1" x14ac:dyDescent="0.25">
      <c r="A422" s="21" t="s">
        <v>270</v>
      </c>
      <c r="B422" s="27" t="s">
        <v>288</v>
      </c>
      <c r="C422" s="28"/>
      <c r="D422" s="18" t="s">
        <v>167</v>
      </c>
      <c r="E422" s="197">
        <v>175</v>
      </c>
      <c r="F422" s="41">
        <f t="shared" si="49"/>
        <v>0</v>
      </c>
      <c r="H422" s="12">
        <v>52</v>
      </c>
      <c r="I422" s="12">
        <f t="shared" ref="I422:I423" si="50">+H422*3.28</f>
        <v>170.56</v>
      </c>
    </row>
    <row r="423" spans="1:9" s="12" customFormat="1" x14ac:dyDescent="0.25">
      <c r="A423" s="21" t="s">
        <v>271</v>
      </c>
      <c r="B423" s="27" t="s">
        <v>289</v>
      </c>
      <c r="C423" s="28"/>
      <c r="D423" s="18" t="s">
        <v>167</v>
      </c>
      <c r="E423" s="197">
        <v>251</v>
      </c>
      <c r="F423" s="41">
        <f t="shared" si="49"/>
        <v>0</v>
      </c>
      <c r="H423" s="12">
        <v>24</v>
      </c>
      <c r="I423" s="12">
        <f t="shared" si="50"/>
        <v>78.72</v>
      </c>
    </row>
    <row r="424" spans="1:9" s="12" customFormat="1" ht="28.05" customHeight="1" x14ac:dyDescent="0.25">
      <c r="A424" s="15"/>
      <c r="B424" s="19" t="s">
        <v>290</v>
      </c>
      <c r="C424" s="20"/>
      <c r="D424" s="18"/>
      <c r="E424" s="197"/>
      <c r="F424" s="41"/>
    </row>
    <row r="425" spans="1:9" ht="55.05" customHeight="1" x14ac:dyDescent="0.25">
      <c r="A425" s="21" t="s">
        <v>272</v>
      </c>
      <c r="B425" s="22" t="s">
        <v>291</v>
      </c>
      <c r="C425" s="23"/>
      <c r="D425" s="18" t="s">
        <v>167</v>
      </c>
      <c r="E425" s="197">
        <v>1190</v>
      </c>
      <c r="F425" s="41">
        <f t="shared" si="49"/>
        <v>0</v>
      </c>
      <c r="H425" s="24">
        <f>40*3.28</f>
        <v>131.19999999999999</v>
      </c>
    </row>
    <row r="426" spans="1:9" ht="38.1" customHeight="1" x14ac:dyDescent="0.25">
      <c r="A426" s="21" t="s">
        <v>273</v>
      </c>
      <c r="B426" s="22" t="s">
        <v>292</v>
      </c>
      <c r="C426" s="23"/>
      <c r="D426" s="18" t="s">
        <v>167</v>
      </c>
      <c r="E426" s="197">
        <v>699</v>
      </c>
      <c r="F426" s="41">
        <f t="shared" si="49"/>
        <v>0</v>
      </c>
      <c r="H426" s="24">
        <f>25*3.28</f>
        <v>82</v>
      </c>
    </row>
    <row r="427" spans="1:9" s="12" customFormat="1" ht="28.05" customHeight="1" x14ac:dyDescent="0.25">
      <c r="A427" s="15"/>
      <c r="B427" s="19" t="s">
        <v>293</v>
      </c>
      <c r="C427" s="20"/>
      <c r="D427" s="18"/>
      <c r="E427" s="197"/>
      <c r="F427" s="41"/>
    </row>
    <row r="428" spans="1:9" ht="160.05000000000001" customHeight="1" x14ac:dyDescent="0.25">
      <c r="A428" s="21" t="s">
        <v>274</v>
      </c>
      <c r="B428" s="22" t="s">
        <v>392</v>
      </c>
      <c r="C428" s="23"/>
      <c r="D428" s="18" t="s">
        <v>168</v>
      </c>
      <c r="E428" s="197">
        <v>24260</v>
      </c>
      <c r="F428" s="41">
        <f t="shared" si="49"/>
        <v>0</v>
      </c>
    </row>
    <row r="429" spans="1:9" s="12" customFormat="1" ht="28.05" customHeight="1" x14ac:dyDescent="0.25">
      <c r="A429" s="15"/>
      <c r="B429" s="19" t="s">
        <v>154</v>
      </c>
      <c r="C429" s="20"/>
      <c r="D429" s="18"/>
      <c r="E429" s="197"/>
      <c r="F429" s="41"/>
    </row>
    <row r="430" spans="1:9" s="12" customFormat="1" x14ac:dyDescent="0.25">
      <c r="A430" s="21" t="s">
        <v>275</v>
      </c>
      <c r="B430" s="27" t="s">
        <v>294</v>
      </c>
      <c r="C430" s="28"/>
      <c r="D430" s="18" t="s">
        <v>13</v>
      </c>
      <c r="E430" s="197">
        <v>1000</v>
      </c>
      <c r="F430" s="41">
        <f t="shared" si="49"/>
        <v>0</v>
      </c>
    </row>
    <row r="431" spans="1:9" s="12" customFormat="1" x14ac:dyDescent="0.25">
      <c r="A431" s="21" t="s">
        <v>276</v>
      </c>
      <c r="B431" s="27" t="s">
        <v>295</v>
      </c>
      <c r="C431" s="28"/>
      <c r="D431" s="18" t="s">
        <v>13</v>
      </c>
      <c r="E431" s="197">
        <v>4000</v>
      </c>
      <c r="F431" s="41">
        <f t="shared" si="49"/>
        <v>0</v>
      </c>
    </row>
    <row r="432" spans="1:9" s="12" customFormat="1" x14ac:dyDescent="0.25">
      <c r="A432" s="21"/>
      <c r="B432" s="27"/>
      <c r="C432" s="28"/>
      <c r="D432" s="18"/>
      <c r="E432" s="197"/>
      <c r="F432" s="41"/>
    </row>
    <row r="433" spans="1:6" s="12" customFormat="1" x14ac:dyDescent="0.25">
      <c r="A433" s="21"/>
      <c r="B433" s="27"/>
      <c r="C433" s="28"/>
      <c r="D433" s="18"/>
      <c r="E433" s="197"/>
      <c r="F433" s="41"/>
    </row>
    <row r="434" spans="1:6" s="12" customFormat="1" x14ac:dyDescent="0.25">
      <c r="A434" s="21"/>
      <c r="B434" s="27"/>
      <c r="C434" s="28"/>
      <c r="D434" s="18"/>
      <c r="E434" s="197"/>
      <c r="F434" s="41"/>
    </row>
    <row r="435" spans="1:6" s="12" customFormat="1" x14ac:dyDescent="0.25">
      <c r="A435" s="21"/>
      <c r="B435" s="27"/>
      <c r="C435" s="28"/>
      <c r="D435" s="18"/>
      <c r="E435" s="197"/>
      <c r="F435" s="41"/>
    </row>
    <row r="436" spans="1:6" s="12" customFormat="1" x14ac:dyDescent="0.25">
      <c r="A436" s="102"/>
      <c r="B436" s="103" t="s">
        <v>46</v>
      </c>
      <c r="C436" s="104"/>
      <c r="D436" s="105"/>
      <c r="E436" s="199"/>
      <c r="F436" s="106">
        <f>SUM(F415:F434)</f>
        <v>0</v>
      </c>
    </row>
    <row r="437" spans="1:6" s="12" customFormat="1" ht="28.05" customHeight="1" x14ac:dyDescent="0.25">
      <c r="A437" s="15"/>
      <c r="B437" s="32" t="s">
        <v>296</v>
      </c>
      <c r="C437" s="33"/>
      <c r="D437" s="18"/>
      <c r="E437" s="197"/>
      <c r="F437" s="41"/>
    </row>
    <row r="438" spans="1:6" s="12" customFormat="1" ht="28.05" customHeight="1" x14ac:dyDescent="0.25">
      <c r="A438" s="15"/>
      <c r="B438" s="32" t="s">
        <v>297</v>
      </c>
      <c r="C438" s="33"/>
      <c r="D438" s="18"/>
      <c r="E438" s="197"/>
      <c r="F438" s="41"/>
    </row>
    <row r="439" spans="1:6" ht="152.25" customHeight="1" x14ac:dyDescent="0.25">
      <c r="A439" s="21" t="s">
        <v>298</v>
      </c>
      <c r="B439" s="22" t="s">
        <v>300</v>
      </c>
      <c r="C439" s="23"/>
      <c r="D439" s="18" t="s">
        <v>168</v>
      </c>
      <c r="E439" s="197">
        <v>4965</v>
      </c>
      <c r="F439" s="41">
        <f t="shared" ref="F439:F449" si="51">+C439*E439</f>
        <v>0</v>
      </c>
    </row>
    <row r="440" spans="1:6" s="12" customFormat="1" ht="28.5" customHeight="1" x14ac:dyDescent="0.25">
      <c r="A440" s="15"/>
      <c r="B440" s="32" t="s">
        <v>305</v>
      </c>
      <c r="C440" s="33"/>
      <c r="D440" s="18"/>
      <c r="E440" s="197"/>
      <c r="F440" s="41"/>
    </row>
    <row r="441" spans="1:6" ht="156.75" customHeight="1" x14ac:dyDescent="0.25">
      <c r="A441" s="21" t="s">
        <v>299</v>
      </c>
      <c r="B441" s="22" t="s">
        <v>306</v>
      </c>
      <c r="C441" s="23"/>
      <c r="D441" s="18" t="s">
        <v>168</v>
      </c>
      <c r="E441" s="197">
        <v>20560</v>
      </c>
      <c r="F441" s="41">
        <f t="shared" si="51"/>
        <v>0</v>
      </c>
    </row>
    <row r="442" spans="1:6" s="12" customFormat="1" ht="28.05" customHeight="1" x14ac:dyDescent="0.25">
      <c r="A442" s="15"/>
      <c r="B442" s="32" t="s">
        <v>307</v>
      </c>
      <c r="C442" s="33"/>
      <c r="D442" s="18"/>
      <c r="E442" s="197"/>
      <c r="F442" s="41"/>
    </row>
    <row r="443" spans="1:6" ht="68.099999999999994" customHeight="1" x14ac:dyDescent="0.25">
      <c r="A443" s="21" t="s">
        <v>301</v>
      </c>
      <c r="B443" s="22" t="s">
        <v>308</v>
      </c>
      <c r="C443" s="23"/>
      <c r="D443" s="18" t="s">
        <v>141</v>
      </c>
      <c r="E443" s="197">
        <v>779</v>
      </c>
      <c r="F443" s="41">
        <f t="shared" si="51"/>
        <v>0</v>
      </c>
    </row>
    <row r="444" spans="1:6" s="12" customFormat="1" ht="28.05" customHeight="1" x14ac:dyDescent="0.25">
      <c r="A444" s="15"/>
      <c r="B444" s="32" t="s">
        <v>309</v>
      </c>
      <c r="C444" s="33"/>
      <c r="D444" s="18"/>
      <c r="E444" s="197"/>
      <c r="F444" s="41"/>
    </row>
    <row r="445" spans="1:6" ht="38.1" customHeight="1" x14ac:dyDescent="0.25">
      <c r="A445" s="21" t="s">
        <v>302</v>
      </c>
      <c r="B445" s="22" t="s">
        <v>310</v>
      </c>
      <c r="C445" s="23"/>
      <c r="D445" s="18" t="s">
        <v>168</v>
      </c>
      <c r="E445" s="197">
        <v>1730</v>
      </c>
      <c r="F445" s="41">
        <f t="shared" si="51"/>
        <v>0</v>
      </c>
    </row>
    <row r="446" spans="1:6" s="12" customFormat="1" ht="28.05" customHeight="1" x14ac:dyDescent="0.25">
      <c r="A446" s="15"/>
      <c r="B446" s="32" t="s">
        <v>311</v>
      </c>
      <c r="C446" s="33"/>
      <c r="D446" s="18"/>
      <c r="E446" s="197"/>
      <c r="F446" s="41"/>
    </row>
    <row r="447" spans="1:6" ht="38.1" customHeight="1" x14ac:dyDescent="0.25">
      <c r="A447" s="21" t="s">
        <v>303</v>
      </c>
      <c r="B447" s="22" t="s">
        <v>312</v>
      </c>
      <c r="C447" s="23"/>
      <c r="D447" s="18" t="s">
        <v>168</v>
      </c>
      <c r="E447" s="197">
        <v>65620</v>
      </c>
      <c r="F447" s="41">
        <f t="shared" si="51"/>
        <v>0</v>
      </c>
    </row>
    <row r="448" spans="1:6" s="12" customFormat="1" ht="28.05" customHeight="1" x14ac:dyDescent="0.25">
      <c r="A448" s="15"/>
      <c r="B448" s="32" t="s">
        <v>313</v>
      </c>
      <c r="C448" s="33"/>
      <c r="D448" s="18"/>
      <c r="E448" s="197"/>
      <c r="F448" s="41"/>
    </row>
    <row r="449" spans="1:6" ht="93" customHeight="1" x14ac:dyDescent="0.25">
      <c r="A449" s="21" t="s">
        <v>304</v>
      </c>
      <c r="B449" s="22" t="s">
        <v>393</v>
      </c>
      <c r="C449" s="23"/>
      <c r="D449" s="18" t="s">
        <v>168</v>
      </c>
      <c r="E449" s="197">
        <v>80570</v>
      </c>
      <c r="F449" s="41">
        <f t="shared" si="51"/>
        <v>0</v>
      </c>
    </row>
    <row r="450" spans="1:6" x14ac:dyDescent="0.25">
      <c r="A450" s="21"/>
      <c r="B450" s="22"/>
      <c r="C450" s="23"/>
      <c r="D450" s="18"/>
      <c r="E450" s="197"/>
      <c r="F450" s="41"/>
    </row>
    <row r="451" spans="1:6" x14ac:dyDescent="0.25">
      <c r="A451" s="21"/>
      <c r="B451" s="22"/>
      <c r="C451" s="23"/>
      <c r="D451" s="18"/>
      <c r="E451" s="197"/>
      <c r="F451" s="41"/>
    </row>
    <row r="452" spans="1:6" x14ac:dyDescent="0.25">
      <c r="A452" s="21"/>
      <c r="B452" s="22"/>
      <c r="C452" s="23"/>
      <c r="D452" s="18"/>
      <c r="E452" s="197"/>
      <c r="F452" s="41"/>
    </row>
    <row r="453" spans="1:6" s="12" customFormat="1" x14ac:dyDescent="0.25">
      <c r="A453" s="219"/>
      <c r="B453" s="220" t="s">
        <v>46</v>
      </c>
      <c r="C453" s="221"/>
      <c r="D453" s="222"/>
      <c r="E453" s="223"/>
      <c r="F453" s="224">
        <f>SUM(F439:F450)</f>
        <v>0</v>
      </c>
    </row>
    <row r="454" spans="1:6" s="12" customFormat="1" ht="28.05" customHeight="1" x14ac:dyDescent="0.25">
      <c r="A454" s="229"/>
      <c r="B454" s="234" t="s">
        <v>314</v>
      </c>
      <c r="C454" s="243"/>
      <c r="D454" s="250"/>
      <c r="E454" s="258"/>
      <c r="F454" s="230"/>
    </row>
    <row r="455" spans="1:6" x14ac:dyDescent="0.25">
      <c r="A455" s="226"/>
      <c r="B455" s="235"/>
      <c r="C455" s="244"/>
      <c r="D455" s="251"/>
      <c r="E455" s="259"/>
      <c r="F455" s="231"/>
    </row>
    <row r="456" spans="1:6" x14ac:dyDescent="0.25">
      <c r="A456" s="226"/>
      <c r="B456" s="235" t="s">
        <v>64</v>
      </c>
      <c r="C456" s="244"/>
      <c r="D456" s="251"/>
      <c r="E456" s="259"/>
      <c r="F456" s="231"/>
    </row>
    <row r="457" spans="1:6" x14ac:dyDescent="0.25">
      <c r="A457" s="226"/>
      <c r="B457" s="235" t="s">
        <v>65</v>
      </c>
      <c r="C457" s="244"/>
      <c r="D457" s="251"/>
      <c r="E457" s="259"/>
      <c r="F457" s="231"/>
    </row>
    <row r="458" spans="1:6" x14ac:dyDescent="0.25">
      <c r="A458" s="226"/>
      <c r="B458" s="235" t="s">
        <v>66</v>
      </c>
      <c r="C458" s="244"/>
      <c r="D458" s="251"/>
      <c r="E458" s="259"/>
      <c r="F458" s="231"/>
    </row>
    <row r="459" spans="1:6" x14ac:dyDescent="0.25">
      <c r="A459" s="226"/>
      <c r="B459" s="235"/>
      <c r="C459" s="244"/>
      <c r="D459" s="251"/>
      <c r="E459" s="259"/>
      <c r="F459" s="231"/>
    </row>
    <row r="460" spans="1:6" customFormat="1" ht="26.25" customHeight="1" x14ac:dyDescent="0.25">
      <c r="A460" s="264" t="s">
        <v>611</v>
      </c>
      <c r="B460" s="265" t="s">
        <v>612</v>
      </c>
      <c r="C460" s="266"/>
      <c r="D460" s="267"/>
      <c r="E460" s="268"/>
      <c r="F460" s="266"/>
    </row>
    <row r="461" spans="1:6" customFormat="1" ht="15" customHeight="1" x14ac:dyDescent="0.25">
      <c r="A461" s="267"/>
      <c r="B461" s="269" t="s">
        <v>613</v>
      </c>
      <c r="C461" s="266"/>
      <c r="D461" s="267"/>
      <c r="E461" s="268"/>
      <c r="F461" s="266"/>
    </row>
    <row r="462" spans="1:6" customFormat="1" ht="20.25" customHeight="1" x14ac:dyDescent="0.25">
      <c r="A462" s="270" t="s">
        <v>638</v>
      </c>
      <c r="B462" s="269" t="s">
        <v>614</v>
      </c>
      <c r="C462" s="271"/>
      <c r="D462" s="272" t="s">
        <v>79</v>
      </c>
      <c r="E462" s="268">
        <v>9900</v>
      </c>
      <c r="F462" s="268">
        <f t="shared" ref="F462:F476" si="52">E462*C462</f>
        <v>0</v>
      </c>
    </row>
    <row r="463" spans="1:6" customFormat="1" ht="23.25" customHeight="1" x14ac:dyDescent="0.25">
      <c r="A463" s="270" t="s">
        <v>639</v>
      </c>
      <c r="B463" s="269" t="s">
        <v>615</v>
      </c>
      <c r="C463" s="271"/>
      <c r="D463" s="272" t="s">
        <v>79</v>
      </c>
      <c r="E463" s="268">
        <v>148000</v>
      </c>
      <c r="F463" s="268">
        <v>126500</v>
      </c>
    </row>
    <row r="464" spans="1:6" customFormat="1" ht="18" customHeight="1" x14ac:dyDescent="0.25">
      <c r="A464" s="270" t="s">
        <v>640</v>
      </c>
      <c r="B464" s="269" t="s">
        <v>616</v>
      </c>
      <c r="C464" s="271"/>
      <c r="D464" s="272" t="s">
        <v>79</v>
      </c>
      <c r="E464" s="268">
        <v>5630</v>
      </c>
      <c r="F464" s="268">
        <f t="shared" si="52"/>
        <v>0</v>
      </c>
    </row>
    <row r="465" spans="1:6" customFormat="1" ht="20.25" customHeight="1" x14ac:dyDescent="0.25">
      <c r="A465" s="270" t="s">
        <v>641</v>
      </c>
      <c r="B465" s="269" t="s">
        <v>617</v>
      </c>
      <c r="C465" s="271"/>
      <c r="D465" s="272" t="s">
        <v>79</v>
      </c>
      <c r="E465" s="268">
        <v>3500</v>
      </c>
      <c r="F465" s="268">
        <f t="shared" si="52"/>
        <v>0</v>
      </c>
    </row>
    <row r="466" spans="1:6" customFormat="1" ht="19.5" customHeight="1" x14ac:dyDescent="0.25">
      <c r="A466" s="270" t="s">
        <v>642</v>
      </c>
      <c r="B466" s="269" t="s">
        <v>618</v>
      </c>
      <c r="C466" s="271"/>
      <c r="D466" s="272" t="s">
        <v>79</v>
      </c>
      <c r="E466" s="268">
        <v>1200</v>
      </c>
      <c r="F466" s="268">
        <f t="shared" si="52"/>
        <v>0</v>
      </c>
    </row>
    <row r="467" spans="1:6" customFormat="1" ht="19.5" customHeight="1" x14ac:dyDescent="0.25">
      <c r="A467" s="270" t="s">
        <v>643</v>
      </c>
      <c r="B467" s="269" t="s">
        <v>619</v>
      </c>
      <c r="C467" s="271"/>
      <c r="D467" s="272" t="s">
        <v>79</v>
      </c>
      <c r="E467" s="268">
        <v>2850</v>
      </c>
      <c r="F467" s="268">
        <f t="shared" si="52"/>
        <v>0</v>
      </c>
    </row>
    <row r="468" spans="1:6" customFormat="1" ht="18.75" customHeight="1" x14ac:dyDescent="0.25">
      <c r="A468" s="270" t="s">
        <v>644</v>
      </c>
      <c r="B468" s="269" t="s">
        <v>67</v>
      </c>
      <c r="C468" s="271"/>
      <c r="D468" s="272" t="s">
        <v>79</v>
      </c>
      <c r="E468" s="268">
        <v>16500</v>
      </c>
      <c r="F468" s="268">
        <f t="shared" si="52"/>
        <v>0</v>
      </c>
    </row>
    <row r="469" spans="1:6" customFormat="1" ht="21.75" customHeight="1" x14ac:dyDescent="0.25">
      <c r="A469" s="270" t="s">
        <v>645</v>
      </c>
      <c r="B469" s="269" t="s">
        <v>68</v>
      </c>
      <c r="C469" s="271"/>
      <c r="D469" s="272" t="s">
        <v>79</v>
      </c>
      <c r="E469" s="268">
        <v>8500</v>
      </c>
      <c r="F469" s="268">
        <f t="shared" si="52"/>
        <v>0</v>
      </c>
    </row>
    <row r="470" spans="1:6" customFormat="1" ht="18" customHeight="1" x14ac:dyDescent="0.25">
      <c r="A470" s="270" t="s">
        <v>646</v>
      </c>
      <c r="B470" s="269" t="s">
        <v>69</v>
      </c>
      <c r="C470" s="271"/>
      <c r="D470" s="272" t="s">
        <v>79</v>
      </c>
      <c r="E470" s="268">
        <v>1150</v>
      </c>
      <c r="F470" s="268">
        <f t="shared" si="52"/>
        <v>0</v>
      </c>
    </row>
    <row r="471" spans="1:6" customFormat="1" ht="30.75" customHeight="1" x14ac:dyDescent="0.25">
      <c r="A471" s="270" t="s">
        <v>647</v>
      </c>
      <c r="B471" s="269" t="s">
        <v>620</v>
      </c>
      <c r="C471" s="271"/>
      <c r="D471" s="272" t="s">
        <v>79</v>
      </c>
      <c r="E471" s="268">
        <v>1650</v>
      </c>
      <c r="F471" s="268">
        <f t="shared" si="52"/>
        <v>0</v>
      </c>
    </row>
    <row r="472" spans="1:6" customFormat="1" ht="30" customHeight="1" x14ac:dyDescent="0.25">
      <c r="A472" s="270" t="s">
        <v>648</v>
      </c>
      <c r="B472" s="269" t="s">
        <v>70</v>
      </c>
      <c r="C472" s="271"/>
      <c r="D472" s="272" t="s">
        <v>79</v>
      </c>
      <c r="E472" s="268">
        <v>1650</v>
      </c>
      <c r="F472" s="268">
        <f t="shared" si="52"/>
        <v>0</v>
      </c>
    </row>
    <row r="473" spans="1:6" customFormat="1" ht="30" customHeight="1" x14ac:dyDescent="0.25">
      <c r="A473" s="270" t="s">
        <v>649</v>
      </c>
      <c r="B473" s="269" t="s">
        <v>621</v>
      </c>
      <c r="C473" s="271"/>
      <c r="D473" s="272" t="s">
        <v>79</v>
      </c>
      <c r="E473" s="268">
        <v>4500</v>
      </c>
      <c r="F473" s="268">
        <f t="shared" si="52"/>
        <v>0</v>
      </c>
    </row>
    <row r="474" spans="1:6" customFormat="1" ht="30" customHeight="1" x14ac:dyDescent="0.25">
      <c r="A474" s="270" t="s">
        <v>650</v>
      </c>
      <c r="B474" s="269" t="s">
        <v>622</v>
      </c>
      <c r="C474" s="271"/>
      <c r="D474" s="272" t="s">
        <v>79</v>
      </c>
      <c r="E474" s="268">
        <v>2500</v>
      </c>
      <c r="F474" s="268">
        <f t="shared" si="52"/>
        <v>0</v>
      </c>
    </row>
    <row r="475" spans="1:6" customFormat="1" ht="30" customHeight="1" x14ac:dyDescent="0.25">
      <c r="A475" s="270" t="s">
        <v>651</v>
      </c>
      <c r="B475" s="269" t="s">
        <v>623</v>
      </c>
      <c r="C475" s="271"/>
      <c r="D475" s="272" t="s">
        <v>79</v>
      </c>
      <c r="E475" s="268">
        <v>23000</v>
      </c>
      <c r="F475" s="268">
        <f t="shared" si="52"/>
        <v>0</v>
      </c>
    </row>
    <row r="476" spans="1:6" customFormat="1" ht="42.75" customHeight="1" x14ac:dyDescent="0.25">
      <c r="A476" s="270" t="s">
        <v>652</v>
      </c>
      <c r="B476" s="269" t="s">
        <v>624</v>
      </c>
      <c r="C476" s="271"/>
      <c r="D476" s="272" t="s">
        <v>79</v>
      </c>
      <c r="E476" s="268">
        <v>35000</v>
      </c>
      <c r="F476" s="268">
        <f t="shared" si="52"/>
        <v>0</v>
      </c>
    </row>
    <row r="477" spans="1:6" customFormat="1" ht="13.2" x14ac:dyDescent="0.25">
      <c r="A477" s="267"/>
      <c r="B477" s="266"/>
      <c r="C477" s="266"/>
      <c r="D477" s="267"/>
      <c r="E477" s="268"/>
      <c r="F477" s="266"/>
    </row>
    <row r="478" spans="1:6" customFormat="1" thickBot="1" x14ac:dyDescent="0.3">
      <c r="A478" s="267"/>
      <c r="B478" s="266"/>
      <c r="C478" s="266"/>
      <c r="D478" s="267"/>
      <c r="E478" s="268"/>
      <c r="F478" s="279">
        <f>SUM(F462:F477)</f>
        <v>126500</v>
      </c>
    </row>
    <row r="479" spans="1:6" customFormat="1" thickTop="1" x14ac:dyDescent="0.25">
      <c r="A479" s="278" t="s">
        <v>625</v>
      </c>
      <c r="B479" s="273" t="s">
        <v>626</v>
      </c>
      <c r="C479" s="266"/>
      <c r="D479" s="267"/>
      <c r="E479" s="268"/>
      <c r="F479" s="266"/>
    </row>
    <row r="480" spans="1:6" customFormat="1" ht="13.2" x14ac:dyDescent="0.25">
      <c r="A480" s="267"/>
      <c r="B480" s="269" t="s">
        <v>613</v>
      </c>
      <c r="C480" s="266"/>
      <c r="D480" s="267"/>
      <c r="E480" s="268"/>
      <c r="F480" s="266"/>
    </row>
    <row r="481" spans="1:6" customFormat="1" ht="19.5" customHeight="1" x14ac:dyDescent="0.25">
      <c r="A481" s="270" t="s">
        <v>662</v>
      </c>
      <c r="B481" s="274" t="s">
        <v>627</v>
      </c>
      <c r="C481" s="275"/>
      <c r="D481" s="272" t="s">
        <v>79</v>
      </c>
      <c r="E481" s="268">
        <v>5630</v>
      </c>
      <c r="F481" s="268">
        <f>E481*C481</f>
        <v>0</v>
      </c>
    </row>
    <row r="482" spans="1:6" customFormat="1" ht="18.75" customHeight="1" x14ac:dyDescent="0.25">
      <c r="A482" s="270" t="s">
        <v>663</v>
      </c>
      <c r="B482" s="269" t="s">
        <v>628</v>
      </c>
      <c r="C482" s="275"/>
      <c r="D482" s="272" t="s">
        <v>79</v>
      </c>
      <c r="E482" s="268">
        <v>5200</v>
      </c>
      <c r="F482" s="268">
        <f t="shared" ref="F482:F489" si="53">E482*C482</f>
        <v>0</v>
      </c>
    </row>
    <row r="483" spans="1:6" customFormat="1" ht="18.75" customHeight="1" x14ac:dyDescent="0.25">
      <c r="A483" s="270" t="s">
        <v>664</v>
      </c>
      <c r="B483" s="269" t="s">
        <v>619</v>
      </c>
      <c r="C483" s="275"/>
      <c r="D483" s="272" t="s">
        <v>79</v>
      </c>
      <c r="E483" s="268">
        <v>4235</v>
      </c>
      <c r="F483" s="268">
        <f t="shared" si="53"/>
        <v>0</v>
      </c>
    </row>
    <row r="484" spans="1:6" customFormat="1" ht="22.5" customHeight="1" x14ac:dyDescent="0.25">
      <c r="A484" s="270" t="s">
        <v>665</v>
      </c>
      <c r="B484" s="269" t="s">
        <v>629</v>
      </c>
      <c r="C484" s="275"/>
      <c r="D484" s="272" t="s">
        <v>79</v>
      </c>
      <c r="E484" s="268">
        <v>687</v>
      </c>
      <c r="F484" s="268">
        <f t="shared" si="53"/>
        <v>0</v>
      </c>
    </row>
    <row r="485" spans="1:6" customFormat="1" ht="23.25" customHeight="1" x14ac:dyDescent="0.25">
      <c r="A485" s="270" t="s">
        <v>666</v>
      </c>
      <c r="B485" s="269" t="s">
        <v>630</v>
      </c>
      <c r="C485" s="275"/>
      <c r="D485" s="272" t="s">
        <v>79</v>
      </c>
      <c r="E485" s="268">
        <v>687</v>
      </c>
      <c r="F485" s="268">
        <f t="shared" si="53"/>
        <v>0</v>
      </c>
    </row>
    <row r="486" spans="1:6" customFormat="1" ht="21" customHeight="1" x14ac:dyDescent="0.25">
      <c r="A486" s="270" t="s">
        <v>667</v>
      </c>
      <c r="B486" s="269" t="s">
        <v>71</v>
      </c>
      <c r="C486" s="275"/>
      <c r="D486" s="272" t="s">
        <v>79</v>
      </c>
      <c r="E486" s="268">
        <v>1650</v>
      </c>
      <c r="F486" s="268">
        <f t="shared" si="53"/>
        <v>0</v>
      </c>
    </row>
    <row r="487" spans="1:6" customFormat="1" ht="21" customHeight="1" x14ac:dyDescent="0.25">
      <c r="A487" s="270" t="s">
        <v>668</v>
      </c>
      <c r="B487" s="269" t="s">
        <v>631</v>
      </c>
      <c r="C487" s="275"/>
      <c r="D487" s="272" t="s">
        <v>79</v>
      </c>
      <c r="E487" s="268">
        <v>3500</v>
      </c>
      <c r="F487" s="268">
        <f t="shared" si="53"/>
        <v>0</v>
      </c>
    </row>
    <row r="488" spans="1:6" customFormat="1" ht="21" customHeight="1" x14ac:dyDescent="0.25">
      <c r="A488" s="270" t="s">
        <v>669</v>
      </c>
      <c r="B488" s="269" t="s">
        <v>632</v>
      </c>
      <c r="C488" s="275"/>
      <c r="D488" s="272" t="s">
        <v>79</v>
      </c>
      <c r="E488" s="268">
        <v>15000</v>
      </c>
      <c r="F488" s="268">
        <v>15000</v>
      </c>
    </row>
    <row r="489" spans="1:6" customFormat="1" ht="35.25" customHeight="1" x14ac:dyDescent="0.25">
      <c r="A489" s="270" t="s">
        <v>670</v>
      </c>
      <c r="B489" s="269" t="s">
        <v>633</v>
      </c>
      <c r="C489" s="275"/>
      <c r="D489" s="272" t="s">
        <v>79</v>
      </c>
      <c r="E489" s="268">
        <v>9500</v>
      </c>
      <c r="F489" s="268">
        <f t="shared" si="53"/>
        <v>0</v>
      </c>
    </row>
    <row r="490" spans="1:6" customFormat="1" ht="13.2" x14ac:dyDescent="0.25">
      <c r="A490" s="267"/>
      <c r="B490" s="266"/>
      <c r="C490" s="266"/>
      <c r="D490" s="267"/>
      <c r="E490" s="268"/>
      <c r="F490" s="266"/>
    </row>
    <row r="491" spans="1:6" customFormat="1" thickBot="1" x14ac:dyDescent="0.3">
      <c r="A491" s="267"/>
      <c r="B491" s="266"/>
      <c r="C491" s="266"/>
      <c r="D491" s="267"/>
      <c r="E491" s="268"/>
      <c r="F491" s="279">
        <f>SUM(F481:F490)</f>
        <v>15000</v>
      </c>
    </row>
    <row r="492" spans="1:6" customFormat="1" thickTop="1" x14ac:dyDescent="0.25">
      <c r="A492" s="267" t="s">
        <v>634</v>
      </c>
      <c r="B492" s="273" t="s">
        <v>635</v>
      </c>
      <c r="C492" s="266"/>
      <c r="D492" s="267"/>
      <c r="E492" s="268"/>
      <c r="F492" s="266"/>
    </row>
    <row r="493" spans="1:6" customFormat="1" ht="13.2" x14ac:dyDescent="0.25">
      <c r="A493" s="267"/>
      <c r="B493" s="269" t="s">
        <v>613</v>
      </c>
      <c r="C493" s="266"/>
      <c r="D493" s="267"/>
      <c r="E493" s="268"/>
      <c r="F493" s="266"/>
    </row>
    <row r="494" spans="1:6" customFormat="1" ht="13.2" x14ac:dyDescent="0.25">
      <c r="A494" s="270" t="s">
        <v>671</v>
      </c>
      <c r="B494" s="274" t="s">
        <v>627</v>
      </c>
      <c r="C494" s="275"/>
      <c r="D494" s="272" t="s">
        <v>79</v>
      </c>
      <c r="E494" s="268">
        <v>5630</v>
      </c>
      <c r="F494" s="268">
        <f>E494*C494</f>
        <v>0</v>
      </c>
    </row>
    <row r="495" spans="1:6" customFormat="1" ht="13.2" x14ac:dyDescent="0.25">
      <c r="A495" s="270" t="s">
        <v>672</v>
      </c>
      <c r="B495" s="269" t="s">
        <v>628</v>
      </c>
      <c r="C495" s="275"/>
      <c r="D495" s="272" t="s">
        <v>79</v>
      </c>
      <c r="E495" s="268">
        <v>5200</v>
      </c>
      <c r="F495" s="268">
        <f t="shared" ref="F495:F502" si="54">E495*C495</f>
        <v>0</v>
      </c>
    </row>
    <row r="496" spans="1:6" customFormat="1" ht="13.2" x14ac:dyDescent="0.25">
      <c r="A496" s="270" t="s">
        <v>673</v>
      </c>
      <c r="B496" s="269" t="s">
        <v>619</v>
      </c>
      <c r="C496" s="275"/>
      <c r="D496" s="272" t="s">
        <v>79</v>
      </c>
      <c r="E496" s="268">
        <v>4235</v>
      </c>
      <c r="F496" s="268">
        <f t="shared" si="54"/>
        <v>0</v>
      </c>
    </row>
    <row r="497" spans="1:6" customFormat="1" ht="13.2" x14ac:dyDescent="0.25">
      <c r="A497" s="270" t="s">
        <v>674</v>
      </c>
      <c r="B497" s="269" t="s">
        <v>629</v>
      </c>
      <c r="C497" s="275"/>
      <c r="D497" s="272" t="s">
        <v>79</v>
      </c>
      <c r="E497" s="268">
        <v>687</v>
      </c>
      <c r="F497" s="268">
        <f t="shared" si="54"/>
        <v>0</v>
      </c>
    </row>
    <row r="498" spans="1:6" customFormat="1" ht="13.2" x14ac:dyDescent="0.25">
      <c r="A498" s="270" t="s">
        <v>675</v>
      </c>
      <c r="B498" s="269" t="s">
        <v>630</v>
      </c>
      <c r="C498" s="275"/>
      <c r="D498" s="272" t="s">
        <v>79</v>
      </c>
      <c r="E498" s="268">
        <v>687</v>
      </c>
      <c r="F498" s="268">
        <f t="shared" si="54"/>
        <v>0</v>
      </c>
    </row>
    <row r="499" spans="1:6" customFormat="1" ht="13.2" x14ac:dyDescent="0.25">
      <c r="A499" s="270" t="s">
        <v>676</v>
      </c>
      <c r="B499" s="269" t="s">
        <v>631</v>
      </c>
      <c r="C499" s="275"/>
      <c r="D499" s="272" t="s">
        <v>79</v>
      </c>
      <c r="E499" s="268">
        <v>3500</v>
      </c>
      <c r="F499" s="268">
        <f t="shared" si="54"/>
        <v>0</v>
      </c>
    </row>
    <row r="500" spans="1:6" customFormat="1" ht="13.2" x14ac:dyDescent="0.25">
      <c r="A500" s="270" t="s">
        <v>677</v>
      </c>
      <c r="B500" s="269" t="s">
        <v>632</v>
      </c>
      <c r="C500" s="275"/>
      <c r="D500" s="272" t="s">
        <v>79</v>
      </c>
      <c r="E500" s="268">
        <v>15000</v>
      </c>
      <c r="F500" s="268">
        <f t="shared" si="54"/>
        <v>0</v>
      </c>
    </row>
    <row r="501" spans="1:6" customFormat="1" ht="13.2" x14ac:dyDescent="0.25">
      <c r="A501" s="270" t="s">
        <v>678</v>
      </c>
      <c r="B501" s="269" t="s">
        <v>71</v>
      </c>
      <c r="C501" s="275"/>
      <c r="D501" s="272" t="s">
        <v>79</v>
      </c>
      <c r="E501" s="276">
        <v>1650</v>
      </c>
      <c r="F501" s="268">
        <f t="shared" si="54"/>
        <v>0</v>
      </c>
    </row>
    <row r="502" spans="1:6" customFormat="1" ht="26.4" x14ac:dyDescent="0.25">
      <c r="A502" s="270" t="s">
        <v>679</v>
      </c>
      <c r="B502" s="269" t="s">
        <v>680</v>
      </c>
      <c r="C502" s="275"/>
      <c r="D502" s="272" t="s">
        <v>79</v>
      </c>
      <c r="E502" s="276">
        <v>9500</v>
      </c>
      <c r="F502" s="268">
        <f t="shared" si="54"/>
        <v>0</v>
      </c>
    </row>
    <row r="503" spans="1:6" customFormat="1" ht="13.2" x14ac:dyDescent="0.25">
      <c r="A503" s="277"/>
      <c r="B503" s="266"/>
      <c r="C503" s="266"/>
      <c r="D503" s="267"/>
      <c r="E503" s="268"/>
      <c r="F503" s="266"/>
    </row>
    <row r="504" spans="1:6" customFormat="1" thickBot="1" x14ac:dyDescent="0.3">
      <c r="A504" s="267"/>
      <c r="B504" s="266"/>
      <c r="C504" s="266"/>
      <c r="D504" s="267"/>
      <c r="E504" s="268"/>
      <c r="F504" s="279">
        <f>SUM(F494:F503)</f>
        <v>0</v>
      </c>
    </row>
    <row r="505" spans="1:6" customFormat="1" thickTop="1" x14ac:dyDescent="0.25">
      <c r="A505" s="267" t="s">
        <v>636</v>
      </c>
      <c r="B505" s="273" t="s">
        <v>637</v>
      </c>
      <c r="C505" s="266"/>
      <c r="D505" s="267"/>
      <c r="E505" s="268"/>
      <c r="F505" s="266"/>
    </row>
    <row r="506" spans="1:6" customFormat="1" ht="13.2" x14ac:dyDescent="0.25">
      <c r="A506" s="267"/>
      <c r="B506" s="269" t="s">
        <v>613</v>
      </c>
      <c r="C506" s="266"/>
      <c r="D506" s="267"/>
      <c r="E506" s="268"/>
      <c r="F506" s="266"/>
    </row>
    <row r="507" spans="1:6" customFormat="1" ht="13.2" x14ac:dyDescent="0.25">
      <c r="A507" s="270" t="s">
        <v>653</v>
      </c>
      <c r="B507" s="274" t="s">
        <v>627</v>
      </c>
      <c r="C507" s="275"/>
      <c r="D507" s="272" t="s">
        <v>0</v>
      </c>
      <c r="E507" s="268">
        <v>5630</v>
      </c>
      <c r="F507" s="268">
        <f>E507*C507</f>
        <v>0</v>
      </c>
    </row>
    <row r="508" spans="1:6" customFormat="1" ht="13.2" x14ac:dyDescent="0.25">
      <c r="A508" s="270" t="s">
        <v>654</v>
      </c>
      <c r="B508" s="269" t="s">
        <v>628</v>
      </c>
      <c r="C508" s="275"/>
      <c r="D508" s="272" t="s">
        <v>0</v>
      </c>
      <c r="E508" s="268">
        <v>5200</v>
      </c>
      <c r="F508" s="268">
        <f t="shared" ref="F508:F515" si="55">E508*C508</f>
        <v>0</v>
      </c>
    </row>
    <row r="509" spans="1:6" customFormat="1" ht="13.2" x14ac:dyDescent="0.25">
      <c r="A509" s="270" t="s">
        <v>655</v>
      </c>
      <c r="B509" s="269" t="s">
        <v>619</v>
      </c>
      <c r="C509" s="275"/>
      <c r="D509" s="272" t="s">
        <v>0</v>
      </c>
      <c r="E509" s="268">
        <v>4235</v>
      </c>
      <c r="F509" s="268">
        <f t="shared" si="55"/>
        <v>0</v>
      </c>
    </row>
    <row r="510" spans="1:6" customFormat="1" ht="13.2" x14ac:dyDescent="0.25">
      <c r="A510" s="270" t="s">
        <v>656</v>
      </c>
      <c r="B510" s="269" t="s">
        <v>629</v>
      </c>
      <c r="C510" s="275"/>
      <c r="D510" s="272" t="s">
        <v>0</v>
      </c>
      <c r="E510" s="268">
        <v>687</v>
      </c>
      <c r="F510" s="268">
        <f t="shared" si="55"/>
        <v>0</v>
      </c>
    </row>
    <row r="511" spans="1:6" customFormat="1" ht="13.2" x14ac:dyDescent="0.25">
      <c r="A511" s="270" t="s">
        <v>657</v>
      </c>
      <c r="B511" s="269" t="s">
        <v>630</v>
      </c>
      <c r="C511" s="275"/>
      <c r="D511" s="272" t="s">
        <v>0</v>
      </c>
      <c r="E511" s="268">
        <v>687</v>
      </c>
      <c r="F511" s="268">
        <f t="shared" si="55"/>
        <v>0</v>
      </c>
    </row>
    <row r="512" spans="1:6" customFormat="1" ht="13.2" x14ac:dyDescent="0.25">
      <c r="A512" s="270" t="s">
        <v>658</v>
      </c>
      <c r="B512" s="269" t="s">
        <v>631</v>
      </c>
      <c r="C512" s="275"/>
      <c r="D512" s="272" t="s">
        <v>0</v>
      </c>
      <c r="E512" s="268">
        <v>3500</v>
      </c>
      <c r="F512" s="268">
        <f t="shared" si="55"/>
        <v>0</v>
      </c>
    </row>
    <row r="513" spans="1:6" customFormat="1" ht="13.2" x14ac:dyDescent="0.25">
      <c r="A513" s="270" t="s">
        <v>659</v>
      </c>
      <c r="B513" s="269" t="s">
        <v>632</v>
      </c>
      <c r="C513" s="275"/>
      <c r="D513" s="272" t="s">
        <v>0</v>
      </c>
      <c r="E513" s="268">
        <v>15000</v>
      </c>
      <c r="F513" s="268">
        <f t="shared" si="55"/>
        <v>0</v>
      </c>
    </row>
    <row r="514" spans="1:6" customFormat="1" ht="13.2" x14ac:dyDescent="0.25">
      <c r="A514" s="270" t="s">
        <v>660</v>
      </c>
      <c r="B514" s="269" t="s">
        <v>71</v>
      </c>
      <c r="C514" s="275"/>
      <c r="D514" s="272" t="s">
        <v>0</v>
      </c>
      <c r="E514" s="268">
        <v>1650</v>
      </c>
      <c r="F514" s="268">
        <f t="shared" si="55"/>
        <v>0</v>
      </c>
    </row>
    <row r="515" spans="1:6" customFormat="1" ht="26.4" x14ac:dyDescent="0.25">
      <c r="A515" s="270" t="s">
        <v>661</v>
      </c>
      <c r="B515" s="269" t="s">
        <v>633</v>
      </c>
      <c r="C515" s="275"/>
      <c r="D515" s="272" t="s">
        <v>0</v>
      </c>
      <c r="E515" s="268">
        <v>9500</v>
      </c>
      <c r="F515" s="268">
        <f t="shared" si="55"/>
        <v>0</v>
      </c>
    </row>
    <row r="516" spans="1:6" ht="14.4" thickBot="1" x14ac:dyDescent="0.3">
      <c r="A516" s="227"/>
      <c r="B516" s="236"/>
      <c r="C516" s="245"/>
      <c r="D516" s="252"/>
      <c r="E516" s="260"/>
      <c r="F516" s="280">
        <f>SUM(F507:F515)</f>
        <v>0</v>
      </c>
    </row>
    <row r="517" spans="1:6" ht="14.4" thickTop="1" x14ac:dyDescent="0.25">
      <c r="A517" s="228"/>
      <c r="B517" s="237"/>
      <c r="C517" s="246"/>
      <c r="D517" s="253"/>
      <c r="E517" s="261"/>
      <c r="F517" s="255"/>
    </row>
    <row r="518" spans="1:6" ht="46.5" customHeight="1" x14ac:dyDescent="0.25">
      <c r="A518" s="233" t="s">
        <v>315</v>
      </c>
      <c r="B518" s="238" t="s">
        <v>593</v>
      </c>
      <c r="C518" s="247"/>
      <c r="D518" s="254" t="s">
        <v>56</v>
      </c>
      <c r="E518" s="262">
        <f>760*3.28</f>
        <v>2492.7999999999997</v>
      </c>
      <c r="F518" s="257">
        <f>E518*C518</f>
        <v>0</v>
      </c>
    </row>
    <row r="519" spans="1:6" x14ac:dyDescent="0.25">
      <c r="A519" s="225"/>
      <c r="B519" s="239"/>
      <c r="C519" s="245"/>
      <c r="D519" s="252"/>
      <c r="E519" s="260"/>
      <c r="F519" s="255"/>
    </row>
    <row r="520" spans="1:6" x14ac:dyDescent="0.25">
      <c r="A520" s="21" t="s">
        <v>316</v>
      </c>
      <c r="B520" s="240" t="s">
        <v>72</v>
      </c>
      <c r="C520" s="246"/>
      <c r="D520" s="253" t="s">
        <v>0</v>
      </c>
      <c r="E520" s="261">
        <v>4380</v>
      </c>
      <c r="F520" s="256">
        <f>E520*C520</f>
        <v>0</v>
      </c>
    </row>
    <row r="521" spans="1:6" ht="55.2" x14ac:dyDescent="0.25">
      <c r="A521" s="21"/>
      <c r="B521" s="240" t="s">
        <v>73</v>
      </c>
      <c r="C521" s="246"/>
      <c r="D521" s="253"/>
      <c r="E521" s="261"/>
      <c r="F521" s="256"/>
    </row>
    <row r="522" spans="1:6" x14ac:dyDescent="0.25">
      <c r="A522" s="21"/>
      <c r="B522" s="240"/>
      <c r="C522" s="246"/>
      <c r="D522" s="253"/>
      <c r="E522" s="261"/>
      <c r="F522" s="256"/>
    </row>
    <row r="523" spans="1:6" x14ac:dyDescent="0.25">
      <c r="A523" s="21" t="s">
        <v>317</v>
      </c>
      <c r="B523" s="240" t="s">
        <v>74</v>
      </c>
      <c r="C523" s="246"/>
      <c r="D523" s="253" t="s">
        <v>0</v>
      </c>
      <c r="E523" s="261">
        <v>4150</v>
      </c>
      <c r="F523" s="256">
        <f>C523*E523</f>
        <v>0</v>
      </c>
    </row>
    <row r="524" spans="1:6" ht="55.2" x14ac:dyDescent="0.25">
      <c r="A524" s="21"/>
      <c r="B524" s="240" t="s">
        <v>75</v>
      </c>
      <c r="C524" s="246"/>
      <c r="D524" s="253"/>
      <c r="E524" s="261"/>
      <c r="F524" s="256"/>
    </row>
    <row r="525" spans="1:6" x14ac:dyDescent="0.25">
      <c r="A525" s="21"/>
      <c r="B525" s="240"/>
      <c r="C525" s="246"/>
      <c r="D525" s="241"/>
      <c r="E525" s="263"/>
      <c r="F525" s="256"/>
    </row>
    <row r="526" spans="1:6" x14ac:dyDescent="0.25">
      <c r="A526" s="21" t="s">
        <v>318</v>
      </c>
      <c r="B526" s="240" t="s">
        <v>125</v>
      </c>
      <c r="C526" s="246"/>
      <c r="D526" s="241"/>
      <c r="E526" s="263"/>
      <c r="F526" s="256"/>
    </row>
    <row r="527" spans="1:6" ht="55.2" x14ac:dyDescent="0.25">
      <c r="A527" s="21"/>
      <c r="B527" s="240" t="s">
        <v>594</v>
      </c>
      <c r="C527" s="246"/>
      <c r="D527" s="241" t="s">
        <v>0</v>
      </c>
      <c r="E527" s="263">
        <v>3395</v>
      </c>
      <c r="F527" s="256">
        <f>C527*E527</f>
        <v>0</v>
      </c>
    </row>
    <row r="528" spans="1:6" x14ac:dyDescent="0.25">
      <c r="A528" s="21"/>
      <c r="B528" s="240"/>
      <c r="C528" s="246"/>
      <c r="D528" s="241"/>
      <c r="E528" s="263"/>
      <c r="F528" s="256"/>
    </row>
    <row r="529" spans="1:6" x14ac:dyDescent="0.25">
      <c r="A529" s="21" t="s">
        <v>319</v>
      </c>
      <c r="B529" s="240" t="s">
        <v>103</v>
      </c>
      <c r="C529" s="246"/>
      <c r="D529" s="241" t="s">
        <v>0</v>
      </c>
      <c r="E529" s="263">
        <v>3250</v>
      </c>
      <c r="F529" s="256">
        <f>E529*C529</f>
        <v>0</v>
      </c>
    </row>
    <row r="530" spans="1:6" x14ac:dyDescent="0.25">
      <c r="A530" s="21"/>
      <c r="B530" s="240"/>
      <c r="C530" s="246"/>
      <c r="D530" s="241"/>
      <c r="E530" s="263"/>
      <c r="F530" s="256"/>
    </row>
    <row r="531" spans="1:6" x14ac:dyDescent="0.25">
      <c r="A531" s="21" t="s">
        <v>320</v>
      </c>
      <c r="B531" s="240" t="s">
        <v>104</v>
      </c>
      <c r="C531" s="246"/>
      <c r="D531" s="241" t="s">
        <v>0</v>
      </c>
      <c r="E531" s="263">
        <v>4200</v>
      </c>
      <c r="F531" s="256">
        <f>E531*C531</f>
        <v>0</v>
      </c>
    </row>
    <row r="532" spans="1:6" x14ac:dyDescent="0.25">
      <c r="A532" s="21"/>
      <c r="B532" s="240"/>
      <c r="C532" s="246"/>
      <c r="D532" s="241"/>
      <c r="E532" s="263"/>
      <c r="F532" s="256"/>
    </row>
    <row r="533" spans="1:6" x14ac:dyDescent="0.25">
      <c r="A533" s="21" t="s">
        <v>321</v>
      </c>
      <c r="B533" s="240" t="s">
        <v>76</v>
      </c>
      <c r="C533" s="246"/>
      <c r="D533" s="241" t="s">
        <v>0</v>
      </c>
      <c r="E533" s="263">
        <v>2840</v>
      </c>
      <c r="F533" s="256">
        <f>C533*E533</f>
        <v>0</v>
      </c>
    </row>
    <row r="534" spans="1:6" ht="27.6" x14ac:dyDescent="0.25">
      <c r="A534" s="21"/>
      <c r="B534" s="240" t="s">
        <v>595</v>
      </c>
      <c r="C534" s="246"/>
      <c r="D534" s="241"/>
      <c r="E534" s="263"/>
      <c r="F534" s="256"/>
    </row>
    <row r="535" spans="1:6" ht="27.6" x14ac:dyDescent="0.25">
      <c r="A535" s="21"/>
      <c r="B535" s="240" t="s">
        <v>77</v>
      </c>
      <c r="C535" s="246"/>
      <c r="D535" s="241"/>
      <c r="E535" s="197"/>
      <c r="F535" s="232"/>
    </row>
    <row r="536" spans="1:6" x14ac:dyDescent="0.25">
      <c r="A536" s="21"/>
      <c r="B536" s="240"/>
      <c r="C536" s="246"/>
      <c r="D536" s="241"/>
      <c r="E536" s="197"/>
      <c r="F536" s="232"/>
    </row>
    <row r="537" spans="1:6" ht="69" x14ac:dyDescent="0.25">
      <c r="A537" s="21" t="s">
        <v>322</v>
      </c>
      <c r="B537" s="240" t="s">
        <v>596</v>
      </c>
      <c r="C537" s="246"/>
      <c r="D537" s="241" t="s">
        <v>0</v>
      </c>
      <c r="E537" s="197">
        <v>6215</v>
      </c>
      <c r="F537" s="232">
        <f>C537*E537</f>
        <v>0</v>
      </c>
    </row>
    <row r="538" spans="1:6" x14ac:dyDescent="0.25">
      <c r="A538" s="21"/>
      <c r="B538" s="240"/>
      <c r="C538" s="246"/>
      <c r="D538" s="241"/>
      <c r="E538" s="197"/>
      <c r="F538" s="232"/>
    </row>
    <row r="539" spans="1:6" ht="73.95" customHeight="1" x14ac:dyDescent="0.25">
      <c r="A539" s="21" t="s">
        <v>323</v>
      </c>
      <c r="B539" s="240" t="s">
        <v>597</v>
      </c>
      <c r="C539" s="246"/>
      <c r="D539" s="241" t="s">
        <v>0</v>
      </c>
      <c r="E539" s="197">
        <v>6580</v>
      </c>
      <c r="F539" s="232">
        <f>C539*E539</f>
        <v>0</v>
      </c>
    </row>
    <row r="540" spans="1:6" x14ac:dyDescent="0.25">
      <c r="A540" s="21"/>
      <c r="B540" s="22"/>
      <c r="C540" s="248"/>
      <c r="D540" s="241"/>
      <c r="E540" s="197"/>
      <c r="F540" s="232"/>
    </row>
    <row r="541" spans="1:6" x14ac:dyDescent="0.25">
      <c r="A541" s="21" t="s">
        <v>324</v>
      </c>
      <c r="B541" s="186" t="s">
        <v>598</v>
      </c>
      <c r="C541" s="248"/>
      <c r="D541" s="241" t="s">
        <v>0</v>
      </c>
      <c r="E541" s="197">
        <v>2300</v>
      </c>
      <c r="F541" s="232">
        <f>C541*E541</f>
        <v>0</v>
      </c>
    </row>
    <row r="542" spans="1:6" x14ac:dyDescent="0.25">
      <c r="A542" s="21"/>
      <c r="B542" s="186" t="s">
        <v>599</v>
      </c>
      <c r="C542" s="248"/>
      <c r="D542" s="241"/>
      <c r="E542" s="197"/>
      <c r="F542" s="232"/>
    </row>
    <row r="543" spans="1:6" x14ac:dyDescent="0.25">
      <c r="A543" s="21" t="s">
        <v>325</v>
      </c>
      <c r="B543" s="22" t="s">
        <v>600</v>
      </c>
      <c r="C543" s="248"/>
      <c r="D543" s="241" t="s">
        <v>0</v>
      </c>
      <c r="E543" s="197">
        <v>5600</v>
      </c>
      <c r="F543" s="232">
        <f>C543*E543</f>
        <v>0</v>
      </c>
    </row>
    <row r="544" spans="1:6" x14ac:dyDescent="0.25">
      <c r="A544" s="21"/>
      <c r="B544" s="22" t="s">
        <v>601</v>
      </c>
      <c r="C544" s="248"/>
      <c r="D544" s="241"/>
      <c r="E544" s="197"/>
      <c r="F544" s="232"/>
    </row>
    <row r="545" spans="1:6" ht="41.4" x14ac:dyDescent="0.25">
      <c r="A545" s="21" t="s">
        <v>326</v>
      </c>
      <c r="B545" s="22" t="s">
        <v>602</v>
      </c>
      <c r="C545" s="248"/>
      <c r="D545" s="241" t="s">
        <v>0</v>
      </c>
      <c r="E545" s="197">
        <v>3625</v>
      </c>
      <c r="F545" s="232">
        <f>C545*E545</f>
        <v>0</v>
      </c>
    </row>
    <row r="546" spans="1:6" x14ac:dyDescent="0.25">
      <c r="A546" s="21"/>
      <c r="B546" s="22"/>
      <c r="C546" s="248"/>
      <c r="D546" s="241"/>
      <c r="E546" s="197"/>
      <c r="F546" s="41"/>
    </row>
    <row r="547" spans="1:6" x14ac:dyDescent="0.25">
      <c r="A547" s="21" t="s">
        <v>327</v>
      </c>
      <c r="B547" s="187" t="s">
        <v>603</v>
      </c>
      <c r="C547" s="248"/>
      <c r="D547" s="241" t="s">
        <v>0</v>
      </c>
      <c r="E547" s="197">
        <v>6380</v>
      </c>
      <c r="F547" s="41">
        <f>C547*E547</f>
        <v>0</v>
      </c>
    </row>
    <row r="548" spans="1:6" x14ac:dyDescent="0.25">
      <c r="A548" s="21"/>
      <c r="B548" s="22"/>
      <c r="C548" s="248"/>
      <c r="D548" s="241"/>
      <c r="E548" s="197"/>
      <c r="F548" s="41"/>
    </row>
    <row r="549" spans="1:6" x14ac:dyDescent="0.25">
      <c r="A549" s="21"/>
      <c r="B549" s="22" t="s">
        <v>106</v>
      </c>
      <c r="C549" s="248"/>
      <c r="D549" s="241"/>
      <c r="E549" s="197"/>
      <c r="F549" s="41"/>
    </row>
    <row r="550" spans="1:6" ht="82.8" x14ac:dyDescent="0.25">
      <c r="A550" s="21" t="s">
        <v>328</v>
      </c>
      <c r="B550" s="22" t="s">
        <v>604</v>
      </c>
      <c r="C550" s="248"/>
      <c r="D550" s="241" t="s">
        <v>13</v>
      </c>
      <c r="E550" s="197">
        <v>4730</v>
      </c>
      <c r="F550" s="41">
        <f>C550*E550</f>
        <v>0</v>
      </c>
    </row>
    <row r="551" spans="1:6" ht="41.4" x14ac:dyDescent="0.25">
      <c r="A551" s="21" t="s">
        <v>681</v>
      </c>
      <c r="B551" s="281" t="s">
        <v>682</v>
      </c>
      <c r="C551" s="248"/>
      <c r="D551" s="241" t="s">
        <v>13</v>
      </c>
      <c r="E551" s="197"/>
      <c r="F551" s="41"/>
    </row>
    <row r="552" spans="1:6" x14ac:dyDescent="0.25">
      <c r="A552" s="21"/>
      <c r="B552" s="22"/>
      <c r="C552" s="248"/>
      <c r="D552" s="241"/>
      <c r="E552" s="197"/>
      <c r="F552" s="41"/>
    </row>
    <row r="553" spans="1:6" x14ac:dyDescent="0.25">
      <c r="A553" s="21"/>
      <c r="B553" s="22"/>
      <c r="C553" s="248"/>
      <c r="D553" s="241"/>
      <c r="E553" s="197"/>
      <c r="F553" s="41"/>
    </row>
    <row r="554" spans="1:6" s="12" customFormat="1" x14ac:dyDescent="0.25">
      <c r="A554" s="102"/>
      <c r="B554" s="103" t="s">
        <v>46</v>
      </c>
      <c r="C554" s="249"/>
      <c r="D554" s="242"/>
      <c r="E554" s="199"/>
      <c r="F554" s="106">
        <f>SUM(F516:F550)</f>
        <v>0</v>
      </c>
    </row>
    <row r="555" spans="1:6" x14ac:dyDescent="0.25">
      <c r="A555" s="21"/>
      <c r="B555" s="37" t="s">
        <v>330</v>
      </c>
      <c r="C555" s="248"/>
      <c r="D555" s="241"/>
      <c r="E555" s="197"/>
      <c r="F555" s="41"/>
    </row>
    <row r="556" spans="1:6" x14ac:dyDescent="0.25">
      <c r="A556" s="21"/>
      <c r="B556" s="22"/>
      <c r="C556" s="248"/>
      <c r="D556" s="241"/>
      <c r="E556" s="197"/>
      <c r="F556" s="41"/>
    </row>
    <row r="557" spans="1:6" ht="41.4" x14ac:dyDescent="0.25">
      <c r="A557" s="21" t="s">
        <v>331</v>
      </c>
      <c r="B557" s="22" t="s">
        <v>119</v>
      </c>
      <c r="C557" s="248"/>
      <c r="D557" s="241" t="s">
        <v>101</v>
      </c>
      <c r="E557" s="197">
        <v>5904</v>
      </c>
      <c r="F557" s="41">
        <f>C557*E557</f>
        <v>0</v>
      </c>
    </row>
    <row r="558" spans="1:6" ht="41.4" x14ac:dyDescent="0.25">
      <c r="A558" s="21" t="s">
        <v>332</v>
      </c>
      <c r="B558" s="22" t="s">
        <v>121</v>
      </c>
      <c r="C558" s="248"/>
      <c r="D558" s="241" t="s">
        <v>101</v>
      </c>
      <c r="E558" s="197">
        <v>8528</v>
      </c>
      <c r="F558" s="41">
        <f>C558*E558</f>
        <v>0</v>
      </c>
    </row>
    <row r="559" spans="1:6" ht="27.6" x14ac:dyDescent="0.25">
      <c r="A559" s="21" t="s">
        <v>333</v>
      </c>
      <c r="B559" s="22" t="s">
        <v>120</v>
      </c>
      <c r="C559" s="248"/>
      <c r="D559" s="241" t="s">
        <v>101</v>
      </c>
      <c r="E559" s="197">
        <v>7134</v>
      </c>
      <c r="F559" s="41">
        <f>C559*E559</f>
        <v>0</v>
      </c>
    </row>
    <row r="560" spans="1:6" x14ac:dyDescent="0.25">
      <c r="A560" s="21"/>
      <c r="B560" s="22"/>
      <c r="C560" s="248"/>
      <c r="D560" s="241"/>
      <c r="E560" s="197"/>
      <c r="F560" s="41"/>
    </row>
    <row r="561" spans="1:6" x14ac:dyDescent="0.25">
      <c r="A561" s="21"/>
      <c r="B561" s="22"/>
      <c r="C561" s="248"/>
      <c r="D561" s="241"/>
      <c r="E561" s="197"/>
      <c r="F561" s="41"/>
    </row>
    <row r="562" spans="1:6" x14ac:dyDescent="0.25">
      <c r="A562" s="21"/>
      <c r="B562" s="22"/>
      <c r="C562" s="248"/>
      <c r="D562" s="241"/>
      <c r="E562" s="197"/>
      <c r="F562" s="41"/>
    </row>
    <row r="563" spans="1:6" x14ac:dyDescent="0.25">
      <c r="A563" s="21"/>
      <c r="B563" s="22"/>
      <c r="C563" s="248"/>
      <c r="D563" s="241"/>
      <c r="E563" s="197"/>
      <c r="F563" s="41"/>
    </row>
    <row r="564" spans="1:6" s="12" customFormat="1" x14ac:dyDescent="0.25">
      <c r="A564" s="102"/>
      <c r="B564" s="103" t="s">
        <v>46</v>
      </c>
      <c r="C564" s="249"/>
      <c r="D564" s="242"/>
      <c r="E564" s="199"/>
      <c r="F564" s="106">
        <f>SUM(F557:F561)</f>
        <v>0</v>
      </c>
    </row>
    <row r="566" spans="1:6" ht="14.4" thickBot="1" x14ac:dyDescent="0.3"/>
    <row r="567" spans="1:6" s="182" customFormat="1" thickBot="1" x14ac:dyDescent="0.3">
      <c r="A567" s="2974" t="s">
        <v>80</v>
      </c>
      <c r="B567" s="2975"/>
      <c r="C567" s="2975"/>
      <c r="D567" s="2975"/>
      <c r="E567" s="2975"/>
      <c r="F567" s="2976"/>
    </row>
    <row r="568" spans="1:6" s="182" customFormat="1" thickBot="1" x14ac:dyDescent="0.3">
      <c r="A568" s="107"/>
      <c r="B568" s="108"/>
      <c r="C568" s="108"/>
      <c r="D568" s="108"/>
      <c r="E568" s="203"/>
      <c r="F568" s="109"/>
    </row>
    <row r="569" spans="1:6" s="182" customFormat="1" thickBot="1" x14ac:dyDescent="0.3">
      <c r="A569" s="110" t="s">
        <v>0</v>
      </c>
      <c r="B569" s="111" t="s">
        <v>1</v>
      </c>
      <c r="C569" s="112" t="s">
        <v>2</v>
      </c>
      <c r="D569" s="113" t="s">
        <v>3</v>
      </c>
      <c r="E569" s="204" t="s">
        <v>4</v>
      </c>
      <c r="F569" s="114" t="s">
        <v>5</v>
      </c>
    </row>
    <row r="570" spans="1:6" s="182" customFormat="1" ht="13.2" x14ac:dyDescent="0.25">
      <c r="A570" s="115"/>
      <c r="B570" s="116"/>
      <c r="C570" s="117"/>
      <c r="D570" s="118"/>
      <c r="E570" s="205"/>
      <c r="F570" s="119"/>
    </row>
    <row r="571" spans="1:6" s="182" customFormat="1" x14ac:dyDescent="0.25">
      <c r="A571" s="9" t="s">
        <v>127</v>
      </c>
      <c r="B571" s="6" t="s">
        <v>81</v>
      </c>
      <c r="C571" s="120"/>
      <c r="D571" s="7"/>
      <c r="E571" s="206"/>
      <c r="F571" s="159">
        <f>+F82</f>
        <v>0</v>
      </c>
    </row>
    <row r="572" spans="1:6" s="182" customFormat="1" x14ac:dyDescent="0.25">
      <c r="A572" s="9" t="s">
        <v>555</v>
      </c>
      <c r="B572" s="6" t="s">
        <v>571</v>
      </c>
      <c r="C572" s="120"/>
      <c r="D572" s="7"/>
      <c r="E572" s="206"/>
      <c r="F572" s="159">
        <f>+F136</f>
        <v>0</v>
      </c>
    </row>
    <row r="573" spans="1:6" s="182" customFormat="1" x14ac:dyDescent="0.25">
      <c r="A573" s="122" t="s">
        <v>556</v>
      </c>
      <c r="B573" s="123" t="s">
        <v>572</v>
      </c>
      <c r="C573" s="124"/>
      <c r="D573" s="125"/>
      <c r="E573" s="207"/>
      <c r="F573" s="160">
        <f>+F179</f>
        <v>0</v>
      </c>
    </row>
    <row r="574" spans="1:6" s="182" customFormat="1" x14ac:dyDescent="0.25">
      <c r="A574" s="122" t="s">
        <v>557</v>
      </c>
      <c r="B574" s="123" t="s">
        <v>573</v>
      </c>
      <c r="C574" s="124"/>
      <c r="D574" s="125"/>
      <c r="E574" s="207"/>
      <c r="F574" s="160">
        <f>+F231</f>
        <v>0</v>
      </c>
    </row>
    <row r="575" spans="1:6" s="182" customFormat="1" x14ac:dyDescent="0.25">
      <c r="A575" s="122" t="s">
        <v>558</v>
      </c>
      <c r="B575" s="123" t="s">
        <v>574</v>
      </c>
      <c r="C575" s="124"/>
      <c r="D575" s="125"/>
      <c r="E575" s="207"/>
      <c r="F575" s="160">
        <f>+F238</f>
        <v>0</v>
      </c>
    </row>
    <row r="576" spans="1:6" s="182" customFormat="1" x14ac:dyDescent="0.25">
      <c r="A576" s="122" t="s">
        <v>559</v>
      </c>
      <c r="B576" s="123" t="s">
        <v>575</v>
      </c>
      <c r="C576" s="124"/>
      <c r="D576" s="125"/>
      <c r="E576" s="207"/>
      <c r="F576" s="160">
        <f>+F255</f>
        <v>0</v>
      </c>
    </row>
    <row r="577" spans="1:6" s="182" customFormat="1" x14ac:dyDescent="0.25">
      <c r="A577" s="122" t="s">
        <v>560</v>
      </c>
      <c r="B577" s="123" t="s">
        <v>576</v>
      </c>
      <c r="C577" s="124"/>
      <c r="D577" s="125"/>
      <c r="E577" s="207"/>
      <c r="F577" s="160">
        <f>+F260</f>
        <v>0</v>
      </c>
    </row>
    <row r="578" spans="1:6" s="182" customFormat="1" x14ac:dyDescent="0.25">
      <c r="A578" s="122" t="s">
        <v>561</v>
      </c>
      <c r="B578" s="123" t="s">
        <v>577</v>
      </c>
      <c r="C578" s="124"/>
      <c r="D578" s="125"/>
      <c r="E578" s="207"/>
      <c r="F578" s="160">
        <f>+F275</f>
        <v>0</v>
      </c>
    </row>
    <row r="579" spans="1:6" s="182" customFormat="1" x14ac:dyDescent="0.25">
      <c r="A579" s="122" t="s">
        <v>562</v>
      </c>
      <c r="B579" s="123" t="s">
        <v>578</v>
      </c>
      <c r="C579" s="124"/>
      <c r="D579" s="125"/>
      <c r="E579" s="207"/>
      <c r="F579" s="160">
        <f>+F304</f>
        <v>0</v>
      </c>
    </row>
    <row r="580" spans="1:6" s="182" customFormat="1" x14ac:dyDescent="0.25">
      <c r="A580" s="122" t="s">
        <v>563</v>
      </c>
      <c r="B580" s="123" t="s">
        <v>579</v>
      </c>
      <c r="C580" s="124"/>
      <c r="D580" s="125"/>
      <c r="E580" s="207"/>
      <c r="F580" s="160">
        <f>+F329</f>
        <v>0</v>
      </c>
    </row>
    <row r="581" spans="1:6" s="182" customFormat="1" x14ac:dyDescent="0.25">
      <c r="A581" s="122" t="s">
        <v>564</v>
      </c>
      <c r="B581" s="123" t="s">
        <v>580</v>
      </c>
      <c r="C581" s="124"/>
      <c r="D581" s="125"/>
      <c r="E581" s="207"/>
      <c r="F581" s="160">
        <f>+F360</f>
        <v>0</v>
      </c>
    </row>
    <row r="582" spans="1:6" s="182" customFormat="1" x14ac:dyDescent="0.25">
      <c r="A582" s="122" t="s">
        <v>329</v>
      </c>
      <c r="B582" s="123" t="s">
        <v>581</v>
      </c>
      <c r="C582" s="124"/>
      <c r="D582" s="125"/>
      <c r="E582" s="207"/>
      <c r="F582" s="160">
        <f>+F376</f>
        <v>0</v>
      </c>
    </row>
    <row r="583" spans="1:6" s="182" customFormat="1" x14ac:dyDescent="0.25">
      <c r="A583" s="122" t="s">
        <v>565</v>
      </c>
      <c r="B583" s="123" t="s">
        <v>582</v>
      </c>
      <c r="C583" s="124"/>
      <c r="D583" s="125"/>
      <c r="E583" s="207"/>
      <c r="F583" s="160">
        <f>+F387</f>
        <v>0</v>
      </c>
    </row>
    <row r="584" spans="1:6" s="182" customFormat="1" x14ac:dyDescent="0.25">
      <c r="A584" s="122" t="s">
        <v>566</v>
      </c>
      <c r="B584" s="123" t="s">
        <v>583</v>
      </c>
      <c r="C584" s="124"/>
      <c r="D584" s="125"/>
      <c r="E584" s="207"/>
      <c r="F584" s="160">
        <f>+F406</f>
        <v>0</v>
      </c>
    </row>
    <row r="585" spans="1:6" s="182" customFormat="1" x14ac:dyDescent="0.25">
      <c r="A585" s="122" t="s">
        <v>567</v>
      </c>
      <c r="B585" s="123" t="s">
        <v>584</v>
      </c>
      <c r="C585" s="124"/>
      <c r="D585" s="125"/>
      <c r="E585" s="207"/>
      <c r="F585" s="160">
        <f>+F436</f>
        <v>0</v>
      </c>
    </row>
    <row r="586" spans="1:6" s="182" customFormat="1" x14ac:dyDescent="0.25">
      <c r="A586" s="122" t="s">
        <v>568</v>
      </c>
      <c r="B586" s="123" t="s">
        <v>585</v>
      </c>
      <c r="C586" s="124"/>
      <c r="D586" s="125"/>
      <c r="E586" s="207"/>
      <c r="F586" s="160">
        <f>+F453</f>
        <v>0</v>
      </c>
    </row>
    <row r="587" spans="1:6" s="182" customFormat="1" x14ac:dyDescent="0.25">
      <c r="A587" s="122" t="s">
        <v>569</v>
      </c>
      <c r="B587" s="123" t="s">
        <v>586</v>
      </c>
      <c r="C587" s="124"/>
      <c r="D587" s="125"/>
      <c r="E587" s="207"/>
      <c r="F587" s="160">
        <f>+F554</f>
        <v>0</v>
      </c>
    </row>
    <row r="588" spans="1:6" s="182" customFormat="1" x14ac:dyDescent="0.25">
      <c r="A588" s="122" t="s">
        <v>570</v>
      </c>
      <c r="B588" s="123" t="s">
        <v>60</v>
      </c>
      <c r="C588" s="124"/>
      <c r="D588" s="125"/>
      <c r="E588" s="207"/>
      <c r="F588" s="160">
        <f>+F564</f>
        <v>0</v>
      </c>
    </row>
    <row r="589" spans="1:6" s="182" customFormat="1" ht="14.4" thickBot="1" x14ac:dyDescent="0.3">
      <c r="A589" s="122"/>
      <c r="B589" s="123"/>
      <c r="C589" s="124"/>
      <c r="D589" s="125"/>
      <c r="E589" s="207"/>
      <c r="F589" s="160"/>
    </row>
    <row r="590" spans="1:6" s="182" customFormat="1" thickBot="1" x14ac:dyDescent="0.3">
      <c r="A590" s="126"/>
      <c r="B590" s="127" t="s">
        <v>45</v>
      </c>
      <c r="C590" s="128"/>
      <c r="D590" s="129"/>
      <c r="E590" s="208"/>
      <c r="F590" s="130">
        <f>SUM(F571:F589)</f>
        <v>0</v>
      </c>
    </row>
    <row r="591" spans="1:6" s="182" customFormat="1" thickBot="1" x14ac:dyDescent="0.3">
      <c r="A591" s="131"/>
      <c r="B591" s="132"/>
      <c r="C591" s="133"/>
      <c r="D591" s="134"/>
      <c r="E591" s="209"/>
      <c r="F591" s="134"/>
    </row>
    <row r="592" spans="1:6" x14ac:dyDescent="0.25">
      <c r="A592" s="165">
        <v>3</v>
      </c>
      <c r="B592" s="166" t="s">
        <v>105</v>
      </c>
      <c r="C592" s="167"/>
      <c r="D592" s="168"/>
      <c r="E592" s="210"/>
      <c r="F592" s="167"/>
    </row>
    <row r="593" spans="1:6" x14ac:dyDescent="0.25">
      <c r="A593" s="55"/>
      <c r="B593" s="169"/>
      <c r="C593" s="157"/>
      <c r="D593" s="158"/>
      <c r="E593" s="211"/>
      <c r="F593" s="157"/>
    </row>
    <row r="594" spans="1:6" x14ac:dyDescent="0.25">
      <c r="A594" s="58"/>
      <c r="B594" s="170"/>
      <c r="C594" s="171"/>
      <c r="D594" s="172"/>
      <c r="E594" s="212"/>
      <c r="F594" s="173"/>
    </row>
    <row r="595" spans="1:6" x14ac:dyDescent="0.25">
      <c r="A595" s="58" t="s">
        <v>82</v>
      </c>
      <c r="B595" s="174" t="s">
        <v>84</v>
      </c>
      <c r="C595" s="175">
        <v>1</v>
      </c>
      <c r="D595" s="176" t="s">
        <v>13</v>
      </c>
      <c r="E595" s="213">
        <v>200000</v>
      </c>
      <c r="F595" s="177">
        <f>C595*E595</f>
        <v>200000</v>
      </c>
    </row>
    <row r="596" spans="1:6" x14ac:dyDescent="0.25">
      <c r="A596" s="50"/>
      <c r="B596" s="156"/>
      <c r="C596" s="157"/>
      <c r="D596" s="158"/>
      <c r="E596" s="214"/>
      <c r="F596" s="159"/>
    </row>
    <row r="597" spans="1:6" ht="14.4" thickBot="1" x14ac:dyDescent="0.3">
      <c r="A597" s="70"/>
      <c r="B597" s="178" t="s">
        <v>45</v>
      </c>
      <c r="C597" s="179"/>
      <c r="D597" s="180"/>
      <c r="E597" s="215"/>
      <c r="F597" s="181">
        <f>SUM(F595:F596)</f>
        <v>200000</v>
      </c>
    </row>
    <row r="598" spans="1:6" x14ac:dyDescent="0.25">
      <c r="A598" s="161"/>
      <c r="B598" s="162"/>
      <c r="C598" s="163"/>
      <c r="D598" s="164"/>
      <c r="E598" s="216"/>
      <c r="F598" s="164"/>
    </row>
    <row r="599" spans="1:6" s="182" customFormat="1" ht="13.2" x14ac:dyDescent="0.25">
      <c r="A599" s="131"/>
      <c r="B599" s="132"/>
      <c r="C599" s="133"/>
      <c r="D599" s="134"/>
      <c r="E599" s="209"/>
      <c r="F599" s="134"/>
    </row>
    <row r="600" spans="1:6" s="182" customFormat="1" thickBot="1" x14ac:dyDescent="0.3">
      <c r="A600" s="131"/>
      <c r="B600" s="132"/>
      <c r="C600" s="133"/>
      <c r="D600" s="134"/>
      <c r="E600" s="209"/>
      <c r="F600" s="134"/>
    </row>
    <row r="601" spans="1:6" s="182" customFormat="1" thickBot="1" x14ac:dyDescent="0.3">
      <c r="A601" s="2977"/>
      <c r="B601" s="2978"/>
      <c r="C601" s="2978"/>
      <c r="D601" s="2978"/>
      <c r="E601" s="2978"/>
      <c r="F601" s="2979"/>
    </row>
    <row r="602" spans="1:6" s="182" customFormat="1" thickBot="1" x14ac:dyDescent="0.3">
      <c r="A602" s="2974" t="s">
        <v>85</v>
      </c>
      <c r="B602" s="2975"/>
      <c r="C602" s="2975"/>
      <c r="D602" s="2975"/>
      <c r="E602" s="2975"/>
      <c r="F602" s="2976"/>
    </row>
    <row r="603" spans="1:6" s="182" customFormat="1" thickBot="1" x14ac:dyDescent="0.3">
      <c r="A603" s="135"/>
      <c r="B603" s="136"/>
      <c r="C603" s="137"/>
      <c r="D603" s="138"/>
      <c r="E603" s="217"/>
      <c r="F603" s="139"/>
    </row>
    <row r="604" spans="1:6" s="182" customFormat="1" thickBot="1" x14ac:dyDescent="0.3">
      <c r="A604" s="110" t="s">
        <v>86</v>
      </c>
      <c r="B604" s="111" t="s">
        <v>1</v>
      </c>
      <c r="C604" s="112" t="s">
        <v>2</v>
      </c>
      <c r="D604" s="113" t="s">
        <v>3</v>
      </c>
      <c r="E604" s="204" t="s">
        <v>4</v>
      </c>
      <c r="F604" s="114" t="s">
        <v>5</v>
      </c>
    </row>
    <row r="605" spans="1:6" s="182" customFormat="1" ht="13.2" x14ac:dyDescent="0.25">
      <c r="A605" s="9"/>
      <c r="B605" s="6"/>
      <c r="C605" s="10"/>
      <c r="D605" s="7"/>
      <c r="E605" s="206"/>
      <c r="F605" s="11"/>
    </row>
    <row r="606" spans="1:6" s="182" customFormat="1" ht="13.2" x14ac:dyDescent="0.25">
      <c r="A606" s="9"/>
      <c r="B606" s="6"/>
      <c r="C606" s="120"/>
      <c r="D606" s="7"/>
      <c r="E606" s="206"/>
      <c r="F606" s="121"/>
    </row>
    <row r="607" spans="1:6" s="182" customFormat="1" ht="13.2" x14ac:dyDescent="0.25">
      <c r="A607" s="122" t="s">
        <v>87</v>
      </c>
      <c r="B607" s="140" t="s">
        <v>8</v>
      </c>
      <c r="C607" s="124"/>
      <c r="D607" s="125" t="s">
        <v>83</v>
      </c>
      <c r="E607" s="207"/>
      <c r="F607" s="141">
        <f>+F55</f>
        <v>2870000</v>
      </c>
    </row>
    <row r="608" spans="1:6" s="182" customFormat="1" ht="13.2" x14ac:dyDescent="0.25">
      <c r="A608" s="122"/>
      <c r="B608" s="123"/>
      <c r="C608" s="124"/>
      <c r="D608" s="125"/>
      <c r="E608" s="207"/>
      <c r="F608" s="141"/>
    </row>
    <row r="609" spans="1:6" s="182" customFormat="1" ht="13.2" x14ac:dyDescent="0.25">
      <c r="A609" s="122" t="s">
        <v>88</v>
      </c>
      <c r="B609" s="140" t="s">
        <v>89</v>
      </c>
      <c r="C609" s="124"/>
      <c r="D609" s="125" t="s">
        <v>83</v>
      </c>
      <c r="E609" s="207"/>
      <c r="F609" s="141">
        <f>F590</f>
        <v>0</v>
      </c>
    </row>
    <row r="610" spans="1:6" s="182" customFormat="1" ht="13.2" x14ac:dyDescent="0.25">
      <c r="A610" s="122"/>
      <c r="B610" s="123"/>
      <c r="C610" s="124"/>
      <c r="D610" s="125"/>
      <c r="E610" s="207"/>
      <c r="F610" s="141"/>
    </row>
    <row r="611" spans="1:6" s="182" customFormat="1" ht="13.2" x14ac:dyDescent="0.25">
      <c r="A611" s="142"/>
      <c r="B611" s="143" t="s">
        <v>90</v>
      </c>
      <c r="C611" s="144"/>
      <c r="D611" s="125" t="s">
        <v>83</v>
      </c>
      <c r="E611" s="207"/>
      <c r="F611" s="145">
        <f>SUM(F607:F610)</f>
        <v>2870000</v>
      </c>
    </row>
    <row r="612" spans="1:6" s="182" customFormat="1" ht="13.2" x14ac:dyDescent="0.25">
      <c r="A612" s="142"/>
      <c r="B612" s="146"/>
      <c r="C612" s="144"/>
      <c r="D612" s="125"/>
      <c r="E612" s="207"/>
      <c r="F612" s="145"/>
    </row>
    <row r="613" spans="1:6" s="182" customFormat="1" ht="13.2" x14ac:dyDescent="0.25">
      <c r="A613" s="142"/>
      <c r="B613" s="146" t="s">
        <v>91</v>
      </c>
      <c r="C613" s="144"/>
      <c r="D613" s="125" t="s">
        <v>83</v>
      </c>
      <c r="E613" s="207"/>
      <c r="F613" s="145"/>
    </row>
    <row r="614" spans="1:6" s="182" customFormat="1" ht="13.2" x14ac:dyDescent="0.25">
      <c r="A614" s="142"/>
      <c r="B614" s="146"/>
      <c r="C614" s="144"/>
      <c r="D614" s="125"/>
      <c r="E614" s="207"/>
      <c r="F614" s="145"/>
    </row>
    <row r="615" spans="1:6" s="182" customFormat="1" ht="13.2" x14ac:dyDescent="0.25">
      <c r="A615" s="142"/>
      <c r="B615" s="143" t="s">
        <v>92</v>
      </c>
      <c r="C615" s="144"/>
      <c r="D615" s="125" t="s">
        <v>83</v>
      </c>
      <c r="E615" s="207"/>
      <c r="F615" s="145"/>
    </row>
    <row r="616" spans="1:6" s="182" customFormat="1" ht="13.2" x14ac:dyDescent="0.25">
      <c r="A616" s="142"/>
      <c r="B616" s="146"/>
      <c r="C616" s="144"/>
      <c r="D616" s="125"/>
      <c r="E616" s="207"/>
      <c r="F616" s="145"/>
    </row>
    <row r="617" spans="1:6" s="182" customFormat="1" ht="13.2" x14ac:dyDescent="0.25">
      <c r="A617" s="122" t="s">
        <v>93</v>
      </c>
      <c r="B617" s="146" t="s">
        <v>94</v>
      </c>
      <c r="C617" s="144"/>
      <c r="D617" s="125" t="s">
        <v>83</v>
      </c>
      <c r="E617" s="207"/>
      <c r="F617" s="145">
        <f>F597</f>
        <v>200000</v>
      </c>
    </row>
    <row r="618" spans="1:6" s="182" customFormat="1" ht="13.2" x14ac:dyDescent="0.25">
      <c r="A618" s="142"/>
      <c r="B618" s="146"/>
      <c r="C618" s="144"/>
      <c r="D618" s="125"/>
      <c r="E618" s="207"/>
      <c r="F618" s="145"/>
    </row>
    <row r="619" spans="1:6" s="182" customFormat="1" ht="13.2" x14ac:dyDescent="0.25">
      <c r="A619" s="142"/>
      <c r="B619" s="143" t="s">
        <v>95</v>
      </c>
      <c r="C619" s="144"/>
      <c r="D619" s="125"/>
      <c r="E619" s="207"/>
      <c r="F619" s="145">
        <f>SUM(F611:F617)</f>
        <v>3070000</v>
      </c>
    </row>
    <row r="620" spans="1:6" s="182" customFormat="1" ht="13.2" x14ac:dyDescent="0.25">
      <c r="A620" s="142"/>
      <c r="B620" s="146"/>
      <c r="C620" s="144"/>
      <c r="D620" s="125"/>
      <c r="E620" s="207"/>
      <c r="F620" s="145"/>
    </row>
    <row r="621" spans="1:6" s="182" customFormat="1" ht="13.2" x14ac:dyDescent="0.25">
      <c r="A621" s="142"/>
      <c r="B621" s="146" t="s">
        <v>96</v>
      </c>
      <c r="C621" s="144"/>
      <c r="D621" s="125" t="s">
        <v>83</v>
      </c>
      <c r="E621" s="207"/>
      <c r="F621" s="147">
        <f>F619*0.1</f>
        <v>307000</v>
      </c>
    </row>
    <row r="622" spans="1:6" s="182" customFormat="1" ht="13.2" x14ac:dyDescent="0.25">
      <c r="A622" s="142"/>
      <c r="B622" s="146"/>
      <c r="C622" s="144"/>
      <c r="D622" s="125"/>
      <c r="E622" s="207"/>
      <c r="F622" s="147"/>
    </row>
    <row r="623" spans="1:6" s="182" customFormat="1" thickBot="1" x14ac:dyDescent="0.3">
      <c r="A623" s="148"/>
      <c r="B623" s="149" t="s">
        <v>97</v>
      </c>
      <c r="C623" s="150"/>
      <c r="D623" s="125" t="s">
        <v>83</v>
      </c>
      <c r="E623" s="206"/>
      <c r="F623" s="151">
        <f>SUM(F619:F621)</f>
        <v>3377000</v>
      </c>
    </row>
    <row r="624" spans="1:6" s="182" customFormat="1" ht="14.4" thickTop="1" thickBot="1" x14ac:dyDescent="0.3">
      <c r="A624" s="152"/>
      <c r="B624" s="153"/>
      <c r="C624" s="154"/>
      <c r="D624" s="138"/>
      <c r="E624" s="217"/>
      <c r="F624" s="155"/>
    </row>
    <row r="625" spans="1:6" s="182" customFormat="1" ht="13.2" x14ac:dyDescent="0.25">
      <c r="A625" s="131"/>
      <c r="B625" s="132"/>
      <c r="C625" s="133"/>
      <c r="D625" s="134"/>
      <c r="E625" s="209"/>
      <c r="F625" s="134"/>
    </row>
    <row r="626" spans="1:6" s="182" customFormat="1" ht="13.2" x14ac:dyDescent="0.25">
      <c r="A626" s="183"/>
      <c r="B626" s="184"/>
      <c r="C626" s="185"/>
      <c r="D626" s="183"/>
      <c r="E626" s="218"/>
      <c r="F626" s="185"/>
    </row>
    <row r="627" spans="1:6" s="182" customFormat="1" ht="13.2" x14ac:dyDescent="0.25">
      <c r="A627" s="183"/>
      <c r="B627" s="184"/>
      <c r="C627" s="185"/>
      <c r="D627" s="183"/>
      <c r="E627" s="218"/>
      <c r="F627" s="185"/>
    </row>
  </sheetData>
  <mergeCells count="5">
    <mergeCell ref="A1:F1"/>
    <mergeCell ref="A2:F2"/>
    <mergeCell ref="A567:F567"/>
    <mergeCell ref="A601:F601"/>
    <mergeCell ref="A602:F602"/>
  </mergeCells>
  <pageMargins left="0.5" right="0.5" top="0.25" bottom="0.25" header="0.5" footer="0.5"/>
  <pageSetup orientation="portrait" verticalDpi="0" r:id="rId1"/>
  <headerFooter alignWithMargins="0">
    <oddFooter>&amp;C&amp;P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31"/>
  <sheetViews>
    <sheetView view="pageBreakPreview" topLeftCell="A7" zoomScale="95" zoomScaleNormal="85" zoomScaleSheetLayoutView="95" workbookViewId="0">
      <selection activeCell="F19" sqref="F19"/>
    </sheetView>
  </sheetViews>
  <sheetFormatPr defaultColWidth="9.21875" defaultRowHeight="13.8" x14ac:dyDescent="0.25"/>
  <cols>
    <col min="1" max="1" width="6.44140625" style="38" customWidth="1"/>
    <col min="2" max="2" width="51.5546875" style="36" customWidth="1"/>
    <col min="3" max="3" width="6.109375" style="39" customWidth="1"/>
    <col min="4" max="4" width="6.109375" style="38" customWidth="1"/>
    <col min="5" max="5" width="13.33203125" style="202" bestFit="1" customWidth="1"/>
    <col min="6" max="6" width="11.88671875" style="39" bestFit="1" customWidth="1"/>
    <col min="7" max="7" width="11.88671875" style="24" bestFit="1" customWidth="1"/>
    <col min="8" max="8" width="12.44140625" style="24" bestFit="1" customWidth="1"/>
    <col min="9" max="10" width="11.88671875" style="24" bestFit="1" customWidth="1"/>
    <col min="11" max="12" width="12.88671875" style="24" bestFit="1" customWidth="1"/>
    <col min="13" max="13" width="11.88671875" style="24" bestFit="1" customWidth="1"/>
    <col min="14" max="14" width="9.21875" style="24"/>
    <col min="15" max="15" width="10.44140625" style="24" bestFit="1" customWidth="1"/>
    <col min="16" max="16384" width="9.21875" style="24"/>
  </cols>
  <sheetData>
    <row r="1" spans="1:15" s="31" customFormat="1" ht="14.4" thickBot="1" x14ac:dyDescent="0.3">
      <c r="A1" s="45" t="s">
        <v>0</v>
      </c>
      <c r="B1" s="46" t="s">
        <v>1</v>
      </c>
      <c r="C1" s="47" t="s">
        <v>2</v>
      </c>
      <c r="D1" s="48" t="s">
        <v>3</v>
      </c>
      <c r="E1" s="188" t="s">
        <v>4</v>
      </c>
      <c r="F1" s="49" t="s">
        <v>5</v>
      </c>
    </row>
    <row r="2" spans="1:15" x14ac:dyDescent="0.25">
      <c r="A2" s="21">
        <v>1</v>
      </c>
      <c r="B2" s="412" t="s">
        <v>1610</v>
      </c>
      <c r="C2" s="248"/>
      <c r="D2" s="241"/>
      <c r="E2" s="197"/>
      <c r="F2" s="41"/>
    </row>
    <row r="3" spans="1:15" x14ac:dyDescent="0.25">
      <c r="A3" s="970"/>
      <c r="B3" s="1051"/>
      <c r="C3" s="972"/>
      <c r="D3" s="973"/>
      <c r="E3" s="974"/>
      <c r="F3" s="975"/>
    </row>
    <row r="4" spans="1:15" ht="59.4" customHeight="1" x14ac:dyDescent="0.25">
      <c r="A4" s="226"/>
      <c r="B4" s="368" t="s">
        <v>1606</v>
      </c>
      <c r="C4" s="369"/>
      <c r="D4" s="251"/>
      <c r="E4" s="350"/>
      <c r="F4" s="363"/>
    </row>
    <row r="5" spans="1:15" x14ac:dyDescent="0.25">
      <c r="A5" s="226"/>
      <c r="B5" s="368"/>
      <c r="C5" s="369"/>
      <c r="D5" s="251"/>
      <c r="E5" s="350"/>
      <c r="F5" s="363"/>
    </row>
    <row r="6" spans="1:15" ht="48.6" customHeight="1" x14ac:dyDescent="0.25">
      <c r="A6" s="226"/>
      <c r="B6" s="392" t="s">
        <v>1748</v>
      </c>
      <c r="C6" s="369"/>
      <c r="D6" s="251"/>
      <c r="E6" s="350"/>
      <c r="F6" s="363"/>
    </row>
    <row r="7" spans="1:15" x14ac:dyDescent="0.25">
      <c r="A7" s="226"/>
      <c r="B7" s="368"/>
      <c r="C7" s="369"/>
      <c r="D7" s="251"/>
      <c r="E7" s="350"/>
      <c r="F7" s="363"/>
    </row>
    <row r="8" spans="1:15" ht="27.6" x14ac:dyDescent="0.25">
      <c r="A8" s="226"/>
      <c r="B8" s="392" t="s">
        <v>1749</v>
      </c>
      <c r="C8" s="369"/>
      <c r="D8" s="251"/>
      <c r="E8" s="350"/>
      <c r="F8" s="363"/>
    </row>
    <row r="9" spans="1:15" x14ac:dyDescent="0.25">
      <c r="A9" s="226"/>
      <c r="B9" s="392"/>
      <c r="C9" s="369"/>
      <c r="D9" s="251"/>
      <c r="E9" s="350"/>
      <c r="F9" s="363"/>
    </row>
    <row r="10" spans="1:15" ht="89.4" customHeight="1" x14ac:dyDescent="0.25">
      <c r="A10" s="226"/>
      <c r="B10" s="368" t="s">
        <v>1608</v>
      </c>
      <c r="C10" s="369"/>
      <c r="D10" s="251"/>
      <c r="E10" s="350"/>
      <c r="F10" s="363"/>
    </row>
    <row r="11" spans="1:15" x14ac:dyDescent="0.25">
      <c r="A11" s="226"/>
      <c r="B11" s="368"/>
      <c r="C11" s="369"/>
      <c r="D11" s="251"/>
      <c r="E11" s="350"/>
      <c r="F11" s="363"/>
    </row>
    <row r="12" spans="1:15" x14ac:dyDescent="0.25">
      <c r="A12" s="226"/>
      <c r="B12" s="396" t="s">
        <v>1607</v>
      </c>
      <c r="C12" s="369"/>
      <c r="D12" s="251"/>
      <c r="E12" s="350"/>
      <c r="F12" s="363"/>
    </row>
    <row r="13" spans="1:15" ht="90.6" customHeight="1" x14ac:dyDescent="0.25">
      <c r="A13" s="226"/>
      <c r="B13" s="368" t="s">
        <v>2483</v>
      </c>
      <c r="C13" s="369"/>
      <c r="D13" s="251"/>
      <c r="E13" s="350"/>
      <c r="F13" s="363"/>
      <c r="J13" s="24">
        <v>3585147</v>
      </c>
      <c r="M13" s="24">
        <f>3.5</f>
        <v>3.5</v>
      </c>
      <c r="N13" s="24">
        <f>M13/6*10</f>
        <v>5.8333333333333339</v>
      </c>
      <c r="O13" s="24">
        <f>N13*1.15</f>
        <v>6.7083333333333339</v>
      </c>
    </row>
    <row r="14" spans="1:15" x14ac:dyDescent="0.25">
      <c r="A14" s="226"/>
      <c r="B14" s="396"/>
      <c r="C14" s="369"/>
      <c r="D14" s="251"/>
      <c r="E14" s="350"/>
      <c r="F14" s="363"/>
      <c r="G14" s="1071">
        <v>4200000</v>
      </c>
    </row>
    <row r="15" spans="1:15" x14ac:dyDescent="0.25">
      <c r="A15" s="226">
        <f>1.01</f>
        <v>1.01</v>
      </c>
      <c r="B15" s="368" t="s">
        <v>1609</v>
      </c>
      <c r="C15" s="251">
        <v>1</v>
      </c>
      <c r="D15" s="251" t="s">
        <v>13</v>
      </c>
      <c r="E15" s="350">
        <v>6700000</v>
      </c>
      <c r="F15" s="363">
        <f>E15</f>
        <v>6700000</v>
      </c>
      <c r="G15" s="1072"/>
      <c r="H15" s="24">
        <v>3585147</v>
      </c>
      <c r="I15" s="24">
        <f>H15*1.08</f>
        <v>3871958.7600000002</v>
      </c>
      <c r="J15" s="24">
        <v>3075000</v>
      </c>
      <c r="K15" s="24">
        <f>J15*1.1</f>
        <v>3382500.0000000005</v>
      </c>
    </row>
    <row r="16" spans="1:15" x14ac:dyDescent="0.25">
      <c r="A16" s="226"/>
      <c r="B16" s="368"/>
      <c r="C16" s="251"/>
      <c r="D16" s="251"/>
      <c r="E16" s="350"/>
      <c r="F16" s="363"/>
    </row>
    <row r="17" spans="1:15" x14ac:dyDescent="0.25">
      <c r="A17" s="226">
        <f>A15+0.01</f>
        <v>1.02</v>
      </c>
      <c r="B17" s="368" t="s">
        <v>1838</v>
      </c>
      <c r="C17" s="251">
        <v>1</v>
      </c>
      <c r="D17" s="251" t="s">
        <v>13</v>
      </c>
      <c r="E17" s="350">
        <v>500000</v>
      </c>
      <c r="F17" s="363">
        <f>E17</f>
        <v>500000</v>
      </c>
    </row>
    <row r="18" spans="1:15" x14ac:dyDescent="0.25">
      <c r="A18" s="226"/>
      <c r="B18" s="368"/>
      <c r="C18" s="369"/>
      <c r="D18" s="251"/>
      <c r="E18" s="350"/>
      <c r="F18" s="363"/>
    </row>
    <row r="19" spans="1:15" s="12" customFormat="1" ht="27.6" x14ac:dyDescent="0.25">
      <c r="A19" s="102"/>
      <c r="B19" s="312" t="s">
        <v>1614</v>
      </c>
      <c r="C19" s="249"/>
      <c r="D19" s="242"/>
      <c r="E19" s="199"/>
      <c r="F19" s="106"/>
    </row>
    <row r="21" spans="1:15" x14ac:dyDescent="0.25">
      <c r="L21" s="24" t="e">
        <f>#REF!*1.1</f>
        <v>#REF!</v>
      </c>
      <c r="M21" s="24">
        <v>165000</v>
      </c>
    </row>
    <row r="26" spans="1:15" x14ac:dyDescent="0.25">
      <c r="M26" s="24">
        <f>SUM(M20:M25)</f>
        <v>165000</v>
      </c>
    </row>
    <row r="30" spans="1:15" x14ac:dyDescent="0.25">
      <c r="M30" s="24">
        <f>M26*1.1</f>
        <v>181500.00000000003</v>
      </c>
      <c r="O30" s="24">
        <f>M30-M26</f>
        <v>16500.000000000029</v>
      </c>
    </row>
    <row r="31" spans="1:15" x14ac:dyDescent="0.25">
      <c r="O31" s="24" t="e">
        <f>#REF!-M26</f>
        <v>#REF!</v>
      </c>
    </row>
  </sheetData>
  <pageMargins left="0.5" right="0.5" top="0.25" bottom="0.25" header="0.5" footer="0.5"/>
  <pageSetup orientation="portrait" r:id="rId1"/>
  <headerFooter alignWithMargins="0">
    <oddFooter>&amp;C&amp;P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57"/>
  <sheetViews>
    <sheetView view="pageBreakPreview" topLeftCell="A10" zoomScale="95" zoomScaleNormal="85" zoomScaleSheetLayoutView="95" workbookViewId="0">
      <selection activeCell="F29" sqref="F29"/>
    </sheetView>
  </sheetViews>
  <sheetFormatPr defaultColWidth="9.21875" defaultRowHeight="13.8" x14ac:dyDescent="0.25"/>
  <cols>
    <col min="1" max="1" width="6.44140625" style="38" customWidth="1"/>
    <col min="2" max="2" width="50.88671875" style="36" customWidth="1"/>
    <col min="3" max="3" width="6.109375" style="39" customWidth="1"/>
    <col min="4" max="4" width="6.109375" style="38" customWidth="1"/>
    <col min="5" max="5" width="13.33203125" style="202" bestFit="1" customWidth="1"/>
    <col min="6" max="6" width="11.88671875" style="39" bestFit="1" customWidth="1"/>
    <col min="7" max="7" width="10.44140625" style="24" bestFit="1" customWidth="1"/>
    <col min="8" max="8" width="12.44140625" style="24" bestFit="1" customWidth="1"/>
    <col min="9" max="9" width="10" style="24" bestFit="1" customWidth="1"/>
    <col min="10" max="10" width="11" style="24" bestFit="1" customWidth="1"/>
    <col min="11" max="12" width="12.88671875" style="24" bestFit="1" customWidth="1"/>
    <col min="13" max="13" width="11.88671875" style="24" bestFit="1" customWidth="1"/>
    <col min="14" max="16384" width="9.21875" style="24"/>
  </cols>
  <sheetData>
    <row r="1" spans="1:6" s="31" customFormat="1" ht="14.4" thickBot="1" x14ac:dyDescent="0.3">
      <c r="A1" s="45" t="s">
        <v>0</v>
      </c>
      <c r="B1" s="46" t="s">
        <v>1</v>
      </c>
      <c r="C1" s="47" t="s">
        <v>2</v>
      </c>
      <c r="D1" s="48" t="s">
        <v>3</v>
      </c>
      <c r="E1" s="188" t="s">
        <v>4</v>
      </c>
      <c r="F1" s="49" t="s">
        <v>5</v>
      </c>
    </row>
    <row r="2" spans="1:6" x14ac:dyDescent="0.25">
      <c r="A2" s="424">
        <v>1</v>
      </c>
      <c r="B2" s="412" t="s">
        <v>2414</v>
      </c>
      <c r="C2" s="248"/>
      <c r="D2" s="241"/>
      <c r="E2" s="197"/>
      <c r="F2" s="41"/>
    </row>
    <row r="3" spans="1:6" x14ac:dyDescent="0.25">
      <c r="A3" s="1050"/>
      <c r="B3" s="1051"/>
      <c r="C3" s="972"/>
      <c r="D3" s="973"/>
      <c r="E3" s="974"/>
      <c r="F3" s="975"/>
    </row>
    <row r="4" spans="1:6" ht="39.6" x14ac:dyDescent="0.25">
      <c r="A4" s="425"/>
      <c r="B4" s="917" t="s">
        <v>1802</v>
      </c>
      <c r="C4" s="369"/>
      <c r="D4" s="251"/>
      <c r="E4" s="350"/>
      <c r="F4" s="363"/>
    </row>
    <row r="5" spans="1:6" x14ac:dyDescent="0.25">
      <c r="A5" s="425"/>
      <c r="B5" s="396"/>
      <c r="C5" s="369"/>
      <c r="D5" s="251"/>
      <c r="E5" s="350"/>
      <c r="F5" s="363"/>
    </row>
    <row r="6" spans="1:6" ht="66" x14ac:dyDescent="0.25">
      <c r="A6" s="425"/>
      <c r="B6" s="917" t="s">
        <v>1803</v>
      </c>
      <c r="C6" s="369"/>
      <c r="D6" s="251"/>
      <c r="E6" s="350"/>
      <c r="F6" s="363"/>
    </row>
    <row r="7" spans="1:6" x14ac:dyDescent="0.25">
      <c r="A7" s="425"/>
      <c r="B7" s="918"/>
      <c r="C7" s="369"/>
      <c r="D7" s="251"/>
      <c r="E7" s="350"/>
      <c r="F7" s="363"/>
    </row>
    <row r="8" spans="1:6" ht="26.4" x14ac:dyDescent="0.25">
      <c r="A8" s="425"/>
      <c r="B8" s="917" t="s">
        <v>1815</v>
      </c>
      <c r="C8" s="369"/>
      <c r="D8" s="251"/>
      <c r="E8" s="350"/>
      <c r="F8" s="363"/>
    </row>
    <row r="9" spans="1:6" x14ac:dyDescent="0.25">
      <c r="A9" s="425"/>
      <c r="B9" s="919"/>
      <c r="C9" s="369"/>
      <c r="D9" s="251"/>
      <c r="E9" s="350"/>
      <c r="F9" s="363"/>
    </row>
    <row r="10" spans="1:6" x14ac:dyDescent="0.25">
      <c r="A10" s="425"/>
      <c r="B10" s="919" t="s">
        <v>1806</v>
      </c>
      <c r="C10" s="369"/>
      <c r="D10" s="251"/>
      <c r="E10" s="350"/>
      <c r="F10" s="363"/>
    </row>
    <row r="11" spans="1:6" x14ac:dyDescent="0.25">
      <c r="A11" s="425"/>
      <c r="B11" s="919" t="s">
        <v>1807</v>
      </c>
      <c r="C11" s="369"/>
      <c r="D11" s="251"/>
      <c r="E11" s="350"/>
      <c r="F11" s="363"/>
    </row>
    <row r="12" spans="1:6" x14ac:dyDescent="0.25">
      <c r="A12" s="425"/>
      <c r="B12" s="919" t="s">
        <v>1808</v>
      </c>
      <c r="C12" s="369"/>
      <c r="D12" s="251"/>
      <c r="E12" s="350"/>
      <c r="F12" s="363"/>
    </row>
    <row r="13" spans="1:6" x14ac:dyDescent="0.25">
      <c r="A13" s="425"/>
      <c r="B13" s="919" t="s">
        <v>1809</v>
      </c>
      <c r="C13" s="369"/>
      <c r="D13" s="251"/>
      <c r="E13" s="350"/>
      <c r="F13" s="363"/>
    </row>
    <row r="14" spans="1:6" x14ac:dyDescent="0.25">
      <c r="A14" s="425"/>
      <c r="B14" s="919" t="s">
        <v>1810</v>
      </c>
      <c r="C14" s="369"/>
      <c r="D14" s="251"/>
      <c r="E14" s="350"/>
      <c r="F14" s="363"/>
    </row>
    <row r="15" spans="1:6" x14ac:dyDescent="0.25">
      <c r="A15" s="425"/>
      <c r="B15" s="919" t="s">
        <v>1811</v>
      </c>
      <c r="C15" s="369"/>
      <c r="D15" s="251"/>
      <c r="E15" s="350"/>
      <c r="F15" s="363"/>
    </row>
    <row r="16" spans="1:6" x14ac:dyDescent="0.25">
      <c r="A16" s="425"/>
      <c r="B16" s="919" t="s">
        <v>2566</v>
      </c>
      <c r="C16" s="369"/>
      <c r="D16" s="251"/>
      <c r="E16" s="350"/>
      <c r="F16" s="363"/>
    </row>
    <row r="17" spans="1:13" x14ac:dyDescent="0.25">
      <c r="A17" s="226"/>
      <c r="B17" s="918"/>
      <c r="C17" s="369"/>
      <c r="D17" s="251"/>
      <c r="E17" s="350"/>
      <c r="F17" s="363"/>
    </row>
    <row r="18" spans="1:13" ht="26.4" x14ac:dyDescent="0.25">
      <c r="A18" s="226">
        <f>A2+0.01</f>
        <v>1.01</v>
      </c>
      <c r="B18" s="920" t="s">
        <v>1823</v>
      </c>
      <c r="C18" s="369"/>
      <c r="D18" s="251"/>
      <c r="E18" s="350"/>
      <c r="F18" s="363"/>
    </row>
    <row r="19" spans="1:13" x14ac:dyDescent="0.25">
      <c r="A19" s="226"/>
      <c r="B19" s="920" t="s">
        <v>884</v>
      </c>
      <c r="C19" s="369">
        <v>2</v>
      </c>
      <c r="D19" s="251" t="s">
        <v>1314</v>
      </c>
      <c r="E19" s="350">
        <f>(15500+3500)*1.25</f>
        <v>23750</v>
      </c>
      <c r="F19" s="363">
        <f>E19*C19</f>
        <v>47500</v>
      </c>
    </row>
    <row r="20" spans="1:13" x14ac:dyDescent="0.25">
      <c r="A20" s="226"/>
      <c r="B20" s="920" t="s">
        <v>885</v>
      </c>
      <c r="C20" s="369">
        <v>2</v>
      </c>
      <c r="D20" s="251" t="s">
        <v>1314</v>
      </c>
      <c r="E20" s="350">
        <f>E19</f>
        <v>23750</v>
      </c>
      <c r="F20" s="363">
        <f t="shared" ref="F20" si="0">E20*C20</f>
        <v>47500</v>
      </c>
    </row>
    <row r="21" spans="1:13" x14ac:dyDescent="0.25">
      <c r="A21" s="226"/>
      <c r="B21" s="918"/>
      <c r="C21" s="369"/>
      <c r="D21" s="251"/>
      <c r="E21" s="350"/>
      <c r="F21" s="363"/>
    </row>
    <row r="22" spans="1:13" ht="26.4" x14ac:dyDescent="0.25">
      <c r="A22" s="226">
        <f>A18+0.01</f>
        <v>1.02</v>
      </c>
      <c r="B22" s="917" t="s">
        <v>2565</v>
      </c>
      <c r="C22" s="369"/>
      <c r="D22" s="251"/>
      <c r="E22" s="350"/>
      <c r="F22" s="363"/>
    </row>
    <row r="23" spans="1:13" x14ac:dyDescent="0.25">
      <c r="A23" s="425"/>
      <c r="B23" s="920" t="s">
        <v>884</v>
      </c>
      <c r="C23" s="369">
        <v>2</v>
      </c>
      <c r="D23" s="251" t="s">
        <v>1314</v>
      </c>
      <c r="E23" s="350">
        <f>(15000+3500)*1.25</f>
        <v>23125</v>
      </c>
      <c r="F23" s="363">
        <f>E23*C23</f>
        <v>46250</v>
      </c>
    </row>
    <row r="24" spans="1:13" x14ac:dyDescent="0.25">
      <c r="A24" s="425"/>
      <c r="B24" s="920"/>
      <c r="C24" s="369"/>
      <c r="D24" s="251"/>
      <c r="E24" s="350"/>
      <c r="F24" s="363"/>
    </row>
    <row r="25" spans="1:13" ht="26.4" x14ac:dyDescent="0.25">
      <c r="A25" s="226">
        <f>A22+0.01</f>
        <v>1.03</v>
      </c>
      <c r="B25" s="917" t="s">
        <v>2564</v>
      </c>
      <c r="C25" s="369"/>
      <c r="D25" s="251"/>
      <c r="E25" s="350"/>
      <c r="F25" s="363"/>
    </row>
    <row r="26" spans="1:13" x14ac:dyDescent="0.25">
      <c r="A26" s="425"/>
      <c r="B26" s="920" t="s">
        <v>884</v>
      </c>
      <c r="C26" s="369">
        <v>2</v>
      </c>
      <c r="D26" s="251" t="s">
        <v>1314</v>
      </c>
      <c r="E26" s="350">
        <f>(28000+3500)*1.25</f>
        <v>39375</v>
      </c>
      <c r="F26" s="363">
        <f>E26*C26</f>
        <v>78750</v>
      </c>
    </row>
    <row r="27" spans="1:13" x14ac:dyDescent="0.25">
      <c r="A27" s="425"/>
      <c r="B27" s="920" t="s">
        <v>885</v>
      </c>
      <c r="C27" s="369">
        <v>2</v>
      </c>
      <c r="D27" s="251" t="s">
        <v>1314</v>
      </c>
      <c r="E27" s="350">
        <f>(28000+3500)*1.25</f>
        <v>39375</v>
      </c>
      <c r="F27" s="363">
        <f t="shared" ref="F27" si="1">E27*C27</f>
        <v>78750</v>
      </c>
    </row>
    <row r="28" spans="1:13" x14ac:dyDescent="0.25">
      <c r="A28" s="425"/>
      <c r="B28" s="920"/>
      <c r="C28" s="369"/>
      <c r="D28" s="251"/>
      <c r="E28" s="350"/>
      <c r="F28" s="363"/>
    </row>
    <row r="29" spans="1:13" s="751" customFormat="1" ht="27.6" x14ac:dyDescent="0.25">
      <c r="A29" s="749"/>
      <c r="B29" s="746" t="s">
        <v>2415</v>
      </c>
      <c r="C29" s="750"/>
      <c r="D29" s="747"/>
      <c r="E29" s="748"/>
      <c r="F29" s="928"/>
    </row>
    <row r="30" spans="1:13" x14ac:dyDescent="0.25">
      <c r="B30" s="36" t="s">
        <v>1824</v>
      </c>
    </row>
    <row r="31" spans="1:13" x14ac:dyDescent="0.25">
      <c r="L31" s="24" t="e">
        <f>#REF!*1.1</f>
        <v>#REF!</v>
      </c>
      <c r="M31" s="24">
        <v>165000</v>
      </c>
    </row>
    <row r="34" spans="2:13" x14ac:dyDescent="0.25">
      <c r="B34" s="36" t="s">
        <v>1571</v>
      </c>
      <c r="E34" s="202" t="e">
        <f>#REF!*0.1</f>
        <v>#REF!</v>
      </c>
      <c r="F34" s="39">
        <f>52256/2.83</f>
        <v>18465.017667844524</v>
      </c>
      <c r="G34" s="24" t="e">
        <f>F34*E34</f>
        <v>#REF!</v>
      </c>
    </row>
    <row r="35" spans="2:13" x14ac:dyDescent="0.25">
      <c r="B35" s="36" t="s">
        <v>1572</v>
      </c>
      <c r="E35" s="202" t="e">
        <f>#REF!/2</f>
        <v>#REF!</v>
      </c>
      <c r="F35" s="39">
        <f>19579/9.29</f>
        <v>2107.5349838536063</v>
      </c>
      <c r="G35" s="24" t="e">
        <f>F35*E35</f>
        <v>#REF!</v>
      </c>
    </row>
    <row r="36" spans="2:13" x14ac:dyDescent="0.25">
      <c r="B36" s="36" t="s">
        <v>1573</v>
      </c>
      <c r="E36" s="202" t="e">
        <f>E34*65</f>
        <v>#REF!</v>
      </c>
      <c r="F36" s="39">
        <v>280</v>
      </c>
      <c r="G36" s="24" t="e">
        <f>F36*E36</f>
        <v>#REF!</v>
      </c>
      <c r="M36" s="24">
        <f>SUM(M30:M35)</f>
        <v>165000</v>
      </c>
    </row>
    <row r="38" spans="2:13" x14ac:dyDescent="0.25">
      <c r="G38" s="24" t="e">
        <f>SUM(G34:G37)</f>
        <v>#REF!</v>
      </c>
      <c r="H38" s="24" t="e">
        <f>G38/#REF!</f>
        <v>#REF!</v>
      </c>
    </row>
    <row r="40" spans="2:13" x14ac:dyDescent="0.25">
      <c r="M40" s="24">
        <f>M36*1.1</f>
        <v>181500.00000000003</v>
      </c>
    </row>
    <row r="46" spans="2:13" x14ac:dyDescent="0.25">
      <c r="B46" s="915" t="s">
        <v>1804</v>
      </c>
    </row>
    <row r="47" spans="2:13" x14ac:dyDescent="0.25">
      <c r="B47" s="915" t="s">
        <v>1805</v>
      </c>
    </row>
    <row r="48" spans="2:13" x14ac:dyDescent="0.25">
      <c r="B48" s="916"/>
    </row>
    <row r="49" spans="2:2" x14ac:dyDescent="0.25">
      <c r="B49" s="916" t="s">
        <v>1806</v>
      </c>
    </row>
    <row r="50" spans="2:2" x14ac:dyDescent="0.25">
      <c r="B50" s="916" t="s">
        <v>1807</v>
      </c>
    </row>
    <row r="51" spans="2:2" x14ac:dyDescent="0.25">
      <c r="B51" s="916" t="s">
        <v>1808</v>
      </c>
    </row>
    <row r="52" spans="2:2" x14ac:dyDescent="0.25">
      <c r="B52" s="916" t="s">
        <v>1809</v>
      </c>
    </row>
    <row r="53" spans="2:2" x14ac:dyDescent="0.25">
      <c r="B53" s="916" t="s">
        <v>1810</v>
      </c>
    </row>
    <row r="54" spans="2:2" x14ac:dyDescent="0.25">
      <c r="B54" s="916" t="s">
        <v>1811</v>
      </c>
    </row>
    <row r="55" spans="2:2" x14ac:dyDescent="0.25">
      <c r="B55" s="916" t="s">
        <v>1812</v>
      </c>
    </row>
    <row r="56" spans="2:2" x14ac:dyDescent="0.25">
      <c r="B56" s="916" t="s">
        <v>1813</v>
      </c>
    </row>
    <row r="57" spans="2:2" x14ac:dyDescent="0.25">
      <c r="B57" s="916" t="s">
        <v>1814</v>
      </c>
    </row>
  </sheetData>
  <pageMargins left="0.5" right="0.5" top="0.25" bottom="0.25" header="0.5" footer="0.5"/>
  <pageSetup orientation="portrait" r:id="rId1"/>
  <headerFooter alignWithMargins="0">
    <oddFooter>&amp;C&amp;P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38"/>
  <sheetViews>
    <sheetView view="pageBreakPreview" topLeftCell="A16" zoomScaleNormal="85" zoomScaleSheetLayoutView="100" workbookViewId="0">
      <selection activeCell="C10" sqref="C10"/>
    </sheetView>
  </sheetViews>
  <sheetFormatPr defaultColWidth="9.21875" defaultRowHeight="13.8" x14ac:dyDescent="0.25"/>
  <cols>
    <col min="1" max="1" width="6.44140625" style="1183" customWidth="1"/>
    <col min="2" max="2" width="50.88671875" style="36" customWidth="1"/>
    <col min="3" max="3" width="6.77734375" style="39" bestFit="1" customWidth="1"/>
    <col min="4" max="4" width="6.109375" style="38" customWidth="1"/>
    <col min="5" max="5" width="13.33203125" style="202" bestFit="1" customWidth="1"/>
    <col min="6" max="6" width="12.6640625" style="39" bestFit="1" customWidth="1"/>
    <col min="7" max="7" width="10.44140625" style="24" bestFit="1" customWidth="1"/>
    <col min="8" max="8" width="12.44140625" style="24" bestFit="1" customWidth="1"/>
    <col min="9" max="9" width="10" style="24" bestFit="1" customWidth="1"/>
    <col min="10" max="10" width="11" style="24" bestFit="1" customWidth="1"/>
    <col min="11" max="12" width="12.88671875" style="24" bestFit="1" customWidth="1"/>
    <col min="13" max="13" width="11.88671875" style="24" bestFit="1" customWidth="1"/>
    <col min="14" max="14" width="9.21875" style="24"/>
    <col min="15" max="15" width="10.44140625" style="24" bestFit="1" customWidth="1"/>
    <col min="16" max="16384" width="9.21875" style="24"/>
  </cols>
  <sheetData>
    <row r="1" spans="1:12" s="31" customFormat="1" ht="14.4" thickBot="1" x14ac:dyDescent="0.3">
      <c r="A1" s="734" t="s">
        <v>0</v>
      </c>
      <c r="B1" s="735" t="s">
        <v>1</v>
      </c>
      <c r="C1" s="734" t="s">
        <v>2</v>
      </c>
      <c r="D1" s="933" t="s">
        <v>3</v>
      </c>
      <c r="E1" s="932" t="s">
        <v>4</v>
      </c>
      <c r="F1" s="934" t="s">
        <v>5</v>
      </c>
    </row>
    <row r="2" spans="1:12" x14ac:dyDescent="0.25">
      <c r="A2" s="1052">
        <v>1</v>
      </c>
      <c r="B2" s="1053" t="s">
        <v>1095</v>
      </c>
      <c r="C2" s="966"/>
      <c r="D2" s="967"/>
      <c r="E2" s="968"/>
      <c r="F2" s="969"/>
    </row>
    <row r="3" spans="1:12" x14ac:dyDescent="0.25">
      <c r="A3" s="425">
        <f>A2+0.01</f>
        <v>1.01</v>
      </c>
      <c r="B3" s="396" t="s">
        <v>2526</v>
      </c>
      <c r="C3" s="369"/>
      <c r="D3" s="251"/>
      <c r="E3" s="350"/>
      <c r="F3" s="363"/>
    </row>
    <row r="4" spans="1:12" ht="57.6" customHeight="1" x14ac:dyDescent="0.25">
      <c r="A4" s="425"/>
      <c r="B4" s="368" t="s">
        <v>2571</v>
      </c>
      <c r="C4" s="369"/>
      <c r="D4" s="251" t="s">
        <v>2423</v>
      </c>
      <c r="E4" s="350">
        <f>4300*1.25</f>
        <v>5375</v>
      </c>
      <c r="F4" s="363">
        <f>E4*C4</f>
        <v>0</v>
      </c>
      <c r="J4" s="24">
        <f>8*35</f>
        <v>280</v>
      </c>
      <c r="K4" s="24">
        <f>J4+100</f>
        <v>380</v>
      </c>
      <c r="L4" s="24">
        <f>K4*10.76</f>
        <v>4088.7999999999997</v>
      </c>
    </row>
    <row r="5" spans="1:12" ht="11.4" customHeight="1" x14ac:dyDescent="0.25">
      <c r="A5" s="425"/>
      <c r="B5" s="396"/>
      <c r="C5" s="369"/>
      <c r="D5" s="251"/>
      <c r="E5" s="350"/>
      <c r="F5" s="363"/>
    </row>
    <row r="6" spans="1:12" x14ac:dyDescent="0.25">
      <c r="A6" s="425">
        <f>A3+0.01</f>
        <v>1.02</v>
      </c>
      <c r="B6" s="396" t="s">
        <v>2527</v>
      </c>
      <c r="C6" s="369"/>
      <c r="D6" s="251"/>
      <c r="E6" s="350"/>
      <c r="F6" s="363"/>
    </row>
    <row r="7" spans="1:12" ht="57.6" customHeight="1" x14ac:dyDescent="0.25">
      <c r="A7" s="425"/>
      <c r="B7" s="368" t="s">
        <v>2563</v>
      </c>
      <c r="C7" s="369"/>
      <c r="D7" s="251" t="s">
        <v>2423</v>
      </c>
      <c r="E7" s="350">
        <f>(1450*10.76)*1.25</f>
        <v>19502.5</v>
      </c>
      <c r="F7" s="363">
        <f>E7*C7</f>
        <v>0</v>
      </c>
    </row>
    <row r="8" spans="1:12" ht="11.4" customHeight="1" x14ac:dyDescent="0.25">
      <c r="A8" s="425"/>
      <c r="B8" s="396"/>
      <c r="C8" s="369"/>
      <c r="D8" s="251"/>
      <c r="E8" s="350"/>
      <c r="F8" s="363"/>
    </row>
    <row r="9" spans="1:12" x14ac:dyDescent="0.25">
      <c r="A9" s="425">
        <f>A6+0.01</f>
        <v>1.03</v>
      </c>
      <c r="B9" s="396" t="s">
        <v>2528</v>
      </c>
      <c r="C9" s="369"/>
      <c r="D9" s="251"/>
      <c r="E9" s="350"/>
      <c r="F9" s="363"/>
    </row>
    <row r="10" spans="1:12" ht="101.4" customHeight="1" x14ac:dyDescent="0.25">
      <c r="A10" s="425"/>
      <c r="B10" s="392" t="s">
        <v>2529</v>
      </c>
      <c r="C10" s="369"/>
      <c r="D10" s="251" t="s">
        <v>2423</v>
      </c>
      <c r="E10" s="350">
        <f>(750*10.76)*1.25</f>
        <v>10087.5</v>
      </c>
      <c r="F10" s="363">
        <f>E10*C10</f>
        <v>0</v>
      </c>
    </row>
    <row r="11" spans="1:12" ht="10.199999999999999" customHeight="1" x14ac:dyDescent="0.25">
      <c r="A11" s="425"/>
      <c r="B11" s="396"/>
      <c r="C11" s="369"/>
      <c r="D11" s="251"/>
      <c r="E11" s="350"/>
      <c r="F11" s="363"/>
    </row>
    <row r="12" spans="1:12" x14ac:dyDescent="0.25">
      <c r="A12" s="425">
        <f>A9+0.01</f>
        <v>1.04</v>
      </c>
      <c r="B12" s="396" t="s">
        <v>2028</v>
      </c>
      <c r="C12" s="369"/>
      <c r="D12" s="251"/>
      <c r="E12" s="350"/>
      <c r="F12" s="363"/>
    </row>
    <row r="13" spans="1:12" ht="130.80000000000001" customHeight="1" x14ac:dyDescent="0.25">
      <c r="A13" s="425"/>
      <c r="B13" s="392" t="s">
        <v>2549</v>
      </c>
      <c r="C13" s="369"/>
      <c r="D13" s="251" t="s">
        <v>2423</v>
      </c>
      <c r="E13" s="350">
        <f>650*10.76*1.25</f>
        <v>8742.5</v>
      </c>
      <c r="F13" s="363">
        <f>E13*C13</f>
        <v>0</v>
      </c>
      <c r="H13" s="24">
        <f>50000/9.29</f>
        <v>5382.1313240043064</v>
      </c>
    </row>
    <row r="14" spans="1:12" ht="7.2" customHeight="1" x14ac:dyDescent="0.25">
      <c r="A14" s="425"/>
      <c r="B14" s="392"/>
      <c r="C14" s="369"/>
      <c r="D14" s="251"/>
      <c r="E14" s="350"/>
      <c r="F14" s="363"/>
    </row>
    <row r="15" spans="1:12" x14ac:dyDescent="0.25">
      <c r="A15" s="425">
        <f>A12+0.01</f>
        <v>1.05</v>
      </c>
      <c r="B15" s="1042" t="s">
        <v>2543</v>
      </c>
      <c r="C15" s="369"/>
      <c r="D15" s="251"/>
      <c r="E15" s="350"/>
      <c r="F15" s="363"/>
    </row>
    <row r="16" spans="1:12" ht="69" x14ac:dyDescent="0.25">
      <c r="A16" s="425"/>
      <c r="B16" s="392" t="s">
        <v>2544</v>
      </c>
      <c r="C16" s="369"/>
      <c r="D16" s="251" t="s">
        <v>2424</v>
      </c>
      <c r="E16" s="350">
        <f>1020*3.28</f>
        <v>3345.6</v>
      </c>
      <c r="F16" s="363">
        <f>E16*C16</f>
        <v>0</v>
      </c>
    </row>
    <row r="17" spans="1:13" ht="12" customHeight="1" x14ac:dyDescent="0.25">
      <c r="A17" s="425"/>
      <c r="B17" s="392"/>
      <c r="C17" s="369"/>
      <c r="D17" s="251"/>
      <c r="E17" s="350"/>
      <c r="F17" s="363"/>
    </row>
    <row r="18" spans="1:13" x14ac:dyDescent="0.25">
      <c r="A18" s="425">
        <f>A15+0.01</f>
        <v>1.06</v>
      </c>
      <c r="B18" s="1042" t="s">
        <v>2546</v>
      </c>
      <c r="C18" s="369"/>
      <c r="D18" s="251"/>
      <c r="E18" s="350"/>
      <c r="F18" s="363"/>
    </row>
    <row r="19" spans="1:13" ht="46.2" customHeight="1" x14ac:dyDescent="0.25">
      <c r="A19" s="425"/>
      <c r="B19" s="392" t="s">
        <v>2545</v>
      </c>
      <c r="C19" s="369"/>
      <c r="D19" s="251" t="s">
        <v>2424</v>
      </c>
      <c r="E19" s="350">
        <f>1800</f>
        <v>1800</v>
      </c>
      <c r="F19" s="363">
        <f>E19*C19</f>
        <v>0</v>
      </c>
    </row>
    <row r="20" spans="1:13" ht="10.199999999999999" customHeight="1" x14ac:dyDescent="0.25">
      <c r="A20" s="425"/>
      <c r="B20" s="392"/>
      <c r="C20" s="369"/>
      <c r="D20" s="251"/>
      <c r="E20" s="350"/>
      <c r="F20" s="363"/>
    </row>
    <row r="21" spans="1:13" x14ac:dyDescent="0.25">
      <c r="A21" s="425">
        <f>A18+0.01</f>
        <v>1.07</v>
      </c>
      <c r="B21" s="1042" t="s">
        <v>2561</v>
      </c>
      <c r="C21" s="369"/>
      <c r="D21" s="251"/>
      <c r="E21" s="350"/>
      <c r="F21" s="363"/>
    </row>
    <row r="22" spans="1:13" ht="57" customHeight="1" x14ac:dyDescent="0.25">
      <c r="A22" s="425"/>
      <c r="B22" s="392" t="s">
        <v>2569</v>
      </c>
      <c r="C22" s="369"/>
      <c r="D22" s="251" t="s">
        <v>13</v>
      </c>
      <c r="E22" s="350">
        <v>250000</v>
      </c>
      <c r="F22" s="363">
        <f>E22*C22</f>
        <v>0</v>
      </c>
    </row>
    <row r="23" spans="1:13" ht="11.4" customHeight="1" x14ac:dyDescent="0.25">
      <c r="A23" s="425"/>
      <c r="B23" s="392"/>
      <c r="C23" s="369"/>
      <c r="D23" s="251"/>
      <c r="E23" s="350"/>
      <c r="F23" s="363"/>
    </row>
    <row r="24" spans="1:13" x14ac:dyDescent="0.25">
      <c r="A24" s="425">
        <f>A21+0.01</f>
        <v>1.08</v>
      </c>
      <c r="B24" s="1042" t="s">
        <v>2562</v>
      </c>
      <c r="C24" s="369"/>
      <c r="D24" s="251"/>
      <c r="E24" s="350"/>
      <c r="F24" s="363"/>
    </row>
    <row r="25" spans="1:13" ht="27.6" x14ac:dyDescent="0.25">
      <c r="A25" s="425"/>
      <c r="B25" s="955" t="s">
        <v>2570</v>
      </c>
      <c r="C25" s="369"/>
      <c r="D25" s="251" t="s">
        <v>13</v>
      </c>
      <c r="E25" s="350">
        <v>80000</v>
      </c>
      <c r="F25" s="363">
        <f>E25*C25</f>
        <v>0</v>
      </c>
    </row>
    <row r="26" spans="1:13" ht="10.8" customHeight="1" x14ac:dyDescent="0.25">
      <c r="A26" s="425"/>
      <c r="B26" s="955"/>
      <c r="C26" s="369"/>
      <c r="D26" s="251"/>
      <c r="E26" s="350"/>
      <c r="F26" s="363"/>
    </row>
    <row r="27" spans="1:13" s="751" customFormat="1" ht="31.8" customHeight="1" x14ac:dyDescent="0.25">
      <c r="A27" s="1182"/>
      <c r="B27" s="1054" t="s">
        <v>1096</v>
      </c>
      <c r="C27" s="1055"/>
      <c r="D27" s="1056"/>
      <c r="E27" s="1057"/>
      <c r="F27" s="1058">
        <f>SUM(F3:F25)</f>
        <v>0</v>
      </c>
    </row>
    <row r="29" spans="1:13" x14ac:dyDescent="0.25">
      <c r="L29" s="24" t="e">
        <f>#REF!*1.1</f>
        <v>#REF!</v>
      </c>
      <c r="M29" s="24">
        <v>165000</v>
      </c>
    </row>
    <row r="32" spans="1:13" x14ac:dyDescent="0.25">
      <c r="B32" s="36" t="s">
        <v>1571</v>
      </c>
      <c r="E32" s="202" t="e">
        <f>#REF!*0.1</f>
        <v>#REF!</v>
      </c>
      <c r="F32" s="39">
        <f>52256/2.83</f>
        <v>18465.017667844524</v>
      </c>
      <c r="G32" s="24" t="e">
        <f>F32*E32</f>
        <v>#REF!</v>
      </c>
    </row>
    <row r="33" spans="2:13" x14ac:dyDescent="0.25">
      <c r="B33" s="36" t="s">
        <v>1572</v>
      </c>
      <c r="E33" s="202" t="e">
        <f>#REF!/2</f>
        <v>#REF!</v>
      </c>
      <c r="F33" s="39">
        <f>19579/9.29</f>
        <v>2107.5349838536063</v>
      </c>
      <c r="G33" s="24" t="e">
        <f>F33*E33</f>
        <v>#REF!</v>
      </c>
    </row>
    <row r="34" spans="2:13" x14ac:dyDescent="0.25">
      <c r="B34" s="36" t="s">
        <v>1573</v>
      </c>
      <c r="E34" s="202" t="e">
        <f>E32*65</f>
        <v>#REF!</v>
      </c>
      <c r="F34" s="39">
        <v>280</v>
      </c>
      <c r="G34" s="24" t="e">
        <f>F34*E34</f>
        <v>#REF!</v>
      </c>
      <c r="M34" s="24">
        <f>SUM(M28:M33)</f>
        <v>165000</v>
      </c>
    </row>
    <row r="36" spans="2:13" x14ac:dyDescent="0.25">
      <c r="G36" s="24" t="e">
        <f>SUM(G32:G35)</f>
        <v>#REF!</v>
      </c>
      <c r="H36" s="24" t="e">
        <f>G36/#REF!</f>
        <v>#REF!</v>
      </c>
    </row>
    <row r="38" spans="2:13" x14ac:dyDescent="0.25">
      <c r="M38" s="24">
        <f>M34*1.1</f>
        <v>181500.00000000003</v>
      </c>
    </row>
  </sheetData>
  <pageMargins left="0.5" right="0.5" top="0.25" bottom="0.25" header="0.5" footer="0.5"/>
  <pageSetup orientation="portrait" r:id="rId1"/>
  <headerFooter alignWithMargins="0">
    <oddFooter>&amp;C&amp;P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248"/>
  <sheetViews>
    <sheetView view="pageBreakPreview" topLeftCell="A228" zoomScale="95" zoomScaleNormal="85" zoomScaleSheetLayoutView="95" workbookViewId="0">
      <selection activeCell="J234" sqref="J234"/>
    </sheetView>
  </sheetViews>
  <sheetFormatPr defaultColWidth="9.21875" defaultRowHeight="13.8" x14ac:dyDescent="0.25"/>
  <cols>
    <col min="1" max="1" width="6.44140625" style="745" customWidth="1"/>
    <col min="2" max="2" width="51.5546875" style="36" customWidth="1"/>
    <col min="3" max="3" width="6.77734375" style="669" bestFit="1" customWidth="1"/>
    <col min="4" max="4" width="6.109375" style="669" customWidth="1"/>
    <col min="5" max="5" width="13.33203125" style="670" bestFit="1" customWidth="1"/>
    <col min="6" max="6" width="11.88671875" style="669" bestFit="1" customWidth="1"/>
    <col min="7" max="7" width="9.21875" style="24"/>
    <col min="8" max="8" width="12.44140625" style="24" bestFit="1" customWidth="1"/>
    <col min="9" max="9" width="10" style="24" bestFit="1" customWidth="1"/>
    <col min="10" max="10" width="11" style="24" bestFit="1" customWidth="1"/>
    <col min="11" max="12" width="12.88671875" style="24" bestFit="1" customWidth="1"/>
    <col min="13" max="13" width="11.88671875" style="24" bestFit="1" customWidth="1"/>
    <col min="14" max="14" width="9.21875" style="24"/>
    <col min="15" max="15" width="10.44140625" style="24" bestFit="1" customWidth="1"/>
    <col min="16" max="16384" width="9.21875" style="24"/>
  </cols>
  <sheetData>
    <row r="1" spans="1:6" s="744" customFormat="1" ht="14.4" thickBot="1" x14ac:dyDescent="0.3">
      <c r="A1" s="734" t="s">
        <v>0</v>
      </c>
      <c r="B1" s="735" t="s">
        <v>1</v>
      </c>
      <c r="C1" s="736" t="s">
        <v>2</v>
      </c>
      <c r="D1" s="737" t="s">
        <v>3</v>
      </c>
      <c r="E1" s="738" t="s">
        <v>4</v>
      </c>
      <c r="F1" s="739" t="s">
        <v>5</v>
      </c>
    </row>
    <row r="2" spans="1:6" x14ac:dyDescent="0.25">
      <c r="A2" s="740"/>
      <c r="B2" s="729" t="s">
        <v>1032</v>
      </c>
      <c r="C2" s="730"/>
      <c r="D2" s="731"/>
      <c r="E2" s="732"/>
      <c r="F2" s="741"/>
    </row>
    <row r="3" spans="1:6" x14ac:dyDescent="0.25">
      <c r="A3" s="226"/>
      <c r="B3" s="977"/>
      <c r="C3" s="929"/>
      <c r="D3" s="930"/>
      <c r="E3" s="931"/>
      <c r="F3" s="930"/>
    </row>
    <row r="4" spans="1:6" x14ac:dyDescent="0.25">
      <c r="A4" s="226"/>
      <c r="B4" s="396" t="s">
        <v>1500</v>
      </c>
      <c r="C4" s="929"/>
      <c r="D4" s="930"/>
      <c r="E4" s="931"/>
      <c r="F4" s="930"/>
    </row>
    <row r="5" spans="1:6" x14ac:dyDescent="0.25">
      <c r="A5" s="226"/>
      <c r="B5" s="396"/>
      <c r="C5" s="929"/>
      <c r="D5" s="930"/>
      <c r="E5" s="931"/>
      <c r="F5" s="930"/>
    </row>
    <row r="6" spans="1:6" x14ac:dyDescent="0.25">
      <c r="A6" s="425">
        <v>1</v>
      </c>
      <c r="B6" s="396" t="s">
        <v>81</v>
      </c>
      <c r="C6" s="929"/>
      <c r="D6" s="930"/>
      <c r="E6" s="931"/>
      <c r="F6" s="930"/>
    </row>
    <row r="7" spans="1:6" ht="34.200000000000003" customHeight="1" x14ac:dyDescent="0.25">
      <c r="A7" s="226">
        <f>A6+0.01</f>
        <v>1.01</v>
      </c>
      <c r="B7" s="368" t="s">
        <v>992</v>
      </c>
      <c r="C7" s="929" t="e">
        <f>'m shet rolf'!#REF!</f>
        <v>#REF!</v>
      </c>
      <c r="D7" s="930" t="s">
        <v>129</v>
      </c>
      <c r="E7" s="931">
        <v>585</v>
      </c>
      <c r="F7" s="930" t="e">
        <f>+C7*E7</f>
        <v>#REF!</v>
      </c>
    </row>
    <row r="8" spans="1:6" x14ac:dyDescent="0.25">
      <c r="A8" s="226"/>
      <c r="B8" s="368"/>
      <c r="C8" s="929"/>
      <c r="D8" s="930"/>
      <c r="E8" s="931"/>
      <c r="F8" s="930"/>
    </row>
    <row r="9" spans="1:6" ht="31.8" customHeight="1" x14ac:dyDescent="0.25">
      <c r="A9" s="226">
        <f>A7+0.01</f>
        <v>1.02</v>
      </c>
      <c r="B9" s="368" t="s">
        <v>993</v>
      </c>
      <c r="C9" s="929" t="e">
        <f>C7</f>
        <v>#REF!</v>
      </c>
      <c r="D9" s="930" t="s">
        <v>129</v>
      </c>
      <c r="E9" s="931">
        <v>322</v>
      </c>
      <c r="F9" s="930" t="e">
        <f>+C9*E9</f>
        <v>#REF!</v>
      </c>
    </row>
    <row r="10" spans="1:6" x14ac:dyDescent="0.25">
      <c r="A10" s="226"/>
      <c r="B10" s="368"/>
      <c r="C10" s="929"/>
      <c r="D10" s="930"/>
      <c r="E10" s="931"/>
      <c r="F10" s="930"/>
    </row>
    <row r="11" spans="1:6" ht="59.4" customHeight="1" x14ac:dyDescent="0.25">
      <c r="A11" s="226">
        <f>A9+0.01</f>
        <v>1.03</v>
      </c>
      <c r="B11" s="368" t="s">
        <v>130</v>
      </c>
      <c r="C11" s="929" t="e">
        <f>'m shet rolf'!#REF!</f>
        <v>#REF!</v>
      </c>
      <c r="D11" s="930" t="s">
        <v>131</v>
      </c>
      <c r="E11" s="931">
        <v>3261</v>
      </c>
      <c r="F11" s="930" t="e">
        <f>+C11*E11</f>
        <v>#REF!</v>
      </c>
    </row>
    <row r="12" spans="1:6" x14ac:dyDescent="0.25">
      <c r="A12" s="226"/>
      <c r="B12" s="368"/>
      <c r="C12" s="929"/>
      <c r="D12" s="930"/>
      <c r="E12" s="931"/>
      <c r="F12" s="930"/>
    </row>
    <row r="13" spans="1:6" x14ac:dyDescent="0.25">
      <c r="A13" s="425">
        <v>2</v>
      </c>
      <c r="B13" s="396" t="s">
        <v>142</v>
      </c>
      <c r="C13" s="929"/>
      <c r="D13" s="930"/>
      <c r="E13" s="931"/>
      <c r="F13" s="930"/>
    </row>
    <row r="14" spans="1:6" ht="76.2" customHeight="1" x14ac:dyDescent="0.25">
      <c r="A14" s="226">
        <f>A13+0.01</f>
        <v>2.0099999999999998</v>
      </c>
      <c r="B14" s="368" t="s">
        <v>1502</v>
      </c>
      <c r="C14" s="929" t="e">
        <f>'m shet rolf'!#REF!</f>
        <v>#REF!</v>
      </c>
      <c r="D14" s="930" t="s">
        <v>1501</v>
      </c>
      <c r="E14" s="931">
        <v>3490</v>
      </c>
      <c r="F14" s="930" t="e">
        <f>+C14*E14</f>
        <v>#REF!</v>
      </c>
    </row>
    <row r="15" spans="1:6" x14ac:dyDescent="0.25">
      <c r="A15" s="226"/>
      <c r="B15" s="368"/>
      <c r="C15" s="929"/>
      <c r="D15" s="930"/>
      <c r="E15" s="931"/>
      <c r="F15" s="930"/>
    </row>
    <row r="16" spans="1:6" ht="15.6" x14ac:dyDescent="0.25">
      <c r="A16" s="425">
        <v>3</v>
      </c>
      <c r="B16" s="377" t="s">
        <v>158</v>
      </c>
      <c r="C16" s="1059"/>
      <c r="D16" s="930"/>
      <c r="E16" s="931"/>
      <c r="F16" s="930"/>
    </row>
    <row r="17" spans="1:13" ht="99" customHeight="1" x14ac:dyDescent="0.25">
      <c r="A17" s="226">
        <f>A16+0.01</f>
        <v>3.01</v>
      </c>
      <c r="B17" s="368" t="s">
        <v>159</v>
      </c>
      <c r="C17" s="929">
        <v>2.2000000000000002</v>
      </c>
      <c r="D17" s="930" t="s">
        <v>129</v>
      </c>
      <c r="E17" s="931">
        <f>26*100</f>
        <v>2600</v>
      </c>
      <c r="F17" s="930">
        <f>+C17*E17</f>
        <v>5720.0000000000009</v>
      </c>
    </row>
    <row r="18" spans="1:13" x14ac:dyDescent="0.25">
      <c r="A18" s="226"/>
      <c r="B18" s="368"/>
      <c r="C18" s="929"/>
      <c r="D18" s="930"/>
      <c r="E18" s="931"/>
      <c r="F18" s="930"/>
    </row>
    <row r="19" spans="1:13" x14ac:dyDescent="0.25">
      <c r="A19" s="425">
        <v>4</v>
      </c>
      <c r="B19" s="396" t="s">
        <v>571</v>
      </c>
      <c r="C19" s="929"/>
      <c r="D19" s="930"/>
      <c r="E19" s="931"/>
      <c r="F19" s="930"/>
    </row>
    <row r="20" spans="1:13" x14ac:dyDescent="0.25">
      <c r="A20" s="226">
        <v>4.01</v>
      </c>
      <c r="B20" s="977" t="s">
        <v>1503</v>
      </c>
      <c r="C20" s="929"/>
      <c r="D20" s="930"/>
      <c r="E20" s="931"/>
      <c r="F20" s="930"/>
    </row>
    <row r="21" spans="1:13" ht="55.2" x14ac:dyDescent="0.25">
      <c r="A21" s="226" t="s">
        <v>1504</v>
      </c>
      <c r="B21" s="368" t="s">
        <v>1060</v>
      </c>
      <c r="C21" s="929">
        <v>0.1</v>
      </c>
      <c r="D21" s="930" t="s">
        <v>129</v>
      </c>
      <c r="E21" s="931">
        <v>7535</v>
      </c>
      <c r="F21" s="930">
        <f>+C21*E21</f>
        <v>753.5</v>
      </c>
    </row>
    <row r="22" spans="1:13" x14ac:dyDescent="0.25">
      <c r="A22" s="226"/>
      <c r="B22" s="368"/>
      <c r="C22" s="929"/>
      <c r="D22" s="930"/>
      <c r="E22" s="931"/>
      <c r="F22" s="930"/>
    </row>
    <row r="23" spans="1:13" x14ac:dyDescent="0.25">
      <c r="A23" s="425">
        <f>A20+0.01</f>
        <v>4.0199999999999996</v>
      </c>
      <c r="B23" s="396" t="s">
        <v>166</v>
      </c>
      <c r="C23" s="929"/>
      <c r="D23" s="930"/>
      <c r="E23" s="931"/>
      <c r="F23" s="930"/>
    </row>
    <row r="24" spans="1:13" ht="55.2" x14ac:dyDescent="0.25">
      <c r="A24" s="226" t="s">
        <v>1505</v>
      </c>
      <c r="B24" s="373" t="s">
        <v>1507</v>
      </c>
      <c r="C24" s="1060"/>
      <c r="D24" s="930"/>
      <c r="E24" s="931"/>
      <c r="F24" s="930"/>
    </row>
    <row r="25" spans="1:13" x14ac:dyDescent="0.25">
      <c r="A25" s="226"/>
      <c r="B25" s="373" t="s">
        <v>108</v>
      </c>
      <c r="C25" s="929">
        <v>0.05</v>
      </c>
      <c r="D25" s="930" t="s">
        <v>131</v>
      </c>
      <c r="E25" s="931">
        <v>54969</v>
      </c>
      <c r="F25" s="930">
        <f>C25*E25</f>
        <v>2748.4500000000003</v>
      </c>
    </row>
    <row r="26" spans="1:13" x14ac:dyDescent="0.25">
      <c r="A26" s="226"/>
      <c r="B26" s="373" t="s">
        <v>98</v>
      </c>
      <c r="C26" s="929">
        <v>0.05</v>
      </c>
      <c r="D26" s="930" t="s">
        <v>131</v>
      </c>
      <c r="E26" s="931">
        <v>54969</v>
      </c>
      <c r="F26" s="930">
        <f>C26*E26</f>
        <v>2748.4500000000003</v>
      </c>
      <c r="H26" s="24">
        <f>0.225*0.225*1</f>
        <v>5.0625000000000003E-2</v>
      </c>
    </row>
    <row r="27" spans="1:13" x14ac:dyDescent="0.25">
      <c r="A27" s="226"/>
      <c r="B27" s="373" t="s">
        <v>99</v>
      </c>
      <c r="C27" s="929">
        <v>0.3</v>
      </c>
      <c r="D27" s="930" t="s">
        <v>131</v>
      </c>
      <c r="E27" s="931">
        <v>54969</v>
      </c>
      <c r="F27" s="930">
        <f>C27*E27</f>
        <v>16490.7</v>
      </c>
    </row>
    <row r="28" spans="1:13" x14ac:dyDescent="0.25">
      <c r="A28" s="226"/>
      <c r="B28" s="368"/>
      <c r="C28" s="929"/>
      <c r="D28" s="930"/>
      <c r="E28" s="931"/>
      <c r="F28" s="930"/>
    </row>
    <row r="29" spans="1:13" ht="69" x14ac:dyDescent="0.25">
      <c r="A29" s="226" t="s">
        <v>1506</v>
      </c>
      <c r="B29" s="392" t="s">
        <v>987</v>
      </c>
      <c r="C29" s="929"/>
      <c r="D29" s="930"/>
      <c r="E29" s="931"/>
      <c r="F29" s="930"/>
      <c r="L29" s="24">
        <f>23*0.075</f>
        <v>1.7249999999999999</v>
      </c>
      <c r="M29" s="24">
        <f>L29/2.83</f>
        <v>0.60954063604240272</v>
      </c>
    </row>
    <row r="30" spans="1:13" x14ac:dyDescent="0.25">
      <c r="A30" s="226"/>
      <c r="B30" s="1061" t="s">
        <v>1629</v>
      </c>
      <c r="C30" s="929">
        <v>0.5</v>
      </c>
      <c r="D30" s="930" t="s">
        <v>131</v>
      </c>
      <c r="E30" s="931">
        <v>52256</v>
      </c>
      <c r="F30" s="930">
        <f t="shared" ref="F30" si="0">+C30*E30</f>
        <v>26128</v>
      </c>
    </row>
    <row r="31" spans="1:13" x14ac:dyDescent="0.25">
      <c r="A31" s="939"/>
      <c r="B31" s="940"/>
      <c r="C31" s="1018"/>
      <c r="D31" s="957"/>
      <c r="E31" s="1012"/>
      <c r="F31" s="957"/>
    </row>
    <row r="32" spans="1:13" ht="69" x14ac:dyDescent="0.25">
      <c r="A32" s="945" t="s">
        <v>1510</v>
      </c>
      <c r="B32" s="1063" t="s">
        <v>1508</v>
      </c>
      <c r="C32" s="1047"/>
      <c r="D32" s="719"/>
      <c r="E32" s="1014"/>
      <c r="F32" s="719"/>
      <c r="J32" s="24">
        <f>0.225*0.225*3</f>
        <v>0.15187500000000001</v>
      </c>
    </row>
    <row r="33" spans="1:12" x14ac:dyDescent="0.25">
      <c r="A33" s="226"/>
      <c r="B33" s="392" t="s">
        <v>1509</v>
      </c>
      <c r="C33" s="929">
        <v>0.1</v>
      </c>
      <c r="D33" s="930" t="s">
        <v>131</v>
      </c>
      <c r="E33" s="931">
        <v>54969</v>
      </c>
      <c r="F33" s="930">
        <f>C33*E33</f>
        <v>5496.9000000000005</v>
      </c>
      <c r="H33" s="24">
        <f>0.225*0.225*3</f>
        <v>0.15187500000000001</v>
      </c>
      <c r="I33" s="24">
        <f>H33*6</f>
        <v>0.91125000000000012</v>
      </c>
    </row>
    <row r="34" spans="1:12" x14ac:dyDescent="0.25">
      <c r="A34" s="226"/>
      <c r="B34" s="368"/>
      <c r="C34" s="929"/>
      <c r="D34" s="930"/>
      <c r="E34" s="931"/>
      <c r="F34" s="930"/>
    </row>
    <row r="35" spans="1:12" x14ac:dyDescent="0.25">
      <c r="A35" s="226">
        <v>4.03</v>
      </c>
      <c r="B35" s="396" t="s">
        <v>1487</v>
      </c>
      <c r="C35" s="929"/>
      <c r="D35" s="930"/>
      <c r="E35" s="931"/>
      <c r="F35" s="930"/>
    </row>
    <row r="36" spans="1:12" ht="64.8" customHeight="1" x14ac:dyDescent="0.25">
      <c r="A36" s="226"/>
      <c r="B36" s="368" t="s">
        <v>1492</v>
      </c>
      <c r="C36" s="929">
        <v>50</v>
      </c>
      <c r="D36" s="930" t="s">
        <v>1476</v>
      </c>
      <c r="E36" s="931">
        <v>427</v>
      </c>
      <c r="F36" s="930">
        <f>E36*C36</f>
        <v>21350</v>
      </c>
    </row>
    <row r="37" spans="1:12" x14ac:dyDescent="0.25">
      <c r="A37" s="226"/>
      <c r="B37" s="368"/>
      <c r="C37" s="929"/>
      <c r="D37" s="930"/>
      <c r="E37" s="931"/>
      <c r="F37" s="930"/>
    </row>
    <row r="38" spans="1:12" x14ac:dyDescent="0.25">
      <c r="A38" s="425">
        <v>5</v>
      </c>
      <c r="B38" s="396" t="s">
        <v>572</v>
      </c>
      <c r="C38" s="929"/>
      <c r="D38" s="930"/>
      <c r="E38" s="931"/>
      <c r="F38" s="930"/>
    </row>
    <row r="39" spans="1:12" x14ac:dyDescent="0.25">
      <c r="A39" s="226"/>
      <c r="B39" s="375" t="s">
        <v>348</v>
      </c>
      <c r="C39" s="929"/>
      <c r="D39" s="930"/>
      <c r="E39" s="931"/>
      <c r="F39" s="930"/>
    </row>
    <row r="40" spans="1:12" ht="34.200000000000003" customHeight="1" x14ac:dyDescent="0.25">
      <c r="A40" s="226">
        <f>A38+0.01</f>
        <v>5.01</v>
      </c>
      <c r="B40" s="368" t="s">
        <v>986</v>
      </c>
      <c r="C40" s="929"/>
      <c r="D40" s="930"/>
      <c r="E40" s="931"/>
      <c r="F40" s="930"/>
      <c r="I40" s="24">
        <f>2.4*0.2</f>
        <v>0.48</v>
      </c>
      <c r="J40" s="24">
        <f>I40/9.29</f>
        <v>5.1668460710441337E-2</v>
      </c>
    </row>
    <row r="41" spans="1:12" x14ac:dyDescent="0.25">
      <c r="A41" s="226"/>
      <c r="B41" s="368" t="s">
        <v>1531</v>
      </c>
      <c r="C41" s="929">
        <v>0.1</v>
      </c>
      <c r="D41" s="930" t="s">
        <v>129</v>
      </c>
      <c r="E41" s="931">
        <v>11200</v>
      </c>
      <c r="F41" s="930">
        <f>E41*C41</f>
        <v>1120</v>
      </c>
    </row>
    <row r="42" spans="1:12" x14ac:dyDescent="0.25">
      <c r="A42" s="226"/>
      <c r="B42" s="368"/>
      <c r="C42" s="929"/>
      <c r="D42" s="930"/>
      <c r="E42" s="931"/>
      <c r="F42" s="930"/>
    </row>
    <row r="43" spans="1:12" ht="34.200000000000003" customHeight="1" x14ac:dyDescent="0.25">
      <c r="A43" s="226">
        <f>A40+0.01</f>
        <v>5.0199999999999996</v>
      </c>
      <c r="B43" s="368" t="s">
        <v>185</v>
      </c>
      <c r="C43" s="929" t="e">
        <f>'m shet rolf'!#REF!</f>
        <v>#REF!</v>
      </c>
      <c r="D43" s="930" t="s">
        <v>129</v>
      </c>
      <c r="E43" s="931">
        <v>11813</v>
      </c>
      <c r="F43" s="930" t="e">
        <f>E43*C43</f>
        <v>#REF!</v>
      </c>
      <c r="K43" s="24">
        <f>0.225*3</f>
        <v>0.67500000000000004</v>
      </c>
      <c r="L43" s="24">
        <f>K43*4</f>
        <v>2.7</v>
      </c>
    </row>
    <row r="44" spans="1:12" x14ac:dyDescent="0.25">
      <c r="A44" s="226"/>
      <c r="B44" s="368"/>
      <c r="C44" s="929"/>
      <c r="D44" s="930"/>
      <c r="E44" s="931"/>
      <c r="F44" s="930"/>
    </row>
    <row r="45" spans="1:12" ht="34.799999999999997" customHeight="1" x14ac:dyDescent="0.25">
      <c r="A45" s="226">
        <f>A43+0.01</f>
        <v>5.0299999999999994</v>
      </c>
      <c r="B45" s="368" t="s">
        <v>132</v>
      </c>
      <c r="C45" s="929"/>
      <c r="D45" s="930"/>
      <c r="E45" s="931"/>
      <c r="F45" s="930"/>
      <c r="L45" s="24">
        <f>L43/9.29</f>
        <v>0.29063509149623257</v>
      </c>
    </row>
    <row r="46" spans="1:12" x14ac:dyDescent="0.25">
      <c r="A46" s="226"/>
      <c r="B46" s="368" t="s">
        <v>1536</v>
      </c>
      <c r="C46" s="929">
        <v>0.2</v>
      </c>
      <c r="D46" s="930" t="s">
        <v>129</v>
      </c>
      <c r="E46" s="931">
        <v>19579</v>
      </c>
      <c r="F46" s="930">
        <f>E46*C46</f>
        <v>3915.8</v>
      </c>
    </row>
    <row r="47" spans="1:12" x14ac:dyDescent="0.25">
      <c r="A47" s="226"/>
      <c r="B47" s="368"/>
      <c r="C47" s="929"/>
      <c r="D47" s="930"/>
      <c r="E47" s="931"/>
      <c r="F47" s="930"/>
    </row>
    <row r="48" spans="1:12" x14ac:dyDescent="0.25">
      <c r="A48" s="425">
        <v>6</v>
      </c>
      <c r="B48" s="396" t="s">
        <v>573</v>
      </c>
      <c r="C48" s="929"/>
      <c r="D48" s="930"/>
      <c r="E48" s="931"/>
      <c r="F48" s="930"/>
    </row>
    <row r="49" spans="1:6" ht="48" customHeight="1" x14ac:dyDescent="0.25">
      <c r="A49" s="226">
        <f>A48+0.01</f>
        <v>6.01</v>
      </c>
      <c r="B49" s="368" t="s">
        <v>353</v>
      </c>
      <c r="C49" s="929"/>
      <c r="D49" s="930"/>
      <c r="E49" s="931"/>
      <c r="F49" s="930"/>
    </row>
    <row r="50" spans="1:6" x14ac:dyDescent="0.25">
      <c r="A50" s="226"/>
      <c r="B50" s="368" t="s">
        <v>108</v>
      </c>
      <c r="C50" s="929" t="e">
        <f>'m shet rolf'!#REF!/5</f>
        <v>#REF!</v>
      </c>
      <c r="D50" s="930" t="s">
        <v>134</v>
      </c>
      <c r="E50" s="931">
        <v>285</v>
      </c>
      <c r="F50" s="930" t="e">
        <f>E50*C50</f>
        <v>#REF!</v>
      </c>
    </row>
    <row r="51" spans="1:6" x14ac:dyDescent="0.25">
      <c r="A51" s="226"/>
      <c r="B51" s="368" t="s">
        <v>98</v>
      </c>
      <c r="C51" s="929" t="e">
        <f>'m shet rolf'!#REF!/5</f>
        <v>#REF!</v>
      </c>
      <c r="D51" s="930" t="s">
        <v>134</v>
      </c>
      <c r="E51" s="931">
        <v>285</v>
      </c>
      <c r="F51" s="930" t="e">
        <f t="shared" ref="F51:F52" si="1">E51*C51</f>
        <v>#REF!</v>
      </c>
    </row>
    <row r="52" spans="1:6" x14ac:dyDescent="0.25">
      <c r="A52" s="226"/>
      <c r="B52" s="368" t="s">
        <v>99</v>
      </c>
      <c r="C52" s="929" t="e">
        <f>'m shet rolf'!#REF!</f>
        <v>#REF!</v>
      </c>
      <c r="D52" s="930" t="s">
        <v>134</v>
      </c>
      <c r="E52" s="931">
        <v>285</v>
      </c>
      <c r="F52" s="930" t="e">
        <f t="shared" si="1"/>
        <v>#REF!</v>
      </c>
    </row>
    <row r="53" spans="1:6" x14ac:dyDescent="0.25">
      <c r="A53" s="226"/>
      <c r="B53" s="368"/>
      <c r="C53" s="929"/>
      <c r="D53" s="930"/>
      <c r="E53" s="931"/>
      <c r="F53" s="930"/>
    </row>
    <row r="54" spans="1:6" ht="49.2" customHeight="1" x14ac:dyDescent="0.25">
      <c r="A54" s="226">
        <f>A49+0.01</f>
        <v>6.02</v>
      </c>
      <c r="B54" s="368" t="s">
        <v>135</v>
      </c>
      <c r="C54" s="929"/>
      <c r="D54" s="930"/>
      <c r="E54" s="931"/>
      <c r="F54" s="930"/>
    </row>
    <row r="55" spans="1:6" x14ac:dyDescent="0.25">
      <c r="A55" s="226"/>
      <c r="B55" s="368" t="s">
        <v>98</v>
      </c>
      <c r="C55" s="929">
        <v>25</v>
      </c>
      <c r="D55" s="930" t="s">
        <v>134</v>
      </c>
      <c r="E55" s="931">
        <v>285</v>
      </c>
      <c r="F55" s="930">
        <f>E55*C55</f>
        <v>7125</v>
      </c>
    </row>
    <row r="56" spans="1:6" x14ac:dyDescent="0.25">
      <c r="A56" s="226"/>
      <c r="B56" s="368"/>
      <c r="C56" s="929"/>
      <c r="D56" s="930"/>
      <c r="E56" s="931"/>
      <c r="F56" s="930"/>
    </row>
    <row r="57" spans="1:6" x14ac:dyDescent="0.25">
      <c r="A57" s="226"/>
      <c r="B57" s="368"/>
      <c r="C57" s="929"/>
      <c r="D57" s="930"/>
      <c r="E57" s="931"/>
      <c r="F57" s="930"/>
    </row>
    <row r="58" spans="1:6" x14ac:dyDescent="0.25">
      <c r="A58" s="425">
        <v>7</v>
      </c>
      <c r="B58" s="396" t="s">
        <v>1511</v>
      </c>
      <c r="C58" s="929"/>
      <c r="D58" s="930"/>
      <c r="E58" s="931"/>
      <c r="F58" s="930"/>
    </row>
    <row r="59" spans="1:6" ht="15.6" x14ac:dyDescent="0.25">
      <c r="A59" s="226"/>
      <c r="B59" s="367" t="s">
        <v>575</v>
      </c>
      <c r="C59" s="1059"/>
      <c r="D59" s="930"/>
      <c r="E59" s="931"/>
      <c r="F59" s="930"/>
    </row>
    <row r="60" spans="1:6" ht="15.6" x14ac:dyDescent="0.25">
      <c r="A60" s="226"/>
      <c r="B60" s="377"/>
      <c r="C60" s="1059"/>
      <c r="D60" s="930"/>
      <c r="E60" s="931"/>
      <c r="F60" s="930"/>
    </row>
    <row r="61" spans="1:6" ht="15.6" x14ac:dyDescent="0.25">
      <c r="A61" s="226"/>
      <c r="B61" s="377" t="s">
        <v>880</v>
      </c>
      <c r="C61" s="1059"/>
      <c r="D61" s="930"/>
      <c r="E61" s="931"/>
      <c r="F61" s="930"/>
    </row>
    <row r="62" spans="1:6" ht="46.8" customHeight="1" x14ac:dyDescent="0.25">
      <c r="A62" s="226">
        <f>A58+0.01</f>
        <v>7.01</v>
      </c>
      <c r="B62" s="393" t="s">
        <v>1043</v>
      </c>
      <c r="C62" s="929">
        <v>7.5</v>
      </c>
      <c r="D62" s="930" t="s">
        <v>129</v>
      </c>
      <c r="E62" s="931">
        <v>18885</v>
      </c>
      <c r="F62" s="930">
        <f t="shared" ref="F62" si="2">+C62*E62</f>
        <v>141637.5</v>
      </c>
    </row>
    <row r="63" spans="1:6" x14ac:dyDescent="0.25">
      <c r="A63" s="226"/>
      <c r="B63" s="368"/>
      <c r="C63" s="929"/>
      <c r="D63" s="930"/>
      <c r="E63" s="931"/>
      <c r="F63" s="930"/>
    </row>
    <row r="64" spans="1:6" ht="15.6" x14ac:dyDescent="0.25">
      <c r="A64" s="226"/>
      <c r="B64" s="377" t="s">
        <v>576</v>
      </c>
      <c r="C64" s="1059"/>
      <c r="D64" s="930"/>
      <c r="E64" s="931"/>
      <c r="F64" s="930"/>
    </row>
    <row r="65" spans="1:8" ht="34.200000000000003" customHeight="1" x14ac:dyDescent="0.25">
      <c r="A65" s="226">
        <f>A62+0.01</f>
        <v>7.02</v>
      </c>
      <c r="B65" s="368" t="s">
        <v>1044</v>
      </c>
      <c r="C65" s="929" t="e">
        <f>'m shet rolf'!#REF!</f>
        <v>#REF!</v>
      </c>
      <c r="D65" s="930" t="s">
        <v>131</v>
      </c>
      <c r="E65" s="931">
        <v>39789</v>
      </c>
      <c r="F65" s="930" t="e">
        <f t="shared" ref="F65" si="3">+C65*E65</f>
        <v>#REF!</v>
      </c>
    </row>
    <row r="66" spans="1:8" x14ac:dyDescent="0.25">
      <c r="A66" s="226"/>
      <c r="B66" s="368"/>
      <c r="C66" s="929"/>
      <c r="D66" s="930"/>
      <c r="E66" s="931"/>
      <c r="F66" s="930"/>
    </row>
    <row r="67" spans="1:8" x14ac:dyDescent="0.25">
      <c r="A67" s="226"/>
      <c r="B67" s="368"/>
      <c r="C67" s="929"/>
      <c r="D67" s="930"/>
      <c r="E67" s="931"/>
      <c r="F67" s="930"/>
    </row>
    <row r="68" spans="1:8" x14ac:dyDescent="0.25">
      <c r="A68" s="939"/>
      <c r="B68" s="940"/>
      <c r="C68" s="1018"/>
      <c r="D68" s="957"/>
      <c r="E68" s="1012"/>
      <c r="F68" s="957"/>
    </row>
    <row r="69" spans="1:8" x14ac:dyDescent="0.25">
      <c r="A69" s="1048">
        <v>8</v>
      </c>
      <c r="B69" s="1046" t="s">
        <v>1512</v>
      </c>
      <c r="C69" s="1047"/>
      <c r="D69" s="719"/>
      <c r="E69" s="1014"/>
      <c r="F69" s="719"/>
    </row>
    <row r="70" spans="1:8" ht="35.4" customHeight="1" x14ac:dyDescent="0.25">
      <c r="A70" s="226">
        <f>A69+0.01</f>
        <v>8.01</v>
      </c>
      <c r="B70" s="368" t="s">
        <v>1089</v>
      </c>
      <c r="C70" s="929">
        <v>0.2</v>
      </c>
      <c r="D70" s="930" t="s">
        <v>129</v>
      </c>
      <c r="E70" s="931">
        <v>14478</v>
      </c>
      <c r="F70" s="930">
        <f t="shared" ref="F70:F72" si="4">+C70*E70</f>
        <v>2895.6000000000004</v>
      </c>
    </row>
    <row r="71" spans="1:8" x14ac:dyDescent="0.25">
      <c r="A71" s="226"/>
      <c r="B71" s="368"/>
      <c r="C71" s="929"/>
      <c r="D71" s="930"/>
      <c r="E71" s="931"/>
      <c r="F71" s="930"/>
    </row>
    <row r="72" spans="1:8" ht="31.8" customHeight="1" x14ac:dyDescent="0.25">
      <c r="A72" s="226">
        <f>A70+0.01</f>
        <v>8.02</v>
      </c>
      <c r="B72" s="368" t="s">
        <v>1090</v>
      </c>
      <c r="C72" s="929">
        <v>0.25</v>
      </c>
      <c r="D72" s="930" t="s">
        <v>129</v>
      </c>
      <c r="E72" s="931">
        <v>388</v>
      </c>
      <c r="F72" s="930">
        <f t="shared" si="4"/>
        <v>97</v>
      </c>
      <c r="H72" s="24">
        <f>5*100</f>
        <v>500</v>
      </c>
    </row>
    <row r="73" spans="1:8" x14ac:dyDescent="0.25">
      <c r="A73" s="226"/>
      <c r="B73" s="368"/>
      <c r="C73" s="929"/>
      <c r="D73" s="930"/>
      <c r="E73" s="931"/>
      <c r="F73" s="930"/>
    </row>
    <row r="74" spans="1:8" x14ac:dyDescent="0.25">
      <c r="A74" s="425">
        <v>9</v>
      </c>
      <c r="B74" s="396" t="s">
        <v>1513</v>
      </c>
      <c r="C74" s="929"/>
      <c r="D74" s="930"/>
      <c r="E74" s="931"/>
      <c r="F74" s="930"/>
    </row>
    <row r="75" spans="1:8" ht="48" customHeight="1" x14ac:dyDescent="0.25">
      <c r="A75" s="226"/>
      <c r="B75" s="368" t="s">
        <v>883</v>
      </c>
      <c r="C75" s="929"/>
      <c r="D75" s="930"/>
      <c r="E75" s="931"/>
      <c r="F75" s="930"/>
    </row>
    <row r="76" spans="1:8" x14ac:dyDescent="0.25">
      <c r="A76" s="226"/>
      <c r="B76" s="368"/>
      <c r="C76" s="929"/>
      <c r="D76" s="930"/>
      <c r="E76" s="931"/>
      <c r="F76" s="930"/>
    </row>
    <row r="77" spans="1:8" ht="118.2" customHeight="1" x14ac:dyDescent="0.25">
      <c r="A77" s="226">
        <f>A74+0.01</f>
        <v>9.01</v>
      </c>
      <c r="B77" s="368" t="s">
        <v>1093</v>
      </c>
      <c r="C77" s="929"/>
      <c r="D77" s="930"/>
      <c r="E77" s="930"/>
      <c r="F77" s="930"/>
    </row>
    <row r="78" spans="1:8" x14ac:dyDescent="0.25">
      <c r="A78" s="226"/>
      <c r="B78" s="368" t="s">
        <v>884</v>
      </c>
      <c r="C78" s="929">
        <v>200</v>
      </c>
      <c r="D78" s="930" t="s">
        <v>141</v>
      </c>
      <c r="E78" s="931">
        <v>125</v>
      </c>
      <c r="F78" s="930">
        <f>E78*C78</f>
        <v>25000</v>
      </c>
    </row>
    <row r="79" spans="1:8" x14ac:dyDescent="0.25">
      <c r="A79" s="226"/>
      <c r="B79" s="368"/>
      <c r="C79" s="929"/>
      <c r="D79" s="930"/>
      <c r="E79" s="931"/>
      <c r="F79" s="930"/>
    </row>
    <row r="80" spans="1:8" x14ac:dyDescent="0.25">
      <c r="A80" s="425">
        <v>10</v>
      </c>
      <c r="B80" s="396" t="s">
        <v>1514</v>
      </c>
      <c r="C80" s="929"/>
      <c r="D80" s="930"/>
      <c r="E80" s="931"/>
      <c r="F80" s="930"/>
    </row>
    <row r="81" spans="1:6" x14ac:dyDescent="0.25">
      <c r="A81" s="226"/>
      <c r="B81" s="396" t="s">
        <v>890</v>
      </c>
      <c r="C81" s="929"/>
      <c r="D81" s="930"/>
      <c r="E81" s="931"/>
      <c r="F81" s="930"/>
    </row>
    <row r="82" spans="1:6" ht="41.4" x14ac:dyDescent="0.25">
      <c r="A82" s="226">
        <f>A80+0.01</f>
        <v>10.01</v>
      </c>
      <c r="B82" s="368" t="s">
        <v>1073</v>
      </c>
      <c r="C82" s="929"/>
      <c r="D82" s="930"/>
      <c r="E82" s="931"/>
      <c r="F82" s="930"/>
    </row>
    <row r="83" spans="1:6" x14ac:dyDescent="0.25">
      <c r="A83" s="226"/>
      <c r="B83" s="368" t="s">
        <v>61</v>
      </c>
      <c r="C83" s="929" t="e">
        <f>'m shet rolf'!#REF!</f>
        <v>#REF!</v>
      </c>
      <c r="D83" s="930" t="s">
        <v>129</v>
      </c>
      <c r="E83" s="931">
        <v>8722</v>
      </c>
      <c r="F83" s="930" t="e">
        <f>+C83*E83</f>
        <v>#REF!</v>
      </c>
    </row>
    <row r="84" spans="1:6" x14ac:dyDescent="0.25">
      <c r="A84" s="226"/>
      <c r="B84" s="368"/>
      <c r="C84" s="929"/>
      <c r="D84" s="930"/>
      <c r="E84" s="931"/>
      <c r="F84" s="930"/>
    </row>
    <row r="85" spans="1:6" x14ac:dyDescent="0.25">
      <c r="A85" s="226"/>
      <c r="B85" s="351" t="s">
        <v>892</v>
      </c>
      <c r="C85" s="929"/>
      <c r="D85" s="930"/>
      <c r="E85" s="931"/>
      <c r="F85" s="930"/>
    </row>
    <row r="86" spans="1:6" ht="55.2" x14ac:dyDescent="0.25">
      <c r="A86" s="226">
        <f>A82+0.01</f>
        <v>10.02</v>
      </c>
      <c r="B86" s="368" t="s">
        <v>1074</v>
      </c>
      <c r="C86" s="929" t="e">
        <f>'m shet rolf'!#REF!</f>
        <v>#REF!</v>
      </c>
      <c r="D86" s="930" t="s">
        <v>167</v>
      </c>
      <c r="E86" s="931">
        <v>120</v>
      </c>
      <c r="F86" s="930" t="e">
        <f t="shared" ref="F86" si="5">+C86*E86</f>
        <v>#REF!</v>
      </c>
    </row>
    <row r="87" spans="1:6" x14ac:dyDescent="0.25">
      <c r="A87" s="226"/>
      <c r="B87" s="368"/>
      <c r="C87" s="929"/>
      <c r="D87" s="930"/>
      <c r="E87" s="931"/>
      <c r="F87" s="930"/>
    </row>
    <row r="88" spans="1:6" x14ac:dyDescent="0.25">
      <c r="A88" s="226"/>
      <c r="B88" s="396" t="s">
        <v>891</v>
      </c>
      <c r="C88" s="929"/>
      <c r="D88" s="930"/>
      <c r="E88" s="931"/>
      <c r="F88" s="930"/>
    </row>
    <row r="89" spans="1:6" ht="41.4" x14ac:dyDescent="0.25">
      <c r="A89" s="226">
        <f>A86+0.01</f>
        <v>10.029999999999999</v>
      </c>
      <c r="B89" s="368" t="s">
        <v>1075</v>
      </c>
      <c r="C89" s="929"/>
      <c r="D89" s="930"/>
      <c r="E89" s="931"/>
      <c r="F89" s="930"/>
    </row>
    <row r="90" spans="1:6" x14ac:dyDescent="0.25">
      <c r="A90" s="226"/>
      <c r="B90" s="368" t="s">
        <v>61</v>
      </c>
      <c r="C90" s="929" t="e">
        <f>'m shet rolf'!#REF!</f>
        <v>#REF!</v>
      </c>
      <c r="D90" s="930" t="s">
        <v>129</v>
      </c>
      <c r="E90" s="931">
        <v>11097</v>
      </c>
      <c r="F90" s="930" t="e">
        <f>+C90*E90</f>
        <v>#REF!</v>
      </c>
    </row>
    <row r="91" spans="1:6" x14ac:dyDescent="0.25">
      <c r="A91" s="226"/>
      <c r="B91" s="368"/>
      <c r="C91" s="929"/>
      <c r="D91" s="930"/>
      <c r="E91" s="931"/>
      <c r="F91" s="930"/>
    </row>
    <row r="92" spans="1:6" x14ac:dyDescent="0.25">
      <c r="A92" s="226"/>
      <c r="B92" s="368"/>
      <c r="C92" s="929"/>
      <c r="D92" s="930"/>
      <c r="E92" s="931"/>
      <c r="F92" s="930"/>
    </row>
    <row r="93" spans="1:6" x14ac:dyDescent="0.25">
      <c r="A93" s="226"/>
      <c r="B93" s="396" t="s">
        <v>1783</v>
      </c>
      <c r="C93" s="929"/>
      <c r="D93" s="930"/>
      <c r="E93" s="931"/>
      <c r="F93" s="930"/>
    </row>
    <row r="94" spans="1:6" ht="45.6" customHeight="1" x14ac:dyDescent="0.25">
      <c r="A94" s="226">
        <v>10.039999999999999</v>
      </c>
      <c r="B94" s="368" t="s">
        <v>1790</v>
      </c>
      <c r="C94" s="929">
        <f>21*3.28</f>
        <v>68.88</v>
      </c>
      <c r="D94" s="761" t="s">
        <v>167</v>
      </c>
      <c r="E94" s="931">
        <v>201</v>
      </c>
      <c r="F94" s="761">
        <f>E94*C94</f>
        <v>13844.88</v>
      </c>
    </row>
    <row r="95" spans="1:6" x14ac:dyDescent="0.25">
      <c r="A95" s="226"/>
      <c r="B95" s="368"/>
      <c r="C95" s="929"/>
      <c r="D95" s="930"/>
      <c r="E95" s="931"/>
      <c r="F95" s="930"/>
    </row>
    <row r="96" spans="1:6" x14ac:dyDescent="0.25">
      <c r="A96" s="226"/>
      <c r="B96" s="396" t="s">
        <v>895</v>
      </c>
      <c r="C96" s="929"/>
      <c r="D96" s="930"/>
      <c r="E96" s="931"/>
      <c r="F96" s="930"/>
    </row>
    <row r="97" spans="1:13" ht="66" customHeight="1" x14ac:dyDescent="0.25">
      <c r="A97" s="226">
        <f>A89+0.01</f>
        <v>10.039999999999999</v>
      </c>
      <c r="B97" s="368" t="s">
        <v>1076</v>
      </c>
      <c r="C97" s="929" t="e">
        <f>C86</f>
        <v>#REF!</v>
      </c>
      <c r="D97" s="930" t="s">
        <v>167</v>
      </c>
      <c r="E97" s="931">
        <v>136</v>
      </c>
      <c r="F97" s="930" t="e">
        <f t="shared" ref="F97" si="6">+C97*E97</f>
        <v>#REF!</v>
      </c>
    </row>
    <row r="98" spans="1:13" x14ac:dyDescent="0.25">
      <c r="A98" s="226"/>
      <c r="B98" s="368"/>
      <c r="C98" s="929"/>
      <c r="D98" s="930"/>
      <c r="E98" s="931"/>
      <c r="F98" s="930"/>
    </row>
    <row r="99" spans="1:13" x14ac:dyDescent="0.25">
      <c r="A99" s="226"/>
      <c r="B99" s="368"/>
      <c r="C99" s="929"/>
      <c r="D99" s="930"/>
      <c r="E99" s="931"/>
      <c r="F99" s="930"/>
    </row>
    <row r="100" spans="1:13" x14ac:dyDescent="0.25">
      <c r="A100" s="939"/>
      <c r="B100" s="940"/>
      <c r="C100" s="1018"/>
      <c r="D100" s="957"/>
      <c r="E100" s="1012"/>
      <c r="F100" s="957"/>
    </row>
    <row r="101" spans="1:13" x14ac:dyDescent="0.25">
      <c r="A101" s="1048">
        <v>11</v>
      </c>
      <c r="B101" s="1046" t="s">
        <v>1515</v>
      </c>
      <c r="C101" s="1047"/>
      <c r="D101" s="719"/>
      <c r="E101" s="1014"/>
      <c r="F101" s="719"/>
    </row>
    <row r="102" spans="1:13" x14ac:dyDescent="0.25">
      <c r="A102" s="226"/>
      <c r="B102" s="367" t="s">
        <v>898</v>
      </c>
      <c r="C102" s="1060"/>
      <c r="D102" s="930"/>
      <c r="E102" s="931"/>
      <c r="F102" s="930"/>
    </row>
    <row r="103" spans="1:13" ht="96.6" x14ac:dyDescent="0.25">
      <c r="A103" s="226">
        <f>A101+0.01</f>
        <v>11.01</v>
      </c>
      <c r="B103" s="368" t="s">
        <v>1800</v>
      </c>
      <c r="C103" s="929"/>
      <c r="D103" s="930"/>
      <c r="E103" s="931"/>
      <c r="F103" s="930"/>
      <c r="I103" s="24">
        <f>422/2</f>
        <v>211</v>
      </c>
      <c r="J103" s="24">
        <f>150*100</f>
        <v>15000</v>
      </c>
      <c r="L103" s="24">
        <f>211*100</f>
        <v>21100</v>
      </c>
      <c r="M103" s="24">
        <f>39031-L103+J103</f>
        <v>32931</v>
      </c>
    </row>
    <row r="104" spans="1:13" x14ac:dyDescent="0.25">
      <c r="A104" s="226"/>
      <c r="B104" s="368" t="s">
        <v>884</v>
      </c>
      <c r="C104" s="929">
        <v>5.5</v>
      </c>
      <c r="D104" s="930" t="s">
        <v>129</v>
      </c>
      <c r="E104" s="931">
        <v>32931</v>
      </c>
      <c r="F104" s="930">
        <f>+C104*E104</f>
        <v>181120.5</v>
      </c>
      <c r="L104" s="24">
        <f>165*2</f>
        <v>330</v>
      </c>
    </row>
    <row r="105" spans="1:13" x14ac:dyDescent="0.25">
      <c r="A105" s="226"/>
      <c r="B105" s="368"/>
      <c r="C105" s="929"/>
      <c r="D105" s="930"/>
      <c r="E105" s="931"/>
      <c r="F105" s="930"/>
    </row>
    <row r="106" spans="1:13" ht="34.799999999999997" customHeight="1" x14ac:dyDescent="0.25">
      <c r="A106" s="226">
        <f>A103+0.01</f>
        <v>11.02</v>
      </c>
      <c r="B106" s="368" t="s">
        <v>234</v>
      </c>
      <c r="C106" s="929"/>
      <c r="D106" s="930"/>
      <c r="E106" s="931"/>
      <c r="F106" s="930"/>
    </row>
    <row r="107" spans="1:13" x14ac:dyDescent="0.25">
      <c r="A107" s="226"/>
      <c r="B107" s="368" t="s">
        <v>884</v>
      </c>
      <c r="C107" s="929">
        <f>C104</f>
        <v>5.5</v>
      </c>
      <c r="D107" s="930" t="s">
        <v>129</v>
      </c>
      <c r="E107" s="931">
        <v>5985</v>
      </c>
      <c r="F107" s="930">
        <f t="shared" ref="F107" si="7">+C107*E107</f>
        <v>32917.5</v>
      </c>
    </row>
    <row r="108" spans="1:13" x14ac:dyDescent="0.25">
      <c r="A108" s="226"/>
      <c r="B108" s="368"/>
      <c r="C108" s="929"/>
      <c r="D108" s="930"/>
      <c r="E108" s="931"/>
      <c r="F108" s="930"/>
    </row>
    <row r="109" spans="1:13" x14ac:dyDescent="0.25">
      <c r="A109" s="226"/>
      <c r="B109" s="396" t="s">
        <v>235</v>
      </c>
      <c r="C109" s="929"/>
      <c r="D109" s="930"/>
      <c r="E109" s="931"/>
      <c r="F109" s="930"/>
    </row>
    <row r="110" spans="1:13" ht="63.6" customHeight="1" x14ac:dyDescent="0.25">
      <c r="A110" s="226">
        <f>A106+0.01</f>
        <v>11.03</v>
      </c>
      <c r="B110" s="368" t="s">
        <v>1793</v>
      </c>
      <c r="C110" s="929"/>
      <c r="D110" s="930"/>
      <c r="E110" s="931"/>
      <c r="F110" s="930"/>
    </row>
    <row r="111" spans="1:13" x14ac:dyDescent="0.25">
      <c r="A111" s="226"/>
      <c r="B111" s="368" t="s">
        <v>1516</v>
      </c>
      <c r="C111" s="929">
        <v>1.8</v>
      </c>
      <c r="D111" s="930" t="s">
        <v>129</v>
      </c>
      <c r="E111" s="931">
        <f>E104</f>
        <v>32931</v>
      </c>
      <c r="F111" s="930">
        <f>E111*C111</f>
        <v>59275.8</v>
      </c>
    </row>
    <row r="112" spans="1:13" x14ac:dyDescent="0.25">
      <c r="A112" s="226"/>
      <c r="B112" s="368"/>
      <c r="C112" s="929"/>
      <c r="D112" s="930"/>
      <c r="E112" s="931"/>
      <c r="F112" s="930"/>
    </row>
    <row r="113" spans="1:9" x14ac:dyDescent="0.25">
      <c r="A113" s="226"/>
      <c r="B113" s="396" t="s">
        <v>1469</v>
      </c>
      <c r="C113" s="929"/>
      <c r="D113" s="930"/>
      <c r="E113" s="931"/>
      <c r="F113" s="930"/>
    </row>
    <row r="114" spans="1:9" ht="60.6" customHeight="1" x14ac:dyDescent="0.25">
      <c r="A114" s="226">
        <f>A110+0.01</f>
        <v>11.04</v>
      </c>
      <c r="B114" s="368" t="s">
        <v>1470</v>
      </c>
      <c r="C114" s="929"/>
      <c r="D114" s="930"/>
      <c r="E114" s="931"/>
      <c r="F114" s="930"/>
    </row>
    <row r="115" spans="1:9" x14ac:dyDescent="0.25">
      <c r="A115" s="226"/>
      <c r="B115" s="368" t="s">
        <v>884</v>
      </c>
      <c r="C115" s="929">
        <v>0.1</v>
      </c>
      <c r="D115" s="930" t="s">
        <v>129</v>
      </c>
      <c r="E115" s="931">
        <v>248600</v>
      </c>
      <c r="F115" s="930">
        <f>E115*C115</f>
        <v>24860</v>
      </c>
    </row>
    <row r="116" spans="1:9" x14ac:dyDescent="0.25">
      <c r="A116" s="226"/>
      <c r="B116" s="368"/>
      <c r="C116" s="929"/>
      <c r="D116" s="930"/>
      <c r="E116" s="931"/>
      <c r="F116" s="930"/>
    </row>
    <row r="117" spans="1:9" x14ac:dyDescent="0.25">
      <c r="A117" s="425">
        <v>12</v>
      </c>
      <c r="B117" s="396" t="s">
        <v>1517</v>
      </c>
      <c r="C117" s="929"/>
      <c r="D117" s="930"/>
      <c r="E117" s="931"/>
      <c r="F117" s="930"/>
    </row>
    <row r="118" spans="1:9" x14ac:dyDescent="0.25">
      <c r="A118" s="226"/>
      <c r="B118" s="400" t="s">
        <v>903</v>
      </c>
      <c r="C118" s="1060"/>
      <c r="D118" s="930"/>
      <c r="E118" s="931"/>
      <c r="F118" s="930"/>
    </row>
    <row r="119" spans="1:9" ht="27.6" x14ac:dyDescent="0.25">
      <c r="A119" s="226">
        <f>A117+0.01</f>
        <v>12.01</v>
      </c>
      <c r="B119" s="368" t="s">
        <v>375</v>
      </c>
      <c r="C119" s="929"/>
      <c r="D119" s="930"/>
      <c r="E119" s="931"/>
      <c r="F119" s="930"/>
      <c r="I119" s="24">
        <f>28/9.29</f>
        <v>3.0139935414424115</v>
      </c>
    </row>
    <row r="120" spans="1:9" x14ac:dyDescent="0.25">
      <c r="A120" s="226"/>
      <c r="B120" s="368" t="s">
        <v>61</v>
      </c>
      <c r="C120" s="929" t="e">
        <f>C90</f>
        <v>#REF!</v>
      </c>
      <c r="D120" s="930" t="s">
        <v>129</v>
      </c>
      <c r="E120" s="931">
        <v>1505</v>
      </c>
      <c r="F120" s="930" t="e">
        <f t="shared" ref="F120" si="8">+C120*E120</f>
        <v>#REF!</v>
      </c>
    </row>
    <row r="121" spans="1:9" x14ac:dyDescent="0.25">
      <c r="A121" s="226"/>
      <c r="B121" s="368"/>
      <c r="C121" s="929"/>
      <c r="D121" s="930"/>
      <c r="E121" s="931"/>
      <c r="F121" s="930"/>
    </row>
    <row r="122" spans="1:9" ht="41.4" x14ac:dyDescent="0.25">
      <c r="A122" s="226">
        <f>A119+0.01</f>
        <v>12.02</v>
      </c>
      <c r="B122" s="368" t="s">
        <v>1077</v>
      </c>
      <c r="C122" s="929"/>
      <c r="D122" s="930"/>
      <c r="E122" s="931"/>
      <c r="F122" s="930"/>
    </row>
    <row r="123" spans="1:9" x14ac:dyDescent="0.25">
      <c r="A123" s="226"/>
      <c r="B123" s="368" t="s">
        <v>61</v>
      </c>
      <c r="C123" s="929" t="e">
        <f>C120</f>
        <v>#REF!</v>
      </c>
      <c r="D123" s="930" t="s">
        <v>129</v>
      </c>
      <c r="E123" s="931">
        <v>3806</v>
      </c>
      <c r="F123" s="930" t="e">
        <f t="shared" ref="F123" si="9">+C123*E123</f>
        <v>#REF!</v>
      </c>
    </row>
    <row r="124" spans="1:9" x14ac:dyDescent="0.25">
      <c r="A124" s="226"/>
      <c r="B124" s="368"/>
      <c r="C124" s="929"/>
      <c r="D124" s="930"/>
      <c r="E124" s="931"/>
      <c r="F124" s="930"/>
    </row>
    <row r="125" spans="1:9" ht="55.2" x14ac:dyDescent="0.25">
      <c r="A125" s="226">
        <f>A122+0.01</f>
        <v>12.03</v>
      </c>
      <c r="B125" s="368" t="s">
        <v>1078</v>
      </c>
      <c r="C125" s="929"/>
      <c r="D125" s="930"/>
      <c r="E125" s="931"/>
      <c r="F125" s="930"/>
    </row>
    <row r="126" spans="1:9" x14ac:dyDescent="0.25">
      <c r="A126" s="226"/>
      <c r="B126" s="368" t="s">
        <v>61</v>
      </c>
      <c r="C126" s="929">
        <v>3</v>
      </c>
      <c r="D126" s="930" t="s">
        <v>129</v>
      </c>
      <c r="E126" s="931">
        <v>4548</v>
      </c>
      <c r="F126" s="930">
        <f t="shared" ref="F126" si="10">+C126*E126</f>
        <v>13644</v>
      </c>
    </row>
    <row r="127" spans="1:9" x14ac:dyDescent="0.25">
      <c r="A127" s="226"/>
      <c r="B127" s="368"/>
      <c r="C127" s="929"/>
      <c r="D127" s="930"/>
      <c r="E127" s="931"/>
      <c r="F127" s="930"/>
    </row>
    <row r="128" spans="1:9" x14ac:dyDescent="0.25">
      <c r="A128" s="226"/>
      <c r="B128" s="396" t="s">
        <v>904</v>
      </c>
      <c r="C128" s="929"/>
      <c r="D128" s="930"/>
      <c r="E128" s="931"/>
      <c r="F128" s="930"/>
    </row>
    <row r="129" spans="1:9" ht="46.2" customHeight="1" x14ac:dyDescent="0.25">
      <c r="A129" s="226">
        <f>A125+0.01</f>
        <v>12.04</v>
      </c>
      <c r="B129" s="368" t="s">
        <v>1079</v>
      </c>
      <c r="C129" s="929"/>
      <c r="D129" s="930"/>
      <c r="E129" s="931"/>
      <c r="F129" s="930"/>
    </row>
    <row r="130" spans="1:9" x14ac:dyDescent="0.25">
      <c r="A130" s="226"/>
      <c r="B130" s="368" t="s">
        <v>61</v>
      </c>
      <c r="C130" s="929" t="e">
        <f>C83</f>
        <v>#REF!</v>
      </c>
      <c r="D130" s="930" t="s">
        <v>129</v>
      </c>
      <c r="E130" s="931">
        <v>1653</v>
      </c>
      <c r="F130" s="930" t="e">
        <f t="shared" ref="F130" si="11">+C130*E130</f>
        <v>#REF!</v>
      </c>
    </row>
    <row r="131" spans="1:9" x14ac:dyDescent="0.25">
      <c r="A131" s="226"/>
      <c r="B131" s="368"/>
      <c r="C131" s="929"/>
      <c r="D131" s="930"/>
      <c r="E131" s="931"/>
      <c r="F131" s="930"/>
    </row>
    <row r="132" spans="1:9" ht="41.4" x14ac:dyDescent="0.25">
      <c r="A132" s="226">
        <f>A129+0.01</f>
        <v>12.049999999999999</v>
      </c>
      <c r="B132" s="368" t="s">
        <v>1080</v>
      </c>
      <c r="C132" s="929"/>
      <c r="D132" s="930"/>
      <c r="E132" s="931"/>
      <c r="F132" s="930"/>
    </row>
    <row r="133" spans="1:9" x14ac:dyDescent="0.25">
      <c r="A133" s="939"/>
      <c r="B133" s="940" t="s">
        <v>61</v>
      </c>
      <c r="C133" s="1018">
        <v>0.5</v>
      </c>
      <c r="D133" s="957" t="s">
        <v>129</v>
      </c>
      <c r="E133" s="1012">
        <v>4427</v>
      </c>
      <c r="F133" s="957">
        <f t="shared" ref="F133" si="12">+C133*E133</f>
        <v>2213.5</v>
      </c>
    </row>
    <row r="134" spans="1:9" x14ac:dyDescent="0.25">
      <c r="A134" s="1048">
        <v>13</v>
      </c>
      <c r="B134" s="1046" t="s">
        <v>1518</v>
      </c>
      <c r="C134" s="1047"/>
      <c r="D134" s="719"/>
      <c r="E134" s="1014"/>
      <c r="F134" s="719"/>
    </row>
    <row r="135" spans="1:9" x14ac:dyDescent="0.25">
      <c r="A135" s="226"/>
      <c r="B135" s="396" t="s">
        <v>583</v>
      </c>
      <c r="C135" s="929"/>
      <c r="D135" s="930"/>
      <c r="E135" s="931"/>
      <c r="F135" s="930"/>
    </row>
    <row r="136" spans="1:9" ht="147.6" customHeight="1" x14ac:dyDescent="0.25">
      <c r="A136" s="226">
        <f>A134+0.01</f>
        <v>13.01</v>
      </c>
      <c r="B136" s="1007" t="s">
        <v>1794</v>
      </c>
      <c r="C136" s="1006">
        <v>2</v>
      </c>
      <c r="D136" s="930" t="s">
        <v>78</v>
      </c>
      <c r="E136" s="931">
        <v>9500</v>
      </c>
      <c r="F136" s="930">
        <f>E136*C136</f>
        <v>19000</v>
      </c>
      <c r="I136" s="24">
        <f>12500-3000</f>
        <v>9500</v>
      </c>
    </row>
    <row r="137" spans="1:9" ht="15.6" x14ac:dyDescent="0.25">
      <c r="A137" s="226"/>
      <c r="B137" s="1007"/>
      <c r="C137" s="1006"/>
      <c r="D137" s="930"/>
      <c r="E137" s="931"/>
      <c r="F137" s="930"/>
    </row>
    <row r="138" spans="1:9" ht="102" customHeight="1" x14ac:dyDescent="0.25">
      <c r="A138" s="226">
        <f>A136+0.01</f>
        <v>13.02</v>
      </c>
      <c r="B138" s="1007" t="s">
        <v>1795</v>
      </c>
      <c r="C138" s="1006">
        <v>1</v>
      </c>
      <c r="D138" s="930" t="s">
        <v>78</v>
      </c>
      <c r="E138" s="931">
        <f>13808-5000</f>
        <v>8808</v>
      </c>
      <c r="F138" s="930">
        <f>E138*C138</f>
        <v>8808</v>
      </c>
    </row>
    <row r="139" spans="1:9" x14ac:dyDescent="0.25">
      <c r="A139" s="226"/>
      <c r="B139" s="368"/>
      <c r="C139" s="929"/>
      <c r="D139" s="930"/>
      <c r="E139" s="931"/>
      <c r="F139" s="930"/>
    </row>
    <row r="140" spans="1:9" ht="72.599999999999994" customHeight="1" x14ac:dyDescent="0.25">
      <c r="A140" s="226">
        <f>A138+0.01</f>
        <v>13.03</v>
      </c>
      <c r="B140" s="1062" t="s">
        <v>1796</v>
      </c>
      <c r="C140" s="1006">
        <v>2</v>
      </c>
      <c r="D140" s="930" t="s">
        <v>78</v>
      </c>
      <c r="E140" s="931">
        <f>7354-1000</f>
        <v>6354</v>
      </c>
      <c r="F140" s="930">
        <f>E140*C140</f>
        <v>12708</v>
      </c>
    </row>
    <row r="141" spans="1:9" x14ac:dyDescent="0.25">
      <c r="A141" s="226"/>
      <c r="B141" s="368"/>
      <c r="C141" s="929"/>
      <c r="D141" s="930"/>
      <c r="E141" s="931"/>
      <c r="F141" s="930"/>
    </row>
    <row r="142" spans="1:9" ht="85.8" customHeight="1" x14ac:dyDescent="0.25">
      <c r="A142" s="226">
        <f>A140+0.01</f>
        <v>13.04</v>
      </c>
      <c r="B142" s="1062" t="s">
        <v>1797</v>
      </c>
      <c r="C142" s="1006">
        <v>2</v>
      </c>
      <c r="D142" s="930" t="s">
        <v>168</v>
      </c>
      <c r="E142" s="931">
        <f>6831-1000</f>
        <v>5831</v>
      </c>
      <c r="F142" s="930">
        <f>E142*C142</f>
        <v>11662</v>
      </c>
    </row>
    <row r="143" spans="1:9" x14ac:dyDescent="0.25">
      <c r="A143" s="226"/>
      <c r="B143" s="368"/>
      <c r="C143" s="929"/>
      <c r="D143" s="930"/>
      <c r="E143" s="931"/>
      <c r="F143" s="930"/>
    </row>
    <row r="144" spans="1:9" ht="69.599999999999994" customHeight="1" x14ac:dyDescent="0.25">
      <c r="A144" s="226">
        <f>A142+0.01</f>
        <v>13.049999999999999</v>
      </c>
      <c r="B144" s="1062" t="s">
        <v>1215</v>
      </c>
      <c r="C144" s="1006">
        <v>8</v>
      </c>
      <c r="D144" s="930" t="s">
        <v>78</v>
      </c>
      <c r="E144" s="931">
        <v>1654</v>
      </c>
      <c r="F144" s="930">
        <f>E144*C144</f>
        <v>13232</v>
      </c>
    </row>
    <row r="145" spans="1:11" x14ac:dyDescent="0.25">
      <c r="A145" s="226"/>
      <c r="B145" s="368"/>
      <c r="C145" s="929"/>
      <c r="D145" s="930"/>
      <c r="E145" s="931"/>
      <c r="F145" s="930"/>
    </row>
    <row r="146" spans="1:11" ht="71.400000000000006" customHeight="1" x14ac:dyDescent="0.25">
      <c r="A146" s="226">
        <f>A144+0.01</f>
        <v>13.059999999999999</v>
      </c>
      <c r="B146" s="1062" t="s">
        <v>1216</v>
      </c>
      <c r="C146" s="1006">
        <v>2</v>
      </c>
      <c r="D146" s="930" t="s">
        <v>78</v>
      </c>
      <c r="E146" s="931">
        <v>2613</v>
      </c>
      <c r="F146" s="930">
        <f>E146*C146</f>
        <v>5226</v>
      </c>
    </row>
    <row r="147" spans="1:11" x14ac:dyDescent="0.25">
      <c r="A147" s="226"/>
      <c r="B147" s="368"/>
      <c r="C147" s="929"/>
      <c r="D147" s="930"/>
      <c r="E147" s="931"/>
      <c r="F147" s="930"/>
    </row>
    <row r="148" spans="1:11" ht="70.8" customHeight="1" x14ac:dyDescent="0.25">
      <c r="A148" s="226">
        <f>A146+0.01</f>
        <v>13.069999999999999</v>
      </c>
      <c r="B148" s="1062" t="s">
        <v>1562</v>
      </c>
      <c r="C148" s="1006">
        <v>2</v>
      </c>
      <c r="D148" s="930" t="s">
        <v>78</v>
      </c>
      <c r="E148" s="931">
        <v>1553</v>
      </c>
      <c r="F148" s="930">
        <f>E148*C148</f>
        <v>3106</v>
      </c>
    </row>
    <row r="149" spans="1:11" x14ac:dyDescent="0.25">
      <c r="A149" s="939"/>
      <c r="B149" s="940"/>
      <c r="C149" s="1018"/>
      <c r="D149" s="957"/>
      <c r="E149" s="1012"/>
      <c r="F149" s="957"/>
    </row>
    <row r="150" spans="1:11" ht="69.599999999999994" customHeight="1" x14ac:dyDescent="0.25">
      <c r="A150" s="945">
        <f>A148+0.01</f>
        <v>13.079999999999998</v>
      </c>
      <c r="B150" s="1064" t="s">
        <v>1561</v>
      </c>
      <c r="C150" s="1013">
        <v>2</v>
      </c>
      <c r="D150" s="719" t="s">
        <v>78</v>
      </c>
      <c r="E150" s="1014">
        <v>1635</v>
      </c>
      <c r="F150" s="719">
        <f>E150*C150</f>
        <v>3270</v>
      </c>
    </row>
    <row r="151" spans="1:11" x14ac:dyDescent="0.25">
      <c r="A151" s="226"/>
      <c r="B151" s="368"/>
      <c r="C151" s="929"/>
      <c r="D151" s="930"/>
      <c r="E151" s="931"/>
      <c r="F151" s="930"/>
    </row>
    <row r="152" spans="1:11" ht="57" customHeight="1" x14ac:dyDescent="0.25">
      <c r="A152" s="226">
        <f>A150+0.01</f>
        <v>13.089999999999998</v>
      </c>
      <c r="B152" s="1062" t="s">
        <v>1560</v>
      </c>
      <c r="C152" s="1006">
        <v>2</v>
      </c>
      <c r="D152" s="930" t="s">
        <v>78</v>
      </c>
      <c r="E152" s="931">
        <v>2292</v>
      </c>
      <c r="F152" s="930">
        <f>E152*C152</f>
        <v>4584</v>
      </c>
    </row>
    <row r="153" spans="1:11" x14ac:dyDescent="0.25">
      <c r="A153" s="226"/>
      <c r="B153" s="368"/>
      <c r="C153" s="929"/>
      <c r="D153" s="930"/>
      <c r="E153" s="931"/>
      <c r="F153" s="930"/>
    </row>
    <row r="154" spans="1:11" ht="62.4" x14ac:dyDescent="0.25">
      <c r="A154" s="226">
        <f>A152+0.01</f>
        <v>13.099999999999998</v>
      </c>
      <c r="B154" s="1062" t="s">
        <v>1217</v>
      </c>
      <c r="C154" s="1006">
        <v>1</v>
      </c>
      <c r="D154" s="930" t="s">
        <v>78</v>
      </c>
      <c r="E154" s="931">
        <v>4800</v>
      </c>
      <c r="F154" s="930">
        <f>E154*C154</f>
        <v>4800</v>
      </c>
    </row>
    <row r="155" spans="1:11" x14ac:dyDescent="0.25">
      <c r="A155" s="226"/>
      <c r="B155" s="368"/>
      <c r="C155" s="929"/>
      <c r="D155" s="930"/>
      <c r="E155" s="931"/>
      <c r="F155" s="930"/>
    </row>
    <row r="156" spans="1:11" ht="72.599999999999994" customHeight="1" x14ac:dyDescent="0.25">
      <c r="A156" s="226">
        <f>A154+0.01</f>
        <v>13.109999999999998</v>
      </c>
      <c r="B156" s="1062" t="s">
        <v>1545</v>
      </c>
      <c r="C156" s="1006">
        <v>2</v>
      </c>
      <c r="D156" s="930" t="s">
        <v>78</v>
      </c>
      <c r="E156" s="931">
        <f>2100+930</f>
        <v>3030</v>
      </c>
      <c r="F156" s="930">
        <f>E156*C156</f>
        <v>6060</v>
      </c>
      <c r="H156" s="24">
        <v>3611</v>
      </c>
      <c r="J156" s="24">
        <v>4538</v>
      </c>
      <c r="K156" s="24">
        <f>J156-H156</f>
        <v>927</v>
      </c>
    </row>
    <row r="157" spans="1:11" ht="15.6" x14ac:dyDescent="0.25">
      <c r="A157" s="226"/>
      <c r="B157" s="1007"/>
      <c r="C157" s="1006"/>
      <c r="D157" s="930"/>
      <c r="E157" s="931"/>
      <c r="F157" s="930"/>
    </row>
    <row r="158" spans="1:11" ht="55.8" customHeight="1" x14ac:dyDescent="0.25">
      <c r="A158" s="226">
        <f>A156+0.01</f>
        <v>13.119999999999997</v>
      </c>
      <c r="B158" s="1062" t="s">
        <v>1544</v>
      </c>
      <c r="C158" s="1006">
        <v>5</v>
      </c>
      <c r="D158" s="930" t="s">
        <v>78</v>
      </c>
      <c r="E158" s="931">
        <v>1630</v>
      </c>
      <c r="F158" s="930">
        <f>E158*C158</f>
        <v>8150</v>
      </c>
      <c r="H158" s="24">
        <v>2204</v>
      </c>
      <c r="J158" s="24">
        <v>2833</v>
      </c>
      <c r="K158" s="24">
        <f>J158-H158</f>
        <v>629</v>
      </c>
    </row>
    <row r="159" spans="1:11" ht="15.6" x14ac:dyDescent="0.25">
      <c r="A159" s="226"/>
      <c r="B159" s="1007"/>
      <c r="C159" s="1006"/>
      <c r="D159" s="930"/>
      <c r="E159" s="931"/>
      <c r="F159" s="930"/>
    </row>
    <row r="160" spans="1:11" ht="43.2" customHeight="1" x14ac:dyDescent="0.25">
      <c r="A160" s="226">
        <f>A158+0.01</f>
        <v>13.129999999999997</v>
      </c>
      <c r="B160" s="1062" t="s">
        <v>1563</v>
      </c>
      <c r="C160" s="1006">
        <v>3</v>
      </c>
      <c r="D160" s="930" t="s">
        <v>78</v>
      </c>
      <c r="E160" s="931">
        <v>6500</v>
      </c>
      <c r="F160" s="930">
        <f>E160*C160</f>
        <v>19500</v>
      </c>
    </row>
    <row r="161" spans="1:6" x14ac:dyDescent="0.25">
      <c r="A161" s="226"/>
      <c r="B161" s="368"/>
      <c r="C161" s="929"/>
      <c r="D161" s="930"/>
      <c r="E161" s="931"/>
      <c r="F161" s="930"/>
    </row>
    <row r="162" spans="1:6" x14ac:dyDescent="0.25">
      <c r="A162" s="226"/>
      <c r="B162" s="396" t="s">
        <v>1219</v>
      </c>
      <c r="C162" s="929"/>
      <c r="D162" s="930"/>
      <c r="E162" s="931"/>
      <c r="F162" s="930"/>
    </row>
    <row r="163" spans="1:6" ht="73.8" customHeight="1" x14ac:dyDescent="0.25">
      <c r="A163" s="226">
        <f>A160+0.01</f>
        <v>13.139999999999997</v>
      </c>
      <c r="B163" s="1062" t="s">
        <v>1798</v>
      </c>
      <c r="C163" s="1006">
        <v>6</v>
      </c>
      <c r="D163" s="930" t="s">
        <v>78</v>
      </c>
      <c r="E163" s="931">
        <f>1600-500</f>
        <v>1100</v>
      </c>
      <c r="F163" s="930">
        <f>E163*C163</f>
        <v>6600</v>
      </c>
    </row>
    <row r="164" spans="1:6" ht="15.6" x14ac:dyDescent="0.25">
      <c r="A164" s="226"/>
      <c r="B164" s="1007"/>
      <c r="C164" s="1006"/>
      <c r="D164" s="930"/>
      <c r="E164" s="931"/>
      <c r="F164" s="930"/>
    </row>
    <row r="165" spans="1:6" ht="57.6" customHeight="1" x14ac:dyDescent="0.25">
      <c r="A165" s="226">
        <f>A163+0.01</f>
        <v>13.149999999999997</v>
      </c>
      <c r="B165" s="1062" t="s">
        <v>1799</v>
      </c>
      <c r="C165" s="1006">
        <v>1</v>
      </c>
      <c r="D165" s="930" t="s">
        <v>78</v>
      </c>
      <c r="E165" s="931">
        <v>1600</v>
      </c>
      <c r="F165" s="930">
        <f>E165*C165</f>
        <v>1600</v>
      </c>
    </row>
    <row r="166" spans="1:6" ht="15.6" x14ac:dyDescent="0.25">
      <c r="A166" s="226"/>
      <c r="B166" s="1007"/>
      <c r="C166" s="1006"/>
      <c r="D166" s="930"/>
      <c r="E166" s="931"/>
      <c r="F166" s="930"/>
    </row>
    <row r="167" spans="1:6" ht="55.2" customHeight="1" x14ac:dyDescent="0.25">
      <c r="A167" s="226">
        <f>A165+0.01</f>
        <v>13.159999999999997</v>
      </c>
      <c r="B167" s="1007" t="s">
        <v>1782</v>
      </c>
      <c r="C167" s="1006">
        <v>2</v>
      </c>
      <c r="D167" s="930" t="s">
        <v>78</v>
      </c>
      <c r="E167" s="931">
        <v>1250</v>
      </c>
      <c r="F167" s="930">
        <f>E167*C167</f>
        <v>2500</v>
      </c>
    </row>
    <row r="168" spans="1:6" ht="15.6" x14ac:dyDescent="0.25">
      <c r="A168" s="226"/>
      <c r="B168" s="1007"/>
      <c r="C168" s="1006"/>
      <c r="D168" s="930"/>
      <c r="E168" s="931"/>
      <c r="F168" s="930"/>
    </row>
    <row r="169" spans="1:6" ht="70.2" customHeight="1" x14ac:dyDescent="0.25">
      <c r="A169" s="226">
        <f>A167+0.01</f>
        <v>13.169999999999996</v>
      </c>
      <c r="B169" s="1062" t="s">
        <v>1546</v>
      </c>
      <c r="C169" s="1006">
        <v>2</v>
      </c>
      <c r="D169" s="930" t="s">
        <v>78</v>
      </c>
      <c r="E169" s="931">
        <v>1250</v>
      </c>
      <c r="F169" s="930">
        <f>E169*C169</f>
        <v>2500</v>
      </c>
    </row>
    <row r="170" spans="1:6" ht="15.6" x14ac:dyDescent="0.25">
      <c r="A170" s="939"/>
      <c r="B170" s="1015"/>
      <c r="C170" s="1011"/>
      <c r="D170" s="957"/>
      <c r="E170" s="1012"/>
      <c r="F170" s="957"/>
    </row>
    <row r="171" spans="1:6" ht="85.8" customHeight="1" x14ac:dyDescent="0.25">
      <c r="A171" s="945">
        <f>A169+0.01</f>
        <v>13.179999999999996</v>
      </c>
      <c r="B171" s="1016" t="s">
        <v>1222</v>
      </c>
      <c r="C171" s="1013">
        <v>6</v>
      </c>
      <c r="D171" s="719" t="s">
        <v>78</v>
      </c>
      <c r="E171" s="1014">
        <v>2525</v>
      </c>
      <c r="F171" s="719">
        <f>E171*C171</f>
        <v>15150</v>
      </c>
    </row>
    <row r="172" spans="1:6" ht="15.6" x14ac:dyDescent="0.25">
      <c r="A172" s="226"/>
      <c r="B172" s="1007"/>
      <c r="C172" s="1006"/>
      <c r="D172" s="930"/>
      <c r="E172" s="931"/>
      <c r="F172" s="930"/>
    </row>
    <row r="173" spans="1:6" ht="65.400000000000006" customHeight="1" x14ac:dyDescent="0.25">
      <c r="A173" s="226">
        <f>A171+0.01</f>
        <v>13.189999999999996</v>
      </c>
      <c r="B173" s="1007" t="s">
        <v>1547</v>
      </c>
      <c r="C173" s="1006">
        <v>2</v>
      </c>
      <c r="D173" s="930" t="s">
        <v>78</v>
      </c>
      <c r="E173" s="931">
        <v>3000</v>
      </c>
      <c r="F173" s="930">
        <f>E173*C173</f>
        <v>6000</v>
      </c>
    </row>
    <row r="174" spans="1:6" ht="15.6" x14ac:dyDescent="0.25">
      <c r="A174" s="226"/>
      <c r="B174" s="1007"/>
      <c r="C174" s="1006"/>
      <c r="D174" s="930"/>
      <c r="E174" s="931"/>
      <c r="F174" s="930"/>
    </row>
    <row r="175" spans="1:6" ht="15.6" x14ac:dyDescent="0.25">
      <c r="A175" s="425">
        <v>14</v>
      </c>
      <c r="B175" s="377" t="s">
        <v>1236</v>
      </c>
      <c r="C175" s="1006"/>
      <c r="D175" s="930"/>
      <c r="E175" s="931"/>
      <c r="F175" s="930"/>
    </row>
    <row r="176" spans="1:6" ht="58.8" customHeight="1" x14ac:dyDescent="0.25">
      <c r="A176" s="226"/>
      <c r="B176" s="1062" t="s">
        <v>1265</v>
      </c>
      <c r="C176" s="1006"/>
      <c r="D176" s="930"/>
      <c r="E176" s="931"/>
      <c r="F176" s="930"/>
    </row>
    <row r="177" spans="1:6" ht="15.6" x14ac:dyDescent="0.25">
      <c r="A177" s="226"/>
      <c r="B177" s="1007"/>
      <c r="C177" s="1006"/>
      <c r="D177" s="930"/>
      <c r="E177" s="931"/>
      <c r="F177" s="930"/>
    </row>
    <row r="178" spans="1:6" ht="15.6" x14ac:dyDescent="0.25">
      <c r="A178" s="226"/>
      <c r="B178" s="377" t="s">
        <v>285</v>
      </c>
      <c r="C178" s="1006"/>
      <c r="D178" s="930"/>
      <c r="E178" s="931"/>
      <c r="F178" s="930"/>
    </row>
    <row r="179" spans="1:6" ht="38.4" customHeight="1" x14ac:dyDescent="0.25">
      <c r="A179" s="226">
        <f>A175+0.01</f>
        <v>14.01</v>
      </c>
      <c r="B179" s="1007" t="s">
        <v>1256</v>
      </c>
      <c r="C179" s="1006">
        <v>25</v>
      </c>
      <c r="D179" s="930" t="s">
        <v>1238</v>
      </c>
      <c r="E179" s="931">
        <v>93</v>
      </c>
      <c r="F179" s="930">
        <f>E179*C179</f>
        <v>2325</v>
      </c>
    </row>
    <row r="180" spans="1:6" ht="15.6" x14ac:dyDescent="0.25">
      <c r="A180" s="226"/>
      <c r="B180" s="377"/>
      <c r="C180" s="1006"/>
      <c r="D180" s="930"/>
      <c r="E180" s="931"/>
      <c r="F180" s="930"/>
    </row>
    <row r="181" spans="1:6" ht="37.799999999999997" customHeight="1" x14ac:dyDescent="0.25">
      <c r="A181" s="226">
        <f>A179+0.01</f>
        <v>14.02</v>
      </c>
      <c r="B181" s="1007" t="s">
        <v>1257</v>
      </c>
      <c r="C181" s="1006">
        <v>15</v>
      </c>
      <c r="D181" s="930" t="s">
        <v>1238</v>
      </c>
      <c r="E181" s="931">
        <v>131</v>
      </c>
      <c r="F181" s="930">
        <f>E181*C181</f>
        <v>1965</v>
      </c>
    </row>
    <row r="182" spans="1:6" ht="15.6" x14ac:dyDescent="0.25">
      <c r="A182" s="226"/>
      <c r="B182" s="377"/>
      <c r="C182" s="1006"/>
      <c r="D182" s="930"/>
      <c r="E182" s="931"/>
      <c r="F182" s="930"/>
    </row>
    <row r="183" spans="1:6" ht="36" customHeight="1" x14ac:dyDescent="0.25">
      <c r="A183" s="226">
        <f>A181+0.01</f>
        <v>14.03</v>
      </c>
      <c r="B183" s="1007" t="s">
        <v>1258</v>
      </c>
      <c r="C183" s="1006">
        <v>15</v>
      </c>
      <c r="D183" s="930" t="s">
        <v>1238</v>
      </c>
      <c r="E183" s="931">
        <v>145</v>
      </c>
      <c r="F183" s="930">
        <f>E183*C183</f>
        <v>2175</v>
      </c>
    </row>
    <row r="184" spans="1:6" ht="15.6" x14ac:dyDescent="0.25">
      <c r="A184" s="226"/>
      <c r="B184" s="377"/>
      <c r="C184" s="1006"/>
      <c r="D184" s="930"/>
      <c r="E184" s="931"/>
      <c r="F184" s="930"/>
    </row>
    <row r="185" spans="1:6" ht="37.799999999999997" customHeight="1" x14ac:dyDescent="0.25">
      <c r="A185" s="226">
        <f>A183+0.01</f>
        <v>14.04</v>
      </c>
      <c r="B185" s="1007" t="s">
        <v>1259</v>
      </c>
      <c r="C185" s="1006">
        <v>20</v>
      </c>
      <c r="D185" s="930" t="s">
        <v>1238</v>
      </c>
      <c r="E185" s="931">
        <v>177</v>
      </c>
      <c r="F185" s="930">
        <f>E185*C185</f>
        <v>3540</v>
      </c>
    </row>
    <row r="186" spans="1:6" ht="15.6" x14ac:dyDescent="0.25">
      <c r="A186" s="226"/>
      <c r="B186" s="377"/>
      <c r="C186" s="1006"/>
      <c r="D186" s="930"/>
      <c r="E186" s="931"/>
      <c r="F186" s="930"/>
    </row>
    <row r="187" spans="1:6" ht="38.4" customHeight="1" x14ac:dyDescent="0.25">
      <c r="A187" s="226">
        <f>A185+0.01</f>
        <v>14.049999999999999</v>
      </c>
      <c r="B187" s="1007" t="s">
        <v>1260</v>
      </c>
      <c r="C187" s="1006">
        <v>15</v>
      </c>
      <c r="D187" s="930" t="s">
        <v>1238</v>
      </c>
      <c r="E187" s="931">
        <v>228</v>
      </c>
      <c r="F187" s="930">
        <f>E187*C187</f>
        <v>3420</v>
      </c>
    </row>
    <row r="188" spans="1:6" ht="15.6" x14ac:dyDescent="0.25">
      <c r="A188" s="226"/>
      <c r="B188" s="377"/>
      <c r="C188" s="1006"/>
      <c r="D188" s="930"/>
      <c r="E188" s="931"/>
      <c r="F188" s="930"/>
    </row>
    <row r="189" spans="1:6" ht="37.799999999999997" customHeight="1" x14ac:dyDescent="0.25">
      <c r="A189" s="226">
        <f>A187+0.01</f>
        <v>14.059999999999999</v>
      </c>
      <c r="B189" s="1007" t="s">
        <v>1261</v>
      </c>
      <c r="C189" s="1006">
        <v>10</v>
      </c>
      <c r="D189" s="930" t="s">
        <v>1238</v>
      </c>
      <c r="E189" s="931">
        <v>353</v>
      </c>
      <c r="F189" s="930">
        <f>E189*C189</f>
        <v>3530</v>
      </c>
    </row>
    <row r="190" spans="1:6" ht="15.6" x14ac:dyDescent="0.25">
      <c r="A190" s="226"/>
      <c r="B190" s="377"/>
      <c r="C190" s="1006"/>
      <c r="D190" s="930"/>
      <c r="E190" s="931"/>
      <c r="F190" s="930"/>
    </row>
    <row r="191" spans="1:6" ht="15.6" x14ac:dyDescent="0.25">
      <c r="A191" s="226"/>
      <c r="B191" s="377" t="s">
        <v>1245</v>
      </c>
      <c r="C191" s="1006"/>
      <c r="D191" s="930"/>
      <c r="E191" s="931"/>
      <c r="F191" s="930"/>
    </row>
    <row r="192" spans="1:6" ht="38.4" customHeight="1" x14ac:dyDescent="0.25">
      <c r="A192" s="226">
        <f>A189+0.01</f>
        <v>14.069999999999999</v>
      </c>
      <c r="B192" s="1007" t="s">
        <v>1262</v>
      </c>
      <c r="C192" s="1006">
        <v>20</v>
      </c>
      <c r="D192" s="930" t="s">
        <v>167</v>
      </c>
      <c r="E192" s="931">
        <v>145</v>
      </c>
      <c r="F192" s="930">
        <f>E192*C192</f>
        <v>2900</v>
      </c>
    </row>
    <row r="193" spans="1:6" ht="15.6" x14ac:dyDescent="0.25">
      <c r="A193" s="226"/>
      <c r="B193" s="377"/>
      <c r="C193" s="1006"/>
      <c r="D193" s="930"/>
      <c r="E193" s="931"/>
      <c r="F193" s="930"/>
    </row>
    <row r="194" spans="1:6" ht="39" customHeight="1" x14ac:dyDescent="0.25">
      <c r="A194" s="226">
        <f>A192+0.01</f>
        <v>14.079999999999998</v>
      </c>
      <c r="B194" s="1007" t="s">
        <v>1263</v>
      </c>
      <c r="C194" s="1006">
        <v>15</v>
      </c>
      <c r="D194" s="930" t="s">
        <v>167</v>
      </c>
      <c r="E194" s="931">
        <v>158</v>
      </c>
      <c r="F194" s="930">
        <f>E194*C194</f>
        <v>2370</v>
      </c>
    </row>
    <row r="195" spans="1:6" ht="15.6" x14ac:dyDescent="0.25">
      <c r="A195" s="226"/>
      <c r="B195" s="377"/>
      <c r="C195" s="1006"/>
      <c r="D195" s="930"/>
      <c r="E195" s="931"/>
      <c r="F195" s="930"/>
    </row>
    <row r="196" spans="1:6" ht="39" customHeight="1" x14ac:dyDescent="0.25">
      <c r="A196" s="226">
        <f>A194+0.01</f>
        <v>14.089999999999998</v>
      </c>
      <c r="B196" s="1007" t="s">
        <v>1264</v>
      </c>
      <c r="C196" s="1006">
        <v>20</v>
      </c>
      <c r="D196" s="930" t="s">
        <v>167</v>
      </c>
      <c r="E196" s="931">
        <v>238</v>
      </c>
      <c r="F196" s="930">
        <f>E196*C196</f>
        <v>4760</v>
      </c>
    </row>
    <row r="197" spans="1:6" ht="15.6" x14ac:dyDescent="0.25">
      <c r="A197" s="226"/>
      <c r="B197" s="1007"/>
      <c r="C197" s="1006"/>
      <c r="D197" s="930"/>
      <c r="E197" s="931"/>
      <c r="F197" s="930"/>
    </row>
    <row r="198" spans="1:6" ht="15.6" x14ac:dyDescent="0.25">
      <c r="A198" s="939"/>
      <c r="B198" s="1015"/>
      <c r="C198" s="1011"/>
      <c r="D198" s="957"/>
      <c r="E198" s="1012"/>
      <c r="F198" s="957"/>
    </row>
    <row r="199" spans="1:6" ht="15.6" x14ac:dyDescent="0.25">
      <c r="A199" s="945"/>
      <c r="B199" s="1017" t="s">
        <v>290</v>
      </c>
      <c r="C199" s="1013"/>
      <c r="D199" s="719"/>
      <c r="E199" s="1014"/>
      <c r="F199" s="719"/>
    </row>
    <row r="200" spans="1:6" ht="86.4" customHeight="1" x14ac:dyDescent="0.25">
      <c r="A200" s="226">
        <f>A196+0.01</f>
        <v>14.099999999999998</v>
      </c>
      <c r="B200" s="1062" t="s">
        <v>1249</v>
      </c>
      <c r="C200" s="1006">
        <v>25</v>
      </c>
      <c r="D200" s="930" t="s">
        <v>1238</v>
      </c>
      <c r="E200" s="931">
        <v>578</v>
      </c>
      <c r="F200" s="930">
        <f>E200*C200</f>
        <v>14450</v>
      </c>
    </row>
    <row r="201" spans="1:6" ht="15.6" x14ac:dyDescent="0.25">
      <c r="A201" s="226"/>
      <c r="B201" s="377"/>
      <c r="C201" s="1006"/>
      <c r="D201" s="930"/>
      <c r="E201" s="931"/>
      <c r="F201" s="930"/>
    </row>
    <row r="202" spans="1:6" ht="73.8" customHeight="1" x14ac:dyDescent="0.25">
      <c r="A202" s="226">
        <f>A200+0.01</f>
        <v>14.109999999999998</v>
      </c>
      <c r="B202" s="1062" t="s">
        <v>1266</v>
      </c>
      <c r="C202" s="1006">
        <v>6</v>
      </c>
      <c r="D202" s="930" t="s">
        <v>1238</v>
      </c>
      <c r="E202" s="931">
        <v>636</v>
      </c>
      <c r="F202" s="930">
        <f>E202*C202</f>
        <v>3816</v>
      </c>
    </row>
    <row r="203" spans="1:6" ht="15.6" x14ac:dyDescent="0.25">
      <c r="A203" s="226"/>
      <c r="B203" s="1007"/>
      <c r="C203" s="1006"/>
      <c r="D203" s="930"/>
      <c r="E203" s="931"/>
      <c r="F203" s="930"/>
    </row>
    <row r="204" spans="1:6" x14ac:dyDescent="0.25">
      <c r="A204" s="425">
        <v>15</v>
      </c>
      <c r="B204" s="977" t="s">
        <v>586</v>
      </c>
      <c r="C204" s="929"/>
      <c r="D204" s="930"/>
      <c r="E204" s="931"/>
      <c r="F204" s="930"/>
    </row>
    <row r="205" spans="1:6" x14ac:dyDescent="0.25">
      <c r="A205" s="226"/>
      <c r="B205" s="368"/>
      <c r="C205" s="929"/>
      <c r="D205" s="930"/>
      <c r="E205" s="931"/>
      <c r="F205" s="930"/>
    </row>
    <row r="206" spans="1:6" x14ac:dyDescent="0.25">
      <c r="A206" s="226"/>
      <c r="B206" s="396" t="s">
        <v>76</v>
      </c>
      <c r="C206" s="929"/>
      <c r="D206" s="930"/>
      <c r="E206" s="931"/>
      <c r="F206" s="930"/>
    </row>
    <row r="207" spans="1:6" x14ac:dyDescent="0.25">
      <c r="A207" s="226"/>
      <c r="B207" s="977" t="s">
        <v>1368</v>
      </c>
      <c r="C207" s="929"/>
      <c r="D207" s="930"/>
      <c r="E207" s="931"/>
      <c r="F207" s="930"/>
    </row>
    <row r="208" spans="1:6" x14ac:dyDescent="0.25">
      <c r="A208" s="226"/>
      <c r="B208" s="368"/>
      <c r="C208" s="929"/>
      <c r="D208" s="930"/>
      <c r="E208" s="931"/>
      <c r="F208" s="930"/>
    </row>
    <row r="209" spans="1:6" ht="76.8" customHeight="1" x14ac:dyDescent="0.25">
      <c r="A209" s="226">
        <f>A204+0.01</f>
        <v>15.01</v>
      </c>
      <c r="B209" s="368" t="s">
        <v>1371</v>
      </c>
      <c r="C209" s="929">
        <v>5</v>
      </c>
      <c r="D209" s="930" t="s">
        <v>78</v>
      </c>
      <c r="E209" s="931">
        <v>5370</v>
      </c>
      <c r="F209" s="930">
        <f>E209*C209</f>
        <v>26850</v>
      </c>
    </row>
    <row r="210" spans="1:6" x14ac:dyDescent="0.25">
      <c r="A210" s="226"/>
      <c r="B210" s="368"/>
      <c r="C210" s="929"/>
      <c r="D210" s="930"/>
      <c r="E210" s="931"/>
      <c r="F210" s="930"/>
    </row>
    <row r="211" spans="1:6" x14ac:dyDescent="0.25">
      <c r="A211" s="226"/>
      <c r="B211" s="396" t="s">
        <v>1143</v>
      </c>
      <c r="C211" s="929"/>
      <c r="D211" s="930"/>
      <c r="E211" s="931"/>
      <c r="F211" s="930"/>
    </row>
    <row r="212" spans="1:6" x14ac:dyDescent="0.25">
      <c r="A212" s="226"/>
      <c r="B212" s="396" t="s">
        <v>74</v>
      </c>
      <c r="C212" s="929"/>
      <c r="D212" s="930"/>
      <c r="E212" s="931"/>
      <c r="F212" s="930"/>
    </row>
    <row r="213" spans="1:6" ht="104.4" customHeight="1" x14ac:dyDescent="0.25">
      <c r="A213" s="226">
        <f>A209+0.01</f>
        <v>15.02</v>
      </c>
      <c r="B213" s="368" t="s">
        <v>1374</v>
      </c>
      <c r="C213" s="929">
        <v>3</v>
      </c>
      <c r="D213" s="930" t="s">
        <v>78</v>
      </c>
      <c r="E213" s="931">
        <v>4862</v>
      </c>
      <c r="F213" s="930">
        <f>E213*C213</f>
        <v>14586</v>
      </c>
    </row>
    <row r="214" spans="1:6" x14ac:dyDescent="0.25">
      <c r="A214" s="226"/>
      <c r="B214" s="368"/>
      <c r="C214" s="929"/>
      <c r="D214" s="930"/>
      <c r="E214" s="931"/>
      <c r="F214" s="930"/>
    </row>
    <row r="215" spans="1:6" x14ac:dyDescent="0.25">
      <c r="A215" s="226"/>
      <c r="B215" s="396" t="s">
        <v>1519</v>
      </c>
      <c r="C215" s="929"/>
      <c r="D215" s="930"/>
      <c r="E215" s="931"/>
      <c r="F215" s="930"/>
    </row>
    <row r="216" spans="1:6" ht="64.2" customHeight="1" x14ac:dyDescent="0.25">
      <c r="A216" s="226">
        <f>A213+0.01</f>
        <v>15.03</v>
      </c>
      <c r="B216" s="368" t="s">
        <v>1417</v>
      </c>
      <c r="C216" s="929">
        <v>3</v>
      </c>
      <c r="D216" s="930" t="s">
        <v>78</v>
      </c>
      <c r="E216" s="931">
        <v>1520</v>
      </c>
      <c r="F216" s="930">
        <f>E216*C216</f>
        <v>4560</v>
      </c>
    </row>
    <row r="217" spans="1:6" x14ac:dyDescent="0.25">
      <c r="A217" s="226"/>
      <c r="B217" s="368"/>
      <c r="C217" s="929"/>
      <c r="D217" s="930"/>
      <c r="E217" s="931"/>
      <c r="F217" s="930"/>
    </row>
    <row r="218" spans="1:6" ht="63" customHeight="1" x14ac:dyDescent="0.25">
      <c r="A218" s="226">
        <f>A216+0.01</f>
        <v>15.04</v>
      </c>
      <c r="B218" s="368" t="s">
        <v>1413</v>
      </c>
      <c r="C218" s="929">
        <v>7</v>
      </c>
      <c r="D218" s="930" t="s">
        <v>78</v>
      </c>
      <c r="E218" s="931">
        <v>2150</v>
      </c>
      <c r="F218" s="930">
        <f>E218*C218</f>
        <v>15050</v>
      </c>
    </row>
    <row r="219" spans="1:6" x14ac:dyDescent="0.25">
      <c r="A219" s="226"/>
      <c r="B219" s="368"/>
      <c r="C219" s="929"/>
      <c r="D219" s="930"/>
      <c r="E219" s="931"/>
      <c r="F219" s="930"/>
    </row>
    <row r="220" spans="1:6" x14ac:dyDescent="0.25">
      <c r="A220" s="226"/>
      <c r="B220" s="396" t="s">
        <v>106</v>
      </c>
      <c r="C220" s="929"/>
      <c r="D220" s="930"/>
      <c r="E220" s="931"/>
      <c r="F220" s="930"/>
    </row>
    <row r="221" spans="1:6" ht="77.400000000000006" customHeight="1" x14ac:dyDescent="0.25">
      <c r="A221" s="226">
        <f>A218+0.01</f>
        <v>15.049999999999999</v>
      </c>
      <c r="B221" s="368" t="s">
        <v>1520</v>
      </c>
      <c r="C221" s="929">
        <v>1</v>
      </c>
      <c r="D221" s="930" t="s">
        <v>1340</v>
      </c>
      <c r="E221" s="931">
        <v>1629</v>
      </c>
      <c r="F221" s="930">
        <f>E221*C221</f>
        <v>1629</v>
      </c>
    </row>
    <row r="222" spans="1:6" x14ac:dyDescent="0.25">
      <c r="A222" s="226"/>
      <c r="B222" s="368"/>
      <c r="C222" s="929"/>
      <c r="D222" s="930"/>
      <c r="E222" s="931"/>
      <c r="F222" s="930"/>
    </row>
    <row r="223" spans="1:6" x14ac:dyDescent="0.25">
      <c r="A223" s="939"/>
      <c r="B223" s="940"/>
      <c r="C223" s="1018"/>
      <c r="D223" s="957"/>
      <c r="E223" s="1012"/>
      <c r="F223" s="957"/>
    </row>
    <row r="224" spans="1:6" x14ac:dyDescent="0.25">
      <c r="A224" s="1048">
        <v>16</v>
      </c>
      <c r="B224" s="1046" t="s">
        <v>1549</v>
      </c>
      <c r="C224" s="1047"/>
      <c r="D224" s="719"/>
      <c r="E224" s="1014"/>
      <c r="F224" s="719"/>
    </row>
    <row r="225" spans="1:14" ht="76.2" customHeight="1" x14ac:dyDescent="0.25">
      <c r="A225" s="226">
        <f>A224+0.01</f>
        <v>16.010000000000002</v>
      </c>
      <c r="B225" s="368" t="s">
        <v>1569</v>
      </c>
      <c r="C225" s="929">
        <v>7</v>
      </c>
      <c r="D225" s="930" t="s">
        <v>1314</v>
      </c>
      <c r="E225" s="931">
        <v>6500</v>
      </c>
      <c r="F225" s="930">
        <f>E225*C225</f>
        <v>45500</v>
      </c>
    </row>
    <row r="226" spans="1:14" x14ac:dyDescent="0.25">
      <c r="A226" s="226"/>
      <c r="B226" s="368"/>
      <c r="C226" s="929"/>
      <c r="D226" s="930"/>
      <c r="E226" s="931"/>
      <c r="F226" s="930"/>
    </row>
    <row r="227" spans="1:14" ht="124.2" x14ac:dyDescent="0.25">
      <c r="A227" s="226">
        <f>A225+0.01</f>
        <v>16.020000000000003</v>
      </c>
      <c r="B227" s="368" t="s">
        <v>1566</v>
      </c>
      <c r="C227" s="929">
        <v>1</v>
      </c>
      <c r="D227" s="930" t="s">
        <v>1314</v>
      </c>
      <c r="E227" s="931">
        <v>49460</v>
      </c>
      <c r="F227" s="930">
        <f>E227*C227</f>
        <v>49460</v>
      </c>
      <c r="H227" s="24">
        <f>0.9*2.7</f>
        <v>2.4300000000000002</v>
      </c>
      <c r="K227" s="24">
        <f>2.7*0.9</f>
        <v>2.4300000000000002</v>
      </c>
      <c r="L227" s="24">
        <f>K227*10.76</f>
        <v>26.146800000000002</v>
      </c>
      <c r="M227" s="24">
        <f>E227/L227</f>
        <v>1891.6272737007969</v>
      </c>
      <c r="N227" s="24">
        <f>M227*L227</f>
        <v>49460</v>
      </c>
    </row>
    <row r="228" spans="1:14" x14ac:dyDescent="0.25">
      <c r="A228" s="226"/>
      <c r="B228" s="368"/>
      <c r="C228" s="929"/>
      <c r="D228" s="930"/>
      <c r="E228" s="931"/>
      <c r="F228" s="930"/>
    </row>
    <row r="229" spans="1:14" ht="124.2" x14ac:dyDescent="0.25">
      <c r="A229" s="226">
        <f>A227+0.01</f>
        <v>16.030000000000005</v>
      </c>
      <c r="B229" s="368" t="s">
        <v>1567</v>
      </c>
      <c r="C229" s="929">
        <v>2</v>
      </c>
      <c r="D229" s="930" t="s">
        <v>1314</v>
      </c>
      <c r="E229" s="931">
        <v>36650</v>
      </c>
      <c r="F229" s="930">
        <f>E229*C229</f>
        <v>73300</v>
      </c>
      <c r="H229" s="24">
        <f>0.75*2.4</f>
        <v>1.7999999999999998</v>
      </c>
      <c r="I229" s="24">
        <f>E227/H227*H229</f>
        <v>36637.037037037029</v>
      </c>
    </row>
    <row r="230" spans="1:14" x14ac:dyDescent="0.25">
      <c r="A230" s="226"/>
      <c r="B230" s="368"/>
      <c r="C230" s="929"/>
      <c r="D230" s="930"/>
      <c r="E230" s="931"/>
      <c r="F230" s="930"/>
    </row>
    <row r="231" spans="1:14" ht="124.2" x14ac:dyDescent="0.25">
      <c r="A231" s="226">
        <f>A229+0.01</f>
        <v>16.040000000000006</v>
      </c>
      <c r="B231" s="368" t="s">
        <v>1568</v>
      </c>
      <c r="C231" s="929">
        <v>1</v>
      </c>
      <c r="D231" s="930" t="s">
        <v>1314</v>
      </c>
      <c r="E231" s="931">
        <v>33560</v>
      </c>
      <c r="F231" s="930">
        <f>E231*C231</f>
        <v>33560</v>
      </c>
      <c r="H231" s="24">
        <f>2.1*0.75</f>
        <v>1.5750000000000002</v>
      </c>
      <c r="I231" s="24">
        <f>E229/H229*H231</f>
        <v>32068.750000000007</v>
      </c>
    </row>
    <row r="232" spans="1:14" x14ac:dyDescent="0.25">
      <c r="A232" s="226"/>
      <c r="B232" s="368"/>
      <c r="C232" s="929"/>
      <c r="D232" s="930"/>
      <c r="E232" s="931"/>
      <c r="F232" s="930"/>
    </row>
    <row r="233" spans="1:14" x14ac:dyDescent="0.25">
      <c r="A233" s="425">
        <v>17</v>
      </c>
      <c r="B233" s="396" t="s">
        <v>1801</v>
      </c>
      <c r="C233" s="929"/>
      <c r="D233" s="930"/>
      <c r="E233" s="931"/>
      <c r="F233" s="930"/>
    </row>
    <row r="234" spans="1:14" ht="76.2" customHeight="1" x14ac:dyDescent="0.25">
      <c r="A234" s="226">
        <f>A233+0.01</f>
        <v>17.010000000000002</v>
      </c>
      <c r="B234" s="368" t="s">
        <v>1844</v>
      </c>
      <c r="C234" s="929">
        <v>3.5</v>
      </c>
      <c r="D234" s="930" t="s">
        <v>129</v>
      </c>
      <c r="E234" s="931">
        <v>25500</v>
      </c>
      <c r="F234" s="930">
        <f>E234*C234</f>
        <v>89250</v>
      </c>
      <c r="J234" s="24">
        <f>30.15*10.76</f>
        <v>324.41399999999999</v>
      </c>
    </row>
    <row r="235" spans="1:14" ht="14.4" thickBot="1" x14ac:dyDescent="0.3">
      <c r="A235" s="742"/>
      <c r="B235" s="723"/>
      <c r="C235" s="724"/>
      <c r="D235" s="725"/>
      <c r="E235" s="733"/>
      <c r="F235" s="743"/>
      <c r="J235" s="24">
        <f>J234/100</f>
        <v>3.2441399999999998</v>
      </c>
    </row>
    <row r="236" spans="1:14" s="12" customFormat="1" ht="32.4" customHeight="1" x14ac:dyDescent="0.25">
      <c r="A236" s="921"/>
      <c r="B236" s="922" t="s">
        <v>1548</v>
      </c>
      <c r="C236" s="923"/>
      <c r="D236" s="924"/>
      <c r="E236" s="925"/>
      <c r="F236" s="926"/>
      <c r="H236" s="12">
        <f>F236/2</f>
        <v>0</v>
      </c>
    </row>
    <row r="238" spans="1:14" x14ac:dyDescent="0.25">
      <c r="H238" s="24">
        <f>16*10.76</f>
        <v>172.16</v>
      </c>
      <c r="L238" s="24" t="e">
        <f>#REF!*1.1</f>
        <v>#REF!</v>
      </c>
      <c r="M238" s="24">
        <v>165000</v>
      </c>
    </row>
    <row r="239" spans="1:14" x14ac:dyDescent="0.25">
      <c r="H239" s="24">
        <f>F236/H238</f>
        <v>0</v>
      </c>
    </row>
    <row r="243" spans="13:15" x14ac:dyDescent="0.25">
      <c r="M243" s="24">
        <f>SUM(M237:M242)</f>
        <v>165000</v>
      </c>
    </row>
    <row r="247" spans="13:15" x14ac:dyDescent="0.25">
      <c r="M247" s="24">
        <f>M243*1.1</f>
        <v>181500.00000000003</v>
      </c>
      <c r="O247" s="24">
        <f>M247-M243</f>
        <v>16500.000000000029</v>
      </c>
    </row>
    <row r="248" spans="13:15" x14ac:dyDescent="0.25">
      <c r="O248" s="24" t="e">
        <f>#REF!-M243</f>
        <v>#REF!</v>
      </c>
    </row>
  </sheetData>
  <pageMargins left="0.5" right="0.5" top="0.25" bottom="0.25" header="0.5" footer="0.5"/>
  <pageSetup orientation="portrait" r:id="rId1"/>
  <headerFooter alignWithMargins="0">
    <oddFooter>&amp;C&amp;P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B138"/>
  <sheetViews>
    <sheetView view="pageBreakPreview" zoomScale="98" zoomScaleNormal="100" zoomScaleSheetLayoutView="98" workbookViewId="0">
      <selection activeCell="N11" sqref="N11:N13"/>
    </sheetView>
  </sheetViews>
  <sheetFormatPr defaultRowHeight="13.8" x14ac:dyDescent="0.25"/>
  <cols>
    <col min="1" max="1" width="5.6640625" style="1467" customWidth="1"/>
    <col min="2" max="2" width="48.33203125" style="1468" customWidth="1"/>
    <col min="3" max="3" width="6.5546875" style="1469" bestFit="1" customWidth="1"/>
    <col min="4" max="4" width="6.44140625" style="1470" bestFit="1" customWidth="1"/>
    <col min="5" max="5" width="10.44140625" style="1471" bestFit="1" customWidth="1"/>
    <col min="6" max="6" width="11.88671875" style="1472" bestFit="1" customWidth="1"/>
    <col min="7" max="7" width="9.109375" style="1347" customWidth="1"/>
    <col min="8" max="8" width="14.33203125" style="1347" customWidth="1"/>
    <col min="9" max="9" width="9.109375" style="1347" customWidth="1"/>
    <col min="10" max="10" width="10.44140625" style="1347" customWidth="1"/>
    <col min="11" max="25" width="9.109375" style="1347" customWidth="1"/>
    <col min="26" max="255" width="8.88671875" style="1347"/>
    <col min="256" max="256" width="3" style="1347" customWidth="1"/>
    <col min="257" max="257" width="4.33203125" style="1347" customWidth="1"/>
    <col min="258" max="258" width="39.44140625" style="1347" customWidth="1"/>
    <col min="259" max="259" width="8.88671875" style="1347" customWidth="1"/>
    <col min="260" max="260" width="10.44140625" style="1347" customWidth="1"/>
    <col min="261" max="261" width="12.33203125" style="1347" customWidth="1"/>
    <col min="262" max="262" width="14.88671875" style="1347" customWidth="1"/>
    <col min="263" max="263" width="9.109375" style="1347" customWidth="1"/>
    <col min="264" max="264" width="14.33203125" style="1347" customWidth="1"/>
    <col min="265" max="265" width="9.109375" style="1347" customWidth="1"/>
    <col min="266" max="266" width="10.44140625" style="1347" customWidth="1"/>
    <col min="267" max="281" width="9.109375" style="1347" customWidth="1"/>
    <col min="282" max="511" width="8.88671875" style="1347"/>
    <col min="512" max="512" width="3" style="1347" customWidth="1"/>
    <col min="513" max="513" width="4.33203125" style="1347" customWidth="1"/>
    <col min="514" max="514" width="39.44140625" style="1347" customWidth="1"/>
    <col min="515" max="515" width="8.88671875" style="1347" customWidth="1"/>
    <col min="516" max="516" width="10.44140625" style="1347" customWidth="1"/>
    <col min="517" max="517" width="12.33203125" style="1347" customWidth="1"/>
    <col min="518" max="518" width="14.88671875" style="1347" customWidth="1"/>
    <col min="519" max="519" width="9.109375" style="1347" customWidth="1"/>
    <col min="520" max="520" width="14.33203125" style="1347" customWidth="1"/>
    <col min="521" max="521" width="9.109375" style="1347" customWidth="1"/>
    <col min="522" max="522" width="10.44140625" style="1347" customWidth="1"/>
    <col min="523" max="537" width="9.109375" style="1347" customWidth="1"/>
    <col min="538" max="767" width="8.88671875" style="1347"/>
    <col min="768" max="768" width="3" style="1347" customWidth="1"/>
    <col min="769" max="769" width="4.33203125" style="1347" customWidth="1"/>
    <col min="770" max="770" width="39.44140625" style="1347" customWidth="1"/>
    <col min="771" max="771" width="8.88671875" style="1347" customWidth="1"/>
    <col min="772" max="772" width="10.44140625" style="1347" customWidth="1"/>
    <col min="773" max="773" width="12.33203125" style="1347" customWidth="1"/>
    <col min="774" max="774" width="14.88671875" style="1347" customWidth="1"/>
    <col min="775" max="775" width="9.109375" style="1347" customWidth="1"/>
    <col min="776" max="776" width="14.33203125" style="1347" customWidth="1"/>
    <col min="777" max="777" width="9.109375" style="1347" customWidth="1"/>
    <col min="778" max="778" width="10.44140625" style="1347" customWidth="1"/>
    <col min="779" max="793" width="9.109375" style="1347" customWidth="1"/>
    <col min="794" max="1023" width="8.88671875" style="1347"/>
    <col min="1024" max="1024" width="3" style="1347" customWidth="1"/>
    <col min="1025" max="1025" width="4.33203125" style="1347" customWidth="1"/>
    <col min="1026" max="1026" width="39.44140625" style="1347" customWidth="1"/>
    <col min="1027" max="1027" width="8.88671875" style="1347" customWidth="1"/>
    <col min="1028" max="1028" width="10.44140625" style="1347" customWidth="1"/>
    <col min="1029" max="1029" width="12.33203125" style="1347" customWidth="1"/>
    <col min="1030" max="1030" width="14.88671875" style="1347" customWidth="1"/>
    <col min="1031" max="1031" width="9.109375" style="1347" customWidth="1"/>
    <col min="1032" max="1032" width="14.33203125" style="1347" customWidth="1"/>
    <col min="1033" max="1033" width="9.109375" style="1347" customWidth="1"/>
    <col min="1034" max="1034" width="10.44140625" style="1347" customWidth="1"/>
    <col min="1035" max="1049" width="9.109375" style="1347" customWidth="1"/>
    <col min="1050" max="1279" width="8.88671875" style="1347"/>
    <col min="1280" max="1280" width="3" style="1347" customWidth="1"/>
    <col min="1281" max="1281" width="4.33203125" style="1347" customWidth="1"/>
    <col min="1282" max="1282" width="39.44140625" style="1347" customWidth="1"/>
    <col min="1283" max="1283" width="8.88671875" style="1347" customWidth="1"/>
    <col min="1284" max="1284" width="10.44140625" style="1347" customWidth="1"/>
    <col min="1285" max="1285" width="12.33203125" style="1347" customWidth="1"/>
    <col min="1286" max="1286" width="14.88671875" style="1347" customWidth="1"/>
    <col min="1287" max="1287" width="9.109375" style="1347" customWidth="1"/>
    <col min="1288" max="1288" width="14.33203125" style="1347" customWidth="1"/>
    <col min="1289" max="1289" width="9.109375" style="1347" customWidth="1"/>
    <col min="1290" max="1290" width="10.44140625" style="1347" customWidth="1"/>
    <col min="1291" max="1305" width="9.109375" style="1347" customWidth="1"/>
    <col min="1306" max="1535" width="8.88671875" style="1347"/>
    <col min="1536" max="1536" width="3" style="1347" customWidth="1"/>
    <col min="1537" max="1537" width="4.33203125" style="1347" customWidth="1"/>
    <col min="1538" max="1538" width="39.44140625" style="1347" customWidth="1"/>
    <col min="1539" max="1539" width="8.88671875" style="1347" customWidth="1"/>
    <col min="1540" max="1540" width="10.44140625" style="1347" customWidth="1"/>
    <col min="1541" max="1541" width="12.33203125" style="1347" customWidth="1"/>
    <col min="1542" max="1542" width="14.88671875" style="1347" customWidth="1"/>
    <col min="1543" max="1543" width="9.109375" style="1347" customWidth="1"/>
    <col min="1544" max="1544" width="14.33203125" style="1347" customWidth="1"/>
    <col min="1545" max="1545" width="9.109375" style="1347" customWidth="1"/>
    <col min="1546" max="1546" width="10.44140625" style="1347" customWidth="1"/>
    <col min="1547" max="1561" width="9.109375" style="1347" customWidth="1"/>
    <col min="1562" max="1791" width="8.88671875" style="1347"/>
    <col min="1792" max="1792" width="3" style="1347" customWidth="1"/>
    <col min="1793" max="1793" width="4.33203125" style="1347" customWidth="1"/>
    <col min="1794" max="1794" width="39.44140625" style="1347" customWidth="1"/>
    <col min="1795" max="1795" width="8.88671875" style="1347" customWidth="1"/>
    <col min="1796" max="1796" width="10.44140625" style="1347" customWidth="1"/>
    <col min="1797" max="1797" width="12.33203125" style="1347" customWidth="1"/>
    <col min="1798" max="1798" width="14.88671875" style="1347" customWidth="1"/>
    <col min="1799" max="1799" width="9.109375" style="1347" customWidth="1"/>
    <col min="1800" max="1800" width="14.33203125" style="1347" customWidth="1"/>
    <col min="1801" max="1801" width="9.109375" style="1347" customWidth="1"/>
    <col min="1802" max="1802" width="10.44140625" style="1347" customWidth="1"/>
    <col min="1803" max="1817" width="9.109375" style="1347" customWidth="1"/>
    <col min="1818" max="2047" width="8.88671875" style="1347"/>
    <col min="2048" max="2048" width="3" style="1347" customWidth="1"/>
    <col min="2049" max="2049" width="4.33203125" style="1347" customWidth="1"/>
    <col min="2050" max="2050" width="39.44140625" style="1347" customWidth="1"/>
    <col min="2051" max="2051" width="8.88671875" style="1347" customWidth="1"/>
    <col min="2052" max="2052" width="10.44140625" style="1347" customWidth="1"/>
    <col min="2053" max="2053" width="12.33203125" style="1347" customWidth="1"/>
    <col min="2054" max="2054" width="14.88671875" style="1347" customWidth="1"/>
    <col min="2055" max="2055" width="9.109375" style="1347" customWidth="1"/>
    <col min="2056" max="2056" width="14.33203125" style="1347" customWidth="1"/>
    <col min="2057" max="2057" width="9.109375" style="1347" customWidth="1"/>
    <col min="2058" max="2058" width="10.44140625" style="1347" customWidth="1"/>
    <col min="2059" max="2073" width="9.109375" style="1347" customWidth="1"/>
    <col min="2074" max="2303" width="8.88671875" style="1347"/>
    <col min="2304" max="2304" width="3" style="1347" customWidth="1"/>
    <col min="2305" max="2305" width="4.33203125" style="1347" customWidth="1"/>
    <col min="2306" max="2306" width="39.44140625" style="1347" customWidth="1"/>
    <col min="2307" max="2307" width="8.88671875" style="1347" customWidth="1"/>
    <col min="2308" max="2308" width="10.44140625" style="1347" customWidth="1"/>
    <col min="2309" max="2309" width="12.33203125" style="1347" customWidth="1"/>
    <col min="2310" max="2310" width="14.88671875" style="1347" customWidth="1"/>
    <col min="2311" max="2311" width="9.109375" style="1347" customWidth="1"/>
    <col min="2312" max="2312" width="14.33203125" style="1347" customWidth="1"/>
    <col min="2313" max="2313" width="9.109375" style="1347" customWidth="1"/>
    <col min="2314" max="2314" width="10.44140625" style="1347" customWidth="1"/>
    <col min="2315" max="2329" width="9.109375" style="1347" customWidth="1"/>
    <col min="2330" max="2559" width="8.88671875" style="1347"/>
    <col min="2560" max="2560" width="3" style="1347" customWidth="1"/>
    <col min="2561" max="2561" width="4.33203125" style="1347" customWidth="1"/>
    <col min="2562" max="2562" width="39.44140625" style="1347" customWidth="1"/>
    <col min="2563" max="2563" width="8.88671875" style="1347" customWidth="1"/>
    <col min="2564" max="2564" width="10.44140625" style="1347" customWidth="1"/>
    <col min="2565" max="2565" width="12.33203125" style="1347" customWidth="1"/>
    <col min="2566" max="2566" width="14.88671875" style="1347" customWidth="1"/>
    <col min="2567" max="2567" width="9.109375" style="1347" customWidth="1"/>
    <col min="2568" max="2568" width="14.33203125" style="1347" customWidth="1"/>
    <col min="2569" max="2569" width="9.109375" style="1347" customWidth="1"/>
    <col min="2570" max="2570" width="10.44140625" style="1347" customWidth="1"/>
    <col min="2571" max="2585" width="9.109375" style="1347" customWidth="1"/>
    <col min="2586" max="2815" width="8.88671875" style="1347"/>
    <col min="2816" max="2816" width="3" style="1347" customWidth="1"/>
    <col min="2817" max="2817" width="4.33203125" style="1347" customWidth="1"/>
    <col min="2818" max="2818" width="39.44140625" style="1347" customWidth="1"/>
    <col min="2819" max="2819" width="8.88671875" style="1347" customWidth="1"/>
    <col min="2820" max="2820" width="10.44140625" style="1347" customWidth="1"/>
    <col min="2821" max="2821" width="12.33203125" style="1347" customWidth="1"/>
    <col min="2822" max="2822" width="14.88671875" style="1347" customWidth="1"/>
    <col min="2823" max="2823" width="9.109375" style="1347" customWidth="1"/>
    <col min="2824" max="2824" width="14.33203125" style="1347" customWidth="1"/>
    <col min="2825" max="2825" width="9.109375" style="1347" customWidth="1"/>
    <col min="2826" max="2826" width="10.44140625" style="1347" customWidth="1"/>
    <col min="2827" max="2841" width="9.109375" style="1347" customWidth="1"/>
    <col min="2842" max="3071" width="8.88671875" style="1347"/>
    <col min="3072" max="3072" width="3" style="1347" customWidth="1"/>
    <col min="3073" max="3073" width="4.33203125" style="1347" customWidth="1"/>
    <col min="3074" max="3074" width="39.44140625" style="1347" customWidth="1"/>
    <col min="3075" max="3075" width="8.88671875" style="1347" customWidth="1"/>
    <col min="3076" max="3076" width="10.44140625" style="1347" customWidth="1"/>
    <col min="3077" max="3077" width="12.33203125" style="1347" customWidth="1"/>
    <col min="3078" max="3078" width="14.88671875" style="1347" customWidth="1"/>
    <col min="3079" max="3079" width="9.109375" style="1347" customWidth="1"/>
    <col min="3080" max="3080" width="14.33203125" style="1347" customWidth="1"/>
    <col min="3081" max="3081" width="9.109375" style="1347" customWidth="1"/>
    <col min="3082" max="3082" width="10.44140625" style="1347" customWidth="1"/>
    <col min="3083" max="3097" width="9.109375" style="1347" customWidth="1"/>
    <col min="3098" max="3327" width="8.88671875" style="1347"/>
    <col min="3328" max="3328" width="3" style="1347" customWidth="1"/>
    <col min="3329" max="3329" width="4.33203125" style="1347" customWidth="1"/>
    <col min="3330" max="3330" width="39.44140625" style="1347" customWidth="1"/>
    <col min="3331" max="3331" width="8.88671875" style="1347" customWidth="1"/>
    <col min="3332" max="3332" width="10.44140625" style="1347" customWidth="1"/>
    <col min="3333" max="3333" width="12.33203125" style="1347" customWidth="1"/>
    <col min="3334" max="3334" width="14.88671875" style="1347" customWidth="1"/>
    <col min="3335" max="3335" width="9.109375" style="1347" customWidth="1"/>
    <col min="3336" max="3336" width="14.33203125" style="1347" customWidth="1"/>
    <col min="3337" max="3337" width="9.109375" style="1347" customWidth="1"/>
    <col min="3338" max="3338" width="10.44140625" style="1347" customWidth="1"/>
    <col min="3339" max="3353" width="9.109375" style="1347" customWidth="1"/>
    <col min="3354" max="3583" width="8.88671875" style="1347"/>
    <col min="3584" max="3584" width="3" style="1347" customWidth="1"/>
    <col min="3585" max="3585" width="4.33203125" style="1347" customWidth="1"/>
    <col min="3586" max="3586" width="39.44140625" style="1347" customWidth="1"/>
    <col min="3587" max="3587" width="8.88671875" style="1347" customWidth="1"/>
    <col min="3588" max="3588" width="10.44140625" style="1347" customWidth="1"/>
    <col min="3589" max="3589" width="12.33203125" style="1347" customWidth="1"/>
    <col min="3590" max="3590" width="14.88671875" style="1347" customWidth="1"/>
    <col min="3591" max="3591" width="9.109375" style="1347" customWidth="1"/>
    <col min="3592" max="3592" width="14.33203125" style="1347" customWidth="1"/>
    <col min="3593" max="3593" width="9.109375" style="1347" customWidth="1"/>
    <col min="3594" max="3594" width="10.44140625" style="1347" customWidth="1"/>
    <col min="3595" max="3609" width="9.109375" style="1347" customWidth="1"/>
    <col min="3610" max="3839" width="8.88671875" style="1347"/>
    <col min="3840" max="3840" width="3" style="1347" customWidth="1"/>
    <col min="3841" max="3841" width="4.33203125" style="1347" customWidth="1"/>
    <col min="3842" max="3842" width="39.44140625" style="1347" customWidth="1"/>
    <col min="3843" max="3843" width="8.88671875" style="1347" customWidth="1"/>
    <col min="3844" max="3844" width="10.44140625" style="1347" customWidth="1"/>
    <col min="3845" max="3845" width="12.33203125" style="1347" customWidth="1"/>
    <col min="3846" max="3846" width="14.88671875" style="1347" customWidth="1"/>
    <col min="3847" max="3847" width="9.109375" style="1347" customWidth="1"/>
    <col min="3848" max="3848" width="14.33203125" style="1347" customWidth="1"/>
    <col min="3849" max="3849" width="9.109375" style="1347" customWidth="1"/>
    <col min="3850" max="3850" width="10.44140625" style="1347" customWidth="1"/>
    <col min="3851" max="3865" width="9.109375" style="1347" customWidth="1"/>
    <col min="3866" max="4095" width="8.88671875" style="1347"/>
    <col min="4096" max="4096" width="3" style="1347" customWidth="1"/>
    <col min="4097" max="4097" width="4.33203125" style="1347" customWidth="1"/>
    <col min="4098" max="4098" width="39.44140625" style="1347" customWidth="1"/>
    <col min="4099" max="4099" width="8.88671875" style="1347" customWidth="1"/>
    <col min="4100" max="4100" width="10.44140625" style="1347" customWidth="1"/>
    <col min="4101" max="4101" width="12.33203125" style="1347" customWidth="1"/>
    <col min="4102" max="4102" width="14.88671875" style="1347" customWidth="1"/>
    <col min="4103" max="4103" width="9.109375" style="1347" customWidth="1"/>
    <col min="4104" max="4104" width="14.33203125" style="1347" customWidth="1"/>
    <col min="4105" max="4105" width="9.109375" style="1347" customWidth="1"/>
    <col min="4106" max="4106" width="10.44140625" style="1347" customWidth="1"/>
    <col min="4107" max="4121" width="9.109375" style="1347" customWidth="1"/>
    <col min="4122" max="4351" width="8.88671875" style="1347"/>
    <col min="4352" max="4352" width="3" style="1347" customWidth="1"/>
    <col min="4353" max="4353" width="4.33203125" style="1347" customWidth="1"/>
    <col min="4354" max="4354" width="39.44140625" style="1347" customWidth="1"/>
    <col min="4355" max="4355" width="8.88671875" style="1347" customWidth="1"/>
    <col min="4356" max="4356" width="10.44140625" style="1347" customWidth="1"/>
    <col min="4357" max="4357" width="12.33203125" style="1347" customWidth="1"/>
    <col min="4358" max="4358" width="14.88671875" style="1347" customWidth="1"/>
    <col min="4359" max="4359" width="9.109375" style="1347" customWidth="1"/>
    <col min="4360" max="4360" width="14.33203125" style="1347" customWidth="1"/>
    <col min="4361" max="4361" width="9.109375" style="1347" customWidth="1"/>
    <col min="4362" max="4362" width="10.44140625" style="1347" customWidth="1"/>
    <col min="4363" max="4377" width="9.109375" style="1347" customWidth="1"/>
    <col min="4378" max="4607" width="8.88671875" style="1347"/>
    <col min="4608" max="4608" width="3" style="1347" customWidth="1"/>
    <col min="4609" max="4609" width="4.33203125" style="1347" customWidth="1"/>
    <col min="4610" max="4610" width="39.44140625" style="1347" customWidth="1"/>
    <col min="4611" max="4611" width="8.88671875" style="1347" customWidth="1"/>
    <col min="4612" max="4612" width="10.44140625" style="1347" customWidth="1"/>
    <col min="4613" max="4613" width="12.33203125" style="1347" customWidth="1"/>
    <col min="4614" max="4614" width="14.88671875" style="1347" customWidth="1"/>
    <col min="4615" max="4615" width="9.109375" style="1347" customWidth="1"/>
    <col min="4616" max="4616" width="14.33203125" style="1347" customWidth="1"/>
    <col min="4617" max="4617" width="9.109375" style="1347" customWidth="1"/>
    <col min="4618" max="4618" width="10.44140625" style="1347" customWidth="1"/>
    <col min="4619" max="4633" width="9.109375" style="1347" customWidth="1"/>
    <col min="4634" max="4863" width="8.88671875" style="1347"/>
    <col min="4864" max="4864" width="3" style="1347" customWidth="1"/>
    <col min="4865" max="4865" width="4.33203125" style="1347" customWidth="1"/>
    <col min="4866" max="4866" width="39.44140625" style="1347" customWidth="1"/>
    <col min="4867" max="4867" width="8.88671875" style="1347" customWidth="1"/>
    <col min="4868" max="4868" width="10.44140625" style="1347" customWidth="1"/>
    <col min="4869" max="4869" width="12.33203125" style="1347" customWidth="1"/>
    <col min="4870" max="4870" width="14.88671875" style="1347" customWidth="1"/>
    <col min="4871" max="4871" width="9.109375" style="1347" customWidth="1"/>
    <col min="4872" max="4872" width="14.33203125" style="1347" customWidth="1"/>
    <col min="4873" max="4873" width="9.109375" style="1347" customWidth="1"/>
    <col min="4874" max="4874" width="10.44140625" style="1347" customWidth="1"/>
    <col min="4875" max="4889" width="9.109375" style="1347" customWidth="1"/>
    <col min="4890" max="5119" width="8.88671875" style="1347"/>
    <col min="5120" max="5120" width="3" style="1347" customWidth="1"/>
    <col min="5121" max="5121" width="4.33203125" style="1347" customWidth="1"/>
    <col min="5122" max="5122" width="39.44140625" style="1347" customWidth="1"/>
    <col min="5123" max="5123" width="8.88671875" style="1347" customWidth="1"/>
    <col min="5124" max="5124" width="10.44140625" style="1347" customWidth="1"/>
    <col min="5125" max="5125" width="12.33203125" style="1347" customWidth="1"/>
    <col min="5126" max="5126" width="14.88671875" style="1347" customWidth="1"/>
    <col min="5127" max="5127" width="9.109375" style="1347" customWidth="1"/>
    <col min="5128" max="5128" width="14.33203125" style="1347" customWidth="1"/>
    <col min="5129" max="5129" width="9.109375" style="1347" customWidth="1"/>
    <col min="5130" max="5130" width="10.44140625" style="1347" customWidth="1"/>
    <col min="5131" max="5145" width="9.109375" style="1347" customWidth="1"/>
    <col min="5146" max="5375" width="8.88671875" style="1347"/>
    <col min="5376" max="5376" width="3" style="1347" customWidth="1"/>
    <col min="5377" max="5377" width="4.33203125" style="1347" customWidth="1"/>
    <col min="5378" max="5378" width="39.44140625" style="1347" customWidth="1"/>
    <col min="5379" max="5379" width="8.88671875" style="1347" customWidth="1"/>
    <col min="5380" max="5380" width="10.44140625" style="1347" customWidth="1"/>
    <col min="5381" max="5381" width="12.33203125" style="1347" customWidth="1"/>
    <col min="5382" max="5382" width="14.88671875" style="1347" customWidth="1"/>
    <col min="5383" max="5383" width="9.109375" style="1347" customWidth="1"/>
    <col min="5384" max="5384" width="14.33203125" style="1347" customWidth="1"/>
    <col min="5385" max="5385" width="9.109375" style="1347" customWidth="1"/>
    <col min="5386" max="5386" width="10.44140625" style="1347" customWidth="1"/>
    <col min="5387" max="5401" width="9.109375" style="1347" customWidth="1"/>
    <col min="5402" max="5631" width="8.88671875" style="1347"/>
    <col min="5632" max="5632" width="3" style="1347" customWidth="1"/>
    <col min="5633" max="5633" width="4.33203125" style="1347" customWidth="1"/>
    <col min="5634" max="5634" width="39.44140625" style="1347" customWidth="1"/>
    <col min="5635" max="5635" width="8.88671875" style="1347" customWidth="1"/>
    <col min="5636" max="5636" width="10.44140625" style="1347" customWidth="1"/>
    <col min="5637" max="5637" width="12.33203125" style="1347" customWidth="1"/>
    <col min="5638" max="5638" width="14.88671875" style="1347" customWidth="1"/>
    <col min="5639" max="5639" width="9.109375" style="1347" customWidth="1"/>
    <col min="5640" max="5640" width="14.33203125" style="1347" customWidth="1"/>
    <col min="5641" max="5641" width="9.109375" style="1347" customWidth="1"/>
    <col min="5642" max="5642" width="10.44140625" style="1347" customWidth="1"/>
    <col min="5643" max="5657" width="9.109375" style="1347" customWidth="1"/>
    <col min="5658" max="5887" width="8.88671875" style="1347"/>
    <col min="5888" max="5888" width="3" style="1347" customWidth="1"/>
    <col min="5889" max="5889" width="4.33203125" style="1347" customWidth="1"/>
    <col min="5890" max="5890" width="39.44140625" style="1347" customWidth="1"/>
    <col min="5891" max="5891" width="8.88671875" style="1347" customWidth="1"/>
    <col min="5892" max="5892" width="10.44140625" style="1347" customWidth="1"/>
    <col min="5893" max="5893" width="12.33203125" style="1347" customWidth="1"/>
    <col min="5894" max="5894" width="14.88671875" style="1347" customWidth="1"/>
    <col min="5895" max="5895" width="9.109375" style="1347" customWidth="1"/>
    <col min="5896" max="5896" width="14.33203125" style="1347" customWidth="1"/>
    <col min="5897" max="5897" width="9.109375" style="1347" customWidth="1"/>
    <col min="5898" max="5898" width="10.44140625" style="1347" customWidth="1"/>
    <col min="5899" max="5913" width="9.109375" style="1347" customWidth="1"/>
    <col min="5914" max="6143" width="8.88671875" style="1347"/>
    <col min="6144" max="6144" width="3" style="1347" customWidth="1"/>
    <col min="6145" max="6145" width="4.33203125" style="1347" customWidth="1"/>
    <col min="6146" max="6146" width="39.44140625" style="1347" customWidth="1"/>
    <col min="6147" max="6147" width="8.88671875" style="1347" customWidth="1"/>
    <col min="6148" max="6148" width="10.44140625" style="1347" customWidth="1"/>
    <col min="6149" max="6149" width="12.33203125" style="1347" customWidth="1"/>
    <col min="6150" max="6150" width="14.88671875" style="1347" customWidth="1"/>
    <col min="6151" max="6151" width="9.109375" style="1347" customWidth="1"/>
    <col min="6152" max="6152" width="14.33203125" style="1347" customWidth="1"/>
    <col min="6153" max="6153" width="9.109375" style="1347" customWidth="1"/>
    <col min="6154" max="6154" width="10.44140625" style="1347" customWidth="1"/>
    <col min="6155" max="6169" width="9.109375" style="1347" customWidth="1"/>
    <col min="6170" max="6399" width="8.88671875" style="1347"/>
    <col min="6400" max="6400" width="3" style="1347" customWidth="1"/>
    <col min="6401" max="6401" width="4.33203125" style="1347" customWidth="1"/>
    <col min="6402" max="6402" width="39.44140625" style="1347" customWidth="1"/>
    <col min="6403" max="6403" width="8.88671875" style="1347" customWidth="1"/>
    <col min="6404" max="6404" width="10.44140625" style="1347" customWidth="1"/>
    <col min="6405" max="6405" width="12.33203125" style="1347" customWidth="1"/>
    <col min="6406" max="6406" width="14.88671875" style="1347" customWidth="1"/>
    <col min="6407" max="6407" width="9.109375" style="1347" customWidth="1"/>
    <col min="6408" max="6408" width="14.33203125" style="1347" customWidth="1"/>
    <col min="6409" max="6409" width="9.109375" style="1347" customWidth="1"/>
    <col min="6410" max="6410" width="10.44140625" style="1347" customWidth="1"/>
    <col min="6411" max="6425" width="9.109375" style="1347" customWidth="1"/>
    <col min="6426" max="6655" width="8.88671875" style="1347"/>
    <col min="6656" max="6656" width="3" style="1347" customWidth="1"/>
    <col min="6657" max="6657" width="4.33203125" style="1347" customWidth="1"/>
    <col min="6658" max="6658" width="39.44140625" style="1347" customWidth="1"/>
    <col min="6659" max="6659" width="8.88671875" style="1347" customWidth="1"/>
    <col min="6660" max="6660" width="10.44140625" style="1347" customWidth="1"/>
    <col min="6661" max="6661" width="12.33203125" style="1347" customWidth="1"/>
    <col min="6662" max="6662" width="14.88671875" style="1347" customWidth="1"/>
    <col min="6663" max="6663" width="9.109375" style="1347" customWidth="1"/>
    <col min="6664" max="6664" width="14.33203125" style="1347" customWidth="1"/>
    <col min="6665" max="6665" width="9.109375" style="1347" customWidth="1"/>
    <col min="6666" max="6666" width="10.44140625" style="1347" customWidth="1"/>
    <col min="6667" max="6681" width="9.109375" style="1347" customWidth="1"/>
    <col min="6682" max="6911" width="8.88671875" style="1347"/>
    <col min="6912" max="6912" width="3" style="1347" customWidth="1"/>
    <col min="6913" max="6913" width="4.33203125" style="1347" customWidth="1"/>
    <col min="6914" max="6914" width="39.44140625" style="1347" customWidth="1"/>
    <col min="6915" max="6915" width="8.88671875" style="1347" customWidth="1"/>
    <col min="6916" max="6916" width="10.44140625" style="1347" customWidth="1"/>
    <col min="6917" max="6917" width="12.33203125" style="1347" customWidth="1"/>
    <col min="6918" max="6918" width="14.88671875" style="1347" customWidth="1"/>
    <col min="6919" max="6919" width="9.109375" style="1347" customWidth="1"/>
    <col min="6920" max="6920" width="14.33203125" style="1347" customWidth="1"/>
    <col min="6921" max="6921" width="9.109375" style="1347" customWidth="1"/>
    <col min="6922" max="6922" width="10.44140625" style="1347" customWidth="1"/>
    <col min="6923" max="6937" width="9.109375" style="1347" customWidth="1"/>
    <col min="6938" max="7167" width="8.88671875" style="1347"/>
    <col min="7168" max="7168" width="3" style="1347" customWidth="1"/>
    <col min="7169" max="7169" width="4.33203125" style="1347" customWidth="1"/>
    <col min="7170" max="7170" width="39.44140625" style="1347" customWidth="1"/>
    <col min="7171" max="7171" width="8.88671875" style="1347" customWidth="1"/>
    <col min="7172" max="7172" width="10.44140625" style="1347" customWidth="1"/>
    <col min="7173" max="7173" width="12.33203125" style="1347" customWidth="1"/>
    <col min="7174" max="7174" width="14.88671875" style="1347" customWidth="1"/>
    <col min="7175" max="7175" width="9.109375" style="1347" customWidth="1"/>
    <col min="7176" max="7176" width="14.33203125" style="1347" customWidth="1"/>
    <col min="7177" max="7177" width="9.109375" style="1347" customWidth="1"/>
    <col min="7178" max="7178" width="10.44140625" style="1347" customWidth="1"/>
    <col min="7179" max="7193" width="9.109375" style="1347" customWidth="1"/>
    <col min="7194" max="7423" width="8.88671875" style="1347"/>
    <col min="7424" max="7424" width="3" style="1347" customWidth="1"/>
    <col min="7425" max="7425" width="4.33203125" style="1347" customWidth="1"/>
    <col min="7426" max="7426" width="39.44140625" style="1347" customWidth="1"/>
    <col min="7427" max="7427" width="8.88671875" style="1347" customWidth="1"/>
    <col min="7428" max="7428" width="10.44140625" style="1347" customWidth="1"/>
    <col min="7429" max="7429" width="12.33203125" style="1347" customWidth="1"/>
    <col min="7430" max="7430" width="14.88671875" style="1347" customWidth="1"/>
    <col min="7431" max="7431" width="9.109375" style="1347" customWidth="1"/>
    <col min="7432" max="7432" width="14.33203125" style="1347" customWidth="1"/>
    <col min="7433" max="7433" width="9.109375" style="1347" customWidth="1"/>
    <col min="7434" max="7434" width="10.44140625" style="1347" customWidth="1"/>
    <col min="7435" max="7449" width="9.109375" style="1347" customWidth="1"/>
    <col min="7450" max="7679" width="8.88671875" style="1347"/>
    <col min="7680" max="7680" width="3" style="1347" customWidth="1"/>
    <col min="7681" max="7681" width="4.33203125" style="1347" customWidth="1"/>
    <col min="7682" max="7682" width="39.44140625" style="1347" customWidth="1"/>
    <col min="7683" max="7683" width="8.88671875" style="1347" customWidth="1"/>
    <col min="7684" max="7684" width="10.44140625" style="1347" customWidth="1"/>
    <col min="7685" max="7685" width="12.33203125" style="1347" customWidth="1"/>
    <col min="7686" max="7686" width="14.88671875" style="1347" customWidth="1"/>
    <col min="7687" max="7687" width="9.109375" style="1347" customWidth="1"/>
    <col min="7688" max="7688" width="14.33203125" style="1347" customWidth="1"/>
    <col min="7689" max="7689" width="9.109375" style="1347" customWidth="1"/>
    <col min="7690" max="7690" width="10.44140625" style="1347" customWidth="1"/>
    <col min="7691" max="7705" width="9.109375" style="1347" customWidth="1"/>
    <col min="7706" max="7935" width="8.88671875" style="1347"/>
    <col min="7936" max="7936" width="3" style="1347" customWidth="1"/>
    <col min="7937" max="7937" width="4.33203125" style="1347" customWidth="1"/>
    <col min="7938" max="7938" width="39.44140625" style="1347" customWidth="1"/>
    <col min="7939" max="7939" width="8.88671875" style="1347" customWidth="1"/>
    <col min="7940" max="7940" width="10.44140625" style="1347" customWidth="1"/>
    <col min="7941" max="7941" width="12.33203125" style="1347" customWidth="1"/>
    <col min="7942" max="7942" width="14.88671875" style="1347" customWidth="1"/>
    <col min="7943" max="7943" width="9.109375" style="1347" customWidth="1"/>
    <col min="7944" max="7944" width="14.33203125" style="1347" customWidth="1"/>
    <col min="7945" max="7945" width="9.109375" style="1347" customWidth="1"/>
    <col min="7946" max="7946" width="10.44140625" style="1347" customWidth="1"/>
    <col min="7947" max="7961" width="9.109375" style="1347" customWidth="1"/>
    <col min="7962" max="8191" width="8.88671875" style="1347"/>
    <col min="8192" max="8192" width="3" style="1347" customWidth="1"/>
    <col min="8193" max="8193" width="4.33203125" style="1347" customWidth="1"/>
    <col min="8194" max="8194" width="39.44140625" style="1347" customWidth="1"/>
    <col min="8195" max="8195" width="8.88671875" style="1347" customWidth="1"/>
    <col min="8196" max="8196" width="10.44140625" style="1347" customWidth="1"/>
    <col min="8197" max="8197" width="12.33203125" style="1347" customWidth="1"/>
    <col min="8198" max="8198" width="14.88671875" style="1347" customWidth="1"/>
    <col min="8199" max="8199" width="9.109375" style="1347" customWidth="1"/>
    <col min="8200" max="8200" width="14.33203125" style="1347" customWidth="1"/>
    <col min="8201" max="8201" width="9.109375" style="1347" customWidth="1"/>
    <col min="8202" max="8202" width="10.44140625" style="1347" customWidth="1"/>
    <col min="8203" max="8217" width="9.109375" style="1347" customWidth="1"/>
    <col min="8218" max="8447" width="8.88671875" style="1347"/>
    <col min="8448" max="8448" width="3" style="1347" customWidth="1"/>
    <col min="8449" max="8449" width="4.33203125" style="1347" customWidth="1"/>
    <col min="8450" max="8450" width="39.44140625" style="1347" customWidth="1"/>
    <col min="8451" max="8451" width="8.88671875" style="1347" customWidth="1"/>
    <col min="8452" max="8452" width="10.44140625" style="1347" customWidth="1"/>
    <col min="8453" max="8453" width="12.33203125" style="1347" customWidth="1"/>
    <col min="8454" max="8454" width="14.88671875" style="1347" customWidth="1"/>
    <col min="8455" max="8455" width="9.109375" style="1347" customWidth="1"/>
    <col min="8456" max="8456" width="14.33203125" style="1347" customWidth="1"/>
    <col min="8457" max="8457" width="9.109375" style="1347" customWidth="1"/>
    <col min="8458" max="8458" width="10.44140625" style="1347" customWidth="1"/>
    <col min="8459" max="8473" width="9.109375" style="1347" customWidth="1"/>
    <col min="8474" max="8703" width="8.88671875" style="1347"/>
    <col min="8704" max="8704" width="3" style="1347" customWidth="1"/>
    <col min="8705" max="8705" width="4.33203125" style="1347" customWidth="1"/>
    <col min="8706" max="8706" width="39.44140625" style="1347" customWidth="1"/>
    <col min="8707" max="8707" width="8.88671875" style="1347" customWidth="1"/>
    <col min="8708" max="8708" width="10.44140625" style="1347" customWidth="1"/>
    <col min="8709" max="8709" width="12.33203125" style="1347" customWidth="1"/>
    <col min="8710" max="8710" width="14.88671875" style="1347" customWidth="1"/>
    <col min="8711" max="8711" width="9.109375" style="1347" customWidth="1"/>
    <col min="8712" max="8712" width="14.33203125" style="1347" customWidth="1"/>
    <col min="8713" max="8713" width="9.109375" style="1347" customWidth="1"/>
    <col min="8714" max="8714" width="10.44140625" style="1347" customWidth="1"/>
    <col min="8715" max="8729" width="9.109375" style="1347" customWidth="1"/>
    <col min="8730" max="8959" width="8.88671875" style="1347"/>
    <col min="8960" max="8960" width="3" style="1347" customWidth="1"/>
    <col min="8961" max="8961" width="4.33203125" style="1347" customWidth="1"/>
    <col min="8962" max="8962" width="39.44140625" style="1347" customWidth="1"/>
    <col min="8963" max="8963" width="8.88671875" style="1347" customWidth="1"/>
    <col min="8964" max="8964" width="10.44140625" style="1347" customWidth="1"/>
    <col min="8965" max="8965" width="12.33203125" style="1347" customWidth="1"/>
    <col min="8966" max="8966" width="14.88671875" style="1347" customWidth="1"/>
    <col min="8967" max="8967" width="9.109375" style="1347" customWidth="1"/>
    <col min="8968" max="8968" width="14.33203125" style="1347" customWidth="1"/>
    <col min="8969" max="8969" width="9.109375" style="1347" customWidth="1"/>
    <col min="8970" max="8970" width="10.44140625" style="1347" customWidth="1"/>
    <col min="8971" max="8985" width="9.109375" style="1347" customWidth="1"/>
    <col min="8986" max="9215" width="8.88671875" style="1347"/>
    <col min="9216" max="9216" width="3" style="1347" customWidth="1"/>
    <col min="9217" max="9217" width="4.33203125" style="1347" customWidth="1"/>
    <col min="9218" max="9218" width="39.44140625" style="1347" customWidth="1"/>
    <col min="9219" max="9219" width="8.88671875" style="1347" customWidth="1"/>
    <col min="9220" max="9220" width="10.44140625" style="1347" customWidth="1"/>
    <col min="9221" max="9221" width="12.33203125" style="1347" customWidth="1"/>
    <col min="9222" max="9222" width="14.88671875" style="1347" customWidth="1"/>
    <col min="9223" max="9223" width="9.109375" style="1347" customWidth="1"/>
    <col min="9224" max="9224" width="14.33203125" style="1347" customWidth="1"/>
    <col min="9225" max="9225" width="9.109375" style="1347" customWidth="1"/>
    <col min="9226" max="9226" width="10.44140625" style="1347" customWidth="1"/>
    <col min="9227" max="9241" width="9.109375" style="1347" customWidth="1"/>
    <col min="9242" max="9471" width="8.88671875" style="1347"/>
    <col min="9472" max="9472" width="3" style="1347" customWidth="1"/>
    <col min="9473" max="9473" width="4.33203125" style="1347" customWidth="1"/>
    <col min="9474" max="9474" width="39.44140625" style="1347" customWidth="1"/>
    <col min="9475" max="9475" width="8.88671875" style="1347" customWidth="1"/>
    <col min="9476" max="9476" width="10.44140625" style="1347" customWidth="1"/>
    <col min="9477" max="9477" width="12.33203125" style="1347" customWidth="1"/>
    <col min="9478" max="9478" width="14.88671875" style="1347" customWidth="1"/>
    <col min="9479" max="9479" width="9.109375" style="1347" customWidth="1"/>
    <col min="9480" max="9480" width="14.33203125" style="1347" customWidth="1"/>
    <col min="9481" max="9481" width="9.109375" style="1347" customWidth="1"/>
    <col min="9482" max="9482" width="10.44140625" style="1347" customWidth="1"/>
    <col min="9483" max="9497" width="9.109375" style="1347" customWidth="1"/>
    <col min="9498" max="9727" width="8.88671875" style="1347"/>
    <col min="9728" max="9728" width="3" style="1347" customWidth="1"/>
    <col min="9729" max="9729" width="4.33203125" style="1347" customWidth="1"/>
    <col min="9730" max="9730" width="39.44140625" style="1347" customWidth="1"/>
    <col min="9731" max="9731" width="8.88671875" style="1347" customWidth="1"/>
    <col min="9732" max="9732" width="10.44140625" style="1347" customWidth="1"/>
    <col min="9733" max="9733" width="12.33203125" style="1347" customWidth="1"/>
    <col min="9734" max="9734" width="14.88671875" style="1347" customWidth="1"/>
    <col min="9735" max="9735" width="9.109375" style="1347" customWidth="1"/>
    <col min="9736" max="9736" width="14.33203125" style="1347" customWidth="1"/>
    <col min="9737" max="9737" width="9.109375" style="1347" customWidth="1"/>
    <col min="9738" max="9738" width="10.44140625" style="1347" customWidth="1"/>
    <col min="9739" max="9753" width="9.109375" style="1347" customWidth="1"/>
    <col min="9754" max="9983" width="8.88671875" style="1347"/>
    <col min="9984" max="9984" width="3" style="1347" customWidth="1"/>
    <col min="9985" max="9985" width="4.33203125" style="1347" customWidth="1"/>
    <col min="9986" max="9986" width="39.44140625" style="1347" customWidth="1"/>
    <col min="9987" max="9987" width="8.88671875" style="1347" customWidth="1"/>
    <col min="9988" max="9988" width="10.44140625" style="1347" customWidth="1"/>
    <col min="9989" max="9989" width="12.33203125" style="1347" customWidth="1"/>
    <col min="9990" max="9990" width="14.88671875" style="1347" customWidth="1"/>
    <col min="9991" max="9991" width="9.109375" style="1347" customWidth="1"/>
    <col min="9992" max="9992" width="14.33203125" style="1347" customWidth="1"/>
    <col min="9993" max="9993" width="9.109375" style="1347" customWidth="1"/>
    <col min="9994" max="9994" width="10.44140625" style="1347" customWidth="1"/>
    <col min="9995" max="10009" width="9.109375" style="1347" customWidth="1"/>
    <col min="10010" max="10239" width="8.88671875" style="1347"/>
    <col min="10240" max="10240" width="3" style="1347" customWidth="1"/>
    <col min="10241" max="10241" width="4.33203125" style="1347" customWidth="1"/>
    <col min="10242" max="10242" width="39.44140625" style="1347" customWidth="1"/>
    <col min="10243" max="10243" width="8.88671875" style="1347" customWidth="1"/>
    <col min="10244" max="10244" width="10.44140625" style="1347" customWidth="1"/>
    <col min="10245" max="10245" width="12.33203125" style="1347" customWidth="1"/>
    <col min="10246" max="10246" width="14.88671875" style="1347" customWidth="1"/>
    <col min="10247" max="10247" width="9.109375" style="1347" customWidth="1"/>
    <col min="10248" max="10248" width="14.33203125" style="1347" customWidth="1"/>
    <col min="10249" max="10249" width="9.109375" style="1347" customWidth="1"/>
    <col min="10250" max="10250" width="10.44140625" style="1347" customWidth="1"/>
    <col min="10251" max="10265" width="9.109375" style="1347" customWidth="1"/>
    <col min="10266" max="10495" width="8.88671875" style="1347"/>
    <col min="10496" max="10496" width="3" style="1347" customWidth="1"/>
    <col min="10497" max="10497" width="4.33203125" style="1347" customWidth="1"/>
    <col min="10498" max="10498" width="39.44140625" style="1347" customWidth="1"/>
    <col min="10499" max="10499" width="8.88671875" style="1347" customWidth="1"/>
    <col min="10500" max="10500" width="10.44140625" style="1347" customWidth="1"/>
    <col min="10501" max="10501" width="12.33203125" style="1347" customWidth="1"/>
    <col min="10502" max="10502" width="14.88671875" style="1347" customWidth="1"/>
    <col min="10503" max="10503" width="9.109375" style="1347" customWidth="1"/>
    <col min="10504" max="10504" width="14.33203125" style="1347" customWidth="1"/>
    <col min="10505" max="10505" width="9.109375" style="1347" customWidth="1"/>
    <col min="10506" max="10506" width="10.44140625" style="1347" customWidth="1"/>
    <col min="10507" max="10521" width="9.109375" style="1347" customWidth="1"/>
    <col min="10522" max="10751" width="8.88671875" style="1347"/>
    <col min="10752" max="10752" width="3" style="1347" customWidth="1"/>
    <col min="10753" max="10753" width="4.33203125" style="1347" customWidth="1"/>
    <col min="10754" max="10754" width="39.44140625" style="1347" customWidth="1"/>
    <col min="10755" max="10755" width="8.88671875" style="1347" customWidth="1"/>
    <col min="10756" max="10756" width="10.44140625" style="1347" customWidth="1"/>
    <col min="10757" max="10757" width="12.33203125" style="1347" customWidth="1"/>
    <col min="10758" max="10758" width="14.88671875" style="1347" customWidth="1"/>
    <col min="10759" max="10759" width="9.109375" style="1347" customWidth="1"/>
    <col min="10760" max="10760" width="14.33203125" style="1347" customWidth="1"/>
    <col min="10761" max="10761" width="9.109375" style="1347" customWidth="1"/>
    <col min="10762" max="10762" width="10.44140625" style="1347" customWidth="1"/>
    <col min="10763" max="10777" width="9.109375" style="1347" customWidth="1"/>
    <col min="10778" max="11007" width="8.88671875" style="1347"/>
    <col min="11008" max="11008" width="3" style="1347" customWidth="1"/>
    <col min="11009" max="11009" width="4.33203125" style="1347" customWidth="1"/>
    <col min="11010" max="11010" width="39.44140625" style="1347" customWidth="1"/>
    <col min="11011" max="11011" width="8.88671875" style="1347" customWidth="1"/>
    <col min="11012" max="11012" width="10.44140625" style="1347" customWidth="1"/>
    <col min="11013" max="11013" width="12.33203125" style="1347" customWidth="1"/>
    <col min="11014" max="11014" width="14.88671875" style="1347" customWidth="1"/>
    <col min="11015" max="11015" width="9.109375" style="1347" customWidth="1"/>
    <col min="11016" max="11016" width="14.33203125" style="1347" customWidth="1"/>
    <col min="11017" max="11017" width="9.109375" style="1347" customWidth="1"/>
    <col min="11018" max="11018" width="10.44140625" style="1347" customWidth="1"/>
    <col min="11019" max="11033" width="9.109375" style="1347" customWidth="1"/>
    <col min="11034" max="11263" width="8.88671875" style="1347"/>
    <col min="11264" max="11264" width="3" style="1347" customWidth="1"/>
    <col min="11265" max="11265" width="4.33203125" style="1347" customWidth="1"/>
    <col min="11266" max="11266" width="39.44140625" style="1347" customWidth="1"/>
    <col min="11267" max="11267" width="8.88671875" style="1347" customWidth="1"/>
    <col min="11268" max="11268" width="10.44140625" style="1347" customWidth="1"/>
    <col min="11269" max="11269" width="12.33203125" style="1347" customWidth="1"/>
    <col min="11270" max="11270" width="14.88671875" style="1347" customWidth="1"/>
    <col min="11271" max="11271" width="9.109375" style="1347" customWidth="1"/>
    <col min="11272" max="11272" width="14.33203125" style="1347" customWidth="1"/>
    <col min="11273" max="11273" width="9.109375" style="1347" customWidth="1"/>
    <col min="11274" max="11274" width="10.44140625" style="1347" customWidth="1"/>
    <col min="11275" max="11289" width="9.109375" style="1347" customWidth="1"/>
    <col min="11290" max="11519" width="8.88671875" style="1347"/>
    <col min="11520" max="11520" width="3" style="1347" customWidth="1"/>
    <col min="11521" max="11521" width="4.33203125" style="1347" customWidth="1"/>
    <col min="11522" max="11522" width="39.44140625" style="1347" customWidth="1"/>
    <col min="11523" max="11523" width="8.88671875" style="1347" customWidth="1"/>
    <col min="11524" max="11524" width="10.44140625" style="1347" customWidth="1"/>
    <col min="11525" max="11525" width="12.33203125" style="1347" customWidth="1"/>
    <col min="11526" max="11526" width="14.88671875" style="1347" customWidth="1"/>
    <col min="11527" max="11527" width="9.109375" style="1347" customWidth="1"/>
    <col min="11528" max="11528" width="14.33203125" style="1347" customWidth="1"/>
    <col min="11529" max="11529" width="9.109375" style="1347" customWidth="1"/>
    <col min="11530" max="11530" width="10.44140625" style="1347" customWidth="1"/>
    <col min="11531" max="11545" width="9.109375" style="1347" customWidth="1"/>
    <col min="11546" max="11775" width="8.88671875" style="1347"/>
    <col min="11776" max="11776" width="3" style="1347" customWidth="1"/>
    <col min="11777" max="11777" width="4.33203125" style="1347" customWidth="1"/>
    <col min="11778" max="11778" width="39.44140625" style="1347" customWidth="1"/>
    <col min="11779" max="11779" width="8.88671875" style="1347" customWidth="1"/>
    <col min="11780" max="11780" width="10.44140625" style="1347" customWidth="1"/>
    <col min="11781" max="11781" width="12.33203125" style="1347" customWidth="1"/>
    <col min="11782" max="11782" width="14.88671875" style="1347" customWidth="1"/>
    <col min="11783" max="11783" width="9.109375" style="1347" customWidth="1"/>
    <col min="11784" max="11784" width="14.33203125" style="1347" customWidth="1"/>
    <col min="11785" max="11785" width="9.109375" style="1347" customWidth="1"/>
    <col min="11786" max="11786" width="10.44140625" style="1347" customWidth="1"/>
    <col min="11787" max="11801" width="9.109375" style="1347" customWidth="1"/>
    <col min="11802" max="12031" width="8.88671875" style="1347"/>
    <col min="12032" max="12032" width="3" style="1347" customWidth="1"/>
    <col min="12033" max="12033" width="4.33203125" style="1347" customWidth="1"/>
    <col min="12034" max="12034" width="39.44140625" style="1347" customWidth="1"/>
    <col min="12035" max="12035" width="8.88671875" style="1347" customWidth="1"/>
    <col min="12036" max="12036" width="10.44140625" style="1347" customWidth="1"/>
    <col min="12037" max="12037" width="12.33203125" style="1347" customWidth="1"/>
    <col min="12038" max="12038" width="14.88671875" style="1347" customWidth="1"/>
    <col min="12039" max="12039" width="9.109375" style="1347" customWidth="1"/>
    <col min="12040" max="12040" width="14.33203125" style="1347" customWidth="1"/>
    <col min="12041" max="12041" width="9.109375" style="1347" customWidth="1"/>
    <col min="12042" max="12042" width="10.44140625" style="1347" customWidth="1"/>
    <col min="12043" max="12057" width="9.109375" style="1347" customWidth="1"/>
    <col min="12058" max="12287" width="8.88671875" style="1347"/>
    <col min="12288" max="12288" width="3" style="1347" customWidth="1"/>
    <col min="12289" max="12289" width="4.33203125" style="1347" customWidth="1"/>
    <col min="12290" max="12290" width="39.44140625" style="1347" customWidth="1"/>
    <col min="12291" max="12291" width="8.88671875" style="1347" customWidth="1"/>
    <col min="12292" max="12292" width="10.44140625" style="1347" customWidth="1"/>
    <col min="12293" max="12293" width="12.33203125" style="1347" customWidth="1"/>
    <col min="12294" max="12294" width="14.88671875" style="1347" customWidth="1"/>
    <col min="12295" max="12295" width="9.109375" style="1347" customWidth="1"/>
    <col min="12296" max="12296" width="14.33203125" style="1347" customWidth="1"/>
    <col min="12297" max="12297" width="9.109375" style="1347" customWidth="1"/>
    <col min="12298" max="12298" width="10.44140625" style="1347" customWidth="1"/>
    <col min="12299" max="12313" width="9.109375" style="1347" customWidth="1"/>
    <col min="12314" max="12543" width="8.88671875" style="1347"/>
    <col min="12544" max="12544" width="3" style="1347" customWidth="1"/>
    <col min="12545" max="12545" width="4.33203125" style="1347" customWidth="1"/>
    <col min="12546" max="12546" width="39.44140625" style="1347" customWidth="1"/>
    <col min="12547" max="12547" width="8.88671875" style="1347" customWidth="1"/>
    <col min="12548" max="12548" width="10.44140625" style="1347" customWidth="1"/>
    <col min="12549" max="12549" width="12.33203125" style="1347" customWidth="1"/>
    <col min="12550" max="12550" width="14.88671875" style="1347" customWidth="1"/>
    <col min="12551" max="12551" width="9.109375" style="1347" customWidth="1"/>
    <col min="12552" max="12552" width="14.33203125" style="1347" customWidth="1"/>
    <col min="12553" max="12553" width="9.109375" style="1347" customWidth="1"/>
    <col min="12554" max="12554" width="10.44140625" style="1347" customWidth="1"/>
    <col min="12555" max="12569" width="9.109375" style="1347" customWidth="1"/>
    <col min="12570" max="12799" width="8.88671875" style="1347"/>
    <col min="12800" max="12800" width="3" style="1347" customWidth="1"/>
    <col min="12801" max="12801" width="4.33203125" style="1347" customWidth="1"/>
    <col min="12802" max="12802" width="39.44140625" style="1347" customWidth="1"/>
    <col min="12803" max="12803" width="8.88671875" style="1347" customWidth="1"/>
    <col min="12804" max="12804" width="10.44140625" style="1347" customWidth="1"/>
    <col min="12805" max="12805" width="12.33203125" style="1347" customWidth="1"/>
    <col min="12806" max="12806" width="14.88671875" style="1347" customWidth="1"/>
    <col min="12807" max="12807" width="9.109375" style="1347" customWidth="1"/>
    <col min="12808" max="12808" width="14.33203125" style="1347" customWidth="1"/>
    <col min="12809" max="12809" width="9.109375" style="1347" customWidth="1"/>
    <col min="12810" max="12810" width="10.44140625" style="1347" customWidth="1"/>
    <col min="12811" max="12825" width="9.109375" style="1347" customWidth="1"/>
    <col min="12826" max="13055" width="8.88671875" style="1347"/>
    <col min="13056" max="13056" width="3" style="1347" customWidth="1"/>
    <col min="13057" max="13057" width="4.33203125" style="1347" customWidth="1"/>
    <col min="13058" max="13058" width="39.44140625" style="1347" customWidth="1"/>
    <col min="13059" max="13059" width="8.88671875" style="1347" customWidth="1"/>
    <col min="13060" max="13060" width="10.44140625" style="1347" customWidth="1"/>
    <col min="13061" max="13061" width="12.33203125" style="1347" customWidth="1"/>
    <col min="13062" max="13062" width="14.88671875" style="1347" customWidth="1"/>
    <col min="13063" max="13063" width="9.109375" style="1347" customWidth="1"/>
    <col min="13064" max="13064" width="14.33203125" style="1347" customWidth="1"/>
    <col min="13065" max="13065" width="9.109375" style="1347" customWidth="1"/>
    <col min="13066" max="13066" width="10.44140625" style="1347" customWidth="1"/>
    <col min="13067" max="13081" width="9.109375" style="1347" customWidth="1"/>
    <col min="13082" max="13311" width="8.88671875" style="1347"/>
    <col min="13312" max="13312" width="3" style="1347" customWidth="1"/>
    <col min="13313" max="13313" width="4.33203125" style="1347" customWidth="1"/>
    <col min="13314" max="13314" width="39.44140625" style="1347" customWidth="1"/>
    <col min="13315" max="13315" width="8.88671875" style="1347" customWidth="1"/>
    <col min="13316" max="13316" width="10.44140625" style="1347" customWidth="1"/>
    <col min="13317" max="13317" width="12.33203125" style="1347" customWidth="1"/>
    <col min="13318" max="13318" width="14.88671875" style="1347" customWidth="1"/>
    <col min="13319" max="13319" width="9.109375" style="1347" customWidth="1"/>
    <col min="13320" max="13320" width="14.33203125" style="1347" customWidth="1"/>
    <col min="13321" max="13321" width="9.109375" style="1347" customWidth="1"/>
    <col min="13322" max="13322" width="10.44140625" style="1347" customWidth="1"/>
    <col min="13323" max="13337" width="9.109375" style="1347" customWidth="1"/>
    <col min="13338" max="13567" width="8.88671875" style="1347"/>
    <col min="13568" max="13568" width="3" style="1347" customWidth="1"/>
    <col min="13569" max="13569" width="4.33203125" style="1347" customWidth="1"/>
    <col min="13570" max="13570" width="39.44140625" style="1347" customWidth="1"/>
    <col min="13571" max="13571" width="8.88671875" style="1347" customWidth="1"/>
    <col min="13572" max="13572" width="10.44140625" style="1347" customWidth="1"/>
    <col min="13573" max="13573" width="12.33203125" style="1347" customWidth="1"/>
    <col min="13574" max="13574" width="14.88671875" style="1347" customWidth="1"/>
    <col min="13575" max="13575" width="9.109375" style="1347" customWidth="1"/>
    <col min="13576" max="13576" width="14.33203125" style="1347" customWidth="1"/>
    <col min="13577" max="13577" width="9.109375" style="1347" customWidth="1"/>
    <col min="13578" max="13578" width="10.44140625" style="1347" customWidth="1"/>
    <col min="13579" max="13593" width="9.109375" style="1347" customWidth="1"/>
    <col min="13594" max="13823" width="8.88671875" style="1347"/>
    <col min="13824" max="13824" width="3" style="1347" customWidth="1"/>
    <col min="13825" max="13825" width="4.33203125" style="1347" customWidth="1"/>
    <col min="13826" max="13826" width="39.44140625" style="1347" customWidth="1"/>
    <col min="13827" max="13827" width="8.88671875" style="1347" customWidth="1"/>
    <col min="13828" max="13828" width="10.44140625" style="1347" customWidth="1"/>
    <col min="13829" max="13829" width="12.33203125" style="1347" customWidth="1"/>
    <col min="13830" max="13830" width="14.88671875" style="1347" customWidth="1"/>
    <col min="13831" max="13831" width="9.109375" style="1347" customWidth="1"/>
    <col min="13832" max="13832" width="14.33203125" style="1347" customWidth="1"/>
    <col min="13833" max="13833" width="9.109375" style="1347" customWidth="1"/>
    <col min="13834" max="13834" width="10.44140625" style="1347" customWidth="1"/>
    <col min="13835" max="13849" width="9.109375" style="1347" customWidth="1"/>
    <col min="13850" max="14079" width="8.88671875" style="1347"/>
    <col min="14080" max="14080" width="3" style="1347" customWidth="1"/>
    <col min="14081" max="14081" width="4.33203125" style="1347" customWidth="1"/>
    <col min="14082" max="14082" width="39.44140625" style="1347" customWidth="1"/>
    <col min="14083" max="14083" width="8.88671875" style="1347" customWidth="1"/>
    <col min="14084" max="14084" width="10.44140625" style="1347" customWidth="1"/>
    <col min="14085" max="14085" width="12.33203125" style="1347" customWidth="1"/>
    <col min="14086" max="14086" width="14.88671875" style="1347" customWidth="1"/>
    <col min="14087" max="14087" width="9.109375" style="1347" customWidth="1"/>
    <col min="14088" max="14088" width="14.33203125" style="1347" customWidth="1"/>
    <col min="14089" max="14089" width="9.109375" style="1347" customWidth="1"/>
    <col min="14090" max="14090" width="10.44140625" style="1347" customWidth="1"/>
    <col min="14091" max="14105" width="9.109375" style="1347" customWidth="1"/>
    <col min="14106" max="14335" width="8.88671875" style="1347"/>
    <col min="14336" max="14336" width="3" style="1347" customWidth="1"/>
    <col min="14337" max="14337" width="4.33203125" style="1347" customWidth="1"/>
    <col min="14338" max="14338" width="39.44140625" style="1347" customWidth="1"/>
    <col min="14339" max="14339" width="8.88671875" style="1347" customWidth="1"/>
    <col min="14340" max="14340" width="10.44140625" style="1347" customWidth="1"/>
    <col min="14341" max="14341" width="12.33203125" style="1347" customWidth="1"/>
    <col min="14342" max="14342" width="14.88671875" style="1347" customWidth="1"/>
    <col min="14343" max="14343" width="9.109375" style="1347" customWidth="1"/>
    <col min="14344" max="14344" width="14.33203125" style="1347" customWidth="1"/>
    <col min="14345" max="14345" width="9.109375" style="1347" customWidth="1"/>
    <col min="14346" max="14346" width="10.44140625" style="1347" customWidth="1"/>
    <col min="14347" max="14361" width="9.109375" style="1347" customWidth="1"/>
    <col min="14362" max="14591" width="8.88671875" style="1347"/>
    <col min="14592" max="14592" width="3" style="1347" customWidth="1"/>
    <col min="14593" max="14593" width="4.33203125" style="1347" customWidth="1"/>
    <col min="14594" max="14594" width="39.44140625" style="1347" customWidth="1"/>
    <col min="14595" max="14595" width="8.88671875" style="1347" customWidth="1"/>
    <col min="14596" max="14596" width="10.44140625" style="1347" customWidth="1"/>
    <col min="14597" max="14597" width="12.33203125" style="1347" customWidth="1"/>
    <col min="14598" max="14598" width="14.88671875" style="1347" customWidth="1"/>
    <col min="14599" max="14599" width="9.109375" style="1347" customWidth="1"/>
    <col min="14600" max="14600" width="14.33203125" style="1347" customWidth="1"/>
    <col min="14601" max="14601" width="9.109375" style="1347" customWidth="1"/>
    <col min="14602" max="14602" width="10.44140625" style="1347" customWidth="1"/>
    <col min="14603" max="14617" width="9.109375" style="1347" customWidth="1"/>
    <col min="14618" max="14847" width="8.88671875" style="1347"/>
    <col min="14848" max="14848" width="3" style="1347" customWidth="1"/>
    <col min="14849" max="14849" width="4.33203125" style="1347" customWidth="1"/>
    <col min="14850" max="14850" width="39.44140625" style="1347" customWidth="1"/>
    <col min="14851" max="14851" width="8.88671875" style="1347" customWidth="1"/>
    <col min="14852" max="14852" width="10.44140625" style="1347" customWidth="1"/>
    <col min="14853" max="14853" width="12.33203125" style="1347" customWidth="1"/>
    <col min="14854" max="14854" width="14.88671875" style="1347" customWidth="1"/>
    <col min="14855" max="14855" width="9.109375" style="1347" customWidth="1"/>
    <col min="14856" max="14856" width="14.33203125" style="1347" customWidth="1"/>
    <col min="14857" max="14857" width="9.109375" style="1347" customWidth="1"/>
    <col min="14858" max="14858" width="10.44140625" style="1347" customWidth="1"/>
    <col min="14859" max="14873" width="9.109375" style="1347" customWidth="1"/>
    <col min="14874" max="15103" width="8.88671875" style="1347"/>
    <col min="15104" max="15104" width="3" style="1347" customWidth="1"/>
    <col min="15105" max="15105" width="4.33203125" style="1347" customWidth="1"/>
    <col min="15106" max="15106" width="39.44140625" style="1347" customWidth="1"/>
    <col min="15107" max="15107" width="8.88671875" style="1347" customWidth="1"/>
    <col min="15108" max="15108" width="10.44140625" style="1347" customWidth="1"/>
    <col min="15109" max="15109" width="12.33203125" style="1347" customWidth="1"/>
    <col min="15110" max="15110" width="14.88671875" style="1347" customWidth="1"/>
    <col min="15111" max="15111" width="9.109375" style="1347" customWidth="1"/>
    <col min="15112" max="15112" width="14.33203125" style="1347" customWidth="1"/>
    <col min="15113" max="15113" width="9.109375" style="1347" customWidth="1"/>
    <col min="15114" max="15114" width="10.44140625" style="1347" customWidth="1"/>
    <col min="15115" max="15129" width="9.109375" style="1347" customWidth="1"/>
    <col min="15130" max="15359" width="8.88671875" style="1347"/>
    <col min="15360" max="15360" width="3" style="1347" customWidth="1"/>
    <col min="15361" max="15361" width="4.33203125" style="1347" customWidth="1"/>
    <col min="15362" max="15362" width="39.44140625" style="1347" customWidth="1"/>
    <col min="15363" max="15363" width="8.88671875" style="1347" customWidth="1"/>
    <col min="15364" max="15364" width="10.44140625" style="1347" customWidth="1"/>
    <col min="15365" max="15365" width="12.33203125" style="1347" customWidth="1"/>
    <col min="15366" max="15366" width="14.88671875" style="1347" customWidth="1"/>
    <col min="15367" max="15367" width="9.109375" style="1347" customWidth="1"/>
    <col min="15368" max="15368" width="14.33203125" style="1347" customWidth="1"/>
    <col min="15369" max="15369" width="9.109375" style="1347" customWidth="1"/>
    <col min="15370" max="15370" width="10.44140625" style="1347" customWidth="1"/>
    <col min="15371" max="15385" width="9.109375" style="1347" customWidth="1"/>
    <col min="15386" max="15615" width="8.88671875" style="1347"/>
    <col min="15616" max="15616" width="3" style="1347" customWidth="1"/>
    <col min="15617" max="15617" width="4.33203125" style="1347" customWidth="1"/>
    <col min="15618" max="15618" width="39.44140625" style="1347" customWidth="1"/>
    <col min="15619" max="15619" width="8.88671875" style="1347" customWidth="1"/>
    <col min="15620" max="15620" width="10.44140625" style="1347" customWidth="1"/>
    <col min="15621" max="15621" width="12.33203125" style="1347" customWidth="1"/>
    <col min="15622" max="15622" width="14.88671875" style="1347" customWidth="1"/>
    <col min="15623" max="15623" width="9.109375" style="1347" customWidth="1"/>
    <col min="15624" max="15624" width="14.33203125" style="1347" customWidth="1"/>
    <col min="15625" max="15625" width="9.109375" style="1347" customWidth="1"/>
    <col min="15626" max="15626" width="10.44140625" style="1347" customWidth="1"/>
    <col min="15627" max="15641" width="9.109375" style="1347" customWidth="1"/>
    <col min="15642" max="15871" width="8.88671875" style="1347"/>
    <col min="15872" max="15872" width="3" style="1347" customWidth="1"/>
    <col min="15873" max="15873" width="4.33203125" style="1347" customWidth="1"/>
    <col min="15874" max="15874" width="39.44140625" style="1347" customWidth="1"/>
    <col min="15875" max="15875" width="8.88671875" style="1347" customWidth="1"/>
    <col min="15876" max="15876" width="10.44140625" style="1347" customWidth="1"/>
    <col min="15877" max="15877" width="12.33203125" style="1347" customWidth="1"/>
    <col min="15878" max="15878" width="14.88671875" style="1347" customWidth="1"/>
    <col min="15879" max="15879" width="9.109375" style="1347" customWidth="1"/>
    <col min="15880" max="15880" width="14.33203125" style="1347" customWidth="1"/>
    <col min="15881" max="15881" width="9.109375" style="1347" customWidth="1"/>
    <col min="15882" max="15882" width="10.44140625" style="1347" customWidth="1"/>
    <col min="15883" max="15897" width="9.109375" style="1347" customWidth="1"/>
    <col min="15898" max="16127" width="8.88671875" style="1347"/>
    <col min="16128" max="16128" width="3" style="1347" customWidth="1"/>
    <col min="16129" max="16129" width="4.33203125" style="1347" customWidth="1"/>
    <col min="16130" max="16130" width="39.44140625" style="1347" customWidth="1"/>
    <col min="16131" max="16131" width="8.88671875" style="1347" customWidth="1"/>
    <col min="16132" max="16132" width="10.44140625" style="1347" customWidth="1"/>
    <col min="16133" max="16133" width="12.33203125" style="1347" customWidth="1"/>
    <col min="16134" max="16134" width="14.88671875" style="1347" customWidth="1"/>
    <col min="16135" max="16135" width="9.109375" style="1347" customWidth="1"/>
    <col min="16136" max="16136" width="14.33203125" style="1347" customWidth="1"/>
    <col min="16137" max="16137" width="9.109375" style="1347" customWidth="1"/>
    <col min="16138" max="16138" width="10.44140625" style="1347" customWidth="1"/>
    <col min="16139" max="16153" width="9.109375" style="1347" customWidth="1"/>
    <col min="16154" max="16384" width="8.88671875" style="1347"/>
  </cols>
  <sheetData>
    <row r="1" spans="1:14" s="1382" customFormat="1" ht="15.6" x14ac:dyDescent="0.3">
      <c r="A1" s="1718" t="s">
        <v>2970</v>
      </c>
      <c r="B1" s="1719"/>
      <c r="C1" s="1720"/>
      <c r="D1" s="1721"/>
      <c r="E1" s="1722"/>
      <c r="F1" s="1723"/>
    </row>
    <row r="2" spans="1:14" s="1382" customFormat="1" ht="15.6" x14ac:dyDescent="0.3">
      <c r="A2" s="1724" t="s">
        <v>2971</v>
      </c>
      <c r="B2" s="1725"/>
      <c r="C2" s="1726"/>
      <c r="D2" s="1727"/>
      <c r="E2" s="1727"/>
      <c r="F2" s="1728"/>
    </row>
    <row r="3" spans="1:14" s="1382" customFormat="1" ht="15.6" x14ac:dyDescent="0.3">
      <c r="A3" s="2980" t="s">
        <v>2972</v>
      </c>
      <c r="B3" s="2981"/>
      <c r="C3" s="1726"/>
      <c r="D3" s="1727"/>
      <c r="E3" s="1727"/>
      <c r="F3" s="1728"/>
    </row>
    <row r="4" spans="1:14" s="1383" customFormat="1" ht="17.399999999999999" x14ac:dyDescent="0.3">
      <c r="A4" s="1729"/>
      <c r="B4" s="1730"/>
      <c r="C4" s="1731"/>
      <c r="D4" s="1732"/>
      <c r="E4" s="1733"/>
      <c r="F4" s="1734"/>
    </row>
    <row r="5" spans="1:14" s="1387" customFormat="1" x14ac:dyDescent="0.25">
      <c r="A5" s="1384" t="s">
        <v>683</v>
      </c>
      <c r="B5" s="1384" t="s">
        <v>684</v>
      </c>
      <c r="C5" s="1385" t="s">
        <v>689</v>
      </c>
      <c r="D5" s="1384" t="s">
        <v>691</v>
      </c>
      <c r="E5" s="1386" t="s">
        <v>1288</v>
      </c>
      <c r="F5" s="1246" t="s">
        <v>3020</v>
      </c>
    </row>
    <row r="6" spans="1:14" s="1387" customFormat="1" x14ac:dyDescent="0.25">
      <c r="A6" s="1388"/>
      <c r="B6" s="1389"/>
      <c r="C6" s="1390"/>
      <c r="D6" s="1389"/>
      <c r="E6" s="1391"/>
      <c r="F6" s="1254"/>
    </row>
    <row r="7" spans="1:14" s="1387" customFormat="1" x14ac:dyDescent="0.25">
      <c r="A7" s="1388"/>
      <c r="B7" s="1392" t="s">
        <v>2973</v>
      </c>
      <c r="C7" s="1390"/>
      <c r="D7" s="1389"/>
      <c r="E7" s="1391"/>
      <c r="F7" s="1254"/>
    </row>
    <row r="8" spans="1:14" x14ac:dyDescent="0.25">
      <c r="A8" s="1393"/>
      <c r="B8" s="1394"/>
      <c r="C8" s="1395"/>
      <c r="D8" s="1396"/>
      <c r="E8" s="1395"/>
      <c r="F8" s="1397"/>
    </row>
    <row r="9" spans="1:14" ht="31.8" customHeight="1" x14ac:dyDescent="0.25">
      <c r="A9" s="1289"/>
      <c r="B9" s="1146" t="s">
        <v>2974</v>
      </c>
      <c r="C9" s="1398"/>
      <c r="D9" s="1313" t="s">
        <v>2538</v>
      </c>
      <c r="E9" s="1399"/>
      <c r="F9" s="1400"/>
    </row>
    <row r="10" spans="1:14" x14ac:dyDescent="0.25">
      <c r="A10" s="1289"/>
      <c r="B10" s="1146"/>
      <c r="C10" s="1398"/>
      <c r="D10" s="1401"/>
      <c r="E10" s="1399"/>
      <c r="F10" s="1397"/>
    </row>
    <row r="11" spans="1:14" ht="32.4" customHeight="1" x14ac:dyDescent="0.25">
      <c r="A11" s="1289"/>
      <c r="B11" s="1146" t="s">
        <v>2975</v>
      </c>
      <c r="C11" s="1402"/>
      <c r="D11" s="1403" t="s">
        <v>2538</v>
      </c>
      <c r="E11" s="1305"/>
      <c r="F11" s="1290"/>
      <c r="H11" s="1404"/>
      <c r="N11" s="1347">
        <f>4000/175</f>
        <v>22.857142857142858</v>
      </c>
    </row>
    <row r="12" spans="1:14" x14ac:dyDescent="0.25">
      <c r="A12" s="1289"/>
      <c r="B12" s="1146"/>
      <c r="C12" s="1402"/>
      <c r="D12" s="1403"/>
      <c r="E12" s="1305"/>
      <c r="F12" s="1290"/>
      <c r="H12" s="1404"/>
    </row>
    <row r="13" spans="1:14" ht="33" customHeight="1" x14ac:dyDescent="0.25">
      <c r="A13" s="1289"/>
      <c r="B13" s="1146" t="s">
        <v>2757</v>
      </c>
      <c r="C13" s="1402"/>
      <c r="D13" s="1403" t="s">
        <v>2538</v>
      </c>
      <c r="E13" s="1305"/>
      <c r="F13" s="1290"/>
      <c r="H13" s="1404"/>
    </row>
    <row r="14" spans="1:14" x14ac:dyDescent="0.25">
      <c r="A14" s="1289"/>
      <c r="B14" s="1146"/>
      <c r="C14" s="1402"/>
      <c r="D14" s="1403"/>
      <c r="E14" s="1305"/>
      <c r="F14" s="1290"/>
      <c r="H14" s="1404"/>
    </row>
    <row r="15" spans="1:14" ht="61.2" customHeight="1" x14ac:dyDescent="0.25">
      <c r="A15" s="1289"/>
      <c r="B15" s="1146" t="s">
        <v>2976</v>
      </c>
      <c r="C15" s="1402"/>
      <c r="D15" s="1403" t="s">
        <v>2538</v>
      </c>
      <c r="E15" s="1305"/>
      <c r="F15" s="1290"/>
      <c r="H15" s="1404"/>
    </row>
    <row r="16" spans="1:14" x14ac:dyDescent="0.25">
      <c r="A16" s="1289"/>
      <c r="B16" s="1146"/>
      <c r="C16" s="1402"/>
      <c r="D16" s="1403"/>
      <c r="E16" s="1305"/>
      <c r="F16" s="1290"/>
      <c r="H16" s="1404"/>
    </row>
    <row r="17" spans="1:8" ht="31.2" customHeight="1" x14ac:dyDescent="0.25">
      <c r="A17" s="1289"/>
      <c r="B17" s="1146" t="s">
        <v>2759</v>
      </c>
      <c r="C17" s="1402"/>
      <c r="D17" s="1403" t="s">
        <v>2538</v>
      </c>
      <c r="E17" s="1305"/>
      <c r="F17" s="1290"/>
      <c r="H17" s="1404"/>
    </row>
    <row r="18" spans="1:8" x14ac:dyDescent="0.25">
      <c r="A18" s="1289"/>
      <c r="B18" s="1146"/>
      <c r="C18" s="1402"/>
      <c r="D18" s="1403"/>
      <c r="E18" s="1305"/>
      <c r="F18" s="1290"/>
      <c r="H18" s="1404"/>
    </row>
    <row r="19" spans="1:8" ht="45" customHeight="1" x14ac:dyDescent="0.25">
      <c r="A19" s="1289"/>
      <c r="B19" s="1146" t="s">
        <v>2760</v>
      </c>
      <c r="C19" s="1402"/>
      <c r="D19" s="1403" t="s">
        <v>2538</v>
      </c>
      <c r="E19" s="1305"/>
      <c r="F19" s="1290"/>
      <c r="H19" s="1404"/>
    </row>
    <row r="20" spans="1:8" x14ac:dyDescent="0.25">
      <c r="A20" s="1289"/>
      <c r="B20" s="1146"/>
      <c r="C20" s="1402"/>
      <c r="D20" s="1403"/>
      <c r="E20" s="1305"/>
      <c r="F20" s="1290"/>
      <c r="H20" s="1404"/>
    </row>
    <row r="21" spans="1:8" ht="44.4" customHeight="1" x14ac:dyDescent="0.25">
      <c r="A21" s="1289"/>
      <c r="B21" s="1146" t="s">
        <v>2977</v>
      </c>
      <c r="C21" s="1402"/>
      <c r="D21" s="1403" t="s">
        <v>2538</v>
      </c>
      <c r="E21" s="1305"/>
      <c r="F21" s="1290"/>
      <c r="H21" s="1404"/>
    </row>
    <row r="22" spans="1:8" x14ac:dyDescent="0.25">
      <c r="A22" s="1289"/>
      <c r="B22" s="1146"/>
      <c r="C22" s="1402"/>
      <c r="D22" s="1403"/>
      <c r="E22" s="1305"/>
      <c r="F22" s="1290"/>
      <c r="H22" s="1404"/>
    </row>
    <row r="23" spans="1:8" ht="47.4" customHeight="1" x14ac:dyDescent="0.25">
      <c r="A23" s="1289"/>
      <c r="B23" s="1146" t="s">
        <v>2762</v>
      </c>
      <c r="C23" s="1402"/>
      <c r="D23" s="1403" t="s">
        <v>2538</v>
      </c>
      <c r="E23" s="1305"/>
      <c r="F23" s="1290"/>
      <c r="H23" s="1404"/>
    </row>
    <row r="24" spans="1:8" x14ac:dyDescent="0.25">
      <c r="A24" s="1289"/>
      <c r="B24" s="1146"/>
      <c r="C24" s="1405"/>
      <c r="D24" s="1403"/>
      <c r="E24" s="1361"/>
      <c r="F24" s="1290"/>
      <c r="H24" s="1404"/>
    </row>
    <row r="25" spans="1:8" s="1327" customFormat="1" ht="58.8" customHeight="1" x14ac:dyDescent="0.25">
      <c r="A25" s="1289"/>
      <c r="B25" s="1406" t="s">
        <v>2712</v>
      </c>
      <c r="C25" s="1359"/>
      <c r="D25" s="1407" t="s">
        <v>2538</v>
      </c>
      <c r="E25" s="1361"/>
      <c r="F25" s="1290"/>
      <c r="G25" s="1247"/>
    </row>
    <row r="26" spans="1:8" s="1327" customFormat="1" x14ac:dyDescent="0.25">
      <c r="A26" s="1409"/>
      <c r="B26" s="1406"/>
      <c r="C26" s="1359"/>
      <c r="D26" s="1407"/>
      <c r="E26" s="1361"/>
      <c r="F26" s="1290"/>
      <c r="G26" s="1247"/>
    </row>
    <row r="27" spans="1:8" ht="62.4" customHeight="1" x14ac:dyDescent="0.25">
      <c r="A27" s="1410"/>
      <c r="B27" s="1411" t="s">
        <v>2978</v>
      </c>
      <c r="C27" s="1395"/>
      <c r="D27" s="1396" t="s">
        <v>2538</v>
      </c>
      <c r="E27" s="1395"/>
      <c r="F27" s="1397"/>
    </row>
    <row r="28" spans="1:8" x14ac:dyDescent="0.25">
      <c r="A28" s="1410"/>
      <c r="B28" s="1412"/>
      <c r="C28" s="1395"/>
      <c r="D28" s="1401"/>
      <c r="E28" s="1395"/>
      <c r="F28" s="1397"/>
    </row>
    <row r="29" spans="1:8" ht="33.6" customHeight="1" x14ac:dyDescent="0.25">
      <c r="A29" s="1410"/>
      <c r="B29" s="1411" t="s">
        <v>2979</v>
      </c>
      <c r="C29" s="1415"/>
      <c r="D29" s="901" t="s">
        <v>2538</v>
      </c>
      <c r="E29" s="1414"/>
      <c r="F29" s="1290"/>
      <c r="H29" s="1404"/>
    </row>
    <row r="30" spans="1:8" x14ac:dyDescent="0.25">
      <c r="A30" s="1416"/>
      <c r="B30" s="1417"/>
      <c r="C30" s="1418"/>
      <c r="D30" s="935"/>
      <c r="E30" s="1419"/>
      <c r="F30" s="1420"/>
      <c r="H30" s="1404"/>
    </row>
    <row r="31" spans="1:8" ht="44.4" customHeight="1" x14ac:dyDescent="0.25">
      <c r="A31" s="1735"/>
      <c r="B31" s="1736" t="s">
        <v>2980</v>
      </c>
      <c r="C31" s="1737"/>
      <c r="D31" s="1422" t="s">
        <v>2538</v>
      </c>
      <c r="E31" s="1423"/>
      <c r="F31" s="1424"/>
      <c r="H31" s="1404"/>
    </row>
    <row r="32" spans="1:8" x14ac:dyDescent="0.25">
      <c r="A32" s="1410"/>
      <c r="B32" s="1146"/>
      <c r="C32" s="1415"/>
      <c r="D32" s="901"/>
      <c r="E32" s="1414"/>
      <c r="F32" s="1290"/>
      <c r="H32" s="1404"/>
    </row>
    <row r="33" spans="1:8" ht="60" customHeight="1" x14ac:dyDescent="0.25">
      <c r="A33" s="1410"/>
      <c r="B33" s="1146" t="s">
        <v>2981</v>
      </c>
      <c r="C33" s="1415"/>
      <c r="D33" s="901" t="s">
        <v>2538</v>
      </c>
      <c r="E33" s="1414"/>
      <c r="F33" s="1290"/>
      <c r="H33" s="1404"/>
    </row>
    <row r="34" spans="1:8" x14ac:dyDescent="0.25">
      <c r="A34" s="1410"/>
      <c r="B34" s="1146"/>
      <c r="C34" s="1415"/>
      <c r="D34" s="901"/>
      <c r="E34" s="1414"/>
      <c r="F34" s="1290"/>
      <c r="H34" s="1404"/>
    </row>
    <row r="35" spans="1:8" ht="48.6" customHeight="1" x14ac:dyDescent="0.25">
      <c r="A35" s="1410"/>
      <c r="B35" s="1146" t="s">
        <v>2982</v>
      </c>
      <c r="C35" s="1415"/>
      <c r="D35" s="901" t="s">
        <v>2538</v>
      </c>
      <c r="E35" s="1414"/>
      <c r="F35" s="1290"/>
      <c r="H35" s="1404"/>
    </row>
    <row r="36" spans="1:8" x14ac:dyDescent="0.25">
      <c r="A36" s="1410"/>
      <c r="B36" s="1146"/>
      <c r="C36" s="1415"/>
      <c r="D36" s="901"/>
      <c r="E36" s="1414"/>
      <c r="F36" s="1290"/>
      <c r="H36" s="1404"/>
    </row>
    <row r="37" spans="1:8" ht="45" customHeight="1" x14ac:dyDescent="0.25">
      <c r="A37" s="1410"/>
      <c r="B37" s="1146" t="s">
        <v>2983</v>
      </c>
      <c r="C37" s="1415"/>
      <c r="D37" s="901" t="s">
        <v>2538</v>
      </c>
      <c r="E37" s="1414"/>
      <c r="F37" s="1290"/>
      <c r="H37" s="1404"/>
    </row>
    <row r="38" spans="1:8" x14ac:dyDescent="0.25">
      <c r="A38" s="1410"/>
      <c r="B38" s="1146"/>
      <c r="C38" s="1415"/>
      <c r="D38" s="901"/>
      <c r="E38" s="1414"/>
      <c r="F38" s="1290"/>
      <c r="H38" s="1404"/>
    </row>
    <row r="39" spans="1:8" ht="52.2" customHeight="1" x14ac:dyDescent="0.25">
      <c r="A39" s="1410"/>
      <c r="B39" s="1146" t="s">
        <v>2984</v>
      </c>
      <c r="C39" s="1415"/>
      <c r="D39" s="901" t="s">
        <v>2538</v>
      </c>
      <c r="E39" s="1414"/>
      <c r="F39" s="1290"/>
      <c r="H39" s="1404"/>
    </row>
    <row r="40" spans="1:8" x14ac:dyDescent="0.25">
      <c r="A40" s="1282"/>
      <c r="B40" s="1146"/>
      <c r="C40" s="1717"/>
      <c r="D40" s="901"/>
      <c r="E40" s="1414"/>
      <c r="F40" s="1290"/>
      <c r="H40" s="1404"/>
    </row>
    <row r="41" spans="1:8" s="1327" customFormat="1" x14ac:dyDescent="0.25">
      <c r="A41" s="1425"/>
      <c r="B41" s="1426" t="s">
        <v>2985</v>
      </c>
      <c r="C41" s="1427"/>
      <c r="D41" s="1428"/>
      <c r="E41" s="1305"/>
      <c r="F41" s="1230"/>
      <c r="G41" s="1247"/>
    </row>
    <row r="42" spans="1:8" s="1327" customFormat="1" x14ac:dyDescent="0.25">
      <c r="A42" s="1425"/>
      <c r="B42" s="1146"/>
      <c r="C42" s="1427"/>
      <c r="D42" s="1428"/>
      <c r="E42" s="1305"/>
      <c r="F42" s="1230"/>
      <c r="G42" s="1247"/>
    </row>
    <row r="43" spans="1:8" s="1327" customFormat="1" ht="31.2" customHeight="1" x14ac:dyDescent="0.25">
      <c r="A43" s="1429">
        <v>1</v>
      </c>
      <c r="B43" s="1146" t="s">
        <v>2986</v>
      </c>
      <c r="C43" s="1427"/>
      <c r="D43" s="1428"/>
      <c r="E43" s="1361"/>
      <c r="F43" s="1230"/>
      <c r="G43" s="1247"/>
    </row>
    <row r="44" spans="1:8" s="1327" customFormat="1" x14ac:dyDescent="0.25">
      <c r="A44" s="1429"/>
      <c r="B44" s="1146"/>
      <c r="C44" s="1427"/>
      <c r="D44" s="1428"/>
      <c r="E44" s="1361"/>
      <c r="F44" s="1230"/>
      <c r="G44" s="1247"/>
    </row>
    <row r="45" spans="1:8" s="1327" customFormat="1" ht="27.6" x14ac:dyDescent="0.25">
      <c r="A45" s="1429">
        <v>2</v>
      </c>
      <c r="B45" s="1146" t="s">
        <v>2987</v>
      </c>
      <c r="C45" s="1427"/>
      <c r="D45" s="1428"/>
      <c r="E45" s="1361"/>
      <c r="F45" s="1230"/>
      <c r="G45" s="1247"/>
    </row>
    <row r="46" spans="1:8" s="1327" customFormat="1" x14ac:dyDescent="0.25">
      <c r="A46" s="1429"/>
      <c r="B46" s="1146"/>
      <c r="C46" s="1427"/>
      <c r="D46" s="1428"/>
      <c r="E46" s="1361"/>
      <c r="F46" s="1230"/>
      <c r="G46" s="1247"/>
    </row>
    <row r="47" spans="1:8" s="1327" customFormat="1" ht="41.4" x14ac:dyDescent="0.25">
      <c r="A47" s="1429">
        <v>3</v>
      </c>
      <c r="B47" s="1146" t="s">
        <v>2988</v>
      </c>
      <c r="C47" s="1427"/>
      <c r="D47" s="1428"/>
      <c r="E47" s="1361"/>
      <c r="F47" s="1230"/>
      <c r="G47" s="1247"/>
    </row>
    <row r="48" spans="1:8" s="1327" customFormat="1" x14ac:dyDescent="0.25">
      <c r="A48" s="1429"/>
      <c r="B48" s="1146"/>
      <c r="C48" s="1427"/>
      <c r="D48" s="1428"/>
      <c r="E48" s="1361"/>
      <c r="F48" s="1230"/>
      <c r="G48" s="1247"/>
    </row>
    <row r="49" spans="1:7" s="1327" customFormat="1" ht="41.4" x14ac:dyDescent="0.25">
      <c r="A49" s="1429">
        <v>4</v>
      </c>
      <c r="B49" s="1146" t="s">
        <v>2989</v>
      </c>
      <c r="C49" s="1427"/>
      <c r="D49" s="1428"/>
      <c r="E49" s="1361"/>
      <c r="F49" s="1230"/>
      <c r="G49" s="1247"/>
    </row>
    <row r="50" spans="1:7" s="1327" customFormat="1" x14ac:dyDescent="0.25">
      <c r="A50" s="1429"/>
      <c r="B50" s="1146"/>
      <c r="C50" s="1427"/>
      <c r="D50" s="1428"/>
      <c r="E50" s="1361"/>
      <c r="F50" s="1230"/>
      <c r="G50" s="1247"/>
    </row>
    <row r="51" spans="1:7" s="1327" customFormat="1" ht="27.6" x14ac:dyDescent="0.25">
      <c r="A51" s="1429">
        <v>5</v>
      </c>
      <c r="B51" s="1146" t="s">
        <v>2990</v>
      </c>
      <c r="C51" s="1427"/>
      <c r="D51" s="1428"/>
      <c r="E51" s="1361"/>
      <c r="F51" s="1230"/>
      <c r="G51" s="1247"/>
    </row>
    <row r="52" spans="1:7" s="1327" customFormat="1" x14ac:dyDescent="0.25">
      <c r="A52" s="1425"/>
      <c r="B52" s="1146"/>
      <c r="C52" s="1459"/>
      <c r="D52" s="1427"/>
      <c r="E52" s="1361"/>
      <c r="F52" s="1230"/>
      <c r="G52" s="1247"/>
    </row>
    <row r="53" spans="1:7" s="1327" customFormat="1" ht="27.6" x14ac:dyDescent="0.25">
      <c r="A53" s="1425" t="s">
        <v>2991</v>
      </c>
      <c r="B53" s="1146" t="s">
        <v>2992</v>
      </c>
      <c r="C53" s="1459"/>
      <c r="D53" s="1427"/>
      <c r="E53" s="1361"/>
      <c r="F53" s="1230"/>
      <c r="G53" s="1247"/>
    </row>
    <row r="54" spans="1:7" s="1327" customFormat="1" x14ac:dyDescent="0.25">
      <c r="A54" s="1429"/>
      <c r="B54" s="1146"/>
      <c r="C54" s="1427"/>
      <c r="D54" s="1428"/>
      <c r="E54" s="1361"/>
      <c r="F54" s="1230"/>
      <c r="G54" s="1247"/>
    </row>
    <row r="55" spans="1:7" s="1327" customFormat="1" ht="27.6" x14ac:dyDescent="0.25">
      <c r="A55" s="1429"/>
      <c r="B55" s="1146" t="s">
        <v>2993</v>
      </c>
      <c r="C55" s="1427"/>
      <c r="D55" s="1428"/>
      <c r="E55" s="1361"/>
      <c r="F55" s="1230"/>
      <c r="G55" s="1247"/>
    </row>
    <row r="56" spans="1:7" s="1327" customFormat="1" x14ac:dyDescent="0.25">
      <c r="A56" s="1430"/>
      <c r="B56" s="1146"/>
      <c r="C56" s="1431"/>
      <c r="D56" s="1428"/>
      <c r="E56" s="1361"/>
      <c r="F56" s="1230"/>
      <c r="G56" s="1247"/>
    </row>
    <row r="57" spans="1:7" s="1327" customFormat="1" x14ac:dyDescent="0.25">
      <c r="A57" s="1430"/>
      <c r="B57" s="1146"/>
      <c r="C57" s="1431"/>
      <c r="D57" s="1428"/>
      <c r="E57" s="1361"/>
      <c r="F57" s="1230"/>
      <c r="G57" s="1247"/>
    </row>
    <row r="58" spans="1:7" s="1327" customFormat="1" x14ac:dyDescent="0.25">
      <c r="A58" s="1430"/>
      <c r="B58" s="1146"/>
      <c r="C58" s="1431"/>
      <c r="D58" s="1428"/>
      <c r="E58" s="1361"/>
      <c r="F58" s="1230"/>
      <c r="G58" s="1247"/>
    </row>
    <row r="59" spans="1:7" s="1327" customFormat="1" x14ac:dyDescent="0.25">
      <c r="A59" s="1430"/>
      <c r="B59" s="1146"/>
      <c r="C59" s="1431"/>
      <c r="D59" s="1428"/>
      <c r="E59" s="1361"/>
      <c r="F59" s="1230"/>
      <c r="G59" s="1247"/>
    </row>
    <row r="60" spans="1:7" s="1327" customFormat="1" x14ac:dyDescent="0.25">
      <c r="A60" s="1430"/>
      <c r="B60" s="1146"/>
      <c r="C60" s="1431"/>
      <c r="D60" s="1428"/>
      <c r="E60" s="1361"/>
      <c r="F60" s="1230"/>
      <c r="G60" s="1247"/>
    </row>
    <row r="61" spans="1:7" s="1327" customFormat="1" x14ac:dyDescent="0.25">
      <c r="A61" s="1430"/>
      <c r="B61" s="1146"/>
      <c r="C61" s="1431"/>
      <c r="D61" s="1428"/>
      <c r="E61" s="1361"/>
      <c r="F61" s="1230"/>
      <c r="G61" s="1247"/>
    </row>
    <row r="62" spans="1:7" s="1327" customFormat="1" x14ac:dyDescent="0.25">
      <c r="A62" s="1430"/>
      <c r="B62" s="1146"/>
      <c r="C62" s="1431"/>
      <c r="D62" s="1428"/>
      <c r="E62" s="1361"/>
      <c r="F62" s="1230"/>
      <c r="G62" s="1247"/>
    </row>
    <row r="63" spans="1:7" s="1327" customFormat="1" x14ac:dyDescent="0.25">
      <c r="A63" s="1430"/>
      <c r="B63" s="1146"/>
      <c r="C63" s="1431"/>
      <c r="D63" s="1428"/>
      <c r="E63" s="1361"/>
      <c r="F63" s="1230"/>
      <c r="G63" s="1247"/>
    </row>
    <row r="64" spans="1:7" s="1327" customFormat="1" x14ac:dyDescent="0.25">
      <c r="A64" s="1738"/>
      <c r="B64" s="1417"/>
      <c r="C64" s="1739"/>
      <c r="D64" s="1740"/>
      <c r="E64" s="1741"/>
      <c r="F64" s="1603"/>
      <c r="G64" s="1247"/>
    </row>
    <row r="65" spans="1:23" x14ac:dyDescent="0.25">
      <c r="A65" s="1742"/>
      <c r="B65" s="1743" t="s">
        <v>2994</v>
      </c>
      <c r="C65" s="1744"/>
      <c r="D65" s="1745"/>
      <c r="E65" s="1744"/>
      <c r="F65" s="1746"/>
    </row>
    <row r="66" spans="1:23" s="1327" customFormat="1" x14ac:dyDescent="0.25">
      <c r="A66" s="1432"/>
      <c r="B66" s="1146"/>
      <c r="C66" s="1433"/>
      <c r="D66" s="1428"/>
      <c r="E66" s="1305"/>
      <c r="F66" s="1230"/>
      <c r="G66" s="1247"/>
    </row>
    <row r="67" spans="1:23" ht="89.4" customHeight="1" x14ac:dyDescent="0.25">
      <c r="A67" s="1292">
        <f>IF(C67:C68&gt;0,COUNT(C$67:C67),"")</f>
        <v>1</v>
      </c>
      <c r="B67" s="1146" t="s">
        <v>2995</v>
      </c>
      <c r="C67" s="1359">
        <v>126</v>
      </c>
      <c r="D67" s="1434" t="s">
        <v>2996</v>
      </c>
      <c r="E67" s="1305">
        <v>6100</v>
      </c>
      <c r="F67" s="1230">
        <f>E67*C67</f>
        <v>768600</v>
      </c>
      <c r="H67" s="1404"/>
    </row>
    <row r="68" spans="1:23" x14ac:dyDescent="0.25">
      <c r="A68" s="1292" t="str">
        <f>IF(C68:C69&gt;0,COUNT(C$67:C68),"")</f>
        <v/>
      </c>
      <c r="B68" s="1146"/>
      <c r="C68" s="1359"/>
      <c r="D68" s="1434"/>
      <c r="E68" s="1305"/>
      <c r="F68" s="1230"/>
      <c r="H68" s="1404"/>
    </row>
    <row r="69" spans="1:23" ht="60.6" customHeight="1" x14ac:dyDescent="0.25">
      <c r="A69" s="1292">
        <f>IF(C69:C70&gt;0,COUNT(C$67:C69),"")</f>
        <v>2</v>
      </c>
      <c r="B69" s="1146" t="s">
        <v>2997</v>
      </c>
      <c r="C69" s="1359">
        <v>1</v>
      </c>
      <c r="D69" s="1434" t="s">
        <v>13</v>
      </c>
      <c r="E69" s="1305">
        <v>95000</v>
      </c>
      <c r="F69" s="1230">
        <f>E69*C69</f>
        <v>95000</v>
      </c>
      <c r="H69" s="1404"/>
    </row>
    <row r="70" spans="1:23" x14ac:dyDescent="0.25">
      <c r="A70" s="1292" t="str">
        <f>IF(C70:C71&gt;0,COUNT(C$67:C70),"")</f>
        <v/>
      </c>
      <c r="B70" s="1146"/>
      <c r="C70" s="1359"/>
      <c r="D70" s="1434"/>
      <c r="E70" s="1305"/>
      <c r="F70" s="1230"/>
      <c r="H70" s="1404"/>
    </row>
    <row r="71" spans="1:23" ht="46.2" customHeight="1" x14ac:dyDescent="0.25">
      <c r="A71" s="1292" t="str">
        <f>IF(C71:C72&gt;0,COUNT(C$67:C71),"")</f>
        <v/>
      </c>
      <c r="B71" s="1146" t="s">
        <v>2998</v>
      </c>
      <c r="C71" s="1359"/>
      <c r="D71" s="1434" t="s">
        <v>2538</v>
      </c>
      <c r="E71" s="1305"/>
      <c r="F71" s="1230"/>
      <c r="H71" s="1404"/>
    </row>
    <row r="72" spans="1:23" x14ac:dyDescent="0.25">
      <c r="A72" s="1292" t="str">
        <f>IF(C72:C73&gt;0,COUNT(C$67:C72),"")</f>
        <v/>
      </c>
      <c r="B72" s="1146"/>
      <c r="C72" s="1359"/>
      <c r="D72" s="1434"/>
      <c r="E72" s="1305"/>
      <c r="F72" s="1230"/>
      <c r="H72" s="1404"/>
    </row>
    <row r="73" spans="1:23" ht="73.8" customHeight="1" x14ac:dyDescent="0.25">
      <c r="A73" s="1292">
        <f>IF(C73:C73&gt;0,COUNT(C$67:C73),"")</f>
        <v>3</v>
      </c>
      <c r="B73" s="1146" t="s">
        <v>2999</v>
      </c>
      <c r="C73" s="1359">
        <v>78</v>
      </c>
      <c r="D73" s="1434" t="s">
        <v>2996</v>
      </c>
      <c r="E73" s="1414">
        <v>2950</v>
      </c>
      <c r="F73" s="1230">
        <f>E73*C73</f>
        <v>230100</v>
      </c>
      <c r="H73" s="1404"/>
    </row>
    <row r="74" spans="1:23" x14ac:dyDescent="0.25">
      <c r="A74" s="1292" t="str">
        <f>IF(C74:C74&gt;0,COUNT(C$67:C74),"")</f>
        <v/>
      </c>
      <c r="B74" s="1146"/>
      <c r="C74" s="1359"/>
      <c r="D74" s="1434"/>
      <c r="E74" s="1305"/>
      <c r="F74" s="1230"/>
      <c r="H74" s="1404"/>
    </row>
    <row r="75" spans="1:23" ht="75" customHeight="1" x14ac:dyDescent="0.25">
      <c r="A75" s="1292">
        <f>IF(C75:C75&gt;0,COUNT(C$67:C75),"")</f>
        <v>4</v>
      </c>
      <c r="B75" s="1146" t="s">
        <v>3000</v>
      </c>
      <c r="C75" s="1359">
        <v>81</v>
      </c>
      <c r="D75" s="1434" t="s">
        <v>2996</v>
      </c>
      <c r="E75" s="1414">
        <v>2950</v>
      </c>
      <c r="F75" s="1230">
        <f>E75*C75</f>
        <v>238950</v>
      </c>
      <c r="H75" s="1404"/>
    </row>
    <row r="76" spans="1:23" x14ac:dyDescent="0.25">
      <c r="A76" s="1292" t="str">
        <f>IF(C76:C76&gt;0,COUNT(C$67:C76),"")</f>
        <v/>
      </c>
      <c r="B76" s="1146"/>
      <c r="C76" s="1359"/>
      <c r="D76" s="1434"/>
      <c r="E76" s="1305"/>
      <c r="F76" s="1230"/>
      <c r="H76" s="1404"/>
    </row>
    <row r="77" spans="1:23" ht="85.2" customHeight="1" x14ac:dyDescent="0.25">
      <c r="A77" s="1292">
        <f>IF(C77:C77&gt;0,COUNT(C$67:C77),"")</f>
        <v>5</v>
      </c>
      <c r="B77" s="1146" t="s">
        <v>3001</v>
      </c>
      <c r="C77" s="1359">
        <v>153</v>
      </c>
      <c r="D77" s="1434" t="s">
        <v>2996</v>
      </c>
      <c r="E77" s="1305">
        <v>1950</v>
      </c>
      <c r="F77" s="1230">
        <f>E77*C77</f>
        <v>298350</v>
      </c>
      <c r="H77" s="1404"/>
    </row>
    <row r="78" spans="1:23" s="1327" customFormat="1" x14ac:dyDescent="0.25">
      <c r="A78" s="1292" t="str">
        <f>IF(C78:C78&gt;0,COUNT(C$67:C78),"")</f>
        <v/>
      </c>
      <c r="B78" s="1146"/>
      <c r="C78" s="1435"/>
      <c r="D78" s="1436"/>
      <c r="E78" s="1229"/>
      <c r="F78" s="1230"/>
      <c r="U78" s="1328"/>
      <c r="V78" s="1286"/>
      <c r="W78" s="1328"/>
    </row>
    <row r="79" spans="1:23" s="1327" customFormat="1" ht="72.599999999999994" customHeight="1" x14ac:dyDescent="0.25">
      <c r="A79" s="1292">
        <f>IF(C79:C79&gt;0,COUNT(C$67:C79),"")</f>
        <v>6</v>
      </c>
      <c r="B79" s="1146" t="s">
        <v>3002</v>
      </c>
      <c r="C79" s="1359">
        <v>5</v>
      </c>
      <c r="D79" s="1434" t="s">
        <v>2422</v>
      </c>
      <c r="E79" s="1229">
        <v>9500</v>
      </c>
      <c r="F79" s="1437">
        <f>E79*C79</f>
        <v>47500</v>
      </c>
      <c r="U79" s="1328"/>
      <c r="V79" s="1286"/>
      <c r="W79" s="1328"/>
    </row>
    <row r="80" spans="1:23" x14ac:dyDescent="0.25">
      <c r="A80" s="1292" t="str">
        <f>IF(C80:C80&gt;0,COUNT(C$67:C80),"")</f>
        <v/>
      </c>
      <c r="B80" s="1146"/>
      <c r="C80" s="1359"/>
      <c r="D80" s="1434"/>
      <c r="E80" s="1305"/>
      <c r="F80" s="1230"/>
      <c r="H80" s="1404"/>
    </row>
    <row r="81" spans="1:28" ht="74.400000000000006" customHeight="1" x14ac:dyDescent="0.25">
      <c r="A81" s="1292">
        <f>IF(C81:C81&gt;0,COUNT(C$67:C81),"")</f>
        <v>7</v>
      </c>
      <c r="B81" s="1146" t="s">
        <v>3003</v>
      </c>
      <c r="C81" s="1359">
        <v>5</v>
      </c>
      <c r="D81" s="1434" t="s">
        <v>2422</v>
      </c>
      <c r="E81" s="1305">
        <v>11250</v>
      </c>
      <c r="F81" s="1230">
        <f>E81*C81</f>
        <v>56250</v>
      </c>
      <c r="H81" s="1404"/>
    </row>
    <row r="82" spans="1:28" x14ac:dyDescent="0.25">
      <c r="A82" s="1678" t="str">
        <f>IF(C82:C82&gt;0,COUNT(C$67:C82),"")</f>
        <v/>
      </c>
      <c r="B82" s="1417"/>
      <c r="C82" s="1747"/>
      <c r="D82" s="1748"/>
      <c r="E82" s="1749"/>
      <c r="F82" s="1420"/>
      <c r="G82" s="1414"/>
      <c r="H82" s="1438"/>
      <c r="I82" s="1408"/>
      <c r="J82" s="1404"/>
    </row>
    <row r="83" spans="1:28" ht="105" customHeight="1" x14ac:dyDescent="0.25">
      <c r="A83" s="1680">
        <f>IF(C83:C83&gt;0,COUNT(C$67:C83),"")</f>
        <v>8</v>
      </c>
      <c r="B83" s="1421" t="s">
        <v>3004</v>
      </c>
      <c r="C83" s="1750">
        <v>1</v>
      </c>
      <c r="D83" s="1751" t="s">
        <v>13</v>
      </c>
      <c r="E83" s="1752">
        <v>80000</v>
      </c>
      <c r="F83" s="1665">
        <f>E83*C83</f>
        <v>80000</v>
      </c>
      <c r="H83" s="1439"/>
    </row>
    <row r="84" spans="1:28" x14ac:dyDescent="0.25">
      <c r="A84" s="1292" t="str">
        <f>IF(C84:C84&gt;0,COUNT(C$67:C84),"")</f>
        <v/>
      </c>
      <c r="B84" s="1146"/>
      <c r="C84" s="1359"/>
      <c r="D84" s="1434"/>
      <c r="E84" s="1305"/>
      <c r="F84" s="1230"/>
      <c r="H84" s="1439"/>
    </row>
    <row r="85" spans="1:28" ht="46.2" customHeight="1" x14ac:dyDescent="0.25">
      <c r="A85" s="1292" t="str">
        <f>IF(C85:C85&gt;0,COUNT(C$67:C85),"")</f>
        <v/>
      </c>
      <c r="B85" s="1146" t="s">
        <v>3005</v>
      </c>
      <c r="C85" s="1359"/>
      <c r="D85" s="1434" t="s">
        <v>2538</v>
      </c>
      <c r="E85" s="1305"/>
      <c r="F85" s="1230"/>
      <c r="H85" s="1439"/>
    </row>
    <row r="86" spans="1:28" x14ac:dyDescent="0.25">
      <c r="A86" s="1292" t="str">
        <f>IF(C86:C86&gt;0,COUNT(C$67:C86),"")</f>
        <v/>
      </c>
      <c r="B86" s="1146"/>
      <c r="C86" s="1359"/>
      <c r="D86" s="1434"/>
      <c r="E86" s="1305"/>
      <c r="F86" s="1230"/>
      <c r="H86" s="1404"/>
    </row>
    <row r="87" spans="1:28" x14ac:dyDescent="0.25">
      <c r="A87" s="1292" t="str">
        <f>IF(C87:C87&gt;0,COUNT(C$67:C87),"")</f>
        <v/>
      </c>
      <c r="B87" s="1440" t="s">
        <v>3006</v>
      </c>
      <c r="C87" s="1359"/>
      <c r="D87" s="1434"/>
      <c r="E87" s="1305"/>
      <c r="F87" s="1230"/>
      <c r="H87" s="1404"/>
    </row>
    <row r="88" spans="1:28" ht="30" customHeight="1" x14ac:dyDescent="0.25">
      <c r="A88" s="1292">
        <f>IF(C88:C88&gt;0,COUNT(C$67:C88),"")</f>
        <v>9</v>
      </c>
      <c r="B88" s="1232" t="s">
        <v>3007</v>
      </c>
      <c r="C88" s="1359">
        <v>1</v>
      </c>
      <c r="D88" s="1434" t="s">
        <v>13</v>
      </c>
      <c r="E88" s="1305">
        <v>25000</v>
      </c>
      <c r="F88" s="1230">
        <f>E88*C88</f>
        <v>25000</v>
      </c>
      <c r="H88" s="1404"/>
    </row>
    <row r="89" spans="1:28" x14ac:dyDescent="0.25">
      <c r="A89" s="1292" t="str">
        <f>IF(C89:C89&gt;0,COUNT(C$67:C89),"")</f>
        <v/>
      </c>
      <c r="B89" s="1441"/>
      <c r="C89" s="1359"/>
      <c r="D89" s="1434"/>
      <c r="E89" s="1305"/>
      <c r="F89" s="1230"/>
      <c r="H89" s="1404"/>
    </row>
    <row r="90" spans="1:28" x14ac:dyDescent="0.25">
      <c r="A90" s="1292" t="str">
        <f>IF(C90:C90&gt;0,COUNT(C$67:C90),"")</f>
        <v/>
      </c>
      <c r="B90" s="1440" t="s">
        <v>3008</v>
      </c>
      <c r="C90" s="1359"/>
      <c r="D90" s="1434"/>
      <c r="E90" s="1305"/>
      <c r="F90" s="1230"/>
      <c r="H90" s="1404"/>
    </row>
    <row r="91" spans="1:28" ht="31.8" customHeight="1" x14ac:dyDescent="0.25">
      <c r="A91" s="1292">
        <f>IF(C91:C91&gt;0,COUNT(C$67:C91),"")</f>
        <v>10</v>
      </c>
      <c r="B91" s="1232" t="s">
        <v>3009</v>
      </c>
      <c r="C91" s="1359">
        <v>1</v>
      </c>
      <c r="D91" s="1434" t="s">
        <v>13</v>
      </c>
      <c r="E91" s="1305">
        <v>25000</v>
      </c>
      <c r="F91" s="1230">
        <f>E91*C91</f>
        <v>25000</v>
      </c>
      <c r="H91" s="1404"/>
      <c r="Z91" s="1348"/>
      <c r="AA91" s="1442"/>
      <c r="AB91" s="1348"/>
    </row>
    <row r="92" spans="1:28" x14ac:dyDescent="0.25">
      <c r="A92" s="1292" t="str">
        <f>IF(C92:C92&gt;0,COUNT(C$67:C92),"")</f>
        <v/>
      </c>
      <c r="B92" s="1226"/>
      <c r="C92" s="1227"/>
      <c r="D92" s="1434"/>
      <c r="E92" s="1305"/>
      <c r="F92" s="1230"/>
      <c r="H92" s="1404"/>
      <c r="Z92" s="1348"/>
      <c r="AA92" s="1442"/>
      <c r="AB92" s="1348"/>
    </row>
    <row r="93" spans="1:28" s="1445" customFormat="1" x14ac:dyDescent="0.25">
      <c r="A93" s="1292" t="str">
        <f>IF(C93:C93&gt;0,COUNT(C$67:C93),"")</f>
        <v/>
      </c>
      <c r="B93" s="1440" t="s">
        <v>2941</v>
      </c>
      <c r="C93" s="1227"/>
      <c r="D93" s="1443"/>
      <c r="E93" s="1305"/>
      <c r="F93" s="1444"/>
    </row>
    <row r="94" spans="1:28" s="1445" customFormat="1" ht="74.400000000000006" customHeight="1" x14ac:dyDescent="0.25">
      <c r="A94" s="1292">
        <f>IF(C94:C94&gt;0,COUNT(C$67:C94),"")</f>
        <v>11</v>
      </c>
      <c r="B94" s="1446" t="s">
        <v>3010</v>
      </c>
      <c r="C94" s="1359">
        <v>1</v>
      </c>
      <c r="D94" s="1434" t="s">
        <v>13</v>
      </c>
      <c r="E94" s="1305"/>
      <c r="F94" s="1230">
        <f>E94*C94</f>
        <v>0</v>
      </c>
    </row>
    <row r="95" spans="1:28" s="1445" customFormat="1" x14ac:dyDescent="0.25">
      <c r="A95" s="1292"/>
      <c r="B95" s="1446"/>
      <c r="C95" s="1447"/>
      <c r="D95" s="1434"/>
      <c r="E95" s="1414"/>
      <c r="F95" s="1230"/>
    </row>
    <row r="96" spans="1:28" s="1453" customFormat="1" x14ac:dyDescent="0.25">
      <c r="A96" s="1448"/>
      <c r="B96" s="1449" t="s">
        <v>3011</v>
      </c>
      <c r="C96" s="1450"/>
      <c r="D96" s="1450"/>
      <c r="E96" s="1451" t="s">
        <v>3012</v>
      </c>
      <c r="F96" s="1452">
        <f>SUM(F67:F95)</f>
        <v>1864750</v>
      </c>
    </row>
    <row r="97" spans="1:23" s="1327" customFormat="1" x14ac:dyDescent="0.25">
      <c r="A97" s="1699" t="str">
        <f>IF(C97&gt;0,COUNT(C$67:C97),"")</f>
        <v/>
      </c>
      <c r="B97" s="1454"/>
      <c r="C97" s="1455"/>
      <c r="D97" s="1456"/>
      <c r="E97" s="1457"/>
      <c r="F97" s="1753"/>
      <c r="U97" s="1328"/>
      <c r="V97" s="1286"/>
      <c r="W97" s="1328"/>
    </row>
    <row r="98" spans="1:23" s="1327" customFormat="1" ht="27.6" x14ac:dyDescent="0.25">
      <c r="A98" s="1432"/>
      <c r="B98" s="1458" t="s">
        <v>3013</v>
      </c>
      <c r="C98" s="1459"/>
      <c r="D98" s="1433"/>
      <c r="E98" s="1361"/>
      <c r="F98" s="1437"/>
      <c r="G98" s="1247"/>
    </row>
    <row r="99" spans="1:23" s="1327" customFormat="1" x14ac:dyDescent="0.25">
      <c r="A99" s="1432"/>
      <c r="B99" s="1460"/>
      <c r="C99" s="1361"/>
      <c r="D99" s="1461"/>
      <c r="E99" s="1361"/>
      <c r="F99" s="1437"/>
      <c r="G99" s="1247"/>
    </row>
    <row r="100" spans="1:23" s="1327" customFormat="1" ht="27.6" x14ac:dyDescent="0.25">
      <c r="A100" s="1432"/>
      <c r="B100" s="1460" t="s">
        <v>3014</v>
      </c>
      <c r="C100" s="1459"/>
      <c r="D100" s="1433"/>
      <c r="E100" s="1361"/>
      <c r="F100" s="1437"/>
      <c r="G100" s="1247"/>
    </row>
    <row r="101" spans="1:23" s="1327" customFormat="1" x14ac:dyDescent="0.25">
      <c r="A101" s="1432"/>
      <c r="B101" s="1460"/>
      <c r="C101" s="1361"/>
      <c r="D101" s="1461"/>
      <c r="E101" s="1361"/>
      <c r="F101" s="1437"/>
      <c r="G101" s="1247"/>
    </row>
    <row r="102" spans="1:23" s="1327" customFormat="1" ht="27.6" x14ac:dyDescent="0.25">
      <c r="A102" s="1432"/>
      <c r="B102" s="1460" t="s">
        <v>3015</v>
      </c>
      <c r="C102" s="1459"/>
      <c r="D102" s="1433"/>
      <c r="E102" s="1361"/>
      <c r="F102" s="1437"/>
      <c r="G102" s="1247"/>
    </row>
    <row r="103" spans="1:23" s="1327" customFormat="1" x14ac:dyDescent="0.25">
      <c r="A103" s="1432"/>
      <c r="B103" s="1460"/>
      <c r="C103" s="1459"/>
      <c r="D103" s="1433"/>
      <c r="E103" s="1361"/>
      <c r="F103" s="1437"/>
      <c r="G103" s="1247"/>
    </row>
    <row r="104" spans="1:23" s="1327" customFormat="1" ht="27.6" x14ac:dyDescent="0.25">
      <c r="A104" s="1432"/>
      <c r="B104" s="1460" t="s">
        <v>3016</v>
      </c>
      <c r="C104" s="1459"/>
      <c r="D104" s="1433"/>
      <c r="E104" s="1361"/>
      <c r="F104" s="1437"/>
      <c r="G104" s="1247"/>
    </row>
    <row r="105" spans="1:23" s="1327" customFormat="1" x14ac:dyDescent="0.25">
      <c r="A105" s="1432"/>
      <c r="B105" s="1460"/>
      <c r="C105" s="1459"/>
      <c r="D105" s="1433"/>
      <c r="E105" s="1361"/>
      <c r="F105" s="1437"/>
      <c r="G105" s="1247"/>
    </row>
    <row r="106" spans="1:23" s="1327" customFormat="1" ht="27.6" x14ac:dyDescent="0.25">
      <c r="A106" s="1432"/>
      <c r="B106" s="1460" t="s">
        <v>3017</v>
      </c>
      <c r="C106" s="1459"/>
      <c r="D106" s="1433"/>
      <c r="E106" s="1361"/>
      <c r="F106" s="1437"/>
      <c r="G106" s="1247"/>
    </row>
    <row r="107" spans="1:23" s="1327" customFormat="1" x14ac:dyDescent="0.25">
      <c r="A107" s="1432"/>
      <c r="B107" s="1460"/>
      <c r="C107" s="1459"/>
      <c r="D107" s="1433"/>
      <c r="E107" s="1361"/>
      <c r="F107" s="1437"/>
      <c r="G107" s="1247"/>
    </row>
    <row r="108" spans="1:23" s="1327" customFormat="1" ht="27.6" x14ac:dyDescent="0.25">
      <c r="A108" s="1432"/>
      <c r="B108" s="1460" t="s">
        <v>3018</v>
      </c>
      <c r="C108" s="1459"/>
      <c r="D108" s="1433"/>
      <c r="E108" s="1361"/>
      <c r="F108" s="1437"/>
      <c r="G108" s="1247"/>
    </row>
    <row r="109" spans="1:23" s="1327" customFormat="1" x14ac:dyDescent="0.25">
      <c r="A109" s="1432"/>
      <c r="B109" s="1460"/>
      <c r="C109" s="1459"/>
      <c r="D109" s="1433"/>
      <c r="E109" s="1361"/>
      <c r="F109" s="1437"/>
      <c r="G109" s="1247"/>
    </row>
    <row r="110" spans="1:23" s="1327" customFormat="1" ht="27.6" x14ac:dyDescent="0.25">
      <c r="A110" s="1432"/>
      <c r="B110" s="1460" t="s">
        <v>3019</v>
      </c>
      <c r="C110" s="1459"/>
      <c r="D110" s="1433"/>
      <c r="E110" s="1361"/>
      <c r="F110" s="1437"/>
      <c r="G110" s="1247"/>
    </row>
    <row r="111" spans="1:23" s="1453" customFormat="1" ht="13.2" x14ac:dyDescent="0.25">
      <c r="A111" s="1754"/>
      <c r="B111" s="1755"/>
      <c r="C111" s="1756"/>
      <c r="D111" s="1757"/>
      <c r="E111" s="1758"/>
      <c r="F111" s="1759"/>
    </row>
    <row r="112" spans="1:23" s="1462" customFormat="1" ht="55.2" x14ac:dyDescent="0.25">
      <c r="A112" s="1760"/>
      <c r="B112" s="1563" t="s">
        <v>2961</v>
      </c>
      <c r="C112" s="1761"/>
      <c r="D112" s="1761"/>
      <c r="E112" s="1762"/>
      <c r="F112" s="1763"/>
    </row>
    <row r="113" spans="1:6" s="1462" customFormat="1" x14ac:dyDescent="0.25">
      <c r="A113" s="1764"/>
      <c r="B113" s="1765"/>
      <c r="C113" s="1765"/>
      <c r="D113" s="1765"/>
      <c r="E113" s="1766"/>
      <c r="F113" s="1767"/>
    </row>
    <row r="114" spans="1:6" s="1453" customFormat="1" ht="41.4" x14ac:dyDescent="0.25">
      <c r="A114" s="1768"/>
      <c r="B114" s="1769" t="s">
        <v>2962</v>
      </c>
      <c r="C114" s="1769"/>
      <c r="D114" s="1769"/>
      <c r="E114" s="1770"/>
      <c r="F114" s="1771"/>
    </row>
    <row r="115" spans="1:6" s="1453" customFormat="1" x14ac:dyDescent="0.25">
      <c r="A115" s="1772"/>
      <c r="B115" s="1639"/>
      <c r="C115" s="1639"/>
      <c r="D115" s="1639"/>
      <c r="E115" s="1773"/>
      <c r="F115" s="1759"/>
    </row>
    <row r="116" spans="1:6" s="1453" customFormat="1" ht="41.4" x14ac:dyDescent="0.25">
      <c r="A116" s="1772"/>
      <c r="B116" s="1563" t="s">
        <v>2963</v>
      </c>
      <c r="C116" s="1563"/>
      <c r="D116" s="1563"/>
      <c r="E116" s="1773"/>
      <c r="F116" s="1759"/>
    </row>
    <row r="117" spans="1:6" s="1453" customFormat="1" x14ac:dyDescent="0.25">
      <c r="A117" s="1772"/>
      <c r="B117" s="1517"/>
      <c r="C117" s="1774"/>
      <c r="D117" s="56"/>
      <c r="E117" s="1773"/>
      <c r="F117" s="1759"/>
    </row>
    <row r="118" spans="1:6" s="1453" customFormat="1" x14ac:dyDescent="0.25">
      <c r="A118" s="1772"/>
      <c r="B118" s="1517"/>
      <c r="C118" s="1774"/>
      <c r="D118" s="56"/>
      <c r="E118" s="1773"/>
      <c r="F118" s="1759"/>
    </row>
    <row r="119" spans="1:6" s="1453" customFormat="1" x14ac:dyDescent="0.25">
      <c r="A119" s="1772"/>
      <c r="B119" s="1517"/>
      <c r="C119" s="1774"/>
      <c r="D119" s="56"/>
      <c r="E119" s="1773"/>
      <c r="F119" s="1759"/>
    </row>
    <row r="120" spans="1:6" s="1453" customFormat="1" x14ac:dyDescent="0.25">
      <c r="A120" s="1772"/>
      <c r="B120" s="1517"/>
      <c r="C120" s="1774"/>
      <c r="D120" s="56"/>
      <c r="E120" s="1773"/>
      <c r="F120" s="1759"/>
    </row>
    <row r="121" spans="1:6" s="1453" customFormat="1" x14ac:dyDescent="0.25">
      <c r="A121" s="1772"/>
      <c r="B121" s="1557" t="s">
        <v>2964</v>
      </c>
      <c r="C121" s="1774"/>
      <c r="D121" s="56"/>
      <c r="E121" s="1773"/>
      <c r="F121" s="1759"/>
    </row>
    <row r="122" spans="1:6" s="1453" customFormat="1" x14ac:dyDescent="0.25">
      <c r="A122" s="1772"/>
      <c r="B122" s="1557"/>
      <c r="C122" s="1774"/>
      <c r="D122" s="56"/>
      <c r="E122" s="1773"/>
      <c r="F122" s="1759"/>
    </row>
    <row r="123" spans="1:6" s="1453" customFormat="1" x14ac:dyDescent="0.25">
      <c r="A123" s="1772"/>
      <c r="B123" s="1557"/>
      <c r="C123" s="1774"/>
      <c r="D123" s="56"/>
      <c r="E123" s="1773"/>
      <c r="F123" s="1759"/>
    </row>
    <row r="124" spans="1:6" s="1453" customFormat="1" x14ac:dyDescent="0.25">
      <c r="A124" s="1772"/>
      <c r="B124" s="1557"/>
      <c r="C124" s="1774"/>
      <c r="D124" s="56"/>
      <c r="E124" s="1773"/>
      <c r="F124" s="1759"/>
    </row>
    <row r="125" spans="1:6" s="1453" customFormat="1" x14ac:dyDescent="0.25">
      <c r="A125" s="1772"/>
      <c r="B125" s="1557" t="s">
        <v>2965</v>
      </c>
      <c r="C125" s="1774"/>
      <c r="D125" s="56"/>
      <c r="E125" s="1773"/>
      <c r="F125" s="1759"/>
    </row>
    <row r="126" spans="1:6" s="1453" customFormat="1" x14ac:dyDescent="0.25">
      <c r="A126" s="1772"/>
      <c r="B126" s="1557"/>
      <c r="C126" s="1774"/>
      <c r="D126" s="56"/>
      <c r="E126" s="1773"/>
      <c r="F126" s="1759"/>
    </row>
    <row r="127" spans="1:6" s="1453" customFormat="1" x14ac:dyDescent="0.25">
      <c r="A127" s="1772"/>
      <c r="B127" s="1557"/>
      <c r="C127" s="1774"/>
      <c r="D127" s="56"/>
      <c r="E127" s="1773"/>
      <c r="F127" s="1759"/>
    </row>
    <row r="128" spans="1:6" s="1453" customFormat="1" x14ac:dyDescent="0.25">
      <c r="A128" s="1772"/>
      <c r="B128" s="1557"/>
      <c r="C128" s="1774"/>
      <c r="D128" s="1517"/>
      <c r="E128" s="1773"/>
      <c r="F128" s="1759"/>
    </row>
    <row r="129" spans="1:6" s="1453" customFormat="1" x14ac:dyDescent="0.25">
      <c r="A129" s="1772"/>
      <c r="B129" s="1557" t="s">
        <v>2966</v>
      </c>
      <c r="C129" s="1774"/>
      <c r="D129" s="1517"/>
      <c r="E129" s="1773"/>
      <c r="F129" s="1759"/>
    </row>
    <row r="130" spans="1:6" s="1453" customFormat="1" x14ac:dyDescent="0.25">
      <c r="A130" s="1772"/>
      <c r="B130" s="1557"/>
      <c r="C130" s="1774"/>
      <c r="D130" s="1517"/>
      <c r="E130" s="1773"/>
      <c r="F130" s="1759"/>
    </row>
    <row r="131" spans="1:6" s="1453" customFormat="1" x14ac:dyDescent="0.25">
      <c r="A131" s="1772"/>
      <c r="B131" s="1557"/>
      <c r="C131" s="1774"/>
      <c r="D131" s="1517"/>
      <c r="E131" s="1773"/>
      <c r="F131" s="1759"/>
    </row>
    <row r="132" spans="1:6" s="1453" customFormat="1" ht="13.2" x14ac:dyDescent="0.25">
      <c r="A132" s="1772"/>
      <c r="B132" s="1775"/>
      <c r="C132" s="1776"/>
      <c r="D132" s="1777"/>
      <c r="E132" s="1778"/>
      <c r="F132" s="1759"/>
    </row>
    <row r="133" spans="1:6" s="1453" customFormat="1" ht="13.2" x14ac:dyDescent="0.25">
      <c r="A133" s="1772"/>
      <c r="B133" s="1775"/>
      <c r="C133" s="1776"/>
      <c r="D133" s="1777"/>
      <c r="E133" s="1778"/>
      <c r="F133" s="1759"/>
    </row>
    <row r="134" spans="1:6" s="1453" customFormat="1" x14ac:dyDescent="0.25">
      <c r="A134" s="1779"/>
      <c r="B134" s="1780" t="s">
        <v>2967</v>
      </c>
      <c r="C134" s="1781"/>
      <c r="D134" s="1782"/>
      <c r="E134" s="1783"/>
      <c r="F134" s="1784"/>
    </row>
    <row r="135" spans="1:6" s="1453" customFormat="1" ht="13.2" x14ac:dyDescent="0.25"/>
    <row r="136" spans="1:6" x14ac:dyDescent="0.25">
      <c r="A136" s="1463"/>
      <c r="B136" s="1464"/>
      <c r="C136" s="1413"/>
      <c r="D136" s="1465"/>
      <c r="E136" s="1466"/>
      <c r="F136" s="1438"/>
    </row>
    <row r="137" spans="1:6" s="1453" customFormat="1" ht="13.2" x14ac:dyDescent="0.25"/>
    <row r="138" spans="1:6" x14ac:dyDescent="0.25">
      <c r="A138" s="1463"/>
      <c r="B138" s="1464"/>
      <c r="C138" s="1413"/>
      <c r="D138" s="1465"/>
      <c r="E138" s="1466"/>
      <c r="F138" s="1438"/>
    </row>
  </sheetData>
  <protectedRanges>
    <protectedRange password="D55D" sqref="B66" name="Range1_3_1_1_1_1_1_2_8_1_1"/>
    <protectedRange password="D55D" sqref="B67" name="Range1_3_1_1_6_2_1"/>
    <protectedRange password="D55D" sqref="B29:B30 B32:B40" name="Range1_3_1_1_1_1"/>
    <protectedRange password="D55D" sqref="B31" name="Range1_3_1_1_3_1_1"/>
    <protectedRange password="D55D" sqref="B13" name="Range1_3_1_1_3_2_1"/>
    <protectedRange password="D55D" sqref="B44 B46 B48 B50:B51 B41:B42 B54" name="Range1_3_1_1_1_1_1_2_1_1"/>
    <protectedRange password="D55D" sqref="B55:B64" name="Range1_3_1_1_1_1_1_2_8_1_1_1"/>
    <protectedRange password="D55D" sqref="B43" name="Range1_3_1_1_1_1_1_2_11_1_1"/>
    <protectedRange password="D55D" sqref="B45" name="Range1_3_1_1_1_1_1_2_12_1_1"/>
    <protectedRange password="D55D" sqref="B47" name="Range1_3_1_1_1_1_1_2_13_1_1"/>
    <protectedRange password="D55D" sqref="B49" name="Range1_3_1_1_1_1_1_2_14_1_1"/>
    <protectedRange password="D55D" sqref="B25:B26" name="Range1_3_1_1"/>
    <protectedRange password="D55D" sqref="B109 B103 B105 B107 B98:B99 B101" name="Range1_3_1_1_1_1_1_2_1"/>
    <protectedRange password="D55D" sqref="B100 B102" name="Range1_3_1_1_1_1_1_2_11_1"/>
    <protectedRange password="D55D" sqref="B104" name="Range1_3_1_1_1_1_1_2_12_1"/>
    <protectedRange password="D55D" sqref="B106" name="Range1_3_1_1_1_1_1_2_13_1"/>
    <protectedRange password="D55D" sqref="B108 B110" name="Range1_3_1_1_1_1_1_2_14_1"/>
    <protectedRange password="D55D" sqref="B52" name="Range1_3_1_1_1_1_1_2_1_1_4"/>
    <protectedRange password="D55D" sqref="B53" name="Range1_3_1_1_1_1_1_2_9_1_1_3"/>
  </protectedRanges>
  <mergeCells count="1">
    <mergeCell ref="A3:B3"/>
  </mergeCell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133"/>
  <sheetViews>
    <sheetView view="pageBreakPreview" zoomScale="99" zoomScaleNormal="100" zoomScaleSheetLayoutView="99" workbookViewId="0">
      <selection activeCell="A107" sqref="A107:F133"/>
    </sheetView>
  </sheetViews>
  <sheetFormatPr defaultRowHeight="13.8" x14ac:dyDescent="0.25"/>
  <cols>
    <col min="1" max="1" width="7.109375" style="1373" customWidth="1"/>
    <col min="2" max="2" width="47" style="1374" customWidth="1"/>
    <col min="3" max="3" width="5.109375" style="1372" bestFit="1" customWidth="1"/>
    <col min="4" max="4" width="6" style="1375" bestFit="1" customWidth="1"/>
    <col min="5" max="5" width="11.5546875" style="1361" bestFit="1" customWidth="1"/>
    <col min="6" max="6" width="12.88671875" style="1566" bestFit="1" customWidth="1"/>
    <col min="7" max="8" width="18.5546875" style="1327" customWidth="1"/>
    <col min="9" max="250" width="8.88671875" style="1327"/>
    <col min="251" max="251" width="3" style="1327" customWidth="1"/>
    <col min="252" max="252" width="4.33203125" style="1327" customWidth="1"/>
    <col min="253" max="253" width="39.44140625" style="1327" customWidth="1"/>
    <col min="254" max="254" width="8.88671875" style="1327" customWidth="1"/>
    <col min="255" max="255" width="10.44140625" style="1327" customWidth="1"/>
    <col min="256" max="256" width="12.33203125" style="1327" customWidth="1"/>
    <col min="257" max="257" width="14.88671875" style="1327" customWidth="1"/>
    <col min="258" max="258" width="8.88671875" style="1327"/>
    <col min="259" max="259" width="14.33203125" style="1327" customWidth="1"/>
    <col min="260" max="260" width="8.88671875" style="1327"/>
    <col min="261" max="261" width="10.44140625" style="1327" customWidth="1"/>
    <col min="262" max="506" width="8.88671875" style="1327"/>
    <col min="507" max="507" width="3" style="1327" customWidth="1"/>
    <col min="508" max="508" width="4.33203125" style="1327" customWidth="1"/>
    <col min="509" max="509" width="39.44140625" style="1327" customWidth="1"/>
    <col min="510" max="510" width="8.88671875" style="1327" customWidth="1"/>
    <col min="511" max="511" width="10.44140625" style="1327" customWidth="1"/>
    <col min="512" max="512" width="12.33203125" style="1327" customWidth="1"/>
    <col min="513" max="513" width="14.88671875" style="1327" customWidth="1"/>
    <col min="514" max="514" width="8.88671875" style="1327"/>
    <col min="515" max="515" width="14.33203125" style="1327" customWidth="1"/>
    <col min="516" max="516" width="8.88671875" style="1327"/>
    <col min="517" max="517" width="10.44140625" style="1327" customWidth="1"/>
    <col min="518" max="762" width="8.88671875" style="1327"/>
    <col min="763" max="763" width="3" style="1327" customWidth="1"/>
    <col min="764" max="764" width="4.33203125" style="1327" customWidth="1"/>
    <col min="765" max="765" width="39.44140625" style="1327" customWidth="1"/>
    <col min="766" max="766" width="8.88671875" style="1327" customWidth="1"/>
    <col min="767" max="767" width="10.44140625" style="1327" customWidth="1"/>
    <col min="768" max="768" width="12.33203125" style="1327" customWidth="1"/>
    <col min="769" max="769" width="14.88671875" style="1327" customWidth="1"/>
    <col min="770" max="770" width="8.88671875" style="1327"/>
    <col min="771" max="771" width="14.33203125" style="1327" customWidth="1"/>
    <col min="772" max="772" width="8.88671875" style="1327"/>
    <col min="773" max="773" width="10.44140625" style="1327" customWidth="1"/>
    <col min="774" max="1018" width="8.88671875" style="1327"/>
    <col min="1019" max="1019" width="3" style="1327" customWidth="1"/>
    <col min="1020" max="1020" width="4.33203125" style="1327" customWidth="1"/>
    <col min="1021" max="1021" width="39.44140625" style="1327" customWidth="1"/>
    <col min="1022" max="1022" width="8.88671875" style="1327" customWidth="1"/>
    <col min="1023" max="1023" width="10.44140625" style="1327" customWidth="1"/>
    <col min="1024" max="1024" width="12.33203125" style="1327" customWidth="1"/>
    <col min="1025" max="1025" width="14.88671875" style="1327" customWidth="1"/>
    <col min="1026" max="1026" width="8.88671875" style="1327"/>
    <col min="1027" max="1027" width="14.33203125" style="1327" customWidth="1"/>
    <col min="1028" max="1028" width="8.88671875" style="1327"/>
    <col min="1029" max="1029" width="10.44140625" style="1327" customWidth="1"/>
    <col min="1030" max="1274" width="8.88671875" style="1327"/>
    <col min="1275" max="1275" width="3" style="1327" customWidth="1"/>
    <col min="1276" max="1276" width="4.33203125" style="1327" customWidth="1"/>
    <col min="1277" max="1277" width="39.44140625" style="1327" customWidth="1"/>
    <col min="1278" max="1278" width="8.88671875" style="1327" customWidth="1"/>
    <col min="1279" max="1279" width="10.44140625" style="1327" customWidth="1"/>
    <col min="1280" max="1280" width="12.33203125" style="1327" customWidth="1"/>
    <col min="1281" max="1281" width="14.88671875" style="1327" customWidth="1"/>
    <col min="1282" max="1282" width="8.88671875" style="1327"/>
    <col min="1283" max="1283" width="14.33203125" style="1327" customWidth="1"/>
    <col min="1284" max="1284" width="8.88671875" style="1327"/>
    <col min="1285" max="1285" width="10.44140625" style="1327" customWidth="1"/>
    <col min="1286" max="1530" width="8.88671875" style="1327"/>
    <col min="1531" max="1531" width="3" style="1327" customWidth="1"/>
    <col min="1532" max="1532" width="4.33203125" style="1327" customWidth="1"/>
    <col min="1533" max="1533" width="39.44140625" style="1327" customWidth="1"/>
    <col min="1534" max="1534" width="8.88671875" style="1327" customWidth="1"/>
    <col min="1535" max="1535" width="10.44140625" style="1327" customWidth="1"/>
    <col min="1536" max="1536" width="12.33203125" style="1327" customWidth="1"/>
    <col min="1537" max="1537" width="14.88671875" style="1327" customWidth="1"/>
    <col min="1538" max="1538" width="8.88671875" style="1327"/>
    <col min="1539" max="1539" width="14.33203125" style="1327" customWidth="1"/>
    <col min="1540" max="1540" width="8.88671875" style="1327"/>
    <col min="1541" max="1541" width="10.44140625" style="1327" customWidth="1"/>
    <col min="1542" max="1786" width="8.88671875" style="1327"/>
    <col min="1787" max="1787" width="3" style="1327" customWidth="1"/>
    <col min="1788" max="1788" width="4.33203125" style="1327" customWidth="1"/>
    <col min="1789" max="1789" width="39.44140625" style="1327" customWidth="1"/>
    <col min="1790" max="1790" width="8.88671875" style="1327" customWidth="1"/>
    <col min="1791" max="1791" width="10.44140625" style="1327" customWidth="1"/>
    <col min="1792" max="1792" width="12.33203125" style="1327" customWidth="1"/>
    <col min="1793" max="1793" width="14.88671875" style="1327" customWidth="1"/>
    <col min="1794" max="1794" width="8.88671875" style="1327"/>
    <col min="1795" max="1795" width="14.33203125" style="1327" customWidth="1"/>
    <col min="1796" max="1796" width="8.88671875" style="1327"/>
    <col min="1797" max="1797" width="10.44140625" style="1327" customWidth="1"/>
    <col min="1798" max="2042" width="8.88671875" style="1327"/>
    <col min="2043" max="2043" width="3" style="1327" customWidth="1"/>
    <col min="2044" max="2044" width="4.33203125" style="1327" customWidth="1"/>
    <col min="2045" max="2045" width="39.44140625" style="1327" customWidth="1"/>
    <col min="2046" max="2046" width="8.88671875" style="1327" customWidth="1"/>
    <col min="2047" max="2047" width="10.44140625" style="1327" customWidth="1"/>
    <col min="2048" max="2048" width="12.33203125" style="1327" customWidth="1"/>
    <col min="2049" max="2049" width="14.88671875" style="1327" customWidth="1"/>
    <col min="2050" max="2050" width="8.88671875" style="1327"/>
    <col min="2051" max="2051" width="14.33203125" style="1327" customWidth="1"/>
    <col min="2052" max="2052" width="8.88671875" style="1327"/>
    <col min="2053" max="2053" width="10.44140625" style="1327" customWidth="1"/>
    <col min="2054" max="2298" width="8.88671875" style="1327"/>
    <col min="2299" max="2299" width="3" style="1327" customWidth="1"/>
    <col min="2300" max="2300" width="4.33203125" style="1327" customWidth="1"/>
    <col min="2301" max="2301" width="39.44140625" style="1327" customWidth="1"/>
    <col min="2302" max="2302" width="8.88671875" style="1327" customWidth="1"/>
    <col min="2303" max="2303" width="10.44140625" style="1327" customWidth="1"/>
    <col min="2304" max="2304" width="12.33203125" style="1327" customWidth="1"/>
    <col min="2305" max="2305" width="14.88671875" style="1327" customWidth="1"/>
    <col min="2306" max="2306" width="8.88671875" style="1327"/>
    <col min="2307" max="2307" width="14.33203125" style="1327" customWidth="1"/>
    <col min="2308" max="2308" width="8.88671875" style="1327"/>
    <col min="2309" max="2309" width="10.44140625" style="1327" customWidth="1"/>
    <col min="2310" max="2554" width="8.88671875" style="1327"/>
    <col min="2555" max="2555" width="3" style="1327" customWidth="1"/>
    <col min="2556" max="2556" width="4.33203125" style="1327" customWidth="1"/>
    <col min="2557" max="2557" width="39.44140625" style="1327" customWidth="1"/>
    <col min="2558" max="2558" width="8.88671875" style="1327" customWidth="1"/>
    <col min="2559" max="2559" width="10.44140625" style="1327" customWidth="1"/>
    <col min="2560" max="2560" width="12.33203125" style="1327" customWidth="1"/>
    <col min="2561" max="2561" width="14.88671875" style="1327" customWidth="1"/>
    <col min="2562" max="2562" width="8.88671875" style="1327"/>
    <col min="2563" max="2563" width="14.33203125" style="1327" customWidth="1"/>
    <col min="2564" max="2564" width="8.88671875" style="1327"/>
    <col min="2565" max="2565" width="10.44140625" style="1327" customWidth="1"/>
    <col min="2566" max="2810" width="8.88671875" style="1327"/>
    <col min="2811" max="2811" width="3" style="1327" customWidth="1"/>
    <col min="2812" max="2812" width="4.33203125" style="1327" customWidth="1"/>
    <col min="2813" max="2813" width="39.44140625" style="1327" customWidth="1"/>
    <col min="2814" max="2814" width="8.88671875" style="1327" customWidth="1"/>
    <col min="2815" max="2815" width="10.44140625" style="1327" customWidth="1"/>
    <col min="2816" max="2816" width="12.33203125" style="1327" customWidth="1"/>
    <col min="2817" max="2817" width="14.88671875" style="1327" customWidth="1"/>
    <col min="2818" max="2818" width="8.88671875" style="1327"/>
    <col min="2819" max="2819" width="14.33203125" style="1327" customWidth="1"/>
    <col min="2820" max="2820" width="8.88671875" style="1327"/>
    <col min="2821" max="2821" width="10.44140625" style="1327" customWidth="1"/>
    <col min="2822" max="3066" width="8.88671875" style="1327"/>
    <col min="3067" max="3067" width="3" style="1327" customWidth="1"/>
    <col min="3068" max="3068" width="4.33203125" style="1327" customWidth="1"/>
    <col min="3069" max="3069" width="39.44140625" style="1327" customWidth="1"/>
    <col min="3070" max="3070" width="8.88671875" style="1327" customWidth="1"/>
    <col min="3071" max="3071" width="10.44140625" style="1327" customWidth="1"/>
    <col min="3072" max="3072" width="12.33203125" style="1327" customWidth="1"/>
    <col min="3073" max="3073" width="14.88671875" style="1327" customWidth="1"/>
    <col min="3074" max="3074" width="8.88671875" style="1327"/>
    <col min="3075" max="3075" width="14.33203125" style="1327" customWidth="1"/>
    <col min="3076" max="3076" width="8.88671875" style="1327"/>
    <col min="3077" max="3077" width="10.44140625" style="1327" customWidth="1"/>
    <col min="3078" max="3322" width="8.88671875" style="1327"/>
    <col min="3323" max="3323" width="3" style="1327" customWidth="1"/>
    <col min="3324" max="3324" width="4.33203125" style="1327" customWidth="1"/>
    <col min="3325" max="3325" width="39.44140625" style="1327" customWidth="1"/>
    <col min="3326" max="3326" width="8.88671875" style="1327" customWidth="1"/>
    <col min="3327" max="3327" width="10.44140625" style="1327" customWidth="1"/>
    <col min="3328" max="3328" width="12.33203125" style="1327" customWidth="1"/>
    <col min="3329" max="3329" width="14.88671875" style="1327" customWidth="1"/>
    <col min="3330" max="3330" width="8.88671875" style="1327"/>
    <col min="3331" max="3331" width="14.33203125" style="1327" customWidth="1"/>
    <col min="3332" max="3332" width="8.88671875" style="1327"/>
    <col min="3333" max="3333" width="10.44140625" style="1327" customWidth="1"/>
    <col min="3334" max="3578" width="8.88671875" style="1327"/>
    <col min="3579" max="3579" width="3" style="1327" customWidth="1"/>
    <col min="3580" max="3580" width="4.33203125" style="1327" customWidth="1"/>
    <col min="3581" max="3581" width="39.44140625" style="1327" customWidth="1"/>
    <col min="3582" max="3582" width="8.88671875" style="1327" customWidth="1"/>
    <col min="3583" max="3583" width="10.44140625" style="1327" customWidth="1"/>
    <col min="3584" max="3584" width="12.33203125" style="1327" customWidth="1"/>
    <col min="3585" max="3585" width="14.88671875" style="1327" customWidth="1"/>
    <col min="3586" max="3586" width="8.88671875" style="1327"/>
    <col min="3587" max="3587" width="14.33203125" style="1327" customWidth="1"/>
    <col min="3588" max="3588" width="8.88671875" style="1327"/>
    <col min="3589" max="3589" width="10.44140625" style="1327" customWidth="1"/>
    <col min="3590" max="3834" width="8.88671875" style="1327"/>
    <col min="3835" max="3835" width="3" style="1327" customWidth="1"/>
    <col min="3836" max="3836" width="4.33203125" style="1327" customWidth="1"/>
    <col min="3837" max="3837" width="39.44140625" style="1327" customWidth="1"/>
    <col min="3838" max="3838" width="8.88671875" style="1327" customWidth="1"/>
    <col min="3839" max="3839" width="10.44140625" style="1327" customWidth="1"/>
    <col min="3840" max="3840" width="12.33203125" style="1327" customWidth="1"/>
    <col min="3841" max="3841" width="14.88671875" style="1327" customWidth="1"/>
    <col min="3842" max="3842" width="8.88671875" style="1327"/>
    <col min="3843" max="3843" width="14.33203125" style="1327" customWidth="1"/>
    <col min="3844" max="3844" width="8.88671875" style="1327"/>
    <col min="3845" max="3845" width="10.44140625" style="1327" customWidth="1"/>
    <col min="3846" max="4090" width="8.88671875" style="1327"/>
    <col min="4091" max="4091" width="3" style="1327" customWidth="1"/>
    <col min="4092" max="4092" width="4.33203125" style="1327" customWidth="1"/>
    <col min="4093" max="4093" width="39.44140625" style="1327" customWidth="1"/>
    <col min="4094" max="4094" width="8.88671875" style="1327" customWidth="1"/>
    <col min="4095" max="4095" width="10.44140625" style="1327" customWidth="1"/>
    <col min="4096" max="4096" width="12.33203125" style="1327" customWidth="1"/>
    <col min="4097" max="4097" width="14.88671875" style="1327" customWidth="1"/>
    <col min="4098" max="4098" width="8.88671875" style="1327"/>
    <col min="4099" max="4099" width="14.33203125" style="1327" customWidth="1"/>
    <col min="4100" max="4100" width="8.88671875" style="1327"/>
    <col min="4101" max="4101" width="10.44140625" style="1327" customWidth="1"/>
    <col min="4102" max="4346" width="8.88671875" style="1327"/>
    <col min="4347" max="4347" width="3" style="1327" customWidth="1"/>
    <col min="4348" max="4348" width="4.33203125" style="1327" customWidth="1"/>
    <col min="4349" max="4349" width="39.44140625" style="1327" customWidth="1"/>
    <col min="4350" max="4350" width="8.88671875" style="1327" customWidth="1"/>
    <col min="4351" max="4351" width="10.44140625" style="1327" customWidth="1"/>
    <col min="4352" max="4352" width="12.33203125" style="1327" customWidth="1"/>
    <col min="4353" max="4353" width="14.88671875" style="1327" customWidth="1"/>
    <col min="4354" max="4354" width="8.88671875" style="1327"/>
    <col min="4355" max="4355" width="14.33203125" style="1327" customWidth="1"/>
    <col min="4356" max="4356" width="8.88671875" style="1327"/>
    <col min="4357" max="4357" width="10.44140625" style="1327" customWidth="1"/>
    <col min="4358" max="4602" width="8.88671875" style="1327"/>
    <col min="4603" max="4603" width="3" style="1327" customWidth="1"/>
    <col min="4604" max="4604" width="4.33203125" style="1327" customWidth="1"/>
    <col min="4605" max="4605" width="39.44140625" style="1327" customWidth="1"/>
    <col min="4606" max="4606" width="8.88671875" style="1327" customWidth="1"/>
    <col min="4607" max="4607" width="10.44140625" style="1327" customWidth="1"/>
    <col min="4608" max="4608" width="12.33203125" style="1327" customWidth="1"/>
    <col min="4609" max="4609" width="14.88671875" style="1327" customWidth="1"/>
    <col min="4610" max="4610" width="8.88671875" style="1327"/>
    <col min="4611" max="4611" width="14.33203125" style="1327" customWidth="1"/>
    <col min="4612" max="4612" width="8.88671875" style="1327"/>
    <col min="4613" max="4613" width="10.44140625" style="1327" customWidth="1"/>
    <col min="4614" max="4858" width="8.88671875" style="1327"/>
    <col min="4859" max="4859" width="3" style="1327" customWidth="1"/>
    <col min="4860" max="4860" width="4.33203125" style="1327" customWidth="1"/>
    <col min="4861" max="4861" width="39.44140625" style="1327" customWidth="1"/>
    <col min="4862" max="4862" width="8.88671875" style="1327" customWidth="1"/>
    <col min="4863" max="4863" width="10.44140625" style="1327" customWidth="1"/>
    <col min="4864" max="4864" width="12.33203125" style="1327" customWidth="1"/>
    <col min="4865" max="4865" width="14.88671875" style="1327" customWidth="1"/>
    <col min="4866" max="4866" width="8.88671875" style="1327"/>
    <col min="4867" max="4867" width="14.33203125" style="1327" customWidth="1"/>
    <col min="4868" max="4868" width="8.88671875" style="1327"/>
    <col min="4869" max="4869" width="10.44140625" style="1327" customWidth="1"/>
    <col min="4870" max="5114" width="8.88671875" style="1327"/>
    <col min="5115" max="5115" width="3" style="1327" customWidth="1"/>
    <col min="5116" max="5116" width="4.33203125" style="1327" customWidth="1"/>
    <col min="5117" max="5117" width="39.44140625" style="1327" customWidth="1"/>
    <col min="5118" max="5118" width="8.88671875" style="1327" customWidth="1"/>
    <col min="5119" max="5119" width="10.44140625" style="1327" customWidth="1"/>
    <col min="5120" max="5120" width="12.33203125" style="1327" customWidth="1"/>
    <col min="5121" max="5121" width="14.88671875" style="1327" customWidth="1"/>
    <col min="5122" max="5122" width="8.88671875" style="1327"/>
    <col min="5123" max="5123" width="14.33203125" style="1327" customWidth="1"/>
    <col min="5124" max="5124" width="8.88671875" style="1327"/>
    <col min="5125" max="5125" width="10.44140625" style="1327" customWidth="1"/>
    <col min="5126" max="5370" width="8.88671875" style="1327"/>
    <col min="5371" max="5371" width="3" style="1327" customWidth="1"/>
    <col min="5372" max="5372" width="4.33203125" style="1327" customWidth="1"/>
    <col min="5373" max="5373" width="39.44140625" style="1327" customWidth="1"/>
    <col min="5374" max="5374" width="8.88671875" style="1327" customWidth="1"/>
    <col min="5375" max="5375" width="10.44140625" style="1327" customWidth="1"/>
    <col min="5376" max="5376" width="12.33203125" style="1327" customWidth="1"/>
    <col min="5377" max="5377" width="14.88671875" style="1327" customWidth="1"/>
    <col min="5378" max="5378" width="8.88671875" style="1327"/>
    <col min="5379" max="5379" width="14.33203125" style="1327" customWidth="1"/>
    <col min="5380" max="5380" width="8.88671875" style="1327"/>
    <col min="5381" max="5381" width="10.44140625" style="1327" customWidth="1"/>
    <col min="5382" max="5626" width="8.88671875" style="1327"/>
    <col min="5627" max="5627" width="3" style="1327" customWidth="1"/>
    <col min="5628" max="5628" width="4.33203125" style="1327" customWidth="1"/>
    <col min="5629" max="5629" width="39.44140625" style="1327" customWidth="1"/>
    <col min="5630" max="5630" width="8.88671875" style="1327" customWidth="1"/>
    <col min="5631" max="5631" width="10.44140625" style="1327" customWidth="1"/>
    <col min="5632" max="5632" width="12.33203125" style="1327" customWidth="1"/>
    <col min="5633" max="5633" width="14.88671875" style="1327" customWidth="1"/>
    <col min="5634" max="5634" width="8.88671875" style="1327"/>
    <col min="5635" max="5635" width="14.33203125" style="1327" customWidth="1"/>
    <col min="5636" max="5636" width="8.88671875" style="1327"/>
    <col min="5637" max="5637" width="10.44140625" style="1327" customWidth="1"/>
    <col min="5638" max="5882" width="8.88671875" style="1327"/>
    <col min="5883" max="5883" width="3" style="1327" customWidth="1"/>
    <col min="5884" max="5884" width="4.33203125" style="1327" customWidth="1"/>
    <col min="5885" max="5885" width="39.44140625" style="1327" customWidth="1"/>
    <col min="5886" max="5886" width="8.88671875" style="1327" customWidth="1"/>
    <col min="5887" max="5887" width="10.44140625" style="1327" customWidth="1"/>
    <col min="5888" max="5888" width="12.33203125" style="1327" customWidth="1"/>
    <col min="5889" max="5889" width="14.88671875" style="1327" customWidth="1"/>
    <col min="5890" max="5890" width="8.88671875" style="1327"/>
    <col min="5891" max="5891" width="14.33203125" style="1327" customWidth="1"/>
    <col min="5892" max="5892" width="8.88671875" style="1327"/>
    <col min="5893" max="5893" width="10.44140625" style="1327" customWidth="1"/>
    <col min="5894" max="6138" width="8.88671875" style="1327"/>
    <col min="6139" max="6139" width="3" style="1327" customWidth="1"/>
    <col min="6140" max="6140" width="4.33203125" style="1327" customWidth="1"/>
    <col min="6141" max="6141" width="39.44140625" style="1327" customWidth="1"/>
    <col min="6142" max="6142" width="8.88671875" style="1327" customWidth="1"/>
    <col min="6143" max="6143" width="10.44140625" style="1327" customWidth="1"/>
    <col min="6144" max="6144" width="12.33203125" style="1327" customWidth="1"/>
    <col min="6145" max="6145" width="14.88671875" style="1327" customWidth="1"/>
    <col min="6146" max="6146" width="8.88671875" style="1327"/>
    <col min="6147" max="6147" width="14.33203125" style="1327" customWidth="1"/>
    <col min="6148" max="6148" width="8.88671875" style="1327"/>
    <col min="6149" max="6149" width="10.44140625" style="1327" customWidth="1"/>
    <col min="6150" max="6394" width="8.88671875" style="1327"/>
    <col min="6395" max="6395" width="3" style="1327" customWidth="1"/>
    <col min="6396" max="6396" width="4.33203125" style="1327" customWidth="1"/>
    <col min="6397" max="6397" width="39.44140625" style="1327" customWidth="1"/>
    <col min="6398" max="6398" width="8.88671875" style="1327" customWidth="1"/>
    <col min="6399" max="6399" width="10.44140625" style="1327" customWidth="1"/>
    <col min="6400" max="6400" width="12.33203125" style="1327" customWidth="1"/>
    <col min="6401" max="6401" width="14.88671875" style="1327" customWidth="1"/>
    <col min="6402" max="6402" width="8.88671875" style="1327"/>
    <col min="6403" max="6403" width="14.33203125" style="1327" customWidth="1"/>
    <col min="6404" max="6404" width="8.88671875" style="1327"/>
    <col min="6405" max="6405" width="10.44140625" style="1327" customWidth="1"/>
    <col min="6406" max="6650" width="8.88671875" style="1327"/>
    <col min="6651" max="6651" width="3" style="1327" customWidth="1"/>
    <col min="6652" max="6652" width="4.33203125" style="1327" customWidth="1"/>
    <col min="6653" max="6653" width="39.44140625" style="1327" customWidth="1"/>
    <col min="6654" max="6654" width="8.88671875" style="1327" customWidth="1"/>
    <col min="6655" max="6655" width="10.44140625" style="1327" customWidth="1"/>
    <col min="6656" max="6656" width="12.33203125" style="1327" customWidth="1"/>
    <col min="6657" max="6657" width="14.88671875" style="1327" customWidth="1"/>
    <col min="6658" max="6658" width="8.88671875" style="1327"/>
    <col min="6659" max="6659" width="14.33203125" style="1327" customWidth="1"/>
    <col min="6660" max="6660" width="8.88671875" style="1327"/>
    <col min="6661" max="6661" width="10.44140625" style="1327" customWidth="1"/>
    <col min="6662" max="6906" width="8.88671875" style="1327"/>
    <col min="6907" max="6907" width="3" style="1327" customWidth="1"/>
    <col min="6908" max="6908" width="4.33203125" style="1327" customWidth="1"/>
    <col min="6909" max="6909" width="39.44140625" style="1327" customWidth="1"/>
    <col min="6910" max="6910" width="8.88671875" style="1327" customWidth="1"/>
    <col min="6911" max="6911" width="10.44140625" style="1327" customWidth="1"/>
    <col min="6912" max="6912" width="12.33203125" style="1327" customWidth="1"/>
    <col min="6913" max="6913" width="14.88671875" style="1327" customWidth="1"/>
    <col min="6914" max="6914" width="8.88671875" style="1327"/>
    <col min="6915" max="6915" width="14.33203125" style="1327" customWidth="1"/>
    <col min="6916" max="6916" width="8.88671875" style="1327"/>
    <col min="6917" max="6917" width="10.44140625" style="1327" customWidth="1"/>
    <col min="6918" max="7162" width="8.88671875" style="1327"/>
    <col min="7163" max="7163" width="3" style="1327" customWidth="1"/>
    <col min="7164" max="7164" width="4.33203125" style="1327" customWidth="1"/>
    <col min="7165" max="7165" width="39.44140625" style="1327" customWidth="1"/>
    <col min="7166" max="7166" width="8.88671875" style="1327" customWidth="1"/>
    <col min="7167" max="7167" width="10.44140625" style="1327" customWidth="1"/>
    <col min="7168" max="7168" width="12.33203125" style="1327" customWidth="1"/>
    <col min="7169" max="7169" width="14.88671875" style="1327" customWidth="1"/>
    <col min="7170" max="7170" width="8.88671875" style="1327"/>
    <col min="7171" max="7171" width="14.33203125" style="1327" customWidth="1"/>
    <col min="7172" max="7172" width="8.88671875" style="1327"/>
    <col min="7173" max="7173" width="10.44140625" style="1327" customWidth="1"/>
    <col min="7174" max="7418" width="8.88671875" style="1327"/>
    <col min="7419" max="7419" width="3" style="1327" customWidth="1"/>
    <col min="7420" max="7420" width="4.33203125" style="1327" customWidth="1"/>
    <col min="7421" max="7421" width="39.44140625" style="1327" customWidth="1"/>
    <col min="7422" max="7422" width="8.88671875" style="1327" customWidth="1"/>
    <col min="7423" max="7423" width="10.44140625" style="1327" customWidth="1"/>
    <col min="7424" max="7424" width="12.33203125" style="1327" customWidth="1"/>
    <col min="7425" max="7425" width="14.88671875" style="1327" customWidth="1"/>
    <col min="7426" max="7426" width="8.88671875" style="1327"/>
    <col min="7427" max="7427" width="14.33203125" style="1327" customWidth="1"/>
    <col min="7428" max="7428" width="8.88671875" style="1327"/>
    <col min="7429" max="7429" width="10.44140625" style="1327" customWidth="1"/>
    <col min="7430" max="7674" width="8.88671875" style="1327"/>
    <col min="7675" max="7675" width="3" style="1327" customWidth="1"/>
    <col min="7676" max="7676" width="4.33203125" style="1327" customWidth="1"/>
    <col min="7677" max="7677" width="39.44140625" style="1327" customWidth="1"/>
    <col min="7678" max="7678" width="8.88671875" style="1327" customWidth="1"/>
    <col min="7679" max="7679" width="10.44140625" style="1327" customWidth="1"/>
    <col min="7680" max="7680" width="12.33203125" style="1327" customWidth="1"/>
    <col min="7681" max="7681" width="14.88671875" style="1327" customWidth="1"/>
    <col min="7682" max="7682" width="8.88671875" style="1327"/>
    <col min="7683" max="7683" width="14.33203125" style="1327" customWidth="1"/>
    <col min="7684" max="7684" width="8.88671875" style="1327"/>
    <col min="7685" max="7685" width="10.44140625" style="1327" customWidth="1"/>
    <col min="7686" max="7930" width="8.88671875" style="1327"/>
    <col min="7931" max="7931" width="3" style="1327" customWidth="1"/>
    <col min="7932" max="7932" width="4.33203125" style="1327" customWidth="1"/>
    <col min="7933" max="7933" width="39.44140625" style="1327" customWidth="1"/>
    <col min="7934" max="7934" width="8.88671875" style="1327" customWidth="1"/>
    <col min="7935" max="7935" width="10.44140625" style="1327" customWidth="1"/>
    <col min="7936" max="7936" width="12.33203125" style="1327" customWidth="1"/>
    <col min="7937" max="7937" width="14.88671875" style="1327" customWidth="1"/>
    <col min="7938" max="7938" width="8.88671875" style="1327"/>
    <col min="7939" max="7939" width="14.33203125" style="1327" customWidth="1"/>
    <col min="7940" max="7940" width="8.88671875" style="1327"/>
    <col min="7941" max="7941" width="10.44140625" style="1327" customWidth="1"/>
    <col min="7942" max="8186" width="8.88671875" style="1327"/>
    <col min="8187" max="8187" width="3" style="1327" customWidth="1"/>
    <col min="8188" max="8188" width="4.33203125" style="1327" customWidth="1"/>
    <col min="8189" max="8189" width="39.44140625" style="1327" customWidth="1"/>
    <col min="8190" max="8190" width="8.88671875" style="1327" customWidth="1"/>
    <col min="8191" max="8191" width="10.44140625" style="1327" customWidth="1"/>
    <col min="8192" max="8192" width="12.33203125" style="1327" customWidth="1"/>
    <col min="8193" max="8193" width="14.88671875" style="1327" customWidth="1"/>
    <col min="8194" max="8194" width="8.88671875" style="1327"/>
    <col min="8195" max="8195" width="14.33203125" style="1327" customWidth="1"/>
    <col min="8196" max="8196" width="8.88671875" style="1327"/>
    <col min="8197" max="8197" width="10.44140625" style="1327" customWidth="1"/>
    <col min="8198" max="8442" width="8.88671875" style="1327"/>
    <col min="8443" max="8443" width="3" style="1327" customWidth="1"/>
    <col min="8444" max="8444" width="4.33203125" style="1327" customWidth="1"/>
    <col min="8445" max="8445" width="39.44140625" style="1327" customWidth="1"/>
    <col min="8446" max="8446" width="8.88671875" style="1327" customWidth="1"/>
    <col min="8447" max="8447" width="10.44140625" style="1327" customWidth="1"/>
    <col min="8448" max="8448" width="12.33203125" style="1327" customWidth="1"/>
    <col min="8449" max="8449" width="14.88671875" style="1327" customWidth="1"/>
    <col min="8450" max="8450" width="8.88671875" style="1327"/>
    <col min="8451" max="8451" width="14.33203125" style="1327" customWidth="1"/>
    <col min="8452" max="8452" width="8.88671875" style="1327"/>
    <col min="8453" max="8453" width="10.44140625" style="1327" customWidth="1"/>
    <col min="8454" max="8698" width="8.88671875" style="1327"/>
    <col min="8699" max="8699" width="3" style="1327" customWidth="1"/>
    <col min="8700" max="8700" width="4.33203125" style="1327" customWidth="1"/>
    <col min="8701" max="8701" width="39.44140625" style="1327" customWidth="1"/>
    <col min="8702" max="8702" width="8.88671875" style="1327" customWidth="1"/>
    <col min="8703" max="8703" width="10.44140625" style="1327" customWidth="1"/>
    <col min="8704" max="8704" width="12.33203125" style="1327" customWidth="1"/>
    <col min="8705" max="8705" width="14.88671875" style="1327" customWidth="1"/>
    <col min="8706" max="8706" width="8.88671875" style="1327"/>
    <col min="8707" max="8707" width="14.33203125" style="1327" customWidth="1"/>
    <col min="8708" max="8708" width="8.88671875" style="1327"/>
    <col min="8709" max="8709" width="10.44140625" style="1327" customWidth="1"/>
    <col min="8710" max="8954" width="8.88671875" style="1327"/>
    <col min="8955" max="8955" width="3" style="1327" customWidth="1"/>
    <col min="8956" max="8956" width="4.33203125" style="1327" customWidth="1"/>
    <col min="8957" max="8957" width="39.44140625" style="1327" customWidth="1"/>
    <col min="8958" max="8958" width="8.88671875" style="1327" customWidth="1"/>
    <col min="8959" max="8959" width="10.44140625" style="1327" customWidth="1"/>
    <col min="8960" max="8960" width="12.33203125" style="1327" customWidth="1"/>
    <col min="8961" max="8961" width="14.88671875" style="1327" customWidth="1"/>
    <col min="8962" max="8962" width="8.88671875" style="1327"/>
    <col min="8963" max="8963" width="14.33203125" style="1327" customWidth="1"/>
    <col min="8964" max="8964" width="8.88671875" style="1327"/>
    <col min="8965" max="8965" width="10.44140625" style="1327" customWidth="1"/>
    <col min="8966" max="9210" width="8.88671875" style="1327"/>
    <col min="9211" max="9211" width="3" style="1327" customWidth="1"/>
    <col min="9212" max="9212" width="4.33203125" style="1327" customWidth="1"/>
    <col min="9213" max="9213" width="39.44140625" style="1327" customWidth="1"/>
    <col min="9214" max="9214" width="8.88671875" style="1327" customWidth="1"/>
    <col min="9215" max="9215" width="10.44140625" style="1327" customWidth="1"/>
    <col min="9216" max="9216" width="12.33203125" style="1327" customWidth="1"/>
    <col min="9217" max="9217" width="14.88671875" style="1327" customWidth="1"/>
    <col min="9218" max="9218" width="8.88671875" style="1327"/>
    <col min="9219" max="9219" width="14.33203125" style="1327" customWidth="1"/>
    <col min="9220" max="9220" width="8.88671875" style="1327"/>
    <col min="9221" max="9221" width="10.44140625" style="1327" customWidth="1"/>
    <col min="9222" max="9466" width="8.88671875" style="1327"/>
    <col min="9467" max="9467" width="3" style="1327" customWidth="1"/>
    <col min="9468" max="9468" width="4.33203125" style="1327" customWidth="1"/>
    <col min="9469" max="9469" width="39.44140625" style="1327" customWidth="1"/>
    <col min="9470" max="9470" width="8.88671875" style="1327" customWidth="1"/>
    <col min="9471" max="9471" width="10.44140625" style="1327" customWidth="1"/>
    <col min="9472" max="9472" width="12.33203125" style="1327" customWidth="1"/>
    <col min="9473" max="9473" width="14.88671875" style="1327" customWidth="1"/>
    <col min="9474" max="9474" width="8.88671875" style="1327"/>
    <col min="9475" max="9475" width="14.33203125" style="1327" customWidth="1"/>
    <col min="9476" max="9476" width="8.88671875" style="1327"/>
    <col min="9477" max="9477" width="10.44140625" style="1327" customWidth="1"/>
    <col min="9478" max="9722" width="8.88671875" style="1327"/>
    <col min="9723" max="9723" width="3" style="1327" customWidth="1"/>
    <col min="9724" max="9724" width="4.33203125" style="1327" customWidth="1"/>
    <col min="9725" max="9725" width="39.44140625" style="1327" customWidth="1"/>
    <col min="9726" max="9726" width="8.88671875" style="1327" customWidth="1"/>
    <col min="9727" max="9727" width="10.44140625" style="1327" customWidth="1"/>
    <col min="9728" max="9728" width="12.33203125" style="1327" customWidth="1"/>
    <col min="9729" max="9729" width="14.88671875" style="1327" customWidth="1"/>
    <col min="9730" max="9730" width="8.88671875" style="1327"/>
    <col min="9731" max="9731" width="14.33203125" style="1327" customWidth="1"/>
    <col min="9732" max="9732" width="8.88671875" style="1327"/>
    <col min="9733" max="9733" width="10.44140625" style="1327" customWidth="1"/>
    <col min="9734" max="9978" width="8.88671875" style="1327"/>
    <col min="9979" max="9979" width="3" style="1327" customWidth="1"/>
    <col min="9980" max="9980" width="4.33203125" style="1327" customWidth="1"/>
    <col min="9981" max="9981" width="39.44140625" style="1327" customWidth="1"/>
    <col min="9982" max="9982" width="8.88671875" style="1327" customWidth="1"/>
    <col min="9983" max="9983" width="10.44140625" style="1327" customWidth="1"/>
    <col min="9984" max="9984" width="12.33203125" style="1327" customWidth="1"/>
    <col min="9985" max="9985" width="14.88671875" style="1327" customWidth="1"/>
    <col min="9986" max="9986" width="8.88671875" style="1327"/>
    <col min="9987" max="9987" width="14.33203125" style="1327" customWidth="1"/>
    <col min="9988" max="9988" width="8.88671875" style="1327"/>
    <col min="9989" max="9989" width="10.44140625" style="1327" customWidth="1"/>
    <col min="9990" max="10234" width="8.88671875" style="1327"/>
    <col min="10235" max="10235" width="3" style="1327" customWidth="1"/>
    <col min="10236" max="10236" width="4.33203125" style="1327" customWidth="1"/>
    <col min="10237" max="10237" width="39.44140625" style="1327" customWidth="1"/>
    <col min="10238" max="10238" width="8.88671875" style="1327" customWidth="1"/>
    <col min="10239" max="10239" width="10.44140625" style="1327" customWidth="1"/>
    <col min="10240" max="10240" width="12.33203125" style="1327" customWidth="1"/>
    <col min="10241" max="10241" width="14.88671875" style="1327" customWidth="1"/>
    <col min="10242" max="10242" width="8.88671875" style="1327"/>
    <col min="10243" max="10243" width="14.33203125" style="1327" customWidth="1"/>
    <col min="10244" max="10244" width="8.88671875" style="1327"/>
    <col min="10245" max="10245" width="10.44140625" style="1327" customWidth="1"/>
    <col min="10246" max="10490" width="8.88671875" style="1327"/>
    <col min="10491" max="10491" width="3" style="1327" customWidth="1"/>
    <col min="10492" max="10492" width="4.33203125" style="1327" customWidth="1"/>
    <col min="10493" max="10493" width="39.44140625" style="1327" customWidth="1"/>
    <col min="10494" max="10494" width="8.88671875" style="1327" customWidth="1"/>
    <col min="10495" max="10495" width="10.44140625" style="1327" customWidth="1"/>
    <col min="10496" max="10496" width="12.33203125" style="1327" customWidth="1"/>
    <col min="10497" max="10497" width="14.88671875" style="1327" customWidth="1"/>
    <col min="10498" max="10498" width="8.88671875" style="1327"/>
    <col min="10499" max="10499" width="14.33203125" style="1327" customWidth="1"/>
    <col min="10500" max="10500" width="8.88671875" style="1327"/>
    <col min="10501" max="10501" width="10.44140625" style="1327" customWidth="1"/>
    <col min="10502" max="10746" width="8.88671875" style="1327"/>
    <col min="10747" max="10747" width="3" style="1327" customWidth="1"/>
    <col min="10748" max="10748" width="4.33203125" style="1327" customWidth="1"/>
    <col min="10749" max="10749" width="39.44140625" style="1327" customWidth="1"/>
    <col min="10750" max="10750" width="8.88671875" style="1327" customWidth="1"/>
    <col min="10751" max="10751" width="10.44140625" style="1327" customWidth="1"/>
    <col min="10752" max="10752" width="12.33203125" style="1327" customWidth="1"/>
    <col min="10753" max="10753" width="14.88671875" style="1327" customWidth="1"/>
    <col min="10754" max="10754" width="8.88671875" style="1327"/>
    <col min="10755" max="10755" width="14.33203125" style="1327" customWidth="1"/>
    <col min="10756" max="10756" width="8.88671875" style="1327"/>
    <col min="10757" max="10757" width="10.44140625" style="1327" customWidth="1"/>
    <col min="10758" max="11002" width="8.88671875" style="1327"/>
    <col min="11003" max="11003" width="3" style="1327" customWidth="1"/>
    <col min="11004" max="11004" width="4.33203125" style="1327" customWidth="1"/>
    <col min="11005" max="11005" width="39.44140625" style="1327" customWidth="1"/>
    <col min="11006" max="11006" width="8.88671875" style="1327" customWidth="1"/>
    <col min="11007" max="11007" width="10.44140625" style="1327" customWidth="1"/>
    <col min="11008" max="11008" width="12.33203125" style="1327" customWidth="1"/>
    <col min="11009" max="11009" width="14.88671875" style="1327" customWidth="1"/>
    <col min="11010" max="11010" width="8.88671875" style="1327"/>
    <col min="11011" max="11011" width="14.33203125" style="1327" customWidth="1"/>
    <col min="11012" max="11012" width="8.88671875" style="1327"/>
    <col min="11013" max="11013" width="10.44140625" style="1327" customWidth="1"/>
    <col min="11014" max="11258" width="8.88671875" style="1327"/>
    <col min="11259" max="11259" width="3" style="1327" customWidth="1"/>
    <col min="11260" max="11260" width="4.33203125" style="1327" customWidth="1"/>
    <col min="11261" max="11261" width="39.44140625" style="1327" customWidth="1"/>
    <col min="11262" max="11262" width="8.88671875" style="1327" customWidth="1"/>
    <col min="11263" max="11263" width="10.44140625" style="1327" customWidth="1"/>
    <col min="11264" max="11264" width="12.33203125" style="1327" customWidth="1"/>
    <col min="11265" max="11265" width="14.88671875" style="1327" customWidth="1"/>
    <col min="11266" max="11266" width="8.88671875" style="1327"/>
    <col min="11267" max="11267" width="14.33203125" style="1327" customWidth="1"/>
    <col min="11268" max="11268" width="8.88671875" style="1327"/>
    <col min="11269" max="11269" width="10.44140625" style="1327" customWidth="1"/>
    <col min="11270" max="11514" width="8.88671875" style="1327"/>
    <col min="11515" max="11515" width="3" style="1327" customWidth="1"/>
    <col min="11516" max="11516" width="4.33203125" style="1327" customWidth="1"/>
    <col min="11517" max="11517" width="39.44140625" style="1327" customWidth="1"/>
    <col min="11518" max="11518" width="8.88671875" style="1327" customWidth="1"/>
    <col min="11519" max="11519" width="10.44140625" style="1327" customWidth="1"/>
    <col min="11520" max="11520" width="12.33203125" style="1327" customWidth="1"/>
    <col min="11521" max="11521" width="14.88671875" style="1327" customWidth="1"/>
    <col min="11522" max="11522" width="8.88671875" style="1327"/>
    <col min="11523" max="11523" width="14.33203125" style="1327" customWidth="1"/>
    <col min="11524" max="11524" width="8.88671875" style="1327"/>
    <col min="11525" max="11525" width="10.44140625" style="1327" customWidth="1"/>
    <col min="11526" max="11770" width="8.88671875" style="1327"/>
    <col min="11771" max="11771" width="3" style="1327" customWidth="1"/>
    <col min="11772" max="11772" width="4.33203125" style="1327" customWidth="1"/>
    <col min="11773" max="11773" width="39.44140625" style="1327" customWidth="1"/>
    <col min="11774" max="11774" width="8.88671875" style="1327" customWidth="1"/>
    <col min="11775" max="11775" width="10.44140625" style="1327" customWidth="1"/>
    <col min="11776" max="11776" width="12.33203125" style="1327" customWidth="1"/>
    <col min="11777" max="11777" width="14.88671875" style="1327" customWidth="1"/>
    <col min="11778" max="11778" width="8.88671875" style="1327"/>
    <col min="11779" max="11779" width="14.33203125" style="1327" customWidth="1"/>
    <col min="11780" max="11780" width="8.88671875" style="1327"/>
    <col min="11781" max="11781" width="10.44140625" style="1327" customWidth="1"/>
    <col min="11782" max="12026" width="8.88671875" style="1327"/>
    <col min="12027" max="12027" width="3" style="1327" customWidth="1"/>
    <col min="12028" max="12028" width="4.33203125" style="1327" customWidth="1"/>
    <col min="12029" max="12029" width="39.44140625" style="1327" customWidth="1"/>
    <col min="12030" max="12030" width="8.88671875" style="1327" customWidth="1"/>
    <col min="12031" max="12031" width="10.44140625" style="1327" customWidth="1"/>
    <col min="12032" max="12032" width="12.33203125" style="1327" customWidth="1"/>
    <col min="12033" max="12033" width="14.88671875" style="1327" customWidth="1"/>
    <col min="12034" max="12034" width="8.88671875" style="1327"/>
    <col min="12035" max="12035" width="14.33203125" style="1327" customWidth="1"/>
    <col min="12036" max="12036" width="8.88671875" style="1327"/>
    <col min="12037" max="12037" width="10.44140625" style="1327" customWidth="1"/>
    <col min="12038" max="12282" width="8.88671875" style="1327"/>
    <col min="12283" max="12283" width="3" style="1327" customWidth="1"/>
    <col min="12284" max="12284" width="4.33203125" style="1327" customWidth="1"/>
    <col min="12285" max="12285" width="39.44140625" style="1327" customWidth="1"/>
    <col min="12286" max="12286" width="8.88671875" style="1327" customWidth="1"/>
    <col min="12287" max="12287" width="10.44140625" style="1327" customWidth="1"/>
    <col min="12288" max="12288" width="12.33203125" style="1327" customWidth="1"/>
    <col min="12289" max="12289" width="14.88671875" style="1327" customWidth="1"/>
    <col min="12290" max="12290" width="8.88671875" style="1327"/>
    <col min="12291" max="12291" width="14.33203125" style="1327" customWidth="1"/>
    <col min="12292" max="12292" width="8.88671875" style="1327"/>
    <col min="12293" max="12293" width="10.44140625" style="1327" customWidth="1"/>
    <col min="12294" max="12538" width="8.88671875" style="1327"/>
    <col min="12539" max="12539" width="3" style="1327" customWidth="1"/>
    <col min="12540" max="12540" width="4.33203125" style="1327" customWidth="1"/>
    <col min="12541" max="12541" width="39.44140625" style="1327" customWidth="1"/>
    <col min="12542" max="12542" width="8.88671875" style="1327" customWidth="1"/>
    <col min="12543" max="12543" width="10.44140625" style="1327" customWidth="1"/>
    <col min="12544" max="12544" width="12.33203125" style="1327" customWidth="1"/>
    <col min="12545" max="12545" width="14.88671875" style="1327" customWidth="1"/>
    <col min="12546" max="12546" width="8.88671875" style="1327"/>
    <col min="12547" max="12547" width="14.33203125" style="1327" customWidth="1"/>
    <col min="12548" max="12548" width="8.88671875" style="1327"/>
    <col min="12549" max="12549" width="10.44140625" style="1327" customWidth="1"/>
    <col min="12550" max="12794" width="8.88671875" style="1327"/>
    <col min="12795" max="12795" width="3" style="1327" customWidth="1"/>
    <col min="12796" max="12796" width="4.33203125" style="1327" customWidth="1"/>
    <col min="12797" max="12797" width="39.44140625" style="1327" customWidth="1"/>
    <col min="12798" max="12798" width="8.88671875" style="1327" customWidth="1"/>
    <col min="12799" max="12799" width="10.44140625" style="1327" customWidth="1"/>
    <col min="12800" max="12800" width="12.33203125" style="1327" customWidth="1"/>
    <col min="12801" max="12801" width="14.88671875" style="1327" customWidth="1"/>
    <col min="12802" max="12802" width="8.88671875" style="1327"/>
    <col min="12803" max="12803" width="14.33203125" style="1327" customWidth="1"/>
    <col min="12804" max="12804" width="8.88671875" style="1327"/>
    <col min="12805" max="12805" width="10.44140625" style="1327" customWidth="1"/>
    <col min="12806" max="13050" width="8.88671875" style="1327"/>
    <col min="13051" max="13051" width="3" style="1327" customWidth="1"/>
    <col min="13052" max="13052" width="4.33203125" style="1327" customWidth="1"/>
    <col min="13053" max="13053" width="39.44140625" style="1327" customWidth="1"/>
    <col min="13054" max="13054" width="8.88671875" style="1327" customWidth="1"/>
    <col min="13055" max="13055" width="10.44140625" style="1327" customWidth="1"/>
    <col min="13056" max="13056" width="12.33203125" style="1327" customWidth="1"/>
    <col min="13057" max="13057" width="14.88671875" style="1327" customWidth="1"/>
    <col min="13058" max="13058" width="8.88671875" style="1327"/>
    <col min="13059" max="13059" width="14.33203125" style="1327" customWidth="1"/>
    <col min="13060" max="13060" width="8.88671875" style="1327"/>
    <col min="13061" max="13061" width="10.44140625" style="1327" customWidth="1"/>
    <col min="13062" max="13306" width="8.88671875" style="1327"/>
    <col min="13307" max="13307" width="3" style="1327" customWidth="1"/>
    <col min="13308" max="13308" width="4.33203125" style="1327" customWidth="1"/>
    <col min="13309" max="13309" width="39.44140625" style="1327" customWidth="1"/>
    <col min="13310" max="13310" width="8.88671875" style="1327" customWidth="1"/>
    <col min="13311" max="13311" width="10.44140625" style="1327" customWidth="1"/>
    <col min="13312" max="13312" width="12.33203125" style="1327" customWidth="1"/>
    <col min="13313" max="13313" width="14.88671875" style="1327" customWidth="1"/>
    <col min="13314" max="13314" width="8.88671875" style="1327"/>
    <col min="13315" max="13315" width="14.33203125" style="1327" customWidth="1"/>
    <col min="13316" max="13316" width="8.88671875" style="1327"/>
    <col min="13317" max="13317" width="10.44140625" style="1327" customWidth="1"/>
    <col min="13318" max="13562" width="8.88671875" style="1327"/>
    <col min="13563" max="13563" width="3" style="1327" customWidth="1"/>
    <col min="13564" max="13564" width="4.33203125" style="1327" customWidth="1"/>
    <col min="13565" max="13565" width="39.44140625" style="1327" customWidth="1"/>
    <col min="13566" max="13566" width="8.88671875" style="1327" customWidth="1"/>
    <col min="13567" max="13567" width="10.44140625" style="1327" customWidth="1"/>
    <col min="13568" max="13568" width="12.33203125" style="1327" customWidth="1"/>
    <col min="13569" max="13569" width="14.88671875" style="1327" customWidth="1"/>
    <col min="13570" max="13570" width="8.88671875" style="1327"/>
    <col min="13571" max="13571" width="14.33203125" style="1327" customWidth="1"/>
    <col min="13572" max="13572" width="8.88671875" style="1327"/>
    <col min="13573" max="13573" width="10.44140625" style="1327" customWidth="1"/>
    <col min="13574" max="13818" width="8.88671875" style="1327"/>
    <col min="13819" max="13819" width="3" style="1327" customWidth="1"/>
    <col min="13820" max="13820" width="4.33203125" style="1327" customWidth="1"/>
    <col min="13821" max="13821" width="39.44140625" style="1327" customWidth="1"/>
    <col min="13822" max="13822" width="8.88671875" style="1327" customWidth="1"/>
    <col min="13823" max="13823" width="10.44140625" style="1327" customWidth="1"/>
    <col min="13824" max="13824" width="12.33203125" style="1327" customWidth="1"/>
    <col min="13825" max="13825" width="14.88671875" style="1327" customWidth="1"/>
    <col min="13826" max="13826" width="8.88671875" style="1327"/>
    <col min="13827" max="13827" width="14.33203125" style="1327" customWidth="1"/>
    <col min="13828" max="13828" width="8.88671875" style="1327"/>
    <col min="13829" max="13829" width="10.44140625" style="1327" customWidth="1"/>
    <col min="13830" max="14074" width="8.88671875" style="1327"/>
    <col min="14075" max="14075" width="3" style="1327" customWidth="1"/>
    <col min="14076" max="14076" width="4.33203125" style="1327" customWidth="1"/>
    <col min="14077" max="14077" width="39.44140625" style="1327" customWidth="1"/>
    <col min="14078" max="14078" width="8.88671875" style="1327" customWidth="1"/>
    <col min="14079" max="14079" width="10.44140625" style="1327" customWidth="1"/>
    <col min="14080" max="14080" width="12.33203125" style="1327" customWidth="1"/>
    <col min="14081" max="14081" width="14.88671875" style="1327" customWidth="1"/>
    <col min="14082" max="14082" width="8.88671875" style="1327"/>
    <col min="14083" max="14083" width="14.33203125" style="1327" customWidth="1"/>
    <col min="14084" max="14084" width="8.88671875" style="1327"/>
    <col min="14085" max="14085" width="10.44140625" style="1327" customWidth="1"/>
    <col min="14086" max="14330" width="8.88671875" style="1327"/>
    <col min="14331" max="14331" width="3" style="1327" customWidth="1"/>
    <col min="14332" max="14332" width="4.33203125" style="1327" customWidth="1"/>
    <col min="14333" max="14333" width="39.44140625" style="1327" customWidth="1"/>
    <col min="14334" max="14334" width="8.88671875" style="1327" customWidth="1"/>
    <col min="14335" max="14335" width="10.44140625" style="1327" customWidth="1"/>
    <col min="14336" max="14336" width="12.33203125" style="1327" customWidth="1"/>
    <col min="14337" max="14337" width="14.88671875" style="1327" customWidth="1"/>
    <col min="14338" max="14338" width="8.88671875" style="1327"/>
    <col min="14339" max="14339" width="14.33203125" style="1327" customWidth="1"/>
    <col min="14340" max="14340" width="8.88671875" style="1327"/>
    <col min="14341" max="14341" width="10.44140625" style="1327" customWidth="1"/>
    <col min="14342" max="14586" width="8.88671875" style="1327"/>
    <col min="14587" max="14587" width="3" style="1327" customWidth="1"/>
    <col min="14588" max="14588" width="4.33203125" style="1327" customWidth="1"/>
    <col min="14589" max="14589" width="39.44140625" style="1327" customWidth="1"/>
    <col min="14590" max="14590" width="8.88671875" style="1327" customWidth="1"/>
    <col min="14591" max="14591" width="10.44140625" style="1327" customWidth="1"/>
    <col min="14592" max="14592" width="12.33203125" style="1327" customWidth="1"/>
    <col min="14593" max="14593" width="14.88671875" style="1327" customWidth="1"/>
    <col min="14594" max="14594" width="8.88671875" style="1327"/>
    <col min="14595" max="14595" width="14.33203125" style="1327" customWidth="1"/>
    <col min="14596" max="14596" width="8.88671875" style="1327"/>
    <col min="14597" max="14597" width="10.44140625" style="1327" customWidth="1"/>
    <col min="14598" max="14842" width="8.88671875" style="1327"/>
    <col min="14843" max="14843" width="3" style="1327" customWidth="1"/>
    <col min="14844" max="14844" width="4.33203125" style="1327" customWidth="1"/>
    <col min="14845" max="14845" width="39.44140625" style="1327" customWidth="1"/>
    <col min="14846" max="14846" width="8.88671875" style="1327" customWidth="1"/>
    <col min="14847" max="14847" width="10.44140625" style="1327" customWidth="1"/>
    <col min="14848" max="14848" width="12.33203125" style="1327" customWidth="1"/>
    <col min="14849" max="14849" width="14.88671875" style="1327" customWidth="1"/>
    <col min="14850" max="14850" width="8.88671875" style="1327"/>
    <col min="14851" max="14851" width="14.33203125" style="1327" customWidth="1"/>
    <col min="14852" max="14852" width="8.88671875" style="1327"/>
    <col min="14853" max="14853" width="10.44140625" style="1327" customWidth="1"/>
    <col min="14854" max="15098" width="8.88671875" style="1327"/>
    <col min="15099" max="15099" width="3" style="1327" customWidth="1"/>
    <col min="15100" max="15100" width="4.33203125" style="1327" customWidth="1"/>
    <col min="15101" max="15101" width="39.44140625" style="1327" customWidth="1"/>
    <col min="15102" max="15102" width="8.88671875" style="1327" customWidth="1"/>
    <col min="15103" max="15103" width="10.44140625" style="1327" customWidth="1"/>
    <col min="15104" max="15104" width="12.33203125" style="1327" customWidth="1"/>
    <col min="15105" max="15105" width="14.88671875" style="1327" customWidth="1"/>
    <col min="15106" max="15106" width="8.88671875" style="1327"/>
    <col min="15107" max="15107" width="14.33203125" style="1327" customWidth="1"/>
    <col min="15108" max="15108" width="8.88671875" style="1327"/>
    <col min="15109" max="15109" width="10.44140625" style="1327" customWidth="1"/>
    <col min="15110" max="15354" width="8.88671875" style="1327"/>
    <col min="15355" max="15355" width="3" style="1327" customWidth="1"/>
    <col min="15356" max="15356" width="4.33203125" style="1327" customWidth="1"/>
    <col min="15357" max="15357" width="39.44140625" style="1327" customWidth="1"/>
    <col min="15358" max="15358" width="8.88671875" style="1327" customWidth="1"/>
    <col min="15359" max="15359" width="10.44140625" style="1327" customWidth="1"/>
    <col min="15360" max="15360" width="12.33203125" style="1327" customWidth="1"/>
    <col min="15361" max="15361" width="14.88671875" style="1327" customWidth="1"/>
    <col min="15362" max="15362" width="8.88671875" style="1327"/>
    <col min="15363" max="15363" width="14.33203125" style="1327" customWidth="1"/>
    <col min="15364" max="15364" width="8.88671875" style="1327"/>
    <col min="15365" max="15365" width="10.44140625" style="1327" customWidth="1"/>
    <col min="15366" max="15610" width="8.88671875" style="1327"/>
    <col min="15611" max="15611" width="3" style="1327" customWidth="1"/>
    <col min="15612" max="15612" width="4.33203125" style="1327" customWidth="1"/>
    <col min="15613" max="15613" width="39.44140625" style="1327" customWidth="1"/>
    <col min="15614" max="15614" width="8.88671875" style="1327" customWidth="1"/>
    <col min="15615" max="15615" width="10.44140625" style="1327" customWidth="1"/>
    <col min="15616" max="15616" width="12.33203125" style="1327" customWidth="1"/>
    <col min="15617" max="15617" width="14.88671875" style="1327" customWidth="1"/>
    <col min="15618" max="15618" width="8.88671875" style="1327"/>
    <col min="15619" max="15619" width="14.33203125" style="1327" customWidth="1"/>
    <col min="15620" max="15620" width="8.88671875" style="1327"/>
    <col min="15621" max="15621" width="10.44140625" style="1327" customWidth="1"/>
    <col min="15622" max="15866" width="8.88671875" style="1327"/>
    <col min="15867" max="15867" width="3" style="1327" customWidth="1"/>
    <col min="15868" max="15868" width="4.33203125" style="1327" customWidth="1"/>
    <col min="15869" max="15869" width="39.44140625" style="1327" customWidth="1"/>
    <col min="15870" max="15870" width="8.88671875" style="1327" customWidth="1"/>
    <col min="15871" max="15871" width="10.44140625" style="1327" customWidth="1"/>
    <col min="15872" max="15872" width="12.33203125" style="1327" customWidth="1"/>
    <col min="15873" max="15873" width="14.88671875" style="1327" customWidth="1"/>
    <col min="15874" max="15874" width="8.88671875" style="1327"/>
    <col min="15875" max="15875" width="14.33203125" style="1327" customWidth="1"/>
    <col min="15876" max="15876" width="8.88671875" style="1327"/>
    <col min="15877" max="15877" width="10.44140625" style="1327" customWidth="1"/>
    <col min="15878" max="16122" width="8.88671875" style="1327"/>
    <col min="16123" max="16123" width="3" style="1327" customWidth="1"/>
    <col min="16124" max="16124" width="4.33203125" style="1327" customWidth="1"/>
    <col min="16125" max="16125" width="39.44140625" style="1327" customWidth="1"/>
    <col min="16126" max="16126" width="8.88671875" style="1327" customWidth="1"/>
    <col min="16127" max="16127" width="10.44140625" style="1327" customWidth="1"/>
    <col min="16128" max="16128" width="12.33203125" style="1327" customWidth="1"/>
    <col min="16129" max="16129" width="14.88671875" style="1327" customWidth="1"/>
    <col min="16130" max="16130" width="8.88671875" style="1327"/>
    <col min="16131" max="16131" width="14.33203125" style="1327" customWidth="1"/>
    <col min="16132" max="16132" width="8.88671875" style="1327"/>
    <col min="16133" max="16133" width="10.44140625" style="1327" customWidth="1"/>
    <col min="16134" max="16383" width="8.88671875" style="1327"/>
    <col min="16384" max="16384" width="9.109375" style="1327" customWidth="1"/>
  </cols>
  <sheetData>
    <row r="1" spans="1:8" s="1473" customFormat="1" ht="15.6" x14ac:dyDescent="0.25">
      <c r="A1" s="2982" t="s">
        <v>3021</v>
      </c>
      <c r="B1" s="2983"/>
      <c r="C1" s="1787"/>
      <c r="D1" s="1788"/>
      <c r="E1" s="1789"/>
      <c r="F1" s="1790"/>
    </row>
    <row r="2" spans="1:8" s="1473" customFormat="1" ht="15.6" x14ac:dyDescent="0.25">
      <c r="A2" s="1791" t="s">
        <v>2971</v>
      </c>
      <c r="B2" s="1725"/>
      <c r="C2" s="1792"/>
      <c r="D2" s="1793"/>
      <c r="E2" s="1794"/>
      <c r="F2" s="1378"/>
    </row>
    <row r="3" spans="1:8" s="1473" customFormat="1" ht="15.6" x14ac:dyDescent="0.25">
      <c r="A3" s="2980" t="s">
        <v>3022</v>
      </c>
      <c r="B3" s="2981"/>
      <c r="C3" s="1792"/>
      <c r="D3" s="1793"/>
      <c r="E3" s="1794"/>
      <c r="F3" s="1378"/>
    </row>
    <row r="4" spans="1:8" s="1474" customFormat="1" ht="15.6" x14ac:dyDescent="0.3">
      <c r="A4" s="1795"/>
      <c r="B4" s="1240"/>
      <c r="C4" s="1796"/>
      <c r="D4" s="1797"/>
      <c r="E4" s="1798"/>
      <c r="F4" s="1799"/>
    </row>
    <row r="5" spans="1:8" s="1248" customFormat="1" x14ac:dyDescent="0.25">
      <c r="A5" s="1244" t="s">
        <v>683</v>
      </c>
      <c r="B5" s="1242" t="s">
        <v>684</v>
      </c>
      <c r="C5" s="1243" t="s">
        <v>689</v>
      </c>
      <c r="D5" s="1244" t="s">
        <v>691</v>
      </c>
      <c r="E5" s="1475" t="s">
        <v>3068</v>
      </c>
      <c r="F5" s="1246" t="s">
        <v>3069</v>
      </c>
    </row>
    <row r="6" spans="1:8" s="1248" customFormat="1" x14ac:dyDescent="0.25">
      <c r="A6" s="1252"/>
      <c r="B6" s="1476"/>
      <c r="C6" s="1251"/>
      <c r="D6" s="1252"/>
      <c r="E6" s="1258"/>
      <c r="F6" s="1254"/>
    </row>
    <row r="7" spans="1:8" s="1248" customFormat="1" x14ac:dyDescent="0.25">
      <c r="A7" s="1252"/>
      <c r="B7" s="1567" t="s">
        <v>3070</v>
      </c>
      <c r="C7" s="1251"/>
      <c r="D7" s="1252"/>
      <c r="E7" s="1258"/>
      <c r="F7" s="1254"/>
    </row>
    <row r="8" spans="1:8" s="1248" customFormat="1" x14ac:dyDescent="0.25">
      <c r="A8" s="1252"/>
      <c r="B8" s="1476"/>
      <c r="C8" s="1251"/>
      <c r="D8" s="1252"/>
      <c r="E8" s="1258"/>
      <c r="F8" s="1254"/>
    </row>
    <row r="9" spans="1:8" s="1484" customFormat="1" ht="47.4" customHeight="1" x14ac:dyDescent="0.25">
      <c r="A9" s="1477"/>
      <c r="B9" s="1478" t="s">
        <v>3023</v>
      </c>
      <c r="C9" s="1479"/>
      <c r="D9" s="1480"/>
      <c r="E9" s="1481"/>
      <c r="F9" s="1290"/>
      <c r="G9" s="1482"/>
      <c r="H9" s="1483"/>
    </row>
    <row r="10" spans="1:8" x14ac:dyDescent="0.25">
      <c r="A10" s="1485"/>
      <c r="B10" s="1486"/>
      <c r="D10" s="1279"/>
      <c r="F10" s="1290"/>
      <c r="G10" s="1247"/>
      <c r="H10" s="1260"/>
    </row>
    <row r="11" spans="1:8" ht="27.6" x14ac:dyDescent="0.25">
      <c r="A11" s="1289"/>
      <c r="B11" s="1406" t="s">
        <v>3024</v>
      </c>
      <c r="D11" s="1229" t="s">
        <v>2538</v>
      </c>
      <c r="F11" s="1290"/>
      <c r="G11" s="1247"/>
      <c r="H11" s="1260"/>
    </row>
    <row r="12" spans="1:8" x14ac:dyDescent="0.25">
      <c r="A12" s="1289"/>
      <c r="B12" s="1406"/>
      <c r="D12" s="1282"/>
      <c r="F12" s="1290"/>
      <c r="G12" s="1247"/>
      <c r="H12" s="1260"/>
    </row>
    <row r="13" spans="1:8" ht="27.6" x14ac:dyDescent="0.25">
      <c r="A13" s="1289"/>
      <c r="B13" s="1406" t="s">
        <v>2756</v>
      </c>
      <c r="C13" s="1359"/>
      <c r="D13" s="1228" t="s">
        <v>2538</v>
      </c>
      <c r="F13" s="1290"/>
      <c r="G13" s="1247"/>
      <c r="H13" s="1260"/>
    </row>
    <row r="14" spans="1:8" x14ac:dyDescent="0.25">
      <c r="A14" s="1289"/>
      <c r="B14" s="1406"/>
      <c r="C14" s="1359"/>
      <c r="D14" s="1228"/>
      <c r="F14" s="1290"/>
      <c r="G14" s="1247"/>
      <c r="H14" s="1260"/>
    </row>
    <row r="15" spans="1:8" ht="27.6" x14ac:dyDescent="0.25">
      <c r="A15" s="1289"/>
      <c r="B15" s="1406" t="s">
        <v>3025</v>
      </c>
      <c r="C15" s="1359"/>
      <c r="D15" s="1228" t="s">
        <v>2538</v>
      </c>
      <c r="F15" s="1290"/>
      <c r="G15" s="1247"/>
      <c r="H15" s="1260"/>
    </row>
    <row r="16" spans="1:8" x14ac:dyDescent="0.25">
      <c r="A16" s="1289"/>
      <c r="B16" s="1406"/>
      <c r="C16" s="1359"/>
      <c r="D16" s="1228"/>
      <c r="F16" s="1290"/>
      <c r="G16" s="1247"/>
      <c r="H16" s="1260"/>
    </row>
    <row r="17" spans="1:8" ht="55.2" x14ac:dyDescent="0.25">
      <c r="A17" s="1289"/>
      <c r="B17" s="1406" t="s">
        <v>2712</v>
      </c>
      <c r="C17" s="1359"/>
      <c r="D17" s="1228" t="s">
        <v>2538</v>
      </c>
      <c r="F17" s="1290"/>
      <c r="G17" s="1247"/>
      <c r="H17" s="1260"/>
    </row>
    <row r="18" spans="1:8" x14ac:dyDescent="0.25">
      <c r="A18" s="1289"/>
      <c r="B18" s="1406"/>
      <c r="C18" s="1359"/>
      <c r="D18" s="1228"/>
      <c r="F18" s="1290"/>
      <c r="G18" s="1247"/>
      <c r="H18" s="1260"/>
    </row>
    <row r="19" spans="1:8" ht="55.2" x14ac:dyDescent="0.25">
      <c r="A19" s="1289"/>
      <c r="B19" s="1406" t="s">
        <v>3026</v>
      </c>
      <c r="C19" s="1359"/>
      <c r="D19" s="1228" t="s">
        <v>2538</v>
      </c>
      <c r="F19" s="1290"/>
      <c r="G19" s="1247"/>
      <c r="H19" s="1260"/>
    </row>
    <row r="20" spans="1:8" x14ac:dyDescent="0.25">
      <c r="A20" s="1289"/>
      <c r="B20" s="1406"/>
      <c r="C20" s="1359"/>
      <c r="D20" s="1228"/>
      <c r="F20" s="1290"/>
      <c r="G20" s="1247"/>
      <c r="H20" s="1260"/>
    </row>
    <row r="21" spans="1:8" ht="27.6" x14ac:dyDescent="0.25">
      <c r="A21" s="1289"/>
      <c r="B21" s="1406" t="s">
        <v>3027</v>
      </c>
      <c r="C21" s="1359"/>
      <c r="D21" s="1228" t="s">
        <v>2538</v>
      </c>
      <c r="F21" s="1290"/>
      <c r="G21" s="1247"/>
      <c r="H21" s="1260"/>
    </row>
    <row r="22" spans="1:8" x14ac:dyDescent="0.25">
      <c r="A22" s="1289"/>
      <c r="B22" s="1406"/>
      <c r="C22" s="1359"/>
      <c r="D22" s="1228"/>
      <c r="F22" s="1290"/>
      <c r="G22" s="1247"/>
      <c r="H22" s="1260"/>
    </row>
    <row r="23" spans="1:8" ht="41.4" x14ac:dyDescent="0.25">
      <c r="A23" s="1289"/>
      <c r="B23" s="1406" t="s">
        <v>3028</v>
      </c>
      <c r="C23" s="1359"/>
      <c r="D23" s="1228" t="s">
        <v>2538</v>
      </c>
      <c r="F23" s="1290"/>
      <c r="G23" s="1247"/>
      <c r="H23" s="1260"/>
    </row>
    <row r="24" spans="1:8" x14ac:dyDescent="0.25">
      <c r="A24" s="1289"/>
      <c r="B24" s="1406"/>
      <c r="C24" s="1359"/>
      <c r="D24" s="1228"/>
      <c r="F24" s="1290"/>
      <c r="G24" s="1247"/>
      <c r="H24" s="1260"/>
    </row>
    <row r="25" spans="1:8" ht="41.4" x14ac:dyDescent="0.25">
      <c r="A25" s="1289"/>
      <c r="B25" s="1406" t="s">
        <v>2977</v>
      </c>
      <c r="C25" s="1359"/>
      <c r="D25" s="1228" t="s">
        <v>2538</v>
      </c>
      <c r="F25" s="1290"/>
      <c r="G25" s="1247"/>
      <c r="H25" s="1260"/>
    </row>
    <row r="26" spans="1:8" x14ac:dyDescent="0.25">
      <c r="A26" s="1289"/>
      <c r="B26" s="1406"/>
      <c r="C26" s="1359"/>
      <c r="D26" s="1228"/>
      <c r="E26" s="1229"/>
      <c r="F26" s="1487"/>
      <c r="G26" s="1247"/>
      <c r="H26" s="1260"/>
    </row>
    <row r="27" spans="1:8" ht="41.4" x14ac:dyDescent="0.25">
      <c r="A27" s="1289"/>
      <c r="B27" s="1406" t="s">
        <v>2762</v>
      </c>
      <c r="C27" s="1359"/>
      <c r="D27" s="1228" t="s">
        <v>2538</v>
      </c>
      <c r="E27" s="1229"/>
      <c r="F27" s="1290"/>
      <c r="G27" s="1247"/>
      <c r="H27" s="1260"/>
    </row>
    <row r="28" spans="1:8" x14ac:dyDescent="0.25">
      <c r="A28" s="1289"/>
      <c r="B28" s="1406"/>
      <c r="C28" s="1359"/>
      <c r="D28" s="1488"/>
      <c r="E28" s="1229"/>
      <c r="F28" s="1290"/>
      <c r="G28" s="1247"/>
      <c r="H28" s="1260"/>
    </row>
    <row r="29" spans="1:8" x14ac:dyDescent="0.25">
      <c r="A29" s="1425"/>
      <c r="B29" s="1489" t="s">
        <v>3029</v>
      </c>
      <c r="C29" s="1359"/>
      <c r="D29" s="1490"/>
      <c r="E29" s="1229"/>
      <c r="F29" s="1290"/>
      <c r="G29" s="1247"/>
    </row>
    <row r="30" spans="1:8" x14ac:dyDescent="0.25">
      <c r="A30" s="1289"/>
      <c r="B30" s="1406"/>
      <c r="C30" s="1359"/>
      <c r="D30" s="1228"/>
      <c r="E30" s="1229"/>
      <c r="F30" s="1290"/>
      <c r="G30" s="1247"/>
      <c r="H30" s="1260"/>
    </row>
    <row r="31" spans="1:8" ht="27.6" x14ac:dyDescent="0.25">
      <c r="A31" s="1289"/>
      <c r="B31" s="1406" t="s">
        <v>3030</v>
      </c>
      <c r="C31" s="1359"/>
      <c r="D31" s="1228"/>
      <c r="E31" s="1229"/>
      <c r="F31" s="1290"/>
      <c r="G31" s="1247"/>
      <c r="H31" s="1260"/>
    </row>
    <row r="32" spans="1:8" x14ac:dyDescent="0.25">
      <c r="A32" s="1289"/>
      <c r="B32" s="1406"/>
      <c r="C32" s="1359"/>
      <c r="D32" s="1228"/>
      <c r="E32" s="1229"/>
      <c r="F32" s="1290"/>
      <c r="G32" s="1247"/>
      <c r="H32" s="1260"/>
    </row>
    <row r="33" spans="1:8" ht="27.6" x14ac:dyDescent="0.25">
      <c r="A33" s="1289"/>
      <c r="B33" s="1406" t="s">
        <v>3031</v>
      </c>
      <c r="C33" s="1359"/>
      <c r="D33" s="1228"/>
      <c r="E33" s="1229"/>
      <c r="F33" s="1290"/>
      <c r="G33" s="1247"/>
      <c r="H33" s="1260"/>
    </row>
    <row r="34" spans="1:8" x14ac:dyDescent="0.25">
      <c r="A34" s="1289"/>
      <c r="B34" s="1406"/>
      <c r="C34" s="1359"/>
      <c r="D34" s="1228"/>
      <c r="E34" s="1229"/>
      <c r="F34" s="1290"/>
      <c r="G34" s="1247"/>
      <c r="H34" s="1260"/>
    </row>
    <row r="35" spans="1:8" ht="27.6" x14ac:dyDescent="0.25">
      <c r="A35" s="1674"/>
      <c r="B35" s="1800" t="s">
        <v>3032</v>
      </c>
      <c r="C35" s="1601"/>
      <c r="D35" s="1801"/>
      <c r="E35" s="1602"/>
      <c r="F35" s="1420"/>
      <c r="G35" s="1247"/>
      <c r="H35" s="1260"/>
    </row>
    <row r="36" spans="1:8" x14ac:dyDescent="0.25">
      <c r="A36" s="1676"/>
      <c r="B36" s="1802"/>
      <c r="C36" s="1750"/>
      <c r="D36" s="1803"/>
      <c r="E36" s="1664"/>
      <c r="F36" s="1424"/>
      <c r="G36" s="1247"/>
      <c r="H36" s="1260"/>
    </row>
    <row r="37" spans="1:8" ht="27.6" x14ac:dyDescent="0.25">
      <c r="A37" s="1289"/>
      <c r="B37" s="1406" t="s">
        <v>3033</v>
      </c>
      <c r="C37" s="1359"/>
      <c r="D37" s="1228"/>
      <c r="E37" s="1229"/>
      <c r="F37" s="1290"/>
      <c r="G37" s="1247"/>
      <c r="H37" s="1260"/>
    </row>
    <row r="38" spans="1:8" x14ac:dyDescent="0.25">
      <c r="A38" s="1289"/>
      <c r="B38" s="1406"/>
      <c r="C38" s="1359"/>
      <c r="D38" s="1228"/>
      <c r="E38" s="1229"/>
      <c r="F38" s="1290"/>
      <c r="G38" s="1247"/>
      <c r="H38" s="1260"/>
    </row>
    <row r="39" spans="1:8" ht="41.4" x14ac:dyDescent="0.25">
      <c r="A39" s="1289"/>
      <c r="B39" s="1406" t="s">
        <v>3034</v>
      </c>
      <c r="C39" s="1359"/>
      <c r="D39" s="1228"/>
      <c r="E39" s="1229"/>
      <c r="F39" s="1290"/>
      <c r="G39" s="1247"/>
      <c r="H39" s="1260"/>
    </row>
    <row r="40" spans="1:8" x14ac:dyDescent="0.25">
      <c r="A40" s="1289"/>
      <c r="B40" s="1406"/>
      <c r="C40" s="1359"/>
      <c r="D40" s="1228"/>
      <c r="E40" s="1229"/>
      <c r="F40" s="1290"/>
      <c r="G40" s="1247"/>
      <c r="H40" s="1260"/>
    </row>
    <row r="41" spans="1:8" ht="41.4" x14ac:dyDescent="0.25">
      <c r="A41" s="1289"/>
      <c r="B41" s="1406" t="s">
        <v>3035</v>
      </c>
      <c r="C41" s="1359"/>
      <c r="D41" s="1228"/>
      <c r="E41" s="1229"/>
      <c r="F41" s="1290"/>
      <c r="G41" s="1247"/>
      <c r="H41" s="1260"/>
    </row>
    <row r="42" spans="1:8" s="1496" customFormat="1" x14ac:dyDescent="0.25">
      <c r="A42" s="1491"/>
      <c r="B42" s="1492"/>
      <c r="C42" s="1436"/>
      <c r="D42" s="1493"/>
      <c r="E42" s="1494"/>
      <c r="F42" s="1495"/>
      <c r="H42" s="1497"/>
    </row>
    <row r="43" spans="1:8" s="1496" customFormat="1" ht="41.4" x14ac:dyDescent="0.25">
      <c r="A43" s="1491"/>
      <c r="B43" s="1146" t="s">
        <v>3036</v>
      </c>
      <c r="C43" s="1498"/>
      <c r="D43" s="1493"/>
      <c r="E43" s="1494"/>
      <c r="F43" s="1495"/>
      <c r="H43" s="1497"/>
    </row>
    <row r="44" spans="1:8" s="1496" customFormat="1" x14ac:dyDescent="0.25">
      <c r="A44" s="1491"/>
      <c r="B44" s="1492"/>
      <c r="C44" s="1498"/>
      <c r="D44" s="1493"/>
      <c r="E44" s="1494"/>
      <c r="F44" s="1495"/>
      <c r="H44" s="1497"/>
    </row>
    <row r="45" spans="1:8" ht="27.6" x14ac:dyDescent="0.25">
      <c r="A45" s="1289"/>
      <c r="B45" s="1499" t="s">
        <v>3037</v>
      </c>
      <c r="C45" s="1500"/>
      <c r="D45" s="1407"/>
      <c r="E45" s="1229"/>
      <c r="F45" s="1290"/>
      <c r="G45" s="1247"/>
    </row>
    <row r="46" spans="1:8" x14ac:dyDescent="0.25">
      <c r="A46" s="1289"/>
      <c r="B46" s="1499"/>
      <c r="C46" s="1501"/>
      <c r="D46" s="1407"/>
      <c r="E46" s="1502"/>
      <c r="F46" s="1290"/>
      <c r="G46" s="1247"/>
    </row>
    <row r="47" spans="1:8" ht="27.6" x14ac:dyDescent="0.25">
      <c r="A47" s="1289"/>
      <c r="B47" s="1499" t="s">
        <v>3038</v>
      </c>
      <c r="C47" s="1501"/>
      <c r="D47" s="1407"/>
      <c r="E47" s="1502"/>
      <c r="F47" s="1290"/>
      <c r="G47" s="1247"/>
    </row>
    <row r="48" spans="1:8" s="1496" customFormat="1" x14ac:dyDescent="0.25">
      <c r="A48" s="1491"/>
      <c r="B48" s="1503"/>
      <c r="C48" s="1498"/>
      <c r="D48" s="1493"/>
      <c r="E48" s="1494"/>
      <c r="F48" s="1495"/>
      <c r="H48" s="1497"/>
    </row>
    <row r="49" spans="1:25" s="1496" customFormat="1" x14ac:dyDescent="0.25">
      <c r="A49" s="1491"/>
      <c r="B49" s="1492"/>
      <c r="C49" s="1498"/>
      <c r="D49" s="1785"/>
      <c r="E49" s="1258"/>
      <c r="F49" s="1786"/>
      <c r="H49" s="1497"/>
    </row>
    <row r="50" spans="1:25" s="1387" customFormat="1" ht="15.6" x14ac:dyDescent="0.25">
      <c r="A50" s="1282"/>
      <c r="B50" s="1504" t="s">
        <v>3039</v>
      </c>
      <c r="C50" s="1505"/>
      <c r="D50" s="1506"/>
      <c r="E50" s="1507"/>
      <c r="F50" s="1508"/>
      <c r="G50" s="1509"/>
      <c r="H50" s="1510"/>
      <c r="I50" s="1511"/>
      <c r="J50" s="1511"/>
      <c r="K50" s="1511"/>
      <c r="L50" s="1511"/>
      <c r="M50" s="1511"/>
      <c r="N50" s="1511"/>
      <c r="O50" s="1511"/>
      <c r="P50" s="1511"/>
      <c r="Q50" s="1511"/>
      <c r="R50" s="1511"/>
      <c r="S50" s="1511"/>
      <c r="T50" s="1511"/>
      <c r="U50" s="1511"/>
      <c r="V50" s="1511"/>
      <c r="W50" s="1512"/>
      <c r="X50" s="1513"/>
      <c r="Y50" s="1512"/>
    </row>
    <row r="51" spans="1:25" x14ac:dyDescent="0.25">
      <c r="A51" s="1514"/>
      <c r="B51" s="1232"/>
      <c r="C51" s="1359"/>
      <c r="D51" s="1228"/>
      <c r="F51" s="1290"/>
      <c r="G51" s="1247"/>
      <c r="H51" s="1260"/>
      <c r="S51" s="1328"/>
      <c r="T51" s="1286"/>
      <c r="U51" s="1328"/>
    </row>
    <row r="52" spans="1:25" s="1404" customFormat="1" ht="87.6" customHeight="1" x14ac:dyDescent="0.25">
      <c r="A52" s="1292">
        <f>IF(C52&gt;0,COUNT(C$12:C52),"")</f>
        <v>1</v>
      </c>
      <c r="B52" s="408" t="s">
        <v>3040</v>
      </c>
      <c r="C52" s="1515">
        <v>14</v>
      </c>
      <c r="D52" s="1407" t="s">
        <v>0</v>
      </c>
      <c r="E52" s="1229">
        <v>37250</v>
      </c>
      <c r="F52" s="1516">
        <f>E52*C52</f>
        <v>521500</v>
      </c>
      <c r="H52" s="1517"/>
    </row>
    <row r="53" spans="1:25" x14ac:dyDescent="0.25">
      <c r="A53" s="1292" t="str">
        <f>IF(C53&gt;0,COUNT(C$12:C53),"")</f>
        <v/>
      </c>
      <c r="B53" s="1232"/>
      <c r="C53" s="1359"/>
      <c r="D53" s="1228"/>
      <c r="F53" s="1290"/>
      <c r="G53" s="1247"/>
      <c r="H53" s="1260"/>
      <c r="S53" s="1328"/>
      <c r="T53" s="1286"/>
      <c r="U53" s="1328"/>
    </row>
    <row r="54" spans="1:25" ht="88.8" customHeight="1" x14ac:dyDescent="0.25">
      <c r="A54" s="1292">
        <f>IF(C54&gt;0,COUNT(C$12:C54),"")</f>
        <v>2</v>
      </c>
      <c r="B54" s="1232" t="s">
        <v>3041</v>
      </c>
      <c r="C54" s="1359">
        <v>4</v>
      </c>
      <c r="D54" s="1228" t="s">
        <v>0</v>
      </c>
      <c r="E54" s="1229">
        <v>37250</v>
      </c>
      <c r="F54" s="1516">
        <f>E54*C54</f>
        <v>149000</v>
      </c>
      <c r="G54" s="1247"/>
      <c r="H54" s="1260"/>
      <c r="S54" s="1328"/>
      <c r="T54" s="1286"/>
      <c r="U54" s="1328"/>
    </row>
    <row r="55" spans="1:25" x14ac:dyDescent="0.25">
      <c r="A55" s="1292"/>
      <c r="B55" s="1232"/>
      <c r="C55" s="1359"/>
      <c r="D55" s="1228"/>
      <c r="E55" s="1229"/>
      <c r="F55" s="1516"/>
      <c r="G55" s="1247"/>
      <c r="H55" s="1260"/>
      <c r="S55" s="1328"/>
      <c r="T55" s="1286"/>
      <c r="U55" s="1328"/>
    </row>
    <row r="56" spans="1:25" ht="129" customHeight="1" x14ac:dyDescent="0.25">
      <c r="A56" s="1292">
        <f>IF(C56&gt;0,COUNT(C$12:C56),"")</f>
        <v>3</v>
      </c>
      <c r="B56" s="1232" t="s">
        <v>3042</v>
      </c>
      <c r="C56" s="1359">
        <v>1</v>
      </c>
      <c r="D56" s="1228" t="s">
        <v>0</v>
      </c>
      <c r="E56" s="1229">
        <v>37250</v>
      </c>
      <c r="F56" s="1516">
        <f>E56*C56</f>
        <v>37250</v>
      </c>
      <c r="G56" s="1247"/>
      <c r="H56" s="1260"/>
      <c r="S56" s="1328"/>
      <c r="T56" s="1286"/>
      <c r="U56" s="1328"/>
    </row>
    <row r="57" spans="1:25" x14ac:dyDescent="0.25">
      <c r="A57" s="1678" t="str">
        <f>IF(C57&gt;0,COUNT(C$12:C57),"")</f>
        <v/>
      </c>
      <c r="B57" s="1804"/>
      <c r="C57" s="1601"/>
      <c r="D57" s="1801"/>
      <c r="E57" s="1602"/>
      <c r="F57" s="1805"/>
      <c r="G57" s="1247"/>
      <c r="H57" s="1260"/>
      <c r="S57" s="1328"/>
      <c r="T57" s="1286"/>
      <c r="U57" s="1328"/>
    </row>
    <row r="58" spans="1:25" s="1519" customFormat="1" ht="117.6" customHeight="1" x14ac:dyDescent="0.25">
      <c r="A58" s="1680">
        <f>IF(C58&gt;0,COUNT(C$12:C58),"")</f>
        <v>4</v>
      </c>
      <c r="B58" s="1806" t="s">
        <v>3043</v>
      </c>
      <c r="C58" s="1605">
        <v>1</v>
      </c>
      <c r="D58" s="1807" t="s">
        <v>13</v>
      </c>
      <c r="E58" s="1664">
        <v>425000</v>
      </c>
      <c r="F58" s="1808">
        <f>E58*C58</f>
        <v>425000</v>
      </c>
      <c r="H58" s="1520"/>
    </row>
    <row r="59" spans="1:25" x14ac:dyDescent="0.25">
      <c r="A59" s="1292" t="str">
        <f>IF(C59&gt;0,COUNT(C$12:C59),"")</f>
        <v/>
      </c>
      <c r="B59" s="1232"/>
      <c r="C59" s="1359"/>
      <c r="D59" s="1228"/>
      <c r="F59" s="1290"/>
      <c r="G59" s="1247"/>
      <c r="H59" s="1260"/>
      <c r="S59" s="1328"/>
      <c r="T59" s="1286"/>
      <c r="U59" s="1328"/>
    </row>
    <row r="60" spans="1:25" s="1404" customFormat="1" ht="48" customHeight="1" x14ac:dyDescent="0.25">
      <c r="A60" s="1292">
        <f>IF(C60&gt;0,COUNT(C$12:C60),"")</f>
        <v>5</v>
      </c>
      <c r="B60" s="408" t="s">
        <v>3044</v>
      </c>
      <c r="C60" s="1515">
        <v>1</v>
      </c>
      <c r="D60" s="1407" t="s">
        <v>13</v>
      </c>
      <c r="E60" s="1229">
        <v>292000</v>
      </c>
      <c r="F60" s="1516">
        <f>E60*C60</f>
        <v>292000</v>
      </c>
      <c r="H60" s="1517"/>
    </row>
    <row r="61" spans="1:25" x14ac:dyDescent="0.25">
      <c r="A61" s="1292" t="str">
        <f>IF(C61&gt;0,COUNT(C$12:C61),"")</f>
        <v/>
      </c>
      <c r="B61" s="1232"/>
      <c r="C61" s="1359"/>
      <c r="D61" s="1228"/>
      <c r="F61" s="1290"/>
      <c r="G61" s="1247"/>
      <c r="H61" s="1260"/>
      <c r="S61" s="1328"/>
      <c r="T61" s="1286"/>
      <c r="U61" s="1328"/>
    </row>
    <row r="62" spans="1:25" s="1404" customFormat="1" ht="87.6" customHeight="1" x14ac:dyDescent="0.25">
      <c r="A62" s="1292">
        <f>IF(C62&gt;0,COUNT(C$12:C62),"")</f>
        <v>6</v>
      </c>
      <c r="B62" s="359" t="s">
        <v>3045</v>
      </c>
      <c r="C62" s="1515">
        <v>1</v>
      </c>
      <c r="D62" s="1407" t="s">
        <v>0</v>
      </c>
      <c r="E62" s="1229">
        <v>162500</v>
      </c>
      <c r="F62" s="1516">
        <f>E62*C62</f>
        <v>162500</v>
      </c>
      <c r="H62" s="1517"/>
    </row>
    <row r="63" spans="1:25" s="1404" customFormat="1" x14ac:dyDescent="0.25">
      <c r="A63" s="1292"/>
      <c r="B63" s="359"/>
      <c r="C63" s="1515"/>
      <c r="D63" s="1407"/>
      <c r="E63" s="1229"/>
      <c r="F63" s="1516"/>
      <c r="H63" s="1517"/>
    </row>
    <row r="64" spans="1:25" s="1519" customFormat="1" ht="73.2" customHeight="1" x14ac:dyDescent="0.25">
      <c r="A64" s="1292">
        <v>7</v>
      </c>
      <c r="B64" s="1518" t="s">
        <v>3046</v>
      </c>
      <c r="C64" s="1515">
        <v>1</v>
      </c>
      <c r="D64" s="1407" t="s">
        <v>13</v>
      </c>
      <c r="E64" s="1229">
        <v>260000</v>
      </c>
      <c r="F64" s="1516">
        <f>E64*C64</f>
        <v>260000</v>
      </c>
      <c r="H64" s="1520"/>
    </row>
    <row r="65" spans="1:10" s="1519" customFormat="1" x14ac:dyDescent="0.25">
      <c r="A65" s="1292"/>
      <c r="B65" s="1518"/>
      <c r="C65" s="1515"/>
      <c r="D65" s="1407"/>
      <c r="E65" s="1229"/>
      <c r="F65" s="1516"/>
      <c r="H65" s="1520"/>
    </row>
    <row r="66" spans="1:10" s="1519" customFormat="1" ht="62.4" customHeight="1" x14ac:dyDescent="0.25">
      <c r="A66" s="1292">
        <v>8</v>
      </c>
      <c r="B66" s="1518" t="s">
        <v>3047</v>
      </c>
      <c r="C66" s="1515">
        <v>1</v>
      </c>
      <c r="D66" s="1407" t="s">
        <v>13</v>
      </c>
      <c r="E66" s="1229">
        <v>360000</v>
      </c>
      <c r="F66" s="1516">
        <f>E66*C66</f>
        <v>360000</v>
      </c>
    </row>
    <row r="67" spans="1:10" s="1404" customFormat="1" x14ac:dyDescent="0.25">
      <c r="A67" s="1292" t="str">
        <f>IF(C67&gt;0,COUNT(C$12:C67),"")</f>
        <v/>
      </c>
      <c r="B67" s="1518"/>
      <c r="C67" s="1515"/>
      <c r="D67" s="1407"/>
      <c r="E67" s="1229"/>
      <c r="F67" s="1521"/>
      <c r="H67" s="1517"/>
      <c r="J67" s="1517"/>
    </row>
    <row r="68" spans="1:10" s="1524" customFormat="1" ht="132.6" customHeight="1" x14ac:dyDescent="0.25">
      <c r="A68" s="1292">
        <f>IF(C68&gt;0,COUNT(C$12:C68),"")</f>
        <v>9</v>
      </c>
      <c r="B68" s="1522" t="s">
        <v>3048</v>
      </c>
      <c r="C68" s="1515">
        <v>1</v>
      </c>
      <c r="D68" s="1407" t="s">
        <v>13</v>
      </c>
      <c r="E68" s="1523">
        <v>800000</v>
      </c>
      <c r="F68" s="1516">
        <f>E68*C68</f>
        <v>800000</v>
      </c>
    </row>
    <row r="69" spans="1:10" s="1524" customFormat="1" x14ac:dyDescent="0.25">
      <c r="A69" s="1292"/>
      <c r="B69" s="1522"/>
      <c r="C69" s="1515"/>
      <c r="D69" s="1407"/>
      <c r="E69" s="1523"/>
      <c r="F69" s="1516"/>
    </row>
    <row r="70" spans="1:10" s="1524" customFormat="1" ht="74.400000000000006" customHeight="1" x14ac:dyDescent="0.25">
      <c r="A70" s="1292">
        <f>IF(C70&gt;0,COUNT(C$12:C70),"")</f>
        <v>10</v>
      </c>
      <c r="B70" s="1522" t="s">
        <v>3049</v>
      </c>
      <c r="C70" s="1515">
        <v>1</v>
      </c>
      <c r="D70" s="1407" t="s">
        <v>13</v>
      </c>
      <c r="E70" s="1523">
        <v>560000</v>
      </c>
      <c r="F70" s="1516">
        <f>E70*C70</f>
        <v>560000</v>
      </c>
    </row>
    <row r="71" spans="1:10" s="1524" customFormat="1" x14ac:dyDescent="0.25">
      <c r="A71" s="1678"/>
      <c r="B71" s="1809"/>
      <c r="C71" s="1810"/>
      <c r="D71" s="1811"/>
      <c r="E71" s="1812"/>
      <c r="F71" s="1813"/>
    </row>
    <row r="72" spans="1:10" s="1404" customFormat="1" ht="106.2" customHeight="1" x14ac:dyDescent="0.25">
      <c r="A72" s="1680">
        <f>IF(C72&gt;0,COUNT(C$12:C72),"")</f>
        <v>11</v>
      </c>
      <c r="B72" s="1806" t="s">
        <v>3050</v>
      </c>
      <c r="C72" s="1605">
        <v>1</v>
      </c>
      <c r="D72" s="1814" t="s">
        <v>13</v>
      </c>
      <c r="E72" s="1815">
        <v>60000</v>
      </c>
      <c r="F72" s="1808">
        <f>E72*C72</f>
        <v>60000</v>
      </c>
      <c r="H72" s="1517"/>
    </row>
    <row r="73" spans="1:10" s="1404" customFormat="1" x14ac:dyDescent="0.25">
      <c r="A73" s="1292" t="str">
        <f>IF(C73&gt;0,COUNT(C$12:C73),"")</f>
        <v/>
      </c>
      <c r="B73" s="1518"/>
      <c r="C73" s="1526"/>
      <c r="D73" s="1527"/>
      <c r="E73" s="1525"/>
      <c r="F73" s="1525"/>
      <c r="H73" s="1517"/>
    </row>
    <row r="74" spans="1:10" s="1404" customFormat="1" ht="33" customHeight="1" x14ac:dyDescent="0.25">
      <c r="A74" s="1292" t="str">
        <f>IF(C74&gt;0,COUNT(C$12:C74),"")</f>
        <v/>
      </c>
      <c r="B74" s="1518" t="s">
        <v>3051</v>
      </c>
      <c r="C74" s="1515"/>
      <c r="D74" s="1407" t="s">
        <v>2538</v>
      </c>
      <c r="E74" s="1229"/>
      <c r="F74" s="1516"/>
      <c r="H74" s="1517"/>
    </row>
    <row r="75" spans="1:10" s="1404" customFormat="1" x14ac:dyDescent="0.25">
      <c r="A75" s="1292" t="str">
        <f>IF(C75&gt;0,COUNT(C$12:C75),"")</f>
        <v/>
      </c>
      <c r="B75" s="1518"/>
      <c r="C75" s="1526"/>
      <c r="D75" s="1527"/>
      <c r="E75" s="1525"/>
      <c r="F75" s="1525"/>
      <c r="H75" s="1517"/>
    </row>
    <row r="76" spans="1:10" s="1404" customFormat="1" ht="49.8" customHeight="1" x14ac:dyDescent="0.25">
      <c r="A76" s="1292" t="str">
        <f>IF(C76&gt;0,COUNT(C$12:C76),"")</f>
        <v/>
      </c>
      <c r="B76" s="1518" t="s">
        <v>3052</v>
      </c>
      <c r="C76" s="1515"/>
      <c r="D76" s="1407" t="s">
        <v>2538</v>
      </c>
      <c r="E76" s="1229"/>
      <c r="F76" s="1516"/>
      <c r="H76" s="1517"/>
    </row>
    <row r="77" spans="1:10" s="1404" customFormat="1" x14ac:dyDescent="0.25">
      <c r="A77" s="1292"/>
      <c r="B77" s="1518"/>
      <c r="C77" s="1515"/>
      <c r="D77" s="1407"/>
      <c r="E77" s="1229"/>
      <c r="F77" s="1516"/>
      <c r="H77" s="1517"/>
    </row>
    <row r="78" spans="1:10" s="1404" customFormat="1" ht="46.2" customHeight="1" x14ac:dyDescent="0.25">
      <c r="A78" s="1292" t="str">
        <f>IF(C78&gt;0,COUNT(C$12:C78),"")</f>
        <v/>
      </c>
      <c r="B78" s="1518" t="s">
        <v>2934</v>
      </c>
      <c r="C78" s="1515"/>
      <c r="D78" s="1407" t="s">
        <v>2538</v>
      </c>
      <c r="E78" s="1229"/>
      <c r="F78" s="1516"/>
      <c r="H78" s="1517"/>
    </row>
    <row r="79" spans="1:10" s="1404" customFormat="1" x14ac:dyDescent="0.25">
      <c r="A79" s="1292"/>
      <c r="B79" s="1518"/>
      <c r="C79" s="1515"/>
      <c r="D79" s="1528"/>
      <c r="E79" s="1229"/>
      <c r="F79" s="1516"/>
      <c r="H79" s="1517"/>
    </row>
    <row r="80" spans="1:10" s="1347" customFormat="1" x14ac:dyDescent="0.25">
      <c r="A80" s="1292" t="str">
        <f>IF(C80&gt;0,COUNT(C$12:C80),"")</f>
        <v/>
      </c>
      <c r="B80" s="1440" t="s">
        <v>2937</v>
      </c>
      <c r="C80" s="1515"/>
      <c r="D80" s="1436"/>
      <c r="E80" s="1529"/>
      <c r="F80" s="1530"/>
    </row>
    <row r="81" spans="1:23" s="1532" customFormat="1" ht="49.8" customHeight="1" x14ac:dyDescent="0.2">
      <c r="A81" s="1292">
        <f>IF(C81&gt;0,COUNT(C$12:C81),"")</f>
        <v>12</v>
      </c>
      <c r="B81" s="1232" t="s">
        <v>2938</v>
      </c>
      <c r="C81" s="1515">
        <v>1</v>
      </c>
      <c r="D81" s="1436" t="s">
        <v>13</v>
      </c>
      <c r="E81" s="1531">
        <v>80000</v>
      </c>
      <c r="F81" s="1516">
        <f>E81*C81</f>
        <v>80000</v>
      </c>
    </row>
    <row r="82" spans="1:23" s="1532" customFormat="1" x14ac:dyDescent="0.2">
      <c r="A82" s="1292" t="str">
        <f>IF(C82&gt;0,COUNT(C$12:C82),"")</f>
        <v/>
      </c>
      <c r="B82" s="1226"/>
      <c r="C82" s="1533"/>
      <c r="D82" s="1534"/>
      <c r="E82" s="1531"/>
      <c r="F82" s="1535"/>
    </row>
    <row r="83" spans="1:23" s="1532" customFormat="1" x14ac:dyDescent="0.2">
      <c r="A83" s="1292" t="str">
        <f>IF(C83&gt;0,COUNT(C$12:C83),"")</f>
        <v/>
      </c>
      <c r="B83" s="1300" t="s">
        <v>2939</v>
      </c>
      <c r="C83" s="1515"/>
      <c r="D83" s="1436"/>
      <c r="E83" s="1531"/>
      <c r="F83" s="1535"/>
    </row>
    <row r="84" spans="1:23" s="1532" customFormat="1" ht="31.2" customHeight="1" x14ac:dyDescent="0.2">
      <c r="A84" s="1292">
        <f>IF(C84&gt;0,COUNT(C$12:C84),"")</f>
        <v>13</v>
      </c>
      <c r="B84" s="1226" t="s">
        <v>2940</v>
      </c>
      <c r="C84" s="1515">
        <v>1</v>
      </c>
      <c r="D84" s="1436" t="s">
        <v>13</v>
      </c>
      <c r="E84" s="1531">
        <v>100000</v>
      </c>
      <c r="F84" s="1516">
        <f>E84*C84</f>
        <v>100000</v>
      </c>
    </row>
    <row r="85" spans="1:23" s="1532" customFormat="1" x14ac:dyDescent="0.2">
      <c r="A85" s="1292" t="str">
        <f>IF(C85&gt;0,COUNT(C$12:C85),"")</f>
        <v/>
      </c>
      <c r="B85" s="1226"/>
      <c r="C85" s="1533"/>
      <c r="D85" s="1534"/>
      <c r="E85" s="1531"/>
      <c r="F85" s="1535"/>
    </row>
    <row r="86" spans="1:23" s="1532" customFormat="1" x14ac:dyDescent="0.2">
      <c r="A86" s="1292" t="str">
        <f>IF(C86&gt;0,COUNT(C$12:C86),"")</f>
        <v/>
      </c>
      <c r="B86" s="1300" t="s">
        <v>2941</v>
      </c>
      <c r="C86" s="1515"/>
      <c r="D86" s="1436"/>
      <c r="E86" s="1531"/>
      <c r="F86" s="1535"/>
    </row>
    <row r="87" spans="1:23" s="1532" customFormat="1" ht="75" customHeight="1" x14ac:dyDescent="0.2">
      <c r="A87" s="1292">
        <f>IF(C87&gt;0,COUNT(C$12:C87),"")</f>
        <v>14</v>
      </c>
      <c r="B87" s="1226" t="s">
        <v>3053</v>
      </c>
      <c r="C87" s="1515">
        <v>1</v>
      </c>
      <c r="D87" s="1436" t="s">
        <v>13</v>
      </c>
      <c r="E87" s="1531"/>
      <c r="F87" s="1516">
        <f>E87*C87</f>
        <v>0</v>
      </c>
    </row>
    <row r="88" spans="1:23" s="1540" customFormat="1" x14ac:dyDescent="0.2">
      <c r="A88" s="1536"/>
      <c r="B88" s="1320"/>
      <c r="C88" s="1533"/>
      <c r="D88" s="1537"/>
      <c r="E88" s="1538"/>
      <c r="F88" s="1539"/>
    </row>
    <row r="89" spans="1:23" s="1546" customFormat="1" ht="14.4" thickBot="1" x14ac:dyDescent="0.3">
      <c r="A89" s="1541" t="str">
        <f>IF(C89&gt;0,COUNT(C89:C$115),"")</f>
        <v/>
      </c>
      <c r="B89" s="1542" t="s">
        <v>2943</v>
      </c>
      <c r="C89" s="1351"/>
      <c r="D89" s="1543"/>
      <c r="E89" s="1544" t="s">
        <v>83</v>
      </c>
      <c r="F89" s="1545">
        <f>SUM(F52:F88)</f>
        <v>3807250</v>
      </c>
      <c r="U89" s="1547"/>
      <c r="V89" s="1548"/>
      <c r="W89" s="1547"/>
    </row>
    <row r="90" spans="1:23" s="1546" customFormat="1" ht="14.4" thickTop="1" x14ac:dyDescent="0.25">
      <c r="A90" s="1816"/>
      <c r="B90" s="1549"/>
      <c r="C90" s="1356"/>
      <c r="D90" s="1550"/>
      <c r="E90" s="1551"/>
      <c r="F90" s="1817"/>
      <c r="U90" s="1547"/>
      <c r="V90" s="1548"/>
      <c r="W90" s="1547"/>
    </row>
    <row r="91" spans="1:23" s="1546" customFormat="1" x14ac:dyDescent="0.25">
      <c r="A91" s="1816"/>
      <c r="B91" s="1549"/>
      <c r="C91" s="1356"/>
      <c r="D91" s="1550"/>
      <c r="E91" s="1551"/>
      <c r="F91" s="1817"/>
      <c r="U91" s="1547"/>
      <c r="V91" s="1548"/>
      <c r="W91" s="1547"/>
    </row>
    <row r="92" spans="1:23" s="1546" customFormat="1" ht="27.6" x14ac:dyDescent="0.25">
      <c r="A92" s="1816"/>
      <c r="B92" s="1553" t="s">
        <v>3054</v>
      </c>
      <c r="C92" s="1356"/>
      <c r="D92" s="1550"/>
      <c r="E92" s="1551"/>
      <c r="F92" s="1817"/>
      <c r="U92" s="1547"/>
      <c r="V92" s="1548"/>
      <c r="W92" s="1547"/>
    </row>
    <row r="93" spans="1:23" s="1404" customFormat="1" x14ac:dyDescent="0.25">
      <c r="A93" s="1705" t="str">
        <f>IF(C93&gt;0,COUNT(C$64:C93),"")</f>
        <v/>
      </c>
      <c r="B93" s="1517"/>
      <c r="C93" s="56"/>
      <c r="D93" s="1554"/>
      <c r="E93" s="1555"/>
      <c r="F93" s="1818"/>
    </row>
    <row r="94" spans="1:23" s="1404" customFormat="1" x14ac:dyDescent="0.25">
      <c r="A94" s="1705"/>
      <c r="B94" s="1556" t="s">
        <v>3055</v>
      </c>
      <c r="C94" s="56"/>
      <c r="D94" s="1554"/>
      <c r="E94" s="1367"/>
      <c r="F94" s="1818"/>
    </row>
    <row r="95" spans="1:23" s="1404" customFormat="1" x14ac:dyDescent="0.25">
      <c r="A95" s="1705"/>
      <c r="B95" s="1556"/>
      <c r="C95" s="56"/>
      <c r="D95" s="1554"/>
      <c r="E95" s="1367"/>
      <c r="F95" s="1818"/>
    </row>
    <row r="96" spans="1:23" s="1404" customFormat="1" x14ac:dyDescent="0.25">
      <c r="A96" s="1705"/>
      <c r="B96" s="1556" t="s">
        <v>3056</v>
      </c>
      <c r="C96" s="56"/>
      <c r="D96" s="1554"/>
      <c r="E96" s="1367"/>
      <c r="F96" s="1818"/>
    </row>
    <row r="97" spans="1:6" s="1404" customFormat="1" x14ac:dyDescent="0.25">
      <c r="A97" s="1705"/>
      <c r="B97" s="1556"/>
      <c r="C97" s="56"/>
      <c r="D97" s="1554"/>
      <c r="E97" s="1367"/>
      <c r="F97" s="1818"/>
    </row>
    <row r="98" spans="1:6" s="1404" customFormat="1" x14ac:dyDescent="0.25">
      <c r="A98" s="1705"/>
      <c r="B98" s="1556" t="s">
        <v>3057</v>
      </c>
      <c r="C98" s="56"/>
      <c r="D98" s="1554"/>
      <c r="E98" s="1367"/>
      <c r="F98" s="1818"/>
    </row>
    <row r="99" spans="1:6" s="1404" customFormat="1" x14ac:dyDescent="0.25">
      <c r="A99" s="1705"/>
      <c r="B99" s="1556"/>
      <c r="C99" s="56"/>
      <c r="D99" s="1554"/>
      <c r="E99" s="1367"/>
      <c r="F99" s="1818"/>
    </row>
    <row r="100" spans="1:6" s="1404" customFormat="1" x14ac:dyDescent="0.25">
      <c r="A100" s="1705"/>
      <c r="B100" s="1556" t="s">
        <v>3058</v>
      </c>
      <c r="C100" s="56"/>
      <c r="D100" s="1554"/>
      <c r="E100" s="1367"/>
      <c r="F100" s="1818"/>
    </row>
    <row r="101" spans="1:6" s="1404" customFormat="1" x14ac:dyDescent="0.25">
      <c r="A101" s="1705"/>
      <c r="B101" s="1556"/>
      <c r="C101" s="56"/>
      <c r="D101" s="1554"/>
      <c r="E101" s="1367"/>
      <c r="F101" s="1818"/>
    </row>
    <row r="102" spans="1:6" s="1404" customFormat="1" x14ac:dyDescent="0.25">
      <c r="A102" s="1705"/>
      <c r="B102" s="1556" t="s">
        <v>3059</v>
      </c>
      <c r="C102" s="56"/>
      <c r="D102" s="1554"/>
      <c r="E102" s="1367"/>
      <c r="F102" s="1818"/>
    </row>
    <row r="103" spans="1:6" s="1404" customFormat="1" x14ac:dyDescent="0.25">
      <c r="A103" s="1705" t="s">
        <v>1843</v>
      </c>
      <c r="B103" s="1556"/>
      <c r="C103" s="56"/>
      <c r="D103" s="1554"/>
      <c r="E103" s="1367"/>
      <c r="F103" s="1818"/>
    </row>
    <row r="104" spans="1:6" s="1404" customFormat="1" x14ac:dyDescent="0.25">
      <c r="A104" s="1705"/>
      <c r="B104" s="1556" t="s">
        <v>3060</v>
      </c>
      <c r="C104" s="56"/>
      <c r="D104" s="1554"/>
      <c r="E104" s="1367"/>
      <c r="F104" s="1818"/>
    </row>
    <row r="105" spans="1:6" s="1404" customFormat="1" x14ac:dyDescent="0.25">
      <c r="A105" s="1705"/>
      <c r="B105" s="1556"/>
      <c r="C105" s="56"/>
      <c r="D105" s="1554"/>
      <c r="E105" s="1367"/>
      <c r="F105" s="1818"/>
    </row>
    <row r="106" spans="1:6" s="1404" customFormat="1" x14ac:dyDescent="0.25">
      <c r="A106" s="1819"/>
      <c r="B106" s="1820" t="s">
        <v>3061</v>
      </c>
      <c r="C106" s="1821"/>
      <c r="D106" s="1822"/>
      <c r="E106" s="1715"/>
      <c r="F106" s="1823"/>
    </row>
    <row r="107" spans="1:6" s="1404" customFormat="1" x14ac:dyDescent="0.25">
      <c r="A107" s="1699" t="s">
        <v>3127</v>
      </c>
      <c r="B107" s="1824"/>
      <c r="C107" s="1825"/>
      <c r="D107" s="1826"/>
      <c r="E107" s="1827"/>
      <c r="F107" s="1828"/>
    </row>
    <row r="108" spans="1:6" s="1404" customFormat="1" x14ac:dyDescent="0.25">
      <c r="A108" s="1705"/>
      <c r="B108" s="1558" t="s">
        <v>3062</v>
      </c>
      <c r="C108" s="56"/>
      <c r="D108" s="1554"/>
      <c r="E108" s="1367"/>
      <c r="F108" s="1818"/>
    </row>
    <row r="109" spans="1:6" s="1404" customFormat="1" x14ac:dyDescent="0.25">
      <c r="A109" s="1705"/>
      <c r="B109" s="1557"/>
      <c r="C109" s="56"/>
      <c r="D109" s="1554"/>
      <c r="E109" s="1367"/>
      <c r="F109" s="1818"/>
    </row>
    <row r="110" spans="1:6" s="1404" customFormat="1" x14ac:dyDescent="0.25">
      <c r="A110" s="1705"/>
      <c r="B110" s="1558" t="s">
        <v>3063</v>
      </c>
      <c r="C110" s="56"/>
      <c r="D110" s="1554"/>
      <c r="E110" s="1367"/>
      <c r="F110" s="1818"/>
    </row>
    <row r="111" spans="1:6" s="1404" customFormat="1" x14ac:dyDescent="0.25">
      <c r="A111" s="1705"/>
      <c r="B111" s="1558"/>
      <c r="C111" s="56"/>
      <c r="D111" s="1554"/>
      <c r="E111" s="1367"/>
      <c r="F111" s="1818"/>
    </row>
    <row r="112" spans="1:6" s="1404" customFormat="1" x14ac:dyDescent="0.25">
      <c r="A112" s="1705"/>
      <c r="B112" s="1558" t="s">
        <v>3064</v>
      </c>
      <c r="C112" s="56"/>
      <c r="D112" s="1554"/>
      <c r="E112" s="1367"/>
      <c r="F112" s="1818"/>
    </row>
    <row r="113" spans="1:6" s="1404" customFormat="1" x14ac:dyDescent="0.25">
      <c r="A113" s="1705"/>
      <c r="B113" s="1558"/>
      <c r="C113" s="56"/>
      <c r="D113" s="1554"/>
      <c r="E113" s="1367"/>
      <c r="F113" s="1818"/>
    </row>
    <row r="114" spans="1:6" s="1404" customFormat="1" ht="55.2" x14ac:dyDescent="0.25">
      <c r="A114" s="1705" t="str">
        <f>IF(C114&gt;0,COUNT(C114:C$116),"")</f>
        <v/>
      </c>
      <c r="B114" s="1559" t="s">
        <v>3065</v>
      </c>
      <c r="C114" s="1559"/>
      <c r="D114" s="1559"/>
      <c r="E114" s="1560"/>
      <c r="F114" s="1829"/>
    </row>
    <row r="115" spans="1:6" s="1404" customFormat="1" x14ac:dyDescent="0.25">
      <c r="A115" s="1705" t="str">
        <f>IF(C115&gt;0,COUNT(C115:C$116),"")</f>
        <v/>
      </c>
      <c r="B115" s="1561"/>
      <c r="C115" s="56"/>
      <c r="D115" s="1554"/>
      <c r="E115" s="1367"/>
      <c r="F115" s="1830"/>
    </row>
    <row r="116" spans="1:6" s="1404" customFormat="1" ht="41.4" x14ac:dyDescent="0.25">
      <c r="A116" s="1705" t="str">
        <f>IF(C116&gt;0,COUNT(C116:C$116),"")</f>
        <v/>
      </c>
      <c r="B116" s="1559" t="s">
        <v>3066</v>
      </c>
      <c r="C116" s="1559"/>
      <c r="D116" s="1559"/>
      <c r="E116" s="1562"/>
      <c r="F116" s="1831"/>
    </row>
    <row r="117" spans="1:6" s="1404" customFormat="1" x14ac:dyDescent="0.25">
      <c r="A117" s="1705" t="str">
        <f>IF(C117&gt;0,COUNT(C$116:C117),"")</f>
        <v/>
      </c>
      <c r="B117" s="1561"/>
      <c r="C117" s="56"/>
      <c r="D117" s="1554"/>
      <c r="E117" s="1367"/>
      <c r="F117" s="1830"/>
    </row>
    <row r="118" spans="1:6" s="1404" customFormat="1" ht="41.4" x14ac:dyDescent="0.25">
      <c r="A118" s="1705" t="str">
        <f>IF(C118&gt;0,COUNT(C$116:C118),"")</f>
        <v/>
      </c>
      <c r="B118" s="1563" t="s">
        <v>3067</v>
      </c>
      <c r="C118" s="1563"/>
      <c r="D118" s="1563"/>
      <c r="E118" s="1509"/>
      <c r="F118" s="1832"/>
    </row>
    <row r="119" spans="1:6" s="1404" customFormat="1" x14ac:dyDescent="0.25">
      <c r="A119" s="1705" t="str">
        <f>IF(C119&gt;0,COUNT(C$64:C119),"")</f>
        <v/>
      </c>
      <c r="B119" s="1517"/>
      <c r="C119" s="56"/>
      <c r="D119" s="1554"/>
      <c r="E119" s="1367"/>
      <c r="F119" s="1818"/>
    </row>
    <row r="120" spans="1:6" s="1404" customFormat="1" x14ac:dyDescent="0.25">
      <c r="A120" s="1705"/>
      <c r="B120" s="1517"/>
      <c r="C120" s="56"/>
      <c r="D120" s="1554"/>
      <c r="E120" s="1367"/>
      <c r="F120" s="1818"/>
    </row>
    <row r="121" spans="1:6" s="1404" customFormat="1" x14ac:dyDescent="0.25">
      <c r="A121" s="1705" t="str">
        <f>IF(C121&gt;0,COUNT(C$64:C121),"")</f>
        <v/>
      </c>
      <c r="B121" s="1557" t="s">
        <v>2964</v>
      </c>
      <c r="C121" s="56"/>
      <c r="D121" s="1554"/>
      <c r="E121" s="1367"/>
      <c r="F121" s="1818"/>
    </row>
    <row r="122" spans="1:6" s="1404" customFormat="1" x14ac:dyDescent="0.25">
      <c r="A122" s="1705" t="str">
        <f>IF(C122&gt;0,COUNT(C$64:C122),"")</f>
        <v/>
      </c>
      <c r="B122" s="1557"/>
      <c r="C122" s="56"/>
      <c r="D122" s="1554"/>
      <c r="E122" s="1367"/>
      <c r="F122" s="1818"/>
    </row>
    <row r="123" spans="1:6" s="1404" customFormat="1" x14ac:dyDescent="0.25">
      <c r="A123" s="1705" t="str">
        <f>IF(C123&gt;0,COUNT(C$64:C123),"")</f>
        <v/>
      </c>
      <c r="B123" s="1557"/>
      <c r="C123" s="56"/>
      <c r="D123" s="1554"/>
      <c r="E123" s="1367"/>
      <c r="F123" s="1818"/>
    </row>
    <row r="124" spans="1:6" s="1404" customFormat="1" x14ac:dyDescent="0.25">
      <c r="A124" s="1705" t="str">
        <f>IF(C124&gt;0,COUNT(C$64:C124),"")</f>
        <v/>
      </c>
      <c r="B124" s="1557"/>
      <c r="C124" s="56"/>
      <c r="D124" s="1554"/>
      <c r="E124" s="1367"/>
      <c r="F124" s="1818"/>
    </row>
    <row r="125" spans="1:6" s="1404" customFormat="1" x14ac:dyDescent="0.25">
      <c r="A125" s="1705" t="str">
        <f>IF(C125&gt;0,COUNT(C$64:C125),"")</f>
        <v/>
      </c>
      <c r="B125" s="1557" t="s">
        <v>2965</v>
      </c>
      <c r="C125" s="56"/>
      <c r="D125" s="1554"/>
      <c r="E125" s="1367"/>
      <c r="F125" s="1818"/>
    </row>
    <row r="126" spans="1:6" s="1404" customFormat="1" x14ac:dyDescent="0.25">
      <c r="A126" s="1705" t="str">
        <f>IF(C126&gt;0,COUNT(C$64:C126),"")</f>
        <v/>
      </c>
      <c r="B126" s="1557"/>
      <c r="C126" s="56"/>
      <c r="D126" s="1554"/>
      <c r="E126" s="1367"/>
      <c r="F126" s="1818"/>
    </row>
    <row r="127" spans="1:6" s="1404" customFormat="1" x14ac:dyDescent="0.25">
      <c r="A127" s="1705" t="str">
        <f>IF(C127&gt;0,COUNT(C$64:C127),"")</f>
        <v/>
      </c>
      <c r="B127" s="1557"/>
      <c r="C127" s="56"/>
      <c r="D127" s="1554"/>
      <c r="E127" s="1367"/>
      <c r="F127" s="1833"/>
    </row>
    <row r="128" spans="1:6" s="1404" customFormat="1" x14ac:dyDescent="0.25">
      <c r="A128" s="1705" t="str">
        <f>IF(C128&gt;0,COUNT(C$64:C128),"")</f>
        <v/>
      </c>
      <c r="B128" s="1557"/>
      <c r="C128" s="56"/>
      <c r="D128" s="1554"/>
      <c r="E128" s="1367"/>
      <c r="F128" s="1833"/>
    </row>
    <row r="129" spans="1:6" s="1404" customFormat="1" x14ac:dyDescent="0.25">
      <c r="A129" s="1705" t="str">
        <f>IF(C129&gt;0,COUNT(C$64:C129),"")</f>
        <v/>
      </c>
      <c r="B129" s="1557" t="s">
        <v>2966</v>
      </c>
      <c r="C129" s="56"/>
      <c r="D129" s="1554"/>
      <c r="E129" s="1367"/>
      <c r="F129" s="1833"/>
    </row>
    <row r="130" spans="1:6" s="1404" customFormat="1" x14ac:dyDescent="0.25">
      <c r="A130" s="1705" t="str">
        <f>IF(C130&gt;0,COUNT(C$64:C130),"")</f>
        <v/>
      </c>
      <c r="B130" s="1557"/>
      <c r="C130" s="56"/>
      <c r="D130" s="1554"/>
      <c r="E130" s="1367"/>
      <c r="F130" s="1833"/>
    </row>
    <row r="131" spans="1:6" s="1404" customFormat="1" x14ac:dyDescent="0.25">
      <c r="A131" s="1705" t="str">
        <f>IF(C131&gt;0,COUNT(C$64:C131),"")</f>
        <v/>
      </c>
      <c r="B131" s="1557"/>
      <c r="C131" s="56"/>
      <c r="D131" s="1554"/>
      <c r="E131" s="1367"/>
      <c r="F131" s="1833"/>
    </row>
    <row r="132" spans="1:6" s="1404" customFormat="1" x14ac:dyDescent="0.25">
      <c r="A132" s="1705" t="str">
        <f>IF(C132&gt;0,COUNT(C$64:C132),"")</f>
        <v/>
      </c>
      <c r="B132" s="1557"/>
      <c r="C132" s="56"/>
      <c r="D132" s="1554"/>
      <c r="E132" s="1367"/>
      <c r="F132" s="1833"/>
    </row>
    <row r="133" spans="1:6" s="1404" customFormat="1" x14ac:dyDescent="0.25">
      <c r="A133" s="1819" t="str">
        <f>IF(C133&gt;0,COUNT(C$64:C133),"")</f>
        <v/>
      </c>
      <c r="B133" s="1780" t="s">
        <v>2967</v>
      </c>
      <c r="C133" s="1821"/>
      <c r="D133" s="1822"/>
      <c r="E133" s="1715"/>
      <c r="F133" s="1823"/>
    </row>
  </sheetData>
  <protectedRanges>
    <protectedRange password="D55D" sqref="B30:B41 B94:B106" name="Range1_3_1_1"/>
    <protectedRange sqref="E50 G50" name="Range1_2_1_1_1_1_2_1_1_1"/>
    <protectedRange sqref="G52 G58 G62:G65 G72:G79" name="Range1_4_1_1_2_1_1_2_1"/>
    <protectedRange sqref="G67" name="Range1_4_1_1_2_1_1_2_1_1"/>
    <protectedRange sqref="G60" name="Range1_4_1_1_2_1_1_2_4"/>
    <protectedRange password="D55D" sqref="B43 B108" name="Range1_3_1_1_6_3"/>
    <protectedRange password="D55D" sqref="B13:B14 B16:B28" name="Range1_3_1_1_9"/>
    <protectedRange password="D55D" sqref="B15" name="Range1_3_1_1_3_2"/>
    <protectedRange password="D55D" sqref="B45:B47 B110:B113" name="Range1_3_1_1_6_3_1"/>
    <protectedRange password="D55D" sqref="B29" name="Range1_3_1_1_6_1_1_1"/>
    <protectedRange sqref="G66" name="Range1_4_1_1_2_1_1_2_1_1_1"/>
    <protectedRange sqref="G68:G71" name="Range1_4_1_1_2_1_1_2_1_1_1_1"/>
  </protectedRanges>
  <mergeCells count="2">
    <mergeCell ref="A1:B1"/>
    <mergeCell ref="A3:B3"/>
  </mergeCells>
  <pageMargins left="0.7" right="0.7" top="0.75" bottom="0.75" header="0.3" footer="0.3"/>
  <pageSetup paperSize="9" scale="9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B124"/>
  <sheetViews>
    <sheetView view="pageBreakPreview" topLeftCell="A67" zoomScale="98" zoomScaleNormal="100" zoomScaleSheetLayoutView="98" workbookViewId="0">
      <selection activeCell="A101" sqref="A101:F111"/>
    </sheetView>
  </sheetViews>
  <sheetFormatPr defaultRowHeight="13.8" x14ac:dyDescent="0.25"/>
  <cols>
    <col min="1" max="1" width="5.88671875" style="1373" customWidth="1"/>
    <col min="2" max="2" width="48.33203125" style="1374" customWidth="1"/>
    <col min="3" max="3" width="5.21875" style="1372" bestFit="1" customWidth="1"/>
    <col min="4" max="4" width="6" style="1375" bestFit="1" customWidth="1"/>
    <col min="5" max="5" width="10.33203125" style="1376" bestFit="1" customWidth="1"/>
    <col min="6" max="6" width="13" style="1377" bestFit="1" customWidth="1"/>
    <col min="7" max="7" width="13" style="1247" customWidth="1"/>
    <col min="8" max="8" width="8.88671875" style="1260"/>
    <col min="9" max="248" width="8.88671875" style="1327"/>
    <col min="249" max="249" width="3" style="1327" customWidth="1"/>
    <col min="250" max="250" width="4.33203125" style="1327" customWidth="1"/>
    <col min="251" max="251" width="39.44140625" style="1327" customWidth="1"/>
    <col min="252" max="252" width="8.88671875" style="1327" customWidth="1"/>
    <col min="253" max="253" width="10.44140625" style="1327" customWidth="1"/>
    <col min="254" max="254" width="12.33203125" style="1327" customWidth="1"/>
    <col min="255" max="255" width="14.88671875" style="1327" customWidth="1"/>
    <col min="256" max="256" width="8.88671875" style="1327"/>
    <col min="257" max="257" width="14.33203125" style="1327" customWidth="1"/>
    <col min="258" max="258" width="8.88671875" style="1327"/>
    <col min="259" max="259" width="10.44140625" style="1327" customWidth="1"/>
    <col min="260" max="504" width="8.88671875" style="1327"/>
    <col min="505" max="505" width="3" style="1327" customWidth="1"/>
    <col min="506" max="506" width="4.33203125" style="1327" customWidth="1"/>
    <col min="507" max="507" width="39.44140625" style="1327" customWidth="1"/>
    <col min="508" max="508" width="8.88671875" style="1327" customWidth="1"/>
    <col min="509" max="509" width="10.44140625" style="1327" customWidth="1"/>
    <col min="510" max="510" width="12.33203125" style="1327" customWidth="1"/>
    <col min="511" max="511" width="14.88671875" style="1327" customWidth="1"/>
    <col min="512" max="512" width="8.88671875" style="1327"/>
    <col min="513" max="513" width="14.33203125" style="1327" customWidth="1"/>
    <col min="514" max="514" width="8.88671875" style="1327"/>
    <col min="515" max="515" width="10.44140625" style="1327" customWidth="1"/>
    <col min="516" max="760" width="8.88671875" style="1327"/>
    <col min="761" max="761" width="3" style="1327" customWidth="1"/>
    <col min="762" max="762" width="4.33203125" style="1327" customWidth="1"/>
    <col min="763" max="763" width="39.44140625" style="1327" customWidth="1"/>
    <col min="764" max="764" width="8.88671875" style="1327" customWidth="1"/>
    <col min="765" max="765" width="10.44140625" style="1327" customWidth="1"/>
    <col min="766" max="766" width="12.33203125" style="1327" customWidth="1"/>
    <col min="767" max="767" width="14.88671875" style="1327" customWidth="1"/>
    <col min="768" max="768" width="8.88671875" style="1327"/>
    <col min="769" max="769" width="14.33203125" style="1327" customWidth="1"/>
    <col min="770" max="770" width="8.88671875" style="1327"/>
    <col min="771" max="771" width="10.44140625" style="1327" customWidth="1"/>
    <col min="772" max="1016" width="8.88671875" style="1327"/>
    <col min="1017" max="1017" width="3" style="1327" customWidth="1"/>
    <col min="1018" max="1018" width="4.33203125" style="1327" customWidth="1"/>
    <col min="1019" max="1019" width="39.44140625" style="1327" customWidth="1"/>
    <col min="1020" max="1020" width="8.88671875" style="1327" customWidth="1"/>
    <col min="1021" max="1021" width="10.44140625" style="1327" customWidth="1"/>
    <col min="1022" max="1022" width="12.33203125" style="1327" customWidth="1"/>
    <col min="1023" max="1023" width="14.88671875" style="1327" customWidth="1"/>
    <col min="1024" max="1024" width="8.88671875" style="1327"/>
    <col min="1025" max="1025" width="14.33203125" style="1327" customWidth="1"/>
    <col min="1026" max="1026" width="8.88671875" style="1327"/>
    <col min="1027" max="1027" width="10.44140625" style="1327" customWidth="1"/>
    <col min="1028" max="1272" width="8.88671875" style="1327"/>
    <col min="1273" max="1273" width="3" style="1327" customWidth="1"/>
    <col min="1274" max="1274" width="4.33203125" style="1327" customWidth="1"/>
    <col min="1275" max="1275" width="39.44140625" style="1327" customWidth="1"/>
    <col min="1276" max="1276" width="8.88671875" style="1327" customWidth="1"/>
    <col min="1277" max="1277" width="10.44140625" style="1327" customWidth="1"/>
    <col min="1278" max="1278" width="12.33203125" style="1327" customWidth="1"/>
    <col min="1279" max="1279" width="14.88671875" style="1327" customWidth="1"/>
    <col min="1280" max="1280" width="8.88671875" style="1327"/>
    <col min="1281" max="1281" width="14.33203125" style="1327" customWidth="1"/>
    <col min="1282" max="1282" width="8.88671875" style="1327"/>
    <col min="1283" max="1283" width="10.44140625" style="1327" customWidth="1"/>
    <col min="1284" max="1528" width="8.88671875" style="1327"/>
    <col min="1529" max="1529" width="3" style="1327" customWidth="1"/>
    <col min="1530" max="1530" width="4.33203125" style="1327" customWidth="1"/>
    <col min="1531" max="1531" width="39.44140625" style="1327" customWidth="1"/>
    <col min="1532" max="1532" width="8.88671875" style="1327" customWidth="1"/>
    <col min="1533" max="1533" width="10.44140625" style="1327" customWidth="1"/>
    <col min="1534" max="1534" width="12.33203125" style="1327" customWidth="1"/>
    <col min="1535" max="1535" width="14.88671875" style="1327" customWidth="1"/>
    <col min="1536" max="1536" width="8.88671875" style="1327"/>
    <col min="1537" max="1537" width="14.33203125" style="1327" customWidth="1"/>
    <col min="1538" max="1538" width="8.88671875" style="1327"/>
    <col min="1539" max="1539" width="10.44140625" style="1327" customWidth="1"/>
    <col min="1540" max="1784" width="8.88671875" style="1327"/>
    <col min="1785" max="1785" width="3" style="1327" customWidth="1"/>
    <col min="1786" max="1786" width="4.33203125" style="1327" customWidth="1"/>
    <col min="1787" max="1787" width="39.44140625" style="1327" customWidth="1"/>
    <col min="1788" max="1788" width="8.88671875" style="1327" customWidth="1"/>
    <col min="1789" max="1789" width="10.44140625" style="1327" customWidth="1"/>
    <col min="1790" max="1790" width="12.33203125" style="1327" customWidth="1"/>
    <col min="1791" max="1791" width="14.88671875" style="1327" customWidth="1"/>
    <col min="1792" max="1792" width="8.88671875" style="1327"/>
    <col min="1793" max="1793" width="14.33203125" style="1327" customWidth="1"/>
    <col min="1794" max="1794" width="8.88671875" style="1327"/>
    <col min="1795" max="1795" width="10.44140625" style="1327" customWidth="1"/>
    <col min="1796" max="2040" width="8.88671875" style="1327"/>
    <col min="2041" max="2041" width="3" style="1327" customWidth="1"/>
    <col min="2042" max="2042" width="4.33203125" style="1327" customWidth="1"/>
    <col min="2043" max="2043" width="39.44140625" style="1327" customWidth="1"/>
    <col min="2044" max="2044" width="8.88671875" style="1327" customWidth="1"/>
    <col min="2045" max="2045" width="10.44140625" style="1327" customWidth="1"/>
    <col min="2046" max="2046" width="12.33203125" style="1327" customWidth="1"/>
    <col min="2047" max="2047" width="14.88671875" style="1327" customWidth="1"/>
    <col min="2048" max="2048" width="8.88671875" style="1327"/>
    <col min="2049" max="2049" width="14.33203125" style="1327" customWidth="1"/>
    <col min="2050" max="2050" width="8.88671875" style="1327"/>
    <col min="2051" max="2051" width="10.44140625" style="1327" customWidth="1"/>
    <col min="2052" max="2296" width="8.88671875" style="1327"/>
    <col min="2297" max="2297" width="3" style="1327" customWidth="1"/>
    <col min="2298" max="2298" width="4.33203125" style="1327" customWidth="1"/>
    <col min="2299" max="2299" width="39.44140625" style="1327" customWidth="1"/>
    <col min="2300" max="2300" width="8.88671875" style="1327" customWidth="1"/>
    <col min="2301" max="2301" width="10.44140625" style="1327" customWidth="1"/>
    <col min="2302" max="2302" width="12.33203125" style="1327" customWidth="1"/>
    <col min="2303" max="2303" width="14.88671875" style="1327" customWidth="1"/>
    <col min="2304" max="2304" width="8.88671875" style="1327"/>
    <col min="2305" max="2305" width="14.33203125" style="1327" customWidth="1"/>
    <col min="2306" max="2306" width="8.88671875" style="1327"/>
    <col min="2307" max="2307" width="10.44140625" style="1327" customWidth="1"/>
    <col min="2308" max="2552" width="8.88671875" style="1327"/>
    <col min="2553" max="2553" width="3" style="1327" customWidth="1"/>
    <col min="2554" max="2554" width="4.33203125" style="1327" customWidth="1"/>
    <col min="2555" max="2555" width="39.44140625" style="1327" customWidth="1"/>
    <col min="2556" max="2556" width="8.88671875" style="1327" customWidth="1"/>
    <col min="2557" max="2557" width="10.44140625" style="1327" customWidth="1"/>
    <col min="2558" max="2558" width="12.33203125" style="1327" customWidth="1"/>
    <col min="2559" max="2559" width="14.88671875" style="1327" customWidth="1"/>
    <col min="2560" max="2560" width="8.88671875" style="1327"/>
    <col min="2561" max="2561" width="14.33203125" style="1327" customWidth="1"/>
    <col min="2562" max="2562" width="8.88671875" style="1327"/>
    <col min="2563" max="2563" width="10.44140625" style="1327" customWidth="1"/>
    <col min="2564" max="2808" width="8.88671875" style="1327"/>
    <col min="2809" max="2809" width="3" style="1327" customWidth="1"/>
    <col min="2810" max="2810" width="4.33203125" style="1327" customWidth="1"/>
    <col min="2811" max="2811" width="39.44140625" style="1327" customWidth="1"/>
    <col min="2812" max="2812" width="8.88671875" style="1327" customWidth="1"/>
    <col min="2813" max="2813" width="10.44140625" style="1327" customWidth="1"/>
    <col min="2814" max="2814" width="12.33203125" style="1327" customWidth="1"/>
    <col min="2815" max="2815" width="14.88671875" style="1327" customWidth="1"/>
    <col min="2816" max="2816" width="8.88671875" style="1327"/>
    <col min="2817" max="2817" width="14.33203125" style="1327" customWidth="1"/>
    <col min="2818" max="2818" width="8.88671875" style="1327"/>
    <col min="2819" max="2819" width="10.44140625" style="1327" customWidth="1"/>
    <col min="2820" max="3064" width="8.88671875" style="1327"/>
    <col min="3065" max="3065" width="3" style="1327" customWidth="1"/>
    <col min="3066" max="3066" width="4.33203125" style="1327" customWidth="1"/>
    <col min="3067" max="3067" width="39.44140625" style="1327" customWidth="1"/>
    <col min="3068" max="3068" width="8.88671875" style="1327" customWidth="1"/>
    <col min="3069" max="3069" width="10.44140625" style="1327" customWidth="1"/>
    <col min="3070" max="3070" width="12.33203125" style="1327" customWidth="1"/>
    <col min="3071" max="3071" width="14.88671875" style="1327" customWidth="1"/>
    <col min="3072" max="3072" width="8.88671875" style="1327"/>
    <col min="3073" max="3073" width="14.33203125" style="1327" customWidth="1"/>
    <col min="3074" max="3074" width="8.88671875" style="1327"/>
    <col min="3075" max="3075" width="10.44140625" style="1327" customWidth="1"/>
    <col min="3076" max="3320" width="8.88671875" style="1327"/>
    <col min="3321" max="3321" width="3" style="1327" customWidth="1"/>
    <col min="3322" max="3322" width="4.33203125" style="1327" customWidth="1"/>
    <col min="3323" max="3323" width="39.44140625" style="1327" customWidth="1"/>
    <col min="3324" max="3324" width="8.88671875" style="1327" customWidth="1"/>
    <col min="3325" max="3325" width="10.44140625" style="1327" customWidth="1"/>
    <col min="3326" max="3326" width="12.33203125" style="1327" customWidth="1"/>
    <col min="3327" max="3327" width="14.88671875" style="1327" customWidth="1"/>
    <col min="3328" max="3328" width="8.88671875" style="1327"/>
    <col min="3329" max="3329" width="14.33203125" style="1327" customWidth="1"/>
    <col min="3330" max="3330" width="8.88671875" style="1327"/>
    <col min="3331" max="3331" width="10.44140625" style="1327" customWidth="1"/>
    <col min="3332" max="3576" width="8.88671875" style="1327"/>
    <col min="3577" max="3577" width="3" style="1327" customWidth="1"/>
    <col min="3578" max="3578" width="4.33203125" style="1327" customWidth="1"/>
    <col min="3579" max="3579" width="39.44140625" style="1327" customWidth="1"/>
    <col min="3580" max="3580" width="8.88671875" style="1327" customWidth="1"/>
    <col min="3581" max="3581" width="10.44140625" style="1327" customWidth="1"/>
    <col min="3582" max="3582" width="12.33203125" style="1327" customWidth="1"/>
    <col min="3583" max="3583" width="14.88671875" style="1327" customWidth="1"/>
    <col min="3584" max="3584" width="8.88671875" style="1327"/>
    <col min="3585" max="3585" width="14.33203125" style="1327" customWidth="1"/>
    <col min="3586" max="3586" width="8.88671875" style="1327"/>
    <col min="3587" max="3587" width="10.44140625" style="1327" customWidth="1"/>
    <col min="3588" max="3832" width="8.88671875" style="1327"/>
    <col min="3833" max="3833" width="3" style="1327" customWidth="1"/>
    <col min="3834" max="3834" width="4.33203125" style="1327" customWidth="1"/>
    <col min="3835" max="3835" width="39.44140625" style="1327" customWidth="1"/>
    <col min="3836" max="3836" width="8.88671875" style="1327" customWidth="1"/>
    <col min="3837" max="3837" width="10.44140625" style="1327" customWidth="1"/>
    <col min="3838" max="3838" width="12.33203125" style="1327" customWidth="1"/>
    <col min="3839" max="3839" width="14.88671875" style="1327" customWidth="1"/>
    <col min="3840" max="3840" width="8.88671875" style="1327"/>
    <col min="3841" max="3841" width="14.33203125" style="1327" customWidth="1"/>
    <col min="3842" max="3842" width="8.88671875" style="1327"/>
    <col min="3843" max="3843" width="10.44140625" style="1327" customWidth="1"/>
    <col min="3844" max="4088" width="8.88671875" style="1327"/>
    <col min="4089" max="4089" width="3" style="1327" customWidth="1"/>
    <col min="4090" max="4090" width="4.33203125" style="1327" customWidth="1"/>
    <col min="4091" max="4091" width="39.44140625" style="1327" customWidth="1"/>
    <col min="4092" max="4092" width="8.88671875" style="1327" customWidth="1"/>
    <col min="4093" max="4093" width="10.44140625" style="1327" customWidth="1"/>
    <col min="4094" max="4094" width="12.33203125" style="1327" customWidth="1"/>
    <col min="4095" max="4095" width="14.88671875" style="1327" customWidth="1"/>
    <col min="4096" max="4096" width="8.88671875" style="1327"/>
    <col min="4097" max="4097" width="14.33203125" style="1327" customWidth="1"/>
    <col min="4098" max="4098" width="8.88671875" style="1327"/>
    <col min="4099" max="4099" width="10.44140625" style="1327" customWidth="1"/>
    <col min="4100" max="4344" width="8.88671875" style="1327"/>
    <col min="4345" max="4345" width="3" style="1327" customWidth="1"/>
    <col min="4346" max="4346" width="4.33203125" style="1327" customWidth="1"/>
    <col min="4347" max="4347" width="39.44140625" style="1327" customWidth="1"/>
    <col min="4348" max="4348" width="8.88671875" style="1327" customWidth="1"/>
    <col min="4349" max="4349" width="10.44140625" style="1327" customWidth="1"/>
    <col min="4350" max="4350" width="12.33203125" style="1327" customWidth="1"/>
    <col min="4351" max="4351" width="14.88671875" style="1327" customWidth="1"/>
    <col min="4352" max="4352" width="8.88671875" style="1327"/>
    <col min="4353" max="4353" width="14.33203125" style="1327" customWidth="1"/>
    <col min="4354" max="4354" width="8.88671875" style="1327"/>
    <col min="4355" max="4355" width="10.44140625" style="1327" customWidth="1"/>
    <col min="4356" max="4600" width="8.88671875" style="1327"/>
    <col min="4601" max="4601" width="3" style="1327" customWidth="1"/>
    <col min="4602" max="4602" width="4.33203125" style="1327" customWidth="1"/>
    <col min="4603" max="4603" width="39.44140625" style="1327" customWidth="1"/>
    <col min="4604" max="4604" width="8.88671875" style="1327" customWidth="1"/>
    <col min="4605" max="4605" width="10.44140625" style="1327" customWidth="1"/>
    <col min="4606" max="4606" width="12.33203125" style="1327" customWidth="1"/>
    <col min="4607" max="4607" width="14.88671875" style="1327" customWidth="1"/>
    <col min="4608" max="4608" width="8.88671875" style="1327"/>
    <col min="4609" max="4609" width="14.33203125" style="1327" customWidth="1"/>
    <col min="4610" max="4610" width="8.88671875" style="1327"/>
    <col min="4611" max="4611" width="10.44140625" style="1327" customWidth="1"/>
    <col min="4612" max="4856" width="8.88671875" style="1327"/>
    <col min="4857" max="4857" width="3" style="1327" customWidth="1"/>
    <col min="4858" max="4858" width="4.33203125" style="1327" customWidth="1"/>
    <col min="4859" max="4859" width="39.44140625" style="1327" customWidth="1"/>
    <col min="4860" max="4860" width="8.88671875" style="1327" customWidth="1"/>
    <col min="4861" max="4861" width="10.44140625" style="1327" customWidth="1"/>
    <col min="4862" max="4862" width="12.33203125" style="1327" customWidth="1"/>
    <col min="4863" max="4863" width="14.88671875" style="1327" customWidth="1"/>
    <col min="4864" max="4864" width="8.88671875" style="1327"/>
    <col min="4865" max="4865" width="14.33203125" style="1327" customWidth="1"/>
    <col min="4866" max="4866" width="8.88671875" style="1327"/>
    <col min="4867" max="4867" width="10.44140625" style="1327" customWidth="1"/>
    <col min="4868" max="5112" width="8.88671875" style="1327"/>
    <col min="5113" max="5113" width="3" style="1327" customWidth="1"/>
    <col min="5114" max="5114" width="4.33203125" style="1327" customWidth="1"/>
    <col min="5115" max="5115" width="39.44140625" style="1327" customWidth="1"/>
    <col min="5116" max="5116" width="8.88671875" style="1327" customWidth="1"/>
    <col min="5117" max="5117" width="10.44140625" style="1327" customWidth="1"/>
    <col min="5118" max="5118" width="12.33203125" style="1327" customWidth="1"/>
    <col min="5119" max="5119" width="14.88671875" style="1327" customWidth="1"/>
    <col min="5120" max="5120" width="8.88671875" style="1327"/>
    <col min="5121" max="5121" width="14.33203125" style="1327" customWidth="1"/>
    <col min="5122" max="5122" width="8.88671875" style="1327"/>
    <col min="5123" max="5123" width="10.44140625" style="1327" customWidth="1"/>
    <col min="5124" max="5368" width="8.88671875" style="1327"/>
    <col min="5369" max="5369" width="3" style="1327" customWidth="1"/>
    <col min="5370" max="5370" width="4.33203125" style="1327" customWidth="1"/>
    <col min="5371" max="5371" width="39.44140625" style="1327" customWidth="1"/>
    <col min="5372" max="5372" width="8.88671875" style="1327" customWidth="1"/>
    <col min="5373" max="5373" width="10.44140625" style="1327" customWidth="1"/>
    <col min="5374" max="5374" width="12.33203125" style="1327" customWidth="1"/>
    <col min="5375" max="5375" width="14.88671875" style="1327" customWidth="1"/>
    <col min="5376" max="5376" width="8.88671875" style="1327"/>
    <col min="5377" max="5377" width="14.33203125" style="1327" customWidth="1"/>
    <col min="5378" max="5378" width="8.88671875" style="1327"/>
    <col min="5379" max="5379" width="10.44140625" style="1327" customWidth="1"/>
    <col min="5380" max="5624" width="8.88671875" style="1327"/>
    <col min="5625" max="5625" width="3" style="1327" customWidth="1"/>
    <col min="5626" max="5626" width="4.33203125" style="1327" customWidth="1"/>
    <col min="5627" max="5627" width="39.44140625" style="1327" customWidth="1"/>
    <col min="5628" max="5628" width="8.88671875" style="1327" customWidth="1"/>
    <col min="5629" max="5629" width="10.44140625" style="1327" customWidth="1"/>
    <col min="5630" max="5630" width="12.33203125" style="1327" customWidth="1"/>
    <col min="5631" max="5631" width="14.88671875" style="1327" customWidth="1"/>
    <col min="5632" max="5632" width="8.88671875" style="1327"/>
    <col min="5633" max="5633" width="14.33203125" style="1327" customWidth="1"/>
    <col min="5634" max="5634" width="8.88671875" style="1327"/>
    <col min="5635" max="5635" width="10.44140625" style="1327" customWidth="1"/>
    <col min="5636" max="5880" width="8.88671875" style="1327"/>
    <col min="5881" max="5881" width="3" style="1327" customWidth="1"/>
    <col min="5882" max="5882" width="4.33203125" style="1327" customWidth="1"/>
    <col min="5883" max="5883" width="39.44140625" style="1327" customWidth="1"/>
    <col min="5884" max="5884" width="8.88671875" style="1327" customWidth="1"/>
    <col min="5885" max="5885" width="10.44140625" style="1327" customWidth="1"/>
    <col min="5886" max="5886" width="12.33203125" style="1327" customWidth="1"/>
    <col min="5887" max="5887" width="14.88671875" style="1327" customWidth="1"/>
    <col min="5888" max="5888" width="8.88671875" style="1327"/>
    <col min="5889" max="5889" width="14.33203125" style="1327" customWidth="1"/>
    <col min="5890" max="5890" width="8.88671875" style="1327"/>
    <col min="5891" max="5891" width="10.44140625" style="1327" customWidth="1"/>
    <col min="5892" max="6136" width="8.88671875" style="1327"/>
    <col min="6137" max="6137" width="3" style="1327" customWidth="1"/>
    <col min="6138" max="6138" width="4.33203125" style="1327" customWidth="1"/>
    <col min="6139" max="6139" width="39.44140625" style="1327" customWidth="1"/>
    <col min="6140" max="6140" width="8.88671875" style="1327" customWidth="1"/>
    <col min="6141" max="6141" width="10.44140625" style="1327" customWidth="1"/>
    <col min="6142" max="6142" width="12.33203125" style="1327" customWidth="1"/>
    <col min="6143" max="6143" width="14.88671875" style="1327" customWidth="1"/>
    <col min="6144" max="6144" width="8.88671875" style="1327"/>
    <col min="6145" max="6145" width="14.33203125" style="1327" customWidth="1"/>
    <col min="6146" max="6146" width="8.88671875" style="1327"/>
    <col min="6147" max="6147" width="10.44140625" style="1327" customWidth="1"/>
    <col min="6148" max="6392" width="8.88671875" style="1327"/>
    <col min="6393" max="6393" width="3" style="1327" customWidth="1"/>
    <col min="6394" max="6394" width="4.33203125" style="1327" customWidth="1"/>
    <col min="6395" max="6395" width="39.44140625" style="1327" customWidth="1"/>
    <col min="6396" max="6396" width="8.88671875" style="1327" customWidth="1"/>
    <col min="6397" max="6397" width="10.44140625" style="1327" customWidth="1"/>
    <col min="6398" max="6398" width="12.33203125" style="1327" customWidth="1"/>
    <col min="6399" max="6399" width="14.88671875" style="1327" customWidth="1"/>
    <col min="6400" max="6400" width="8.88671875" style="1327"/>
    <col min="6401" max="6401" width="14.33203125" style="1327" customWidth="1"/>
    <col min="6402" max="6402" width="8.88671875" style="1327"/>
    <col min="6403" max="6403" width="10.44140625" style="1327" customWidth="1"/>
    <col min="6404" max="6648" width="8.88671875" style="1327"/>
    <col min="6649" max="6649" width="3" style="1327" customWidth="1"/>
    <col min="6650" max="6650" width="4.33203125" style="1327" customWidth="1"/>
    <col min="6651" max="6651" width="39.44140625" style="1327" customWidth="1"/>
    <col min="6652" max="6652" width="8.88671875" style="1327" customWidth="1"/>
    <col min="6653" max="6653" width="10.44140625" style="1327" customWidth="1"/>
    <col min="6654" max="6654" width="12.33203125" style="1327" customWidth="1"/>
    <col min="6655" max="6655" width="14.88671875" style="1327" customWidth="1"/>
    <col min="6656" max="6656" width="8.88671875" style="1327"/>
    <col min="6657" max="6657" width="14.33203125" style="1327" customWidth="1"/>
    <col min="6658" max="6658" width="8.88671875" style="1327"/>
    <col min="6659" max="6659" width="10.44140625" style="1327" customWidth="1"/>
    <col min="6660" max="6904" width="8.88671875" style="1327"/>
    <col min="6905" max="6905" width="3" style="1327" customWidth="1"/>
    <col min="6906" max="6906" width="4.33203125" style="1327" customWidth="1"/>
    <col min="6907" max="6907" width="39.44140625" style="1327" customWidth="1"/>
    <col min="6908" max="6908" width="8.88671875" style="1327" customWidth="1"/>
    <col min="6909" max="6909" width="10.44140625" style="1327" customWidth="1"/>
    <col min="6910" max="6910" width="12.33203125" style="1327" customWidth="1"/>
    <col min="6911" max="6911" width="14.88671875" style="1327" customWidth="1"/>
    <col min="6912" max="6912" width="8.88671875" style="1327"/>
    <col min="6913" max="6913" width="14.33203125" style="1327" customWidth="1"/>
    <col min="6914" max="6914" width="8.88671875" style="1327"/>
    <col min="6915" max="6915" width="10.44140625" style="1327" customWidth="1"/>
    <col min="6916" max="7160" width="8.88671875" style="1327"/>
    <col min="7161" max="7161" width="3" style="1327" customWidth="1"/>
    <col min="7162" max="7162" width="4.33203125" style="1327" customWidth="1"/>
    <col min="7163" max="7163" width="39.44140625" style="1327" customWidth="1"/>
    <col min="7164" max="7164" width="8.88671875" style="1327" customWidth="1"/>
    <col min="7165" max="7165" width="10.44140625" style="1327" customWidth="1"/>
    <col min="7166" max="7166" width="12.33203125" style="1327" customWidth="1"/>
    <col min="7167" max="7167" width="14.88671875" style="1327" customWidth="1"/>
    <col min="7168" max="7168" width="8.88671875" style="1327"/>
    <col min="7169" max="7169" width="14.33203125" style="1327" customWidth="1"/>
    <col min="7170" max="7170" width="8.88671875" style="1327"/>
    <col min="7171" max="7171" width="10.44140625" style="1327" customWidth="1"/>
    <col min="7172" max="7416" width="8.88671875" style="1327"/>
    <col min="7417" max="7417" width="3" style="1327" customWidth="1"/>
    <col min="7418" max="7418" width="4.33203125" style="1327" customWidth="1"/>
    <col min="7419" max="7419" width="39.44140625" style="1327" customWidth="1"/>
    <col min="7420" max="7420" width="8.88671875" style="1327" customWidth="1"/>
    <col min="7421" max="7421" width="10.44140625" style="1327" customWidth="1"/>
    <col min="7422" max="7422" width="12.33203125" style="1327" customWidth="1"/>
    <col min="7423" max="7423" width="14.88671875" style="1327" customWidth="1"/>
    <col min="7424" max="7424" width="8.88671875" style="1327"/>
    <col min="7425" max="7425" width="14.33203125" style="1327" customWidth="1"/>
    <col min="7426" max="7426" width="8.88671875" style="1327"/>
    <col min="7427" max="7427" width="10.44140625" style="1327" customWidth="1"/>
    <col min="7428" max="7672" width="8.88671875" style="1327"/>
    <col min="7673" max="7673" width="3" style="1327" customWidth="1"/>
    <col min="7674" max="7674" width="4.33203125" style="1327" customWidth="1"/>
    <col min="7675" max="7675" width="39.44140625" style="1327" customWidth="1"/>
    <col min="7676" max="7676" width="8.88671875" style="1327" customWidth="1"/>
    <col min="7677" max="7677" width="10.44140625" style="1327" customWidth="1"/>
    <col min="7678" max="7678" width="12.33203125" style="1327" customWidth="1"/>
    <col min="7679" max="7679" width="14.88671875" style="1327" customWidth="1"/>
    <col min="7680" max="7680" width="8.88671875" style="1327"/>
    <col min="7681" max="7681" width="14.33203125" style="1327" customWidth="1"/>
    <col min="7682" max="7682" width="8.88671875" style="1327"/>
    <col min="7683" max="7683" width="10.44140625" style="1327" customWidth="1"/>
    <col min="7684" max="7928" width="8.88671875" style="1327"/>
    <col min="7929" max="7929" width="3" style="1327" customWidth="1"/>
    <col min="7930" max="7930" width="4.33203125" style="1327" customWidth="1"/>
    <col min="7931" max="7931" width="39.44140625" style="1327" customWidth="1"/>
    <col min="7932" max="7932" width="8.88671875" style="1327" customWidth="1"/>
    <col min="7933" max="7933" width="10.44140625" style="1327" customWidth="1"/>
    <col min="7934" max="7934" width="12.33203125" style="1327" customWidth="1"/>
    <col min="7935" max="7935" width="14.88671875" style="1327" customWidth="1"/>
    <col min="7936" max="7936" width="8.88671875" style="1327"/>
    <col min="7937" max="7937" width="14.33203125" style="1327" customWidth="1"/>
    <col min="7938" max="7938" width="8.88671875" style="1327"/>
    <col min="7939" max="7939" width="10.44140625" style="1327" customWidth="1"/>
    <col min="7940" max="8184" width="8.88671875" style="1327"/>
    <col min="8185" max="8185" width="3" style="1327" customWidth="1"/>
    <col min="8186" max="8186" width="4.33203125" style="1327" customWidth="1"/>
    <col min="8187" max="8187" width="39.44140625" style="1327" customWidth="1"/>
    <col min="8188" max="8188" width="8.88671875" style="1327" customWidth="1"/>
    <col min="8189" max="8189" width="10.44140625" style="1327" customWidth="1"/>
    <col min="8190" max="8190" width="12.33203125" style="1327" customWidth="1"/>
    <col min="8191" max="8191" width="14.88671875" style="1327" customWidth="1"/>
    <col min="8192" max="8192" width="8.88671875" style="1327"/>
    <col min="8193" max="8193" width="14.33203125" style="1327" customWidth="1"/>
    <col min="8194" max="8194" width="8.88671875" style="1327"/>
    <col min="8195" max="8195" width="10.44140625" style="1327" customWidth="1"/>
    <col min="8196" max="8440" width="8.88671875" style="1327"/>
    <col min="8441" max="8441" width="3" style="1327" customWidth="1"/>
    <col min="8442" max="8442" width="4.33203125" style="1327" customWidth="1"/>
    <col min="8443" max="8443" width="39.44140625" style="1327" customWidth="1"/>
    <col min="8444" max="8444" width="8.88671875" style="1327" customWidth="1"/>
    <col min="8445" max="8445" width="10.44140625" style="1327" customWidth="1"/>
    <col min="8446" max="8446" width="12.33203125" style="1327" customWidth="1"/>
    <col min="8447" max="8447" width="14.88671875" style="1327" customWidth="1"/>
    <col min="8448" max="8448" width="8.88671875" style="1327"/>
    <col min="8449" max="8449" width="14.33203125" style="1327" customWidth="1"/>
    <col min="8450" max="8450" width="8.88671875" style="1327"/>
    <col min="8451" max="8451" width="10.44140625" style="1327" customWidth="1"/>
    <col min="8452" max="8696" width="8.88671875" style="1327"/>
    <col min="8697" max="8697" width="3" style="1327" customWidth="1"/>
    <col min="8698" max="8698" width="4.33203125" style="1327" customWidth="1"/>
    <col min="8699" max="8699" width="39.44140625" style="1327" customWidth="1"/>
    <col min="8700" max="8700" width="8.88671875" style="1327" customWidth="1"/>
    <col min="8701" max="8701" width="10.44140625" style="1327" customWidth="1"/>
    <col min="8702" max="8702" width="12.33203125" style="1327" customWidth="1"/>
    <col min="8703" max="8703" width="14.88671875" style="1327" customWidth="1"/>
    <col min="8704" max="8704" width="8.88671875" style="1327"/>
    <col min="8705" max="8705" width="14.33203125" style="1327" customWidth="1"/>
    <col min="8706" max="8706" width="8.88671875" style="1327"/>
    <col min="8707" max="8707" width="10.44140625" style="1327" customWidth="1"/>
    <col min="8708" max="8952" width="8.88671875" style="1327"/>
    <col min="8953" max="8953" width="3" style="1327" customWidth="1"/>
    <col min="8954" max="8954" width="4.33203125" style="1327" customWidth="1"/>
    <col min="8955" max="8955" width="39.44140625" style="1327" customWidth="1"/>
    <col min="8956" max="8956" width="8.88671875" style="1327" customWidth="1"/>
    <col min="8957" max="8957" width="10.44140625" style="1327" customWidth="1"/>
    <col min="8958" max="8958" width="12.33203125" style="1327" customWidth="1"/>
    <col min="8959" max="8959" width="14.88671875" style="1327" customWidth="1"/>
    <col min="8960" max="8960" width="8.88671875" style="1327"/>
    <col min="8961" max="8961" width="14.33203125" style="1327" customWidth="1"/>
    <col min="8962" max="8962" width="8.88671875" style="1327"/>
    <col min="8963" max="8963" width="10.44140625" style="1327" customWidth="1"/>
    <col min="8964" max="9208" width="8.88671875" style="1327"/>
    <col min="9209" max="9209" width="3" style="1327" customWidth="1"/>
    <col min="9210" max="9210" width="4.33203125" style="1327" customWidth="1"/>
    <col min="9211" max="9211" width="39.44140625" style="1327" customWidth="1"/>
    <col min="9212" max="9212" width="8.88671875" style="1327" customWidth="1"/>
    <col min="9213" max="9213" width="10.44140625" style="1327" customWidth="1"/>
    <col min="9214" max="9214" width="12.33203125" style="1327" customWidth="1"/>
    <col min="9215" max="9215" width="14.88671875" style="1327" customWidth="1"/>
    <col min="9216" max="9216" width="8.88671875" style="1327"/>
    <col min="9217" max="9217" width="14.33203125" style="1327" customWidth="1"/>
    <col min="9218" max="9218" width="8.88671875" style="1327"/>
    <col min="9219" max="9219" width="10.44140625" style="1327" customWidth="1"/>
    <col min="9220" max="9464" width="8.88671875" style="1327"/>
    <col min="9465" max="9465" width="3" style="1327" customWidth="1"/>
    <col min="9466" max="9466" width="4.33203125" style="1327" customWidth="1"/>
    <col min="9467" max="9467" width="39.44140625" style="1327" customWidth="1"/>
    <col min="9468" max="9468" width="8.88671875" style="1327" customWidth="1"/>
    <col min="9469" max="9469" width="10.44140625" style="1327" customWidth="1"/>
    <col min="9470" max="9470" width="12.33203125" style="1327" customWidth="1"/>
    <col min="9471" max="9471" width="14.88671875" style="1327" customWidth="1"/>
    <col min="9472" max="9472" width="8.88671875" style="1327"/>
    <col min="9473" max="9473" width="14.33203125" style="1327" customWidth="1"/>
    <col min="9474" max="9474" width="8.88671875" style="1327"/>
    <col min="9475" max="9475" width="10.44140625" style="1327" customWidth="1"/>
    <col min="9476" max="9720" width="8.88671875" style="1327"/>
    <col min="9721" max="9721" width="3" style="1327" customWidth="1"/>
    <col min="9722" max="9722" width="4.33203125" style="1327" customWidth="1"/>
    <col min="9723" max="9723" width="39.44140625" style="1327" customWidth="1"/>
    <col min="9724" max="9724" width="8.88671875" style="1327" customWidth="1"/>
    <col min="9725" max="9725" width="10.44140625" style="1327" customWidth="1"/>
    <col min="9726" max="9726" width="12.33203125" style="1327" customWidth="1"/>
    <col min="9727" max="9727" width="14.88671875" style="1327" customWidth="1"/>
    <col min="9728" max="9728" width="8.88671875" style="1327"/>
    <col min="9729" max="9729" width="14.33203125" style="1327" customWidth="1"/>
    <col min="9730" max="9730" width="8.88671875" style="1327"/>
    <col min="9731" max="9731" width="10.44140625" style="1327" customWidth="1"/>
    <col min="9732" max="9976" width="8.88671875" style="1327"/>
    <col min="9977" max="9977" width="3" style="1327" customWidth="1"/>
    <col min="9978" max="9978" width="4.33203125" style="1327" customWidth="1"/>
    <col min="9979" max="9979" width="39.44140625" style="1327" customWidth="1"/>
    <col min="9980" max="9980" width="8.88671875" style="1327" customWidth="1"/>
    <col min="9981" max="9981" width="10.44140625" style="1327" customWidth="1"/>
    <col min="9982" max="9982" width="12.33203125" style="1327" customWidth="1"/>
    <col min="9983" max="9983" width="14.88671875" style="1327" customWidth="1"/>
    <col min="9984" max="9984" width="8.88671875" style="1327"/>
    <col min="9985" max="9985" width="14.33203125" style="1327" customWidth="1"/>
    <col min="9986" max="9986" width="8.88671875" style="1327"/>
    <col min="9987" max="9987" width="10.44140625" style="1327" customWidth="1"/>
    <col min="9988" max="10232" width="8.88671875" style="1327"/>
    <col min="10233" max="10233" width="3" style="1327" customWidth="1"/>
    <col min="10234" max="10234" width="4.33203125" style="1327" customWidth="1"/>
    <col min="10235" max="10235" width="39.44140625" style="1327" customWidth="1"/>
    <col min="10236" max="10236" width="8.88671875" style="1327" customWidth="1"/>
    <col min="10237" max="10237" width="10.44140625" style="1327" customWidth="1"/>
    <col min="10238" max="10238" width="12.33203125" style="1327" customWidth="1"/>
    <col min="10239" max="10239" width="14.88671875" style="1327" customWidth="1"/>
    <col min="10240" max="10240" width="8.88671875" style="1327"/>
    <col min="10241" max="10241" width="14.33203125" style="1327" customWidth="1"/>
    <col min="10242" max="10242" width="8.88671875" style="1327"/>
    <col min="10243" max="10243" width="10.44140625" style="1327" customWidth="1"/>
    <col min="10244" max="10488" width="8.88671875" style="1327"/>
    <col min="10489" max="10489" width="3" style="1327" customWidth="1"/>
    <col min="10490" max="10490" width="4.33203125" style="1327" customWidth="1"/>
    <col min="10491" max="10491" width="39.44140625" style="1327" customWidth="1"/>
    <col min="10492" max="10492" width="8.88671875" style="1327" customWidth="1"/>
    <col min="10493" max="10493" width="10.44140625" style="1327" customWidth="1"/>
    <col min="10494" max="10494" width="12.33203125" style="1327" customWidth="1"/>
    <col min="10495" max="10495" width="14.88671875" style="1327" customWidth="1"/>
    <col min="10496" max="10496" width="8.88671875" style="1327"/>
    <col min="10497" max="10497" width="14.33203125" style="1327" customWidth="1"/>
    <col min="10498" max="10498" width="8.88671875" style="1327"/>
    <col min="10499" max="10499" width="10.44140625" style="1327" customWidth="1"/>
    <col min="10500" max="10744" width="8.88671875" style="1327"/>
    <col min="10745" max="10745" width="3" style="1327" customWidth="1"/>
    <col min="10746" max="10746" width="4.33203125" style="1327" customWidth="1"/>
    <col min="10747" max="10747" width="39.44140625" style="1327" customWidth="1"/>
    <col min="10748" max="10748" width="8.88671875" style="1327" customWidth="1"/>
    <col min="10749" max="10749" width="10.44140625" style="1327" customWidth="1"/>
    <col min="10750" max="10750" width="12.33203125" style="1327" customWidth="1"/>
    <col min="10751" max="10751" width="14.88671875" style="1327" customWidth="1"/>
    <col min="10752" max="10752" width="8.88671875" style="1327"/>
    <col min="10753" max="10753" width="14.33203125" style="1327" customWidth="1"/>
    <col min="10754" max="10754" width="8.88671875" style="1327"/>
    <col min="10755" max="10755" width="10.44140625" style="1327" customWidth="1"/>
    <col min="10756" max="11000" width="8.88671875" style="1327"/>
    <col min="11001" max="11001" width="3" style="1327" customWidth="1"/>
    <col min="11002" max="11002" width="4.33203125" style="1327" customWidth="1"/>
    <col min="11003" max="11003" width="39.44140625" style="1327" customWidth="1"/>
    <col min="11004" max="11004" width="8.88671875" style="1327" customWidth="1"/>
    <col min="11005" max="11005" width="10.44140625" style="1327" customWidth="1"/>
    <col min="11006" max="11006" width="12.33203125" style="1327" customWidth="1"/>
    <col min="11007" max="11007" width="14.88671875" style="1327" customWidth="1"/>
    <col min="11008" max="11008" width="8.88671875" style="1327"/>
    <col min="11009" max="11009" width="14.33203125" style="1327" customWidth="1"/>
    <col min="11010" max="11010" width="8.88671875" style="1327"/>
    <col min="11011" max="11011" width="10.44140625" style="1327" customWidth="1"/>
    <col min="11012" max="11256" width="8.88671875" style="1327"/>
    <col min="11257" max="11257" width="3" style="1327" customWidth="1"/>
    <col min="11258" max="11258" width="4.33203125" style="1327" customWidth="1"/>
    <col min="11259" max="11259" width="39.44140625" style="1327" customWidth="1"/>
    <col min="11260" max="11260" width="8.88671875" style="1327" customWidth="1"/>
    <col min="11261" max="11261" width="10.44140625" style="1327" customWidth="1"/>
    <col min="11262" max="11262" width="12.33203125" style="1327" customWidth="1"/>
    <col min="11263" max="11263" width="14.88671875" style="1327" customWidth="1"/>
    <col min="11264" max="11264" width="8.88671875" style="1327"/>
    <col min="11265" max="11265" width="14.33203125" style="1327" customWidth="1"/>
    <col min="11266" max="11266" width="8.88671875" style="1327"/>
    <col min="11267" max="11267" width="10.44140625" style="1327" customWidth="1"/>
    <col min="11268" max="11512" width="8.88671875" style="1327"/>
    <col min="11513" max="11513" width="3" style="1327" customWidth="1"/>
    <col min="11514" max="11514" width="4.33203125" style="1327" customWidth="1"/>
    <col min="11515" max="11515" width="39.44140625" style="1327" customWidth="1"/>
    <col min="11516" max="11516" width="8.88671875" style="1327" customWidth="1"/>
    <col min="11517" max="11517" width="10.44140625" style="1327" customWidth="1"/>
    <col min="11518" max="11518" width="12.33203125" style="1327" customWidth="1"/>
    <col min="11519" max="11519" width="14.88671875" style="1327" customWidth="1"/>
    <col min="11520" max="11520" width="8.88671875" style="1327"/>
    <col min="11521" max="11521" width="14.33203125" style="1327" customWidth="1"/>
    <col min="11522" max="11522" width="8.88671875" style="1327"/>
    <col min="11523" max="11523" width="10.44140625" style="1327" customWidth="1"/>
    <col min="11524" max="11768" width="8.88671875" style="1327"/>
    <col min="11769" max="11769" width="3" style="1327" customWidth="1"/>
    <col min="11770" max="11770" width="4.33203125" style="1327" customWidth="1"/>
    <col min="11771" max="11771" width="39.44140625" style="1327" customWidth="1"/>
    <col min="11772" max="11772" width="8.88671875" style="1327" customWidth="1"/>
    <col min="11773" max="11773" width="10.44140625" style="1327" customWidth="1"/>
    <col min="11774" max="11774" width="12.33203125" style="1327" customWidth="1"/>
    <col min="11775" max="11775" width="14.88671875" style="1327" customWidth="1"/>
    <col min="11776" max="11776" width="8.88671875" style="1327"/>
    <col min="11777" max="11777" width="14.33203125" style="1327" customWidth="1"/>
    <col min="11778" max="11778" width="8.88671875" style="1327"/>
    <col min="11779" max="11779" width="10.44140625" style="1327" customWidth="1"/>
    <col min="11780" max="12024" width="8.88671875" style="1327"/>
    <col min="12025" max="12025" width="3" style="1327" customWidth="1"/>
    <col min="12026" max="12026" width="4.33203125" style="1327" customWidth="1"/>
    <col min="12027" max="12027" width="39.44140625" style="1327" customWidth="1"/>
    <col min="12028" max="12028" width="8.88671875" style="1327" customWidth="1"/>
    <col min="12029" max="12029" width="10.44140625" style="1327" customWidth="1"/>
    <col min="12030" max="12030" width="12.33203125" style="1327" customWidth="1"/>
    <col min="12031" max="12031" width="14.88671875" style="1327" customWidth="1"/>
    <col min="12032" max="12032" width="8.88671875" style="1327"/>
    <col min="12033" max="12033" width="14.33203125" style="1327" customWidth="1"/>
    <col min="12034" max="12034" width="8.88671875" style="1327"/>
    <col min="12035" max="12035" width="10.44140625" style="1327" customWidth="1"/>
    <col min="12036" max="12280" width="8.88671875" style="1327"/>
    <col min="12281" max="12281" width="3" style="1327" customWidth="1"/>
    <col min="12282" max="12282" width="4.33203125" style="1327" customWidth="1"/>
    <col min="12283" max="12283" width="39.44140625" style="1327" customWidth="1"/>
    <col min="12284" max="12284" width="8.88671875" style="1327" customWidth="1"/>
    <col min="12285" max="12285" width="10.44140625" style="1327" customWidth="1"/>
    <col min="12286" max="12286" width="12.33203125" style="1327" customWidth="1"/>
    <col min="12287" max="12287" width="14.88671875" style="1327" customWidth="1"/>
    <col min="12288" max="12288" width="8.88671875" style="1327"/>
    <col min="12289" max="12289" width="14.33203125" style="1327" customWidth="1"/>
    <col min="12290" max="12290" width="8.88671875" style="1327"/>
    <col min="12291" max="12291" width="10.44140625" style="1327" customWidth="1"/>
    <col min="12292" max="12536" width="8.88671875" style="1327"/>
    <col min="12537" max="12537" width="3" style="1327" customWidth="1"/>
    <col min="12538" max="12538" width="4.33203125" style="1327" customWidth="1"/>
    <col min="12539" max="12539" width="39.44140625" style="1327" customWidth="1"/>
    <col min="12540" max="12540" width="8.88671875" style="1327" customWidth="1"/>
    <col min="12541" max="12541" width="10.44140625" style="1327" customWidth="1"/>
    <col min="12542" max="12542" width="12.33203125" style="1327" customWidth="1"/>
    <col min="12543" max="12543" width="14.88671875" style="1327" customWidth="1"/>
    <col min="12544" max="12544" width="8.88671875" style="1327"/>
    <col min="12545" max="12545" width="14.33203125" style="1327" customWidth="1"/>
    <col min="12546" max="12546" width="8.88671875" style="1327"/>
    <col min="12547" max="12547" width="10.44140625" style="1327" customWidth="1"/>
    <col min="12548" max="12792" width="8.88671875" style="1327"/>
    <col min="12793" max="12793" width="3" style="1327" customWidth="1"/>
    <col min="12794" max="12794" width="4.33203125" style="1327" customWidth="1"/>
    <col min="12795" max="12795" width="39.44140625" style="1327" customWidth="1"/>
    <col min="12796" max="12796" width="8.88671875" style="1327" customWidth="1"/>
    <col min="12797" max="12797" width="10.44140625" style="1327" customWidth="1"/>
    <col min="12798" max="12798" width="12.33203125" style="1327" customWidth="1"/>
    <col min="12799" max="12799" width="14.88671875" style="1327" customWidth="1"/>
    <col min="12800" max="12800" width="8.88671875" style="1327"/>
    <col min="12801" max="12801" width="14.33203125" style="1327" customWidth="1"/>
    <col min="12802" max="12802" width="8.88671875" style="1327"/>
    <col min="12803" max="12803" width="10.44140625" style="1327" customWidth="1"/>
    <col min="12804" max="13048" width="8.88671875" style="1327"/>
    <col min="13049" max="13049" width="3" style="1327" customWidth="1"/>
    <col min="13050" max="13050" width="4.33203125" style="1327" customWidth="1"/>
    <col min="13051" max="13051" width="39.44140625" style="1327" customWidth="1"/>
    <col min="13052" max="13052" width="8.88671875" style="1327" customWidth="1"/>
    <col min="13053" max="13053" width="10.44140625" style="1327" customWidth="1"/>
    <col min="13054" max="13054" width="12.33203125" style="1327" customWidth="1"/>
    <col min="13055" max="13055" width="14.88671875" style="1327" customWidth="1"/>
    <col min="13056" max="13056" width="8.88671875" style="1327"/>
    <col min="13057" max="13057" width="14.33203125" style="1327" customWidth="1"/>
    <col min="13058" max="13058" width="8.88671875" style="1327"/>
    <col min="13059" max="13059" width="10.44140625" style="1327" customWidth="1"/>
    <col min="13060" max="13304" width="8.88671875" style="1327"/>
    <col min="13305" max="13305" width="3" style="1327" customWidth="1"/>
    <col min="13306" max="13306" width="4.33203125" style="1327" customWidth="1"/>
    <col min="13307" max="13307" width="39.44140625" style="1327" customWidth="1"/>
    <col min="13308" max="13308" width="8.88671875" style="1327" customWidth="1"/>
    <col min="13309" max="13309" width="10.44140625" style="1327" customWidth="1"/>
    <col min="13310" max="13310" width="12.33203125" style="1327" customWidth="1"/>
    <col min="13311" max="13311" width="14.88671875" style="1327" customWidth="1"/>
    <col min="13312" max="13312" width="8.88671875" style="1327"/>
    <col min="13313" max="13313" width="14.33203125" style="1327" customWidth="1"/>
    <col min="13314" max="13314" width="8.88671875" style="1327"/>
    <col min="13315" max="13315" width="10.44140625" style="1327" customWidth="1"/>
    <col min="13316" max="13560" width="8.88671875" style="1327"/>
    <col min="13561" max="13561" width="3" style="1327" customWidth="1"/>
    <col min="13562" max="13562" width="4.33203125" style="1327" customWidth="1"/>
    <col min="13563" max="13563" width="39.44140625" style="1327" customWidth="1"/>
    <col min="13564" max="13564" width="8.88671875" style="1327" customWidth="1"/>
    <col min="13565" max="13565" width="10.44140625" style="1327" customWidth="1"/>
    <col min="13566" max="13566" width="12.33203125" style="1327" customWidth="1"/>
    <col min="13567" max="13567" width="14.88671875" style="1327" customWidth="1"/>
    <col min="13568" max="13568" width="8.88671875" style="1327"/>
    <col min="13569" max="13569" width="14.33203125" style="1327" customWidth="1"/>
    <col min="13570" max="13570" width="8.88671875" style="1327"/>
    <col min="13571" max="13571" width="10.44140625" style="1327" customWidth="1"/>
    <col min="13572" max="13816" width="8.88671875" style="1327"/>
    <col min="13817" max="13817" width="3" style="1327" customWidth="1"/>
    <col min="13818" max="13818" width="4.33203125" style="1327" customWidth="1"/>
    <col min="13819" max="13819" width="39.44140625" style="1327" customWidth="1"/>
    <col min="13820" max="13820" width="8.88671875" style="1327" customWidth="1"/>
    <col min="13821" max="13821" width="10.44140625" style="1327" customWidth="1"/>
    <col min="13822" max="13822" width="12.33203125" style="1327" customWidth="1"/>
    <col min="13823" max="13823" width="14.88671875" style="1327" customWidth="1"/>
    <col min="13824" max="13824" width="8.88671875" style="1327"/>
    <col min="13825" max="13825" width="14.33203125" style="1327" customWidth="1"/>
    <col min="13826" max="13826" width="8.88671875" style="1327"/>
    <col min="13827" max="13827" width="10.44140625" style="1327" customWidth="1"/>
    <col min="13828" max="14072" width="8.88671875" style="1327"/>
    <col min="14073" max="14073" width="3" style="1327" customWidth="1"/>
    <col min="14074" max="14074" width="4.33203125" style="1327" customWidth="1"/>
    <col min="14075" max="14075" width="39.44140625" style="1327" customWidth="1"/>
    <col min="14076" max="14076" width="8.88671875" style="1327" customWidth="1"/>
    <col min="14077" max="14077" width="10.44140625" style="1327" customWidth="1"/>
    <col min="14078" max="14078" width="12.33203125" style="1327" customWidth="1"/>
    <col min="14079" max="14079" width="14.88671875" style="1327" customWidth="1"/>
    <col min="14080" max="14080" width="8.88671875" style="1327"/>
    <col min="14081" max="14081" width="14.33203125" style="1327" customWidth="1"/>
    <col min="14082" max="14082" width="8.88671875" style="1327"/>
    <col min="14083" max="14083" width="10.44140625" style="1327" customWidth="1"/>
    <col min="14084" max="14328" width="8.88671875" style="1327"/>
    <col min="14329" max="14329" width="3" style="1327" customWidth="1"/>
    <col min="14330" max="14330" width="4.33203125" style="1327" customWidth="1"/>
    <col min="14331" max="14331" width="39.44140625" style="1327" customWidth="1"/>
    <col min="14332" max="14332" width="8.88671875" style="1327" customWidth="1"/>
    <col min="14333" max="14333" width="10.44140625" style="1327" customWidth="1"/>
    <col min="14334" max="14334" width="12.33203125" style="1327" customWidth="1"/>
    <col min="14335" max="14335" width="14.88671875" style="1327" customWidth="1"/>
    <col min="14336" max="14336" width="8.88671875" style="1327"/>
    <col min="14337" max="14337" width="14.33203125" style="1327" customWidth="1"/>
    <col min="14338" max="14338" width="8.88671875" style="1327"/>
    <col min="14339" max="14339" width="10.44140625" style="1327" customWidth="1"/>
    <col min="14340" max="14584" width="8.88671875" style="1327"/>
    <col min="14585" max="14585" width="3" style="1327" customWidth="1"/>
    <col min="14586" max="14586" width="4.33203125" style="1327" customWidth="1"/>
    <col min="14587" max="14587" width="39.44140625" style="1327" customWidth="1"/>
    <col min="14588" max="14588" width="8.88671875" style="1327" customWidth="1"/>
    <col min="14589" max="14589" width="10.44140625" style="1327" customWidth="1"/>
    <col min="14590" max="14590" width="12.33203125" style="1327" customWidth="1"/>
    <col min="14591" max="14591" width="14.88671875" style="1327" customWidth="1"/>
    <col min="14592" max="14592" width="8.88671875" style="1327"/>
    <col min="14593" max="14593" width="14.33203125" style="1327" customWidth="1"/>
    <col min="14594" max="14594" width="8.88671875" style="1327"/>
    <col min="14595" max="14595" width="10.44140625" style="1327" customWidth="1"/>
    <col min="14596" max="14840" width="8.88671875" style="1327"/>
    <col min="14841" max="14841" width="3" style="1327" customWidth="1"/>
    <col min="14842" max="14842" width="4.33203125" style="1327" customWidth="1"/>
    <col min="14843" max="14843" width="39.44140625" style="1327" customWidth="1"/>
    <col min="14844" max="14844" width="8.88671875" style="1327" customWidth="1"/>
    <col min="14845" max="14845" width="10.44140625" style="1327" customWidth="1"/>
    <col min="14846" max="14846" width="12.33203125" style="1327" customWidth="1"/>
    <col min="14847" max="14847" width="14.88671875" style="1327" customWidth="1"/>
    <col min="14848" max="14848" width="8.88671875" style="1327"/>
    <col min="14849" max="14849" width="14.33203125" style="1327" customWidth="1"/>
    <col min="14850" max="14850" width="8.88671875" style="1327"/>
    <col min="14851" max="14851" width="10.44140625" style="1327" customWidth="1"/>
    <col min="14852" max="15096" width="8.88671875" style="1327"/>
    <col min="15097" max="15097" width="3" style="1327" customWidth="1"/>
    <col min="15098" max="15098" width="4.33203125" style="1327" customWidth="1"/>
    <col min="15099" max="15099" width="39.44140625" style="1327" customWidth="1"/>
    <col min="15100" max="15100" width="8.88671875" style="1327" customWidth="1"/>
    <col min="15101" max="15101" width="10.44140625" style="1327" customWidth="1"/>
    <col min="15102" max="15102" width="12.33203125" style="1327" customWidth="1"/>
    <col min="15103" max="15103" width="14.88671875" style="1327" customWidth="1"/>
    <col min="15104" max="15104" width="8.88671875" style="1327"/>
    <col min="15105" max="15105" width="14.33203125" style="1327" customWidth="1"/>
    <col min="15106" max="15106" width="8.88671875" style="1327"/>
    <col min="15107" max="15107" width="10.44140625" style="1327" customWidth="1"/>
    <col min="15108" max="15352" width="8.88671875" style="1327"/>
    <col min="15353" max="15353" width="3" style="1327" customWidth="1"/>
    <col min="15354" max="15354" width="4.33203125" style="1327" customWidth="1"/>
    <col min="15355" max="15355" width="39.44140625" style="1327" customWidth="1"/>
    <col min="15356" max="15356" width="8.88671875" style="1327" customWidth="1"/>
    <col min="15357" max="15357" width="10.44140625" style="1327" customWidth="1"/>
    <col min="15358" max="15358" width="12.33203125" style="1327" customWidth="1"/>
    <col min="15359" max="15359" width="14.88671875" style="1327" customWidth="1"/>
    <col min="15360" max="15360" width="8.88671875" style="1327"/>
    <col min="15361" max="15361" width="14.33203125" style="1327" customWidth="1"/>
    <col min="15362" max="15362" width="8.88671875" style="1327"/>
    <col min="15363" max="15363" width="10.44140625" style="1327" customWidth="1"/>
    <col min="15364" max="15608" width="8.88671875" style="1327"/>
    <col min="15609" max="15609" width="3" style="1327" customWidth="1"/>
    <col min="15610" max="15610" width="4.33203125" style="1327" customWidth="1"/>
    <col min="15611" max="15611" width="39.44140625" style="1327" customWidth="1"/>
    <col min="15612" max="15612" width="8.88671875" style="1327" customWidth="1"/>
    <col min="15613" max="15613" width="10.44140625" style="1327" customWidth="1"/>
    <col min="15614" max="15614" width="12.33203125" style="1327" customWidth="1"/>
    <col min="15615" max="15615" width="14.88671875" style="1327" customWidth="1"/>
    <col min="15616" max="15616" width="8.88671875" style="1327"/>
    <col min="15617" max="15617" width="14.33203125" style="1327" customWidth="1"/>
    <col min="15618" max="15618" width="8.88671875" style="1327"/>
    <col min="15619" max="15619" width="10.44140625" style="1327" customWidth="1"/>
    <col min="15620" max="15864" width="8.88671875" style="1327"/>
    <col min="15865" max="15865" width="3" style="1327" customWidth="1"/>
    <col min="15866" max="15866" width="4.33203125" style="1327" customWidth="1"/>
    <col min="15867" max="15867" width="39.44140625" style="1327" customWidth="1"/>
    <col min="15868" max="15868" width="8.88671875" style="1327" customWidth="1"/>
    <col min="15869" max="15869" width="10.44140625" style="1327" customWidth="1"/>
    <col min="15870" max="15870" width="12.33203125" style="1327" customWidth="1"/>
    <col min="15871" max="15871" width="14.88671875" style="1327" customWidth="1"/>
    <col min="15872" max="15872" width="8.88671875" style="1327"/>
    <col min="15873" max="15873" width="14.33203125" style="1327" customWidth="1"/>
    <col min="15874" max="15874" width="8.88671875" style="1327"/>
    <col min="15875" max="15875" width="10.44140625" style="1327" customWidth="1"/>
    <col min="15876" max="16120" width="8.88671875" style="1327"/>
    <col min="16121" max="16121" width="3" style="1327" customWidth="1"/>
    <col min="16122" max="16122" width="4.33203125" style="1327" customWidth="1"/>
    <col min="16123" max="16123" width="39.44140625" style="1327" customWidth="1"/>
    <col min="16124" max="16124" width="8.88671875" style="1327" customWidth="1"/>
    <col min="16125" max="16125" width="10.44140625" style="1327" customWidth="1"/>
    <col min="16126" max="16126" width="12.33203125" style="1327" customWidth="1"/>
    <col min="16127" max="16127" width="14.88671875" style="1327" customWidth="1"/>
    <col min="16128" max="16128" width="8.88671875" style="1327"/>
    <col min="16129" max="16129" width="14.33203125" style="1327" customWidth="1"/>
    <col min="16130" max="16130" width="8.88671875" style="1327"/>
    <col min="16131" max="16131" width="10.44140625" style="1327" customWidth="1"/>
    <col min="16132" max="16384" width="8.88671875" style="1327"/>
  </cols>
  <sheetData>
    <row r="1" spans="1:8" s="1473" customFormat="1" x14ac:dyDescent="0.25">
      <c r="A1" s="1838" t="s">
        <v>3071</v>
      </c>
      <c r="B1" s="1839"/>
      <c r="C1" s="1787"/>
      <c r="D1" s="1788"/>
      <c r="E1" s="1840"/>
      <c r="F1" s="1841"/>
    </row>
    <row r="2" spans="1:8" s="1473" customFormat="1" x14ac:dyDescent="0.25">
      <c r="A2" s="1791" t="s">
        <v>2971</v>
      </c>
      <c r="B2" s="1842"/>
      <c r="C2" s="1792"/>
      <c r="D2" s="1843"/>
      <c r="E2" s="1843"/>
      <c r="F2" s="1844"/>
    </row>
    <row r="3" spans="1:8" s="1473" customFormat="1" x14ac:dyDescent="0.25">
      <c r="A3" s="2984" t="s">
        <v>3072</v>
      </c>
      <c r="B3" s="2985"/>
      <c r="C3" s="1792"/>
      <c r="D3" s="1843"/>
      <c r="E3" s="1843"/>
      <c r="F3" s="1844"/>
    </row>
    <row r="4" spans="1:8" s="1404" customFormat="1" x14ac:dyDescent="0.25">
      <c r="A4" s="1845"/>
      <c r="B4" s="1568"/>
      <c r="C4" s="56"/>
      <c r="D4" s="1554"/>
      <c r="E4" s="1520"/>
      <c r="F4" s="1503"/>
      <c r="G4" s="1569"/>
      <c r="H4" s="1517"/>
    </row>
    <row r="5" spans="1:8" s="1248" customFormat="1" x14ac:dyDescent="0.25">
      <c r="A5" s="1244" t="s">
        <v>683</v>
      </c>
      <c r="B5" s="1244" t="s">
        <v>684</v>
      </c>
      <c r="C5" s="1570" t="s">
        <v>689</v>
      </c>
      <c r="D5" s="1244" t="s">
        <v>691</v>
      </c>
      <c r="E5" s="1571" t="s">
        <v>1288</v>
      </c>
      <c r="F5" s="1246" t="s">
        <v>3020</v>
      </c>
      <c r="G5" s="1247"/>
      <c r="H5" s="1267"/>
    </row>
    <row r="6" spans="1:8" s="1248" customFormat="1" x14ac:dyDescent="0.25">
      <c r="A6" s="1252"/>
      <c r="B6" s="1252"/>
      <c r="C6" s="1572"/>
      <c r="D6" s="1252"/>
      <c r="E6" s="1573"/>
      <c r="F6" s="1254"/>
      <c r="G6" s="1247"/>
      <c r="H6" s="1267"/>
    </row>
    <row r="7" spans="1:8" s="1248" customFormat="1" x14ac:dyDescent="0.25">
      <c r="A7" s="1252"/>
      <c r="B7" s="1486" t="s">
        <v>3073</v>
      </c>
      <c r="C7" s="1572"/>
      <c r="D7" s="1252"/>
      <c r="E7" s="1573"/>
      <c r="F7" s="1254"/>
      <c r="G7" s="1247"/>
      <c r="H7" s="1267"/>
    </row>
    <row r="8" spans="1:8" s="1248" customFormat="1" x14ac:dyDescent="0.25">
      <c r="A8" s="1252"/>
      <c r="B8" s="1252"/>
      <c r="C8" s="1572"/>
      <c r="D8" s="1252"/>
      <c r="E8" s="1573"/>
      <c r="F8" s="1254"/>
      <c r="G8" s="1247"/>
      <c r="H8" s="1267"/>
    </row>
    <row r="9" spans="1:8" s="1248" customFormat="1" x14ac:dyDescent="0.25">
      <c r="A9" s="1252"/>
      <c r="B9" s="1574" t="s">
        <v>3074</v>
      </c>
      <c r="C9" s="1572"/>
      <c r="D9" s="1252"/>
      <c r="E9" s="1573"/>
      <c r="F9" s="1254"/>
      <c r="G9" s="1247"/>
      <c r="H9" s="1267"/>
    </row>
    <row r="10" spans="1:8" s="1248" customFormat="1" x14ac:dyDescent="0.25">
      <c r="A10" s="1252"/>
      <c r="B10" s="1575"/>
      <c r="C10" s="1572"/>
      <c r="D10" s="1252"/>
      <c r="E10" s="1573"/>
      <c r="F10" s="1254"/>
      <c r="G10" s="1247"/>
      <c r="H10" s="1267"/>
    </row>
    <row r="11" spans="1:8" s="1248" customFormat="1" ht="27.6" x14ac:dyDescent="0.25">
      <c r="A11" s="1252"/>
      <c r="B11" s="1576" t="s">
        <v>2756</v>
      </c>
      <c r="C11" s="1572"/>
      <c r="D11" s="1407" t="s">
        <v>2538</v>
      </c>
      <c r="E11" s="1573"/>
      <c r="F11" s="1254"/>
      <c r="G11" s="1247"/>
      <c r="H11" s="1267"/>
    </row>
    <row r="12" spans="1:8" s="1248" customFormat="1" x14ac:dyDescent="0.25">
      <c r="A12" s="1252"/>
      <c r="B12" s="1576"/>
      <c r="C12" s="1572"/>
      <c r="D12" s="1252"/>
      <c r="E12" s="1573"/>
      <c r="F12" s="1254"/>
      <c r="G12" s="1247"/>
      <c r="H12" s="1267"/>
    </row>
    <row r="13" spans="1:8" s="1248" customFormat="1" ht="27.6" x14ac:dyDescent="0.25">
      <c r="A13" s="1252"/>
      <c r="B13" s="1576" t="s">
        <v>2757</v>
      </c>
      <c r="C13" s="1572"/>
      <c r="D13" s="1407" t="s">
        <v>2538</v>
      </c>
      <c r="E13" s="1573"/>
      <c r="F13" s="1254"/>
      <c r="G13" s="1247"/>
      <c r="H13" s="1267"/>
    </row>
    <row r="14" spans="1:8" s="1248" customFormat="1" x14ac:dyDescent="0.25">
      <c r="A14" s="1252"/>
      <c r="B14" s="1576"/>
      <c r="C14" s="1572"/>
      <c r="D14" s="1252"/>
      <c r="E14" s="1573"/>
      <c r="F14" s="1254"/>
      <c r="G14" s="1247"/>
      <c r="H14" s="1267"/>
    </row>
    <row r="15" spans="1:8" s="1248" customFormat="1" ht="41.4" x14ac:dyDescent="0.25">
      <c r="A15" s="1252"/>
      <c r="B15" s="1576" t="s">
        <v>3075</v>
      </c>
      <c r="C15" s="1572"/>
      <c r="D15" s="1407" t="s">
        <v>2538</v>
      </c>
      <c r="E15" s="1573"/>
      <c r="F15" s="1254"/>
      <c r="G15" s="1247"/>
      <c r="H15" s="1267"/>
    </row>
    <row r="16" spans="1:8" s="1248" customFormat="1" x14ac:dyDescent="0.25">
      <c r="A16" s="1252"/>
      <c r="B16" s="1576"/>
      <c r="C16" s="1572"/>
      <c r="D16" s="1252"/>
      <c r="E16" s="1573"/>
      <c r="F16" s="1254"/>
      <c r="G16" s="1247"/>
      <c r="H16" s="1267"/>
    </row>
    <row r="17" spans="1:8" s="1248" customFormat="1" ht="27.6" x14ac:dyDescent="0.25">
      <c r="A17" s="1252"/>
      <c r="B17" s="1576" t="s">
        <v>3027</v>
      </c>
      <c r="C17" s="1572"/>
      <c r="D17" s="1407" t="s">
        <v>2538</v>
      </c>
      <c r="E17" s="1573"/>
      <c r="F17" s="1254"/>
      <c r="G17" s="1247"/>
      <c r="H17" s="1267"/>
    </row>
    <row r="18" spans="1:8" s="1248" customFormat="1" x14ac:dyDescent="0.25">
      <c r="A18" s="1252"/>
      <c r="B18" s="1576"/>
      <c r="C18" s="1572"/>
      <c r="D18" s="1252"/>
      <c r="E18" s="1573"/>
      <c r="F18" s="1254"/>
      <c r="G18" s="1247"/>
      <c r="H18" s="1267"/>
    </row>
    <row r="19" spans="1:8" s="1248" customFormat="1" ht="41.4" x14ac:dyDescent="0.25">
      <c r="A19" s="1252"/>
      <c r="B19" s="1576" t="s">
        <v>3028</v>
      </c>
      <c r="C19" s="1572"/>
      <c r="D19" s="1407" t="s">
        <v>2538</v>
      </c>
      <c r="E19" s="1573"/>
      <c r="F19" s="1254"/>
      <c r="G19" s="1247"/>
      <c r="H19" s="1267"/>
    </row>
    <row r="20" spans="1:8" s="1248" customFormat="1" x14ac:dyDescent="0.25">
      <c r="A20" s="1252"/>
      <c r="B20" s="1576"/>
      <c r="C20" s="1572"/>
      <c r="D20" s="1252"/>
      <c r="E20" s="1573"/>
      <c r="F20" s="1254"/>
      <c r="G20" s="1247"/>
      <c r="H20" s="1267"/>
    </row>
    <row r="21" spans="1:8" s="1248" customFormat="1" ht="41.4" x14ac:dyDescent="0.25">
      <c r="A21" s="1252"/>
      <c r="B21" s="1576" t="s">
        <v>3076</v>
      </c>
      <c r="C21" s="1572"/>
      <c r="D21" s="1407" t="s">
        <v>2538</v>
      </c>
      <c r="E21" s="1573"/>
      <c r="F21" s="1254"/>
      <c r="G21" s="1247"/>
      <c r="H21" s="1267"/>
    </row>
    <row r="22" spans="1:8" s="1248" customFormat="1" x14ac:dyDescent="0.25">
      <c r="A22" s="1252"/>
      <c r="B22" s="1576"/>
      <c r="C22" s="1572"/>
      <c r="D22" s="1252"/>
      <c r="E22" s="1573"/>
      <c r="F22" s="1254"/>
      <c r="G22" s="1247"/>
      <c r="H22" s="1267"/>
    </row>
    <row r="23" spans="1:8" s="1248" customFormat="1" ht="41.4" x14ac:dyDescent="0.25">
      <c r="A23" s="1252"/>
      <c r="B23" s="1576" t="s">
        <v>2762</v>
      </c>
      <c r="C23" s="1572"/>
      <c r="D23" s="1407" t="s">
        <v>2538</v>
      </c>
      <c r="E23" s="1573"/>
      <c r="F23" s="1254"/>
      <c r="G23" s="1247"/>
      <c r="H23" s="1267"/>
    </row>
    <row r="24" spans="1:8" s="1248" customFormat="1" x14ac:dyDescent="0.25">
      <c r="A24" s="1252"/>
      <c r="B24" s="1576"/>
      <c r="C24" s="1572"/>
      <c r="D24" s="1252"/>
      <c r="E24" s="1573"/>
      <c r="F24" s="1254"/>
      <c r="G24" s="1247"/>
      <c r="H24" s="1267"/>
    </row>
    <row r="25" spans="1:8" s="1248" customFormat="1" ht="41.4" x14ac:dyDescent="0.25">
      <c r="A25" s="1252"/>
      <c r="B25" s="1577" t="s">
        <v>3077</v>
      </c>
      <c r="C25" s="1572"/>
      <c r="D25" s="1407" t="s">
        <v>2538</v>
      </c>
      <c r="E25" s="1573"/>
      <c r="F25" s="1254"/>
      <c r="G25" s="1247"/>
      <c r="H25" s="1267"/>
    </row>
    <row r="26" spans="1:8" s="1248" customFormat="1" x14ac:dyDescent="0.25">
      <c r="A26" s="1252"/>
      <c r="B26" s="1578"/>
      <c r="C26" s="1572"/>
      <c r="D26" s="1252"/>
      <c r="E26" s="1573"/>
      <c r="F26" s="1254"/>
      <c r="G26" s="1247"/>
      <c r="H26" s="1267"/>
    </row>
    <row r="27" spans="1:8" s="1248" customFormat="1" x14ac:dyDescent="0.25">
      <c r="A27" s="1252"/>
      <c r="B27" s="1579"/>
      <c r="C27" s="1572"/>
      <c r="D27" s="1252"/>
      <c r="E27" s="1573"/>
      <c r="F27" s="1254"/>
      <c r="G27" s="1247"/>
      <c r="H27" s="1267"/>
    </row>
    <row r="28" spans="1:8" s="1248" customFormat="1" x14ac:dyDescent="0.25">
      <c r="A28" s="1252"/>
      <c r="B28" s="1580" t="s">
        <v>3029</v>
      </c>
      <c r="C28" s="1572"/>
      <c r="D28" s="1252"/>
      <c r="E28" s="1573"/>
      <c r="F28" s="1254"/>
      <c r="G28" s="1247"/>
      <c r="H28" s="1267"/>
    </row>
    <row r="29" spans="1:8" s="1248" customFormat="1" x14ac:dyDescent="0.25">
      <c r="A29" s="1252"/>
      <c r="B29" s="1580"/>
      <c r="C29" s="1572"/>
      <c r="D29" s="1252"/>
      <c r="E29" s="1573"/>
      <c r="F29" s="1254"/>
      <c r="G29" s="1247"/>
      <c r="H29" s="1267"/>
    </row>
    <row r="30" spans="1:8" s="1248" customFormat="1" ht="27.6" x14ac:dyDescent="0.25">
      <c r="A30" s="1252"/>
      <c r="B30" s="1577" t="s">
        <v>3078</v>
      </c>
      <c r="C30" s="1572"/>
      <c r="D30" s="1252"/>
      <c r="E30" s="1573"/>
      <c r="F30" s="1254"/>
      <c r="G30" s="1247"/>
      <c r="H30" s="1267"/>
    </row>
    <row r="31" spans="1:8" s="1248" customFormat="1" x14ac:dyDescent="0.25">
      <c r="A31" s="1252"/>
      <c r="B31" s="1581"/>
      <c r="C31" s="1572"/>
      <c r="D31" s="1252"/>
      <c r="E31" s="1573"/>
      <c r="F31" s="1254"/>
      <c r="G31" s="1247"/>
      <c r="H31" s="1267"/>
    </row>
    <row r="32" spans="1:8" s="1248" customFormat="1" x14ac:dyDescent="0.25">
      <c r="A32" s="1252"/>
      <c r="B32" s="1581" t="s">
        <v>3079</v>
      </c>
      <c r="C32" s="1572"/>
      <c r="D32" s="1252"/>
      <c r="E32" s="1573"/>
      <c r="F32" s="1254"/>
      <c r="G32" s="1247"/>
      <c r="H32" s="1267"/>
    </row>
    <row r="33" spans="1:25" s="1248" customFormat="1" x14ac:dyDescent="0.25">
      <c r="A33" s="1252"/>
      <c r="B33" s="1581"/>
      <c r="C33" s="1572"/>
      <c r="D33" s="1252"/>
      <c r="E33" s="1573"/>
      <c r="F33" s="1254"/>
      <c r="G33" s="1247"/>
      <c r="H33" s="1267"/>
    </row>
    <row r="34" spans="1:25" s="1248" customFormat="1" ht="41.4" x14ac:dyDescent="0.25">
      <c r="A34" s="1252"/>
      <c r="B34" s="1577" t="s">
        <v>3080</v>
      </c>
      <c r="C34" s="1572"/>
      <c r="D34" s="1252"/>
      <c r="E34" s="1573"/>
      <c r="F34" s="1254"/>
      <c r="G34" s="1247"/>
      <c r="H34" s="1267"/>
    </row>
    <row r="35" spans="1:25" s="1248" customFormat="1" x14ac:dyDescent="0.25">
      <c r="A35" s="1252"/>
      <c r="B35" s="1581"/>
      <c r="C35" s="1572"/>
      <c r="D35" s="1252"/>
      <c r="E35" s="1573"/>
      <c r="F35" s="1254"/>
      <c r="G35" s="1247"/>
      <c r="H35" s="1267"/>
    </row>
    <row r="36" spans="1:25" s="1248" customFormat="1" ht="41.4" x14ac:dyDescent="0.25">
      <c r="A36" s="1252"/>
      <c r="B36" s="1577" t="s">
        <v>3081</v>
      </c>
      <c r="C36" s="1572"/>
      <c r="D36" s="1252"/>
      <c r="E36" s="1573"/>
      <c r="F36" s="1254"/>
      <c r="G36" s="1247"/>
      <c r="H36" s="1267"/>
    </row>
    <row r="37" spans="1:25" s="1248" customFormat="1" x14ac:dyDescent="0.25">
      <c r="A37" s="1252"/>
      <c r="B37" s="1581"/>
      <c r="C37" s="1572"/>
      <c r="D37" s="1252"/>
      <c r="E37" s="1573"/>
      <c r="F37" s="1254"/>
      <c r="G37" s="1247"/>
      <c r="H37" s="1267"/>
    </row>
    <row r="38" spans="1:25" s="1248" customFormat="1" x14ac:dyDescent="0.25">
      <c r="A38" s="1582"/>
      <c r="B38" s="1846" t="s">
        <v>3082</v>
      </c>
      <c r="C38" s="1583"/>
      <c r="D38" s="1582"/>
      <c r="E38" s="1584"/>
      <c r="F38" s="1585"/>
      <c r="G38" s="1247"/>
      <c r="H38" s="1267"/>
    </row>
    <row r="39" spans="1:25" s="1248" customFormat="1" ht="30.6" customHeight="1" x14ac:dyDescent="0.25">
      <c r="A39" s="1847"/>
      <c r="B39" s="1848" t="s">
        <v>3083</v>
      </c>
      <c r="C39" s="1849"/>
      <c r="D39" s="1847"/>
      <c r="E39" s="1850"/>
      <c r="F39" s="1851"/>
      <c r="G39" s="1247"/>
      <c r="H39" s="1267"/>
    </row>
    <row r="40" spans="1:25" s="1248" customFormat="1" x14ac:dyDescent="0.25">
      <c r="A40" s="1252"/>
      <c r="B40" s="1252"/>
      <c r="C40" s="1572"/>
      <c r="D40" s="1252"/>
      <c r="E40" s="1573"/>
      <c r="F40" s="1254"/>
      <c r="G40" s="1247"/>
      <c r="H40" s="1267"/>
    </row>
    <row r="41" spans="1:25" s="1591" customFormat="1" ht="27.6" x14ac:dyDescent="0.25">
      <c r="A41" s="1834"/>
      <c r="B41" s="1835" t="s">
        <v>3084</v>
      </c>
      <c r="C41" s="1836"/>
      <c r="D41" s="1837"/>
      <c r="E41" s="1621"/>
      <c r="F41" s="1630"/>
      <c r="G41" s="1586"/>
      <c r="H41" s="1587"/>
      <c r="I41" s="1588"/>
      <c r="J41" s="1588"/>
      <c r="K41" s="1588"/>
      <c r="L41" s="1588"/>
      <c r="M41" s="1588"/>
      <c r="N41" s="1588"/>
      <c r="O41" s="1588"/>
      <c r="P41" s="1588"/>
      <c r="Q41" s="1588"/>
      <c r="R41" s="1588"/>
      <c r="S41" s="1588"/>
      <c r="T41" s="1588"/>
      <c r="U41" s="1588"/>
      <c r="V41" s="1588"/>
      <c r="W41" s="1589"/>
      <c r="X41" s="1590"/>
      <c r="Y41" s="1589"/>
    </row>
    <row r="42" spans="1:25" x14ac:dyDescent="0.25">
      <c r="A42" s="1592"/>
      <c r="B42" s="1232"/>
      <c r="C42" s="1359"/>
      <c r="D42" s="1228"/>
      <c r="E42" s="1361"/>
      <c r="F42" s="1290"/>
      <c r="S42" s="1328"/>
      <c r="T42" s="1286"/>
      <c r="U42" s="1328"/>
    </row>
    <row r="43" spans="1:25" s="1404" customFormat="1" ht="102.6" customHeight="1" x14ac:dyDescent="0.25">
      <c r="A43" s="1407">
        <v>1</v>
      </c>
      <c r="B43" s="1146" t="s">
        <v>3085</v>
      </c>
      <c r="C43" s="1515">
        <v>1</v>
      </c>
      <c r="D43" s="1407" t="s">
        <v>13</v>
      </c>
      <c r="E43" s="1379">
        <v>545000</v>
      </c>
      <c r="F43" s="1516">
        <f>E43*C43</f>
        <v>545000</v>
      </c>
      <c r="H43" s="1517"/>
    </row>
    <row r="44" spans="1:25" s="1404" customFormat="1" x14ac:dyDescent="0.25">
      <c r="A44" s="1407"/>
      <c r="B44" s="1146"/>
      <c r="C44" s="1593"/>
      <c r="D44" s="1407"/>
      <c r="E44" s="1379"/>
      <c r="F44" s="1516"/>
      <c r="H44" s="1517"/>
    </row>
    <row r="45" spans="1:25" ht="47.4" customHeight="1" x14ac:dyDescent="0.25">
      <c r="A45" s="1594">
        <f>IF(C45&gt;0,COUNT(C$43:C45),"")</f>
        <v>2</v>
      </c>
      <c r="B45" s="1232" t="s">
        <v>3086</v>
      </c>
      <c r="C45" s="1515">
        <v>1</v>
      </c>
      <c r="D45" s="1407" t="s">
        <v>13</v>
      </c>
      <c r="E45" s="1379">
        <v>200000</v>
      </c>
      <c r="F45" s="1516">
        <f>E45*C45</f>
        <v>200000</v>
      </c>
      <c r="S45" s="1328"/>
      <c r="T45" s="1286"/>
      <c r="U45" s="1328"/>
    </row>
    <row r="46" spans="1:25" x14ac:dyDescent="0.25">
      <c r="A46" s="1594" t="str">
        <f>IF(C46&gt;0,COUNT(C$43:C46),"")</f>
        <v/>
      </c>
      <c r="B46" s="1232"/>
      <c r="C46" s="1359"/>
      <c r="D46" s="1228"/>
      <c r="E46" s="1229"/>
      <c r="F46" s="1487"/>
      <c r="S46" s="1328"/>
      <c r="T46" s="1286"/>
      <c r="U46" s="1328"/>
    </row>
    <row r="47" spans="1:25" s="1597" customFormat="1" ht="62.4" customHeight="1" x14ac:dyDescent="0.25">
      <c r="A47" s="1594">
        <f>IF(C47&gt;0,COUNT(C$43:C47),"")</f>
        <v>3</v>
      </c>
      <c r="B47" s="1595" t="s">
        <v>3087</v>
      </c>
      <c r="C47" s="1515">
        <v>2</v>
      </c>
      <c r="D47" s="1594" t="s">
        <v>13</v>
      </c>
      <c r="E47" s="1596">
        <v>75000</v>
      </c>
      <c r="F47" s="1516">
        <f>E47*C47</f>
        <v>150000</v>
      </c>
      <c r="H47" s="1598"/>
    </row>
    <row r="48" spans="1:25" s="1597" customFormat="1" x14ac:dyDescent="0.25">
      <c r="A48" s="1594" t="str">
        <f>IF(C48&gt;0,COUNT(C$43:C48),"")</f>
        <v/>
      </c>
      <c r="B48" s="1146"/>
      <c r="C48" s="1515"/>
      <c r="D48" s="1594"/>
      <c r="E48" s="1379"/>
      <c r="F48" s="1516"/>
      <c r="H48" s="1598"/>
    </row>
    <row r="49" spans="1:28" s="1404" customFormat="1" ht="61.2" customHeight="1" x14ac:dyDescent="0.25">
      <c r="A49" s="1594">
        <f>IF(C49&gt;0,COUNT(C$43:C49),"")</f>
        <v>4</v>
      </c>
      <c r="B49" s="1146" t="s">
        <v>3088</v>
      </c>
      <c r="C49" s="1515">
        <v>15</v>
      </c>
      <c r="D49" s="1407" t="s">
        <v>2996</v>
      </c>
      <c r="E49" s="1379">
        <v>4500</v>
      </c>
      <c r="F49" s="1516">
        <f>E49*C49</f>
        <v>67500</v>
      </c>
      <c r="H49" s="1517"/>
    </row>
    <row r="50" spans="1:28" s="1597" customFormat="1" x14ac:dyDescent="0.25">
      <c r="A50" s="1594" t="str">
        <f>IF(C50&gt;0,COUNT(C$43:C50),"")</f>
        <v/>
      </c>
      <c r="B50" s="1146"/>
      <c r="C50" s="1515"/>
      <c r="D50" s="1594"/>
      <c r="E50" s="1379"/>
      <c r="F50" s="1516"/>
      <c r="H50" s="1598"/>
    </row>
    <row r="51" spans="1:28" s="1404" customFormat="1" ht="61.8" customHeight="1" x14ac:dyDescent="0.25">
      <c r="A51" s="1594">
        <f>IF(C51&gt;0,COUNT(C$43:C51),"")</f>
        <v>5</v>
      </c>
      <c r="B51" s="1146" t="s">
        <v>3089</v>
      </c>
      <c r="C51" s="1515">
        <v>19</v>
      </c>
      <c r="D51" s="1407" t="s">
        <v>2996</v>
      </c>
      <c r="E51" s="1379">
        <v>4500</v>
      </c>
      <c r="F51" s="1516">
        <f>E51*C51</f>
        <v>85500</v>
      </c>
      <c r="H51" s="1517"/>
    </row>
    <row r="52" spans="1:28" x14ac:dyDescent="0.25">
      <c r="A52" s="1594" t="str">
        <f>IF(C52&gt;0,COUNT(C$43:C52),"")</f>
        <v/>
      </c>
      <c r="B52" s="1232"/>
      <c r="C52" s="1359"/>
      <c r="D52" s="1228"/>
      <c r="E52" s="1361"/>
      <c r="F52" s="1290"/>
      <c r="S52" s="1328"/>
      <c r="T52" s="1286"/>
      <c r="U52" s="1328"/>
    </row>
    <row r="53" spans="1:28" s="1260" customFormat="1" ht="102.6" customHeight="1" x14ac:dyDescent="0.25">
      <c r="A53" s="1594" t="str">
        <f>IF(C53&gt;0,COUNT(C$43:C53),"")</f>
        <v/>
      </c>
      <c r="B53" s="1146" t="s">
        <v>3090</v>
      </c>
      <c r="C53" s="1227"/>
      <c r="D53" s="1228"/>
      <c r="E53" s="1229"/>
      <c r="F53" s="1487"/>
      <c r="G53" s="1259"/>
      <c r="S53" s="1285"/>
      <c r="T53" s="1286"/>
      <c r="U53" s="1285"/>
    </row>
    <row r="54" spans="1:28" s="1260" customFormat="1" x14ac:dyDescent="0.25">
      <c r="A54" s="1594" t="str">
        <f>IF(C54&gt;0,COUNT(C$43:C54),"")</f>
        <v/>
      </c>
      <c r="B54" s="1146"/>
      <c r="C54" s="1227"/>
      <c r="D54" s="1228"/>
      <c r="E54" s="1229"/>
      <c r="F54" s="1487"/>
      <c r="G54" s="1259"/>
      <c r="S54" s="1285"/>
      <c r="T54" s="1286"/>
      <c r="U54" s="1285"/>
    </row>
    <row r="55" spans="1:28" s="1260" customFormat="1" x14ac:dyDescent="0.25">
      <c r="A55" s="1594">
        <f>IF(C55&gt;0,COUNT(C$43:C55),"")</f>
        <v>6</v>
      </c>
      <c r="B55" s="1146" t="s">
        <v>2926</v>
      </c>
      <c r="C55" s="1359">
        <v>2</v>
      </c>
      <c r="D55" s="1599" t="s">
        <v>0</v>
      </c>
      <c r="E55" s="1229">
        <v>8800</v>
      </c>
      <c r="F55" s="1516">
        <f>E55*C55</f>
        <v>17600</v>
      </c>
      <c r="G55" s="1259"/>
      <c r="S55" s="1285"/>
      <c r="T55" s="1286"/>
      <c r="U55" s="1285"/>
    </row>
    <row r="56" spans="1:28" s="1260" customFormat="1" x14ac:dyDescent="0.25">
      <c r="A56" s="1594" t="str">
        <f>IF(C56&gt;0,COUNT(C$43:C56),"")</f>
        <v/>
      </c>
      <c r="B56" s="1146"/>
      <c r="C56" s="1359"/>
      <c r="D56" s="1488"/>
      <c r="E56" s="1229"/>
      <c r="F56" s="1487"/>
      <c r="G56" s="1259"/>
      <c r="S56" s="1285"/>
      <c r="T56" s="1286"/>
      <c r="U56" s="1285"/>
    </row>
    <row r="57" spans="1:28" s="1337" customFormat="1" x14ac:dyDescent="0.25">
      <c r="A57" s="1594">
        <f>IF(C57&gt;0,COUNT(C$43:C57),"")</f>
        <v>7</v>
      </c>
      <c r="B57" s="1146" t="s">
        <v>2927</v>
      </c>
      <c r="C57" s="1359">
        <v>3</v>
      </c>
      <c r="D57" s="1599" t="s">
        <v>0</v>
      </c>
      <c r="E57" s="1229">
        <v>8800</v>
      </c>
      <c r="F57" s="1516">
        <f>E57*C57</f>
        <v>26400</v>
      </c>
      <c r="U57" s="1338"/>
      <c r="V57" s="1339"/>
      <c r="W57" s="1338"/>
    </row>
    <row r="58" spans="1:28" s="1337" customFormat="1" x14ac:dyDescent="0.25">
      <c r="A58" s="1594" t="str">
        <f>IF(C58&gt;0,COUNT(C$43:C58),"")</f>
        <v/>
      </c>
      <c r="B58" s="1146"/>
      <c r="C58" s="1359"/>
      <c r="D58" s="1599"/>
      <c r="E58" s="1229"/>
      <c r="F58" s="1230"/>
      <c r="U58" s="1338"/>
      <c r="V58" s="1339"/>
      <c r="W58" s="1338"/>
    </row>
    <row r="59" spans="1:28" s="1337" customFormat="1" x14ac:dyDescent="0.25">
      <c r="A59" s="1594">
        <f>IF(C59&gt;0,COUNT(C$43:C59),"")</f>
        <v>8</v>
      </c>
      <c r="B59" s="1146" t="s">
        <v>2928</v>
      </c>
      <c r="C59" s="1359">
        <v>5</v>
      </c>
      <c r="D59" s="1599" t="s">
        <v>0</v>
      </c>
      <c r="E59" s="1229">
        <v>8800</v>
      </c>
      <c r="F59" s="1516">
        <f>E59*C59</f>
        <v>44000</v>
      </c>
      <c r="U59" s="1338"/>
      <c r="V59" s="1339"/>
      <c r="W59" s="1338"/>
    </row>
    <row r="60" spans="1:28" s="1337" customFormat="1" x14ac:dyDescent="0.25">
      <c r="A60" s="1594" t="str">
        <f>IF(C60&gt;0,COUNT(C$43:C60),"")</f>
        <v/>
      </c>
      <c r="B60" s="1146"/>
      <c r="C60" s="1359"/>
      <c r="D60" s="1599"/>
      <c r="E60" s="1229"/>
      <c r="F60" s="1230"/>
      <c r="U60" s="1338"/>
      <c r="V60" s="1339"/>
      <c r="W60" s="1338"/>
    </row>
    <row r="61" spans="1:28" s="1337" customFormat="1" x14ac:dyDescent="0.25">
      <c r="A61" s="1594">
        <f>IF(C61&gt;0,COUNT(C$43:C61),"")</f>
        <v>9</v>
      </c>
      <c r="B61" s="1146" t="s">
        <v>2929</v>
      </c>
      <c r="C61" s="1359">
        <v>5</v>
      </c>
      <c r="D61" s="1599" t="s">
        <v>0</v>
      </c>
      <c r="E61" s="1229">
        <v>8800</v>
      </c>
      <c r="F61" s="1516">
        <f>E61*C61</f>
        <v>44000</v>
      </c>
      <c r="U61" s="1338"/>
      <c r="V61" s="1339"/>
      <c r="W61" s="1338"/>
    </row>
    <row r="62" spans="1:28" s="1337" customFormat="1" x14ac:dyDescent="0.25">
      <c r="A62" s="1594" t="str">
        <f>IF(C62&gt;0,COUNT(C$43:C62),"")</f>
        <v/>
      </c>
      <c r="B62" s="1146"/>
      <c r="C62" s="1359"/>
      <c r="D62" s="1599"/>
      <c r="E62" s="1229"/>
      <c r="F62" s="1230"/>
      <c r="U62" s="1338"/>
      <c r="V62" s="1339"/>
      <c r="W62" s="1338"/>
    </row>
    <row r="63" spans="1:28" s="1597" customFormat="1" ht="61.8" customHeight="1" x14ac:dyDescent="0.25">
      <c r="A63" s="1600">
        <f>IF(C63&gt;0,COUNT(C$43:C63),"")</f>
        <v>10</v>
      </c>
      <c r="B63" s="1852" t="s">
        <v>3091</v>
      </c>
      <c r="C63" s="1810">
        <v>1</v>
      </c>
      <c r="D63" s="1853" t="s">
        <v>13</v>
      </c>
      <c r="E63" s="1854">
        <v>100000</v>
      </c>
      <c r="F63" s="1813">
        <f>E63*C63</f>
        <v>100000</v>
      </c>
      <c r="H63" s="1598"/>
    </row>
    <row r="64" spans="1:28" s="1613" customFormat="1" ht="60.6" customHeight="1" x14ac:dyDescent="0.25">
      <c r="A64" s="1604" t="str">
        <f>IF(C64&gt;0,COUNT(C$43:C64),"")</f>
        <v/>
      </c>
      <c r="B64" s="1855" t="s">
        <v>3092</v>
      </c>
      <c r="C64" s="1605"/>
      <c r="D64" s="1606" t="s">
        <v>2538</v>
      </c>
      <c r="E64" s="1607"/>
      <c r="F64" s="1856"/>
      <c r="G64" s="1609"/>
      <c r="H64" s="1552"/>
      <c r="I64" s="1610"/>
      <c r="J64" s="1611"/>
      <c r="K64" s="1612"/>
      <c r="Z64" s="1614"/>
      <c r="AA64" s="1548"/>
      <c r="AB64" s="1614"/>
    </row>
    <row r="65" spans="1:28" s="1597" customFormat="1" x14ac:dyDescent="0.25">
      <c r="A65" s="1594" t="str">
        <f>IF(C65&gt;0,COUNT(C$43:C65),"")</f>
        <v/>
      </c>
      <c r="B65" s="1615"/>
      <c r="C65" s="1526"/>
      <c r="D65" s="1575"/>
      <c r="E65" s="1575"/>
      <c r="F65" s="1616"/>
      <c r="H65" s="1598"/>
    </row>
    <row r="66" spans="1:28" s="1613" customFormat="1" x14ac:dyDescent="0.25">
      <c r="A66" s="1594" t="str">
        <f>IF(C66&gt;0,COUNT(C$43:C66),"")</f>
        <v/>
      </c>
      <c r="B66" s="1440" t="s">
        <v>2937</v>
      </c>
      <c r="C66" s="1515"/>
      <c r="D66" s="1608"/>
      <c r="E66" s="1617"/>
      <c r="F66" s="1618"/>
      <c r="G66" s="1609"/>
      <c r="H66" s="1552"/>
      <c r="I66" s="1610"/>
      <c r="J66" s="1611"/>
      <c r="K66" s="1612"/>
      <c r="Z66" s="1614"/>
      <c r="AA66" s="1548"/>
      <c r="AB66" s="1614"/>
    </row>
    <row r="67" spans="1:28" s="1613" customFormat="1" ht="47.4" customHeight="1" x14ac:dyDescent="0.25">
      <c r="A67" s="1594">
        <f>IF(C67&gt;0,COUNT(C$43:C67),"")</f>
        <v>11</v>
      </c>
      <c r="B67" s="1232" t="s">
        <v>2938</v>
      </c>
      <c r="C67" s="1515">
        <v>1</v>
      </c>
      <c r="D67" s="1608" t="s">
        <v>13</v>
      </c>
      <c r="E67" s="1596">
        <v>50000</v>
      </c>
      <c r="F67" s="1516">
        <f>E67*C67</f>
        <v>50000</v>
      </c>
      <c r="G67" s="1609"/>
      <c r="H67" s="1552"/>
      <c r="I67" s="1610"/>
      <c r="J67" s="1611"/>
      <c r="K67" s="1612"/>
      <c r="Z67" s="1614"/>
      <c r="AA67" s="1548"/>
      <c r="AB67" s="1614"/>
    </row>
    <row r="68" spans="1:28" s="1597" customFormat="1" x14ac:dyDescent="0.25">
      <c r="A68" s="1594" t="str">
        <f>IF(C68&gt;0,COUNT(C$43:C68),"")</f>
        <v/>
      </c>
      <c r="B68" s="1226"/>
      <c r="C68" s="1526"/>
      <c r="D68" s="1575"/>
      <c r="E68" s="1575"/>
      <c r="F68" s="1616"/>
      <c r="H68" s="1598"/>
    </row>
    <row r="69" spans="1:28" s="1613" customFormat="1" x14ac:dyDescent="0.25">
      <c r="A69" s="1594" t="str">
        <f>IF(C69&gt;0,COUNT(C$43:C69),"")</f>
        <v/>
      </c>
      <c r="B69" s="1300" t="s">
        <v>2939</v>
      </c>
      <c r="C69" s="1515"/>
      <c r="D69" s="1608"/>
      <c r="E69" s="1617"/>
      <c r="F69" s="1618"/>
      <c r="G69" s="1609"/>
      <c r="H69" s="1552"/>
      <c r="I69" s="1610"/>
      <c r="J69" s="1611"/>
      <c r="K69" s="1612"/>
      <c r="Z69" s="1614"/>
      <c r="AA69" s="1548"/>
      <c r="AB69" s="1614"/>
    </row>
    <row r="70" spans="1:28" s="1613" customFormat="1" ht="32.4" customHeight="1" x14ac:dyDescent="0.25">
      <c r="A70" s="1594">
        <f>IF(C70&gt;0,COUNT(C$43:C70),"")</f>
        <v>12</v>
      </c>
      <c r="B70" s="1226" t="s">
        <v>2940</v>
      </c>
      <c r="C70" s="1515">
        <v>1</v>
      </c>
      <c r="D70" s="1608" t="s">
        <v>13</v>
      </c>
      <c r="E70" s="1596">
        <v>50000</v>
      </c>
      <c r="F70" s="1516">
        <f>E70*C70</f>
        <v>50000</v>
      </c>
      <c r="G70" s="1609"/>
      <c r="H70" s="1552"/>
      <c r="I70" s="1610"/>
      <c r="J70" s="1611"/>
      <c r="K70" s="1612"/>
      <c r="Z70" s="1614"/>
      <c r="AA70" s="1548"/>
      <c r="AB70" s="1614"/>
    </row>
    <row r="71" spans="1:28" s="1591" customFormat="1" x14ac:dyDescent="0.25">
      <c r="A71" s="1594" t="str">
        <f>IF(C71&gt;0,COUNT(C$43:C71),"")</f>
        <v/>
      </c>
      <c r="B71" s="1232"/>
      <c r="C71" s="1619"/>
      <c r="D71" s="1620"/>
      <c r="E71" s="1621"/>
      <c r="F71" s="1622"/>
      <c r="G71" s="1586"/>
      <c r="H71" s="1623"/>
      <c r="I71" s="1624"/>
      <c r="J71" s="1587"/>
      <c r="K71" s="1588"/>
      <c r="L71" s="1588"/>
      <c r="M71" s="1588"/>
      <c r="N71" s="1588"/>
      <c r="O71" s="1588"/>
      <c r="P71" s="1588"/>
      <c r="Q71" s="1588"/>
      <c r="R71" s="1588"/>
      <c r="S71" s="1588"/>
      <c r="T71" s="1588"/>
      <c r="U71" s="1588"/>
      <c r="V71" s="1588"/>
      <c r="W71" s="1588"/>
      <c r="X71" s="1588"/>
      <c r="Y71" s="1588"/>
      <c r="Z71" s="1589"/>
      <c r="AA71" s="1590"/>
      <c r="AB71" s="1589"/>
    </row>
    <row r="72" spans="1:28" s="1591" customFormat="1" x14ac:dyDescent="0.25">
      <c r="A72" s="1594" t="str">
        <f>IF(C72&gt;0,COUNT(C$43:C72),"")</f>
        <v/>
      </c>
      <c r="B72" s="1440" t="s">
        <v>2941</v>
      </c>
      <c r="C72" s="1625"/>
      <c r="D72" s="1626"/>
      <c r="E72" s="1621"/>
      <c r="F72" s="1622"/>
      <c r="G72" s="1586"/>
      <c r="H72" s="1623"/>
      <c r="I72" s="1624"/>
      <c r="J72" s="1588"/>
      <c r="K72" s="1588"/>
      <c r="L72" s="1588"/>
      <c r="M72" s="1588"/>
      <c r="N72" s="1588"/>
      <c r="O72" s="1588"/>
      <c r="P72" s="1588"/>
      <c r="Q72" s="1588"/>
      <c r="R72" s="1588"/>
      <c r="S72" s="1588"/>
      <c r="T72" s="1588"/>
      <c r="U72" s="1588"/>
      <c r="V72" s="1588"/>
      <c r="W72" s="1588"/>
      <c r="X72" s="1588"/>
      <c r="Y72" s="1588"/>
      <c r="Z72" s="1589"/>
      <c r="AA72" s="1590"/>
      <c r="AB72" s="1589"/>
    </row>
    <row r="73" spans="1:28" s="1591" customFormat="1" ht="73.2" customHeight="1" x14ac:dyDescent="0.25">
      <c r="A73" s="1594">
        <f>IF(C73&gt;0,COUNT(C$43:C73),"")</f>
        <v>13</v>
      </c>
      <c r="B73" s="1232" t="s">
        <v>3093</v>
      </c>
      <c r="C73" s="1359">
        <v>1</v>
      </c>
      <c r="D73" s="1626" t="s">
        <v>13</v>
      </c>
      <c r="E73" s="1596"/>
      <c r="F73" s="1516">
        <f>E73*C73</f>
        <v>0</v>
      </c>
      <c r="G73" s="1627"/>
      <c r="H73" s="1627"/>
      <c r="I73" s="1624"/>
      <c r="J73" s="1588"/>
      <c r="K73" s="1588"/>
      <c r="L73" s="1588"/>
      <c r="M73" s="1588"/>
      <c r="N73" s="1588"/>
      <c r="O73" s="1588"/>
      <c r="P73" s="1588"/>
      <c r="Q73" s="1588"/>
      <c r="R73" s="1588"/>
      <c r="S73" s="1588"/>
      <c r="T73" s="1588"/>
      <c r="U73" s="1588"/>
      <c r="V73" s="1588"/>
      <c r="W73" s="1588"/>
      <c r="X73" s="1588"/>
      <c r="Y73" s="1588"/>
      <c r="Z73" s="1589"/>
      <c r="AA73" s="1590"/>
      <c r="AB73" s="1589"/>
    </row>
    <row r="74" spans="1:28" s="1591" customFormat="1" x14ac:dyDescent="0.25">
      <c r="A74" s="1628"/>
      <c r="B74" s="1629"/>
      <c r="C74" s="1625"/>
      <c r="D74" s="1626"/>
      <c r="E74" s="1621"/>
      <c r="F74" s="1630"/>
      <c r="G74" s="1586"/>
      <c r="H74" s="1623"/>
      <c r="I74" s="1624"/>
      <c r="J74" s="1588"/>
      <c r="K74" s="1588"/>
      <c r="L74" s="1588"/>
      <c r="M74" s="1588"/>
      <c r="N74" s="1588"/>
      <c r="O74" s="1588"/>
      <c r="P74" s="1588"/>
      <c r="Q74" s="1588"/>
      <c r="R74" s="1588"/>
      <c r="S74" s="1588"/>
      <c r="T74" s="1588"/>
      <c r="U74" s="1588"/>
      <c r="V74" s="1588"/>
      <c r="W74" s="1588"/>
      <c r="X74" s="1588"/>
      <c r="Y74" s="1588"/>
      <c r="Z74" s="1589"/>
      <c r="AA74" s="1590"/>
      <c r="AB74" s="1589"/>
    </row>
    <row r="75" spans="1:28" s="1347" customFormat="1" ht="14.4" thickBot="1" x14ac:dyDescent="0.3">
      <c r="A75" s="1349"/>
      <c r="B75" s="1631" t="s">
        <v>2943</v>
      </c>
      <c r="C75" s="1632"/>
      <c r="D75" s="1633"/>
      <c r="E75" s="1634" t="s">
        <v>83</v>
      </c>
      <c r="F75" s="1354">
        <f>SUM(F43:F74)</f>
        <v>1380000</v>
      </c>
      <c r="G75" s="1346"/>
      <c r="H75" s="1318"/>
      <c r="S75" s="1348"/>
      <c r="T75" s="1286"/>
      <c r="U75" s="1348"/>
    </row>
    <row r="76" spans="1:28" ht="14.4" thickTop="1" x14ac:dyDescent="0.25">
      <c r="A76" s="1857"/>
      <c r="F76" s="1858"/>
      <c r="S76" s="1328"/>
      <c r="T76" s="1286"/>
      <c r="U76" s="1328"/>
    </row>
    <row r="77" spans="1:28" x14ac:dyDescent="0.25">
      <c r="A77" s="1857"/>
      <c r="B77" s="2986" t="s">
        <v>3094</v>
      </c>
      <c r="F77" s="1858"/>
      <c r="S77" s="1328"/>
      <c r="T77" s="1286"/>
      <c r="U77" s="1328"/>
    </row>
    <row r="78" spans="1:28" x14ac:dyDescent="0.25">
      <c r="A78" s="1857"/>
      <c r="B78" s="2986"/>
      <c r="F78" s="1858"/>
      <c r="S78" s="1328"/>
      <c r="T78" s="1286"/>
      <c r="U78" s="1328"/>
    </row>
    <row r="79" spans="1:28" x14ac:dyDescent="0.25">
      <c r="A79" s="1857"/>
      <c r="F79" s="1858"/>
      <c r="S79" s="1328"/>
      <c r="T79" s="1286"/>
      <c r="U79" s="1328"/>
    </row>
    <row r="80" spans="1:28" ht="27.6" x14ac:dyDescent="0.25">
      <c r="A80" s="1857"/>
      <c r="B80" s="1635" t="s">
        <v>3095</v>
      </c>
      <c r="F80" s="1858"/>
      <c r="S80" s="1328"/>
      <c r="T80" s="1286"/>
      <c r="U80" s="1328"/>
    </row>
    <row r="81" spans="1:21" x14ac:dyDescent="0.25">
      <c r="A81" s="1857"/>
      <c r="B81" s="1636"/>
      <c r="F81" s="1858"/>
      <c r="S81" s="1328"/>
      <c r="T81" s="1286"/>
      <c r="U81" s="1328"/>
    </row>
    <row r="82" spans="1:21" x14ac:dyDescent="0.25">
      <c r="A82" s="1857"/>
      <c r="B82" s="1636" t="s">
        <v>3096</v>
      </c>
      <c r="F82" s="1858"/>
      <c r="S82" s="1328"/>
      <c r="T82" s="1286"/>
      <c r="U82" s="1328"/>
    </row>
    <row r="83" spans="1:21" x14ac:dyDescent="0.25">
      <c r="A83" s="1857"/>
      <c r="B83" s="1636"/>
      <c r="F83" s="1858"/>
      <c r="S83" s="1328"/>
      <c r="T83" s="1286"/>
      <c r="U83" s="1328"/>
    </row>
    <row r="84" spans="1:21" x14ac:dyDescent="0.25">
      <c r="A84" s="1857"/>
      <c r="B84" s="1636" t="s">
        <v>3097</v>
      </c>
      <c r="F84" s="1858"/>
      <c r="S84" s="1328"/>
      <c r="T84" s="1286"/>
      <c r="U84" s="1328"/>
    </row>
    <row r="85" spans="1:21" x14ac:dyDescent="0.25">
      <c r="A85" s="1857"/>
      <c r="B85" s="1636"/>
      <c r="F85" s="1858"/>
      <c r="S85" s="1328"/>
      <c r="T85" s="1286"/>
      <c r="U85" s="1328"/>
    </row>
    <row r="86" spans="1:21" x14ac:dyDescent="0.25">
      <c r="A86" s="1857"/>
      <c r="B86" s="1636" t="s">
        <v>3098</v>
      </c>
      <c r="F86" s="1858"/>
      <c r="S86" s="1328"/>
      <c r="T86" s="1286"/>
      <c r="U86" s="1328"/>
    </row>
    <row r="87" spans="1:21" x14ac:dyDescent="0.25">
      <c r="A87" s="1857"/>
      <c r="B87" s="1636"/>
      <c r="F87" s="1858"/>
      <c r="S87" s="1328"/>
      <c r="T87" s="1286"/>
      <c r="U87" s="1328"/>
    </row>
    <row r="88" spans="1:21" x14ac:dyDescent="0.25">
      <c r="A88" s="1857"/>
      <c r="B88" s="1636" t="s">
        <v>3099</v>
      </c>
      <c r="F88" s="1858"/>
      <c r="S88" s="1328"/>
      <c r="T88" s="1286"/>
      <c r="U88" s="1328"/>
    </row>
    <row r="89" spans="1:21" x14ac:dyDescent="0.25">
      <c r="A89" s="1857"/>
      <c r="F89" s="1858"/>
      <c r="S89" s="1328"/>
      <c r="T89" s="1286"/>
      <c r="U89" s="1328"/>
    </row>
    <row r="90" spans="1:21" x14ac:dyDescent="0.25">
      <c r="A90" s="1857"/>
      <c r="F90" s="1858"/>
      <c r="S90" s="1328"/>
      <c r="T90" s="1286"/>
      <c r="U90" s="1328"/>
    </row>
    <row r="91" spans="1:21" s="1404" customFormat="1" ht="55.2" x14ac:dyDescent="0.25">
      <c r="A91" s="1859"/>
      <c r="B91" s="1561" t="s">
        <v>3100</v>
      </c>
      <c r="C91" s="1638"/>
      <c r="D91" s="1554"/>
      <c r="E91" s="1367"/>
      <c r="F91" s="1860"/>
    </row>
    <row r="92" spans="1:21" s="1404" customFormat="1" x14ac:dyDescent="0.25">
      <c r="A92" s="1859"/>
      <c r="B92" s="1561"/>
      <c r="C92" s="1638"/>
      <c r="D92" s="1554"/>
      <c r="E92" s="1367"/>
      <c r="F92" s="1860"/>
    </row>
    <row r="93" spans="1:21" s="1404" customFormat="1" ht="41.4" x14ac:dyDescent="0.25">
      <c r="A93" s="1859"/>
      <c r="B93" s="1639" t="s">
        <v>2962</v>
      </c>
      <c r="C93" s="1638"/>
      <c r="D93" s="1554"/>
      <c r="E93" s="1367"/>
      <c r="F93" s="1860"/>
    </row>
    <row r="94" spans="1:21" s="1404" customFormat="1" x14ac:dyDescent="0.25">
      <c r="A94" s="1859"/>
      <c r="B94" s="1561"/>
      <c r="C94" s="1638"/>
      <c r="D94" s="1554"/>
      <c r="E94" s="1367"/>
      <c r="F94" s="1860"/>
    </row>
    <row r="95" spans="1:21" s="1404" customFormat="1" ht="41.4" x14ac:dyDescent="0.25">
      <c r="A95" s="1859"/>
      <c r="B95" s="1640" t="s">
        <v>3067</v>
      </c>
      <c r="C95" s="1638"/>
      <c r="D95" s="1554"/>
      <c r="E95" s="1367"/>
      <c r="F95" s="1861"/>
    </row>
    <row r="96" spans="1:21" s="1404" customFormat="1" x14ac:dyDescent="0.25">
      <c r="A96" s="1859"/>
      <c r="B96" s="1517" t="s">
        <v>3101</v>
      </c>
      <c r="C96" s="1638"/>
      <c r="D96" s="1554"/>
      <c r="E96" s="1367"/>
      <c r="F96" s="1861"/>
    </row>
    <row r="97" spans="1:21" s="1404" customFormat="1" x14ac:dyDescent="0.25">
      <c r="A97" s="1859"/>
      <c r="B97" s="1517"/>
      <c r="C97" s="1638"/>
      <c r="D97" s="1554"/>
      <c r="E97" s="1367"/>
      <c r="F97" s="1861"/>
    </row>
    <row r="98" spans="1:21" s="1404" customFormat="1" x14ac:dyDescent="0.25">
      <c r="A98" s="1859"/>
      <c r="B98" s="1517"/>
      <c r="C98" s="1638"/>
      <c r="D98" s="1554"/>
      <c r="E98" s="1367"/>
      <c r="F98" s="1861"/>
    </row>
    <row r="99" spans="1:21" s="1404" customFormat="1" x14ac:dyDescent="0.25">
      <c r="A99" s="1859"/>
      <c r="B99" s="1557" t="s">
        <v>2964</v>
      </c>
      <c r="C99" s="1638"/>
      <c r="D99" s="1554"/>
      <c r="E99" s="1367"/>
      <c r="F99" s="1861"/>
    </row>
    <row r="100" spans="1:21" s="1404" customFormat="1" x14ac:dyDescent="0.25">
      <c r="A100" s="1862"/>
      <c r="B100" s="1780"/>
      <c r="C100" s="1863"/>
      <c r="D100" s="1822"/>
      <c r="E100" s="1715"/>
      <c r="F100" s="1864"/>
    </row>
    <row r="101" spans="1:21" s="1404" customFormat="1" x14ac:dyDescent="0.25">
      <c r="A101" s="1865"/>
      <c r="B101" s="1824"/>
      <c r="C101" s="1866"/>
      <c r="D101" s="1826"/>
      <c r="E101" s="1827"/>
      <c r="F101" s="1867"/>
    </row>
    <row r="102" spans="1:21" s="1404" customFormat="1" x14ac:dyDescent="0.25">
      <c r="A102" s="1859"/>
      <c r="B102" s="1557"/>
      <c r="C102" s="1638"/>
      <c r="D102" s="1554"/>
      <c r="E102" s="1367"/>
      <c r="F102" s="1861"/>
    </row>
    <row r="103" spans="1:21" s="1404" customFormat="1" x14ac:dyDescent="0.25">
      <c r="A103" s="1859"/>
      <c r="B103" s="1557" t="s">
        <v>2965</v>
      </c>
      <c r="C103" s="1638"/>
      <c r="D103" s="1554"/>
      <c r="E103" s="1367"/>
      <c r="F103" s="1861"/>
    </row>
    <row r="104" spans="1:21" s="1404" customFormat="1" x14ac:dyDescent="0.25">
      <c r="A104" s="1859"/>
      <c r="B104" s="1557"/>
      <c r="C104" s="1638"/>
      <c r="D104" s="1554"/>
      <c r="E104" s="1367"/>
      <c r="F104" s="1861"/>
    </row>
    <row r="105" spans="1:21" x14ac:dyDescent="0.25">
      <c r="A105" s="1859"/>
      <c r="B105" s="1557"/>
      <c r="C105" s="1638"/>
      <c r="D105" s="1554"/>
      <c r="E105" s="1517"/>
      <c r="F105" s="1868"/>
      <c r="H105" s="1327"/>
      <c r="S105" s="1328"/>
      <c r="T105" s="1286"/>
      <c r="U105" s="1328"/>
    </row>
    <row r="106" spans="1:21" x14ac:dyDescent="0.25">
      <c r="A106" s="1859"/>
      <c r="B106" s="1557"/>
      <c r="C106" s="1638"/>
      <c r="D106" s="1554"/>
      <c r="E106" s="1517"/>
      <c r="F106" s="1868"/>
      <c r="H106" s="1327"/>
      <c r="S106" s="1328"/>
      <c r="T106" s="1286"/>
      <c r="U106" s="1328"/>
    </row>
    <row r="107" spans="1:21" x14ac:dyDescent="0.25">
      <c r="A107" s="1859"/>
      <c r="B107" s="1557" t="s">
        <v>2966</v>
      </c>
      <c r="C107" s="1638"/>
      <c r="D107" s="1554"/>
      <c r="E107" s="1517"/>
      <c r="F107" s="1868"/>
      <c r="H107" s="1327"/>
      <c r="S107" s="1328"/>
      <c r="T107" s="1286"/>
      <c r="U107" s="1328"/>
    </row>
    <row r="108" spans="1:21" x14ac:dyDescent="0.25">
      <c r="A108" s="1859"/>
      <c r="B108" s="1557"/>
      <c r="C108" s="1638"/>
      <c r="D108" s="1554"/>
      <c r="E108" s="1517"/>
      <c r="F108" s="1868"/>
      <c r="H108" s="1327"/>
    </row>
    <row r="109" spans="1:21" x14ac:dyDescent="0.25">
      <c r="A109" s="1859"/>
      <c r="B109" s="1557"/>
      <c r="C109" s="1638"/>
      <c r="D109" s="1554"/>
      <c r="E109" s="1517"/>
      <c r="F109" s="1868"/>
      <c r="H109" s="1327"/>
    </row>
    <row r="110" spans="1:21" x14ac:dyDescent="0.25">
      <c r="A110" s="1859"/>
      <c r="B110" s="1557"/>
      <c r="C110" s="1638"/>
      <c r="D110" s="1554"/>
      <c r="E110" s="1517"/>
      <c r="F110" s="1868"/>
      <c r="H110" s="1327"/>
    </row>
    <row r="111" spans="1:21" x14ac:dyDescent="0.25">
      <c r="A111" s="1862"/>
      <c r="B111" s="1780" t="s">
        <v>2967</v>
      </c>
      <c r="C111" s="1863"/>
      <c r="D111" s="1822"/>
      <c r="E111" s="1715"/>
      <c r="F111" s="1864"/>
      <c r="H111" s="1327"/>
    </row>
    <row r="112" spans="1:21" x14ac:dyDescent="0.25">
      <c r="A112" s="1637"/>
      <c r="B112" s="1517"/>
      <c r="C112" s="1641"/>
      <c r="D112" s="1564"/>
      <c r="E112" s="1565"/>
      <c r="F112" s="1642"/>
      <c r="H112" s="1327"/>
    </row>
    <row r="113" spans="6:8" x14ac:dyDescent="0.25">
      <c r="F113" s="1643"/>
      <c r="H113" s="1327"/>
    </row>
    <row r="114" spans="6:8" x14ac:dyDescent="0.25">
      <c r="F114" s="1643"/>
      <c r="H114" s="1327"/>
    </row>
    <row r="115" spans="6:8" x14ac:dyDescent="0.25">
      <c r="F115" s="1643"/>
      <c r="H115" s="1327"/>
    </row>
    <row r="116" spans="6:8" x14ac:dyDescent="0.25">
      <c r="F116" s="1643"/>
      <c r="H116" s="1327"/>
    </row>
    <row r="117" spans="6:8" x14ac:dyDescent="0.25">
      <c r="F117" s="1643"/>
      <c r="H117" s="1327"/>
    </row>
    <row r="118" spans="6:8" x14ac:dyDescent="0.25">
      <c r="F118" s="1643"/>
      <c r="H118" s="1327"/>
    </row>
    <row r="119" spans="6:8" x14ac:dyDescent="0.25">
      <c r="F119" s="1643"/>
      <c r="H119" s="1327"/>
    </row>
    <row r="120" spans="6:8" x14ac:dyDescent="0.25">
      <c r="F120" s="1643"/>
      <c r="H120" s="1327"/>
    </row>
    <row r="121" spans="6:8" x14ac:dyDescent="0.25">
      <c r="F121" s="1643"/>
      <c r="H121" s="1327"/>
    </row>
    <row r="122" spans="6:8" x14ac:dyDescent="0.25">
      <c r="F122" s="1643"/>
      <c r="H122" s="1327"/>
    </row>
    <row r="123" spans="6:8" x14ac:dyDescent="0.25">
      <c r="F123" s="1643"/>
      <c r="H123" s="1327"/>
    </row>
    <row r="124" spans="6:8" x14ac:dyDescent="0.25">
      <c r="F124" s="1643"/>
      <c r="H124" s="1327"/>
    </row>
  </sheetData>
  <protectedRanges>
    <protectedRange sqref="E41 G41" name="Range1_2_1_1_1_1_2_1_1_1"/>
    <protectedRange sqref="G68 G43:G44 G71:G72 E74 G74 G51 G65 G49 E71:E72 G47 G63" name="Range1_4_1_1_2_1_1_2"/>
    <protectedRange sqref="G48 G50" name="Range1_4_1_1_2_1_1_2_1_1"/>
  </protectedRanges>
  <mergeCells count="2">
    <mergeCell ref="A3:B3"/>
    <mergeCell ref="B77:B78"/>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99"/>
  <sheetViews>
    <sheetView view="pageBreakPreview" zoomScaleNormal="85" zoomScaleSheetLayoutView="100" workbookViewId="0">
      <pane ySplit="1" topLeftCell="A47" activePane="bottomLeft" state="frozen"/>
      <selection pane="bottomLeft" activeCell="I64" sqref="I64"/>
    </sheetView>
  </sheetViews>
  <sheetFormatPr defaultColWidth="9.21875" defaultRowHeight="13.8" x14ac:dyDescent="0.25"/>
  <cols>
    <col min="1" max="1" width="4.88671875" style="38" bestFit="1" customWidth="1"/>
    <col min="2" max="2" width="53.77734375" style="36" bestFit="1" customWidth="1"/>
    <col min="3" max="3" width="9.109375" style="39" bestFit="1" customWidth="1"/>
    <col min="4" max="4" width="5.77734375" style="38" bestFit="1" customWidth="1"/>
    <col min="5" max="5" width="10.44140625" style="202" bestFit="1" customWidth="1"/>
    <col min="6" max="6" width="12.6640625" style="39" bestFit="1" customWidth="1"/>
    <col min="7" max="7" width="9.44140625" style="39" customWidth="1"/>
    <col min="8" max="8" width="10.109375" style="24" bestFit="1" customWidth="1"/>
    <col min="9" max="9" width="12.44140625" style="24" bestFit="1" customWidth="1"/>
    <col min="10" max="10" width="10" style="24" bestFit="1" customWidth="1"/>
    <col min="11" max="11" width="11" style="24" bestFit="1" customWidth="1"/>
    <col min="12" max="13" width="12.88671875" style="24" bestFit="1" customWidth="1"/>
    <col min="14" max="14" width="10.33203125" style="24" bestFit="1" customWidth="1"/>
    <col min="15" max="16384" width="9.21875" style="24"/>
  </cols>
  <sheetData>
    <row r="1" spans="1:10" s="31" customFormat="1" ht="14.4" thickBot="1" x14ac:dyDescent="0.3">
      <c r="A1" s="734" t="s">
        <v>0</v>
      </c>
      <c r="B1" s="734" t="s">
        <v>1</v>
      </c>
      <c r="C1" s="734" t="s">
        <v>2</v>
      </c>
      <c r="D1" s="938" t="s">
        <v>3</v>
      </c>
      <c r="E1" s="932" t="s">
        <v>4</v>
      </c>
      <c r="F1" s="934" t="s">
        <v>5</v>
      </c>
      <c r="G1" s="305" t="s">
        <v>874</v>
      </c>
    </row>
    <row r="2" spans="1:10" s="12" customFormat="1" x14ac:dyDescent="0.25">
      <c r="A2" s="360"/>
      <c r="B2" s="352" t="s">
        <v>1032</v>
      </c>
      <c r="C2" s="365"/>
      <c r="D2" s="251"/>
      <c r="E2" s="350"/>
      <c r="F2" s="363"/>
      <c r="G2" s="306"/>
    </row>
    <row r="3" spans="1:10" s="12" customFormat="1" x14ac:dyDescent="0.25">
      <c r="A3" s="360"/>
      <c r="B3" s="355"/>
      <c r="C3" s="365"/>
      <c r="D3" s="251"/>
      <c r="E3" s="350"/>
      <c r="F3" s="363"/>
      <c r="G3" s="306"/>
    </row>
    <row r="4" spans="1:10" s="12" customFormat="1" x14ac:dyDescent="0.25">
      <c r="A4" s="360"/>
      <c r="B4" s="1102" t="s">
        <v>1984</v>
      </c>
      <c r="C4" s="365"/>
      <c r="D4" s="251"/>
      <c r="E4" s="350"/>
      <c r="F4" s="363"/>
      <c r="G4" s="306"/>
    </row>
    <row r="5" spans="1:10" s="12" customFormat="1" x14ac:dyDescent="0.25">
      <c r="A5" s="360"/>
      <c r="B5" s="1102"/>
      <c r="C5" s="365"/>
      <c r="D5" s="251"/>
      <c r="E5" s="350"/>
      <c r="F5" s="363"/>
      <c r="G5" s="306"/>
    </row>
    <row r="6" spans="1:10" x14ac:dyDescent="0.25">
      <c r="A6" s="425">
        <v>1</v>
      </c>
      <c r="B6" s="364" t="s">
        <v>1981</v>
      </c>
      <c r="C6" s="369"/>
      <c r="D6" s="251"/>
      <c r="E6" s="350"/>
      <c r="F6" s="363"/>
      <c r="G6" s="306"/>
    </row>
    <row r="7" spans="1:10" ht="41.4" x14ac:dyDescent="0.25">
      <c r="A7" s="226">
        <f>A6+0.01</f>
        <v>1.01</v>
      </c>
      <c r="B7" s="368" t="s">
        <v>2440</v>
      </c>
      <c r="C7" s="369" t="e">
        <f>'m shet rolf'!#REF!</f>
        <v>#REF!</v>
      </c>
      <c r="D7" s="251" t="s">
        <v>131</v>
      </c>
      <c r="E7" s="350">
        <v>3764</v>
      </c>
      <c r="F7" s="363" t="e">
        <f>+C7*E7</f>
        <v>#REF!</v>
      </c>
      <c r="G7" s="306"/>
      <c r="H7" s="24" t="e">
        <f>C7</f>
        <v>#REF!</v>
      </c>
      <c r="I7" s="24" t="e">
        <f>H7/3</f>
        <v>#REF!</v>
      </c>
      <c r="J7" s="24" t="e">
        <f>I7*10</f>
        <v>#REF!</v>
      </c>
    </row>
    <row r="8" spans="1:10" x14ac:dyDescent="0.25">
      <c r="A8" s="226"/>
      <c r="B8" s="368"/>
      <c r="C8" s="369"/>
      <c r="D8" s="251"/>
      <c r="E8" s="350"/>
      <c r="F8" s="363"/>
      <c r="G8" s="306"/>
    </row>
    <row r="9" spans="1:10" ht="41.4" x14ac:dyDescent="0.25">
      <c r="A9" s="226">
        <f>A7+0.01</f>
        <v>1.02</v>
      </c>
      <c r="B9" s="368" t="s">
        <v>2441</v>
      </c>
      <c r="C9" s="369" t="e">
        <f>C7</f>
        <v>#REF!</v>
      </c>
      <c r="D9" s="251" t="s">
        <v>131</v>
      </c>
      <c r="E9" s="350">
        <v>7417</v>
      </c>
      <c r="F9" s="363" t="e">
        <f>+C9*E9</f>
        <v>#REF!</v>
      </c>
      <c r="G9" s="306"/>
    </row>
    <row r="10" spans="1:10" x14ac:dyDescent="0.25">
      <c r="A10" s="226"/>
      <c r="B10" s="368"/>
      <c r="C10" s="369"/>
      <c r="D10" s="251"/>
      <c r="E10" s="350"/>
      <c r="F10" s="363"/>
      <c r="G10" s="306"/>
    </row>
    <row r="11" spans="1:10" ht="41.4" x14ac:dyDescent="0.25">
      <c r="A11" s="226">
        <f>A9+0.01</f>
        <v>1.03</v>
      </c>
      <c r="B11" s="368" t="s">
        <v>2442</v>
      </c>
      <c r="C11" s="369" t="e">
        <f>'m shet rolf'!#REF!</f>
        <v>#REF!</v>
      </c>
      <c r="D11" s="251" t="s">
        <v>131</v>
      </c>
      <c r="E11" s="350">
        <v>11070</v>
      </c>
      <c r="F11" s="363" t="e">
        <f>+C11*E11</f>
        <v>#REF!</v>
      </c>
      <c r="G11" s="306"/>
    </row>
    <row r="12" spans="1:10" s="12" customFormat="1" x14ac:dyDescent="0.25">
      <c r="A12" s="360"/>
      <c r="B12" s="373"/>
      <c r="C12" s="374"/>
      <c r="D12" s="251"/>
      <c r="E12" s="350"/>
      <c r="F12" s="363"/>
      <c r="G12" s="306"/>
    </row>
    <row r="13" spans="1:10" s="12" customFormat="1" x14ac:dyDescent="0.25">
      <c r="A13" s="376">
        <v>2</v>
      </c>
      <c r="B13" s="367" t="s">
        <v>1058</v>
      </c>
      <c r="C13" s="374"/>
      <c r="D13" s="251"/>
      <c r="E13" s="350"/>
      <c r="F13" s="363"/>
      <c r="G13" s="306"/>
    </row>
    <row r="14" spans="1:10" s="12" customFormat="1" ht="82.8" x14ac:dyDescent="0.25">
      <c r="A14" s="360">
        <f>A13+0.01</f>
        <v>2.0099999999999998</v>
      </c>
      <c r="B14" s="1132" t="s">
        <v>2443</v>
      </c>
      <c r="C14" s="1150" t="e">
        <f>'m shet rolf'!#REF!</f>
        <v>#REF!</v>
      </c>
      <c r="D14" s="1151" t="s">
        <v>346</v>
      </c>
      <c r="E14" s="1152">
        <v>141</v>
      </c>
      <c r="F14" s="1151" t="e">
        <f>E14*C14</f>
        <v>#REF!</v>
      </c>
      <c r="G14" s="306"/>
    </row>
    <row r="15" spans="1:10" s="12" customFormat="1" x14ac:dyDescent="0.25">
      <c r="A15" s="360"/>
      <c r="B15" s="373"/>
      <c r="C15" s="374"/>
      <c r="D15" s="251"/>
      <c r="E15" s="350"/>
      <c r="F15" s="363"/>
      <c r="G15" s="306"/>
    </row>
    <row r="16" spans="1:10" s="12" customFormat="1" x14ac:dyDescent="0.25">
      <c r="A16" s="425">
        <v>3</v>
      </c>
      <c r="B16" s="890" t="s">
        <v>1758</v>
      </c>
      <c r="C16" s="369"/>
      <c r="D16" s="251"/>
      <c r="E16" s="350"/>
      <c r="F16" s="363"/>
      <c r="G16" s="306"/>
    </row>
    <row r="17" spans="1:7" s="12" customFormat="1" ht="66" x14ac:dyDescent="0.25">
      <c r="A17" s="226"/>
      <c r="B17" s="416" t="s">
        <v>2392</v>
      </c>
      <c r="C17" s="1150" t="e">
        <f>'m shet rolf'!#REF!</f>
        <v>#REF!</v>
      </c>
      <c r="D17" s="1151" t="s">
        <v>1501</v>
      </c>
      <c r="E17" s="1152">
        <v>17372</v>
      </c>
      <c r="F17" s="1151" t="e">
        <f>E17*C17</f>
        <v>#REF!</v>
      </c>
      <c r="G17" s="306"/>
    </row>
    <row r="18" spans="1:7" s="12" customFormat="1" x14ac:dyDescent="0.25">
      <c r="A18" s="226"/>
      <c r="B18" s="890"/>
      <c r="C18" s="369"/>
      <c r="D18" s="251"/>
      <c r="E18" s="350"/>
      <c r="F18" s="363"/>
      <c r="G18" s="306"/>
    </row>
    <row r="19" spans="1:7" s="12" customFormat="1" ht="66" x14ac:dyDescent="0.25">
      <c r="A19" s="226">
        <f>A16+0.01</f>
        <v>3.01</v>
      </c>
      <c r="B19" s="416" t="s">
        <v>2393</v>
      </c>
      <c r="C19" s="369" t="e">
        <f>'m shet rolf'!#REF!</f>
        <v>#REF!</v>
      </c>
      <c r="D19" s="251" t="s">
        <v>1501</v>
      </c>
      <c r="E19" s="350">
        <v>2281</v>
      </c>
      <c r="F19" s="363" t="e">
        <f>E19*C19</f>
        <v>#REF!</v>
      </c>
      <c r="G19" s="306"/>
    </row>
    <row r="20" spans="1:7" s="12" customFormat="1" x14ac:dyDescent="0.25">
      <c r="A20" s="226"/>
      <c r="B20" s="416"/>
      <c r="C20" s="369"/>
      <c r="D20" s="251"/>
      <c r="E20" s="350"/>
      <c r="F20" s="363"/>
      <c r="G20" s="306"/>
    </row>
    <row r="21" spans="1:7" s="12" customFormat="1" x14ac:dyDescent="0.25">
      <c r="A21" s="425">
        <v>4</v>
      </c>
      <c r="B21" s="890" t="s">
        <v>1755</v>
      </c>
      <c r="C21" s="369"/>
      <c r="D21" s="251"/>
      <c r="E21" s="350"/>
      <c r="F21" s="363"/>
      <c r="G21" s="306"/>
    </row>
    <row r="22" spans="1:7" s="12" customFormat="1" ht="26.4" x14ac:dyDescent="0.25">
      <c r="A22" s="226"/>
      <c r="B22" s="416" t="s">
        <v>2394</v>
      </c>
      <c r="C22" s="369" t="e">
        <f>C7+C9+C11+C19</f>
        <v>#REF!</v>
      </c>
      <c r="D22" s="251" t="s">
        <v>1501</v>
      </c>
      <c r="E22" s="350">
        <v>902</v>
      </c>
      <c r="F22" s="363" t="e">
        <f>E22*C22</f>
        <v>#REF!</v>
      </c>
      <c r="G22" s="306"/>
    </row>
    <row r="23" spans="1:7" s="12" customFormat="1" x14ac:dyDescent="0.25">
      <c r="A23" s="226"/>
      <c r="B23" s="890"/>
      <c r="C23" s="369"/>
      <c r="D23" s="251"/>
      <c r="E23" s="350"/>
      <c r="F23" s="363"/>
      <c r="G23" s="306"/>
    </row>
    <row r="24" spans="1:7" s="12" customFormat="1" ht="15.6" x14ac:dyDescent="0.25">
      <c r="A24" s="376">
        <v>4</v>
      </c>
      <c r="B24" s="377" t="s">
        <v>571</v>
      </c>
      <c r="C24" s="378"/>
      <c r="D24" s="251"/>
      <c r="E24" s="350"/>
      <c r="F24" s="363"/>
      <c r="G24" s="306"/>
    </row>
    <row r="25" spans="1:7" x14ac:dyDescent="0.25">
      <c r="A25" s="226"/>
      <c r="B25" s="368"/>
      <c r="C25" s="369"/>
      <c r="D25" s="251"/>
      <c r="E25" s="350"/>
      <c r="F25" s="363"/>
      <c r="G25" s="306"/>
    </row>
    <row r="26" spans="1:7" x14ac:dyDescent="0.25">
      <c r="A26" s="226"/>
      <c r="B26" s="1042" t="s">
        <v>1983</v>
      </c>
      <c r="C26" s="369"/>
      <c r="D26" s="251"/>
      <c r="E26" s="350"/>
      <c r="F26" s="363"/>
      <c r="G26" s="306"/>
    </row>
    <row r="27" spans="1:7" x14ac:dyDescent="0.25">
      <c r="A27" s="226"/>
      <c r="B27" s="368"/>
      <c r="C27" s="369"/>
      <c r="D27" s="251"/>
      <c r="E27" s="350"/>
      <c r="F27" s="363"/>
      <c r="G27" s="306"/>
    </row>
    <row r="28" spans="1:7" ht="31.2" customHeight="1" x14ac:dyDescent="0.25">
      <c r="A28" s="226"/>
      <c r="B28" s="760" t="s">
        <v>1976</v>
      </c>
      <c r="C28" s="369"/>
      <c r="D28" s="251"/>
      <c r="E28" s="350"/>
      <c r="F28" s="363"/>
      <c r="G28" s="306"/>
    </row>
    <row r="29" spans="1:7" x14ac:dyDescent="0.25">
      <c r="A29" s="226">
        <f>A24+0.01</f>
        <v>4.01</v>
      </c>
      <c r="B29" s="368" t="s">
        <v>1972</v>
      </c>
      <c r="C29" s="369" t="e">
        <f>'m shet rolf'!#REF!</f>
        <v>#REF!</v>
      </c>
      <c r="D29" s="251" t="s">
        <v>129</v>
      </c>
      <c r="E29" s="350" t="e">
        <f>concrete!E25</f>
        <v>#REF!</v>
      </c>
      <c r="F29" s="363" t="e">
        <f>+C29*E29</f>
        <v>#REF!</v>
      </c>
      <c r="G29" s="306"/>
    </row>
    <row r="30" spans="1:7" x14ac:dyDescent="0.25">
      <c r="A30" s="226"/>
      <c r="B30" s="368"/>
      <c r="C30" s="369"/>
      <c r="D30" s="251"/>
      <c r="E30" s="350"/>
      <c r="F30" s="363"/>
      <c r="G30" s="306"/>
    </row>
    <row r="31" spans="1:7" x14ac:dyDescent="0.25">
      <c r="A31" s="226"/>
      <c r="B31" s="368"/>
      <c r="C31" s="369"/>
      <c r="D31" s="251"/>
      <c r="E31" s="350"/>
      <c r="F31" s="363"/>
      <c r="G31" s="306"/>
    </row>
    <row r="32" spans="1:7" x14ac:dyDescent="0.25">
      <c r="A32" s="226"/>
      <c r="B32" s="368"/>
      <c r="C32" s="369"/>
      <c r="D32" s="251"/>
      <c r="E32" s="350"/>
      <c r="F32" s="363"/>
      <c r="G32" s="306"/>
    </row>
    <row r="33" spans="1:7" x14ac:dyDescent="0.25">
      <c r="A33" s="226"/>
      <c r="B33" s="368"/>
      <c r="C33" s="369"/>
      <c r="D33" s="251"/>
      <c r="E33" s="350"/>
      <c r="F33" s="363"/>
      <c r="G33" s="306"/>
    </row>
    <row r="34" spans="1:7" x14ac:dyDescent="0.25">
      <c r="A34" s="226"/>
      <c r="B34" s="368"/>
      <c r="C34" s="369"/>
      <c r="D34" s="251"/>
      <c r="E34" s="350"/>
      <c r="F34" s="363"/>
      <c r="G34" s="306"/>
    </row>
    <row r="35" spans="1:7" x14ac:dyDescent="0.25">
      <c r="A35" s="226"/>
      <c r="B35" s="368"/>
      <c r="C35" s="369"/>
      <c r="D35" s="251"/>
      <c r="E35" s="350"/>
      <c r="F35" s="363"/>
      <c r="G35" s="306"/>
    </row>
    <row r="36" spans="1:7" x14ac:dyDescent="0.25">
      <c r="A36" s="226"/>
      <c r="B36" s="368"/>
      <c r="C36" s="369"/>
      <c r="D36" s="251"/>
      <c r="E36" s="350"/>
      <c r="F36" s="363"/>
      <c r="G36" s="306"/>
    </row>
    <row r="37" spans="1:7" x14ac:dyDescent="0.25">
      <c r="A37" s="939"/>
      <c r="B37" s="940"/>
      <c r="C37" s="941"/>
      <c r="D37" s="942"/>
      <c r="E37" s="943"/>
      <c r="F37" s="944"/>
      <c r="G37" s="306"/>
    </row>
    <row r="38" spans="1:7" x14ac:dyDescent="0.25">
      <c r="A38" s="1048">
        <v>5</v>
      </c>
      <c r="B38" s="1046" t="s">
        <v>166</v>
      </c>
      <c r="C38" s="946"/>
      <c r="D38" s="250"/>
      <c r="E38" s="947"/>
      <c r="F38" s="948"/>
      <c r="G38" s="306"/>
    </row>
    <row r="39" spans="1:7" x14ac:dyDescent="0.25">
      <c r="A39" s="226"/>
      <c r="B39" s="396"/>
      <c r="C39" s="369"/>
      <c r="D39" s="251"/>
      <c r="E39" s="350"/>
      <c r="F39" s="363"/>
      <c r="G39" s="306"/>
    </row>
    <row r="40" spans="1:7" x14ac:dyDescent="0.25">
      <c r="A40" s="226"/>
      <c r="B40" s="762" t="s">
        <v>1982</v>
      </c>
      <c r="C40" s="365"/>
      <c r="D40" s="251"/>
      <c r="E40" s="350"/>
      <c r="F40" s="363"/>
      <c r="G40" s="306"/>
    </row>
    <row r="41" spans="1:7" x14ac:dyDescent="0.25">
      <c r="A41" s="226"/>
      <c r="B41" s="403"/>
      <c r="C41" s="374"/>
      <c r="D41" s="251"/>
      <c r="E41" s="350"/>
      <c r="F41" s="363"/>
      <c r="G41" s="306"/>
    </row>
    <row r="42" spans="1:7" ht="55.2" x14ac:dyDescent="0.25">
      <c r="A42" s="226"/>
      <c r="B42" s="392" t="s">
        <v>1971</v>
      </c>
      <c r="C42" s="369"/>
      <c r="D42" s="251"/>
      <c r="E42" s="350"/>
      <c r="F42" s="363"/>
      <c r="G42" s="306"/>
    </row>
    <row r="43" spans="1:7" x14ac:dyDescent="0.25">
      <c r="A43" s="226">
        <f>A38+0.01</f>
        <v>5.01</v>
      </c>
      <c r="B43" s="368" t="s">
        <v>1972</v>
      </c>
      <c r="C43" s="369" t="e">
        <f>'m shet rolf'!#REF!</f>
        <v>#REF!</v>
      </c>
      <c r="D43" s="251" t="s">
        <v>170</v>
      </c>
      <c r="E43" s="350" t="e">
        <f>concrete!E130</f>
        <v>#REF!</v>
      </c>
      <c r="F43" s="363" t="e">
        <f>C43*E43</f>
        <v>#REF!</v>
      </c>
      <c r="G43" s="306"/>
    </row>
    <row r="44" spans="1:7" x14ac:dyDescent="0.25">
      <c r="A44" s="226">
        <f>A43+0.01</f>
        <v>5.0199999999999996</v>
      </c>
      <c r="B44" s="368" t="s">
        <v>1978</v>
      </c>
      <c r="C44" s="369" t="e">
        <f>'m shet rolf'!#REF!</f>
        <v>#REF!</v>
      </c>
      <c r="D44" s="251" t="s">
        <v>170</v>
      </c>
      <c r="E44" s="350" t="e">
        <f>E43</f>
        <v>#REF!</v>
      </c>
      <c r="F44" s="363" t="e">
        <f>C44*E44</f>
        <v>#REF!</v>
      </c>
      <c r="G44" s="306"/>
    </row>
    <row r="45" spans="1:7" x14ac:dyDescent="0.25">
      <c r="A45" s="226"/>
      <c r="B45" s="368"/>
      <c r="C45" s="369"/>
      <c r="D45" s="251"/>
      <c r="E45" s="350"/>
      <c r="F45" s="363"/>
      <c r="G45" s="306"/>
    </row>
    <row r="46" spans="1:7" x14ac:dyDescent="0.25">
      <c r="A46" s="425">
        <v>6</v>
      </c>
      <c r="B46" s="396" t="s">
        <v>572</v>
      </c>
      <c r="C46" s="369"/>
      <c r="D46" s="251"/>
      <c r="E46" s="350"/>
      <c r="F46" s="363"/>
      <c r="G46" s="306"/>
    </row>
    <row r="47" spans="1:7" x14ac:dyDescent="0.25">
      <c r="A47" s="226"/>
      <c r="B47" s="368"/>
      <c r="C47" s="369"/>
      <c r="D47" s="251"/>
      <c r="E47" s="350"/>
      <c r="F47" s="363"/>
      <c r="G47" s="306"/>
    </row>
    <row r="48" spans="1:7" ht="27.6" x14ac:dyDescent="0.25">
      <c r="A48" s="226"/>
      <c r="B48" s="368" t="s">
        <v>2444</v>
      </c>
      <c r="C48" s="369"/>
      <c r="D48" s="251"/>
      <c r="E48" s="350"/>
      <c r="F48" s="363"/>
      <c r="G48" s="306"/>
    </row>
    <row r="49" spans="1:13" x14ac:dyDescent="0.25">
      <c r="A49" s="226"/>
      <c r="B49" s="368"/>
      <c r="C49" s="369"/>
      <c r="D49" s="251"/>
      <c r="E49" s="350"/>
      <c r="F49" s="363"/>
      <c r="G49" s="306"/>
    </row>
    <row r="50" spans="1:13" x14ac:dyDescent="0.25">
      <c r="A50" s="226">
        <f>A46+0.01</f>
        <v>6.01</v>
      </c>
      <c r="B50" s="760" t="s">
        <v>1973</v>
      </c>
      <c r="C50" s="369" t="e">
        <f>'m shet rolf'!#REF!</f>
        <v>#REF!</v>
      </c>
      <c r="D50" s="251" t="s">
        <v>129</v>
      </c>
      <c r="E50" s="350" t="e">
        <f>concrete!E194</f>
        <v>#REF!</v>
      </c>
      <c r="F50" s="363" t="e">
        <f t="shared" ref="F50:F51" si="0">C50*E50</f>
        <v>#REF!</v>
      </c>
      <c r="G50" s="306"/>
    </row>
    <row r="51" spans="1:13" x14ac:dyDescent="0.25">
      <c r="A51" s="226">
        <f>A50+0.01</f>
        <v>6.02</v>
      </c>
      <c r="B51" s="760" t="s">
        <v>1974</v>
      </c>
      <c r="C51" s="369" t="e">
        <f>'m shet rolf'!#REF!</f>
        <v>#REF!</v>
      </c>
      <c r="D51" s="251" t="s">
        <v>129</v>
      </c>
      <c r="E51" s="350" t="e">
        <f>concrete!E205</f>
        <v>#REF!</v>
      </c>
      <c r="F51" s="363" t="e">
        <f t="shared" si="0"/>
        <v>#REF!</v>
      </c>
      <c r="G51" s="306"/>
    </row>
    <row r="52" spans="1:13" x14ac:dyDescent="0.25">
      <c r="A52" s="226"/>
      <c r="B52" s="760"/>
      <c r="C52" s="369"/>
      <c r="D52" s="251"/>
      <c r="E52" s="350"/>
      <c r="F52" s="363"/>
      <c r="G52" s="306"/>
    </row>
    <row r="53" spans="1:13" x14ac:dyDescent="0.25">
      <c r="A53" s="425">
        <v>7</v>
      </c>
      <c r="B53" s="396" t="s">
        <v>573</v>
      </c>
      <c r="C53" s="369"/>
      <c r="D53" s="251"/>
      <c r="E53" s="350"/>
      <c r="F53" s="363"/>
      <c r="G53" s="306"/>
    </row>
    <row r="54" spans="1:13" x14ac:dyDescent="0.25">
      <c r="A54" s="226"/>
      <c r="B54" s="368"/>
      <c r="C54" s="369"/>
      <c r="D54" s="251"/>
      <c r="E54" s="350"/>
      <c r="F54" s="363"/>
      <c r="G54" s="306"/>
    </row>
    <row r="55" spans="1:13" ht="27.6" x14ac:dyDescent="0.25">
      <c r="A55" s="226"/>
      <c r="B55" s="760" t="s">
        <v>1975</v>
      </c>
      <c r="C55" s="369"/>
      <c r="D55" s="251"/>
      <c r="E55" s="350"/>
      <c r="F55" s="363"/>
      <c r="G55" s="306"/>
    </row>
    <row r="56" spans="1:13" x14ac:dyDescent="0.25">
      <c r="A56" s="226">
        <f>A53+0.01</f>
        <v>7.01</v>
      </c>
      <c r="B56" s="760" t="s">
        <v>2401</v>
      </c>
      <c r="C56" s="369" t="e">
        <f>'m shet rolf'!#REF!</f>
        <v>#REF!</v>
      </c>
      <c r="D56" s="251" t="s">
        <v>134</v>
      </c>
      <c r="E56" s="350" t="e">
        <f>(concrete!#REF!+concrete!#REF!)/2</f>
        <v>#REF!</v>
      </c>
      <c r="F56" s="363" t="e">
        <f>+C56*E56</f>
        <v>#REF!</v>
      </c>
      <c r="G56" s="306"/>
    </row>
    <row r="57" spans="1:13" x14ac:dyDescent="0.25">
      <c r="A57" s="226"/>
      <c r="B57" s="760"/>
      <c r="C57" s="369"/>
      <c r="D57" s="251"/>
      <c r="E57" s="350"/>
      <c r="F57" s="363"/>
      <c r="G57" s="306"/>
    </row>
    <row r="58" spans="1:13" x14ac:dyDescent="0.25">
      <c r="A58" s="425">
        <v>8</v>
      </c>
      <c r="B58" s="763" t="s">
        <v>1977</v>
      </c>
      <c r="C58" s="369"/>
      <c r="D58" s="251"/>
      <c r="E58" s="350"/>
      <c r="F58" s="363"/>
      <c r="G58" s="306"/>
    </row>
    <row r="59" spans="1:13" ht="66" customHeight="1" x14ac:dyDescent="0.25">
      <c r="A59" s="226">
        <f>A58+0.01</f>
        <v>8.01</v>
      </c>
      <c r="B59" s="760" t="s">
        <v>2411</v>
      </c>
      <c r="C59" s="369">
        <v>268</v>
      </c>
      <c r="D59" s="251" t="s">
        <v>1314</v>
      </c>
      <c r="E59" s="350">
        <v>1450</v>
      </c>
      <c r="F59" s="363">
        <f>+C59*E59</f>
        <v>388600</v>
      </c>
      <c r="G59" s="306"/>
      <c r="K59" s="24">
        <f>67*1</f>
        <v>67</v>
      </c>
      <c r="L59" s="24">
        <f>4.8/1</f>
        <v>4.8</v>
      </c>
      <c r="M59" s="24">
        <f>4*K59</f>
        <v>268</v>
      </c>
    </row>
    <row r="60" spans="1:13" ht="14.4" thickBot="1" x14ac:dyDescent="0.3">
      <c r="A60" s="226"/>
      <c r="B60" s="368"/>
      <c r="C60" s="369"/>
      <c r="D60" s="251"/>
      <c r="E60" s="350" t="s">
        <v>1843</v>
      </c>
      <c r="F60" s="363"/>
      <c r="G60" s="306"/>
      <c r="K60" s="24">
        <f>5*3.28</f>
        <v>16.399999999999999</v>
      </c>
      <c r="L60" s="24">
        <f>67*3.28</f>
        <v>219.76</v>
      </c>
      <c r="M60" s="24">
        <f>L60*K60</f>
        <v>3604.0639999999994</v>
      </c>
    </row>
    <row r="61" spans="1:13" s="12" customFormat="1" ht="27.6" x14ac:dyDescent="0.25">
      <c r="A61" s="949"/>
      <c r="B61" s="950" t="s">
        <v>1979</v>
      </c>
      <c r="C61" s="951"/>
      <c r="D61" s="952"/>
      <c r="E61" s="953"/>
      <c r="F61" s="954" t="e">
        <f>SUM(F6:F60)</f>
        <v>#REF!</v>
      </c>
      <c r="G61" s="307"/>
      <c r="H61" s="12" t="e">
        <f>F61/67</f>
        <v>#REF!</v>
      </c>
      <c r="M61" s="12" t="e">
        <f>F61/M60</f>
        <v>#REF!</v>
      </c>
    </row>
    <row r="66" spans="6:7" x14ac:dyDescent="0.25">
      <c r="F66" s="39">
        <f>67*4.2</f>
        <v>281.40000000000003</v>
      </c>
      <c r="G66" s="39" t="e">
        <f>F61/F66</f>
        <v>#REF!</v>
      </c>
    </row>
    <row r="67" spans="6:7" x14ac:dyDescent="0.25">
      <c r="F67" s="39">
        <f>F66*10.76</f>
        <v>3027.8640000000005</v>
      </c>
      <c r="G67" s="39" t="e">
        <f>F61/F67</f>
        <v>#REF!</v>
      </c>
    </row>
    <row r="93" spans="4:9" x14ac:dyDescent="0.25">
      <c r="D93" s="38">
        <f>600/10.76</f>
        <v>55.762081784386616</v>
      </c>
      <c r="G93" s="39">
        <f>1000/50</f>
        <v>20</v>
      </c>
    </row>
    <row r="94" spans="4:9" x14ac:dyDescent="0.25">
      <c r="D94" s="38">
        <f>D93*0.05</f>
        <v>2.7881040892193312</v>
      </c>
      <c r="G94" s="39">
        <f>50/1000</f>
        <v>0.05</v>
      </c>
      <c r="I94" s="24">
        <f>D94/2.83</f>
        <v>0.98519579124357992</v>
      </c>
    </row>
    <row r="97" spans="3:4" x14ac:dyDescent="0.25">
      <c r="C97" s="39" t="s">
        <v>1045</v>
      </c>
      <c r="D97" s="38">
        <f>13*I94</f>
        <v>12.807545286166539</v>
      </c>
    </row>
    <row r="98" spans="3:4" x14ac:dyDescent="0.25">
      <c r="C98" s="39" t="s">
        <v>1046</v>
      </c>
      <c r="D98" s="38">
        <f>0.53*I94</f>
        <v>0.52215376935909741</v>
      </c>
    </row>
    <row r="99" spans="3:4" x14ac:dyDescent="0.25">
      <c r="C99" s="39" t="s">
        <v>1047</v>
      </c>
      <c r="D99" s="38">
        <f>0.92*I94</f>
        <v>0.90638012794409362</v>
      </c>
    </row>
  </sheetData>
  <pageMargins left="0.51181102362204722" right="0.51181102362204722" top="0.23622047244094491" bottom="0.23622047244094491" header="0.51181102362204722" footer="0.51181102362204722"/>
  <pageSetup orientation="portrait" r:id="rId1"/>
  <headerFooter alignWithMargins="0">
    <oddFooter>&amp;C&amp;P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
  <sheetViews>
    <sheetView workbookViewId="0"/>
  </sheetViews>
  <sheetFormatPr defaultRowHeight="13.2"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
  <sheetViews>
    <sheetView workbookViewId="0"/>
  </sheetViews>
  <sheetFormatPr defaultRowHeight="13.2" x14ac:dyDescent="0.2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42</vt:i4>
      </vt:variant>
    </vt:vector>
  </HeadingPairs>
  <TitlesOfParts>
    <vt:vector size="88" baseType="lpstr">
      <vt:lpstr>bar schedule-wattala</vt:lpstr>
      <vt:lpstr>M sheet- dodangoda (2)</vt:lpstr>
      <vt:lpstr>front</vt:lpstr>
      <vt:lpstr>grnd summry- tender</vt:lpstr>
      <vt:lpstr>prelims</vt:lpstr>
      <vt:lpstr>summary</vt:lpstr>
      <vt:lpstr>exca</vt:lpstr>
      <vt:lpstr>masnry</vt:lpstr>
      <vt:lpstr>flooring</vt:lpstr>
      <vt:lpstr>waterprof</vt:lpstr>
      <vt:lpstr>plastering</vt:lpstr>
      <vt:lpstr>tile</vt:lpstr>
      <vt:lpstr>paint</vt:lpstr>
      <vt:lpstr>plumbing</vt:lpstr>
      <vt:lpstr>electicle </vt:lpstr>
      <vt:lpstr>metal</vt:lpstr>
      <vt:lpstr>roof</vt:lpstr>
      <vt:lpstr>Ps</vt:lpstr>
      <vt:lpstr>Material</vt:lpstr>
      <vt:lpstr>Rate Breakdowns</vt:lpstr>
      <vt:lpstr>grnd summry- sign</vt:lpstr>
      <vt:lpstr>demolition</vt:lpstr>
      <vt:lpstr>concrete</vt:lpstr>
      <vt:lpstr>formwrk</vt:lpstr>
      <vt:lpstr>Sheet4</vt:lpstr>
      <vt:lpstr>Sheet5</vt:lpstr>
      <vt:lpstr>rf</vt:lpstr>
      <vt:lpstr>m shet rolf</vt:lpstr>
      <vt:lpstr>Minuwangoda Final</vt:lpstr>
      <vt:lpstr>Timber doors</vt:lpstr>
      <vt:lpstr>steel work</vt:lpstr>
      <vt:lpstr>Sheet6</vt:lpstr>
      <vt:lpstr>BOQ-Electrical System</vt:lpstr>
      <vt:lpstr>electicle</vt:lpstr>
      <vt:lpstr>Wattala - (6)</vt:lpstr>
      <vt:lpstr>machncle</vt:lpstr>
      <vt:lpstr>fire</vt:lpstr>
      <vt:lpstr>misalenous</vt:lpstr>
      <vt:lpstr>L.toilet</vt:lpstr>
      <vt:lpstr>lps</vt:lpstr>
      <vt:lpstr>cctv</vt:lpstr>
      <vt:lpstr>TS</vt:lpstr>
      <vt:lpstr>retaining wall</vt:lpstr>
      <vt:lpstr>Sheet3</vt:lpstr>
      <vt:lpstr>Sheet2</vt:lpstr>
      <vt:lpstr>Sheet1</vt:lpstr>
      <vt:lpstr>'bar schedule-wattala'!Print_Area</vt:lpstr>
      <vt:lpstr>'BOQ-Electrical System'!Print_Area</vt:lpstr>
      <vt:lpstr>concrete!Print_Area</vt:lpstr>
      <vt:lpstr>demolition!Print_Area</vt:lpstr>
      <vt:lpstr>electicle!Print_Area</vt:lpstr>
      <vt:lpstr>'electicle '!Print_Area</vt:lpstr>
      <vt:lpstr>exca!Print_Area</vt:lpstr>
      <vt:lpstr>fire!Print_Area</vt:lpstr>
      <vt:lpstr>flooring!Print_Area</vt:lpstr>
      <vt:lpstr>front!Print_Area</vt:lpstr>
      <vt:lpstr>'grnd summry- sign'!Print_Area</vt:lpstr>
      <vt:lpstr>'grnd summry- tender'!Print_Area</vt:lpstr>
      <vt:lpstr>L.toilet!Print_Area</vt:lpstr>
      <vt:lpstr>lps!Print_Area</vt:lpstr>
      <vt:lpstr>'m shet rolf'!Print_Area</vt:lpstr>
      <vt:lpstr>machncle!Print_Area</vt:lpstr>
      <vt:lpstr>masnry!Print_Area</vt:lpstr>
      <vt:lpstr>Material!Print_Area</vt:lpstr>
      <vt:lpstr>metal!Print_Area</vt:lpstr>
      <vt:lpstr>misalenous!Print_Area</vt:lpstr>
      <vt:lpstr>paint!Print_Area</vt:lpstr>
      <vt:lpstr>plastering!Print_Area</vt:lpstr>
      <vt:lpstr>plumbing!Print_Area</vt:lpstr>
      <vt:lpstr>prelims!Print_Area</vt:lpstr>
      <vt:lpstr>Ps!Print_Area</vt:lpstr>
      <vt:lpstr>'retaining wall'!Print_Area</vt:lpstr>
      <vt:lpstr>roof!Print_Area</vt:lpstr>
      <vt:lpstr>'steel work'!Print_Area</vt:lpstr>
      <vt:lpstr>summary!Print_Area</vt:lpstr>
      <vt:lpstr>tile!Print_Area</vt:lpstr>
      <vt:lpstr>'Timber doors'!Print_Area</vt:lpstr>
      <vt:lpstr>TS!Print_Area</vt:lpstr>
      <vt:lpstr>waterprof!Print_Area</vt:lpstr>
      <vt:lpstr>'BOQ-Electrical System'!Print_Titles</vt:lpstr>
      <vt:lpstr>metal!Print_Titles</vt:lpstr>
      <vt:lpstr>plastering!Print_Titles</vt:lpstr>
      <vt:lpstr>plumbing!Print_Titles</vt:lpstr>
      <vt:lpstr>prelims!Print_Titles</vt:lpstr>
      <vt:lpstr>roof!Print_Titles</vt:lpstr>
      <vt:lpstr>'steel work'!Print_Titles</vt:lpstr>
      <vt:lpstr>tile!Print_Titles</vt:lpstr>
      <vt:lpstr>waterprof!Print_Titles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HB User</cp:lastModifiedBy>
  <cp:lastPrinted>2023-11-02T03:48:22Z</cp:lastPrinted>
  <dcterms:created xsi:type="dcterms:W3CDTF">2017-08-09T00:03:19Z</dcterms:created>
  <dcterms:modified xsi:type="dcterms:W3CDTF">2023-11-08T11:45:19Z</dcterms:modified>
</cp:coreProperties>
</file>